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comparativo_VTA" sheetId="1" state="hidden" r:id="rId1"/>
    <sheet xmlns:r="http://schemas.openxmlformats.org/officeDocument/2006/relationships" name="CONTROLE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financeiro" sheetId="4" state="visible" r:id="rId4"/>
    <sheet xmlns:r="http://schemas.openxmlformats.org/officeDocument/2006/relationships" name="itens_Remanesc" sheetId="5" state="visible" r:id="rId5"/>
    <sheet xmlns:r="http://schemas.openxmlformats.org/officeDocument/2006/relationships" name="itens_Consumidos" sheetId="6" state="visible" r:id="rId6"/>
    <sheet xmlns:r="http://schemas.openxmlformats.org/officeDocument/2006/relationships" name="itens_PC" sheetId="7" state="visible" r:id="rId7"/>
    <sheet xmlns:r="http://schemas.openxmlformats.org/officeDocument/2006/relationships" name="aditivos" sheetId="8" state="visible" r:id="rId8"/>
    <sheet xmlns:r="http://schemas.openxmlformats.org/officeDocument/2006/relationships" name="posicao_referencia" sheetId="9" state="visible" r:id="rId9"/>
    <sheet xmlns:r="http://schemas.openxmlformats.org/officeDocument/2006/relationships" name="posicao_contratual" sheetId="10" state="visible" r:id="rId10"/>
    <sheet xmlns:r="http://schemas.openxmlformats.org/officeDocument/2006/relationships" name="itens_RC" sheetId="11" state="visible" r:id="rId11"/>
    <sheet xmlns:r="http://schemas.openxmlformats.org/officeDocument/2006/relationships" name="historico_VU" sheetId="12" state="visible" r:id="rId12"/>
    <sheet xmlns:r="http://schemas.openxmlformats.org/officeDocument/2006/relationships" name="cobertura_temporal" sheetId="13" state="visible" r:id="rId13"/>
    <sheet xmlns:r="http://schemas.openxmlformats.org/officeDocument/2006/relationships" name="MEMORIA_RESULTADOS" sheetId="14" state="hidden" r:id="rId14"/>
    <sheet xmlns:r="http://schemas.openxmlformats.org/officeDocument/2006/relationships" name="RESULTADOS" sheetId="15" state="visible" r:id="rId15"/>
  </sheets>
  <definedNames>
    <definedName name="AJUSTE_MANUAL_VTA">MEMORIA_RESULTADOS!$B$24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_xlnm.Print_Area" localSheetId="14">'RESULTADOS'!$A$1:$H$50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9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"/>
      <b val="1"/>
      <color rgb="FF0B2D5C"/>
      <sz val="10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  <font>
      <name val="Calibri"/>
      <b val="1"/>
      <color rgb="FF123B63"/>
      <sz val="10"/>
    </font>
    <font>
      <name val="Arial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Calibri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B2D5C"/>
      <sz val="10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sz val="11"/>
    </font>
    <font>
      <name val="Aptos"/>
      <family val="2"/>
      <i val="1"/>
      <color rgb="FF172B4D"/>
      <sz val="10"/>
    </font>
    <font>
      <name val="Calibri"/>
      <family val="2"/>
      <color rgb="FF595959"/>
      <sz val="10"/>
    </font>
    <font>
      <name val="Calibri"/>
      <family val="2"/>
      <b val="1"/>
      <color rgb="FFFFFFFF"/>
      <sz val="15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595959"/>
      <sz val="12"/>
    </font>
    <font>
      <name val="Calibri"/>
      <family val="2"/>
      <b val="1"/>
      <i val="1"/>
      <color rgb="FF595959"/>
      <sz val="10"/>
    </font>
    <font>
      <name val="Calibri"/>
      <family val="2"/>
      <b val="1"/>
      <color rgb="FF595959"/>
      <sz val="11"/>
    </font>
    <font>
      <name val="Calibri"/>
      <family val="2"/>
      <color rgb="FF595959"/>
      <sz val="11"/>
    </font>
  </fonts>
  <fills count="56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5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3" fillId="0" borderId="2"/>
  </cellStyleXfs>
  <cellXfs count="37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13" borderId="0" pivotButton="0" quotePrefix="0" xfId="0"/>
    <xf numFmtId="0" fontId="4" fillId="0" borderId="2" pivotButton="0" quotePrefix="0" xfId="0"/>
    <xf numFmtId="0" fontId="9" fillId="5" borderId="3" applyAlignment="1" pivotButton="0" quotePrefix="0" xfId="0">
      <alignment horizontal="center" vertical="center"/>
    </xf>
    <xf numFmtId="0" fontId="10" fillId="27" borderId="3" applyAlignment="1" pivotButton="0" quotePrefix="0" xfId="0">
      <alignment vertical="center"/>
    </xf>
    <xf numFmtId="49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9" fillId="0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7" pivotButton="0" quotePrefix="0" xfId="0"/>
    <xf numFmtId="14" fontId="14" fillId="0" borderId="7" pivotButton="0" quotePrefix="0" xfId="0"/>
    <xf numFmtId="164" fontId="14" fillId="0" borderId="7" pivotButton="0" quotePrefix="0" xfId="0"/>
    <xf numFmtId="0" fontId="16" fillId="0" borderId="2" pivotButton="0" quotePrefix="0" xfId="0"/>
    <xf numFmtId="0" fontId="11" fillId="19" borderId="3" applyAlignment="1" pivotButton="0" quotePrefix="0" xfId="0">
      <alignment horizontal="center" vertical="center" wrapText="1"/>
    </xf>
    <xf numFmtId="0" fontId="11" fillId="21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23" borderId="3" applyAlignment="1" pivotButton="0" quotePrefix="0" xfId="0">
      <alignment horizontal="center" vertical="center" wrapText="1"/>
    </xf>
    <xf numFmtId="4" fontId="15" fillId="0" borderId="7" pivotButton="0" quotePrefix="0" xfId="0"/>
    <xf numFmtId="165" fontId="15" fillId="0" borderId="7" pivotButton="0" quotePrefix="0" xfId="0"/>
    <xf numFmtId="0" fontId="10" fillId="10" borderId="7" applyAlignment="1" pivotButton="0" quotePrefix="0" xfId="0">
      <alignment horizontal="center"/>
    </xf>
    <xf numFmtId="0" fontId="17" fillId="0" borderId="2" pivotButton="0" quotePrefix="0" xfId="0"/>
    <xf numFmtId="0" fontId="18" fillId="0" borderId="2" pivotButton="0" quotePrefix="0" xfId="0"/>
    <xf numFmtId="0" fontId="14" fillId="0" borderId="0" pivotButton="0" quotePrefix="0" xfId="0"/>
    <xf numFmtId="0" fontId="13" fillId="24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0" fillId="22" borderId="7" applyAlignment="1" pivotButton="0" quotePrefix="0" xfId="0">
      <alignment horizontal="center" vertical="center" wrapText="1"/>
    </xf>
    <xf numFmtId="3" fontId="10" fillId="22" borderId="7" applyAlignment="1" pivotButton="0" quotePrefix="0" xfId="0">
      <alignment horizontal="center" vertical="center" wrapText="1"/>
    </xf>
    <xf numFmtId="165" fontId="10" fillId="22" borderId="7" applyAlignment="1" pivotButton="0" quotePrefix="0" xfId="0">
      <alignment horizontal="center" vertical="center" wrapText="1"/>
    </xf>
    <xf numFmtId="165" fontId="11" fillId="19" borderId="3" applyAlignment="1" pivotButton="0" quotePrefix="0" xfId="0">
      <alignment horizontal="center" vertical="center" wrapText="1"/>
    </xf>
    <xf numFmtId="0" fontId="5" fillId="0" borderId="7" pivotButton="0" quotePrefix="0" xfId="0"/>
    <xf numFmtId="4" fontId="14" fillId="0" borderId="2" pivotButton="0" quotePrefix="0" xfId="0"/>
    <xf numFmtId="165" fontId="14" fillId="0" borderId="2" pivotButton="0" quotePrefix="0" xfId="0"/>
    <xf numFmtId="0" fontId="13" fillId="20" borderId="6" applyAlignment="1" pivotButton="0" quotePrefix="0" xfId="0">
      <alignment horizontal="center" vertical="center" wrapText="1"/>
    </xf>
    <xf numFmtId="166" fontId="6" fillId="17" borderId="3" applyAlignment="1" pivotButton="0" quotePrefix="0" xfId="0">
      <alignment horizontal="center" vertical="center"/>
    </xf>
    <xf numFmtId="0" fontId="13" fillId="5" borderId="3" applyAlignment="1" pivotButton="0" quotePrefix="0" xfId="0">
      <alignment horizontal="center" vertical="center" wrapText="1"/>
    </xf>
    <xf numFmtId="0" fontId="13" fillId="18" borderId="3" applyAlignment="1" pivotButton="0" quotePrefix="0" xfId="0">
      <alignment horizontal="center" vertical="center" wrapText="1"/>
    </xf>
    <xf numFmtId="0" fontId="13" fillId="20" borderId="3" applyAlignment="1" pivotButton="0" quotePrefix="0" xfId="0">
      <alignment horizontal="center" vertical="center" wrapText="1"/>
    </xf>
    <xf numFmtId="0" fontId="13" fillId="16" borderId="3" applyAlignment="1" pivotButton="0" quotePrefix="0" xfId="0">
      <alignment horizontal="center" vertical="center" wrapText="1"/>
    </xf>
    <xf numFmtId="4" fontId="15" fillId="0" borderId="2" pivotButton="0" quotePrefix="0" xfId="0"/>
    <xf numFmtId="165" fontId="15" fillId="0" borderId="2" pivotButton="0" quotePrefix="0" xfId="0"/>
    <xf numFmtId="0" fontId="13" fillId="5" borderId="3" applyAlignment="1" pivotButton="0" quotePrefix="0" xfId="0">
      <alignment horizontal="center" vertical="center"/>
    </xf>
    <xf numFmtId="4" fontId="13" fillId="5" borderId="3" applyAlignment="1" pivotButton="0" quotePrefix="0" xfId="0">
      <alignment horizontal="center" vertical="center"/>
    </xf>
    <xf numFmtId="165" fontId="13" fillId="5" borderId="3" applyAlignment="1" pivotButton="0" quotePrefix="0" xfId="0">
      <alignment horizontal="center" vertical="center"/>
    </xf>
    <xf numFmtId="4" fontId="7" fillId="9" borderId="3" applyAlignment="1" pivotButton="0" quotePrefix="0" xfId="0">
      <alignment horizontal="center" vertical="center"/>
    </xf>
    <xf numFmtId="165" fontId="7" fillId="9" borderId="3" applyAlignment="1" pivotButton="0" quotePrefix="0" xfId="0">
      <alignment horizontal="center" vertical="center"/>
    </xf>
    <xf numFmtId="4" fontId="7" fillId="14" borderId="3" applyAlignment="1" pivotButton="0" quotePrefix="0" xfId="0">
      <alignment horizontal="center" vertical="center"/>
    </xf>
    <xf numFmtId="165" fontId="7" fillId="14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 wrapText="1"/>
    </xf>
    <xf numFmtId="4" fontId="13" fillId="5" borderId="3" applyAlignment="1" pivotButton="0" quotePrefix="0" xfId="0">
      <alignment horizontal="center" vertical="center" wrapText="1"/>
    </xf>
    <xf numFmtId="165" fontId="13" fillId="5" borderId="3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0" fillId="7" borderId="10" pivotButton="0" quotePrefix="0" xfId="0"/>
    <xf numFmtId="165" fontId="10" fillId="7" borderId="10" pivotButton="0" quotePrefix="0" xfId="0"/>
    <xf numFmtId="165" fontId="13" fillId="18" borderId="3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0" fontId="25" fillId="0" borderId="11" applyAlignment="1" pivotButton="0" quotePrefix="0" xfId="0">
      <alignment vertical="center"/>
    </xf>
    <xf numFmtId="0" fontId="25" fillId="0" borderId="12" applyAlignment="1" pivotButton="0" quotePrefix="0" xfId="0">
      <alignment vertical="center"/>
    </xf>
    <xf numFmtId="167" fontId="25" fillId="35" borderId="11" applyAlignment="1" pivotButton="0" quotePrefix="0" xfId="0">
      <alignment vertical="center"/>
    </xf>
    <xf numFmtId="2" fontId="25" fillId="36" borderId="12" applyAlignment="1" pivotButton="0" quotePrefix="0" xfId="0">
      <alignment vertical="center"/>
    </xf>
    <xf numFmtId="167" fontId="25" fillId="36" borderId="12" applyAlignment="1" pivotButton="0" quotePrefix="0" xfId="0">
      <alignment vertical="center"/>
    </xf>
    <xf numFmtId="0" fontId="13" fillId="8" borderId="18" applyAlignment="1" pivotButton="0" quotePrefix="0" xfId="0">
      <alignment horizontal="center" vertical="center" wrapText="1"/>
    </xf>
    <xf numFmtId="168" fontId="22" fillId="30" borderId="18" applyAlignment="1" pivotButton="0" quotePrefix="0" xfId="0">
      <alignment vertical="center"/>
    </xf>
    <xf numFmtId="14" fontId="13" fillId="8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/>
    </xf>
    <xf numFmtId="10" fontId="22" fillId="30" borderId="18" applyAlignment="1" pivotButton="0" quotePrefix="0" xfId="0">
      <alignment horizontal="center" vertical="center"/>
    </xf>
    <xf numFmtId="168" fontId="22" fillId="30" borderId="18" applyAlignment="1" pivotButton="0" quotePrefix="0" xfId="0">
      <alignment horizontal="center" vertical="center"/>
    </xf>
    <xf numFmtId="0" fontId="22" fillId="15" borderId="18" applyAlignment="1" pivotButton="0" quotePrefix="0" xfId="0">
      <alignment horizontal="center" vertical="center"/>
    </xf>
    <xf numFmtId="10" fontId="22" fillId="15" borderId="18" applyAlignment="1" pivotButton="0" quotePrefix="0" xfId="0">
      <alignment horizontal="center" vertical="center"/>
    </xf>
    <xf numFmtId="168" fontId="22" fillId="15" borderId="18" applyAlignment="1" pivotButton="0" quotePrefix="0" xfId="0">
      <alignment horizontal="center" vertical="center"/>
    </xf>
    <xf numFmtId="0" fontId="24" fillId="28" borderId="18" applyAlignment="1" pivotButton="0" quotePrefix="0" xfId="0">
      <alignment horizontal="center" vertical="center"/>
    </xf>
    <xf numFmtId="0" fontId="23" fillId="28" borderId="18" applyAlignment="1" pivotButton="0" quotePrefix="0" xfId="0">
      <alignment horizontal="center" vertical="center"/>
    </xf>
    <xf numFmtId="14" fontId="23" fillId="28" borderId="18" applyAlignment="1" pivotButton="0" quotePrefix="0" xfId="0">
      <alignment horizontal="center" vertical="center"/>
    </xf>
    <xf numFmtId="168" fontId="24" fillId="28" borderId="18" applyAlignment="1" pivotButton="0" quotePrefix="0" xfId="0">
      <alignment horizontal="center" vertical="center"/>
    </xf>
    <xf numFmtId="166" fontId="22" fillId="0" borderId="18" pivotButton="0" quotePrefix="0" xfId="0"/>
    <xf numFmtId="165" fontId="22" fillId="9" borderId="18" pivotButton="0" quotePrefix="0" xfId="0"/>
    <xf numFmtId="168" fontId="22" fillId="30" borderId="18" pivotButton="0" quotePrefix="0" xfId="0"/>
    <xf numFmtId="165" fontId="22" fillId="30" borderId="18" pivotButton="0" quotePrefix="0" xfId="0"/>
    <xf numFmtId="0" fontId="22" fillId="0" borderId="18" applyAlignment="1" pivotButton="0" quotePrefix="0" xfId="0">
      <alignment horizontal="center"/>
    </xf>
    <xf numFmtId="0" fontId="15" fillId="9" borderId="18" pivotButton="0" quotePrefix="0" xfId="0"/>
    <xf numFmtId="4" fontId="15" fillId="9" borderId="18" pivotButton="0" quotePrefix="0" xfId="0"/>
    <xf numFmtId="165" fontId="15" fillId="9" borderId="18" pivotButton="0" quotePrefix="0" xfId="0"/>
    <xf numFmtId="4" fontId="8" fillId="9" borderId="18" pivotButton="0" quotePrefix="0" xfId="0"/>
    <xf numFmtId="4" fontId="22" fillId="30" borderId="18" pivotButton="0" quotePrefix="0" xfId="0"/>
    <xf numFmtId="0" fontId="22" fillId="30" borderId="18" pivotButton="0" quotePrefix="0" xfId="0"/>
    <xf numFmtId="0" fontId="10" fillId="30" borderId="18" applyAlignment="1" pivotButton="0" quotePrefix="0" xfId="0">
      <alignment horizontal="center"/>
    </xf>
    <xf numFmtId="0" fontId="21" fillId="30" borderId="18" applyAlignment="1" pivotButton="0" quotePrefix="0" xfId="0">
      <alignment horizontal="center"/>
    </xf>
    <xf numFmtId="10" fontId="21" fillId="30" borderId="18" pivotButton="0" quotePrefix="0" xfId="0"/>
    <xf numFmtId="168" fontId="21" fillId="30" borderId="18" pivotButton="0" quotePrefix="0" xfId="0"/>
    <xf numFmtId="165" fontId="22" fillId="30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 wrapText="1"/>
    </xf>
    <xf numFmtId="0" fontId="14" fillId="9" borderId="18" pivotButton="0" quotePrefix="0" xfId="0"/>
    <xf numFmtId="4" fontId="14" fillId="9" borderId="18" pivotButton="0" quotePrefix="0" xfId="0"/>
    <xf numFmtId="165" fontId="14" fillId="9" borderId="18" pivotButton="0" quotePrefix="0" xfId="0"/>
    <xf numFmtId="0" fontId="21" fillId="10" borderId="7" applyAlignment="1" pivotButton="0" quotePrefix="0" xfId="0">
      <alignment horizontal="center"/>
    </xf>
    <xf numFmtId="10" fontId="21" fillId="10" borderId="7" pivotButton="0" quotePrefix="0" xfId="0"/>
    <xf numFmtId="168" fontId="21" fillId="10" borderId="7" pivotButton="0" quotePrefix="0" xfId="0"/>
    <xf numFmtId="0" fontId="22" fillId="30" borderId="18" applyAlignment="1" pivotButton="0" quotePrefix="0" xfId="0">
      <alignment horizontal="center"/>
    </xf>
    <xf numFmtId="165" fontId="6" fillId="9" borderId="18" pivotButton="0" quotePrefix="0" xfId="0"/>
    <xf numFmtId="0" fontId="6" fillId="9" borderId="18" applyAlignment="1" pivotButton="0" quotePrefix="0" xfId="0">
      <alignment horizontal="center" vertical="center" wrapText="1"/>
    </xf>
    <xf numFmtId="0" fontId="20" fillId="9" borderId="7" applyAlignment="1" pivotButton="0" quotePrefix="0" xfId="0">
      <alignment horizontal="center" vertical="center" wrapText="1"/>
    </xf>
    <xf numFmtId="3" fontId="20" fillId="9" borderId="7" applyAlignment="1" pivotButton="0" quotePrefix="0" xfId="0">
      <alignment horizontal="center" vertical="center" wrapText="1"/>
    </xf>
    <xf numFmtId="165" fontId="20" fillId="9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left" vertical="center" wrapText="1"/>
    </xf>
    <xf numFmtId="0" fontId="6" fillId="9" borderId="18" applyAlignment="1" pivotButton="0" quotePrefix="0" xfId="0">
      <alignment vertical="center"/>
    </xf>
    <xf numFmtId="4" fontId="6" fillId="9" borderId="18" applyAlignment="1" pivotButton="0" quotePrefix="0" xfId="0">
      <alignment vertical="center"/>
    </xf>
    <xf numFmtId="165" fontId="22" fillId="30" borderId="18" applyAlignment="1" pivotButton="0" quotePrefix="0" xfId="0">
      <alignment vertical="center"/>
    </xf>
    <xf numFmtId="0" fontId="19" fillId="3" borderId="18" pivotButton="0" quotePrefix="0" xfId="0"/>
    <xf numFmtId="165" fontId="19" fillId="4" borderId="18" pivotButton="0" quotePrefix="0" xfId="0"/>
    <xf numFmtId="4" fontId="19" fillId="4" borderId="18" pivotButton="0" quotePrefix="0" xfId="0"/>
    <xf numFmtId="165" fontId="19" fillId="6" borderId="18" pivotButton="0" quotePrefix="0" xfId="0"/>
    <xf numFmtId="4" fontId="19" fillId="6" borderId="18" pivotButton="0" quotePrefix="0" xfId="0"/>
    <xf numFmtId="165" fontId="19" fillId="31" borderId="18" pivotButton="0" quotePrefix="0" xfId="0"/>
    <xf numFmtId="165" fontId="19" fillId="29" borderId="18" pivotButton="0" quotePrefix="0" xfId="0"/>
    <xf numFmtId="0" fontId="19" fillId="0" borderId="18" pivotButton="0" quotePrefix="0" xfId="0"/>
    <xf numFmtId="10" fontId="22" fillId="30" borderId="18" pivotButton="0" quotePrefix="0" xfId="0"/>
    <xf numFmtId="0" fontId="28" fillId="34" borderId="11" applyAlignment="1" pivotButton="0" quotePrefix="0" xfId="0">
      <alignment vertical="center" wrapText="1"/>
    </xf>
    <xf numFmtId="169" fontId="28" fillId="35" borderId="11" applyAlignment="1" pivotButton="0" quotePrefix="0" xfId="0">
      <alignment vertical="center"/>
    </xf>
    <xf numFmtId="0" fontId="28" fillId="36" borderId="11" applyAlignment="1" pivotButton="0" quotePrefix="0" xfId="0">
      <alignment vertical="center" wrapText="1"/>
    </xf>
    <xf numFmtId="0" fontId="13" fillId="32" borderId="12" applyAlignment="1" pivotButton="0" quotePrefix="0" xfId="0">
      <alignment horizontal="center" vertical="center" wrapText="1"/>
    </xf>
    <xf numFmtId="0" fontId="30" fillId="0" borderId="12" applyAlignment="1" pivotButton="0" quotePrefix="0" xfId="0">
      <alignment vertical="center"/>
    </xf>
    <xf numFmtId="167" fontId="30" fillId="0" borderId="12" applyAlignment="1" pivotButton="0" quotePrefix="0" xfId="0">
      <alignment vertical="center"/>
    </xf>
    <xf numFmtId="0" fontId="30" fillId="0" borderId="12" applyAlignment="1" pivotButton="0" quotePrefix="0" xfId="0">
      <alignment vertical="center" wrapText="1"/>
    </xf>
    <xf numFmtId="0" fontId="28" fillId="34" borderId="12" applyAlignment="1" pivotButton="0" quotePrefix="0" xfId="0">
      <alignment vertical="center"/>
    </xf>
    <xf numFmtId="167" fontId="28" fillId="34" borderId="12" applyAlignment="1" pivotButton="0" quotePrefix="0" xfId="0">
      <alignment vertical="center"/>
    </xf>
    <xf numFmtId="0" fontId="28" fillId="34" borderId="12" applyAlignment="1" pivotButton="0" quotePrefix="0" xfId="0">
      <alignment vertical="center" wrapText="1"/>
    </xf>
    <xf numFmtId="167" fontId="28" fillId="36" borderId="11" applyAlignment="1" pivotButton="0" quotePrefix="0" xfId="0">
      <alignment vertical="center" wrapText="1"/>
    </xf>
    <xf numFmtId="167" fontId="30" fillId="36" borderId="11" applyAlignment="1" pivotButton="0" quotePrefix="0" xfId="0">
      <alignment vertical="center"/>
    </xf>
    <xf numFmtId="167" fontId="28" fillId="36" borderId="11" applyAlignment="1" pivotButton="0" quotePrefix="0" xfId="0">
      <alignment vertical="center"/>
    </xf>
    <xf numFmtId="2" fontId="30" fillId="36" borderId="12" applyAlignment="1" pivotButton="0" quotePrefix="0" xfId="0">
      <alignment vertical="center"/>
    </xf>
    <xf numFmtId="167" fontId="30" fillId="36" borderId="12" applyAlignment="1" pivotButton="0" quotePrefix="0" xfId="0">
      <alignment vertical="center"/>
    </xf>
    <xf numFmtId="0" fontId="30" fillId="36" borderId="12" applyAlignment="1" pivotButton="0" quotePrefix="0" xfId="0">
      <alignment vertical="center" wrapText="1"/>
    </xf>
    <xf numFmtId="0" fontId="28" fillId="36" borderId="12" applyAlignment="1" pivotButton="0" quotePrefix="0" xfId="0">
      <alignment vertical="center" wrapText="1"/>
    </xf>
    <xf numFmtId="167" fontId="28" fillId="34" borderId="12" applyAlignment="1" pivotButton="0" quotePrefix="0" xfId="0">
      <alignment vertical="center" wrapText="1"/>
    </xf>
    <xf numFmtId="0" fontId="30" fillId="36" borderId="12" applyAlignment="1" pivotButton="0" quotePrefix="0" xfId="0">
      <alignment vertical="center"/>
    </xf>
    <xf numFmtId="170" fontId="30" fillId="36" borderId="12" applyAlignment="1" pivotButton="0" quotePrefix="0" xfId="0">
      <alignment vertical="center"/>
    </xf>
    <xf numFmtId="170" fontId="28" fillId="34" borderId="12" applyAlignment="1" pivotButton="0" quotePrefix="0" xfId="0">
      <alignment vertical="center" wrapText="1"/>
    </xf>
    <xf numFmtId="0" fontId="13" fillId="32" borderId="13" applyAlignment="1" pivotButton="0" quotePrefix="0" xfId="0">
      <alignment horizontal="center" vertical="center" wrapText="1"/>
    </xf>
    <xf numFmtId="0" fontId="30" fillId="39" borderId="13" applyAlignment="1" pivotButton="0" quotePrefix="0" xfId="0">
      <alignment vertical="center"/>
    </xf>
    <xf numFmtId="2" fontId="30" fillId="39" borderId="13" applyAlignment="1" pivotButton="0" quotePrefix="0" xfId="0">
      <alignment vertical="center"/>
    </xf>
    <xf numFmtId="171" fontId="30" fillId="39" borderId="13" applyAlignment="1" pivotButton="0" quotePrefix="0" xfId="0">
      <alignment vertical="center"/>
    </xf>
    <xf numFmtId="10" fontId="30" fillId="39" borderId="13" applyAlignment="1" pivotButton="0" quotePrefix="0" xfId="0">
      <alignment vertical="center"/>
    </xf>
    <xf numFmtId="167" fontId="30" fillId="39" borderId="13" applyAlignment="1" pivotButton="0" quotePrefix="0" xfId="0">
      <alignment vertical="center"/>
    </xf>
    <xf numFmtId="0" fontId="30" fillId="39" borderId="13" applyAlignment="1" pivotButton="0" quotePrefix="0" xfId="0">
      <alignment vertical="center" wrapText="1"/>
    </xf>
    <xf numFmtId="166" fontId="22" fillId="30" borderId="18" pivotButton="0" quotePrefix="0" xfId="0"/>
    <xf numFmtId="10" fontId="24" fillId="28" borderId="18" pivotButton="0" quotePrefix="0" xfId="0"/>
    <xf numFmtId="4" fontId="19" fillId="30" borderId="18" pivotButton="0" quotePrefix="0" xfId="0"/>
    <xf numFmtId="0" fontId="19" fillId="30" borderId="18" pivotButton="0" quotePrefix="0" xfId="0"/>
    <xf numFmtId="4" fontId="21" fillId="30" borderId="18" pivotButton="0" quotePrefix="0" xfId="0"/>
    <xf numFmtId="0" fontId="22" fillId="30" borderId="18" applyAlignment="1" pivotButton="0" quotePrefix="0" xfId="0">
      <alignment vertical="center"/>
    </xf>
    <xf numFmtId="166" fontId="22" fillId="30" borderId="18" applyAlignment="1" pivotButton="0" quotePrefix="0" xfId="0">
      <alignment vertical="center"/>
    </xf>
    <xf numFmtId="10" fontId="22" fillId="30" borderId="18" applyAlignment="1" pivotButton="0" quotePrefix="0" xfId="0">
      <alignment vertical="center"/>
    </xf>
    <xf numFmtId="0" fontId="31" fillId="30" borderId="18" applyAlignment="1" pivotButton="0" quotePrefix="0" xfId="0">
      <alignment vertical="center"/>
    </xf>
    <xf numFmtId="166" fontId="31" fillId="30" borderId="18" applyAlignment="1" pivotButton="0" quotePrefix="0" xfId="0">
      <alignment vertical="center"/>
    </xf>
    <xf numFmtId="10" fontId="31" fillId="30" borderId="18" applyAlignment="1" pivotButton="0" quotePrefix="0" xfId="0">
      <alignment vertical="center"/>
    </xf>
    <xf numFmtId="166" fontId="31" fillId="30" borderId="18" pivotButton="0" quotePrefix="0" xfId="0"/>
    <xf numFmtId="0" fontId="31" fillId="30" borderId="18" applyAlignment="1" pivotButton="0" quotePrefix="0" xfId="0">
      <alignment horizontal="center"/>
    </xf>
    <xf numFmtId="0" fontId="0" fillId="0" borderId="2" pivotButton="0" quotePrefix="0" xfId="0"/>
    <xf numFmtId="0" fontId="2" fillId="2" borderId="19" pivotButton="0" quotePrefix="0" xfId="0"/>
    <xf numFmtId="0" fontId="32" fillId="40" borderId="20" applyAlignment="1" applyProtection="1" pivotButton="0" quotePrefix="0" xfId="0">
      <alignment horizontal="center" vertical="center"/>
      <protection locked="0" hidden="0"/>
    </xf>
    <xf numFmtId="0" fontId="33" fillId="42" borderId="18" applyAlignment="1" pivotButton="0" quotePrefix="0" xfId="0">
      <alignment horizontal="center" vertical="center" wrapText="1"/>
    </xf>
    <xf numFmtId="4" fontId="19" fillId="43" borderId="18" pivotButton="0" quotePrefix="0" xfId="0"/>
    <xf numFmtId="0" fontId="13" fillId="8" borderId="22" applyAlignment="1" pivotButton="0" quotePrefix="0" xfId="0">
      <alignment horizontal="center" vertical="center" wrapText="1"/>
    </xf>
    <xf numFmtId="4" fontId="19" fillId="30" borderId="22" pivotButton="0" quotePrefix="0" xfId="0"/>
    <xf numFmtId="0" fontId="33" fillId="42" borderId="21" applyAlignment="1" pivotButton="0" quotePrefix="0" xfId="0">
      <alignment horizontal="center" vertical="center" wrapText="1"/>
    </xf>
    <xf numFmtId="4" fontId="19" fillId="43" borderId="21" pivotButton="0" quotePrefix="0" xfId="0"/>
    <xf numFmtId="0" fontId="33" fillId="44" borderId="18" applyAlignment="1" pivotButton="0" quotePrefix="0" xfId="0">
      <alignment horizontal="center" vertical="center" wrapText="1"/>
    </xf>
    <xf numFmtId="4" fontId="19" fillId="45" borderId="18" pivotButton="0" quotePrefix="0" xfId="0"/>
    <xf numFmtId="0" fontId="33" fillId="42" borderId="22" applyAlignment="1" pivotButton="0" quotePrefix="0" xfId="0">
      <alignment horizontal="center" vertical="center" wrapText="1"/>
    </xf>
    <xf numFmtId="4" fontId="19" fillId="43" borderId="22" pivotButton="0" quotePrefix="0" xfId="0"/>
    <xf numFmtId="0" fontId="33" fillId="44" borderId="21" applyAlignment="1" pivotButton="0" quotePrefix="0" xfId="0">
      <alignment horizontal="center" vertical="center" wrapText="1"/>
    </xf>
    <xf numFmtId="4" fontId="19" fillId="45" borderId="21" pivotButton="0" quotePrefix="0" xfId="0"/>
    <xf numFmtId="0" fontId="33" fillId="44" borderId="22" applyAlignment="1" pivotButton="0" quotePrefix="0" xfId="0">
      <alignment horizontal="center" vertical="center" wrapText="1"/>
    </xf>
    <xf numFmtId="4" fontId="19" fillId="45" borderId="22" pivotButton="0" quotePrefix="0" xfId="0"/>
    <xf numFmtId="172" fontId="22" fillId="30" borderId="18" applyAlignment="1" pivotButton="0" quotePrefix="0" xfId="0">
      <alignment vertical="center"/>
    </xf>
    <xf numFmtId="172" fontId="31" fillId="30" borderId="18" applyAlignment="1" pivotButton="0" quotePrefix="0" xfId="0">
      <alignment vertical="center"/>
    </xf>
    <xf numFmtId="172" fontId="22" fillId="0" borderId="18" applyAlignment="1" pivotButton="0" quotePrefix="0" xfId="0">
      <alignment vertical="center"/>
    </xf>
    <xf numFmtId="173" fontId="3" fillId="0" borderId="0" pivotButton="0" quotePrefix="0" xfId="0"/>
    <xf numFmtId="174" fontId="3" fillId="0" borderId="0" pivotButton="0" quotePrefix="0" xfId="0"/>
    <xf numFmtId="170" fontId="3" fillId="0" borderId="0" pivotButton="0" quotePrefix="0" xfId="0"/>
    <xf numFmtId="0" fontId="34" fillId="0" borderId="0" pivotButton="0" quotePrefix="0" xfId="0"/>
    <xf numFmtId="165" fontId="0" fillId="0" borderId="0" pivotButton="0" quotePrefix="0" xfId="0"/>
    <xf numFmtId="0" fontId="13" fillId="38" borderId="2" applyAlignment="1" pivotButton="0" quotePrefix="0" xfId="0">
      <alignment horizontal="left" vertical="center"/>
    </xf>
    <xf numFmtId="39" fontId="0" fillId="0" borderId="0" pivotButton="0" quotePrefix="0" xfId="0"/>
    <xf numFmtId="170" fontId="0" fillId="0" borderId="0" pivotButton="0" quotePrefix="0" xfId="0"/>
    <xf numFmtId="14" fontId="3" fillId="2" borderId="1" applyProtection="1" pivotButton="0" quotePrefix="0" xfId="0">
      <protection locked="0" hidden="0"/>
    </xf>
    <xf numFmtId="14" fontId="0" fillId="0" borderId="0" pivotButton="0" quotePrefix="0" xfId="0"/>
    <xf numFmtId="39" fontId="15" fillId="9" borderId="18" pivotButton="0" quotePrefix="0" xfId="0"/>
    <xf numFmtId="49" fontId="15" fillId="9" borderId="18" pivotButton="0" quotePrefix="0" xfId="0"/>
    <xf numFmtId="0" fontId="22" fillId="0" borderId="18" pivotButton="0" quotePrefix="0" xfId="0"/>
    <xf numFmtId="0" fontId="34" fillId="46" borderId="24" pivotButton="0" quotePrefix="0" xfId="0"/>
    <xf numFmtId="0" fontId="34" fillId="46" borderId="26" pivotButton="0" quotePrefix="0" xfId="0"/>
    <xf numFmtId="0" fontId="34" fillId="46" borderId="28" pivotButton="0" quotePrefix="0" xfId="0"/>
    <xf numFmtId="0" fontId="36" fillId="40" borderId="11" applyAlignment="1" pivotButton="0" quotePrefix="0" xfId="0">
      <alignment vertical="center"/>
    </xf>
    <xf numFmtId="0" fontId="37" fillId="48" borderId="0" pivotButton="0" quotePrefix="0" xfId="0"/>
    <xf numFmtId="0" fontId="13" fillId="5" borderId="30" applyAlignment="1" pivotButton="0" quotePrefix="0" xfId="0">
      <alignment horizontal="center" vertical="center" wrapText="1"/>
    </xf>
    <xf numFmtId="49" fontId="0" fillId="41" borderId="18" applyAlignment="1" pivotButton="0" quotePrefix="0" xfId="0">
      <alignment horizontal="left"/>
    </xf>
    <xf numFmtId="14" fontId="6" fillId="9" borderId="18" applyAlignment="1" pivotButton="0" quotePrefix="0" xfId="0">
      <alignment vertical="center"/>
    </xf>
    <xf numFmtId="14" fontId="6" fillId="9" borderId="31" pivotButton="0" quotePrefix="0" xfId="0"/>
    <xf numFmtId="14" fontId="6" fillId="17" borderId="3" applyAlignment="1" pivotButton="0" quotePrefix="0" xfId="0">
      <alignment horizontal="center" vertical="center"/>
    </xf>
    <xf numFmtId="1" fontId="6" fillId="49" borderId="3" applyAlignment="1" pivotButton="0" quotePrefix="0" xfId="0">
      <alignment horizontal="center" vertical="center"/>
    </xf>
    <xf numFmtId="14" fontId="6" fillId="49" borderId="3" applyAlignment="1" pivotButton="0" quotePrefix="0" xfId="0">
      <alignment horizontal="center" vertical="center"/>
    </xf>
    <xf numFmtId="0" fontId="38" fillId="0" borderId="0" pivotButton="0" quotePrefix="0" xfId="0"/>
    <xf numFmtId="0" fontId="39" fillId="0" borderId="2" pivotButton="0" quotePrefix="0" xfId="0"/>
    <xf numFmtId="175" fontId="0" fillId="0" borderId="0" pivotButton="0" quotePrefix="0" xfId="0"/>
    <xf numFmtId="0" fontId="22" fillId="50" borderId="18" applyAlignment="1" pivotButton="0" quotePrefix="0" xfId="0">
      <alignment vertical="center"/>
    </xf>
    <xf numFmtId="166" fontId="22" fillId="50" borderId="18" applyAlignment="1" pivotButton="0" quotePrefix="0" xfId="0">
      <alignment vertical="center"/>
    </xf>
    <xf numFmtId="10" fontId="22" fillId="50" borderId="18" applyAlignment="1" pivotButton="0" quotePrefix="0" xfId="0">
      <alignment vertical="center"/>
    </xf>
    <xf numFmtId="168" fontId="22" fillId="50" borderId="18" applyAlignment="1" pivotButton="0" quotePrefix="0" xfId="0">
      <alignment vertical="center"/>
    </xf>
    <xf numFmtId="175" fontId="19" fillId="30" borderId="18" pivotButton="0" quotePrefix="0" xfId="0"/>
    <xf numFmtId="0" fontId="0" fillId="45" borderId="0" pivotButton="0" quotePrefix="0" xfId="0"/>
    <xf numFmtId="0" fontId="0" fillId="47" borderId="25" applyAlignment="1" pivotButton="0" quotePrefix="0" xfId="0">
      <alignment horizontal="left"/>
    </xf>
    <xf numFmtId="0" fontId="0" fillId="47" borderId="27" applyAlignment="1" pivotButton="0" quotePrefix="0" xfId="0">
      <alignment horizontal="left"/>
    </xf>
    <xf numFmtId="14" fontId="0" fillId="47" borderId="27" applyAlignment="1" pivotButton="0" quotePrefix="0" xfId="0">
      <alignment horizontal="left"/>
    </xf>
    <xf numFmtId="170" fontId="0" fillId="47" borderId="27" applyAlignment="1" pivotButton="0" quotePrefix="0" xfId="0">
      <alignment horizontal="left"/>
    </xf>
    <xf numFmtId="0" fontId="0" fillId="47" borderId="29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75" fontId="25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74" fontId="6" fillId="17" borderId="3" applyAlignment="1" pivotButton="0" quotePrefix="0" xfId="0">
      <alignment horizontal="center" vertical="center"/>
    </xf>
    <xf numFmtId="170" fontId="6" fillId="17" borderId="3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4" fontId="22" fillId="30" borderId="18" pivotButton="0" quotePrefix="0" xfId="0"/>
    <xf numFmtId="0" fontId="42" fillId="51" borderId="0" applyAlignment="1" pivotButton="0" quotePrefix="0" xfId="0">
      <alignment vertical="center"/>
    </xf>
    <xf numFmtId="0" fontId="41" fillId="0" borderId="0" pivotButton="0" quotePrefix="0" xfId="0"/>
    <xf numFmtId="0" fontId="43" fillId="0" borderId="0" applyAlignment="1" pivotButton="0" quotePrefix="0" xfId="0">
      <alignment vertical="center"/>
    </xf>
    <xf numFmtId="0" fontId="35" fillId="52" borderId="35" applyAlignment="1" pivotButton="0" quotePrefix="0" xfId="0">
      <alignment vertical="center"/>
    </xf>
    <xf numFmtId="0" fontId="45" fillId="0" borderId="35" applyAlignment="1" pivotButton="0" quotePrefix="0" xfId="0">
      <alignment horizontal="center" vertical="center"/>
    </xf>
    <xf numFmtId="0" fontId="41" fillId="0" borderId="35" applyAlignment="1" pivotButton="0" quotePrefix="0" xfId="0">
      <alignment vertical="center" wrapText="1"/>
    </xf>
    <xf numFmtId="0" fontId="41" fillId="0" borderId="0" applyAlignment="1" pivotButton="0" quotePrefix="0" xfId="0">
      <alignment vertical="center"/>
    </xf>
    <xf numFmtId="0" fontId="44" fillId="46" borderId="35" applyAlignment="1" pivotButton="0" quotePrefix="0" xfId="0">
      <alignment vertical="center" wrapText="1"/>
    </xf>
    <xf numFmtId="14" fontId="41" fillId="0" borderId="35" applyAlignment="1" pivotButton="0" quotePrefix="0" xfId="0">
      <alignment vertical="center" wrapText="1"/>
    </xf>
    <xf numFmtId="170" fontId="41" fillId="0" borderId="35" applyAlignment="1" pivotButton="0" quotePrefix="0" xfId="0">
      <alignment vertical="center" wrapText="1"/>
    </xf>
    <xf numFmtId="174" fontId="41" fillId="0" borderId="35" applyAlignment="1" pivotButton="0" quotePrefix="0" xfId="0">
      <alignment vertical="center" wrapText="1"/>
    </xf>
    <xf numFmtId="0" fontId="37" fillId="48" borderId="0" applyAlignment="1" pivotButton="0" quotePrefix="0" xfId="0">
      <alignment vertical="center"/>
    </xf>
    <xf numFmtId="0" fontId="44" fillId="48" borderId="0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 wrapText="1"/>
    </xf>
    <xf numFmtId="0" fontId="41" fillId="54" borderId="35" applyAlignment="1" pivotButton="0" quotePrefix="0" xfId="0">
      <alignment vertical="center"/>
    </xf>
    <xf numFmtId="175" fontId="41" fillId="54" borderId="35" applyAlignment="1" pivotButton="0" quotePrefix="0" xfId="0">
      <alignment vertical="center"/>
    </xf>
    <xf numFmtId="0" fontId="41" fillId="41" borderId="35" applyAlignment="1" pivotButton="0" quotePrefix="0" xfId="0">
      <alignment vertical="center"/>
    </xf>
    <xf numFmtId="175" fontId="41" fillId="41" borderId="35" applyAlignment="1" pivotButton="0" quotePrefix="0" xfId="0">
      <alignment vertical="center"/>
    </xf>
    <xf numFmtId="175" fontId="44" fillId="55" borderId="35" applyAlignment="1" pivotButton="0" quotePrefix="0" xfId="0">
      <alignment vertical="center"/>
    </xf>
    <xf numFmtId="0" fontId="41" fillId="0" borderId="35" applyAlignment="1" pivotButton="0" quotePrefix="0" xfId="0">
      <alignment vertical="center"/>
    </xf>
    <xf numFmtId="175" fontId="41" fillId="0" borderId="35" applyAlignment="1" pivotButton="0" quotePrefix="0" xfId="0">
      <alignment vertical="center"/>
    </xf>
    <xf numFmtId="14" fontId="41" fillId="0" borderId="35" applyAlignment="1" pivotButton="0" quotePrefix="0" xfId="0">
      <alignment vertical="center"/>
    </xf>
    <xf numFmtId="0" fontId="44" fillId="55" borderId="35" applyAlignment="1" pivotButton="0" quotePrefix="0" xfId="0">
      <alignment vertical="center" wrapText="1"/>
    </xf>
    <xf numFmtId="0" fontId="41" fillId="0" borderId="35" applyAlignment="1" pivotButton="0" quotePrefix="0" xfId="0">
      <alignment horizontal="center" vertical="center"/>
    </xf>
    <xf numFmtId="175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 wrapText="1"/>
      <protection locked="0" hidden="0"/>
    </xf>
    <xf numFmtId="14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/>
      <protection locked="0" hidden="0"/>
    </xf>
    <xf numFmtId="0" fontId="44" fillId="55" borderId="36" applyAlignment="1" pivotButton="0" quotePrefix="0" xfId="0">
      <alignment vertical="center"/>
    </xf>
    <xf numFmtId="175" fontId="44" fillId="55" borderId="36" applyAlignment="1" pivotButton="0" quotePrefix="0" xfId="0">
      <alignment vertical="center"/>
    </xf>
    <xf numFmtId="0" fontId="41" fillId="0" borderId="2" applyAlignment="1" pivotButton="0" quotePrefix="0" xfId="0">
      <alignment vertical="center"/>
    </xf>
    <xf numFmtId="0" fontId="43" fillId="0" borderId="37" applyAlignment="1" pivotButton="0" quotePrefix="0" xfId="0">
      <alignment vertical="center" wrapText="1"/>
    </xf>
    <xf numFmtId="175" fontId="43" fillId="0" borderId="37" applyAlignment="1" pivotButton="0" quotePrefix="0" xfId="0">
      <alignment vertical="center" wrapText="1"/>
    </xf>
    <xf numFmtId="0" fontId="22" fillId="30" borderId="18" applyAlignment="1" pivotButton="0" quotePrefix="0" xfId="0">
      <alignment wrapText="1"/>
    </xf>
    <xf numFmtId="0" fontId="47" fillId="0" borderId="0" pivotButton="0" quotePrefix="0" xfId="0"/>
    <xf numFmtId="0" fontId="48" fillId="0" borderId="0" pivotButton="0" quotePrefix="0" xfId="0"/>
    <xf numFmtId="0" fontId="41" fillId="53" borderId="35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43" fillId="46" borderId="35" applyAlignment="1" pivotButton="0" quotePrefix="0" xfId="0">
      <alignment vertical="center" wrapText="1"/>
    </xf>
    <xf numFmtId="0" fontId="34" fillId="46" borderId="0" applyAlignment="1" pivotButton="0" quotePrefix="0" xfId="0">
      <alignment wrapText="1"/>
    </xf>
    <xf numFmtId="4" fontId="0" fillId="0" borderId="0" pivotButton="0" quotePrefix="0" xfId="0"/>
    <xf numFmtId="0" fontId="7" fillId="0" borderId="18" pivotButton="0" quotePrefix="0" xfId="0"/>
    <xf numFmtId="0" fontId="0" fillId="0" borderId="8" pivotButton="0" quotePrefix="0" xfId="0"/>
    <xf numFmtId="0" fontId="0" fillId="0" borderId="9" pivotButton="0" quotePrefix="0" xfId="0"/>
    <xf numFmtId="0" fontId="37" fillId="52" borderId="32" applyAlignment="1" pivotButton="0" quotePrefix="0" xfId="0">
      <alignment horizontal="center"/>
    </xf>
    <xf numFmtId="0" fontId="0" fillId="52" borderId="2" applyAlignment="1" pivotButton="0" quotePrefix="0" xfId="0">
      <alignment horizontal="center"/>
    </xf>
    <xf numFmtId="0" fontId="13" fillId="5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33" pivotButton="0" quotePrefix="0" xfId="0"/>
    <xf numFmtId="0" fontId="0" fillId="0" borderId="2" pivotButton="0" quotePrefix="0" xfId="0"/>
    <xf numFmtId="0" fontId="0" fillId="0" borderId="32" pivotButton="0" quotePrefix="0" xfId="0"/>
    <xf numFmtId="0" fontId="9" fillId="5" borderId="3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3" fillId="32" borderId="2" applyAlignment="1" pivotButton="0" quotePrefix="0" xfId="0">
      <alignment horizontal="left" vertical="center"/>
    </xf>
    <xf numFmtId="0" fontId="0" fillId="0" borderId="0" pivotButton="0" quotePrefix="0" xfId="0"/>
    <xf numFmtId="0" fontId="26" fillId="36" borderId="12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13" fillId="38" borderId="2" applyAlignment="1" pivotButton="0" quotePrefix="0" xfId="0">
      <alignment horizontal="left" vertical="center"/>
    </xf>
    <xf numFmtId="0" fontId="29" fillId="37" borderId="2" applyAlignment="1" pivotButton="0" quotePrefix="0" xfId="0">
      <alignment vertical="center" wrapText="1"/>
    </xf>
    <xf numFmtId="0" fontId="35" fillId="48" borderId="2" applyAlignment="1" pivotButton="0" quotePrefix="0" xfId="0">
      <alignment vertical="center" wrapText="1"/>
    </xf>
    <xf numFmtId="0" fontId="27" fillId="33" borderId="2" applyAlignment="1" pivotButton="0" quotePrefix="0" xfId="0">
      <alignment vertical="center" wrapText="1"/>
    </xf>
    <xf numFmtId="0" fontId="25" fillId="35" borderId="11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13" fillId="38" borderId="23" applyAlignment="1" pivotButton="0" quotePrefix="0" xfId="0">
      <alignment horizontal="left" vertical="center"/>
    </xf>
    <xf numFmtId="0" fontId="0" fillId="0" borderId="23" pivotButton="0" quotePrefix="0" xfId="0"/>
    <xf numFmtId="0" fontId="28" fillId="36" borderId="11" applyAlignment="1" pivotButton="0" quotePrefix="0" xfId="0">
      <alignment vertical="center" wrapText="1"/>
    </xf>
    <xf numFmtId="0" fontId="41" fillId="53" borderId="35" applyAlignment="1" pivotButton="0" quotePrefix="0" xfId="0">
      <alignment vertical="center" wrapText="1"/>
    </xf>
    <xf numFmtId="0" fontId="43" fillId="0" borderId="34" applyAlignment="1" pivotButton="0" quotePrefix="0" xfId="0">
      <alignment vertical="center"/>
    </xf>
    <xf numFmtId="0" fontId="41" fillId="0" borderId="34" applyAlignment="1" pivotButton="0" quotePrefix="0" xfId="0">
      <alignment vertical="center"/>
    </xf>
    <xf numFmtId="0" fontId="43" fillId="0" borderId="35" applyAlignment="1" pivotButton="0" quotePrefix="0" xfId="0">
      <alignment vertical="center" wrapText="1"/>
    </xf>
    <xf numFmtId="0" fontId="41" fillId="0" borderId="35" applyAlignment="1" pivotButton="0" quotePrefix="0" xfId="0">
      <alignment vertical="center" wrapText="1"/>
    </xf>
    <xf numFmtId="0" fontId="43" fillId="0" borderId="37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43" fillId="46" borderId="35" applyAlignment="1" pivotButton="0" quotePrefix="0" xfId="0">
      <alignment vertical="center" wrapText="1"/>
    </xf>
    <xf numFmtId="0" fontId="37" fillId="48" borderId="35" applyAlignment="1" pivotButton="0" quotePrefix="0" xfId="0">
      <alignment vertical="center" wrapText="1"/>
    </xf>
    <xf numFmtId="0" fontId="35" fillId="48" borderId="35" applyAlignment="1" pivotButton="0" quotePrefix="0" xfId="0">
      <alignment horizontal="center" vertical="center" wrapText="1"/>
    </xf>
    <xf numFmtId="0" fontId="35" fillId="52" borderId="35" applyAlignment="1" pivotButton="0" quotePrefix="0" xfId="0">
      <alignment horizontal="center" vertical="center" wrapText="1"/>
    </xf>
    <xf numFmtId="0" fontId="35" fillId="52" borderId="35" applyAlignment="1" pivotButton="0" quotePrefix="0" xfId="0">
      <alignment horizontal="center" vertical="center" wrapText="1"/>
    </xf>
    <xf numFmtId="0" fontId="44" fillId="53" borderId="35" applyAlignment="1" pivotButton="0" quotePrefix="0" xfId="0">
      <alignment vertical="center" wrapText="1"/>
    </xf>
    <xf numFmtId="175" fontId="44" fillId="53" borderId="35" applyAlignment="1" pivotButton="0" quotePrefix="0" xfId="0">
      <alignment vertical="center" wrapText="1"/>
    </xf>
    <xf numFmtId="0" fontId="46" fillId="54" borderId="35" applyAlignment="1" pivotButton="0" quotePrefix="0" xfId="0">
      <alignment vertical="center" wrapText="1"/>
    </xf>
    <xf numFmtId="175" fontId="46" fillId="54" borderId="35" applyAlignment="1" pivotButton="0" quotePrefix="0" xfId="0">
      <alignment vertical="center" wrapText="1"/>
    </xf>
    <xf numFmtId="0" fontId="46" fillId="46" borderId="35" applyAlignment="1" pivotButton="0" quotePrefix="0" xfId="0">
      <alignment vertical="center" wrapText="1"/>
    </xf>
    <xf numFmtId="175" fontId="46" fillId="46" borderId="35" applyAlignment="1" pivotButton="0" quotePrefix="0" xfId="0">
      <alignment vertical="center" wrapText="1"/>
    </xf>
    <xf numFmtId="175" fontId="41" fillId="53" borderId="35" applyAlignment="1" pivotButton="0" quotePrefix="0" xfId="0">
      <alignment vertical="center" wrapText="1"/>
    </xf>
    <xf numFmtId="166" fontId="6" fillId="17" borderId="3" applyAlignment="1" pivotButton="0" quotePrefix="0" xfId="0">
      <alignment horizontal="center" vertical="center"/>
    </xf>
    <xf numFmtId="166" fontId="22" fillId="30" borderId="18" applyAlignment="1" pivotButton="0" quotePrefix="0" xfId="0">
      <alignment vertical="center"/>
    </xf>
    <xf numFmtId="168" fontId="22" fillId="30" borderId="18" applyAlignment="1" pivotButton="0" quotePrefix="0" xfId="0">
      <alignment vertical="center"/>
    </xf>
    <xf numFmtId="166" fontId="31" fillId="30" borderId="18" applyAlignment="1" pivotButton="0" quotePrefix="0" xfId="0">
      <alignment vertical="center"/>
    </xf>
    <xf numFmtId="166" fontId="22" fillId="50" borderId="18" applyAlignment="1" pivotButton="0" quotePrefix="0" xfId="0">
      <alignment vertical="center"/>
    </xf>
    <xf numFmtId="168" fontId="22" fillId="50" borderId="18" applyAlignment="1" pivotButton="0" quotePrefix="0" xfId="0">
      <alignment vertical="center"/>
    </xf>
    <xf numFmtId="168" fontId="22" fillId="30" borderId="18" applyAlignment="1" pivotButton="0" quotePrefix="0" xfId="0">
      <alignment horizontal="center" vertical="center"/>
    </xf>
    <xf numFmtId="168" fontId="22" fillId="15" borderId="18" applyAlignment="1" pivotButton="0" quotePrefix="0" xfId="0">
      <alignment horizontal="center" vertical="center"/>
    </xf>
    <xf numFmtId="168" fontId="24" fillId="28" borderId="18" applyAlignment="1" pivotButton="0" quotePrefix="0" xfId="0">
      <alignment horizontal="center" vertical="center"/>
    </xf>
    <xf numFmtId="164" fontId="14" fillId="0" borderId="7" pivotButton="0" quotePrefix="0" xfId="0"/>
    <xf numFmtId="166" fontId="22" fillId="30" borderId="18" pivotButton="0" quotePrefix="0" xfId="0"/>
    <xf numFmtId="165" fontId="22" fillId="9" borderId="18" pivotButton="0" quotePrefix="0" xfId="0"/>
    <xf numFmtId="164" fontId="22" fillId="30" borderId="18" pivotButton="0" quotePrefix="0" xfId="0"/>
    <xf numFmtId="165" fontId="22" fillId="30" borderId="18" pivotButton="0" quotePrefix="0" xfId="0"/>
    <xf numFmtId="166" fontId="31" fillId="30" borderId="18" pivotButton="0" quotePrefix="0" xfId="0"/>
    <xf numFmtId="166" fontId="22" fillId="0" borderId="18" pivotButton="0" quotePrefix="0" xfId="0"/>
    <xf numFmtId="165" fontId="0" fillId="0" borderId="0" pivotButton="0" quotePrefix="0" xfId="0"/>
    <xf numFmtId="165" fontId="15" fillId="9" borderId="18" pivotButton="0" quotePrefix="0" xfId="0"/>
    <xf numFmtId="165" fontId="15" fillId="0" borderId="7" pivotButton="0" quotePrefix="0" xfId="0"/>
    <xf numFmtId="168" fontId="21" fillId="30" borderId="18" pivotButton="0" quotePrefix="0" xfId="0"/>
    <xf numFmtId="165" fontId="15" fillId="0" borderId="2" pivotButton="0" quotePrefix="0" xfId="0"/>
    <xf numFmtId="165" fontId="13" fillId="5" borderId="3" applyAlignment="1" pivotButton="0" quotePrefix="0" xfId="0">
      <alignment horizontal="center" vertical="center"/>
    </xf>
    <xf numFmtId="165" fontId="7" fillId="9" borderId="3" applyAlignment="1" pivotButton="0" quotePrefix="0" xfId="0">
      <alignment horizontal="center" vertical="center"/>
    </xf>
    <xf numFmtId="165" fontId="7" fillId="14" borderId="3" applyAlignment="1" pivotButton="0" quotePrefix="0" xfId="0">
      <alignment horizontal="center" vertical="center"/>
    </xf>
    <xf numFmtId="165" fontId="14" fillId="9" borderId="18" pivotButton="0" quotePrefix="0" xfId="0"/>
    <xf numFmtId="168" fontId="21" fillId="10" borderId="7" pivotButton="0" quotePrefix="0" xfId="0"/>
    <xf numFmtId="165" fontId="6" fillId="9" borderId="18" pivotButton="0" quotePrefix="0" xfId="0"/>
    <xf numFmtId="168" fontId="22" fillId="30" borderId="18" pivotButton="0" quotePrefix="0" xfId="0"/>
    <xf numFmtId="165" fontId="22" fillId="30" borderId="18" applyAlignment="1" pivotButton="0" quotePrefix="0" xfId="0">
      <alignment horizontal="center" vertical="center" wrapText="1"/>
    </xf>
    <xf numFmtId="165" fontId="20" fillId="9" borderId="7" applyAlignment="1" pivotButton="0" quotePrefix="0" xfId="0">
      <alignment horizontal="center" vertical="center" wrapText="1"/>
    </xf>
    <xf numFmtId="165" fontId="10" fillId="22" borderId="7" applyAlignment="1" pivotButton="0" quotePrefix="0" xfId="0">
      <alignment horizontal="center" vertical="center" wrapText="1"/>
    </xf>
    <xf numFmtId="165" fontId="13" fillId="5" borderId="3" applyAlignment="1" pivotButton="0" quotePrefix="0" xfId="0">
      <alignment horizontal="center" vertical="center" wrapText="1"/>
    </xf>
    <xf numFmtId="165" fontId="22" fillId="30" borderId="18" applyAlignment="1" pivotButton="0" quotePrefix="0" xfId="0">
      <alignment vertical="center"/>
    </xf>
    <xf numFmtId="165" fontId="19" fillId="4" borderId="18" pivotButton="0" quotePrefix="0" xfId="0"/>
    <xf numFmtId="165" fontId="19" fillId="6" borderId="18" pivotButton="0" quotePrefix="0" xfId="0"/>
    <xf numFmtId="165" fontId="19" fillId="31" borderId="18" pivotButton="0" quotePrefix="0" xfId="0"/>
    <xf numFmtId="165" fontId="19" fillId="29" borderId="18" pivotButton="0" quotePrefix="0" xfId="0"/>
    <xf numFmtId="165" fontId="10" fillId="7" borderId="10" pivotButton="0" quotePrefix="0" xfId="0"/>
    <xf numFmtId="165" fontId="13" fillId="18" borderId="3" applyAlignment="1" pivotButton="0" quotePrefix="0" xfId="0">
      <alignment horizontal="center" vertical="center" wrapText="1"/>
    </xf>
    <xf numFmtId="165" fontId="11" fillId="19" borderId="3" applyAlignment="1" pivotButton="0" quotePrefix="0" xfId="0">
      <alignment horizontal="center" vertical="center" wrapText="1"/>
    </xf>
    <xf numFmtId="165" fontId="14" fillId="0" borderId="2" pivotButton="0" quotePrefix="0" xfId="0"/>
    <xf numFmtId="167" fontId="25" fillId="35" borderId="11" applyAlignment="1" pivotButton="0" quotePrefix="0" xfId="0">
      <alignment vertical="center"/>
    </xf>
    <xf numFmtId="167" fontId="30" fillId="0" borderId="12" applyAlignment="1" pivotButton="0" quotePrefix="0" xfId="0">
      <alignment vertical="center"/>
    </xf>
    <xf numFmtId="167" fontId="28" fillId="34" borderId="12" applyAlignment="1" pivotButton="0" quotePrefix="0" xfId="0">
      <alignment vertical="center"/>
    </xf>
    <xf numFmtId="167" fontId="28" fillId="36" borderId="11" applyAlignment="1" pivotButton="0" quotePrefix="0" xfId="0">
      <alignment vertical="center" wrapText="1"/>
    </xf>
    <xf numFmtId="167" fontId="30" fillId="36" borderId="11" applyAlignment="1" pivotButton="0" quotePrefix="0" xfId="0">
      <alignment vertical="center"/>
    </xf>
    <xf numFmtId="167" fontId="28" fillId="36" borderId="11" applyAlignment="1" pivotButton="0" quotePrefix="0" xfId="0">
      <alignment vertical="center"/>
    </xf>
    <xf numFmtId="167" fontId="30" fillId="36" borderId="12" applyAlignment="1" pivotButton="0" quotePrefix="0" xfId="0">
      <alignment vertical="center"/>
    </xf>
    <xf numFmtId="167" fontId="25" fillId="36" borderId="12" applyAlignment="1" pivotButton="0" quotePrefix="0" xfId="0">
      <alignment vertical="center"/>
    </xf>
    <xf numFmtId="167" fontId="28" fillId="34" borderId="12" applyAlignment="1" pivotButton="0" quotePrefix="0" xfId="0">
      <alignment vertical="center" wrapText="1"/>
    </xf>
    <xf numFmtId="167" fontId="30" fillId="39" borderId="13" applyAlignment="1" pivotButton="0" quotePrefix="0" xfId="0">
      <alignment vertical="center"/>
    </xf>
    <xf numFmtId="0" fontId="0" fillId="0" borderId="47" pivotButton="0" quotePrefix="0" xfId="0"/>
    <xf numFmtId="0" fontId="0" fillId="0" borderId="48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34" pivotButton="0" quotePrefix="0" xfId="0"/>
  </cellXfs>
  <cellStyles count="1">
    <cellStyle name="Normal" xfId="0" builtinId="0"/>
  </cellStyles>
  <dxfs count="40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"/>
  <sheetViews>
    <sheetView workbookViewId="0">
      <selection activeCell="A1" sqref="A1"/>
    </sheetView>
  </sheetViews>
  <sheetFormatPr baseColWidth="8" defaultRowHeight="14.5"/>
  <cols>
    <col width="40.6328125" customWidth="1" style="289" min="1" max="1"/>
    <col width="16.6328125" customWidth="1" style="289" min="2" max="7"/>
  </cols>
  <sheetData>
    <row r="1">
      <c r="A1" t="inlineStr">
        <is>
          <t>comparativo_VTA - REFERENCIA (nao aparece na web; nao e VTA de pagamento)</t>
        </is>
      </c>
    </row>
    <row r="2">
      <c r="A2" t="inlineStr">
        <is>
          <t>BLOCO 1 - EVOLUCAO DO REMANESCENTE A PRECOS ORIGINAIS (sem reajuste)</t>
        </is>
      </c>
    </row>
    <row r="3">
      <c r="A3" t="inlineStr">
        <is>
          <t>ITEM</t>
        </is>
      </c>
      <c r="B3" t="inlineStr">
        <is>
          <t>VU_ORIGINAL</t>
        </is>
      </c>
      <c r="C3" t="inlineStr">
        <is>
          <t>C0</t>
        </is>
      </c>
      <c r="D3" t="inlineStr">
        <is>
          <t>C1</t>
        </is>
      </c>
      <c r="E3" t="inlineStr">
        <is>
          <t>C2</t>
        </is>
      </c>
      <c r="F3" t="inlineStr">
        <is>
          <t>C3</t>
        </is>
      </c>
      <c r="G3" t="inlineStr">
        <is>
          <t>C4</t>
        </is>
      </c>
    </row>
    <row r="4">
      <c r="A4">
        <f>IF(posicao_contratual!A2="","",posicao_contratual!A2)</f>
        <v/>
      </c>
      <c r="B4" s="213">
        <f>IF(posicao_contratual!A2="","",posicao_contratual!B2)</f>
        <v/>
      </c>
      <c r="C4" s="213">
        <f>IF(OR(posicao_contratual!A2="",NOT(ISNUMBER(posicao_contratual!B2)),NOT(ISNUMBER(posicao_contratual!G2))),"",ROUND(posicao_contratual!B2*posicao_contratual!G2,2))</f>
        <v/>
      </c>
      <c r="D4" s="213">
        <f>IF(OR(posicao_contratual!A2="",NOT(ISNUMBER(posicao_contratual!B2)),NOT(ISNUMBER(posicao_contratual!K2))),"",ROUND(posicao_contratual!B2*posicao_contratual!K2,2))</f>
        <v/>
      </c>
      <c r="E4" s="213">
        <f>IF(OR(posicao_contratual!A2="",NOT(ISNUMBER(posicao_contratual!B2)),NOT(ISNUMBER(posicao_contratual!O2))),"",ROUND(posicao_contratual!B2*posicao_contratual!O2,2))</f>
        <v/>
      </c>
      <c r="F4" s="213">
        <f>IF(OR(posicao_contratual!A2="",NOT(ISNUMBER(posicao_contratual!B2)),NOT(ISNUMBER(posicao_contratual!S2))),"",ROUND(posicao_contratual!B2*posicao_contratual!S2,2))</f>
        <v/>
      </c>
      <c r="G4" s="213">
        <f>IF(OR(posicao_contratual!A2="",NOT(ISNUMBER(posicao_contratual!B2)),NOT(ISNUMBER(posicao_contratual!W2))),"",ROUND(posicao_contratual!B2*posicao_contratual!W2,2))</f>
        <v/>
      </c>
    </row>
    <row r="5">
      <c r="A5">
        <f>IF(posicao_contratual!A3="","",posicao_contratual!A3)</f>
        <v/>
      </c>
      <c r="B5" s="213">
        <f>IF(posicao_contratual!A3="","",posicao_contratual!B3)</f>
        <v/>
      </c>
      <c r="C5" s="213">
        <f>IF(OR(posicao_contratual!A3="",NOT(ISNUMBER(posicao_contratual!B3)),NOT(ISNUMBER(posicao_contratual!G3))),"",ROUND(posicao_contratual!B3*posicao_contratual!G3,2))</f>
        <v/>
      </c>
      <c r="D5" s="213">
        <f>IF(OR(posicao_contratual!A3="",NOT(ISNUMBER(posicao_contratual!B3)),NOT(ISNUMBER(posicao_contratual!K3))),"",ROUND(posicao_contratual!B3*posicao_contratual!K3,2))</f>
        <v/>
      </c>
      <c r="E5" s="213">
        <f>IF(OR(posicao_contratual!A3="",NOT(ISNUMBER(posicao_contratual!B3)),NOT(ISNUMBER(posicao_contratual!O3))),"",ROUND(posicao_contratual!B3*posicao_contratual!O3,2))</f>
        <v/>
      </c>
      <c r="F5" s="213">
        <f>IF(OR(posicao_contratual!A3="",NOT(ISNUMBER(posicao_contratual!B3)),NOT(ISNUMBER(posicao_contratual!S3))),"",ROUND(posicao_contratual!B3*posicao_contratual!S3,2))</f>
        <v/>
      </c>
      <c r="G5" s="213">
        <f>IF(OR(posicao_contratual!A3="",NOT(ISNUMBER(posicao_contratual!B3)),NOT(ISNUMBER(posicao_contratual!W3))),"",ROUND(posicao_contratual!B3*posicao_contratual!W3,2))</f>
        <v/>
      </c>
    </row>
    <row r="6">
      <c r="A6">
        <f>IF(posicao_contratual!A4="","",posicao_contratual!A4)</f>
        <v/>
      </c>
      <c r="B6" s="213">
        <f>IF(posicao_contratual!A4="","",posicao_contratual!B4)</f>
        <v/>
      </c>
      <c r="C6" s="213">
        <f>IF(OR(posicao_contratual!A4="",NOT(ISNUMBER(posicao_contratual!B4)),NOT(ISNUMBER(posicao_contratual!G4))),"",ROUND(posicao_contratual!B4*posicao_contratual!G4,2))</f>
        <v/>
      </c>
      <c r="D6" s="213">
        <f>IF(OR(posicao_contratual!A4="",NOT(ISNUMBER(posicao_contratual!B4)),NOT(ISNUMBER(posicao_contratual!K4))),"",ROUND(posicao_contratual!B4*posicao_contratual!K4,2))</f>
        <v/>
      </c>
      <c r="E6" s="213">
        <f>IF(OR(posicao_contratual!A4="",NOT(ISNUMBER(posicao_contratual!B4)),NOT(ISNUMBER(posicao_contratual!O4))),"",ROUND(posicao_contratual!B4*posicao_contratual!O4,2))</f>
        <v/>
      </c>
      <c r="F6" s="213">
        <f>IF(OR(posicao_contratual!A4="",NOT(ISNUMBER(posicao_contratual!B4)),NOT(ISNUMBER(posicao_contratual!S4))),"",ROUND(posicao_contratual!B4*posicao_contratual!S4,2))</f>
        <v/>
      </c>
      <c r="G6" s="213">
        <f>IF(OR(posicao_contratual!A4="",NOT(ISNUMBER(posicao_contratual!B4)),NOT(ISNUMBER(posicao_contratual!W4))),"",ROUND(posicao_contratual!B4*posicao_contratual!W4,2))</f>
        <v/>
      </c>
    </row>
    <row r="7">
      <c r="A7">
        <f>IF(posicao_contratual!A5="","",posicao_contratual!A5)</f>
        <v/>
      </c>
      <c r="B7" s="213">
        <f>IF(posicao_contratual!A5="","",posicao_contratual!B5)</f>
        <v/>
      </c>
      <c r="C7" s="213">
        <f>IF(OR(posicao_contratual!A5="",NOT(ISNUMBER(posicao_contratual!B5)),NOT(ISNUMBER(posicao_contratual!G5))),"",ROUND(posicao_contratual!B5*posicao_contratual!G5,2))</f>
        <v/>
      </c>
      <c r="D7" s="213">
        <f>IF(OR(posicao_contratual!A5="",NOT(ISNUMBER(posicao_contratual!B5)),NOT(ISNUMBER(posicao_contratual!K5))),"",ROUND(posicao_contratual!B5*posicao_contratual!K5,2))</f>
        <v/>
      </c>
      <c r="E7" s="213">
        <f>IF(OR(posicao_contratual!A5="",NOT(ISNUMBER(posicao_contratual!B5)),NOT(ISNUMBER(posicao_contratual!O5))),"",ROUND(posicao_contratual!B5*posicao_contratual!O5,2))</f>
        <v/>
      </c>
      <c r="F7" s="213">
        <f>IF(OR(posicao_contratual!A5="",NOT(ISNUMBER(posicao_contratual!B5)),NOT(ISNUMBER(posicao_contratual!S5))),"",ROUND(posicao_contratual!B5*posicao_contratual!S5,2))</f>
        <v/>
      </c>
      <c r="G7" s="213">
        <f>IF(OR(posicao_contratual!A5="",NOT(ISNUMBER(posicao_contratual!B5)),NOT(ISNUMBER(posicao_contratual!W5))),"",ROUND(posicao_contratual!B5*posicao_contratual!W5,2))</f>
        <v/>
      </c>
    </row>
    <row r="8">
      <c r="A8">
        <f>IF(posicao_contratual!A6="","",posicao_contratual!A6)</f>
        <v/>
      </c>
      <c r="B8" s="213">
        <f>IF(posicao_contratual!A6="","",posicao_contratual!B6)</f>
        <v/>
      </c>
      <c r="C8" s="213">
        <f>IF(OR(posicao_contratual!A6="",NOT(ISNUMBER(posicao_contratual!B6)),NOT(ISNUMBER(posicao_contratual!G6))),"",ROUND(posicao_contratual!B6*posicao_contratual!G6,2))</f>
        <v/>
      </c>
      <c r="D8" s="213">
        <f>IF(OR(posicao_contratual!A6="",NOT(ISNUMBER(posicao_contratual!B6)),NOT(ISNUMBER(posicao_contratual!K6))),"",ROUND(posicao_contratual!B6*posicao_contratual!K6,2))</f>
        <v/>
      </c>
      <c r="E8" s="213">
        <f>IF(OR(posicao_contratual!A6="",NOT(ISNUMBER(posicao_contratual!B6)),NOT(ISNUMBER(posicao_contratual!O6))),"",ROUND(posicao_contratual!B6*posicao_contratual!O6,2))</f>
        <v/>
      </c>
      <c r="F8" s="213">
        <f>IF(OR(posicao_contratual!A6="",NOT(ISNUMBER(posicao_contratual!B6)),NOT(ISNUMBER(posicao_contratual!S6))),"",ROUND(posicao_contratual!B6*posicao_contratual!S6,2))</f>
        <v/>
      </c>
      <c r="G8" s="213">
        <f>IF(OR(posicao_contratual!A6="",NOT(ISNUMBER(posicao_contratual!B6)),NOT(ISNUMBER(posicao_contratual!W6))),"",ROUND(posicao_contratual!B6*posicao_contratual!W6,2))</f>
        <v/>
      </c>
    </row>
    <row r="9">
      <c r="A9">
        <f>IF(posicao_contratual!A7="","",posicao_contratual!A7)</f>
        <v/>
      </c>
      <c r="B9" s="213">
        <f>IF(posicao_contratual!A7="","",posicao_contratual!B7)</f>
        <v/>
      </c>
      <c r="C9" s="213">
        <f>IF(OR(posicao_contratual!A7="",NOT(ISNUMBER(posicao_contratual!B7)),NOT(ISNUMBER(posicao_contratual!G7))),"",ROUND(posicao_contratual!B7*posicao_contratual!G7,2))</f>
        <v/>
      </c>
      <c r="D9" s="213">
        <f>IF(OR(posicao_contratual!A7="",NOT(ISNUMBER(posicao_contratual!B7)),NOT(ISNUMBER(posicao_contratual!K7))),"",ROUND(posicao_contratual!B7*posicao_contratual!K7,2))</f>
        <v/>
      </c>
      <c r="E9" s="213">
        <f>IF(OR(posicao_contratual!A7="",NOT(ISNUMBER(posicao_contratual!B7)),NOT(ISNUMBER(posicao_contratual!O7))),"",ROUND(posicao_contratual!B7*posicao_contratual!O7,2))</f>
        <v/>
      </c>
      <c r="F9" s="213">
        <f>IF(OR(posicao_contratual!A7="",NOT(ISNUMBER(posicao_contratual!B7)),NOT(ISNUMBER(posicao_contratual!S7))),"",ROUND(posicao_contratual!B7*posicao_contratual!S7,2))</f>
        <v/>
      </c>
      <c r="G9" s="213">
        <f>IF(OR(posicao_contratual!A7="",NOT(ISNUMBER(posicao_contratual!B7)),NOT(ISNUMBER(posicao_contratual!W7))),"",ROUND(posicao_contratual!B7*posicao_contratual!W7,2))</f>
        <v/>
      </c>
    </row>
    <row r="10">
      <c r="A10">
        <f>IF(posicao_contratual!A8="","",posicao_contratual!A8)</f>
        <v/>
      </c>
      <c r="B10" s="213">
        <f>IF(posicao_contratual!A8="","",posicao_contratual!B8)</f>
        <v/>
      </c>
      <c r="C10" s="213">
        <f>IF(OR(posicao_contratual!A8="",NOT(ISNUMBER(posicao_contratual!B8)),NOT(ISNUMBER(posicao_contratual!G8))),"",ROUND(posicao_contratual!B8*posicao_contratual!G8,2))</f>
        <v/>
      </c>
      <c r="D10" s="213">
        <f>IF(OR(posicao_contratual!A8="",NOT(ISNUMBER(posicao_contratual!B8)),NOT(ISNUMBER(posicao_contratual!K8))),"",ROUND(posicao_contratual!B8*posicao_contratual!K8,2))</f>
        <v/>
      </c>
      <c r="E10" s="213">
        <f>IF(OR(posicao_contratual!A8="",NOT(ISNUMBER(posicao_contratual!B8)),NOT(ISNUMBER(posicao_contratual!O8))),"",ROUND(posicao_contratual!B8*posicao_contratual!O8,2))</f>
        <v/>
      </c>
      <c r="F10" s="213">
        <f>IF(OR(posicao_contratual!A8="",NOT(ISNUMBER(posicao_contratual!B8)),NOT(ISNUMBER(posicao_contratual!S8))),"",ROUND(posicao_contratual!B8*posicao_contratual!S8,2))</f>
        <v/>
      </c>
      <c r="G10" s="213">
        <f>IF(OR(posicao_contratual!A8="",NOT(ISNUMBER(posicao_contratual!B8)),NOT(ISNUMBER(posicao_contratual!W8))),"",ROUND(posicao_contratual!B8*posicao_contratual!W8,2))</f>
        <v/>
      </c>
    </row>
    <row r="11">
      <c r="A11">
        <f>IF(posicao_contratual!A9="","",posicao_contratual!A9)</f>
        <v/>
      </c>
      <c r="B11" s="213">
        <f>IF(posicao_contratual!A9="","",posicao_contratual!B9)</f>
        <v/>
      </c>
      <c r="C11" s="213">
        <f>IF(OR(posicao_contratual!A9="",NOT(ISNUMBER(posicao_contratual!B9)),NOT(ISNUMBER(posicao_contratual!G9))),"",ROUND(posicao_contratual!B9*posicao_contratual!G9,2))</f>
        <v/>
      </c>
      <c r="D11" s="213">
        <f>IF(OR(posicao_contratual!A9="",NOT(ISNUMBER(posicao_contratual!B9)),NOT(ISNUMBER(posicao_contratual!K9))),"",ROUND(posicao_contratual!B9*posicao_contratual!K9,2))</f>
        <v/>
      </c>
      <c r="E11" s="213">
        <f>IF(OR(posicao_contratual!A9="",NOT(ISNUMBER(posicao_contratual!B9)),NOT(ISNUMBER(posicao_contratual!O9))),"",ROUND(posicao_contratual!B9*posicao_contratual!O9,2))</f>
        <v/>
      </c>
      <c r="F11" s="213">
        <f>IF(OR(posicao_contratual!A9="",NOT(ISNUMBER(posicao_contratual!B9)),NOT(ISNUMBER(posicao_contratual!S9))),"",ROUND(posicao_contratual!B9*posicao_contratual!S9,2))</f>
        <v/>
      </c>
      <c r="G11" s="213">
        <f>IF(OR(posicao_contratual!A9="",NOT(ISNUMBER(posicao_contratual!B9)),NOT(ISNUMBER(posicao_contratual!W9))),"",ROUND(posicao_contratual!B9*posicao_contratual!W9,2))</f>
        <v/>
      </c>
    </row>
    <row r="12">
      <c r="A12">
        <f>IF(posicao_contratual!A10="","",posicao_contratual!A10)</f>
        <v/>
      </c>
      <c r="B12" s="213">
        <f>IF(posicao_contratual!A10="","",posicao_contratual!B10)</f>
        <v/>
      </c>
      <c r="C12" s="213">
        <f>IF(OR(posicao_contratual!A10="",NOT(ISNUMBER(posicao_contratual!B10)),NOT(ISNUMBER(posicao_contratual!G10))),"",ROUND(posicao_contratual!B10*posicao_contratual!G10,2))</f>
        <v/>
      </c>
      <c r="D12" s="213">
        <f>IF(OR(posicao_contratual!A10="",NOT(ISNUMBER(posicao_contratual!B10)),NOT(ISNUMBER(posicao_contratual!K10))),"",ROUND(posicao_contratual!B10*posicao_contratual!K10,2))</f>
        <v/>
      </c>
      <c r="E12" s="213">
        <f>IF(OR(posicao_contratual!A10="",NOT(ISNUMBER(posicao_contratual!B10)),NOT(ISNUMBER(posicao_contratual!O10))),"",ROUND(posicao_contratual!B10*posicao_contratual!O10,2))</f>
        <v/>
      </c>
      <c r="F12" s="213">
        <f>IF(OR(posicao_contratual!A10="",NOT(ISNUMBER(posicao_contratual!B10)),NOT(ISNUMBER(posicao_contratual!S10))),"",ROUND(posicao_contratual!B10*posicao_contratual!S10,2))</f>
        <v/>
      </c>
      <c r="G12" s="213">
        <f>IF(OR(posicao_contratual!A10="",NOT(ISNUMBER(posicao_contratual!B10)),NOT(ISNUMBER(posicao_contratual!W10))),"",ROUND(posicao_contratual!B10*posicao_contratual!W10,2))</f>
        <v/>
      </c>
    </row>
    <row r="13">
      <c r="A13">
        <f>IF(posicao_contratual!A11="","",posicao_contratual!A11)</f>
        <v/>
      </c>
      <c r="B13" s="213">
        <f>IF(posicao_contratual!A11="","",posicao_contratual!B11)</f>
        <v/>
      </c>
      <c r="C13" s="213">
        <f>IF(OR(posicao_contratual!A11="",NOT(ISNUMBER(posicao_contratual!B11)),NOT(ISNUMBER(posicao_contratual!G11))),"",ROUND(posicao_contratual!B11*posicao_contratual!G11,2))</f>
        <v/>
      </c>
      <c r="D13" s="213">
        <f>IF(OR(posicao_contratual!A11="",NOT(ISNUMBER(posicao_contratual!B11)),NOT(ISNUMBER(posicao_contratual!K11))),"",ROUND(posicao_contratual!B11*posicao_contratual!K11,2))</f>
        <v/>
      </c>
      <c r="E13" s="213">
        <f>IF(OR(posicao_contratual!A11="",NOT(ISNUMBER(posicao_contratual!B11)),NOT(ISNUMBER(posicao_contratual!O11))),"",ROUND(posicao_contratual!B11*posicao_contratual!O11,2))</f>
        <v/>
      </c>
      <c r="F13" s="213">
        <f>IF(OR(posicao_contratual!A11="",NOT(ISNUMBER(posicao_contratual!B11)),NOT(ISNUMBER(posicao_contratual!S11))),"",ROUND(posicao_contratual!B11*posicao_contratual!S11,2))</f>
        <v/>
      </c>
      <c r="G13" s="213">
        <f>IF(OR(posicao_contratual!A11="",NOT(ISNUMBER(posicao_contratual!B11)),NOT(ISNUMBER(posicao_contratual!W11))),"",ROUND(posicao_contratual!B11*posicao_contratual!W11,2))</f>
        <v/>
      </c>
    </row>
    <row r="14">
      <c r="A14">
        <f>IF(posicao_contratual!A12="","",posicao_contratual!A12)</f>
        <v/>
      </c>
      <c r="B14" s="213">
        <f>IF(posicao_contratual!A12="","",posicao_contratual!B12)</f>
        <v/>
      </c>
      <c r="C14" s="213">
        <f>IF(OR(posicao_contratual!A12="",NOT(ISNUMBER(posicao_contratual!B12)),NOT(ISNUMBER(posicao_contratual!G12))),"",ROUND(posicao_contratual!B12*posicao_contratual!G12,2))</f>
        <v/>
      </c>
      <c r="D14" s="213">
        <f>IF(OR(posicao_contratual!A12="",NOT(ISNUMBER(posicao_contratual!B12)),NOT(ISNUMBER(posicao_contratual!K12))),"",ROUND(posicao_contratual!B12*posicao_contratual!K12,2))</f>
        <v/>
      </c>
      <c r="E14" s="213">
        <f>IF(OR(posicao_contratual!A12="",NOT(ISNUMBER(posicao_contratual!B12)),NOT(ISNUMBER(posicao_contratual!O12))),"",ROUND(posicao_contratual!B12*posicao_contratual!O12,2))</f>
        <v/>
      </c>
      <c r="F14" s="213">
        <f>IF(OR(posicao_contratual!A12="",NOT(ISNUMBER(posicao_contratual!B12)),NOT(ISNUMBER(posicao_contratual!S12))),"",ROUND(posicao_contratual!B12*posicao_contratual!S12,2))</f>
        <v/>
      </c>
      <c r="G14" s="213">
        <f>IF(OR(posicao_contratual!A12="",NOT(ISNUMBER(posicao_contratual!B12)),NOT(ISNUMBER(posicao_contratual!W12))),"",ROUND(posicao_contratual!B12*posicao_contratual!W12,2))</f>
        <v/>
      </c>
    </row>
    <row r="15">
      <c r="A15">
        <f>IF(posicao_contratual!A13="","",posicao_contratual!A13)</f>
        <v/>
      </c>
      <c r="B15" s="213">
        <f>IF(posicao_contratual!A13="","",posicao_contratual!B13)</f>
        <v/>
      </c>
      <c r="C15" s="213">
        <f>IF(OR(posicao_contratual!A13="",NOT(ISNUMBER(posicao_contratual!B13)),NOT(ISNUMBER(posicao_contratual!G13))),"",ROUND(posicao_contratual!B13*posicao_contratual!G13,2))</f>
        <v/>
      </c>
      <c r="D15" s="213">
        <f>IF(OR(posicao_contratual!A13="",NOT(ISNUMBER(posicao_contratual!B13)),NOT(ISNUMBER(posicao_contratual!K13))),"",ROUND(posicao_contratual!B13*posicao_contratual!K13,2))</f>
        <v/>
      </c>
      <c r="E15" s="213">
        <f>IF(OR(posicao_contratual!A13="",NOT(ISNUMBER(posicao_contratual!B13)),NOT(ISNUMBER(posicao_contratual!O13))),"",ROUND(posicao_contratual!B13*posicao_contratual!O13,2))</f>
        <v/>
      </c>
      <c r="F15" s="213">
        <f>IF(OR(posicao_contratual!A13="",NOT(ISNUMBER(posicao_contratual!B13)),NOT(ISNUMBER(posicao_contratual!S13))),"",ROUND(posicao_contratual!B13*posicao_contratual!S13,2))</f>
        <v/>
      </c>
      <c r="G15" s="213">
        <f>IF(OR(posicao_contratual!A13="",NOT(ISNUMBER(posicao_contratual!B13)),NOT(ISNUMBER(posicao_contratual!W13))),"",ROUND(posicao_contratual!B13*posicao_contratual!W13,2))</f>
        <v/>
      </c>
    </row>
    <row r="16">
      <c r="A16">
        <f>IF(posicao_contratual!A14="","",posicao_contratual!A14)</f>
        <v/>
      </c>
      <c r="B16" s="213">
        <f>IF(posicao_contratual!A14="","",posicao_contratual!B14)</f>
        <v/>
      </c>
      <c r="C16" s="213">
        <f>IF(OR(posicao_contratual!A14="",NOT(ISNUMBER(posicao_contratual!B14)),NOT(ISNUMBER(posicao_contratual!G14))),"",ROUND(posicao_contratual!B14*posicao_contratual!G14,2))</f>
        <v/>
      </c>
      <c r="D16" s="213">
        <f>IF(OR(posicao_contratual!A14="",NOT(ISNUMBER(posicao_contratual!B14)),NOT(ISNUMBER(posicao_contratual!K14))),"",ROUND(posicao_contratual!B14*posicao_contratual!K14,2))</f>
        <v/>
      </c>
      <c r="E16" s="213">
        <f>IF(OR(posicao_contratual!A14="",NOT(ISNUMBER(posicao_contratual!B14)),NOT(ISNUMBER(posicao_contratual!O14))),"",ROUND(posicao_contratual!B14*posicao_contratual!O14,2))</f>
        <v/>
      </c>
      <c r="F16" s="213">
        <f>IF(OR(posicao_contratual!A14="",NOT(ISNUMBER(posicao_contratual!B14)),NOT(ISNUMBER(posicao_contratual!S14))),"",ROUND(posicao_contratual!B14*posicao_contratual!S14,2))</f>
        <v/>
      </c>
      <c r="G16" s="213">
        <f>IF(OR(posicao_contratual!A14="",NOT(ISNUMBER(posicao_contratual!B14)),NOT(ISNUMBER(posicao_contratual!W14))),"",ROUND(posicao_contratual!B14*posicao_contratual!W14,2))</f>
        <v/>
      </c>
    </row>
    <row r="17">
      <c r="A17">
        <f>IF(posicao_contratual!A15="","",posicao_contratual!A15)</f>
        <v/>
      </c>
      <c r="B17" s="213">
        <f>IF(posicao_contratual!A15="","",posicao_contratual!B15)</f>
        <v/>
      </c>
      <c r="C17" s="213">
        <f>IF(OR(posicao_contratual!A15="",NOT(ISNUMBER(posicao_contratual!B15)),NOT(ISNUMBER(posicao_contratual!G15))),"",ROUND(posicao_contratual!B15*posicao_contratual!G15,2))</f>
        <v/>
      </c>
      <c r="D17" s="213">
        <f>IF(OR(posicao_contratual!A15="",NOT(ISNUMBER(posicao_contratual!B15)),NOT(ISNUMBER(posicao_contratual!K15))),"",ROUND(posicao_contratual!B15*posicao_contratual!K15,2))</f>
        <v/>
      </c>
      <c r="E17" s="213">
        <f>IF(OR(posicao_contratual!A15="",NOT(ISNUMBER(posicao_contratual!B15)),NOT(ISNUMBER(posicao_contratual!O15))),"",ROUND(posicao_contratual!B15*posicao_contratual!O15,2))</f>
        <v/>
      </c>
      <c r="F17" s="213">
        <f>IF(OR(posicao_contratual!A15="",NOT(ISNUMBER(posicao_contratual!B15)),NOT(ISNUMBER(posicao_contratual!S15))),"",ROUND(posicao_contratual!B15*posicao_contratual!S15,2))</f>
        <v/>
      </c>
      <c r="G17" s="213">
        <f>IF(OR(posicao_contratual!A15="",NOT(ISNUMBER(posicao_contratual!B15)),NOT(ISNUMBER(posicao_contratual!W15))),"",ROUND(posicao_contratual!B15*posicao_contratual!W15,2))</f>
        <v/>
      </c>
    </row>
    <row r="18">
      <c r="A18">
        <f>IF(posicao_contratual!A16="","",posicao_contratual!A16)</f>
        <v/>
      </c>
      <c r="B18" s="213">
        <f>IF(posicao_contratual!A16="","",posicao_contratual!B16)</f>
        <v/>
      </c>
      <c r="C18" s="213">
        <f>IF(OR(posicao_contratual!A16="",NOT(ISNUMBER(posicao_contratual!B16)),NOT(ISNUMBER(posicao_contratual!G16))),"",ROUND(posicao_contratual!B16*posicao_contratual!G16,2))</f>
        <v/>
      </c>
      <c r="D18" s="213">
        <f>IF(OR(posicao_contratual!A16="",NOT(ISNUMBER(posicao_contratual!B16)),NOT(ISNUMBER(posicao_contratual!K16))),"",ROUND(posicao_contratual!B16*posicao_contratual!K16,2))</f>
        <v/>
      </c>
      <c r="E18" s="213">
        <f>IF(OR(posicao_contratual!A16="",NOT(ISNUMBER(posicao_contratual!B16)),NOT(ISNUMBER(posicao_contratual!O16))),"",ROUND(posicao_contratual!B16*posicao_contratual!O16,2))</f>
        <v/>
      </c>
      <c r="F18" s="213">
        <f>IF(OR(posicao_contratual!A16="",NOT(ISNUMBER(posicao_contratual!B16)),NOT(ISNUMBER(posicao_contratual!S16))),"",ROUND(posicao_contratual!B16*posicao_contratual!S16,2))</f>
        <v/>
      </c>
      <c r="G18" s="213">
        <f>IF(OR(posicao_contratual!A16="",NOT(ISNUMBER(posicao_contratual!B16)),NOT(ISNUMBER(posicao_contratual!W16))),"",ROUND(posicao_contratual!B16*posicao_contratual!W16,2))</f>
        <v/>
      </c>
    </row>
    <row r="19">
      <c r="A19">
        <f>IF(posicao_contratual!A17="","",posicao_contratual!A17)</f>
        <v/>
      </c>
      <c r="B19" s="213">
        <f>IF(posicao_contratual!A17="","",posicao_contratual!B17)</f>
        <v/>
      </c>
      <c r="C19" s="213">
        <f>IF(OR(posicao_contratual!A17="",NOT(ISNUMBER(posicao_contratual!B17)),NOT(ISNUMBER(posicao_contratual!G17))),"",ROUND(posicao_contratual!B17*posicao_contratual!G17,2))</f>
        <v/>
      </c>
      <c r="D19" s="213">
        <f>IF(OR(posicao_contratual!A17="",NOT(ISNUMBER(posicao_contratual!B17)),NOT(ISNUMBER(posicao_contratual!K17))),"",ROUND(posicao_contratual!B17*posicao_contratual!K17,2))</f>
        <v/>
      </c>
      <c r="E19" s="213">
        <f>IF(OR(posicao_contratual!A17="",NOT(ISNUMBER(posicao_contratual!B17)),NOT(ISNUMBER(posicao_contratual!O17))),"",ROUND(posicao_contratual!B17*posicao_contratual!O17,2))</f>
        <v/>
      </c>
      <c r="F19" s="213">
        <f>IF(OR(posicao_contratual!A17="",NOT(ISNUMBER(posicao_contratual!B17)),NOT(ISNUMBER(posicao_contratual!S17))),"",ROUND(posicao_contratual!B17*posicao_contratual!S17,2))</f>
        <v/>
      </c>
      <c r="G19" s="213">
        <f>IF(OR(posicao_contratual!A17="",NOT(ISNUMBER(posicao_contratual!B17)),NOT(ISNUMBER(posicao_contratual!W17))),"",ROUND(posicao_contratual!B17*posicao_contratual!W17,2))</f>
        <v/>
      </c>
    </row>
    <row r="20">
      <c r="A20">
        <f>IF(posicao_contratual!A18="","",posicao_contratual!A18)</f>
        <v/>
      </c>
      <c r="B20" s="213">
        <f>IF(posicao_contratual!A18="","",posicao_contratual!B18)</f>
        <v/>
      </c>
      <c r="C20" s="213">
        <f>IF(OR(posicao_contratual!A18="",NOT(ISNUMBER(posicao_contratual!B18)),NOT(ISNUMBER(posicao_contratual!G18))),"",ROUND(posicao_contratual!B18*posicao_contratual!G18,2))</f>
        <v/>
      </c>
      <c r="D20" s="213">
        <f>IF(OR(posicao_contratual!A18="",NOT(ISNUMBER(posicao_contratual!B18)),NOT(ISNUMBER(posicao_contratual!K18))),"",ROUND(posicao_contratual!B18*posicao_contratual!K18,2))</f>
        <v/>
      </c>
      <c r="E20" s="213">
        <f>IF(OR(posicao_contratual!A18="",NOT(ISNUMBER(posicao_contratual!B18)),NOT(ISNUMBER(posicao_contratual!O18))),"",ROUND(posicao_contratual!B18*posicao_contratual!O18,2))</f>
        <v/>
      </c>
      <c r="F20" s="213">
        <f>IF(OR(posicao_contratual!A18="",NOT(ISNUMBER(posicao_contratual!B18)),NOT(ISNUMBER(posicao_contratual!S18))),"",ROUND(posicao_contratual!B18*posicao_contratual!S18,2))</f>
        <v/>
      </c>
      <c r="G20" s="213">
        <f>IF(OR(posicao_contratual!A18="",NOT(ISNUMBER(posicao_contratual!B18)),NOT(ISNUMBER(posicao_contratual!W18))),"",ROUND(posicao_contratual!B18*posicao_contratual!W18,2))</f>
        <v/>
      </c>
    </row>
    <row r="21">
      <c r="A21">
        <f>IF(posicao_contratual!A19="","",posicao_contratual!A19)</f>
        <v/>
      </c>
      <c r="B21" s="213">
        <f>IF(posicao_contratual!A19="","",posicao_contratual!B19)</f>
        <v/>
      </c>
      <c r="C21" s="213">
        <f>IF(OR(posicao_contratual!A19="",NOT(ISNUMBER(posicao_contratual!B19)),NOT(ISNUMBER(posicao_contratual!G19))),"",ROUND(posicao_contratual!B19*posicao_contratual!G19,2))</f>
        <v/>
      </c>
      <c r="D21" s="213">
        <f>IF(OR(posicao_contratual!A19="",NOT(ISNUMBER(posicao_contratual!B19)),NOT(ISNUMBER(posicao_contratual!K19))),"",ROUND(posicao_contratual!B19*posicao_contratual!K19,2))</f>
        <v/>
      </c>
      <c r="E21" s="213">
        <f>IF(OR(posicao_contratual!A19="",NOT(ISNUMBER(posicao_contratual!B19)),NOT(ISNUMBER(posicao_contratual!O19))),"",ROUND(posicao_contratual!B19*posicao_contratual!O19,2))</f>
        <v/>
      </c>
      <c r="F21" s="213">
        <f>IF(OR(posicao_contratual!A19="",NOT(ISNUMBER(posicao_contratual!B19)),NOT(ISNUMBER(posicao_contratual!S19))),"",ROUND(posicao_contratual!B19*posicao_contratual!S19,2))</f>
        <v/>
      </c>
      <c r="G21" s="213">
        <f>IF(OR(posicao_contratual!A19="",NOT(ISNUMBER(posicao_contratual!B19)),NOT(ISNUMBER(posicao_contratual!W19))),"",ROUND(posicao_contratual!B19*posicao_contratual!W19,2))</f>
        <v/>
      </c>
    </row>
    <row r="22">
      <c r="A22">
        <f>IF(posicao_contratual!A20="","",posicao_contratual!A20)</f>
        <v/>
      </c>
      <c r="B22" s="213">
        <f>IF(posicao_contratual!A20="","",posicao_contratual!B20)</f>
        <v/>
      </c>
      <c r="C22" s="213">
        <f>IF(OR(posicao_contratual!A20="",NOT(ISNUMBER(posicao_contratual!B20)),NOT(ISNUMBER(posicao_contratual!G20))),"",ROUND(posicao_contratual!B20*posicao_contratual!G20,2))</f>
        <v/>
      </c>
      <c r="D22" s="213">
        <f>IF(OR(posicao_contratual!A20="",NOT(ISNUMBER(posicao_contratual!B20)),NOT(ISNUMBER(posicao_contratual!K20))),"",ROUND(posicao_contratual!B20*posicao_contratual!K20,2))</f>
        <v/>
      </c>
      <c r="E22" s="213">
        <f>IF(OR(posicao_contratual!A20="",NOT(ISNUMBER(posicao_contratual!B20)),NOT(ISNUMBER(posicao_contratual!O20))),"",ROUND(posicao_contratual!B20*posicao_contratual!O20,2))</f>
        <v/>
      </c>
      <c r="F22" s="213">
        <f>IF(OR(posicao_contratual!A20="",NOT(ISNUMBER(posicao_contratual!B20)),NOT(ISNUMBER(posicao_contratual!S20))),"",ROUND(posicao_contratual!B20*posicao_contratual!S20,2))</f>
        <v/>
      </c>
      <c r="G22" s="213">
        <f>IF(OR(posicao_contratual!A20="",NOT(ISNUMBER(posicao_contratual!B20)),NOT(ISNUMBER(posicao_contratual!W20))),"",ROUND(posicao_contratual!B20*posicao_contratual!W20,2))</f>
        <v/>
      </c>
    </row>
    <row r="23">
      <c r="A23">
        <f>IF(posicao_contratual!A21="","",posicao_contratual!A21)</f>
        <v/>
      </c>
      <c r="B23" s="213">
        <f>IF(posicao_contratual!A21="","",posicao_contratual!B21)</f>
        <v/>
      </c>
      <c r="C23" s="213">
        <f>IF(OR(posicao_contratual!A21="",NOT(ISNUMBER(posicao_contratual!B21)),NOT(ISNUMBER(posicao_contratual!G21))),"",ROUND(posicao_contratual!B21*posicao_contratual!G21,2))</f>
        <v/>
      </c>
      <c r="D23" s="213">
        <f>IF(OR(posicao_contratual!A21="",NOT(ISNUMBER(posicao_contratual!B21)),NOT(ISNUMBER(posicao_contratual!K21))),"",ROUND(posicao_contratual!B21*posicao_contratual!K21,2))</f>
        <v/>
      </c>
      <c r="E23" s="213">
        <f>IF(OR(posicao_contratual!A21="",NOT(ISNUMBER(posicao_contratual!B21)),NOT(ISNUMBER(posicao_contratual!O21))),"",ROUND(posicao_contratual!B21*posicao_contratual!O21,2))</f>
        <v/>
      </c>
      <c r="F23" s="213">
        <f>IF(OR(posicao_contratual!A21="",NOT(ISNUMBER(posicao_contratual!B21)),NOT(ISNUMBER(posicao_contratual!S21))),"",ROUND(posicao_contratual!B21*posicao_contratual!S21,2))</f>
        <v/>
      </c>
      <c r="G23" s="213">
        <f>IF(OR(posicao_contratual!A21="",NOT(ISNUMBER(posicao_contratual!B21)),NOT(ISNUMBER(posicao_contratual!W21))),"",ROUND(posicao_contratual!B21*posicao_contratual!W21,2))</f>
        <v/>
      </c>
    </row>
    <row r="24">
      <c r="A24">
        <f>IF(posicao_contratual!A22="","",posicao_contratual!A22)</f>
        <v/>
      </c>
      <c r="B24" s="213">
        <f>IF(posicao_contratual!A22="","",posicao_contratual!B22)</f>
        <v/>
      </c>
      <c r="C24" s="213">
        <f>IF(OR(posicao_contratual!A22="",NOT(ISNUMBER(posicao_contratual!B22)),NOT(ISNUMBER(posicao_contratual!G22))),"",ROUND(posicao_contratual!B22*posicao_contratual!G22,2))</f>
        <v/>
      </c>
      <c r="D24" s="213">
        <f>IF(OR(posicao_contratual!A22="",NOT(ISNUMBER(posicao_contratual!B22)),NOT(ISNUMBER(posicao_contratual!K22))),"",ROUND(posicao_contratual!B22*posicao_contratual!K22,2))</f>
        <v/>
      </c>
      <c r="E24" s="213">
        <f>IF(OR(posicao_contratual!A22="",NOT(ISNUMBER(posicao_contratual!B22)),NOT(ISNUMBER(posicao_contratual!O22))),"",ROUND(posicao_contratual!B22*posicao_contratual!O22,2))</f>
        <v/>
      </c>
      <c r="F24" s="213">
        <f>IF(OR(posicao_contratual!A22="",NOT(ISNUMBER(posicao_contratual!B22)),NOT(ISNUMBER(posicao_contratual!S22))),"",ROUND(posicao_contratual!B22*posicao_contratual!S22,2))</f>
        <v/>
      </c>
      <c r="G24" s="213">
        <f>IF(OR(posicao_contratual!A22="",NOT(ISNUMBER(posicao_contratual!B22)),NOT(ISNUMBER(posicao_contratual!W22))),"",ROUND(posicao_contratual!B22*posicao_contratual!W22,2))</f>
        <v/>
      </c>
    </row>
    <row r="25">
      <c r="A25">
        <f>IF(posicao_contratual!A23="","",posicao_contratual!A23)</f>
        <v/>
      </c>
      <c r="B25" s="213">
        <f>IF(posicao_contratual!A23="","",posicao_contratual!B23)</f>
        <v/>
      </c>
      <c r="C25" s="213">
        <f>IF(OR(posicao_contratual!A23="",NOT(ISNUMBER(posicao_contratual!B23)),NOT(ISNUMBER(posicao_contratual!G23))),"",ROUND(posicao_contratual!B23*posicao_contratual!G23,2))</f>
        <v/>
      </c>
      <c r="D25" s="213">
        <f>IF(OR(posicao_contratual!A23="",NOT(ISNUMBER(posicao_contratual!B23)),NOT(ISNUMBER(posicao_contratual!K23))),"",ROUND(posicao_contratual!B23*posicao_contratual!K23,2))</f>
        <v/>
      </c>
      <c r="E25" s="213">
        <f>IF(OR(posicao_contratual!A23="",NOT(ISNUMBER(posicao_contratual!B23)),NOT(ISNUMBER(posicao_contratual!O23))),"",ROUND(posicao_contratual!B23*posicao_contratual!O23,2))</f>
        <v/>
      </c>
      <c r="F25" s="213">
        <f>IF(OR(posicao_contratual!A23="",NOT(ISNUMBER(posicao_contratual!B23)),NOT(ISNUMBER(posicao_contratual!S23))),"",ROUND(posicao_contratual!B23*posicao_contratual!S23,2))</f>
        <v/>
      </c>
      <c r="G25" s="213">
        <f>IF(OR(posicao_contratual!A23="",NOT(ISNUMBER(posicao_contratual!B23)),NOT(ISNUMBER(posicao_contratual!W23))),"",ROUND(posicao_contratual!B23*posicao_contratual!W23,2))</f>
        <v/>
      </c>
    </row>
    <row r="26">
      <c r="A26">
        <f>IF(posicao_contratual!A24="","",posicao_contratual!A24)</f>
        <v/>
      </c>
      <c r="B26" s="213">
        <f>IF(posicao_contratual!A24="","",posicao_contratual!B24)</f>
        <v/>
      </c>
      <c r="C26" s="213">
        <f>IF(OR(posicao_contratual!A24="",NOT(ISNUMBER(posicao_contratual!B24)),NOT(ISNUMBER(posicao_contratual!G24))),"",ROUND(posicao_contratual!B24*posicao_contratual!G24,2))</f>
        <v/>
      </c>
      <c r="D26" s="213">
        <f>IF(OR(posicao_contratual!A24="",NOT(ISNUMBER(posicao_contratual!B24)),NOT(ISNUMBER(posicao_contratual!K24))),"",ROUND(posicao_contratual!B24*posicao_contratual!K24,2))</f>
        <v/>
      </c>
      <c r="E26" s="213">
        <f>IF(OR(posicao_contratual!A24="",NOT(ISNUMBER(posicao_contratual!B24)),NOT(ISNUMBER(posicao_contratual!O24))),"",ROUND(posicao_contratual!B24*posicao_contratual!O24,2))</f>
        <v/>
      </c>
      <c r="F26" s="213">
        <f>IF(OR(posicao_contratual!A24="",NOT(ISNUMBER(posicao_contratual!B24)),NOT(ISNUMBER(posicao_contratual!S24))),"",ROUND(posicao_contratual!B24*posicao_contratual!S24,2))</f>
        <v/>
      </c>
      <c r="G26" s="213">
        <f>IF(OR(posicao_contratual!A24="",NOT(ISNUMBER(posicao_contratual!B24)),NOT(ISNUMBER(posicao_contratual!W24))),"",ROUND(posicao_contratual!B24*posicao_contratual!W24,2))</f>
        <v/>
      </c>
    </row>
    <row r="27">
      <c r="A27">
        <f>IF(posicao_contratual!A25="","",posicao_contratual!A25)</f>
        <v/>
      </c>
      <c r="B27" s="213">
        <f>IF(posicao_contratual!A25="","",posicao_contratual!B25)</f>
        <v/>
      </c>
      <c r="C27" s="213">
        <f>IF(OR(posicao_contratual!A25="",NOT(ISNUMBER(posicao_contratual!B25)),NOT(ISNUMBER(posicao_contratual!G25))),"",ROUND(posicao_contratual!B25*posicao_contratual!G25,2))</f>
        <v/>
      </c>
      <c r="D27" s="213">
        <f>IF(OR(posicao_contratual!A25="",NOT(ISNUMBER(posicao_contratual!B25)),NOT(ISNUMBER(posicao_contratual!K25))),"",ROUND(posicao_contratual!B25*posicao_contratual!K25,2))</f>
        <v/>
      </c>
      <c r="E27" s="213">
        <f>IF(OR(posicao_contratual!A25="",NOT(ISNUMBER(posicao_contratual!B25)),NOT(ISNUMBER(posicao_contratual!O25))),"",ROUND(posicao_contratual!B25*posicao_contratual!O25,2))</f>
        <v/>
      </c>
      <c r="F27" s="213">
        <f>IF(OR(posicao_contratual!A25="",NOT(ISNUMBER(posicao_contratual!B25)),NOT(ISNUMBER(posicao_contratual!S25))),"",ROUND(posicao_contratual!B25*posicao_contratual!S25,2))</f>
        <v/>
      </c>
      <c r="G27" s="213">
        <f>IF(OR(posicao_contratual!A25="",NOT(ISNUMBER(posicao_contratual!B25)),NOT(ISNUMBER(posicao_contratual!W25))),"",ROUND(posicao_contratual!B25*posicao_contratual!W25,2))</f>
        <v/>
      </c>
    </row>
    <row r="28">
      <c r="A28">
        <f>IF(posicao_contratual!A26="","",posicao_contratual!A26)</f>
        <v/>
      </c>
      <c r="B28" s="213">
        <f>IF(posicao_contratual!A26="","",posicao_contratual!B26)</f>
        <v/>
      </c>
      <c r="C28" s="213">
        <f>IF(OR(posicao_contratual!A26="",NOT(ISNUMBER(posicao_contratual!B26)),NOT(ISNUMBER(posicao_contratual!G26))),"",ROUND(posicao_contratual!B26*posicao_contratual!G26,2))</f>
        <v/>
      </c>
      <c r="D28" s="213">
        <f>IF(OR(posicao_contratual!A26="",NOT(ISNUMBER(posicao_contratual!B26)),NOT(ISNUMBER(posicao_contratual!K26))),"",ROUND(posicao_contratual!B26*posicao_contratual!K26,2))</f>
        <v/>
      </c>
      <c r="E28" s="213">
        <f>IF(OR(posicao_contratual!A26="",NOT(ISNUMBER(posicao_contratual!B26)),NOT(ISNUMBER(posicao_contratual!O26))),"",ROUND(posicao_contratual!B26*posicao_contratual!O26,2))</f>
        <v/>
      </c>
      <c r="F28" s="213">
        <f>IF(OR(posicao_contratual!A26="",NOT(ISNUMBER(posicao_contratual!B26)),NOT(ISNUMBER(posicao_contratual!S26))),"",ROUND(posicao_contratual!B26*posicao_contratual!S26,2))</f>
        <v/>
      </c>
      <c r="G28" s="213">
        <f>IF(OR(posicao_contratual!A26="",NOT(ISNUMBER(posicao_contratual!B26)),NOT(ISNUMBER(posicao_contratual!W26))),"",ROUND(posicao_contratual!B26*posicao_contratual!W26,2))</f>
        <v/>
      </c>
    </row>
    <row r="29">
      <c r="A29">
        <f>IF(posicao_contratual!A27="","",posicao_contratual!A27)</f>
        <v/>
      </c>
      <c r="B29" s="213">
        <f>IF(posicao_contratual!A27="","",posicao_contratual!B27)</f>
        <v/>
      </c>
      <c r="C29" s="213">
        <f>IF(OR(posicao_contratual!A27="",NOT(ISNUMBER(posicao_contratual!B27)),NOT(ISNUMBER(posicao_contratual!G27))),"",ROUND(posicao_contratual!B27*posicao_contratual!G27,2))</f>
        <v/>
      </c>
      <c r="D29" s="213">
        <f>IF(OR(posicao_contratual!A27="",NOT(ISNUMBER(posicao_contratual!B27)),NOT(ISNUMBER(posicao_contratual!K27))),"",ROUND(posicao_contratual!B27*posicao_contratual!K27,2))</f>
        <v/>
      </c>
      <c r="E29" s="213">
        <f>IF(OR(posicao_contratual!A27="",NOT(ISNUMBER(posicao_contratual!B27)),NOT(ISNUMBER(posicao_contratual!O27))),"",ROUND(posicao_contratual!B27*posicao_contratual!O27,2))</f>
        <v/>
      </c>
      <c r="F29" s="213">
        <f>IF(OR(posicao_contratual!A27="",NOT(ISNUMBER(posicao_contratual!B27)),NOT(ISNUMBER(posicao_contratual!S27))),"",ROUND(posicao_contratual!B27*posicao_contratual!S27,2))</f>
        <v/>
      </c>
      <c r="G29" s="213">
        <f>IF(OR(posicao_contratual!A27="",NOT(ISNUMBER(posicao_contratual!B27)),NOT(ISNUMBER(posicao_contratual!W27))),"",ROUND(posicao_contratual!B27*posicao_contratual!W27,2))</f>
        <v/>
      </c>
    </row>
    <row r="30">
      <c r="A30">
        <f>IF(posicao_contratual!A28="","",posicao_contratual!A28)</f>
        <v/>
      </c>
      <c r="B30" s="213">
        <f>IF(posicao_contratual!A28="","",posicao_contratual!B28)</f>
        <v/>
      </c>
      <c r="C30" s="213">
        <f>IF(OR(posicao_contratual!A28="",NOT(ISNUMBER(posicao_contratual!B28)),NOT(ISNUMBER(posicao_contratual!G28))),"",ROUND(posicao_contratual!B28*posicao_contratual!G28,2))</f>
        <v/>
      </c>
      <c r="D30" s="213">
        <f>IF(OR(posicao_contratual!A28="",NOT(ISNUMBER(posicao_contratual!B28)),NOT(ISNUMBER(posicao_contratual!K28))),"",ROUND(posicao_contratual!B28*posicao_contratual!K28,2))</f>
        <v/>
      </c>
      <c r="E30" s="213">
        <f>IF(OR(posicao_contratual!A28="",NOT(ISNUMBER(posicao_contratual!B28)),NOT(ISNUMBER(posicao_contratual!O28))),"",ROUND(posicao_contratual!B28*posicao_contratual!O28,2))</f>
        <v/>
      </c>
      <c r="F30" s="213">
        <f>IF(OR(posicao_contratual!A28="",NOT(ISNUMBER(posicao_contratual!B28)),NOT(ISNUMBER(posicao_contratual!S28))),"",ROUND(posicao_contratual!B28*posicao_contratual!S28,2))</f>
        <v/>
      </c>
      <c r="G30" s="213">
        <f>IF(OR(posicao_contratual!A28="",NOT(ISNUMBER(posicao_contratual!B28)),NOT(ISNUMBER(posicao_contratual!W28))),"",ROUND(posicao_contratual!B28*posicao_contratual!W28,2))</f>
        <v/>
      </c>
    </row>
    <row r="31">
      <c r="A31">
        <f>IF(posicao_contratual!A29="","",posicao_contratual!A29)</f>
        <v/>
      </c>
      <c r="B31" s="213">
        <f>IF(posicao_contratual!A29="","",posicao_contratual!B29)</f>
        <v/>
      </c>
      <c r="C31" s="213">
        <f>IF(OR(posicao_contratual!A29="",NOT(ISNUMBER(posicao_contratual!B29)),NOT(ISNUMBER(posicao_contratual!G29))),"",ROUND(posicao_contratual!B29*posicao_contratual!G29,2))</f>
        <v/>
      </c>
      <c r="D31" s="213">
        <f>IF(OR(posicao_contratual!A29="",NOT(ISNUMBER(posicao_contratual!B29)),NOT(ISNUMBER(posicao_contratual!K29))),"",ROUND(posicao_contratual!B29*posicao_contratual!K29,2))</f>
        <v/>
      </c>
      <c r="E31" s="213">
        <f>IF(OR(posicao_contratual!A29="",NOT(ISNUMBER(posicao_contratual!B29)),NOT(ISNUMBER(posicao_contratual!O29))),"",ROUND(posicao_contratual!B29*posicao_contratual!O29,2))</f>
        <v/>
      </c>
      <c r="F31" s="213">
        <f>IF(OR(posicao_contratual!A29="",NOT(ISNUMBER(posicao_contratual!B29)),NOT(ISNUMBER(posicao_contratual!S29))),"",ROUND(posicao_contratual!B29*posicao_contratual!S29,2))</f>
        <v/>
      </c>
      <c r="G31" s="213">
        <f>IF(OR(posicao_contratual!A29="",NOT(ISNUMBER(posicao_contratual!B29)),NOT(ISNUMBER(posicao_contratual!W29))),"",ROUND(posicao_contratual!B29*posicao_contratual!W29,2))</f>
        <v/>
      </c>
    </row>
    <row r="32">
      <c r="A32">
        <f>IF(posicao_contratual!A30="","",posicao_contratual!A30)</f>
        <v/>
      </c>
      <c r="B32" s="213">
        <f>IF(posicao_contratual!A30="","",posicao_contratual!B30)</f>
        <v/>
      </c>
      <c r="C32" s="213">
        <f>IF(OR(posicao_contratual!A30="",NOT(ISNUMBER(posicao_contratual!B30)),NOT(ISNUMBER(posicao_contratual!G30))),"",ROUND(posicao_contratual!B30*posicao_contratual!G30,2))</f>
        <v/>
      </c>
      <c r="D32" s="213">
        <f>IF(OR(posicao_contratual!A30="",NOT(ISNUMBER(posicao_contratual!B30)),NOT(ISNUMBER(posicao_contratual!K30))),"",ROUND(posicao_contratual!B30*posicao_contratual!K30,2))</f>
        <v/>
      </c>
      <c r="E32" s="213">
        <f>IF(OR(posicao_contratual!A30="",NOT(ISNUMBER(posicao_contratual!B30)),NOT(ISNUMBER(posicao_contratual!O30))),"",ROUND(posicao_contratual!B30*posicao_contratual!O30,2))</f>
        <v/>
      </c>
      <c r="F32" s="213">
        <f>IF(OR(posicao_contratual!A30="",NOT(ISNUMBER(posicao_contratual!B30)),NOT(ISNUMBER(posicao_contratual!S30))),"",ROUND(posicao_contratual!B30*posicao_contratual!S30,2))</f>
        <v/>
      </c>
      <c r="G32" s="213">
        <f>IF(OR(posicao_contratual!A30="",NOT(ISNUMBER(posicao_contratual!B30)),NOT(ISNUMBER(posicao_contratual!W30))),"",ROUND(posicao_contratual!B30*posicao_contratual!W30,2))</f>
        <v/>
      </c>
    </row>
    <row r="33">
      <c r="A33">
        <f>IF(posicao_contratual!A31="","",posicao_contratual!A31)</f>
        <v/>
      </c>
      <c r="B33" s="213">
        <f>IF(posicao_contratual!A31="","",posicao_contratual!B31)</f>
        <v/>
      </c>
      <c r="C33" s="213">
        <f>IF(OR(posicao_contratual!A31="",NOT(ISNUMBER(posicao_contratual!B31)),NOT(ISNUMBER(posicao_contratual!G31))),"",ROUND(posicao_contratual!B31*posicao_contratual!G31,2))</f>
        <v/>
      </c>
      <c r="D33" s="213">
        <f>IF(OR(posicao_contratual!A31="",NOT(ISNUMBER(posicao_contratual!B31)),NOT(ISNUMBER(posicao_contratual!K31))),"",ROUND(posicao_contratual!B31*posicao_contratual!K31,2))</f>
        <v/>
      </c>
      <c r="E33" s="213">
        <f>IF(OR(posicao_contratual!A31="",NOT(ISNUMBER(posicao_contratual!B31)),NOT(ISNUMBER(posicao_contratual!O31))),"",ROUND(posicao_contratual!B31*posicao_contratual!O31,2))</f>
        <v/>
      </c>
      <c r="F33" s="213">
        <f>IF(OR(posicao_contratual!A31="",NOT(ISNUMBER(posicao_contratual!B31)),NOT(ISNUMBER(posicao_contratual!S31))),"",ROUND(posicao_contratual!B31*posicao_contratual!S31,2))</f>
        <v/>
      </c>
      <c r="G33" s="213">
        <f>IF(OR(posicao_contratual!A31="",NOT(ISNUMBER(posicao_contratual!B31)),NOT(ISNUMBER(posicao_contratual!W31))),"",ROUND(posicao_contratual!B31*posicao_contratual!W31,2))</f>
        <v/>
      </c>
    </row>
    <row r="34">
      <c r="A34">
        <f>IF(posicao_contratual!A32="","",posicao_contratual!A32)</f>
        <v/>
      </c>
      <c r="B34" s="213">
        <f>IF(posicao_contratual!A32="","",posicao_contratual!B32)</f>
        <v/>
      </c>
      <c r="C34" s="213">
        <f>IF(OR(posicao_contratual!A32="",NOT(ISNUMBER(posicao_contratual!B32)),NOT(ISNUMBER(posicao_contratual!G32))),"",ROUND(posicao_contratual!B32*posicao_contratual!G32,2))</f>
        <v/>
      </c>
      <c r="D34" s="213">
        <f>IF(OR(posicao_contratual!A32="",NOT(ISNUMBER(posicao_contratual!B32)),NOT(ISNUMBER(posicao_contratual!K32))),"",ROUND(posicao_contratual!B32*posicao_contratual!K32,2))</f>
        <v/>
      </c>
      <c r="E34" s="213">
        <f>IF(OR(posicao_contratual!A32="",NOT(ISNUMBER(posicao_contratual!B32)),NOT(ISNUMBER(posicao_contratual!O32))),"",ROUND(posicao_contratual!B32*posicao_contratual!O32,2))</f>
        <v/>
      </c>
      <c r="F34" s="213">
        <f>IF(OR(posicao_contratual!A32="",NOT(ISNUMBER(posicao_contratual!B32)),NOT(ISNUMBER(posicao_contratual!S32))),"",ROUND(posicao_contratual!B32*posicao_contratual!S32,2))</f>
        <v/>
      </c>
      <c r="G34" s="213">
        <f>IF(OR(posicao_contratual!A32="",NOT(ISNUMBER(posicao_contratual!B32)),NOT(ISNUMBER(posicao_contratual!W32))),"",ROUND(posicao_contratual!B32*posicao_contratual!W32,2))</f>
        <v/>
      </c>
    </row>
    <row r="35">
      <c r="A35">
        <f>IF(posicao_contratual!A33="","",posicao_contratual!A33)</f>
        <v/>
      </c>
      <c r="B35" s="213">
        <f>IF(posicao_contratual!A33="","",posicao_contratual!B33)</f>
        <v/>
      </c>
      <c r="C35" s="213">
        <f>IF(OR(posicao_contratual!A33="",NOT(ISNUMBER(posicao_contratual!B33)),NOT(ISNUMBER(posicao_contratual!G33))),"",ROUND(posicao_contratual!B33*posicao_contratual!G33,2))</f>
        <v/>
      </c>
      <c r="D35" s="213">
        <f>IF(OR(posicao_contratual!A33="",NOT(ISNUMBER(posicao_contratual!B33)),NOT(ISNUMBER(posicao_contratual!K33))),"",ROUND(posicao_contratual!B33*posicao_contratual!K33,2))</f>
        <v/>
      </c>
      <c r="E35" s="213">
        <f>IF(OR(posicao_contratual!A33="",NOT(ISNUMBER(posicao_contratual!B33)),NOT(ISNUMBER(posicao_contratual!O33))),"",ROUND(posicao_contratual!B33*posicao_contratual!O33,2))</f>
        <v/>
      </c>
      <c r="F35" s="213">
        <f>IF(OR(posicao_contratual!A33="",NOT(ISNUMBER(posicao_contratual!B33)),NOT(ISNUMBER(posicao_contratual!S33))),"",ROUND(posicao_contratual!B33*posicao_contratual!S33,2))</f>
        <v/>
      </c>
      <c r="G35" s="213">
        <f>IF(OR(posicao_contratual!A33="",NOT(ISNUMBER(posicao_contratual!B33)),NOT(ISNUMBER(posicao_contratual!W33))),"",ROUND(posicao_contratual!B33*posicao_contratual!W33,2))</f>
        <v/>
      </c>
    </row>
    <row r="36">
      <c r="A36">
        <f>IF(posicao_contratual!A34="","",posicao_contratual!A34)</f>
        <v/>
      </c>
      <c r="B36" s="213">
        <f>IF(posicao_contratual!A34="","",posicao_contratual!B34)</f>
        <v/>
      </c>
      <c r="C36" s="213">
        <f>IF(OR(posicao_contratual!A34="",NOT(ISNUMBER(posicao_contratual!B34)),NOT(ISNUMBER(posicao_contratual!G34))),"",ROUND(posicao_contratual!B34*posicao_contratual!G34,2))</f>
        <v/>
      </c>
      <c r="D36" s="213">
        <f>IF(OR(posicao_contratual!A34="",NOT(ISNUMBER(posicao_contratual!B34)),NOT(ISNUMBER(posicao_contratual!K34))),"",ROUND(posicao_contratual!B34*posicao_contratual!K34,2))</f>
        <v/>
      </c>
      <c r="E36" s="213">
        <f>IF(OR(posicao_contratual!A34="",NOT(ISNUMBER(posicao_contratual!B34)),NOT(ISNUMBER(posicao_contratual!O34))),"",ROUND(posicao_contratual!B34*posicao_contratual!O34,2))</f>
        <v/>
      </c>
      <c r="F36" s="213">
        <f>IF(OR(posicao_contratual!A34="",NOT(ISNUMBER(posicao_contratual!B34)),NOT(ISNUMBER(posicao_contratual!S34))),"",ROUND(posicao_contratual!B34*posicao_contratual!S34,2))</f>
        <v/>
      </c>
      <c r="G36" s="213">
        <f>IF(OR(posicao_contratual!A34="",NOT(ISNUMBER(posicao_contratual!B34)),NOT(ISNUMBER(posicao_contratual!W34))),"",ROUND(posicao_contratual!B34*posicao_contratual!W34,2))</f>
        <v/>
      </c>
    </row>
    <row r="37">
      <c r="A37">
        <f>IF(posicao_contratual!A35="","",posicao_contratual!A35)</f>
        <v/>
      </c>
      <c r="B37" s="213">
        <f>IF(posicao_contratual!A35="","",posicao_contratual!B35)</f>
        <v/>
      </c>
      <c r="C37" s="213">
        <f>IF(OR(posicao_contratual!A35="",NOT(ISNUMBER(posicao_contratual!B35)),NOT(ISNUMBER(posicao_contratual!G35))),"",ROUND(posicao_contratual!B35*posicao_contratual!G35,2))</f>
        <v/>
      </c>
      <c r="D37" s="213">
        <f>IF(OR(posicao_contratual!A35="",NOT(ISNUMBER(posicao_contratual!B35)),NOT(ISNUMBER(posicao_contratual!K35))),"",ROUND(posicao_contratual!B35*posicao_contratual!K35,2))</f>
        <v/>
      </c>
      <c r="E37" s="213">
        <f>IF(OR(posicao_contratual!A35="",NOT(ISNUMBER(posicao_contratual!B35)),NOT(ISNUMBER(posicao_contratual!O35))),"",ROUND(posicao_contratual!B35*posicao_contratual!O35,2))</f>
        <v/>
      </c>
      <c r="F37" s="213">
        <f>IF(OR(posicao_contratual!A35="",NOT(ISNUMBER(posicao_contratual!B35)),NOT(ISNUMBER(posicao_contratual!S35))),"",ROUND(posicao_contratual!B35*posicao_contratual!S35,2))</f>
        <v/>
      </c>
      <c r="G37" s="213">
        <f>IF(OR(posicao_contratual!A35="",NOT(ISNUMBER(posicao_contratual!B35)),NOT(ISNUMBER(posicao_contratual!W35))),"",ROUND(posicao_contratual!B35*posicao_contratual!W35,2))</f>
        <v/>
      </c>
    </row>
    <row r="38">
      <c r="A38">
        <f>IF(posicao_contratual!A36="","",posicao_contratual!A36)</f>
        <v/>
      </c>
      <c r="B38" s="213">
        <f>IF(posicao_contratual!A36="","",posicao_contratual!B36)</f>
        <v/>
      </c>
      <c r="C38" s="213">
        <f>IF(OR(posicao_contratual!A36="",NOT(ISNUMBER(posicao_contratual!B36)),NOT(ISNUMBER(posicao_contratual!G36))),"",ROUND(posicao_contratual!B36*posicao_contratual!G36,2))</f>
        <v/>
      </c>
      <c r="D38" s="213">
        <f>IF(OR(posicao_contratual!A36="",NOT(ISNUMBER(posicao_contratual!B36)),NOT(ISNUMBER(posicao_contratual!K36))),"",ROUND(posicao_contratual!B36*posicao_contratual!K36,2))</f>
        <v/>
      </c>
      <c r="E38" s="213">
        <f>IF(OR(posicao_contratual!A36="",NOT(ISNUMBER(posicao_contratual!B36)),NOT(ISNUMBER(posicao_contratual!O36))),"",ROUND(posicao_contratual!B36*posicao_contratual!O36,2))</f>
        <v/>
      </c>
      <c r="F38" s="213">
        <f>IF(OR(posicao_contratual!A36="",NOT(ISNUMBER(posicao_contratual!B36)),NOT(ISNUMBER(posicao_contratual!S36))),"",ROUND(posicao_contratual!B36*posicao_contratual!S36,2))</f>
        <v/>
      </c>
      <c r="G38" s="213">
        <f>IF(OR(posicao_contratual!A36="",NOT(ISNUMBER(posicao_contratual!B36)),NOT(ISNUMBER(posicao_contratual!W36))),"",ROUND(posicao_contratual!B36*posicao_contratual!W36,2))</f>
        <v/>
      </c>
    </row>
    <row r="39">
      <c r="A39">
        <f>IF(posicao_contratual!A37="","",posicao_contratual!A37)</f>
        <v/>
      </c>
      <c r="B39" s="213">
        <f>IF(posicao_contratual!A37="","",posicao_contratual!B37)</f>
        <v/>
      </c>
      <c r="C39" s="213">
        <f>IF(OR(posicao_contratual!A37="",NOT(ISNUMBER(posicao_contratual!B37)),NOT(ISNUMBER(posicao_contratual!G37))),"",ROUND(posicao_contratual!B37*posicao_contratual!G37,2))</f>
        <v/>
      </c>
      <c r="D39" s="213">
        <f>IF(OR(posicao_contratual!A37="",NOT(ISNUMBER(posicao_contratual!B37)),NOT(ISNUMBER(posicao_contratual!K37))),"",ROUND(posicao_contratual!B37*posicao_contratual!K37,2))</f>
        <v/>
      </c>
      <c r="E39" s="213">
        <f>IF(OR(posicao_contratual!A37="",NOT(ISNUMBER(posicao_contratual!B37)),NOT(ISNUMBER(posicao_contratual!O37))),"",ROUND(posicao_contratual!B37*posicao_contratual!O37,2))</f>
        <v/>
      </c>
      <c r="F39" s="213">
        <f>IF(OR(posicao_contratual!A37="",NOT(ISNUMBER(posicao_contratual!B37)),NOT(ISNUMBER(posicao_contratual!S37))),"",ROUND(posicao_contratual!B37*posicao_contratual!S37,2))</f>
        <v/>
      </c>
      <c r="G39" s="213">
        <f>IF(OR(posicao_contratual!A37="",NOT(ISNUMBER(posicao_contratual!B37)),NOT(ISNUMBER(posicao_contratual!W37))),"",ROUND(posicao_contratual!B37*posicao_contratual!W37,2))</f>
        <v/>
      </c>
    </row>
    <row r="40">
      <c r="A40">
        <f>IF(posicao_contratual!A38="","",posicao_contratual!A38)</f>
        <v/>
      </c>
      <c r="B40" s="213">
        <f>IF(posicao_contratual!A38="","",posicao_contratual!B38)</f>
        <v/>
      </c>
      <c r="C40" s="213">
        <f>IF(OR(posicao_contratual!A38="",NOT(ISNUMBER(posicao_contratual!B38)),NOT(ISNUMBER(posicao_contratual!G38))),"",ROUND(posicao_contratual!B38*posicao_contratual!G38,2))</f>
        <v/>
      </c>
      <c r="D40" s="213">
        <f>IF(OR(posicao_contratual!A38="",NOT(ISNUMBER(posicao_contratual!B38)),NOT(ISNUMBER(posicao_contratual!K38))),"",ROUND(posicao_contratual!B38*posicao_contratual!K38,2))</f>
        <v/>
      </c>
      <c r="E40" s="213">
        <f>IF(OR(posicao_contratual!A38="",NOT(ISNUMBER(posicao_contratual!B38)),NOT(ISNUMBER(posicao_contratual!O38))),"",ROUND(posicao_contratual!B38*posicao_contratual!O38,2))</f>
        <v/>
      </c>
      <c r="F40" s="213">
        <f>IF(OR(posicao_contratual!A38="",NOT(ISNUMBER(posicao_contratual!B38)),NOT(ISNUMBER(posicao_contratual!S38))),"",ROUND(posicao_contratual!B38*posicao_contratual!S38,2))</f>
        <v/>
      </c>
      <c r="G40" s="213">
        <f>IF(OR(posicao_contratual!A38="",NOT(ISNUMBER(posicao_contratual!B38)),NOT(ISNUMBER(posicao_contratual!W38))),"",ROUND(posicao_contratual!B38*posicao_contratual!W38,2))</f>
        <v/>
      </c>
    </row>
    <row r="41">
      <c r="A41">
        <f>IF(posicao_contratual!A39="","",posicao_contratual!A39)</f>
        <v/>
      </c>
      <c r="B41" s="213">
        <f>IF(posicao_contratual!A39="","",posicao_contratual!B39)</f>
        <v/>
      </c>
      <c r="C41" s="213">
        <f>IF(OR(posicao_contratual!A39="",NOT(ISNUMBER(posicao_contratual!B39)),NOT(ISNUMBER(posicao_contratual!G39))),"",ROUND(posicao_contratual!B39*posicao_contratual!G39,2))</f>
        <v/>
      </c>
      <c r="D41" s="213">
        <f>IF(OR(posicao_contratual!A39="",NOT(ISNUMBER(posicao_contratual!B39)),NOT(ISNUMBER(posicao_contratual!K39))),"",ROUND(posicao_contratual!B39*posicao_contratual!K39,2))</f>
        <v/>
      </c>
      <c r="E41" s="213">
        <f>IF(OR(posicao_contratual!A39="",NOT(ISNUMBER(posicao_contratual!B39)),NOT(ISNUMBER(posicao_contratual!O39))),"",ROUND(posicao_contratual!B39*posicao_contratual!O39,2))</f>
        <v/>
      </c>
      <c r="F41" s="213">
        <f>IF(OR(posicao_contratual!A39="",NOT(ISNUMBER(posicao_contratual!B39)),NOT(ISNUMBER(posicao_contratual!S39))),"",ROUND(posicao_contratual!B39*posicao_contratual!S39,2))</f>
        <v/>
      </c>
      <c r="G41" s="213">
        <f>IF(OR(posicao_contratual!A39="",NOT(ISNUMBER(posicao_contratual!B39)),NOT(ISNUMBER(posicao_contratual!W39))),"",ROUND(posicao_contratual!B39*posicao_contratual!W39,2))</f>
        <v/>
      </c>
    </row>
    <row r="42">
      <c r="A42">
        <f>IF(posicao_contratual!A40="","",posicao_contratual!A40)</f>
        <v/>
      </c>
      <c r="B42" s="213">
        <f>IF(posicao_contratual!A40="","",posicao_contratual!B40)</f>
        <v/>
      </c>
      <c r="C42" s="213">
        <f>IF(OR(posicao_contratual!A40="",NOT(ISNUMBER(posicao_contratual!B40)),NOT(ISNUMBER(posicao_contratual!G40))),"",ROUND(posicao_contratual!B40*posicao_contratual!G40,2))</f>
        <v/>
      </c>
      <c r="D42" s="213">
        <f>IF(OR(posicao_contratual!A40="",NOT(ISNUMBER(posicao_contratual!B40)),NOT(ISNUMBER(posicao_contratual!K40))),"",ROUND(posicao_contratual!B40*posicao_contratual!K40,2))</f>
        <v/>
      </c>
      <c r="E42" s="213">
        <f>IF(OR(posicao_contratual!A40="",NOT(ISNUMBER(posicao_contratual!B40)),NOT(ISNUMBER(posicao_contratual!O40))),"",ROUND(posicao_contratual!B40*posicao_contratual!O40,2))</f>
        <v/>
      </c>
      <c r="F42" s="213">
        <f>IF(OR(posicao_contratual!A40="",NOT(ISNUMBER(posicao_contratual!B40)),NOT(ISNUMBER(posicao_contratual!S40))),"",ROUND(posicao_contratual!B40*posicao_contratual!S40,2))</f>
        <v/>
      </c>
      <c r="G42" s="213">
        <f>IF(OR(posicao_contratual!A40="",NOT(ISNUMBER(posicao_contratual!B40)),NOT(ISNUMBER(posicao_contratual!W40))),"",ROUND(posicao_contratual!B40*posicao_contratual!W40,2))</f>
        <v/>
      </c>
    </row>
    <row r="43">
      <c r="A43">
        <f>IF(posicao_contratual!A41="","",posicao_contratual!A41)</f>
        <v/>
      </c>
      <c r="B43" s="213">
        <f>IF(posicao_contratual!A41="","",posicao_contratual!B41)</f>
        <v/>
      </c>
      <c r="C43" s="213">
        <f>IF(OR(posicao_contratual!A41="",NOT(ISNUMBER(posicao_contratual!B41)),NOT(ISNUMBER(posicao_contratual!G41))),"",ROUND(posicao_contratual!B41*posicao_contratual!G41,2))</f>
        <v/>
      </c>
      <c r="D43" s="213">
        <f>IF(OR(posicao_contratual!A41="",NOT(ISNUMBER(posicao_contratual!B41)),NOT(ISNUMBER(posicao_contratual!K41))),"",ROUND(posicao_contratual!B41*posicao_contratual!K41,2))</f>
        <v/>
      </c>
      <c r="E43" s="213">
        <f>IF(OR(posicao_contratual!A41="",NOT(ISNUMBER(posicao_contratual!B41)),NOT(ISNUMBER(posicao_contratual!O41))),"",ROUND(posicao_contratual!B41*posicao_contratual!O41,2))</f>
        <v/>
      </c>
      <c r="F43" s="213">
        <f>IF(OR(posicao_contratual!A41="",NOT(ISNUMBER(posicao_contratual!B41)),NOT(ISNUMBER(posicao_contratual!S41))),"",ROUND(posicao_contratual!B41*posicao_contratual!S41,2))</f>
        <v/>
      </c>
      <c r="G43" s="213">
        <f>IF(OR(posicao_contratual!A41="",NOT(ISNUMBER(posicao_contratual!B41)),NOT(ISNUMBER(posicao_contratual!W41))),"",ROUND(posicao_contratual!B41*posicao_contratual!W41,2))</f>
        <v/>
      </c>
    </row>
    <row r="44">
      <c r="A44">
        <f>IF(posicao_contratual!A42="","",posicao_contratual!A42)</f>
        <v/>
      </c>
      <c r="B44" s="213">
        <f>IF(posicao_contratual!A42="","",posicao_contratual!B42)</f>
        <v/>
      </c>
      <c r="C44" s="213">
        <f>IF(OR(posicao_contratual!A42="",NOT(ISNUMBER(posicao_contratual!B42)),NOT(ISNUMBER(posicao_contratual!G42))),"",ROUND(posicao_contratual!B42*posicao_contratual!G42,2))</f>
        <v/>
      </c>
      <c r="D44" s="213">
        <f>IF(OR(posicao_contratual!A42="",NOT(ISNUMBER(posicao_contratual!B42)),NOT(ISNUMBER(posicao_contratual!K42))),"",ROUND(posicao_contratual!B42*posicao_contratual!K42,2))</f>
        <v/>
      </c>
      <c r="E44" s="213">
        <f>IF(OR(posicao_contratual!A42="",NOT(ISNUMBER(posicao_contratual!B42)),NOT(ISNUMBER(posicao_contratual!O42))),"",ROUND(posicao_contratual!B42*posicao_contratual!O42,2))</f>
        <v/>
      </c>
      <c r="F44" s="213">
        <f>IF(OR(posicao_contratual!A42="",NOT(ISNUMBER(posicao_contratual!B42)),NOT(ISNUMBER(posicao_contratual!S42))),"",ROUND(posicao_contratual!B42*posicao_contratual!S42,2))</f>
        <v/>
      </c>
      <c r="G44" s="213">
        <f>IF(OR(posicao_contratual!A42="",NOT(ISNUMBER(posicao_contratual!B42)),NOT(ISNUMBER(posicao_contratual!W42))),"",ROUND(posicao_contratual!B42*posicao_contratual!W42,2))</f>
        <v/>
      </c>
    </row>
    <row r="45">
      <c r="A45">
        <f>IF(posicao_contratual!A43="","",posicao_contratual!A43)</f>
        <v/>
      </c>
      <c r="B45" s="213">
        <f>IF(posicao_contratual!A43="","",posicao_contratual!B43)</f>
        <v/>
      </c>
      <c r="C45" s="213">
        <f>IF(OR(posicao_contratual!A43="",NOT(ISNUMBER(posicao_contratual!B43)),NOT(ISNUMBER(posicao_contratual!G43))),"",ROUND(posicao_contratual!B43*posicao_contratual!G43,2))</f>
        <v/>
      </c>
      <c r="D45" s="213">
        <f>IF(OR(posicao_contratual!A43="",NOT(ISNUMBER(posicao_contratual!B43)),NOT(ISNUMBER(posicao_contratual!K43))),"",ROUND(posicao_contratual!B43*posicao_contratual!K43,2))</f>
        <v/>
      </c>
      <c r="E45" s="213">
        <f>IF(OR(posicao_contratual!A43="",NOT(ISNUMBER(posicao_contratual!B43)),NOT(ISNUMBER(posicao_contratual!O43))),"",ROUND(posicao_contratual!B43*posicao_contratual!O43,2))</f>
        <v/>
      </c>
      <c r="F45" s="213">
        <f>IF(OR(posicao_contratual!A43="",NOT(ISNUMBER(posicao_contratual!B43)),NOT(ISNUMBER(posicao_contratual!S43))),"",ROUND(posicao_contratual!B43*posicao_contratual!S43,2))</f>
        <v/>
      </c>
      <c r="G45" s="213">
        <f>IF(OR(posicao_contratual!A43="",NOT(ISNUMBER(posicao_contratual!B43)),NOT(ISNUMBER(posicao_contratual!W43))),"",ROUND(posicao_contratual!B43*posicao_contratual!W43,2))</f>
        <v/>
      </c>
    </row>
    <row r="46">
      <c r="A46">
        <f>IF(posicao_contratual!A44="","",posicao_contratual!A44)</f>
        <v/>
      </c>
      <c r="B46" s="213">
        <f>IF(posicao_contratual!A44="","",posicao_contratual!B44)</f>
        <v/>
      </c>
      <c r="C46" s="213">
        <f>IF(OR(posicao_contratual!A44="",NOT(ISNUMBER(posicao_contratual!B44)),NOT(ISNUMBER(posicao_contratual!G44))),"",ROUND(posicao_contratual!B44*posicao_contratual!G44,2))</f>
        <v/>
      </c>
      <c r="D46" s="213">
        <f>IF(OR(posicao_contratual!A44="",NOT(ISNUMBER(posicao_contratual!B44)),NOT(ISNUMBER(posicao_contratual!K44))),"",ROUND(posicao_contratual!B44*posicao_contratual!K44,2))</f>
        <v/>
      </c>
      <c r="E46" s="213">
        <f>IF(OR(posicao_contratual!A44="",NOT(ISNUMBER(posicao_contratual!B44)),NOT(ISNUMBER(posicao_contratual!O44))),"",ROUND(posicao_contratual!B44*posicao_contratual!O44,2))</f>
        <v/>
      </c>
      <c r="F46" s="213">
        <f>IF(OR(posicao_contratual!A44="",NOT(ISNUMBER(posicao_contratual!B44)),NOT(ISNUMBER(posicao_contratual!S44))),"",ROUND(posicao_contratual!B44*posicao_contratual!S44,2))</f>
        <v/>
      </c>
      <c r="G46" s="213">
        <f>IF(OR(posicao_contratual!A44="",NOT(ISNUMBER(posicao_contratual!B44)),NOT(ISNUMBER(posicao_contratual!W44))),"",ROUND(posicao_contratual!B44*posicao_contratual!W44,2))</f>
        <v/>
      </c>
    </row>
    <row r="47">
      <c r="A47">
        <f>IF(posicao_contratual!A45="","",posicao_contratual!A45)</f>
        <v/>
      </c>
      <c r="B47" s="213">
        <f>IF(posicao_contratual!A45="","",posicao_contratual!B45)</f>
        <v/>
      </c>
      <c r="C47" s="213">
        <f>IF(OR(posicao_contratual!A45="",NOT(ISNUMBER(posicao_contratual!B45)),NOT(ISNUMBER(posicao_contratual!G45))),"",ROUND(posicao_contratual!B45*posicao_contratual!G45,2))</f>
        <v/>
      </c>
      <c r="D47" s="213">
        <f>IF(OR(posicao_contratual!A45="",NOT(ISNUMBER(posicao_contratual!B45)),NOT(ISNUMBER(posicao_contratual!K45))),"",ROUND(posicao_contratual!B45*posicao_contratual!K45,2))</f>
        <v/>
      </c>
      <c r="E47" s="213">
        <f>IF(OR(posicao_contratual!A45="",NOT(ISNUMBER(posicao_contratual!B45)),NOT(ISNUMBER(posicao_contratual!O45))),"",ROUND(posicao_contratual!B45*posicao_contratual!O45,2))</f>
        <v/>
      </c>
      <c r="F47" s="213">
        <f>IF(OR(posicao_contratual!A45="",NOT(ISNUMBER(posicao_contratual!B45)),NOT(ISNUMBER(posicao_contratual!S45))),"",ROUND(posicao_contratual!B45*posicao_contratual!S45,2))</f>
        <v/>
      </c>
      <c r="G47" s="213">
        <f>IF(OR(posicao_contratual!A45="",NOT(ISNUMBER(posicao_contratual!B45)),NOT(ISNUMBER(posicao_contratual!W45))),"",ROUND(posicao_contratual!B45*posicao_contratual!W45,2))</f>
        <v/>
      </c>
    </row>
    <row r="48">
      <c r="A48">
        <f>IF(posicao_contratual!A46="","",posicao_contratual!A46)</f>
        <v/>
      </c>
      <c r="B48" s="213">
        <f>IF(posicao_contratual!A46="","",posicao_contratual!B46)</f>
        <v/>
      </c>
      <c r="C48" s="213">
        <f>IF(OR(posicao_contratual!A46="",NOT(ISNUMBER(posicao_contratual!B46)),NOT(ISNUMBER(posicao_contratual!G46))),"",ROUND(posicao_contratual!B46*posicao_contratual!G46,2))</f>
        <v/>
      </c>
      <c r="D48" s="213">
        <f>IF(OR(posicao_contratual!A46="",NOT(ISNUMBER(posicao_contratual!B46)),NOT(ISNUMBER(posicao_contratual!K46))),"",ROUND(posicao_contratual!B46*posicao_contratual!K46,2))</f>
        <v/>
      </c>
      <c r="E48" s="213">
        <f>IF(OR(posicao_contratual!A46="",NOT(ISNUMBER(posicao_contratual!B46)),NOT(ISNUMBER(posicao_contratual!O46))),"",ROUND(posicao_contratual!B46*posicao_contratual!O46,2))</f>
        <v/>
      </c>
      <c r="F48" s="213">
        <f>IF(OR(posicao_contratual!A46="",NOT(ISNUMBER(posicao_contratual!B46)),NOT(ISNUMBER(posicao_contratual!S46))),"",ROUND(posicao_contratual!B46*posicao_contratual!S46,2))</f>
        <v/>
      </c>
      <c r="G48" s="213">
        <f>IF(OR(posicao_contratual!A46="",NOT(ISNUMBER(posicao_contratual!B46)),NOT(ISNUMBER(posicao_contratual!W46))),"",ROUND(posicao_contratual!B46*posicao_contratual!W46,2))</f>
        <v/>
      </c>
    </row>
    <row r="49">
      <c r="A49">
        <f>IF(posicao_contratual!A47="","",posicao_contratual!A47)</f>
        <v/>
      </c>
      <c r="B49" s="213">
        <f>IF(posicao_contratual!A47="","",posicao_contratual!B47)</f>
        <v/>
      </c>
      <c r="C49" s="213">
        <f>IF(OR(posicao_contratual!A47="",NOT(ISNUMBER(posicao_contratual!B47)),NOT(ISNUMBER(posicao_contratual!G47))),"",ROUND(posicao_contratual!B47*posicao_contratual!G47,2))</f>
        <v/>
      </c>
      <c r="D49" s="213">
        <f>IF(OR(posicao_contratual!A47="",NOT(ISNUMBER(posicao_contratual!B47)),NOT(ISNUMBER(posicao_contratual!K47))),"",ROUND(posicao_contratual!B47*posicao_contratual!K47,2))</f>
        <v/>
      </c>
      <c r="E49" s="213">
        <f>IF(OR(posicao_contratual!A47="",NOT(ISNUMBER(posicao_contratual!B47)),NOT(ISNUMBER(posicao_contratual!O47))),"",ROUND(posicao_contratual!B47*posicao_contratual!O47,2))</f>
        <v/>
      </c>
      <c r="F49" s="213">
        <f>IF(OR(posicao_contratual!A47="",NOT(ISNUMBER(posicao_contratual!B47)),NOT(ISNUMBER(posicao_contratual!S47))),"",ROUND(posicao_contratual!B47*posicao_contratual!S47,2))</f>
        <v/>
      </c>
      <c r="G49" s="213">
        <f>IF(OR(posicao_contratual!A47="",NOT(ISNUMBER(posicao_contratual!B47)),NOT(ISNUMBER(posicao_contratual!W47))),"",ROUND(posicao_contratual!B47*posicao_contratual!W47,2))</f>
        <v/>
      </c>
    </row>
    <row r="50">
      <c r="A50">
        <f>IF(posicao_contratual!A48="","",posicao_contratual!A48)</f>
        <v/>
      </c>
      <c r="B50" s="213">
        <f>IF(posicao_contratual!A48="","",posicao_contratual!B48)</f>
        <v/>
      </c>
      <c r="C50" s="213">
        <f>IF(OR(posicao_contratual!A48="",NOT(ISNUMBER(posicao_contratual!B48)),NOT(ISNUMBER(posicao_contratual!G48))),"",ROUND(posicao_contratual!B48*posicao_contratual!G48,2))</f>
        <v/>
      </c>
      <c r="D50" s="213">
        <f>IF(OR(posicao_contratual!A48="",NOT(ISNUMBER(posicao_contratual!B48)),NOT(ISNUMBER(posicao_contratual!K48))),"",ROUND(posicao_contratual!B48*posicao_contratual!K48,2))</f>
        <v/>
      </c>
      <c r="E50" s="213">
        <f>IF(OR(posicao_contratual!A48="",NOT(ISNUMBER(posicao_contratual!B48)),NOT(ISNUMBER(posicao_contratual!O48))),"",ROUND(posicao_contratual!B48*posicao_contratual!O48,2))</f>
        <v/>
      </c>
      <c r="F50" s="213">
        <f>IF(OR(posicao_contratual!A48="",NOT(ISNUMBER(posicao_contratual!B48)),NOT(ISNUMBER(posicao_contratual!S48))),"",ROUND(posicao_contratual!B48*posicao_contratual!S48,2))</f>
        <v/>
      </c>
      <c r="G50" s="213">
        <f>IF(OR(posicao_contratual!A48="",NOT(ISNUMBER(posicao_contratual!B48)),NOT(ISNUMBER(posicao_contratual!W48))),"",ROUND(posicao_contratual!B48*posicao_contratual!W48,2))</f>
        <v/>
      </c>
    </row>
    <row r="51">
      <c r="A51">
        <f>IF(posicao_contratual!A49="","",posicao_contratual!A49)</f>
        <v/>
      </c>
      <c r="B51" s="213">
        <f>IF(posicao_contratual!A49="","",posicao_contratual!B49)</f>
        <v/>
      </c>
      <c r="C51" s="213">
        <f>IF(OR(posicao_contratual!A49="",NOT(ISNUMBER(posicao_contratual!B49)),NOT(ISNUMBER(posicao_contratual!G49))),"",ROUND(posicao_contratual!B49*posicao_contratual!G49,2))</f>
        <v/>
      </c>
      <c r="D51" s="213">
        <f>IF(OR(posicao_contratual!A49="",NOT(ISNUMBER(posicao_contratual!B49)),NOT(ISNUMBER(posicao_contratual!K49))),"",ROUND(posicao_contratual!B49*posicao_contratual!K49,2))</f>
        <v/>
      </c>
      <c r="E51" s="213">
        <f>IF(OR(posicao_contratual!A49="",NOT(ISNUMBER(posicao_contratual!B49)),NOT(ISNUMBER(posicao_contratual!O49))),"",ROUND(posicao_contratual!B49*posicao_contratual!O49,2))</f>
        <v/>
      </c>
      <c r="F51" s="213">
        <f>IF(OR(posicao_contratual!A49="",NOT(ISNUMBER(posicao_contratual!B49)),NOT(ISNUMBER(posicao_contratual!S49))),"",ROUND(posicao_contratual!B49*posicao_contratual!S49,2))</f>
        <v/>
      </c>
      <c r="G51" s="213">
        <f>IF(OR(posicao_contratual!A49="",NOT(ISNUMBER(posicao_contratual!B49)),NOT(ISNUMBER(posicao_contratual!W49))),"",ROUND(posicao_contratual!B49*posicao_contratual!W49,2))</f>
        <v/>
      </c>
    </row>
    <row r="52">
      <c r="A52">
        <f>IF(posicao_contratual!A50="","",posicao_contratual!A50)</f>
        <v/>
      </c>
      <c r="B52" s="213">
        <f>IF(posicao_contratual!A50="","",posicao_contratual!B50)</f>
        <v/>
      </c>
      <c r="C52" s="213">
        <f>IF(OR(posicao_contratual!A50="",NOT(ISNUMBER(posicao_contratual!B50)),NOT(ISNUMBER(posicao_contratual!G50))),"",ROUND(posicao_contratual!B50*posicao_contratual!G50,2))</f>
        <v/>
      </c>
      <c r="D52" s="213">
        <f>IF(OR(posicao_contratual!A50="",NOT(ISNUMBER(posicao_contratual!B50)),NOT(ISNUMBER(posicao_contratual!K50))),"",ROUND(posicao_contratual!B50*posicao_contratual!K50,2))</f>
        <v/>
      </c>
      <c r="E52" s="213">
        <f>IF(OR(posicao_contratual!A50="",NOT(ISNUMBER(posicao_contratual!B50)),NOT(ISNUMBER(posicao_contratual!O50))),"",ROUND(posicao_contratual!B50*posicao_contratual!O50,2))</f>
        <v/>
      </c>
      <c r="F52" s="213">
        <f>IF(OR(posicao_contratual!A50="",NOT(ISNUMBER(posicao_contratual!B50)),NOT(ISNUMBER(posicao_contratual!S50))),"",ROUND(posicao_contratual!B50*posicao_contratual!S50,2))</f>
        <v/>
      </c>
      <c r="G52" s="213">
        <f>IF(OR(posicao_contratual!A50="",NOT(ISNUMBER(posicao_contratual!B50)),NOT(ISNUMBER(posicao_contratual!W50))),"",ROUND(posicao_contratual!B50*posicao_contratual!W50,2))</f>
        <v/>
      </c>
    </row>
    <row r="53">
      <c r="A53">
        <f>IF(posicao_contratual!A51="","",posicao_contratual!A51)</f>
        <v/>
      </c>
      <c r="B53" s="213">
        <f>IF(posicao_contratual!A51="","",posicao_contratual!B51)</f>
        <v/>
      </c>
      <c r="C53" s="213">
        <f>IF(OR(posicao_contratual!A51="",NOT(ISNUMBER(posicao_contratual!B51)),NOT(ISNUMBER(posicao_contratual!G51))),"",ROUND(posicao_contratual!B51*posicao_contratual!G51,2))</f>
        <v/>
      </c>
      <c r="D53" s="213">
        <f>IF(OR(posicao_contratual!A51="",NOT(ISNUMBER(posicao_contratual!B51)),NOT(ISNUMBER(posicao_contratual!K51))),"",ROUND(posicao_contratual!B51*posicao_contratual!K51,2))</f>
        <v/>
      </c>
      <c r="E53" s="213">
        <f>IF(OR(posicao_contratual!A51="",NOT(ISNUMBER(posicao_contratual!B51)),NOT(ISNUMBER(posicao_contratual!O51))),"",ROUND(posicao_contratual!B51*posicao_contratual!O51,2))</f>
        <v/>
      </c>
      <c r="F53" s="213">
        <f>IF(OR(posicao_contratual!A51="",NOT(ISNUMBER(posicao_contratual!B51)),NOT(ISNUMBER(posicao_contratual!S51))),"",ROUND(posicao_contratual!B51*posicao_contratual!S51,2))</f>
        <v/>
      </c>
      <c r="G53" s="213">
        <f>IF(OR(posicao_contratual!A51="",NOT(ISNUMBER(posicao_contratual!B51)),NOT(ISNUMBER(posicao_contratual!W51))),"",ROUND(posicao_contratual!B51*posicao_contratual!W51,2))</f>
        <v/>
      </c>
    </row>
    <row r="54">
      <c r="A54">
        <f>IF(posicao_contratual!A52="","",posicao_contratual!A52)</f>
        <v/>
      </c>
      <c r="B54" s="213">
        <f>IF(posicao_contratual!A52="","",posicao_contratual!B52)</f>
        <v/>
      </c>
      <c r="C54" s="213">
        <f>IF(OR(posicao_contratual!A52="",NOT(ISNUMBER(posicao_contratual!B52)),NOT(ISNUMBER(posicao_contratual!G52))),"",ROUND(posicao_contratual!B52*posicao_contratual!G52,2))</f>
        <v/>
      </c>
      <c r="D54" s="213">
        <f>IF(OR(posicao_contratual!A52="",NOT(ISNUMBER(posicao_contratual!B52)),NOT(ISNUMBER(posicao_contratual!K52))),"",ROUND(posicao_contratual!B52*posicao_contratual!K52,2))</f>
        <v/>
      </c>
      <c r="E54" s="213">
        <f>IF(OR(posicao_contratual!A52="",NOT(ISNUMBER(posicao_contratual!B52)),NOT(ISNUMBER(posicao_contratual!O52))),"",ROUND(posicao_contratual!B52*posicao_contratual!O52,2))</f>
        <v/>
      </c>
      <c r="F54" s="213">
        <f>IF(OR(posicao_contratual!A52="",NOT(ISNUMBER(posicao_contratual!B52)),NOT(ISNUMBER(posicao_contratual!S52))),"",ROUND(posicao_contratual!B52*posicao_contratual!S52,2))</f>
        <v/>
      </c>
      <c r="G54" s="213">
        <f>IF(OR(posicao_contratual!A52="",NOT(ISNUMBER(posicao_contratual!B52)),NOT(ISNUMBER(posicao_contratual!W52))),"",ROUND(posicao_contratual!B52*posicao_contratual!W52,2))</f>
        <v/>
      </c>
    </row>
    <row r="55">
      <c r="A55">
        <f>IF(posicao_contratual!A53="","",posicao_contratual!A53)</f>
        <v/>
      </c>
      <c r="B55" s="213">
        <f>IF(posicao_contratual!A53="","",posicao_contratual!B53)</f>
        <v/>
      </c>
      <c r="C55" s="213">
        <f>IF(OR(posicao_contratual!A53="",NOT(ISNUMBER(posicao_contratual!B53)),NOT(ISNUMBER(posicao_contratual!G53))),"",ROUND(posicao_contratual!B53*posicao_contratual!G53,2))</f>
        <v/>
      </c>
      <c r="D55" s="213">
        <f>IF(OR(posicao_contratual!A53="",NOT(ISNUMBER(posicao_contratual!B53)),NOT(ISNUMBER(posicao_contratual!K53))),"",ROUND(posicao_contratual!B53*posicao_contratual!K53,2))</f>
        <v/>
      </c>
      <c r="E55" s="213">
        <f>IF(OR(posicao_contratual!A53="",NOT(ISNUMBER(posicao_contratual!B53)),NOT(ISNUMBER(posicao_contratual!O53))),"",ROUND(posicao_contratual!B53*posicao_contratual!O53,2))</f>
        <v/>
      </c>
      <c r="F55" s="213">
        <f>IF(OR(posicao_contratual!A53="",NOT(ISNUMBER(posicao_contratual!B53)),NOT(ISNUMBER(posicao_contratual!S53))),"",ROUND(posicao_contratual!B53*posicao_contratual!S53,2))</f>
        <v/>
      </c>
      <c r="G55" s="213">
        <f>IF(OR(posicao_contratual!A53="",NOT(ISNUMBER(posicao_contratual!B53)),NOT(ISNUMBER(posicao_contratual!W53))),"",ROUND(posicao_contratual!B53*posicao_contratual!W53,2))</f>
        <v/>
      </c>
    </row>
    <row r="56">
      <c r="A56">
        <f>IF(posicao_contratual!A54="","",posicao_contratual!A54)</f>
        <v/>
      </c>
      <c r="B56" s="213">
        <f>IF(posicao_contratual!A54="","",posicao_contratual!B54)</f>
        <v/>
      </c>
      <c r="C56" s="213">
        <f>IF(OR(posicao_contratual!A54="",NOT(ISNUMBER(posicao_contratual!B54)),NOT(ISNUMBER(posicao_contratual!G54))),"",ROUND(posicao_contratual!B54*posicao_contratual!G54,2))</f>
        <v/>
      </c>
      <c r="D56" s="213">
        <f>IF(OR(posicao_contratual!A54="",NOT(ISNUMBER(posicao_contratual!B54)),NOT(ISNUMBER(posicao_contratual!K54))),"",ROUND(posicao_contratual!B54*posicao_contratual!K54,2))</f>
        <v/>
      </c>
      <c r="E56" s="213">
        <f>IF(OR(posicao_contratual!A54="",NOT(ISNUMBER(posicao_contratual!B54)),NOT(ISNUMBER(posicao_contratual!O54))),"",ROUND(posicao_contratual!B54*posicao_contratual!O54,2))</f>
        <v/>
      </c>
      <c r="F56" s="213">
        <f>IF(OR(posicao_contratual!A54="",NOT(ISNUMBER(posicao_contratual!B54)),NOT(ISNUMBER(posicao_contratual!S54))),"",ROUND(posicao_contratual!B54*posicao_contratual!S54,2))</f>
        <v/>
      </c>
      <c r="G56" s="213">
        <f>IF(OR(posicao_contratual!A54="",NOT(ISNUMBER(posicao_contratual!B54)),NOT(ISNUMBER(posicao_contratual!W54))),"",ROUND(posicao_contratual!B54*posicao_contratual!W54,2))</f>
        <v/>
      </c>
    </row>
    <row r="57">
      <c r="A57">
        <f>IF(posicao_contratual!A55="","",posicao_contratual!A55)</f>
        <v/>
      </c>
      <c r="B57" s="213">
        <f>IF(posicao_contratual!A55="","",posicao_contratual!B55)</f>
        <v/>
      </c>
      <c r="C57" s="213">
        <f>IF(OR(posicao_contratual!A55="",NOT(ISNUMBER(posicao_contratual!B55)),NOT(ISNUMBER(posicao_contratual!G55))),"",ROUND(posicao_contratual!B55*posicao_contratual!G55,2))</f>
        <v/>
      </c>
      <c r="D57" s="213">
        <f>IF(OR(posicao_contratual!A55="",NOT(ISNUMBER(posicao_contratual!B55)),NOT(ISNUMBER(posicao_contratual!K55))),"",ROUND(posicao_contratual!B55*posicao_contratual!K55,2))</f>
        <v/>
      </c>
      <c r="E57" s="213">
        <f>IF(OR(posicao_contratual!A55="",NOT(ISNUMBER(posicao_contratual!B55)),NOT(ISNUMBER(posicao_contratual!O55))),"",ROUND(posicao_contratual!B55*posicao_contratual!O55,2))</f>
        <v/>
      </c>
      <c r="F57" s="213">
        <f>IF(OR(posicao_contratual!A55="",NOT(ISNUMBER(posicao_contratual!B55)),NOT(ISNUMBER(posicao_contratual!S55))),"",ROUND(posicao_contratual!B55*posicao_contratual!S55,2))</f>
        <v/>
      </c>
      <c r="G57" s="213">
        <f>IF(OR(posicao_contratual!A55="",NOT(ISNUMBER(posicao_contratual!B55)),NOT(ISNUMBER(posicao_contratual!W55))),"",ROUND(posicao_contratual!B55*posicao_contratual!W55,2))</f>
        <v/>
      </c>
    </row>
    <row r="58">
      <c r="A58">
        <f>IF(posicao_contratual!A56="","",posicao_contratual!A56)</f>
        <v/>
      </c>
      <c r="B58" s="213">
        <f>IF(posicao_contratual!A56="","",posicao_contratual!B56)</f>
        <v/>
      </c>
      <c r="C58" s="213">
        <f>IF(OR(posicao_contratual!A56="",NOT(ISNUMBER(posicao_contratual!B56)),NOT(ISNUMBER(posicao_contratual!G56))),"",ROUND(posicao_contratual!B56*posicao_contratual!G56,2))</f>
        <v/>
      </c>
      <c r="D58" s="213">
        <f>IF(OR(posicao_contratual!A56="",NOT(ISNUMBER(posicao_contratual!B56)),NOT(ISNUMBER(posicao_contratual!K56))),"",ROUND(posicao_contratual!B56*posicao_contratual!K56,2))</f>
        <v/>
      </c>
      <c r="E58" s="213">
        <f>IF(OR(posicao_contratual!A56="",NOT(ISNUMBER(posicao_contratual!B56)),NOT(ISNUMBER(posicao_contratual!O56))),"",ROUND(posicao_contratual!B56*posicao_contratual!O56,2))</f>
        <v/>
      </c>
      <c r="F58" s="213">
        <f>IF(OR(posicao_contratual!A56="",NOT(ISNUMBER(posicao_contratual!B56)),NOT(ISNUMBER(posicao_contratual!S56))),"",ROUND(posicao_contratual!B56*posicao_contratual!S56,2))</f>
        <v/>
      </c>
      <c r="G58" s="213">
        <f>IF(OR(posicao_contratual!A56="",NOT(ISNUMBER(posicao_contratual!B56)),NOT(ISNUMBER(posicao_contratual!W56))),"",ROUND(posicao_contratual!B56*posicao_contratual!W56,2))</f>
        <v/>
      </c>
    </row>
    <row r="59">
      <c r="A59">
        <f>IF(posicao_contratual!A57="","",posicao_contratual!A57)</f>
        <v/>
      </c>
      <c r="B59" s="213">
        <f>IF(posicao_contratual!A57="","",posicao_contratual!B57)</f>
        <v/>
      </c>
      <c r="C59" s="213">
        <f>IF(OR(posicao_contratual!A57="",NOT(ISNUMBER(posicao_contratual!B57)),NOT(ISNUMBER(posicao_contratual!G57))),"",ROUND(posicao_contratual!B57*posicao_contratual!G57,2))</f>
        <v/>
      </c>
      <c r="D59" s="213">
        <f>IF(OR(posicao_contratual!A57="",NOT(ISNUMBER(posicao_contratual!B57)),NOT(ISNUMBER(posicao_contratual!K57))),"",ROUND(posicao_contratual!B57*posicao_contratual!K57,2))</f>
        <v/>
      </c>
      <c r="E59" s="213">
        <f>IF(OR(posicao_contratual!A57="",NOT(ISNUMBER(posicao_contratual!B57)),NOT(ISNUMBER(posicao_contratual!O57))),"",ROUND(posicao_contratual!B57*posicao_contratual!O57,2))</f>
        <v/>
      </c>
      <c r="F59" s="213">
        <f>IF(OR(posicao_contratual!A57="",NOT(ISNUMBER(posicao_contratual!B57)),NOT(ISNUMBER(posicao_contratual!S57))),"",ROUND(posicao_contratual!B57*posicao_contratual!S57,2))</f>
        <v/>
      </c>
      <c r="G59" s="213">
        <f>IF(OR(posicao_contratual!A57="",NOT(ISNUMBER(posicao_contratual!B57)),NOT(ISNUMBER(posicao_contratual!W57))),"",ROUND(posicao_contratual!B57*posicao_contratual!W57,2))</f>
        <v/>
      </c>
    </row>
    <row r="60">
      <c r="A60">
        <f>IF(posicao_contratual!A58="","",posicao_contratual!A58)</f>
        <v/>
      </c>
      <c r="B60" s="213">
        <f>IF(posicao_contratual!A58="","",posicao_contratual!B58)</f>
        <v/>
      </c>
      <c r="C60" s="213">
        <f>IF(OR(posicao_contratual!A58="",NOT(ISNUMBER(posicao_contratual!B58)),NOT(ISNUMBER(posicao_contratual!G58))),"",ROUND(posicao_contratual!B58*posicao_contratual!G58,2))</f>
        <v/>
      </c>
      <c r="D60" s="213">
        <f>IF(OR(posicao_contratual!A58="",NOT(ISNUMBER(posicao_contratual!B58)),NOT(ISNUMBER(posicao_contratual!K58))),"",ROUND(posicao_contratual!B58*posicao_contratual!K58,2))</f>
        <v/>
      </c>
      <c r="E60" s="213">
        <f>IF(OR(posicao_contratual!A58="",NOT(ISNUMBER(posicao_contratual!B58)),NOT(ISNUMBER(posicao_contratual!O58))),"",ROUND(posicao_contratual!B58*posicao_contratual!O58,2))</f>
        <v/>
      </c>
      <c r="F60" s="213">
        <f>IF(OR(posicao_contratual!A58="",NOT(ISNUMBER(posicao_contratual!B58)),NOT(ISNUMBER(posicao_contratual!S58))),"",ROUND(posicao_contratual!B58*posicao_contratual!S58,2))</f>
        <v/>
      </c>
      <c r="G60" s="213">
        <f>IF(OR(posicao_contratual!A58="",NOT(ISNUMBER(posicao_contratual!B58)),NOT(ISNUMBER(posicao_contratual!W58))),"",ROUND(posicao_contratual!B58*posicao_contratual!W58,2))</f>
        <v/>
      </c>
    </row>
    <row r="61">
      <c r="A61">
        <f>IF(posicao_contratual!A59="","",posicao_contratual!A59)</f>
        <v/>
      </c>
      <c r="B61" s="213">
        <f>IF(posicao_contratual!A59="","",posicao_contratual!B59)</f>
        <v/>
      </c>
      <c r="C61" s="213">
        <f>IF(OR(posicao_contratual!A59="",NOT(ISNUMBER(posicao_contratual!B59)),NOT(ISNUMBER(posicao_contratual!G59))),"",ROUND(posicao_contratual!B59*posicao_contratual!G59,2))</f>
        <v/>
      </c>
      <c r="D61" s="213">
        <f>IF(OR(posicao_contratual!A59="",NOT(ISNUMBER(posicao_contratual!B59)),NOT(ISNUMBER(posicao_contratual!K59))),"",ROUND(posicao_contratual!B59*posicao_contratual!K59,2))</f>
        <v/>
      </c>
      <c r="E61" s="213">
        <f>IF(OR(posicao_contratual!A59="",NOT(ISNUMBER(posicao_contratual!B59)),NOT(ISNUMBER(posicao_contratual!O59))),"",ROUND(posicao_contratual!B59*posicao_contratual!O59,2))</f>
        <v/>
      </c>
      <c r="F61" s="213">
        <f>IF(OR(posicao_contratual!A59="",NOT(ISNUMBER(posicao_contratual!B59)),NOT(ISNUMBER(posicao_contratual!S59))),"",ROUND(posicao_contratual!B59*posicao_contratual!S59,2))</f>
        <v/>
      </c>
      <c r="G61" s="213">
        <f>IF(OR(posicao_contratual!A59="",NOT(ISNUMBER(posicao_contratual!B59)),NOT(ISNUMBER(posicao_contratual!W59))),"",ROUND(posicao_contratual!B59*posicao_contratual!W59,2))</f>
        <v/>
      </c>
    </row>
    <row r="62">
      <c r="A62">
        <f>IF(posicao_contratual!A60="","",posicao_contratual!A60)</f>
        <v/>
      </c>
      <c r="B62" s="213">
        <f>IF(posicao_contratual!A60="","",posicao_contratual!B60)</f>
        <v/>
      </c>
      <c r="C62" s="213">
        <f>IF(OR(posicao_contratual!A60="",NOT(ISNUMBER(posicao_contratual!B60)),NOT(ISNUMBER(posicao_contratual!G60))),"",ROUND(posicao_contratual!B60*posicao_contratual!G60,2))</f>
        <v/>
      </c>
      <c r="D62" s="213">
        <f>IF(OR(posicao_contratual!A60="",NOT(ISNUMBER(posicao_contratual!B60)),NOT(ISNUMBER(posicao_contratual!K60))),"",ROUND(posicao_contratual!B60*posicao_contratual!K60,2))</f>
        <v/>
      </c>
      <c r="E62" s="213">
        <f>IF(OR(posicao_contratual!A60="",NOT(ISNUMBER(posicao_contratual!B60)),NOT(ISNUMBER(posicao_contratual!O60))),"",ROUND(posicao_contratual!B60*posicao_contratual!O60,2))</f>
        <v/>
      </c>
      <c r="F62" s="213">
        <f>IF(OR(posicao_contratual!A60="",NOT(ISNUMBER(posicao_contratual!B60)),NOT(ISNUMBER(posicao_contratual!S60))),"",ROUND(posicao_contratual!B60*posicao_contratual!S60,2))</f>
        <v/>
      </c>
      <c r="G62" s="213">
        <f>IF(OR(posicao_contratual!A60="",NOT(ISNUMBER(posicao_contratual!B60)),NOT(ISNUMBER(posicao_contratual!W60))),"",ROUND(posicao_contratual!B60*posicao_contratual!W60,2))</f>
        <v/>
      </c>
    </row>
    <row r="63">
      <c r="A63">
        <f>IF(posicao_contratual!A61="","",posicao_contratual!A61)</f>
        <v/>
      </c>
      <c r="B63" s="213">
        <f>IF(posicao_contratual!A61="","",posicao_contratual!B61)</f>
        <v/>
      </c>
      <c r="C63" s="213">
        <f>IF(OR(posicao_contratual!A61="",NOT(ISNUMBER(posicao_contratual!B61)),NOT(ISNUMBER(posicao_contratual!G61))),"",ROUND(posicao_contratual!B61*posicao_contratual!G61,2))</f>
        <v/>
      </c>
      <c r="D63" s="213">
        <f>IF(OR(posicao_contratual!A61="",NOT(ISNUMBER(posicao_contratual!B61)),NOT(ISNUMBER(posicao_contratual!K61))),"",ROUND(posicao_contratual!B61*posicao_contratual!K61,2))</f>
        <v/>
      </c>
      <c r="E63" s="213">
        <f>IF(OR(posicao_contratual!A61="",NOT(ISNUMBER(posicao_contratual!B61)),NOT(ISNUMBER(posicao_contratual!O61))),"",ROUND(posicao_contratual!B61*posicao_contratual!O61,2))</f>
        <v/>
      </c>
      <c r="F63" s="213">
        <f>IF(OR(posicao_contratual!A61="",NOT(ISNUMBER(posicao_contratual!B61)),NOT(ISNUMBER(posicao_contratual!S61))),"",ROUND(posicao_contratual!B61*posicao_contratual!S61,2))</f>
        <v/>
      </c>
      <c r="G63" s="213">
        <f>IF(OR(posicao_contratual!A61="",NOT(ISNUMBER(posicao_contratual!B61)),NOT(ISNUMBER(posicao_contratual!W61))),"",ROUND(posicao_contratual!B61*posicao_contratual!W61,2))</f>
        <v/>
      </c>
    </row>
    <row r="64">
      <c r="A64">
        <f>IF(posicao_contratual!A62="","",posicao_contratual!A62)</f>
        <v/>
      </c>
      <c r="B64" s="213">
        <f>IF(posicao_contratual!A62="","",posicao_contratual!B62)</f>
        <v/>
      </c>
      <c r="C64" s="213">
        <f>IF(OR(posicao_contratual!A62="",NOT(ISNUMBER(posicao_contratual!B62)),NOT(ISNUMBER(posicao_contratual!G62))),"",ROUND(posicao_contratual!B62*posicao_contratual!G62,2))</f>
        <v/>
      </c>
      <c r="D64" s="213">
        <f>IF(OR(posicao_contratual!A62="",NOT(ISNUMBER(posicao_contratual!B62)),NOT(ISNUMBER(posicao_contratual!K62))),"",ROUND(posicao_contratual!B62*posicao_contratual!K62,2))</f>
        <v/>
      </c>
      <c r="E64" s="213">
        <f>IF(OR(posicao_contratual!A62="",NOT(ISNUMBER(posicao_contratual!B62)),NOT(ISNUMBER(posicao_contratual!O62))),"",ROUND(posicao_contratual!B62*posicao_contratual!O62,2))</f>
        <v/>
      </c>
      <c r="F64" s="213">
        <f>IF(OR(posicao_contratual!A62="",NOT(ISNUMBER(posicao_contratual!B62)),NOT(ISNUMBER(posicao_contratual!S62))),"",ROUND(posicao_contratual!B62*posicao_contratual!S62,2))</f>
        <v/>
      </c>
      <c r="G64" s="213">
        <f>IF(OR(posicao_contratual!A62="",NOT(ISNUMBER(posicao_contratual!B62)),NOT(ISNUMBER(posicao_contratual!W62))),"",ROUND(posicao_contratual!B62*posicao_contratual!W62,2))</f>
        <v/>
      </c>
    </row>
    <row r="65">
      <c r="A65">
        <f>IF(posicao_contratual!A63="","",posicao_contratual!A63)</f>
        <v/>
      </c>
      <c r="B65" s="213">
        <f>IF(posicao_contratual!A63="","",posicao_contratual!B63)</f>
        <v/>
      </c>
      <c r="C65" s="213">
        <f>IF(OR(posicao_contratual!A63="",NOT(ISNUMBER(posicao_contratual!B63)),NOT(ISNUMBER(posicao_contratual!G63))),"",ROUND(posicao_contratual!B63*posicao_contratual!G63,2))</f>
        <v/>
      </c>
      <c r="D65" s="213">
        <f>IF(OR(posicao_contratual!A63="",NOT(ISNUMBER(posicao_contratual!B63)),NOT(ISNUMBER(posicao_contratual!K63))),"",ROUND(posicao_contratual!B63*posicao_contratual!K63,2))</f>
        <v/>
      </c>
      <c r="E65" s="213">
        <f>IF(OR(posicao_contratual!A63="",NOT(ISNUMBER(posicao_contratual!B63)),NOT(ISNUMBER(posicao_contratual!O63))),"",ROUND(posicao_contratual!B63*posicao_contratual!O63,2))</f>
        <v/>
      </c>
      <c r="F65" s="213">
        <f>IF(OR(posicao_contratual!A63="",NOT(ISNUMBER(posicao_contratual!B63)),NOT(ISNUMBER(posicao_contratual!S63))),"",ROUND(posicao_contratual!B63*posicao_contratual!S63,2))</f>
        <v/>
      </c>
      <c r="G65" s="213">
        <f>IF(OR(posicao_contratual!A63="",NOT(ISNUMBER(posicao_contratual!B63)),NOT(ISNUMBER(posicao_contratual!W63))),"",ROUND(posicao_contratual!B63*posicao_contratual!W63,2))</f>
        <v/>
      </c>
    </row>
    <row r="66">
      <c r="A66">
        <f>IF(posicao_contratual!A64="","",posicao_contratual!A64)</f>
        <v/>
      </c>
      <c r="B66" s="213">
        <f>IF(posicao_contratual!A64="","",posicao_contratual!B64)</f>
        <v/>
      </c>
      <c r="C66" s="213">
        <f>IF(OR(posicao_contratual!A64="",NOT(ISNUMBER(posicao_contratual!B64)),NOT(ISNUMBER(posicao_contratual!G64))),"",ROUND(posicao_contratual!B64*posicao_contratual!G64,2))</f>
        <v/>
      </c>
      <c r="D66" s="213">
        <f>IF(OR(posicao_contratual!A64="",NOT(ISNUMBER(posicao_contratual!B64)),NOT(ISNUMBER(posicao_contratual!K64))),"",ROUND(posicao_contratual!B64*posicao_contratual!K64,2))</f>
        <v/>
      </c>
      <c r="E66" s="213">
        <f>IF(OR(posicao_contratual!A64="",NOT(ISNUMBER(posicao_contratual!B64)),NOT(ISNUMBER(posicao_contratual!O64))),"",ROUND(posicao_contratual!B64*posicao_contratual!O64,2))</f>
        <v/>
      </c>
      <c r="F66" s="213">
        <f>IF(OR(posicao_contratual!A64="",NOT(ISNUMBER(posicao_contratual!B64)),NOT(ISNUMBER(posicao_contratual!S64))),"",ROUND(posicao_contratual!B64*posicao_contratual!S64,2))</f>
        <v/>
      </c>
      <c r="G66" s="213">
        <f>IF(OR(posicao_contratual!A64="",NOT(ISNUMBER(posicao_contratual!B64)),NOT(ISNUMBER(posicao_contratual!W64))),"",ROUND(posicao_contratual!B64*posicao_contratual!W64,2))</f>
        <v/>
      </c>
    </row>
    <row r="67">
      <c r="A67">
        <f>IF(posicao_contratual!A65="","",posicao_contratual!A65)</f>
        <v/>
      </c>
      <c r="B67" s="213">
        <f>IF(posicao_contratual!A65="","",posicao_contratual!B65)</f>
        <v/>
      </c>
      <c r="C67" s="213">
        <f>IF(OR(posicao_contratual!A65="",NOT(ISNUMBER(posicao_contratual!B65)),NOT(ISNUMBER(posicao_contratual!G65))),"",ROUND(posicao_contratual!B65*posicao_contratual!G65,2))</f>
        <v/>
      </c>
      <c r="D67" s="213">
        <f>IF(OR(posicao_contratual!A65="",NOT(ISNUMBER(posicao_contratual!B65)),NOT(ISNUMBER(posicao_contratual!K65))),"",ROUND(posicao_contratual!B65*posicao_contratual!K65,2))</f>
        <v/>
      </c>
      <c r="E67" s="213">
        <f>IF(OR(posicao_contratual!A65="",NOT(ISNUMBER(posicao_contratual!B65)),NOT(ISNUMBER(posicao_contratual!O65))),"",ROUND(posicao_contratual!B65*posicao_contratual!O65,2))</f>
        <v/>
      </c>
      <c r="F67" s="213">
        <f>IF(OR(posicao_contratual!A65="",NOT(ISNUMBER(posicao_contratual!B65)),NOT(ISNUMBER(posicao_contratual!S65))),"",ROUND(posicao_contratual!B65*posicao_contratual!S65,2))</f>
        <v/>
      </c>
      <c r="G67" s="213">
        <f>IF(OR(posicao_contratual!A65="",NOT(ISNUMBER(posicao_contratual!B65)),NOT(ISNUMBER(posicao_contratual!W65))),"",ROUND(posicao_contratual!B65*posicao_contratual!W65,2))</f>
        <v/>
      </c>
    </row>
    <row r="68">
      <c r="A68">
        <f>IF(posicao_contratual!A66="","",posicao_contratual!A66)</f>
        <v/>
      </c>
      <c r="B68" s="213">
        <f>IF(posicao_contratual!A66="","",posicao_contratual!B66)</f>
        <v/>
      </c>
      <c r="C68" s="213">
        <f>IF(OR(posicao_contratual!A66="",NOT(ISNUMBER(posicao_contratual!B66)),NOT(ISNUMBER(posicao_contratual!G66))),"",ROUND(posicao_contratual!B66*posicao_contratual!G66,2))</f>
        <v/>
      </c>
      <c r="D68" s="213">
        <f>IF(OR(posicao_contratual!A66="",NOT(ISNUMBER(posicao_contratual!B66)),NOT(ISNUMBER(posicao_contratual!K66))),"",ROUND(posicao_contratual!B66*posicao_contratual!K66,2))</f>
        <v/>
      </c>
      <c r="E68" s="213">
        <f>IF(OR(posicao_contratual!A66="",NOT(ISNUMBER(posicao_contratual!B66)),NOT(ISNUMBER(posicao_contratual!O66))),"",ROUND(posicao_contratual!B66*posicao_contratual!O66,2))</f>
        <v/>
      </c>
      <c r="F68" s="213">
        <f>IF(OR(posicao_contratual!A66="",NOT(ISNUMBER(posicao_contratual!B66)),NOT(ISNUMBER(posicao_contratual!S66))),"",ROUND(posicao_contratual!B66*posicao_contratual!S66,2))</f>
        <v/>
      </c>
      <c r="G68" s="213">
        <f>IF(OR(posicao_contratual!A66="",NOT(ISNUMBER(posicao_contratual!B66)),NOT(ISNUMBER(posicao_contratual!W66))),"",ROUND(posicao_contratual!B66*posicao_contratual!W66,2))</f>
        <v/>
      </c>
    </row>
    <row r="69">
      <c r="A69">
        <f>IF(posicao_contratual!A67="","",posicao_contratual!A67)</f>
        <v/>
      </c>
      <c r="B69" s="213">
        <f>IF(posicao_contratual!A67="","",posicao_contratual!B67)</f>
        <v/>
      </c>
      <c r="C69" s="213">
        <f>IF(OR(posicao_contratual!A67="",NOT(ISNUMBER(posicao_contratual!B67)),NOT(ISNUMBER(posicao_contratual!G67))),"",ROUND(posicao_contratual!B67*posicao_contratual!G67,2))</f>
        <v/>
      </c>
      <c r="D69" s="213">
        <f>IF(OR(posicao_contratual!A67="",NOT(ISNUMBER(posicao_contratual!B67)),NOT(ISNUMBER(posicao_contratual!K67))),"",ROUND(posicao_contratual!B67*posicao_contratual!K67,2))</f>
        <v/>
      </c>
      <c r="E69" s="213">
        <f>IF(OR(posicao_contratual!A67="",NOT(ISNUMBER(posicao_contratual!B67)),NOT(ISNUMBER(posicao_contratual!O67))),"",ROUND(posicao_contratual!B67*posicao_contratual!O67,2))</f>
        <v/>
      </c>
      <c r="F69" s="213">
        <f>IF(OR(posicao_contratual!A67="",NOT(ISNUMBER(posicao_contratual!B67)),NOT(ISNUMBER(posicao_contratual!S67))),"",ROUND(posicao_contratual!B67*posicao_contratual!S67,2))</f>
        <v/>
      </c>
      <c r="G69" s="213">
        <f>IF(OR(posicao_contratual!A67="",NOT(ISNUMBER(posicao_contratual!B67)),NOT(ISNUMBER(posicao_contratual!W67))),"",ROUND(posicao_contratual!B67*posicao_contratual!W67,2))</f>
        <v/>
      </c>
    </row>
    <row r="70">
      <c r="A70">
        <f>IF(posicao_contratual!A68="","",posicao_contratual!A68)</f>
        <v/>
      </c>
      <c r="B70" s="213">
        <f>IF(posicao_contratual!A68="","",posicao_contratual!B68)</f>
        <v/>
      </c>
      <c r="C70" s="213">
        <f>IF(OR(posicao_contratual!A68="",NOT(ISNUMBER(posicao_contratual!B68)),NOT(ISNUMBER(posicao_contratual!G68))),"",ROUND(posicao_contratual!B68*posicao_contratual!G68,2))</f>
        <v/>
      </c>
      <c r="D70" s="213">
        <f>IF(OR(posicao_contratual!A68="",NOT(ISNUMBER(posicao_contratual!B68)),NOT(ISNUMBER(posicao_contratual!K68))),"",ROUND(posicao_contratual!B68*posicao_contratual!K68,2))</f>
        <v/>
      </c>
      <c r="E70" s="213">
        <f>IF(OR(posicao_contratual!A68="",NOT(ISNUMBER(posicao_contratual!B68)),NOT(ISNUMBER(posicao_contratual!O68))),"",ROUND(posicao_contratual!B68*posicao_contratual!O68,2))</f>
        <v/>
      </c>
      <c r="F70" s="213">
        <f>IF(OR(posicao_contratual!A68="",NOT(ISNUMBER(posicao_contratual!B68)),NOT(ISNUMBER(posicao_contratual!S68))),"",ROUND(posicao_contratual!B68*posicao_contratual!S68,2))</f>
        <v/>
      </c>
      <c r="G70" s="213">
        <f>IF(OR(posicao_contratual!A68="",NOT(ISNUMBER(posicao_contratual!B68)),NOT(ISNUMBER(posicao_contratual!W68))),"",ROUND(posicao_contratual!B68*posicao_contratual!W68,2))</f>
        <v/>
      </c>
    </row>
    <row r="71">
      <c r="A71">
        <f>IF(posicao_contratual!A69="","",posicao_contratual!A69)</f>
        <v/>
      </c>
      <c r="B71" s="213">
        <f>IF(posicao_contratual!A69="","",posicao_contratual!B69)</f>
        <v/>
      </c>
      <c r="C71" s="213">
        <f>IF(OR(posicao_contratual!A69="",NOT(ISNUMBER(posicao_contratual!B69)),NOT(ISNUMBER(posicao_contratual!G69))),"",ROUND(posicao_contratual!B69*posicao_contratual!G69,2))</f>
        <v/>
      </c>
      <c r="D71" s="213">
        <f>IF(OR(posicao_contratual!A69="",NOT(ISNUMBER(posicao_contratual!B69)),NOT(ISNUMBER(posicao_contratual!K69))),"",ROUND(posicao_contratual!B69*posicao_contratual!K69,2))</f>
        <v/>
      </c>
      <c r="E71" s="213">
        <f>IF(OR(posicao_contratual!A69="",NOT(ISNUMBER(posicao_contratual!B69)),NOT(ISNUMBER(posicao_contratual!O69))),"",ROUND(posicao_contratual!B69*posicao_contratual!O69,2))</f>
        <v/>
      </c>
      <c r="F71" s="213">
        <f>IF(OR(posicao_contratual!A69="",NOT(ISNUMBER(posicao_contratual!B69)),NOT(ISNUMBER(posicao_contratual!S69))),"",ROUND(posicao_contratual!B69*posicao_contratual!S69,2))</f>
        <v/>
      </c>
      <c r="G71" s="213">
        <f>IF(OR(posicao_contratual!A69="",NOT(ISNUMBER(posicao_contratual!B69)),NOT(ISNUMBER(posicao_contratual!W69))),"",ROUND(posicao_contratual!B69*posicao_contratual!W69,2))</f>
        <v/>
      </c>
    </row>
    <row r="72">
      <c r="A72">
        <f>IF(posicao_contratual!A70="","",posicao_contratual!A70)</f>
        <v/>
      </c>
      <c r="B72" s="213">
        <f>IF(posicao_contratual!A70="","",posicao_contratual!B70)</f>
        <v/>
      </c>
      <c r="C72" s="213">
        <f>IF(OR(posicao_contratual!A70="",NOT(ISNUMBER(posicao_contratual!B70)),NOT(ISNUMBER(posicao_contratual!G70))),"",ROUND(posicao_contratual!B70*posicao_contratual!G70,2))</f>
        <v/>
      </c>
      <c r="D72" s="213">
        <f>IF(OR(posicao_contratual!A70="",NOT(ISNUMBER(posicao_contratual!B70)),NOT(ISNUMBER(posicao_contratual!K70))),"",ROUND(posicao_contratual!B70*posicao_contratual!K70,2))</f>
        <v/>
      </c>
      <c r="E72" s="213">
        <f>IF(OR(posicao_contratual!A70="",NOT(ISNUMBER(posicao_contratual!B70)),NOT(ISNUMBER(posicao_contratual!O70))),"",ROUND(posicao_contratual!B70*posicao_contratual!O70,2))</f>
        <v/>
      </c>
      <c r="F72" s="213">
        <f>IF(OR(posicao_contratual!A70="",NOT(ISNUMBER(posicao_contratual!B70)),NOT(ISNUMBER(posicao_contratual!S70))),"",ROUND(posicao_contratual!B70*posicao_contratual!S70,2))</f>
        <v/>
      </c>
      <c r="G72" s="213">
        <f>IF(OR(posicao_contratual!A70="",NOT(ISNUMBER(posicao_contratual!B70)),NOT(ISNUMBER(posicao_contratual!W70))),"",ROUND(posicao_contratual!B70*posicao_contratual!W70,2))</f>
        <v/>
      </c>
    </row>
    <row r="73">
      <c r="A73">
        <f>IF(posicao_contratual!A71="","",posicao_contratual!A71)</f>
        <v/>
      </c>
      <c r="B73" s="213">
        <f>IF(posicao_contratual!A71="","",posicao_contratual!B71)</f>
        <v/>
      </c>
      <c r="C73" s="213">
        <f>IF(OR(posicao_contratual!A71="",NOT(ISNUMBER(posicao_contratual!B71)),NOT(ISNUMBER(posicao_contratual!G71))),"",ROUND(posicao_contratual!B71*posicao_contratual!G71,2))</f>
        <v/>
      </c>
      <c r="D73" s="213">
        <f>IF(OR(posicao_contratual!A71="",NOT(ISNUMBER(posicao_contratual!B71)),NOT(ISNUMBER(posicao_contratual!K71))),"",ROUND(posicao_contratual!B71*posicao_contratual!K71,2))</f>
        <v/>
      </c>
      <c r="E73" s="213">
        <f>IF(OR(posicao_contratual!A71="",NOT(ISNUMBER(posicao_contratual!B71)),NOT(ISNUMBER(posicao_contratual!O71))),"",ROUND(posicao_contratual!B71*posicao_contratual!O71,2))</f>
        <v/>
      </c>
      <c r="F73" s="213">
        <f>IF(OR(posicao_contratual!A71="",NOT(ISNUMBER(posicao_contratual!B71)),NOT(ISNUMBER(posicao_contratual!S71))),"",ROUND(posicao_contratual!B71*posicao_contratual!S71,2))</f>
        <v/>
      </c>
      <c r="G73" s="213">
        <f>IF(OR(posicao_contratual!A71="",NOT(ISNUMBER(posicao_contratual!B71)),NOT(ISNUMBER(posicao_contratual!W71))),"",ROUND(posicao_contratual!B71*posicao_contratual!W71,2))</f>
        <v/>
      </c>
    </row>
    <row r="74">
      <c r="A74">
        <f>IF(posicao_contratual!A72="","",posicao_contratual!A72)</f>
        <v/>
      </c>
      <c r="B74" s="213">
        <f>IF(posicao_contratual!A72="","",posicao_contratual!B72)</f>
        <v/>
      </c>
      <c r="C74" s="213">
        <f>IF(OR(posicao_contratual!A72="",NOT(ISNUMBER(posicao_contratual!B72)),NOT(ISNUMBER(posicao_contratual!G72))),"",ROUND(posicao_contratual!B72*posicao_contratual!G72,2))</f>
        <v/>
      </c>
      <c r="D74" s="213">
        <f>IF(OR(posicao_contratual!A72="",NOT(ISNUMBER(posicao_contratual!B72)),NOT(ISNUMBER(posicao_contratual!K72))),"",ROUND(posicao_contratual!B72*posicao_contratual!K72,2))</f>
        <v/>
      </c>
      <c r="E74" s="213">
        <f>IF(OR(posicao_contratual!A72="",NOT(ISNUMBER(posicao_contratual!B72)),NOT(ISNUMBER(posicao_contratual!O72))),"",ROUND(posicao_contratual!B72*posicao_contratual!O72,2))</f>
        <v/>
      </c>
      <c r="F74" s="213">
        <f>IF(OR(posicao_contratual!A72="",NOT(ISNUMBER(posicao_contratual!B72)),NOT(ISNUMBER(posicao_contratual!S72))),"",ROUND(posicao_contratual!B72*posicao_contratual!S72,2))</f>
        <v/>
      </c>
      <c r="G74" s="213">
        <f>IF(OR(posicao_contratual!A72="",NOT(ISNUMBER(posicao_contratual!B72)),NOT(ISNUMBER(posicao_contratual!W72))),"",ROUND(posicao_contratual!B72*posicao_contratual!W72,2))</f>
        <v/>
      </c>
    </row>
    <row r="75">
      <c r="A75">
        <f>IF(posicao_contratual!A73="","",posicao_contratual!A73)</f>
        <v/>
      </c>
      <c r="B75" s="213">
        <f>IF(posicao_contratual!A73="","",posicao_contratual!B73)</f>
        <v/>
      </c>
      <c r="C75" s="213">
        <f>IF(OR(posicao_contratual!A73="",NOT(ISNUMBER(posicao_contratual!B73)),NOT(ISNUMBER(posicao_contratual!G73))),"",ROUND(posicao_contratual!B73*posicao_contratual!G73,2))</f>
        <v/>
      </c>
      <c r="D75" s="213">
        <f>IF(OR(posicao_contratual!A73="",NOT(ISNUMBER(posicao_contratual!B73)),NOT(ISNUMBER(posicao_contratual!K73))),"",ROUND(posicao_contratual!B73*posicao_contratual!K73,2))</f>
        <v/>
      </c>
      <c r="E75" s="213">
        <f>IF(OR(posicao_contratual!A73="",NOT(ISNUMBER(posicao_contratual!B73)),NOT(ISNUMBER(posicao_contratual!O73))),"",ROUND(posicao_contratual!B73*posicao_contratual!O73,2))</f>
        <v/>
      </c>
      <c r="F75" s="213">
        <f>IF(OR(posicao_contratual!A73="",NOT(ISNUMBER(posicao_contratual!B73)),NOT(ISNUMBER(posicao_contratual!S73))),"",ROUND(posicao_contratual!B73*posicao_contratual!S73,2))</f>
        <v/>
      </c>
      <c r="G75" s="213">
        <f>IF(OR(posicao_contratual!A73="",NOT(ISNUMBER(posicao_contratual!B73)),NOT(ISNUMBER(posicao_contratual!W73))),"",ROUND(posicao_contratual!B73*posicao_contratual!W73,2))</f>
        <v/>
      </c>
    </row>
    <row r="76">
      <c r="A76">
        <f>IF(posicao_contratual!A74="","",posicao_contratual!A74)</f>
        <v/>
      </c>
      <c r="B76" s="213">
        <f>IF(posicao_contratual!A74="","",posicao_contratual!B74)</f>
        <v/>
      </c>
      <c r="C76" s="213">
        <f>IF(OR(posicao_contratual!A74="",NOT(ISNUMBER(posicao_contratual!B74)),NOT(ISNUMBER(posicao_contratual!G74))),"",ROUND(posicao_contratual!B74*posicao_contratual!G74,2))</f>
        <v/>
      </c>
      <c r="D76" s="213">
        <f>IF(OR(posicao_contratual!A74="",NOT(ISNUMBER(posicao_contratual!B74)),NOT(ISNUMBER(posicao_contratual!K74))),"",ROUND(posicao_contratual!B74*posicao_contratual!K74,2))</f>
        <v/>
      </c>
      <c r="E76" s="213">
        <f>IF(OR(posicao_contratual!A74="",NOT(ISNUMBER(posicao_contratual!B74)),NOT(ISNUMBER(posicao_contratual!O74))),"",ROUND(posicao_contratual!B74*posicao_contratual!O74,2))</f>
        <v/>
      </c>
      <c r="F76" s="213">
        <f>IF(OR(posicao_contratual!A74="",NOT(ISNUMBER(posicao_contratual!B74)),NOT(ISNUMBER(posicao_contratual!S74))),"",ROUND(posicao_contratual!B74*posicao_contratual!S74,2))</f>
        <v/>
      </c>
      <c r="G76" s="213">
        <f>IF(OR(posicao_contratual!A74="",NOT(ISNUMBER(posicao_contratual!B74)),NOT(ISNUMBER(posicao_contratual!W74))),"",ROUND(posicao_contratual!B74*posicao_contratual!W74,2))</f>
        <v/>
      </c>
    </row>
    <row r="77">
      <c r="A77">
        <f>IF(posicao_contratual!A75="","",posicao_contratual!A75)</f>
        <v/>
      </c>
      <c r="B77" s="213">
        <f>IF(posicao_contratual!A75="","",posicao_contratual!B75)</f>
        <v/>
      </c>
      <c r="C77" s="213">
        <f>IF(OR(posicao_contratual!A75="",NOT(ISNUMBER(posicao_contratual!B75)),NOT(ISNUMBER(posicao_contratual!G75))),"",ROUND(posicao_contratual!B75*posicao_contratual!G75,2))</f>
        <v/>
      </c>
      <c r="D77" s="213">
        <f>IF(OR(posicao_contratual!A75="",NOT(ISNUMBER(posicao_contratual!B75)),NOT(ISNUMBER(posicao_contratual!K75))),"",ROUND(posicao_contratual!B75*posicao_contratual!K75,2))</f>
        <v/>
      </c>
      <c r="E77" s="213">
        <f>IF(OR(posicao_contratual!A75="",NOT(ISNUMBER(posicao_contratual!B75)),NOT(ISNUMBER(posicao_contratual!O75))),"",ROUND(posicao_contratual!B75*posicao_contratual!O75,2))</f>
        <v/>
      </c>
      <c r="F77" s="213">
        <f>IF(OR(posicao_contratual!A75="",NOT(ISNUMBER(posicao_contratual!B75)),NOT(ISNUMBER(posicao_contratual!S75))),"",ROUND(posicao_contratual!B75*posicao_contratual!S75,2))</f>
        <v/>
      </c>
      <c r="G77" s="213">
        <f>IF(OR(posicao_contratual!A75="",NOT(ISNUMBER(posicao_contratual!B75)),NOT(ISNUMBER(posicao_contratual!W75))),"",ROUND(posicao_contratual!B75*posicao_contratual!W75,2))</f>
        <v/>
      </c>
    </row>
    <row r="78">
      <c r="A78">
        <f>IF(posicao_contratual!A76="","",posicao_contratual!A76)</f>
        <v/>
      </c>
      <c r="B78" s="213">
        <f>IF(posicao_contratual!A76="","",posicao_contratual!B76)</f>
        <v/>
      </c>
      <c r="C78" s="213">
        <f>IF(OR(posicao_contratual!A76="",NOT(ISNUMBER(posicao_contratual!B76)),NOT(ISNUMBER(posicao_contratual!G76))),"",ROUND(posicao_contratual!B76*posicao_contratual!G76,2))</f>
        <v/>
      </c>
      <c r="D78" s="213">
        <f>IF(OR(posicao_contratual!A76="",NOT(ISNUMBER(posicao_contratual!B76)),NOT(ISNUMBER(posicao_contratual!K76))),"",ROUND(posicao_contratual!B76*posicao_contratual!K76,2))</f>
        <v/>
      </c>
      <c r="E78" s="213">
        <f>IF(OR(posicao_contratual!A76="",NOT(ISNUMBER(posicao_contratual!B76)),NOT(ISNUMBER(posicao_contratual!O76))),"",ROUND(posicao_contratual!B76*posicao_contratual!O76,2))</f>
        <v/>
      </c>
      <c r="F78" s="213">
        <f>IF(OR(posicao_contratual!A76="",NOT(ISNUMBER(posicao_contratual!B76)),NOT(ISNUMBER(posicao_contratual!S76))),"",ROUND(posicao_contratual!B76*posicao_contratual!S76,2))</f>
        <v/>
      </c>
      <c r="G78" s="213">
        <f>IF(OR(posicao_contratual!A76="",NOT(ISNUMBER(posicao_contratual!B76)),NOT(ISNUMBER(posicao_contratual!W76))),"",ROUND(posicao_contratual!B76*posicao_contratual!W76,2))</f>
        <v/>
      </c>
    </row>
    <row r="79">
      <c r="A79">
        <f>IF(posicao_contratual!A77="","",posicao_contratual!A77)</f>
        <v/>
      </c>
      <c r="B79" s="213">
        <f>IF(posicao_contratual!A77="","",posicao_contratual!B77)</f>
        <v/>
      </c>
      <c r="C79" s="213">
        <f>IF(OR(posicao_contratual!A77="",NOT(ISNUMBER(posicao_contratual!B77)),NOT(ISNUMBER(posicao_contratual!G77))),"",ROUND(posicao_contratual!B77*posicao_contratual!G77,2))</f>
        <v/>
      </c>
      <c r="D79" s="213">
        <f>IF(OR(posicao_contratual!A77="",NOT(ISNUMBER(posicao_contratual!B77)),NOT(ISNUMBER(posicao_contratual!K77))),"",ROUND(posicao_contratual!B77*posicao_contratual!K77,2))</f>
        <v/>
      </c>
      <c r="E79" s="213">
        <f>IF(OR(posicao_contratual!A77="",NOT(ISNUMBER(posicao_contratual!B77)),NOT(ISNUMBER(posicao_contratual!O77))),"",ROUND(posicao_contratual!B77*posicao_contratual!O77,2))</f>
        <v/>
      </c>
      <c r="F79" s="213">
        <f>IF(OR(posicao_contratual!A77="",NOT(ISNUMBER(posicao_contratual!B77)),NOT(ISNUMBER(posicao_contratual!S77))),"",ROUND(posicao_contratual!B77*posicao_contratual!S77,2))</f>
        <v/>
      </c>
      <c r="G79" s="213">
        <f>IF(OR(posicao_contratual!A77="",NOT(ISNUMBER(posicao_contratual!B77)),NOT(ISNUMBER(posicao_contratual!W77))),"",ROUND(posicao_contratual!B77*posicao_contratual!W77,2))</f>
        <v/>
      </c>
    </row>
    <row r="80">
      <c r="A80">
        <f>IF(posicao_contratual!A78="","",posicao_contratual!A78)</f>
        <v/>
      </c>
      <c r="B80" s="213">
        <f>IF(posicao_contratual!A78="","",posicao_contratual!B78)</f>
        <v/>
      </c>
      <c r="C80" s="213">
        <f>IF(OR(posicao_contratual!A78="",NOT(ISNUMBER(posicao_contratual!B78)),NOT(ISNUMBER(posicao_contratual!G78))),"",ROUND(posicao_contratual!B78*posicao_contratual!G78,2))</f>
        <v/>
      </c>
      <c r="D80" s="213">
        <f>IF(OR(posicao_contratual!A78="",NOT(ISNUMBER(posicao_contratual!B78)),NOT(ISNUMBER(posicao_contratual!K78))),"",ROUND(posicao_contratual!B78*posicao_contratual!K78,2))</f>
        <v/>
      </c>
      <c r="E80" s="213">
        <f>IF(OR(posicao_contratual!A78="",NOT(ISNUMBER(posicao_contratual!B78)),NOT(ISNUMBER(posicao_contratual!O78))),"",ROUND(posicao_contratual!B78*posicao_contratual!O78,2))</f>
        <v/>
      </c>
      <c r="F80" s="213">
        <f>IF(OR(posicao_contratual!A78="",NOT(ISNUMBER(posicao_contratual!B78)),NOT(ISNUMBER(posicao_contratual!S78))),"",ROUND(posicao_contratual!B78*posicao_contratual!S78,2))</f>
        <v/>
      </c>
      <c r="G80" s="213">
        <f>IF(OR(posicao_contratual!A78="",NOT(ISNUMBER(posicao_contratual!B78)),NOT(ISNUMBER(posicao_contratual!W78))),"",ROUND(posicao_contratual!B78*posicao_contratual!W78,2))</f>
        <v/>
      </c>
    </row>
    <row r="81">
      <c r="A81">
        <f>IF(posicao_contratual!A79="","",posicao_contratual!A79)</f>
        <v/>
      </c>
      <c r="B81" s="213">
        <f>IF(posicao_contratual!A79="","",posicao_contratual!B79)</f>
        <v/>
      </c>
      <c r="C81" s="213">
        <f>IF(OR(posicao_contratual!A79="",NOT(ISNUMBER(posicao_contratual!B79)),NOT(ISNUMBER(posicao_contratual!G79))),"",ROUND(posicao_contratual!B79*posicao_contratual!G79,2))</f>
        <v/>
      </c>
      <c r="D81" s="213">
        <f>IF(OR(posicao_contratual!A79="",NOT(ISNUMBER(posicao_contratual!B79)),NOT(ISNUMBER(posicao_contratual!K79))),"",ROUND(posicao_contratual!B79*posicao_contratual!K79,2))</f>
        <v/>
      </c>
      <c r="E81" s="213">
        <f>IF(OR(posicao_contratual!A79="",NOT(ISNUMBER(posicao_contratual!B79)),NOT(ISNUMBER(posicao_contratual!O79))),"",ROUND(posicao_contratual!B79*posicao_contratual!O79,2))</f>
        <v/>
      </c>
      <c r="F81" s="213">
        <f>IF(OR(posicao_contratual!A79="",NOT(ISNUMBER(posicao_contratual!B79)),NOT(ISNUMBER(posicao_contratual!S79))),"",ROUND(posicao_contratual!B79*posicao_contratual!S79,2))</f>
        <v/>
      </c>
      <c r="G81" s="213">
        <f>IF(OR(posicao_contratual!A79="",NOT(ISNUMBER(posicao_contratual!B79)),NOT(ISNUMBER(posicao_contratual!W79))),"",ROUND(posicao_contratual!B79*posicao_contratual!W79,2))</f>
        <v/>
      </c>
    </row>
    <row r="82">
      <c r="A82">
        <f>IF(posicao_contratual!A80="","",posicao_contratual!A80)</f>
        <v/>
      </c>
      <c r="B82" s="213">
        <f>IF(posicao_contratual!A80="","",posicao_contratual!B80)</f>
        <v/>
      </c>
      <c r="C82" s="213">
        <f>IF(OR(posicao_contratual!A80="",NOT(ISNUMBER(posicao_contratual!B80)),NOT(ISNUMBER(posicao_contratual!G80))),"",ROUND(posicao_contratual!B80*posicao_contratual!G80,2))</f>
        <v/>
      </c>
      <c r="D82" s="213">
        <f>IF(OR(posicao_contratual!A80="",NOT(ISNUMBER(posicao_contratual!B80)),NOT(ISNUMBER(posicao_contratual!K80))),"",ROUND(posicao_contratual!B80*posicao_contratual!K80,2))</f>
        <v/>
      </c>
      <c r="E82" s="213">
        <f>IF(OR(posicao_contratual!A80="",NOT(ISNUMBER(posicao_contratual!B80)),NOT(ISNUMBER(posicao_contratual!O80))),"",ROUND(posicao_contratual!B80*posicao_contratual!O80,2))</f>
        <v/>
      </c>
      <c r="F82" s="213">
        <f>IF(OR(posicao_contratual!A80="",NOT(ISNUMBER(posicao_contratual!B80)),NOT(ISNUMBER(posicao_contratual!S80))),"",ROUND(posicao_contratual!B80*posicao_contratual!S80,2))</f>
        <v/>
      </c>
      <c r="G82" s="213">
        <f>IF(OR(posicao_contratual!A80="",NOT(ISNUMBER(posicao_contratual!B80)),NOT(ISNUMBER(posicao_contratual!W80))),"",ROUND(posicao_contratual!B80*posicao_contratual!W80,2))</f>
        <v/>
      </c>
    </row>
    <row r="83">
      <c r="A83">
        <f>IF(posicao_contratual!A81="","",posicao_contratual!A81)</f>
        <v/>
      </c>
      <c r="B83" s="213">
        <f>IF(posicao_contratual!A81="","",posicao_contratual!B81)</f>
        <v/>
      </c>
      <c r="C83" s="213">
        <f>IF(OR(posicao_contratual!A81="",NOT(ISNUMBER(posicao_contratual!B81)),NOT(ISNUMBER(posicao_contratual!G81))),"",ROUND(posicao_contratual!B81*posicao_contratual!G81,2))</f>
        <v/>
      </c>
      <c r="D83" s="213">
        <f>IF(OR(posicao_contratual!A81="",NOT(ISNUMBER(posicao_contratual!B81)),NOT(ISNUMBER(posicao_contratual!K81))),"",ROUND(posicao_contratual!B81*posicao_contratual!K81,2))</f>
        <v/>
      </c>
      <c r="E83" s="213">
        <f>IF(OR(posicao_contratual!A81="",NOT(ISNUMBER(posicao_contratual!B81)),NOT(ISNUMBER(posicao_contratual!O81))),"",ROUND(posicao_contratual!B81*posicao_contratual!O81,2))</f>
        <v/>
      </c>
      <c r="F83" s="213">
        <f>IF(OR(posicao_contratual!A81="",NOT(ISNUMBER(posicao_contratual!B81)),NOT(ISNUMBER(posicao_contratual!S81))),"",ROUND(posicao_contratual!B81*posicao_contratual!S81,2))</f>
        <v/>
      </c>
      <c r="G83" s="213">
        <f>IF(OR(posicao_contratual!A81="",NOT(ISNUMBER(posicao_contratual!B81)),NOT(ISNUMBER(posicao_contratual!W81))),"",ROUND(posicao_contratual!B81*posicao_contratual!W81,2))</f>
        <v/>
      </c>
    </row>
    <row r="84">
      <c r="A84">
        <f>IF(posicao_contratual!A82="","",posicao_contratual!A82)</f>
        <v/>
      </c>
      <c r="B84" s="213">
        <f>IF(posicao_contratual!A82="","",posicao_contratual!B82)</f>
        <v/>
      </c>
      <c r="C84" s="213">
        <f>IF(OR(posicao_contratual!A82="",NOT(ISNUMBER(posicao_contratual!B82)),NOT(ISNUMBER(posicao_contratual!G82))),"",ROUND(posicao_contratual!B82*posicao_contratual!G82,2))</f>
        <v/>
      </c>
      <c r="D84" s="213">
        <f>IF(OR(posicao_contratual!A82="",NOT(ISNUMBER(posicao_contratual!B82)),NOT(ISNUMBER(posicao_contratual!K82))),"",ROUND(posicao_contratual!B82*posicao_contratual!K82,2))</f>
        <v/>
      </c>
      <c r="E84" s="213">
        <f>IF(OR(posicao_contratual!A82="",NOT(ISNUMBER(posicao_contratual!B82)),NOT(ISNUMBER(posicao_contratual!O82))),"",ROUND(posicao_contratual!B82*posicao_contratual!O82,2))</f>
        <v/>
      </c>
      <c r="F84" s="213">
        <f>IF(OR(posicao_contratual!A82="",NOT(ISNUMBER(posicao_contratual!B82)),NOT(ISNUMBER(posicao_contratual!S82))),"",ROUND(posicao_contratual!B82*posicao_contratual!S82,2))</f>
        <v/>
      </c>
      <c r="G84" s="213">
        <f>IF(OR(posicao_contratual!A82="",NOT(ISNUMBER(posicao_contratual!B82)),NOT(ISNUMBER(posicao_contratual!W82))),"",ROUND(posicao_contratual!B82*posicao_contratual!W82,2))</f>
        <v/>
      </c>
    </row>
    <row r="85">
      <c r="A85">
        <f>IF(posicao_contratual!A83="","",posicao_contratual!A83)</f>
        <v/>
      </c>
      <c r="B85" s="213">
        <f>IF(posicao_contratual!A83="","",posicao_contratual!B83)</f>
        <v/>
      </c>
      <c r="C85" s="213">
        <f>IF(OR(posicao_contratual!A83="",NOT(ISNUMBER(posicao_contratual!B83)),NOT(ISNUMBER(posicao_contratual!G83))),"",ROUND(posicao_contratual!B83*posicao_contratual!G83,2))</f>
        <v/>
      </c>
      <c r="D85" s="213">
        <f>IF(OR(posicao_contratual!A83="",NOT(ISNUMBER(posicao_contratual!B83)),NOT(ISNUMBER(posicao_contratual!K83))),"",ROUND(posicao_contratual!B83*posicao_contratual!K83,2))</f>
        <v/>
      </c>
      <c r="E85" s="213">
        <f>IF(OR(posicao_contratual!A83="",NOT(ISNUMBER(posicao_contratual!B83)),NOT(ISNUMBER(posicao_contratual!O83))),"",ROUND(posicao_contratual!B83*posicao_contratual!O83,2))</f>
        <v/>
      </c>
      <c r="F85" s="213">
        <f>IF(OR(posicao_contratual!A83="",NOT(ISNUMBER(posicao_contratual!B83)),NOT(ISNUMBER(posicao_contratual!S83))),"",ROUND(posicao_contratual!B83*posicao_contratual!S83,2))</f>
        <v/>
      </c>
      <c r="G85" s="213">
        <f>IF(OR(posicao_contratual!A83="",NOT(ISNUMBER(posicao_contratual!B83)),NOT(ISNUMBER(posicao_contratual!W83))),"",ROUND(posicao_contratual!B83*posicao_contratual!W83,2))</f>
        <v/>
      </c>
    </row>
    <row r="86">
      <c r="A86">
        <f>IF(posicao_contratual!A84="","",posicao_contratual!A84)</f>
        <v/>
      </c>
      <c r="B86" s="213">
        <f>IF(posicao_contratual!A84="","",posicao_contratual!B84)</f>
        <v/>
      </c>
      <c r="C86" s="213">
        <f>IF(OR(posicao_contratual!A84="",NOT(ISNUMBER(posicao_contratual!B84)),NOT(ISNUMBER(posicao_contratual!G84))),"",ROUND(posicao_contratual!B84*posicao_contratual!G84,2))</f>
        <v/>
      </c>
      <c r="D86" s="213">
        <f>IF(OR(posicao_contratual!A84="",NOT(ISNUMBER(posicao_contratual!B84)),NOT(ISNUMBER(posicao_contratual!K84))),"",ROUND(posicao_contratual!B84*posicao_contratual!K84,2))</f>
        <v/>
      </c>
      <c r="E86" s="213">
        <f>IF(OR(posicao_contratual!A84="",NOT(ISNUMBER(posicao_contratual!B84)),NOT(ISNUMBER(posicao_contratual!O84))),"",ROUND(posicao_contratual!B84*posicao_contratual!O84,2))</f>
        <v/>
      </c>
      <c r="F86" s="213">
        <f>IF(OR(posicao_contratual!A84="",NOT(ISNUMBER(posicao_contratual!B84)),NOT(ISNUMBER(posicao_contratual!S84))),"",ROUND(posicao_contratual!B84*posicao_contratual!S84,2))</f>
        <v/>
      </c>
      <c r="G86" s="213">
        <f>IF(OR(posicao_contratual!A84="",NOT(ISNUMBER(posicao_contratual!B84)),NOT(ISNUMBER(posicao_contratual!W84))),"",ROUND(posicao_contratual!B84*posicao_contratual!W84,2))</f>
        <v/>
      </c>
    </row>
    <row r="87">
      <c r="A87">
        <f>IF(posicao_contratual!A85="","",posicao_contratual!A85)</f>
        <v/>
      </c>
      <c r="B87" s="213">
        <f>IF(posicao_contratual!A85="","",posicao_contratual!B85)</f>
        <v/>
      </c>
      <c r="C87" s="213">
        <f>IF(OR(posicao_contratual!A85="",NOT(ISNUMBER(posicao_contratual!B85)),NOT(ISNUMBER(posicao_contratual!G85))),"",ROUND(posicao_contratual!B85*posicao_contratual!G85,2))</f>
        <v/>
      </c>
      <c r="D87" s="213">
        <f>IF(OR(posicao_contratual!A85="",NOT(ISNUMBER(posicao_contratual!B85)),NOT(ISNUMBER(posicao_contratual!K85))),"",ROUND(posicao_contratual!B85*posicao_contratual!K85,2))</f>
        <v/>
      </c>
      <c r="E87" s="213">
        <f>IF(OR(posicao_contratual!A85="",NOT(ISNUMBER(posicao_contratual!B85)),NOT(ISNUMBER(posicao_contratual!O85))),"",ROUND(posicao_contratual!B85*posicao_contratual!O85,2))</f>
        <v/>
      </c>
      <c r="F87" s="213">
        <f>IF(OR(posicao_contratual!A85="",NOT(ISNUMBER(posicao_contratual!B85)),NOT(ISNUMBER(posicao_contratual!S85))),"",ROUND(posicao_contratual!B85*posicao_contratual!S85,2))</f>
        <v/>
      </c>
      <c r="G87" s="213">
        <f>IF(OR(posicao_contratual!A85="",NOT(ISNUMBER(posicao_contratual!B85)),NOT(ISNUMBER(posicao_contratual!W85))),"",ROUND(posicao_contratual!B85*posicao_contratual!W85,2))</f>
        <v/>
      </c>
    </row>
    <row r="88">
      <c r="A88">
        <f>IF(posicao_contratual!A86="","",posicao_contratual!A86)</f>
        <v/>
      </c>
      <c r="B88" s="213">
        <f>IF(posicao_contratual!A86="","",posicao_contratual!B86)</f>
        <v/>
      </c>
      <c r="C88" s="213">
        <f>IF(OR(posicao_contratual!A86="",NOT(ISNUMBER(posicao_contratual!B86)),NOT(ISNUMBER(posicao_contratual!G86))),"",ROUND(posicao_contratual!B86*posicao_contratual!G86,2))</f>
        <v/>
      </c>
      <c r="D88" s="213">
        <f>IF(OR(posicao_contratual!A86="",NOT(ISNUMBER(posicao_contratual!B86)),NOT(ISNUMBER(posicao_contratual!K86))),"",ROUND(posicao_contratual!B86*posicao_contratual!K86,2))</f>
        <v/>
      </c>
      <c r="E88" s="213">
        <f>IF(OR(posicao_contratual!A86="",NOT(ISNUMBER(posicao_contratual!B86)),NOT(ISNUMBER(posicao_contratual!O86))),"",ROUND(posicao_contratual!B86*posicao_contratual!O86,2))</f>
        <v/>
      </c>
      <c r="F88" s="213">
        <f>IF(OR(posicao_contratual!A86="",NOT(ISNUMBER(posicao_contratual!B86)),NOT(ISNUMBER(posicao_contratual!S86))),"",ROUND(posicao_contratual!B86*posicao_contratual!S86,2))</f>
        <v/>
      </c>
      <c r="G88" s="213">
        <f>IF(OR(posicao_contratual!A86="",NOT(ISNUMBER(posicao_contratual!B86)),NOT(ISNUMBER(posicao_contratual!W86))),"",ROUND(posicao_contratual!B86*posicao_contratual!W86,2))</f>
        <v/>
      </c>
    </row>
    <row r="89">
      <c r="A89">
        <f>IF(posicao_contratual!A87="","",posicao_contratual!A87)</f>
        <v/>
      </c>
      <c r="B89" s="213">
        <f>IF(posicao_contratual!A87="","",posicao_contratual!B87)</f>
        <v/>
      </c>
      <c r="C89" s="213">
        <f>IF(OR(posicao_contratual!A87="",NOT(ISNUMBER(posicao_contratual!B87)),NOT(ISNUMBER(posicao_contratual!G87))),"",ROUND(posicao_contratual!B87*posicao_contratual!G87,2))</f>
        <v/>
      </c>
      <c r="D89" s="213">
        <f>IF(OR(posicao_contratual!A87="",NOT(ISNUMBER(posicao_contratual!B87)),NOT(ISNUMBER(posicao_contratual!K87))),"",ROUND(posicao_contratual!B87*posicao_contratual!K87,2))</f>
        <v/>
      </c>
      <c r="E89" s="213">
        <f>IF(OR(posicao_contratual!A87="",NOT(ISNUMBER(posicao_contratual!B87)),NOT(ISNUMBER(posicao_contratual!O87))),"",ROUND(posicao_contratual!B87*posicao_contratual!O87,2))</f>
        <v/>
      </c>
      <c r="F89" s="213">
        <f>IF(OR(posicao_contratual!A87="",NOT(ISNUMBER(posicao_contratual!B87)),NOT(ISNUMBER(posicao_contratual!S87))),"",ROUND(posicao_contratual!B87*posicao_contratual!S87,2))</f>
        <v/>
      </c>
      <c r="G89" s="213">
        <f>IF(OR(posicao_contratual!A87="",NOT(ISNUMBER(posicao_contratual!B87)),NOT(ISNUMBER(posicao_contratual!W87))),"",ROUND(posicao_contratual!B87*posicao_contratual!W87,2))</f>
        <v/>
      </c>
    </row>
    <row r="90">
      <c r="A90">
        <f>IF(posicao_contratual!A88="","",posicao_contratual!A88)</f>
        <v/>
      </c>
      <c r="B90" s="213">
        <f>IF(posicao_contratual!A88="","",posicao_contratual!B88)</f>
        <v/>
      </c>
      <c r="C90" s="213">
        <f>IF(OR(posicao_contratual!A88="",NOT(ISNUMBER(posicao_contratual!B88)),NOT(ISNUMBER(posicao_contratual!G88))),"",ROUND(posicao_contratual!B88*posicao_contratual!G88,2))</f>
        <v/>
      </c>
      <c r="D90" s="213">
        <f>IF(OR(posicao_contratual!A88="",NOT(ISNUMBER(posicao_contratual!B88)),NOT(ISNUMBER(posicao_contratual!K88))),"",ROUND(posicao_contratual!B88*posicao_contratual!K88,2))</f>
        <v/>
      </c>
      <c r="E90" s="213">
        <f>IF(OR(posicao_contratual!A88="",NOT(ISNUMBER(posicao_contratual!B88)),NOT(ISNUMBER(posicao_contratual!O88))),"",ROUND(posicao_contratual!B88*posicao_contratual!O88,2))</f>
        <v/>
      </c>
      <c r="F90" s="213">
        <f>IF(OR(posicao_contratual!A88="",NOT(ISNUMBER(posicao_contratual!B88)),NOT(ISNUMBER(posicao_contratual!S88))),"",ROUND(posicao_contratual!B88*posicao_contratual!S88,2))</f>
        <v/>
      </c>
      <c r="G90" s="213">
        <f>IF(OR(posicao_contratual!A88="",NOT(ISNUMBER(posicao_contratual!B88)),NOT(ISNUMBER(posicao_contratual!W88))),"",ROUND(posicao_contratual!B88*posicao_contratual!W88,2))</f>
        <v/>
      </c>
    </row>
    <row r="91">
      <c r="A91">
        <f>IF(posicao_contratual!A89="","",posicao_contratual!A89)</f>
        <v/>
      </c>
      <c r="B91" s="213">
        <f>IF(posicao_contratual!A89="","",posicao_contratual!B89)</f>
        <v/>
      </c>
      <c r="C91" s="213">
        <f>IF(OR(posicao_contratual!A89="",NOT(ISNUMBER(posicao_contratual!B89)),NOT(ISNUMBER(posicao_contratual!G89))),"",ROUND(posicao_contratual!B89*posicao_contratual!G89,2))</f>
        <v/>
      </c>
      <c r="D91" s="213">
        <f>IF(OR(posicao_contratual!A89="",NOT(ISNUMBER(posicao_contratual!B89)),NOT(ISNUMBER(posicao_contratual!K89))),"",ROUND(posicao_contratual!B89*posicao_contratual!K89,2))</f>
        <v/>
      </c>
      <c r="E91" s="213">
        <f>IF(OR(posicao_contratual!A89="",NOT(ISNUMBER(posicao_contratual!B89)),NOT(ISNUMBER(posicao_contratual!O89))),"",ROUND(posicao_contratual!B89*posicao_contratual!O89,2))</f>
        <v/>
      </c>
      <c r="F91" s="213">
        <f>IF(OR(posicao_contratual!A89="",NOT(ISNUMBER(posicao_contratual!B89)),NOT(ISNUMBER(posicao_contratual!S89))),"",ROUND(posicao_contratual!B89*posicao_contratual!S89,2))</f>
        <v/>
      </c>
      <c r="G91" s="213">
        <f>IF(OR(posicao_contratual!A89="",NOT(ISNUMBER(posicao_contratual!B89)),NOT(ISNUMBER(posicao_contratual!W89))),"",ROUND(posicao_contratual!B89*posicao_contratual!W89,2))</f>
        <v/>
      </c>
    </row>
    <row r="92">
      <c r="A92">
        <f>IF(posicao_contratual!A90="","",posicao_contratual!A90)</f>
        <v/>
      </c>
      <c r="B92" s="213">
        <f>IF(posicao_contratual!A90="","",posicao_contratual!B90)</f>
        <v/>
      </c>
      <c r="C92" s="213">
        <f>IF(OR(posicao_contratual!A90="",NOT(ISNUMBER(posicao_contratual!B90)),NOT(ISNUMBER(posicao_contratual!G90))),"",ROUND(posicao_contratual!B90*posicao_contratual!G90,2))</f>
        <v/>
      </c>
      <c r="D92" s="213">
        <f>IF(OR(posicao_contratual!A90="",NOT(ISNUMBER(posicao_contratual!B90)),NOT(ISNUMBER(posicao_contratual!K90))),"",ROUND(posicao_contratual!B90*posicao_contratual!K90,2))</f>
        <v/>
      </c>
      <c r="E92" s="213">
        <f>IF(OR(posicao_contratual!A90="",NOT(ISNUMBER(posicao_contratual!B90)),NOT(ISNUMBER(posicao_contratual!O90))),"",ROUND(posicao_contratual!B90*posicao_contratual!O90,2))</f>
        <v/>
      </c>
      <c r="F92" s="213">
        <f>IF(OR(posicao_contratual!A90="",NOT(ISNUMBER(posicao_contratual!B90)),NOT(ISNUMBER(posicao_contratual!S90))),"",ROUND(posicao_contratual!B90*posicao_contratual!S90,2))</f>
        <v/>
      </c>
      <c r="G92" s="213">
        <f>IF(OR(posicao_contratual!A90="",NOT(ISNUMBER(posicao_contratual!B90)),NOT(ISNUMBER(posicao_contratual!W90))),"",ROUND(posicao_contratual!B90*posicao_contratual!W90,2))</f>
        <v/>
      </c>
    </row>
    <row r="93">
      <c r="A93">
        <f>IF(posicao_contratual!A91="","",posicao_contratual!A91)</f>
        <v/>
      </c>
      <c r="B93" s="213">
        <f>IF(posicao_contratual!A91="","",posicao_contratual!B91)</f>
        <v/>
      </c>
      <c r="C93" s="213">
        <f>IF(OR(posicao_contratual!A91="",NOT(ISNUMBER(posicao_contratual!B91)),NOT(ISNUMBER(posicao_contratual!G91))),"",ROUND(posicao_contratual!B91*posicao_contratual!G91,2))</f>
        <v/>
      </c>
      <c r="D93" s="213">
        <f>IF(OR(posicao_contratual!A91="",NOT(ISNUMBER(posicao_contratual!B91)),NOT(ISNUMBER(posicao_contratual!K91))),"",ROUND(posicao_contratual!B91*posicao_contratual!K91,2))</f>
        <v/>
      </c>
      <c r="E93" s="213">
        <f>IF(OR(posicao_contratual!A91="",NOT(ISNUMBER(posicao_contratual!B91)),NOT(ISNUMBER(posicao_contratual!O91))),"",ROUND(posicao_contratual!B91*posicao_contratual!O91,2))</f>
        <v/>
      </c>
      <c r="F93" s="213">
        <f>IF(OR(posicao_contratual!A91="",NOT(ISNUMBER(posicao_contratual!B91)),NOT(ISNUMBER(posicao_contratual!S91))),"",ROUND(posicao_contratual!B91*posicao_contratual!S91,2))</f>
        <v/>
      </c>
      <c r="G93" s="213">
        <f>IF(OR(posicao_contratual!A91="",NOT(ISNUMBER(posicao_contratual!B91)),NOT(ISNUMBER(posicao_contratual!W91))),"",ROUND(posicao_contratual!B91*posicao_contratual!W91,2))</f>
        <v/>
      </c>
    </row>
    <row r="94">
      <c r="A94">
        <f>IF(posicao_contratual!A92="","",posicao_contratual!A92)</f>
        <v/>
      </c>
      <c r="B94" s="213">
        <f>IF(posicao_contratual!A92="","",posicao_contratual!B92)</f>
        <v/>
      </c>
      <c r="C94" s="213">
        <f>IF(OR(posicao_contratual!A92="",NOT(ISNUMBER(posicao_contratual!B92)),NOT(ISNUMBER(posicao_contratual!G92))),"",ROUND(posicao_contratual!B92*posicao_contratual!G92,2))</f>
        <v/>
      </c>
      <c r="D94" s="213">
        <f>IF(OR(posicao_contratual!A92="",NOT(ISNUMBER(posicao_contratual!B92)),NOT(ISNUMBER(posicao_contratual!K92))),"",ROUND(posicao_contratual!B92*posicao_contratual!K92,2))</f>
        <v/>
      </c>
      <c r="E94" s="213">
        <f>IF(OR(posicao_contratual!A92="",NOT(ISNUMBER(posicao_contratual!B92)),NOT(ISNUMBER(posicao_contratual!O92))),"",ROUND(posicao_contratual!B92*posicao_contratual!O92,2))</f>
        <v/>
      </c>
      <c r="F94" s="213">
        <f>IF(OR(posicao_contratual!A92="",NOT(ISNUMBER(posicao_contratual!B92)),NOT(ISNUMBER(posicao_contratual!S92))),"",ROUND(posicao_contratual!B92*posicao_contratual!S92,2))</f>
        <v/>
      </c>
      <c r="G94" s="213">
        <f>IF(OR(posicao_contratual!A92="",NOT(ISNUMBER(posicao_contratual!B92)),NOT(ISNUMBER(posicao_contratual!W92))),"",ROUND(posicao_contratual!B92*posicao_contratual!W92,2))</f>
        <v/>
      </c>
    </row>
    <row r="95">
      <c r="A95">
        <f>IF(posicao_contratual!A93="","",posicao_contratual!A93)</f>
        <v/>
      </c>
      <c r="B95" s="213">
        <f>IF(posicao_contratual!A93="","",posicao_contratual!B93)</f>
        <v/>
      </c>
      <c r="C95" s="213">
        <f>IF(OR(posicao_contratual!A93="",NOT(ISNUMBER(posicao_contratual!B93)),NOT(ISNUMBER(posicao_contratual!G93))),"",ROUND(posicao_contratual!B93*posicao_contratual!G93,2))</f>
        <v/>
      </c>
      <c r="D95" s="213">
        <f>IF(OR(posicao_contratual!A93="",NOT(ISNUMBER(posicao_contratual!B93)),NOT(ISNUMBER(posicao_contratual!K93))),"",ROUND(posicao_contratual!B93*posicao_contratual!K93,2))</f>
        <v/>
      </c>
      <c r="E95" s="213">
        <f>IF(OR(posicao_contratual!A93="",NOT(ISNUMBER(posicao_contratual!B93)),NOT(ISNUMBER(posicao_contratual!O93))),"",ROUND(posicao_contratual!B93*posicao_contratual!O93,2))</f>
        <v/>
      </c>
      <c r="F95" s="213">
        <f>IF(OR(posicao_contratual!A93="",NOT(ISNUMBER(posicao_contratual!B93)),NOT(ISNUMBER(posicao_contratual!S93))),"",ROUND(posicao_contratual!B93*posicao_contratual!S93,2))</f>
        <v/>
      </c>
      <c r="G95" s="213">
        <f>IF(OR(posicao_contratual!A93="",NOT(ISNUMBER(posicao_contratual!B93)),NOT(ISNUMBER(posicao_contratual!W93))),"",ROUND(posicao_contratual!B93*posicao_contratual!W93,2))</f>
        <v/>
      </c>
    </row>
    <row r="96">
      <c r="A96">
        <f>IF(posicao_contratual!A94="","",posicao_contratual!A94)</f>
        <v/>
      </c>
      <c r="B96" s="213">
        <f>IF(posicao_contratual!A94="","",posicao_contratual!B94)</f>
        <v/>
      </c>
      <c r="C96" s="213">
        <f>IF(OR(posicao_contratual!A94="",NOT(ISNUMBER(posicao_contratual!B94)),NOT(ISNUMBER(posicao_contratual!G94))),"",ROUND(posicao_contratual!B94*posicao_contratual!G94,2))</f>
        <v/>
      </c>
      <c r="D96" s="213">
        <f>IF(OR(posicao_contratual!A94="",NOT(ISNUMBER(posicao_contratual!B94)),NOT(ISNUMBER(posicao_contratual!K94))),"",ROUND(posicao_contratual!B94*posicao_contratual!K94,2))</f>
        <v/>
      </c>
      <c r="E96" s="213">
        <f>IF(OR(posicao_contratual!A94="",NOT(ISNUMBER(posicao_contratual!B94)),NOT(ISNUMBER(posicao_contratual!O94))),"",ROUND(posicao_contratual!B94*posicao_contratual!O94,2))</f>
        <v/>
      </c>
      <c r="F96" s="213">
        <f>IF(OR(posicao_contratual!A94="",NOT(ISNUMBER(posicao_contratual!B94)),NOT(ISNUMBER(posicao_contratual!S94))),"",ROUND(posicao_contratual!B94*posicao_contratual!S94,2))</f>
        <v/>
      </c>
      <c r="G96" s="213">
        <f>IF(OR(posicao_contratual!A94="",NOT(ISNUMBER(posicao_contratual!B94)),NOT(ISNUMBER(posicao_contratual!W94))),"",ROUND(posicao_contratual!B94*posicao_contratual!W94,2))</f>
        <v/>
      </c>
    </row>
    <row r="97">
      <c r="A97">
        <f>IF(posicao_contratual!A95="","",posicao_contratual!A95)</f>
        <v/>
      </c>
      <c r="B97" s="213">
        <f>IF(posicao_contratual!A95="","",posicao_contratual!B95)</f>
        <v/>
      </c>
      <c r="C97" s="213">
        <f>IF(OR(posicao_contratual!A95="",NOT(ISNUMBER(posicao_contratual!B95)),NOT(ISNUMBER(posicao_contratual!G95))),"",ROUND(posicao_contratual!B95*posicao_contratual!G95,2))</f>
        <v/>
      </c>
      <c r="D97" s="213">
        <f>IF(OR(posicao_contratual!A95="",NOT(ISNUMBER(posicao_contratual!B95)),NOT(ISNUMBER(posicao_contratual!K95))),"",ROUND(posicao_contratual!B95*posicao_contratual!K95,2))</f>
        <v/>
      </c>
      <c r="E97" s="213">
        <f>IF(OR(posicao_contratual!A95="",NOT(ISNUMBER(posicao_contratual!B95)),NOT(ISNUMBER(posicao_contratual!O95))),"",ROUND(posicao_contratual!B95*posicao_contratual!O95,2))</f>
        <v/>
      </c>
      <c r="F97" s="213">
        <f>IF(OR(posicao_contratual!A95="",NOT(ISNUMBER(posicao_contratual!B95)),NOT(ISNUMBER(posicao_contratual!S95))),"",ROUND(posicao_contratual!B95*posicao_contratual!S95,2))</f>
        <v/>
      </c>
      <c r="G97" s="213">
        <f>IF(OR(posicao_contratual!A95="",NOT(ISNUMBER(posicao_contratual!B95)),NOT(ISNUMBER(posicao_contratual!W95))),"",ROUND(posicao_contratual!B95*posicao_contratual!W95,2))</f>
        <v/>
      </c>
    </row>
    <row r="98">
      <c r="A98">
        <f>IF(posicao_contratual!A96="","",posicao_contratual!A96)</f>
        <v/>
      </c>
      <c r="B98" s="213">
        <f>IF(posicao_contratual!A96="","",posicao_contratual!B96)</f>
        <v/>
      </c>
      <c r="C98" s="213">
        <f>IF(OR(posicao_contratual!A96="",NOT(ISNUMBER(posicao_contratual!B96)),NOT(ISNUMBER(posicao_contratual!G96))),"",ROUND(posicao_contratual!B96*posicao_contratual!G96,2))</f>
        <v/>
      </c>
      <c r="D98" s="213">
        <f>IF(OR(posicao_contratual!A96="",NOT(ISNUMBER(posicao_contratual!B96)),NOT(ISNUMBER(posicao_contratual!K96))),"",ROUND(posicao_contratual!B96*posicao_contratual!K96,2))</f>
        <v/>
      </c>
      <c r="E98" s="213">
        <f>IF(OR(posicao_contratual!A96="",NOT(ISNUMBER(posicao_contratual!B96)),NOT(ISNUMBER(posicao_contratual!O96))),"",ROUND(posicao_contratual!B96*posicao_contratual!O96,2))</f>
        <v/>
      </c>
      <c r="F98" s="213">
        <f>IF(OR(posicao_contratual!A96="",NOT(ISNUMBER(posicao_contratual!B96)),NOT(ISNUMBER(posicao_contratual!S96))),"",ROUND(posicao_contratual!B96*posicao_contratual!S96,2))</f>
        <v/>
      </c>
      <c r="G98" s="213">
        <f>IF(OR(posicao_contratual!A96="",NOT(ISNUMBER(posicao_contratual!B96)),NOT(ISNUMBER(posicao_contratual!W96))),"",ROUND(posicao_contratual!B96*posicao_contratual!W96,2))</f>
        <v/>
      </c>
    </row>
    <row r="99">
      <c r="A99">
        <f>IF(posicao_contratual!A97="","",posicao_contratual!A97)</f>
        <v/>
      </c>
      <c r="B99" s="213">
        <f>IF(posicao_contratual!A97="","",posicao_contratual!B97)</f>
        <v/>
      </c>
      <c r="C99" s="213">
        <f>IF(OR(posicao_contratual!A97="",NOT(ISNUMBER(posicao_contratual!B97)),NOT(ISNUMBER(posicao_contratual!G97))),"",ROUND(posicao_contratual!B97*posicao_contratual!G97,2))</f>
        <v/>
      </c>
      <c r="D99" s="213">
        <f>IF(OR(posicao_contratual!A97="",NOT(ISNUMBER(posicao_contratual!B97)),NOT(ISNUMBER(posicao_contratual!K97))),"",ROUND(posicao_contratual!B97*posicao_contratual!K97,2))</f>
        <v/>
      </c>
      <c r="E99" s="213">
        <f>IF(OR(posicao_contratual!A97="",NOT(ISNUMBER(posicao_contratual!B97)),NOT(ISNUMBER(posicao_contratual!O97))),"",ROUND(posicao_contratual!B97*posicao_contratual!O97,2))</f>
        <v/>
      </c>
      <c r="F99" s="213">
        <f>IF(OR(posicao_contratual!A97="",NOT(ISNUMBER(posicao_contratual!B97)),NOT(ISNUMBER(posicao_contratual!S97))),"",ROUND(posicao_contratual!B97*posicao_contratual!S97,2))</f>
        <v/>
      </c>
      <c r="G99" s="213">
        <f>IF(OR(posicao_contratual!A97="",NOT(ISNUMBER(posicao_contratual!B97)),NOT(ISNUMBER(posicao_contratual!W97))),"",ROUND(posicao_contratual!B97*posicao_contratual!W97,2))</f>
        <v/>
      </c>
    </row>
    <row r="100">
      <c r="A100">
        <f>IF(posicao_contratual!A98="","",posicao_contratual!A98)</f>
        <v/>
      </c>
      <c r="B100" s="213">
        <f>IF(posicao_contratual!A98="","",posicao_contratual!B98)</f>
        <v/>
      </c>
      <c r="C100" s="213">
        <f>IF(OR(posicao_contratual!A98="",NOT(ISNUMBER(posicao_contratual!B98)),NOT(ISNUMBER(posicao_contratual!G98))),"",ROUND(posicao_contratual!B98*posicao_contratual!G98,2))</f>
        <v/>
      </c>
      <c r="D100" s="213">
        <f>IF(OR(posicao_contratual!A98="",NOT(ISNUMBER(posicao_contratual!B98)),NOT(ISNUMBER(posicao_contratual!K98))),"",ROUND(posicao_contratual!B98*posicao_contratual!K98,2))</f>
        <v/>
      </c>
      <c r="E100" s="213">
        <f>IF(OR(posicao_contratual!A98="",NOT(ISNUMBER(posicao_contratual!B98)),NOT(ISNUMBER(posicao_contratual!O98))),"",ROUND(posicao_contratual!B98*posicao_contratual!O98,2))</f>
        <v/>
      </c>
      <c r="F100" s="213">
        <f>IF(OR(posicao_contratual!A98="",NOT(ISNUMBER(posicao_contratual!B98)),NOT(ISNUMBER(posicao_contratual!S98))),"",ROUND(posicao_contratual!B98*posicao_contratual!S98,2))</f>
        <v/>
      </c>
      <c r="G100" s="213">
        <f>IF(OR(posicao_contratual!A98="",NOT(ISNUMBER(posicao_contratual!B98)),NOT(ISNUMBER(posicao_contratual!W98))),"",ROUND(posicao_contratual!B98*posicao_contratual!W98,2))</f>
        <v/>
      </c>
    </row>
    <row r="101">
      <c r="A101">
        <f>IF(posicao_contratual!A99="","",posicao_contratual!A99)</f>
        <v/>
      </c>
      <c r="B101" s="213">
        <f>IF(posicao_contratual!A99="","",posicao_contratual!B99)</f>
        <v/>
      </c>
      <c r="C101" s="213">
        <f>IF(OR(posicao_contratual!A99="",NOT(ISNUMBER(posicao_contratual!B99)),NOT(ISNUMBER(posicao_contratual!G99))),"",ROUND(posicao_contratual!B99*posicao_contratual!G99,2))</f>
        <v/>
      </c>
      <c r="D101" s="213">
        <f>IF(OR(posicao_contratual!A99="",NOT(ISNUMBER(posicao_contratual!B99)),NOT(ISNUMBER(posicao_contratual!K99))),"",ROUND(posicao_contratual!B99*posicao_contratual!K99,2))</f>
        <v/>
      </c>
      <c r="E101" s="213">
        <f>IF(OR(posicao_contratual!A99="",NOT(ISNUMBER(posicao_contratual!B99)),NOT(ISNUMBER(posicao_contratual!O99))),"",ROUND(posicao_contratual!B99*posicao_contratual!O99,2))</f>
        <v/>
      </c>
      <c r="F101" s="213">
        <f>IF(OR(posicao_contratual!A99="",NOT(ISNUMBER(posicao_contratual!B99)),NOT(ISNUMBER(posicao_contratual!S99))),"",ROUND(posicao_contratual!B99*posicao_contratual!S99,2))</f>
        <v/>
      </c>
      <c r="G101" s="213">
        <f>IF(OR(posicao_contratual!A99="",NOT(ISNUMBER(posicao_contratual!B99)),NOT(ISNUMBER(posicao_contratual!W99))),"",ROUND(posicao_contratual!B99*posicao_contratual!W99,2))</f>
        <v/>
      </c>
    </row>
    <row r="102">
      <c r="A102">
        <f>IF(posicao_contratual!A100="","",posicao_contratual!A100)</f>
        <v/>
      </c>
      <c r="B102" s="213">
        <f>IF(posicao_contratual!A100="","",posicao_contratual!B100)</f>
        <v/>
      </c>
      <c r="C102" s="213">
        <f>IF(OR(posicao_contratual!A100="",NOT(ISNUMBER(posicao_contratual!B100)),NOT(ISNUMBER(posicao_contratual!G100))),"",ROUND(posicao_contratual!B100*posicao_contratual!G100,2))</f>
        <v/>
      </c>
      <c r="D102" s="213">
        <f>IF(OR(posicao_contratual!A100="",NOT(ISNUMBER(posicao_contratual!B100)),NOT(ISNUMBER(posicao_contratual!K100))),"",ROUND(posicao_contratual!B100*posicao_contratual!K100,2))</f>
        <v/>
      </c>
      <c r="E102" s="213">
        <f>IF(OR(posicao_contratual!A100="",NOT(ISNUMBER(posicao_contratual!B100)),NOT(ISNUMBER(posicao_contratual!O100))),"",ROUND(posicao_contratual!B100*posicao_contratual!O100,2))</f>
        <v/>
      </c>
      <c r="F102" s="213">
        <f>IF(OR(posicao_contratual!A100="",NOT(ISNUMBER(posicao_contratual!B100)),NOT(ISNUMBER(posicao_contratual!S100))),"",ROUND(posicao_contratual!B100*posicao_contratual!S100,2))</f>
        <v/>
      </c>
      <c r="G102" s="213">
        <f>IF(OR(posicao_contratual!A100="",NOT(ISNUMBER(posicao_contratual!B100)),NOT(ISNUMBER(posicao_contratual!W100))),"",ROUND(posicao_contratual!B100*posicao_contratual!W100,2))</f>
        <v/>
      </c>
    </row>
    <row r="103">
      <c r="A103">
        <f>IF(posicao_contratual!A101="","",posicao_contratual!A101)</f>
        <v/>
      </c>
      <c r="B103" s="213">
        <f>IF(posicao_contratual!A101="","",posicao_contratual!B101)</f>
        <v/>
      </c>
      <c r="C103" s="213">
        <f>IF(OR(posicao_contratual!A101="",NOT(ISNUMBER(posicao_contratual!B101)),NOT(ISNUMBER(posicao_contratual!G101))),"",ROUND(posicao_contratual!B101*posicao_contratual!G101,2))</f>
        <v/>
      </c>
      <c r="D103" s="213">
        <f>IF(OR(posicao_contratual!A101="",NOT(ISNUMBER(posicao_contratual!B101)),NOT(ISNUMBER(posicao_contratual!K101))),"",ROUND(posicao_contratual!B101*posicao_contratual!K101,2))</f>
        <v/>
      </c>
      <c r="E103" s="213">
        <f>IF(OR(posicao_contratual!A101="",NOT(ISNUMBER(posicao_contratual!B101)),NOT(ISNUMBER(posicao_contratual!O101))),"",ROUND(posicao_contratual!B101*posicao_contratual!O101,2))</f>
        <v/>
      </c>
      <c r="F103" s="213">
        <f>IF(OR(posicao_contratual!A101="",NOT(ISNUMBER(posicao_contratual!B101)),NOT(ISNUMBER(posicao_contratual!S101))),"",ROUND(posicao_contratual!B101*posicao_contratual!S101,2))</f>
        <v/>
      </c>
      <c r="G103" s="213">
        <f>IF(OR(posicao_contratual!A101="",NOT(ISNUMBER(posicao_contratual!B101)),NOT(ISNUMBER(posicao_contratual!W101))),"",ROUND(posicao_contratual!B101*posicao_contratual!W101,2))</f>
        <v/>
      </c>
    </row>
    <row r="104">
      <c r="A104">
        <f>IF(posicao_contratual!A102="","",posicao_contratual!A102)</f>
        <v/>
      </c>
      <c r="B104" s="213">
        <f>IF(posicao_contratual!A102="","",posicao_contratual!B102)</f>
        <v/>
      </c>
      <c r="C104" s="213">
        <f>IF(OR(posicao_contratual!A102="",NOT(ISNUMBER(posicao_contratual!B102)),NOT(ISNUMBER(posicao_contratual!G102))),"",ROUND(posicao_contratual!B102*posicao_contratual!G102,2))</f>
        <v/>
      </c>
      <c r="D104" s="213">
        <f>IF(OR(posicao_contratual!A102="",NOT(ISNUMBER(posicao_contratual!B102)),NOT(ISNUMBER(posicao_contratual!K102))),"",ROUND(posicao_contratual!B102*posicao_contratual!K102,2))</f>
        <v/>
      </c>
      <c r="E104" s="213">
        <f>IF(OR(posicao_contratual!A102="",NOT(ISNUMBER(posicao_contratual!B102)),NOT(ISNUMBER(posicao_contratual!O102))),"",ROUND(posicao_contratual!B102*posicao_contratual!O102,2))</f>
        <v/>
      </c>
      <c r="F104" s="213">
        <f>IF(OR(posicao_contratual!A102="",NOT(ISNUMBER(posicao_contratual!B102)),NOT(ISNUMBER(posicao_contratual!S102))),"",ROUND(posicao_contratual!B102*posicao_contratual!S102,2))</f>
        <v/>
      </c>
      <c r="G104" s="213">
        <f>IF(OR(posicao_contratual!A102="",NOT(ISNUMBER(posicao_contratual!B102)),NOT(ISNUMBER(posicao_contratual!W102))),"",ROUND(posicao_contratual!B102*posicao_contratual!W102,2))</f>
        <v/>
      </c>
    </row>
    <row r="105">
      <c r="A105">
        <f>IF(posicao_contratual!A103="","",posicao_contratual!A103)</f>
        <v/>
      </c>
      <c r="B105" s="213">
        <f>IF(posicao_contratual!A103="","",posicao_contratual!B103)</f>
        <v/>
      </c>
      <c r="C105" s="213">
        <f>IF(OR(posicao_contratual!A103="",NOT(ISNUMBER(posicao_contratual!B103)),NOT(ISNUMBER(posicao_contratual!G103))),"",ROUND(posicao_contratual!B103*posicao_contratual!G103,2))</f>
        <v/>
      </c>
      <c r="D105" s="213">
        <f>IF(OR(posicao_contratual!A103="",NOT(ISNUMBER(posicao_contratual!B103)),NOT(ISNUMBER(posicao_contratual!K103))),"",ROUND(posicao_contratual!B103*posicao_contratual!K103,2))</f>
        <v/>
      </c>
      <c r="E105" s="213">
        <f>IF(OR(posicao_contratual!A103="",NOT(ISNUMBER(posicao_contratual!B103)),NOT(ISNUMBER(posicao_contratual!O103))),"",ROUND(posicao_contratual!B103*posicao_contratual!O103,2))</f>
        <v/>
      </c>
      <c r="F105" s="213">
        <f>IF(OR(posicao_contratual!A103="",NOT(ISNUMBER(posicao_contratual!B103)),NOT(ISNUMBER(posicao_contratual!S103))),"",ROUND(posicao_contratual!B103*posicao_contratual!S103,2))</f>
        <v/>
      </c>
      <c r="G105" s="213">
        <f>IF(OR(posicao_contratual!A103="",NOT(ISNUMBER(posicao_contratual!B103)),NOT(ISNUMBER(posicao_contratual!W103))),"",ROUND(posicao_contratual!B103*posicao_contratual!W103,2))</f>
        <v/>
      </c>
    </row>
    <row r="106">
      <c r="A106">
        <f>IF(posicao_contratual!A104="","",posicao_contratual!A104)</f>
        <v/>
      </c>
      <c r="B106" s="213">
        <f>IF(posicao_contratual!A104="","",posicao_contratual!B104)</f>
        <v/>
      </c>
      <c r="C106" s="213">
        <f>IF(OR(posicao_contratual!A104="",NOT(ISNUMBER(posicao_contratual!B104)),NOT(ISNUMBER(posicao_contratual!G104))),"",ROUND(posicao_contratual!B104*posicao_contratual!G104,2))</f>
        <v/>
      </c>
      <c r="D106" s="213">
        <f>IF(OR(posicao_contratual!A104="",NOT(ISNUMBER(posicao_contratual!B104)),NOT(ISNUMBER(posicao_contratual!K104))),"",ROUND(posicao_contratual!B104*posicao_contratual!K104,2))</f>
        <v/>
      </c>
      <c r="E106" s="213">
        <f>IF(OR(posicao_contratual!A104="",NOT(ISNUMBER(posicao_contratual!B104)),NOT(ISNUMBER(posicao_contratual!O104))),"",ROUND(posicao_contratual!B104*posicao_contratual!O104,2))</f>
        <v/>
      </c>
      <c r="F106" s="213">
        <f>IF(OR(posicao_contratual!A104="",NOT(ISNUMBER(posicao_contratual!B104)),NOT(ISNUMBER(posicao_contratual!S104))),"",ROUND(posicao_contratual!B104*posicao_contratual!S104,2))</f>
        <v/>
      </c>
      <c r="G106" s="213">
        <f>IF(OR(posicao_contratual!A104="",NOT(ISNUMBER(posicao_contratual!B104)),NOT(ISNUMBER(posicao_contratual!W104))),"",ROUND(posicao_contratual!B104*posicao_contratual!W104,2))</f>
        <v/>
      </c>
    </row>
    <row r="107">
      <c r="A107">
        <f>IF(posicao_contratual!A105="","",posicao_contratual!A105)</f>
        <v/>
      </c>
      <c r="B107" s="213">
        <f>IF(posicao_contratual!A105="","",posicao_contratual!B105)</f>
        <v/>
      </c>
      <c r="C107" s="213">
        <f>IF(OR(posicao_contratual!A105="",NOT(ISNUMBER(posicao_contratual!B105)),NOT(ISNUMBER(posicao_contratual!G105))),"",ROUND(posicao_contratual!B105*posicao_contratual!G105,2))</f>
        <v/>
      </c>
      <c r="D107" s="213">
        <f>IF(OR(posicao_contratual!A105="",NOT(ISNUMBER(posicao_contratual!B105)),NOT(ISNUMBER(posicao_contratual!K105))),"",ROUND(posicao_contratual!B105*posicao_contratual!K105,2))</f>
        <v/>
      </c>
      <c r="E107" s="213">
        <f>IF(OR(posicao_contratual!A105="",NOT(ISNUMBER(posicao_contratual!B105)),NOT(ISNUMBER(posicao_contratual!O105))),"",ROUND(posicao_contratual!B105*posicao_contratual!O105,2))</f>
        <v/>
      </c>
      <c r="F107" s="213">
        <f>IF(OR(posicao_contratual!A105="",NOT(ISNUMBER(posicao_contratual!B105)),NOT(ISNUMBER(posicao_contratual!S105))),"",ROUND(posicao_contratual!B105*posicao_contratual!S105,2))</f>
        <v/>
      </c>
      <c r="G107" s="213">
        <f>IF(OR(posicao_contratual!A105="",NOT(ISNUMBER(posicao_contratual!B105)),NOT(ISNUMBER(posicao_contratual!W105))),"",ROUND(posicao_contratual!B105*posicao_contratual!W105,2))</f>
        <v/>
      </c>
    </row>
    <row r="108">
      <c r="A108">
        <f>IF(posicao_contratual!A106="","",posicao_contratual!A106)</f>
        <v/>
      </c>
      <c r="B108" s="213">
        <f>IF(posicao_contratual!A106="","",posicao_contratual!B106)</f>
        <v/>
      </c>
      <c r="C108" s="213">
        <f>IF(OR(posicao_contratual!A106="",NOT(ISNUMBER(posicao_contratual!B106)),NOT(ISNUMBER(posicao_contratual!G106))),"",ROUND(posicao_contratual!B106*posicao_contratual!G106,2))</f>
        <v/>
      </c>
      <c r="D108" s="213">
        <f>IF(OR(posicao_contratual!A106="",NOT(ISNUMBER(posicao_contratual!B106)),NOT(ISNUMBER(posicao_contratual!K106))),"",ROUND(posicao_contratual!B106*posicao_contratual!K106,2))</f>
        <v/>
      </c>
      <c r="E108" s="213">
        <f>IF(OR(posicao_contratual!A106="",NOT(ISNUMBER(posicao_contratual!B106)),NOT(ISNUMBER(posicao_contratual!O106))),"",ROUND(posicao_contratual!B106*posicao_contratual!O106,2))</f>
        <v/>
      </c>
      <c r="F108" s="213">
        <f>IF(OR(posicao_contratual!A106="",NOT(ISNUMBER(posicao_contratual!B106)),NOT(ISNUMBER(posicao_contratual!S106))),"",ROUND(posicao_contratual!B106*posicao_contratual!S106,2))</f>
        <v/>
      </c>
      <c r="G108" s="213">
        <f>IF(OR(posicao_contratual!A106="",NOT(ISNUMBER(posicao_contratual!B106)),NOT(ISNUMBER(posicao_contratual!W106))),"",ROUND(posicao_contratual!B106*posicao_contratual!W106,2))</f>
        <v/>
      </c>
    </row>
    <row r="109">
      <c r="A109">
        <f>IF(posicao_contratual!A107="","",posicao_contratual!A107)</f>
        <v/>
      </c>
      <c r="B109" s="213">
        <f>IF(posicao_contratual!A107="","",posicao_contratual!B107)</f>
        <v/>
      </c>
      <c r="C109" s="213">
        <f>IF(OR(posicao_contratual!A107="",NOT(ISNUMBER(posicao_contratual!B107)),NOT(ISNUMBER(posicao_contratual!G107))),"",ROUND(posicao_contratual!B107*posicao_contratual!G107,2))</f>
        <v/>
      </c>
      <c r="D109" s="213">
        <f>IF(OR(posicao_contratual!A107="",NOT(ISNUMBER(posicao_contratual!B107)),NOT(ISNUMBER(posicao_contratual!K107))),"",ROUND(posicao_contratual!B107*posicao_contratual!K107,2))</f>
        <v/>
      </c>
      <c r="E109" s="213">
        <f>IF(OR(posicao_contratual!A107="",NOT(ISNUMBER(posicao_contratual!B107)),NOT(ISNUMBER(posicao_contratual!O107))),"",ROUND(posicao_contratual!B107*posicao_contratual!O107,2))</f>
        <v/>
      </c>
      <c r="F109" s="213">
        <f>IF(OR(posicao_contratual!A107="",NOT(ISNUMBER(posicao_contratual!B107)),NOT(ISNUMBER(posicao_contratual!S107))),"",ROUND(posicao_contratual!B107*posicao_contratual!S107,2))</f>
        <v/>
      </c>
      <c r="G109" s="213">
        <f>IF(OR(posicao_contratual!A107="",NOT(ISNUMBER(posicao_contratual!B107)),NOT(ISNUMBER(posicao_contratual!W107))),"",ROUND(posicao_contratual!B107*posicao_contratual!W107,2))</f>
        <v/>
      </c>
    </row>
    <row r="110">
      <c r="A110">
        <f>IF(posicao_contratual!A108="","",posicao_contratual!A108)</f>
        <v/>
      </c>
      <c r="B110" s="213">
        <f>IF(posicao_contratual!A108="","",posicao_contratual!B108)</f>
        <v/>
      </c>
      <c r="C110" s="213">
        <f>IF(OR(posicao_contratual!A108="",NOT(ISNUMBER(posicao_contratual!B108)),NOT(ISNUMBER(posicao_contratual!G108))),"",ROUND(posicao_contratual!B108*posicao_contratual!G108,2))</f>
        <v/>
      </c>
      <c r="D110" s="213">
        <f>IF(OR(posicao_contratual!A108="",NOT(ISNUMBER(posicao_contratual!B108)),NOT(ISNUMBER(posicao_contratual!K108))),"",ROUND(posicao_contratual!B108*posicao_contratual!K108,2))</f>
        <v/>
      </c>
      <c r="E110" s="213">
        <f>IF(OR(posicao_contratual!A108="",NOT(ISNUMBER(posicao_contratual!B108)),NOT(ISNUMBER(posicao_contratual!O108))),"",ROUND(posicao_contratual!B108*posicao_contratual!O108,2))</f>
        <v/>
      </c>
      <c r="F110" s="213">
        <f>IF(OR(posicao_contratual!A108="",NOT(ISNUMBER(posicao_contratual!B108)),NOT(ISNUMBER(posicao_contratual!S108))),"",ROUND(posicao_contratual!B108*posicao_contratual!S108,2))</f>
        <v/>
      </c>
      <c r="G110" s="213">
        <f>IF(OR(posicao_contratual!A108="",NOT(ISNUMBER(posicao_contratual!B108)),NOT(ISNUMBER(posicao_contratual!W108))),"",ROUND(posicao_contratual!B108*posicao_contratual!W108,2))</f>
        <v/>
      </c>
    </row>
    <row r="111">
      <c r="A111">
        <f>IF(posicao_contratual!A109="","",posicao_contratual!A109)</f>
        <v/>
      </c>
      <c r="B111" s="213">
        <f>IF(posicao_contratual!A109="","",posicao_contratual!B109)</f>
        <v/>
      </c>
      <c r="C111" s="213">
        <f>IF(OR(posicao_contratual!A109="",NOT(ISNUMBER(posicao_contratual!B109)),NOT(ISNUMBER(posicao_contratual!G109))),"",ROUND(posicao_contratual!B109*posicao_contratual!G109,2))</f>
        <v/>
      </c>
      <c r="D111" s="213">
        <f>IF(OR(posicao_contratual!A109="",NOT(ISNUMBER(posicao_contratual!B109)),NOT(ISNUMBER(posicao_contratual!K109))),"",ROUND(posicao_contratual!B109*posicao_contratual!K109,2))</f>
        <v/>
      </c>
      <c r="E111" s="213">
        <f>IF(OR(posicao_contratual!A109="",NOT(ISNUMBER(posicao_contratual!B109)),NOT(ISNUMBER(posicao_contratual!O109))),"",ROUND(posicao_contratual!B109*posicao_contratual!O109,2))</f>
        <v/>
      </c>
      <c r="F111" s="213">
        <f>IF(OR(posicao_contratual!A109="",NOT(ISNUMBER(posicao_contratual!B109)),NOT(ISNUMBER(posicao_contratual!S109))),"",ROUND(posicao_contratual!B109*posicao_contratual!S109,2))</f>
        <v/>
      </c>
      <c r="G111" s="213">
        <f>IF(OR(posicao_contratual!A109="",NOT(ISNUMBER(posicao_contratual!B109)),NOT(ISNUMBER(posicao_contratual!W109))),"",ROUND(posicao_contratual!B109*posicao_contratual!W109,2))</f>
        <v/>
      </c>
    </row>
    <row r="112">
      <c r="A112">
        <f>IF(posicao_contratual!A110="","",posicao_contratual!A110)</f>
        <v/>
      </c>
      <c r="B112" s="213">
        <f>IF(posicao_contratual!A110="","",posicao_contratual!B110)</f>
        <v/>
      </c>
      <c r="C112" s="213">
        <f>IF(OR(posicao_contratual!A110="",NOT(ISNUMBER(posicao_contratual!B110)),NOT(ISNUMBER(posicao_contratual!G110))),"",ROUND(posicao_contratual!B110*posicao_contratual!G110,2))</f>
        <v/>
      </c>
      <c r="D112" s="213">
        <f>IF(OR(posicao_contratual!A110="",NOT(ISNUMBER(posicao_contratual!B110)),NOT(ISNUMBER(posicao_contratual!K110))),"",ROUND(posicao_contratual!B110*posicao_contratual!K110,2))</f>
        <v/>
      </c>
      <c r="E112" s="213">
        <f>IF(OR(posicao_contratual!A110="",NOT(ISNUMBER(posicao_contratual!B110)),NOT(ISNUMBER(posicao_contratual!O110))),"",ROUND(posicao_contratual!B110*posicao_contratual!O110,2))</f>
        <v/>
      </c>
      <c r="F112" s="213">
        <f>IF(OR(posicao_contratual!A110="",NOT(ISNUMBER(posicao_contratual!B110)),NOT(ISNUMBER(posicao_contratual!S110))),"",ROUND(posicao_contratual!B110*posicao_contratual!S110,2))</f>
        <v/>
      </c>
      <c r="G112" s="213">
        <f>IF(OR(posicao_contratual!A110="",NOT(ISNUMBER(posicao_contratual!B110)),NOT(ISNUMBER(posicao_contratual!W110))),"",ROUND(posicao_contratual!B110*posicao_contratual!W110,2))</f>
        <v/>
      </c>
    </row>
    <row r="113">
      <c r="A113">
        <f>IF(posicao_contratual!A111="","",posicao_contratual!A111)</f>
        <v/>
      </c>
      <c r="B113" s="213">
        <f>IF(posicao_contratual!A111="","",posicao_contratual!B111)</f>
        <v/>
      </c>
      <c r="C113" s="213">
        <f>IF(OR(posicao_contratual!A111="",NOT(ISNUMBER(posicao_contratual!B111)),NOT(ISNUMBER(posicao_contratual!G111))),"",ROUND(posicao_contratual!B111*posicao_contratual!G111,2))</f>
        <v/>
      </c>
      <c r="D113" s="213">
        <f>IF(OR(posicao_contratual!A111="",NOT(ISNUMBER(posicao_contratual!B111)),NOT(ISNUMBER(posicao_contratual!K111))),"",ROUND(posicao_contratual!B111*posicao_contratual!K111,2))</f>
        <v/>
      </c>
      <c r="E113" s="213">
        <f>IF(OR(posicao_contratual!A111="",NOT(ISNUMBER(posicao_contratual!B111)),NOT(ISNUMBER(posicao_contratual!O111))),"",ROUND(posicao_contratual!B111*posicao_contratual!O111,2))</f>
        <v/>
      </c>
      <c r="F113" s="213">
        <f>IF(OR(posicao_contratual!A111="",NOT(ISNUMBER(posicao_contratual!B111)),NOT(ISNUMBER(posicao_contratual!S111))),"",ROUND(posicao_contratual!B111*posicao_contratual!S111,2))</f>
        <v/>
      </c>
      <c r="G113" s="213">
        <f>IF(OR(posicao_contratual!A111="",NOT(ISNUMBER(posicao_contratual!B111)),NOT(ISNUMBER(posicao_contratual!W111))),"",ROUND(posicao_contratual!B111*posicao_contratual!W111,2))</f>
        <v/>
      </c>
    </row>
    <row r="114">
      <c r="A114">
        <f>IF(posicao_contratual!A112="","",posicao_contratual!A112)</f>
        <v/>
      </c>
      <c r="B114" s="213">
        <f>IF(posicao_contratual!A112="","",posicao_contratual!B112)</f>
        <v/>
      </c>
      <c r="C114" s="213">
        <f>IF(OR(posicao_contratual!A112="",NOT(ISNUMBER(posicao_contratual!B112)),NOT(ISNUMBER(posicao_contratual!G112))),"",ROUND(posicao_contratual!B112*posicao_contratual!G112,2))</f>
        <v/>
      </c>
      <c r="D114" s="213">
        <f>IF(OR(posicao_contratual!A112="",NOT(ISNUMBER(posicao_contratual!B112)),NOT(ISNUMBER(posicao_contratual!K112))),"",ROUND(posicao_contratual!B112*posicao_contratual!K112,2))</f>
        <v/>
      </c>
      <c r="E114" s="213">
        <f>IF(OR(posicao_contratual!A112="",NOT(ISNUMBER(posicao_contratual!B112)),NOT(ISNUMBER(posicao_contratual!O112))),"",ROUND(posicao_contratual!B112*posicao_contratual!O112,2))</f>
        <v/>
      </c>
      <c r="F114" s="213">
        <f>IF(OR(posicao_contratual!A112="",NOT(ISNUMBER(posicao_contratual!B112)),NOT(ISNUMBER(posicao_contratual!S112))),"",ROUND(posicao_contratual!B112*posicao_contratual!S112,2))</f>
        <v/>
      </c>
      <c r="G114" s="213">
        <f>IF(OR(posicao_contratual!A112="",NOT(ISNUMBER(posicao_contratual!B112)),NOT(ISNUMBER(posicao_contratual!W112))),"",ROUND(posicao_contratual!B112*posicao_contratual!W112,2))</f>
        <v/>
      </c>
    </row>
    <row r="115">
      <c r="A115">
        <f>IF(posicao_contratual!A113="","",posicao_contratual!A113)</f>
        <v/>
      </c>
      <c r="B115" s="213">
        <f>IF(posicao_contratual!A113="","",posicao_contratual!B113)</f>
        <v/>
      </c>
      <c r="C115" s="213">
        <f>IF(OR(posicao_contratual!A113="",NOT(ISNUMBER(posicao_contratual!B113)),NOT(ISNUMBER(posicao_contratual!G113))),"",ROUND(posicao_contratual!B113*posicao_contratual!G113,2))</f>
        <v/>
      </c>
      <c r="D115" s="213">
        <f>IF(OR(posicao_contratual!A113="",NOT(ISNUMBER(posicao_contratual!B113)),NOT(ISNUMBER(posicao_contratual!K113))),"",ROUND(posicao_contratual!B113*posicao_contratual!K113,2))</f>
        <v/>
      </c>
      <c r="E115" s="213">
        <f>IF(OR(posicao_contratual!A113="",NOT(ISNUMBER(posicao_contratual!B113)),NOT(ISNUMBER(posicao_contratual!O113))),"",ROUND(posicao_contratual!B113*posicao_contratual!O113,2))</f>
        <v/>
      </c>
      <c r="F115" s="213">
        <f>IF(OR(posicao_contratual!A113="",NOT(ISNUMBER(posicao_contratual!B113)),NOT(ISNUMBER(posicao_contratual!S113))),"",ROUND(posicao_contratual!B113*posicao_contratual!S113,2))</f>
        <v/>
      </c>
      <c r="G115" s="213">
        <f>IF(OR(posicao_contratual!A113="",NOT(ISNUMBER(posicao_contratual!B113)),NOT(ISNUMBER(posicao_contratual!W113))),"",ROUND(posicao_contratual!B113*posicao_contratual!W113,2))</f>
        <v/>
      </c>
    </row>
    <row r="116">
      <c r="A116">
        <f>IF(posicao_contratual!A114="","",posicao_contratual!A114)</f>
        <v/>
      </c>
      <c r="B116" s="213">
        <f>IF(posicao_contratual!A114="","",posicao_contratual!B114)</f>
        <v/>
      </c>
      <c r="C116" s="213">
        <f>IF(OR(posicao_contratual!A114="",NOT(ISNUMBER(posicao_contratual!B114)),NOT(ISNUMBER(posicao_contratual!G114))),"",ROUND(posicao_contratual!B114*posicao_contratual!G114,2))</f>
        <v/>
      </c>
      <c r="D116" s="213">
        <f>IF(OR(posicao_contratual!A114="",NOT(ISNUMBER(posicao_contratual!B114)),NOT(ISNUMBER(posicao_contratual!K114))),"",ROUND(posicao_contratual!B114*posicao_contratual!K114,2))</f>
        <v/>
      </c>
      <c r="E116" s="213">
        <f>IF(OR(posicao_contratual!A114="",NOT(ISNUMBER(posicao_contratual!B114)),NOT(ISNUMBER(posicao_contratual!O114))),"",ROUND(posicao_contratual!B114*posicao_contratual!O114,2))</f>
        <v/>
      </c>
      <c r="F116" s="213">
        <f>IF(OR(posicao_contratual!A114="",NOT(ISNUMBER(posicao_contratual!B114)),NOT(ISNUMBER(posicao_contratual!S114))),"",ROUND(posicao_contratual!B114*posicao_contratual!S114,2))</f>
        <v/>
      </c>
      <c r="G116" s="213">
        <f>IF(OR(posicao_contratual!A114="",NOT(ISNUMBER(posicao_contratual!B114)),NOT(ISNUMBER(posicao_contratual!W114))),"",ROUND(posicao_contratual!B114*posicao_contratual!W114,2))</f>
        <v/>
      </c>
    </row>
    <row r="117">
      <c r="A117">
        <f>IF(posicao_contratual!A115="","",posicao_contratual!A115)</f>
        <v/>
      </c>
      <c r="B117" s="213">
        <f>IF(posicao_contratual!A115="","",posicao_contratual!B115)</f>
        <v/>
      </c>
      <c r="C117" s="213">
        <f>IF(OR(posicao_contratual!A115="",NOT(ISNUMBER(posicao_contratual!B115)),NOT(ISNUMBER(posicao_contratual!G115))),"",ROUND(posicao_contratual!B115*posicao_contratual!G115,2))</f>
        <v/>
      </c>
      <c r="D117" s="213">
        <f>IF(OR(posicao_contratual!A115="",NOT(ISNUMBER(posicao_contratual!B115)),NOT(ISNUMBER(posicao_contratual!K115))),"",ROUND(posicao_contratual!B115*posicao_contratual!K115,2))</f>
        <v/>
      </c>
      <c r="E117" s="213">
        <f>IF(OR(posicao_contratual!A115="",NOT(ISNUMBER(posicao_contratual!B115)),NOT(ISNUMBER(posicao_contratual!O115))),"",ROUND(posicao_contratual!B115*posicao_contratual!O115,2))</f>
        <v/>
      </c>
      <c r="F117" s="213">
        <f>IF(OR(posicao_contratual!A115="",NOT(ISNUMBER(posicao_contratual!B115)),NOT(ISNUMBER(posicao_contratual!S115))),"",ROUND(posicao_contratual!B115*posicao_contratual!S115,2))</f>
        <v/>
      </c>
      <c r="G117" s="213">
        <f>IF(OR(posicao_contratual!A115="",NOT(ISNUMBER(posicao_contratual!B115)),NOT(ISNUMBER(posicao_contratual!W115))),"",ROUND(posicao_contratual!B115*posicao_contratual!W115,2))</f>
        <v/>
      </c>
    </row>
    <row r="118">
      <c r="A118">
        <f>IF(posicao_contratual!A116="","",posicao_contratual!A116)</f>
        <v/>
      </c>
      <c r="B118" s="213">
        <f>IF(posicao_contratual!A116="","",posicao_contratual!B116)</f>
        <v/>
      </c>
      <c r="C118" s="213">
        <f>IF(OR(posicao_contratual!A116="",NOT(ISNUMBER(posicao_contratual!B116)),NOT(ISNUMBER(posicao_contratual!G116))),"",ROUND(posicao_contratual!B116*posicao_contratual!G116,2))</f>
        <v/>
      </c>
      <c r="D118" s="213">
        <f>IF(OR(posicao_contratual!A116="",NOT(ISNUMBER(posicao_contratual!B116)),NOT(ISNUMBER(posicao_contratual!K116))),"",ROUND(posicao_contratual!B116*posicao_contratual!K116,2))</f>
        <v/>
      </c>
      <c r="E118" s="213">
        <f>IF(OR(posicao_contratual!A116="",NOT(ISNUMBER(posicao_contratual!B116)),NOT(ISNUMBER(posicao_contratual!O116))),"",ROUND(posicao_contratual!B116*posicao_contratual!O116,2))</f>
        <v/>
      </c>
      <c r="F118" s="213">
        <f>IF(OR(posicao_contratual!A116="",NOT(ISNUMBER(posicao_contratual!B116)),NOT(ISNUMBER(posicao_contratual!S116))),"",ROUND(posicao_contratual!B116*posicao_contratual!S116,2))</f>
        <v/>
      </c>
      <c r="G118" s="213">
        <f>IF(OR(posicao_contratual!A116="",NOT(ISNUMBER(posicao_contratual!B116)),NOT(ISNUMBER(posicao_contratual!W116))),"",ROUND(posicao_contratual!B116*posicao_contratual!W116,2))</f>
        <v/>
      </c>
    </row>
    <row r="119">
      <c r="A119">
        <f>IF(posicao_contratual!A117="","",posicao_contratual!A117)</f>
        <v/>
      </c>
      <c r="B119" s="213">
        <f>IF(posicao_contratual!A117="","",posicao_contratual!B117)</f>
        <v/>
      </c>
      <c r="C119" s="213">
        <f>IF(OR(posicao_contratual!A117="",NOT(ISNUMBER(posicao_contratual!B117)),NOT(ISNUMBER(posicao_contratual!G117))),"",ROUND(posicao_contratual!B117*posicao_contratual!G117,2))</f>
        <v/>
      </c>
      <c r="D119" s="213">
        <f>IF(OR(posicao_contratual!A117="",NOT(ISNUMBER(posicao_contratual!B117)),NOT(ISNUMBER(posicao_contratual!K117))),"",ROUND(posicao_contratual!B117*posicao_contratual!K117,2))</f>
        <v/>
      </c>
      <c r="E119" s="213">
        <f>IF(OR(posicao_contratual!A117="",NOT(ISNUMBER(posicao_contratual!B117)),NOT(ISNUMBER(posicao_contratual!O117))),"",ROUND(posicao_contratual!B117*posicao_contratual!O117,2))</f>
        <v/>
      </c>
      <c r="F119" s="213">
        <f>IF(OR(posicao_contratual!A117="",NOT(ISNUMBER(posicao_contratual!B117)),NOT(ISNUMBER(posicao_contratual!S117))),"",ROUND(posicao_contratual!B117*posicao_contratual!S117,2))</f>
        <v/>
      </c>
      <c r="G119" s="213">
        <f>IF(OR(posicao_contratual!A117="",NOT(ISNUMBER(posicao_contratual!B117)),NOT(ISNUMBER(posicao_contratual!W117))),"",ROUND(posicao_contratual!B117*posicao_contratual!W117,2))</f>
        <v/>
      </c>
    </row>
    <row r="120">
      <c r="A120">
        <f>IF(posicao_contratual!A118="","",posicao_contratual!A118)</f>
        <v/>
      </c>
      <c r="B120" s="213">
        <f>IF(posicao_contratual!A118="","",posicao_contratual!B118)</f>
        <v/>
      </c>
      <c r="C120" s="213">
        <f>IF(OR(posicao_contratual!A118="",NOT(ISNUMBER(posicao_contratual!B118)),NOT(ISNUMBER(posicao_contratual!G118))),"",ROUND(posicao_contratual!B118*posicao_contratual!G118,2))</f>
        <v/>
      </c>
      <c r="D120" s="213">
        <f>IF(OR(posicao_contratual!A118="",NOT(ISNUMBER(posicao_contratual!B118)),NOT(ISNUMBER(posicao_contratual!K118))),"",ROUND(posicao_contratual!B118*posicao_contratual!K118,2))</f>
        <v/>
      </c>
      <c r="E120" s="213">
        <f>IF(OR(posicao_contratual!A118="",NOT(ISNUMBER(posicao_contratual!B118)),NOT(ISNUMBER(posicao_contratual!O118))),"",ROUND(posicao_contratual!B118*posicao_contratual!O118,2))</f>
        <v/>
      </c>
      <c r="F120" s="213">
        <f>IF(OR(posicao_contratual!A118="",NOT(ISNUMBER(posicao_contratual!B118)),NOT(ISNUMBER(posicao_contratual!S118))),"",ROUND(posicao_contratual!B118*posicao_contratual!S118,2))</f>
        <v/>
      </c>
      <c r="G120" s="213">
        <f>IF(OR(posicao_contratual!A118="",NOT(ISNUMBER(posicao_contratual!B118)),NOT(ISNUMBER(posicao_contratual!W118))),"",ROUND(posicao_contratual!B118*posicao_contratual!W118,2))</f>
        <v/>
      </c>
    </row>
    <row r="121">
      <c r="A121">
        <f>IF(posicao_contratual!A119="","",posicao_contratual!A119)</f>
        <v/>
      </c>
      <c r="B121" s="213">
        <f>IF(posicao_contratual!A119="","",posicao_contratual!B119)</f>
        <v/>
      </c>
      <c r="C121" s="213">
        <f>IF(OR(posicao_contratual!A119="",NOT(ISNUMBER(posicao_contratual!B119)),NOT(ISNUMBER(posicao_contratual!G119))),"",ROUND(posicao_contratual!B119*posicao_contratual!G119,2))</f>
        <v/>
      </c>
      <c r="D121" s="213">
        <f>IF(OR(posicao_contratual!A119="",NOT(ISNUMBER(posicao_contratual!B119)),NOT(ISNUMBER(posicao_contratual!K119))),"",ROUND(posicao_contratual!B119*posicao_contratual!K119,2))</f>
        <v/>
      </c>
      <c r="E121" s="213">
        <f>IF(OR(posicao_contratual!A119="",NOT(ISNUMBER(posicao_contratual!B119)),NOT(ISNUMBER(posicao_contratual!O119))),"",ROUND(posicao_contratual!B119*posicao_contratual!O119,2))</f>
        <v/>
      </c>
      <c r="F121" s="213">
        <f>IF(OR(posicao_contratual!A119="",NOT(ISNUMBER(posicao_contratual!B119)),NOT(ISNUMBER(posicao_contratual!S119))),"",ROUND(posicao_contratual!B119*posicao_contratual!S119,2))</f>
        <v/>
      </c>
      <c r="G121" s="213">
        <f>IF(OR(posicao_contratual!A119="",NOT(ISNUMBER(posicao_contratual!B119)),NOT(ISNUMBER(posicao_contratual!W119))),"",ROUND(posicao_contratual!B119*posicao_contratual!W119,2))</f>
        <v/>
      </c>
    </row>
    <row r="122">
      <c r="A122">
        <f>IF(posicao_contratual!A120="","",posicao_contratual!A120)</f>
        <v/>
      </c>
      <c r="B122" s="213">
        <f>IF(posicao_contratual!A120="","",posicao_contratual!B120)</f>
        <v/>
      </c>
      <c r="C122" s="213">
        <f>IF(OR(posicao_contratual!A120="",NOT(ISNUMBER(posicao_contratual!B120)),NOT(ISNUMBER(posicao_contratual!G120))),"",ROUND(posicao_contratual!B120*posicao_contratual!G120,2))</f>
        <v/>
      </c>
      <c r="D122" s="213">
        <f>IF(OR(posicao_contratual!A120="",NOT(ISNUMBER(posicao_contratual!B120)),NOT(ISNUMBER(posicao_contratual!K120))),"",ROUND(posicao_contratual!B120*posicao_contratual!K120,2))</f>
        <v/>
      </c>
      <c r="E122" s="213">
        <f>IF(OR(posicao_contratual!A120="",NOT(ISNUMBER(posicao_contratual!B120)),NOT(ISNUMBER(posicao_contratual!O120))),"",ROUND(posicao_contratual!B120*posicao_contratual!O120,2))</f>
        <v/>
      </c>
      <c r="F122" s="213">
        <f>IF(OR(posicao_contratual!A120="",NOT(ISNUMBER(posicao_contratual!B120)),NOT(ISNUMBER(posicao_contratual!S120))),"",ROUND(posicao_contratual!B120*posicao_contratual!S120,2))</f>
        <v/>
      </c>
      <c r="G122" s="213">
        <f>IF(OR(posicao_contratual!A120="",NOT(ISNUMBER(posicao_contratual!B120)),NOT(ISNUMBER(posicao_contratual!W120))),"",ROUND(posicao_contratual!B120*posicao_contratual!W120,2))</f>
        <v/>
      </c>
    </row>
    <row r="123">
      <c r="A123">
        <f>IF(posicao_contratual!A121="","",posicao_contratual!A121)</f>
        <v/>
      </c>
      <c r="B123" s="213">
        <f>IF(posicao_contratual!A121="","",posicao_contratual!B121)</f>
        <v/>
      </c>
      <c r="C123" s="213">
        <f>IF(OR(posicao_contratual!A121="",NOT(ISNUMBER(posicao_contratual!B121)),NOT(ISNUMBER(posicao_contratual!G121))),"",ROUND(posicao_contratual!B121*posicao_contratual!G121,2))</f>
        <v/>
      </c>
      <c r="D123" s="213">
        <f>IF(OR(posicao_contratual!A121="",NOT(ISNUMBER(posicao_contratual!B121)),NOT(ISNUMBER(posicao_contratual!K121))),"",ROUND(posicao_contratual!B121*posicao_contratual!K121,2))</f>
        <v/>
      </c>
      <c r="E123" s="213">
        <f>IF(OR(posicao_contratual!A121="",NOT(ISNUMBER(posicao_contratual!B121)),NOT(ISNUMBER(posicao_contratual!O121))),"",ROUND(posicao_contratual!B121*posicao_contratual!O121,2))</f>
        <v/>
      </c>
      <c r="F123" s="213">
        <f>IF(OR(posicao_contratual!A121="",NOT(ISNUMBER(posicao_contratual!B121)),NOT(ISNUMBER(posicao_contratual!S121))),"",ROUND(posicao_contratual!B121*posicao_contratual!S121,2))</f>
        <v/>
      </c>
      <c r="G123" s="213">
        <f>IF(OR(posicao_contratual!A121="",NOT(ISNUMBER(posicao_contratual!B121)),NOT(ISNUMBER(posicao_contratual!W121))),"",ROUND(posicao_contratual!B121*posicao_contratual!W121,2))</f>
        <v/>
      </c>
    </row>
    <row r="124">
      <c r="A124">
        <f>IF(posicao_contratual!A122="","",posicao_contratual!A122)</f>
        <v/>
      </c>
      <c r="B124" s="213">
        <f>IF(posicao_contratual!A122="","",posicao_contratual!B122)</f>
        <v/>
      </c>
      <c r="C124" s="213">
        <f>IF(OR(posicao_contratual!A122="",NOT(ISNUMBER(posicao_contratual!B122)),NOT(ISNUMBER(posicao_contratual!G122))),"",ROUND(posicao_contratual!B122*posicao_contratual!G122,2))</f>
        <v/>
      </c>
      <c r="D124" s="213">
        <f>IF(OR(posicao_contratual!A122="",NOT(ISNUMBER(posicao_contratual!B122)),NOT(ISNUMBER(posicao_contratual!K122))),"",ROUND(posicao_contratual!B122*posicao_contratual!K122,2))</f>
        <v/>
      </c>
      <c r="E124" s="213">
        <f>IF(OR(posicao_contratual!A122="",NOT(ISNUMBER(posicao_contratual!B122)),NOT(ISNUMBER(posicao_contratual!O122))),"",ROUND(posicao_contratual!B122*posicao_contratual!O122,2))</f>
        <v/>
      </c>
      <c r="F124" s="213">
        <f>IF(OR(posicao_contratual!A122="",NOT(ISNUMBER(posicao_contratual!B122)),NOT(ISNUMBER(posicao_contratual!S122))),"",ROUND(posicao_contratual!B122*posicao_contratual!S122,2))</f>
        <v/>
      </c>
      <c r="G124" s="213">
        <f>IF(OR(posicao_contratual!A122="",NOT(ISNUMBER(posicao_contratual!B122)),NOT(ISNUMBER(posicao_contratual!W122))),"",ROUND(posicao_contratual!B122*posicao_contratual!W122,2))</f>
        <v/>
      </c>
    </row>
    <row r="125">
      <c r="A125">
        <f>IF(posicao_contratual!A123="","",posicao_contratual!A123)</f>
        <v/>
      </c>
      <c r="B125" s="213">
        <f>IF(posicao_contratual!A123="","",posicao_contratual!B123)</f>
        <v/>
      </c>
      <c r="C125" s="213">
        <f>IF(OR(posicao_contratual!A123="",NOT(ISNUMBER(posicao_contratual!B123)),NOT(ISNUMBER(posicao_contratual!G123))),"",ROUND(posicao_contratual!B123*posicao_contratual!G123,2))</f>
        <v/>
      </c>
      <c r="D125" s="213">
        <f>IF(OR(posicao_contratual!A123="",NOT(ISNUMBER(posicao_contratual!B123)),NOT(ISNUMBER(posicao_contratual!K123))),"",ROUND(posicao_contratual!B123*posicao_contratual!K123,2))</f>
        <v/>
      </c>
      <c r="E125" s="213">
        <f>IF(OR(posicao_contratual!A123="",NOT(ISNUMBER(posicao_contratual!B123)),NOT(ISNUMBER(posicao_contratual!O123))),"",ROUND(posicao_contratual!B123*posicao_contratual!O123,2))</f>
        <v/>
      </c>
      <c r="F125" s="213">
        <f>IF(OR(posicao_contratual!A123="",NOT(ISNUMBER(posicao_contratual!B123)),NOT(ISNUMBER(posicao_contratual!S123))),"",ROUND(posicao_contratual!B123*posicao_contratual!S123,2))</f>
        <v/>
      </c>
      <c r="G125" s="213">
        <f>IF(OR(posicao_contratual!A123="",NOT(ISNUMBER(posicao_contratual!B123)),NOT(ISNUMBER(posicao_contratual!W123))),"",ROUND(posicao_contratual!B123*posicao_contratual!W123,2))</f>
        <v/>
      </c>
    </row>
    <row r="126">
      <c r="A126">
        <f>IF(posicao_contratual!A124="","",posicao_contratual!A124)</f>
        <v/>
      </c>
      <c r="B126" s="213">
        <f>IF(posicao_contratual!A124="","",posicao_contratual!B124)</f>
        <v/>
      </c>
      <c r="C126" s="213">
        <f>IF(OR(posicao_contratual!A124="",NOT(ISNUMBER(posicao_contratual!B124)),NOT(ISNUMBER(posicao_contratual!G124))),"",ROUND(posicao_contratual!B124*posicao_contratual!G124,2))</f>
        <v/>
      </c>
      <c r="D126" s="213">
        <f>IF(OR(posicao_contratual!A124="",NOT(ISNUMBER(posicao_contratual!B124)),NOT(ISNUMBER(posicao_contratual!K124))),"",ROUND(posicao_contratual!B124*posicao_contratual!K124,2))</f>
        <v/>
      </c>
      <c r="E126" s="213">
        <f>IF(OR(posicao_contratual!A124="",NOT(ISNUMBER(posicao_contratual!B124)),NOT(ISNUMBER(posicao_contratual!O124))),"",ROUND(posicao_contratual!B124*posicao_contratual!O124,2))</f>
        <v/>
      </c>
      <c r="F126" s="213">
        <f>IF(OR(posicao_contratual!A124="",NOT(ISNUMBER(posicao_contratual!B124)),NOT(ISNUMBER(posicao_contratual!S124))),"",ROUND(posicao_contratual!B124*posicao_contratual!S124,2))</f>
        <v/>
      </c>
      <c r="G126" s="213">
        <f>IF(OR(posicao_contratual!A124="",NOT(ISNUMBER(posicao_contratual!B124)),NOT(ISNUMBER(posicao_contratual!W124))),"",ROUND(posicao_contratual!B124*posicao_contratual!W124,2))</f>
        <v/>
      </c>
    </row>
    <row r="127">
      <c r="A127">
        <f>IF(posicao_contratual!A125="","",posicao_contratual!A125)</f>
        <v/>
      </c>
      <c r="B127" s="213">
        <f>IF(posicao_contratual!A125="","",posicao_contratual!B125)</f>
        <v/>
      </c>
      <c r="C127" s="213">
        <f>IF(OR(posicao_contratual!A125="",NOT(ISNUMBER(posicao_contratual!B125)),NOT(ISNUMBER(posicao_contratual!G125))),"",ROUND(posicao_contratual!B125*posicao_contratual!G125,2))</f>
        <v/>
      </c>
      <c r="D127" s="213">
        <f>IF(OR(posicao_contratual!A125="",NOT(ISNUMBER(posicao_contratual!B125)),NOT(ISNUMBER(posicao_contratual!K125))),"",ROUND(posicao_contratual!B125*posicao_contratual!K125,2))</f>
        <v/>
      </c>
      <c r="E127" s="213">
        <f>IF(OR(posicao_contratual!A125="",NOT(ISNUMBER(posicao_contratual!B125)),NOT(ISNUMBER(posicao_contratual!O125))),"",ROUND(posicao_contratual!B125*posicao_contratual!O125,2))</f>
        <v/>
      </c>
      <c r="F127" s="213">
        <f>IF(OR(posicao_contratual!A125="",NOT(ISNUMBER(posicao_contratual!B125)),NOT(ISNUMBER(posicao_contratual!S125))),"",ROUND(posicao_contratual!B125*posicao_contratual!S125,2))</f>
        <v/>
      </c>
      <c r="G127" s="213">
        <f>IF(OR(posicao_contratual!A125="",NOT(ISNUMBER(posicao_contratual!B125)),NOT(ISNUMBER(posicao_contratual!W125))),"",ROUND(posicao_contratual!B125*posicao_contratual!W125,2))</f>
        <v/>
      </c>
    </row>
    <row r="128">
      <c r="A128">
        <f>IF(posicao_contratual!A126="","",posicao_contratual!A126)</f>
        <v/>
      </c>
      <c r="B128" s="213">
        <f>IF(posicao_contratual!A126="","",posicao_contratual!B126)</f>
        <v/>
      </c>
      <c r="C128" s="213">
        <f>IF(OR(posicao_contratual!A126="",NOT(ISNUMBER(posicao_contratual!B126)),NOT(ISNUMBER(posicao_contratual!G126))),"",ROUND(posicao_contratual!B126*posicao_contratual!G126,2))</f>
        <v/>
      </c>
      <c r="D128" s="213">
        <f>IF(OR(posicao_contratual!A126="",NOT(ISNUMBER(posicao_contratual!B126)),NOT(ISNUMBER(posicao_contratual!K126))),"",ROUND(posicao_contratual!B126*posicao_contratual!K126,2))</f>
        <v/>
      </c>
      <c r="E128" s="213">
        <f>IF(OR(posicao_contratual!A126="",NOT(ISNUMBER(posicao_contratual!B126)),NOT(ISNUMBER(posicao_contratual!O126))),"",ROUND(posicao_contratual!B126*posicao_contratual!O126,2))</f>
        <v/>
      </c>
      <c r="F128" s="213">
        <f>IF(OR(posicao_contratual!A126="",NOT(ISNUMBER(posicao_contratual!B126)),NOT(ISNUMBER(posicao_contratual!S126))),"",ROUND(posicao_contratual!B126*posicao_contratual!S126,2))</f>
        <v/>
      </c>
      <c r="G128" s="213">
        <f>IF(OR(posicao_contratual!A126="",NOT(ISNUMBER(posicao_contratual!B126)),NOT(ISNUMBER(posicao_contratual!W126))),"",ROUND(posicao_contratual!B126*posicao_contratual!W126,2))</f>
        <v/>
      </c>
    </row>
    <row r="129">
      <c r="A129">
        <f>IF(posicao_contratual!A127="","",posicao_contratual!A127)</f>
        <v/>
      </c>
      <c r="B129" s="213">
        <f>IF(posicao_contratual!A127="","",posicao_contratual!B127)</f>
        <v/>
      </c>
      <c r="C129" s="213">
        <f>IF(OR(posicao_contratual!A127="",NOT(ISNUMBER(posicao_contratual!B127)),NOT(ISNUMBER(posicao_contratual!G127))),"",ROUND(posicao_contratual!B127*posicao_contratual!G127,2))</f>
        <v/>
      </c>
      <c r="D129" s="213">
        <f>IF(OR(posicao_contratual!A127="",NOT(ISNUMBER(posicao_contratual!B127)),NOT(ISNUMBER(posicao_contratual!K127))),"",ROUND(posicao_contratual!B127*posicao_contratual!K127,2))</f>
        <v/>
      </c>
      <c r="E129" s="213">
        <f>IF(OR(posicao_contratual!A127="",NOT(ISNUMBER(posicao_contratual!B127)),NOT(ISNUMBER(posicao_contratual!O127))),"",ROUND(posicao_contratual!B127*posicao_contratual!O127,2))</f>
        <v/>
      </c>
      <c r="F129" s="213">
        <f>IF(OR(posicao_contratual!A127="",NOT(ISNUMBER(posicao_contratual!B127)),NOT(ISNUMBER(posicao_contratual!S127))),"",ROUND(posicao_contratual!B127*posicao_contratual!S127,2))</f>
        <v/>
      </c>
      <c r="G129" s="213">
        <f>IF(OR(posicao_contratual!A127="",NOT(ISNUMBER(posicao_contratual!B127)),NOT(ISNUMBER(posicao_contratual!W127))),"",ROUND(posicao_contratual!B127*posicao_contratual!W127,2))</f>
        <v/>
      </c>
    </row>
    <row r="130">
      <c r="A130">
        <f>IF(posicao_contratual!A128="","",posicao_contratual!A128)</f>
        <v/>
      </c>
      <c r="B130" s="213">
        <f>IF(posicao_contratual!A128="","",posicao_contratual!B128)</f>
        <v/>
      </c>
      <c r="C130" s="213">
        <f>IF(OR(posicao_contratual!A128="",NOT(ISNUMBER(posicao_contratual!B128)),NOT(ISNUMBER(posicao_contratual!G128))),"",ROUND(posicao_contratual!B128*posicao_contratual!G128,2))</f>
        <v/>
      </c>
      <c r="D130" s="213">
        <f>IF(OR(posicao_contratual!A128="",NOT(ISNUMBER(posicao_contratual!B128)),NOT(ISNUMBER(posicao_contratual!K128))),"",ROUND(posicao_contratual!B128*posicao_contratual!K128,2))</f>
        <v/>
      </c>
      <c r="E130" s="213">
        <f>IF(OR(posicao_contratual!A128="",NOT(ISNUMBER(posicao_contratual!B128)),NOT(ISNUMBER(posicao_contratual!O128))),"",ROUND(posicao_contratual!B128*posicao_contratual!O128,2))</f>
        <v/>
      </c>
      <c r="F130" s="213">
        <f>IF(OR(posicao_contratual!A128="",NOT(ISNUMBER(posicao_contratual!B128)),NOT(ISNUMBER(posicao_contratual!S128))),"",ROUND(posicao_contratual!B128*posicao_contratual!S128,2))</f>
        <v/>
      </c>
      <c r="G130" s="213">
        <f>IF(OR(posicao_contratual!A128="",NOT(ISNUMBER(posicao_contratual!B128)),NOT(ISNUMBER(posicao_contratual!W128))),"",ROUND(posicao_contratual!B128*posicao_contratual!W128,2))</f>
        <v/>
      </c>
    </row>
    <row r="131">
      <c r="A131">
        <f>IF(posicao_contratual!A129="","",posicao_contratual!A129)</f>
        <v/>
      </c>
      <c r="B131" s="213">
        <f>IF(posicao_contratual!A129="","",posicao_contratual!B129)</f>
        <v/>
      </c>
      <c r="C131" s="213">
        <f>IF(OR(posicao_contratual!A129="",NOT(ISNUMBER(posicao_contratual!B129)),NOT(ISNUMBER(posicao_contratual!G129))),"",ROUND(posicao_contratual!B129*posicao_contratual!G129,2))</f>
        <v/>
      </c>
      <c r="D131" s="213">
        <f>IF(OR(posicao_contratual!A129="",NOT(ISNUMBER(posicao_contratual!B129)),NOT(ISNUMBER(posicao_contratual!K129))),"",ROUND(posicao_contratual!B129*posicao_contratual!K129,2))</f>
        <v/>
      </c>
      <c r="E131" s="213">
        <f>IF(OR(posicao_contratual!A129="",NOT(ISNUMBER(posicao_contratual!B129)),NOT(ISNUMBER(posicao_contratual!O129))),"",ROUND(posicao_contratual!B129*posicao_contratual!O129,2))</f>
        <v/>
      </c>
      <c r="F131" s="213">
        <f>IF(OR(posicao_contratual!A129="",NOT(ISNUMBER(posicao_contratual!B129)),NOT(ISNUMBER(posicao_contratual!S129))),"",ROUND(posicao_contratual!B129*posicao_contratual!S129,2))</f>
        <v/>
      </c>
      <c r="G131" s="213">
        <f>IF(OR(posicao_contratual!A129="",NOT(ISNUMBER(posicao_contratual!B129)),NOT(ISNUMBER(posicao_contratual!W129))),"",ROUND(posicao_contratual!B129*posicao_contratual!W129,2))</f>
        <v/>
      </c>
    </row>
    <row r="132">
      <c r="A132">
        <f>IF(posicao_contratual!A130="","",posicao_contratual!A130)</f>
        <v/>
      </c>
      <c r="B132" s="213">
        <f>IF(posicao_contratual!A130="","",posicao_contratual!B130)</f>
        <v/>
      </c>
      <c r="C132" s="213">
        <f>IF(OR(posicao_contratual!A130="",NOT(ISNUMBER(posicao_contratual!B130)),NOT(ISNUMBER(posicao_contratual!G130))),"",ROUND(posicao_contratual!B130*posicao_contratual!G130,2))</f>
        <v/>
      </c>
      <c r="D132" s="213">
        <f>IF(OR(posicao_contratual!A130="",NOT(ISNUMBER(posicao_contratual!B130)),NOT(ISNUMBER(posicao_contratual!K130))),"",ROUND(posicao_contratual!B130*posicao_contratual!K130,2))</f>
        <v/>
      </c>
      <c r="E132" s="213">
        <f>IF(OR(posicao_contratual!A130="",NOT(ISNUMBER(posicao_contratual!B130)),NOT(ISNUMBER(posicao_contratual!O130))),"",ROUND(posicao_contratual!B130*posicao_contratual!O130,2))</f>
        <v/>
      </c>
      <c r="F132" s="213">
        <f>IF(OR(posicao_contratual!A130="",NOT(ISNUMBER(posicao_contratual!B130)),NOT(ISNUMBER(posicao_contratual!S130))),"",ROUND(posicao_contratual!B130*posicao_contratual!S130,2))</f>
        <v/>
      </c>
      <c r="G132" s="213">
        <f>IF(OR(posicao_contratual!A130="",NOT(ISNUMBER(posicao_contratual!B130)),NOT(ISNUMBER(posicao_contratual!W130))),"",ROUND(posicao_contratual!B130*posicao_contratual!W130,2))</f>
        <v/>
      </c>
    </row>
    <row r="133">
      <c r="A133">
        <f>IF(posicao_contratual!A131="","",posicao_contratual!A131)</f>
        <v/>
      </c>
      <c r="B133" s="213">
        <f>IF(posicao_contratual!A131="","",posicao_contratual!B131)</f>
        <v/>
      </c>
      <c r="C133" s="213">
        <f>IF(OR(posicao_contratual!A131="",NOT(ISNUMBER(posicao_contratual!B131)),NOT(ISNUMBER(posicao_contratual!G131))),"",ROUND(posicao_contratual!B131*posicao_contratual!G131,2))</f>
        <v/>
      </c>
      <c r="D133" s="213">
        <f>IF(OR(posicao_contratual!A131="",NOT(ISNUMBER(posicao_contratual!B131)),NOT(ISNUMBER(posicao_contratual!K131))),"",ROUND(posicao_contratual!B131*posicao_contratual!K131,2))</f>
        <v/>
      </c>
      <c r="E133" s="213">
        <f>IF(OR(posicao_contratual!A131="",NOT(ISNUMBER(posicao_contratual!B131)),NOT(ISNUMBER(posicao_contratual!O131))),"",ROUND(posicao_contratual!B131*posicao_contratual!O131,2))</f>
        <v/>
      </c>
      <c r="F133" s="213">
        <f>IF(OR(posicao_contratual!A131="",NOT(ISNUMBER(posicao_contratual!B131)),NOT(ISNUMBER(posicao_contratual!S131))),"",ROUND(posicao_contratual!B131*posicao_contratual!S131,2))</f>
        <v/>
      </c>
      <c r="G133" s="213">
        <f>IF(OR(posicao_contratual!A131="",NOT(ISNUMBER(posicao_contratual!B131)),NOT(ISNUMBER(posicao_contratual!W131))),"",ROUND(posicao_contratual!B131*posicao_contratual!W131,2))</f>
        <v/>
      </c>
    </row>
    <row r="134">
      <c r="A134">
        <f>IF(posicao_contratual!A132="","",posicao_contratual!A132)</f>
        <v/>
      </c>
      <c r="B134" s="213">
        <f>IF(posicao_contratual!A132="","",posicao_contratual!B132)</f>
        <v/>
      </c>
      <c r="C134" s="213">
        <f>IF(OR(posicao_contratual!A132="",NOT(ISNUMBER(posicao_contratual!B132)),NOT(ISNUMBER(posicao_contratual!G132))),"",ROUND(posicao_contratual!B132*posicao_contratual!G132,2))</f>
        <v/>
      </c>
      <c r="D134" s="213">
        <f>IF(OR(posicao_contratual!A132="",NOT(ISNUMBER(posicao_contratual!B132)),NOT(ISNUMBER(posicao_contratual!K132))),"",ROUND(posicao_contratual!B132*posicao_contratual!K132,2))</f>
        <v/>
      </c>
      <c r="E134" s="213">
        <f>IF(OR(posicao_contratual!A132="",NOT(ISNUMBER(posicao_contratual!B132)),NOT(ISNUMBER(posicao_contratual!O132))),"",ROUND(posicao_contratual!B132*posicao_contratual!O132,2))</f>
        <v/>
      </c>
      <c r="F134" s="213">
        <f>IF(OR(posicao_contratual!A132="",NOT(ISNUMBER(posicao_contratual!B132)),NOT(ISNUMBER(posicao_contratual!S132))),"",ROUND(posicao_contratual!B132*posicao_contratual!S132,2))</f>
        <v/>
      </c>
      <c r="G134" s="213">
        <f>IF(OR(posicao_contratual!A132="",NOT(ISNUMBER(posicao_contratual!B132)),NOT(ISNUMBER(posicao_contratual!W132))),"",ROUND(posicao_contratual!B132*posicao_contratual!W132,2))</f>
        <v/>
      </c>
    </row>
    <row r="135">
      <c r="A135">
        <f>IF(posicao_contratual!A133="","",posicao_contratual!A133)</f>
        <v/>
      </c>
      <c r="B135" s="213">
        <f>IF(posicao_contratual!A133="","",posicao_contratual!B133)</f>
        <v/>
      </c>
      <c r="C135" s="213">
        <f>IF(OR(posicao_contratual!A133="",NOT(ISNUMBER(posicao_contratual!B133)),NOT(ISNUMBER(posicao_contratual!G133))),"",ROUND(posicao_contratual!B133*posicao_contratual!G133,2))</f>
        <v/>
      </c>
      <c r="D135" s="213">
        <f>IF(OR(posicao_contratual!A133="",NOT(ISNUMBER(posicao_contratual!B133)),NOT(ISNUMBER(posicao_contratual!K133))),"",ROUND(posicao_contratual!B133*posicao_contratual!K133,2))</f>
        <v/>
      </c>
      <c r="E135" s="213">
        <f>IF(OR(posicao_contratual!A133="",NOT(ISNUMBER(posicao_contratual!B133)),NOT(ISNUMBER(posicao_contratual!O133))),"",ROUND(posicao_contratual!B133*posicao_contratual!O133,2))</f>
        <v/>
      </c>
      <c r="F135" s="213">
        <f>IF(OR(posicao_contratual!A133="",NOT(ISNUMBER(posicao_contratual!B133)),NOT(ISNUMBER(posicao_contratual!S133))),"",ROUND(posicao_contratual!B133*posicao_contratual!S133,2))</f>
        <v/>
      </c>
      <c r="G135" s="213">
        <f>IF(OR(posicao_contratual!A133="",NOT(ISNUMBER(posicao_contratual!B133)),NOT(ISNUMBER(posicao_contratual!W133))),"",ROUND(posicao_contratual!B133*posicao_contratual!W133,2))</f>
        <v/>
      </c>
    </row>
    <row r="136">
      <c r="A136">
        <f>IF(posicao_contratual!A134="","",posicao_contratual!A134)</f>
        <v/>
      </c>
      <c r="B136" s="213">
        <f>IF(posicao_contratual!A134="","",posicao_contratual!B134)</f>
        <v/>
      </c>
      <c r="C136" s="213">
        <f>IF(OR(posicao_contratual!A134="",NOT(ISNUMBER(posicao_contratual!B134)),NOT(ISNUMBER(posicao_contratual!G134))),"",ROUND(posicao_contratual!B134*posicao_contratual!G134,2))</f>
        <v/>
      </c>
      <c r="D136" s="213">
        <f>IF(OR(posicao_contratual!A134="",NOT(ISNUMBER(posicao_contratual!B134)),NOT(ISNUMBER(posicao_contratual!K134))),"",ROUND(posicao_contratual!B134*posicao_contratual!K134,2))</f>
        <v/>
      </c>
      <c r="E136" s="213">
        <f>IF(OR(posicao_contratual!A134="",NOT(ISNUMBER(posicao_contratual!B134)),NOT(ISNUMBER(posicao_contratual!O134))),"",ROUND(posicao_contratual!B134*posicao_contratual!O134,2))</f>
        <v/>
      </c>
      <c r="F136" s="213">
        <f>IF(OR(posicao_contratual!A134="",NOT(ISNUMBER(posicao_contratual!B134)),NOT(ISNUMBER(posicao_contratual!S134))),"",ROUND(posicao_contratual!B134*posicao_contratual!S134,2))</f>
        <v/>
      </c>
      <c r="G136" s="213">
        <f>IF(OR(posicao_contratual!A134="",NOT(ISNUMBER(posicao_contratual!B134)),NOT(ISNUMBER(posicao_contratual!W134))),"",ROUND(posicao_contratual!B134*posicao_contratual!W134,2))</f>
        <v/>
      </c>
    </row>
    <row r="137">
      <c r="A137">
        <f>IF(posicao_contratual!A135="","",posicao_contratual!A135)</f>
        <v/>
      </c>
      <c r="B137" s="213">
        <f>IF(posicao_contratual!A135="","",posicao_contratual!B135)</f>
        <v/>
      </c>
      <c r="C137" s="213">
        <f>IF(OR(posicao_contratual!A135="",NOT(ISNUMBER(posicao_contratual!B135)),NOT(ISNUMBER(posicao_contratual!G135))),"",ROUND(posicao_contratual!B135*posicao_contratual!G135,2))</f>
        <v/>
      </c>
      <c r="D137" s="213">
        <f>IF(OR(posicao_contratual!A135="",NOT(ISNUMBER(posicao_contratual!B135)),NOT(ISNUMBER(posicao_contratual!K135))),"",ROUND(posicao_contratual!B135*posicao_contratual!K135,2))</f>
        <v/>
      </c>
      <c r="E137" s="213">
        <f>IF(OR(posicao_contratual!A135="",NOT(ISNUMBER(posicao_contratual!B135)),NOT(ISNUMBER(posicao_contratual!O135))),"",ROUND(posicao_contratual!B135*posicao_contratual!O135,2))</f>
        <v/>
      </c>
      <c r="F137" s="213">
        <f>IF(OR(posicao_contratual!A135="",NOT(ISNUMBER(posicao_contratual!B135)),NOT(ISNUMBER(posicao_contratual!S135))),"",ROUND(posicao_contratual!B135*posicao_contratual!S135,2))</f>
        <v/>
      </c>
      <c r="G137" s="213">
        <f>IF(OR(posicao_contratual!A135="",NOT(ISNUMBER(posicao_contratual!B135)),NOT(ISNUMBER(posicao_contratual!W135))),"",ROUND(posicao_contratual!B135*posicao_contratual!W135,2))</f>
        <v/>
      </c>
    </row>
    <row r="138">
      <c r="A138">
        <f>IF(posicao_contratual!A136="","",posicao_contratual!A136)</f>
        <v/>
      </c>
      <c r="B138" s="213">
        <f>IF(posicao_contratual!A136="","",posicao_contratual!B136)</f>
        <v/>
      </c>
      <c r="C138" s="213">
        <f>IF(OR(posicao_contratual!A136="",NOT(ISNUMBER(posicao_contratual!B136)),NOT(ISNUMBER(posicao_contratual!G136))),"",ROUND(posicao_contratual!B136*posicao_contratual!G136,2))</f>
        <v/>
      </c>
      <c r="D138" s="213">
        <f>IF(OR(posicao_contratual!A136="",NOT(ISNUMBER(posicao_contratual!B136)),NOT(ISNUMBER(posicao_contratual!K136))),"",ROUND(posicao_contratual!B136*posicao_contratual!K136,2))</f>
        <v/>
      </c>
      <c r="E138" s="213">
        <f>IF(OR(posicao_contratual!A136="",NOT(ISNUMBER(posicao_contratual!B136)),NOT(ISNUMBER(posicao_contratual!O136))),"",ROUND(posicao_contratual!B136*posicao_contratual!O136,2))</f>
        <v/>
      </c>
      <c r="F138" s="213">
        <f>IF(OR(posicao_contratual!A136="",NOT(ISNUMBER(posicao_contratual!B136)),NOT(ISNUMBER(posicao_contratual!S136))),"",ROUND(posicao_contratual!B136*posicao_contratual!S136,2))</f>
        <v/>
      </c>
      <c r="G138" s="213">
        <f>IF(OR(posicao_contratual!A136="",NOT(ISNUMBER(posicao_contratual!B136)),NOT(ISNUMBER(posicao_contratual!W136))),"",ROUND(posicao_contratual!B136*posicao_contratual!W136,2))</f>
        <v/>
      </c>
    </row>
    <row r="139">
      <c r="A139">
        <f>IF(posicao_contratual!A137="","",posicao_contratual!A137)</f>
        <v/>
      </c>
      <c r="B139" s="213">
        <f>IF(posicao_contratual!A137="","",posicao_contratual!B137)</f>
        <v/>
      </c>
      <c r="C139" s="213">
        <f>IF(OR(posicao_contratual!A137="",NOT(ISNUMBER(posicao_contratual!B137)),NOT(ISNUMBER(posicao_contratual!G137))),"",ROUND(posicao_contratual!B137*posicao_contratual!G137,2))</f>
        <v/>
      </c>
      <c r="D139" s="213">
        <f>IF(OR(posicao_contratual!A137="",NOT(ISNUMBER(posicao_contratual!B137)),NOT(ISNUMBER(posicao_contratual!K137))),"",ROUND(posicao_contratual!B137*posicao_contratual!K137,2))</f>
        <v/>
      </c>
      <c r="E139" s="213">
        <f>IF(OR(posicao_contratual!A137="",NOT(ISNUMBER(posicao_contratual!B137)),NOT(ISNUMBER(posicao_contratual!O137))),"",ROUND(posicao_contratual!B137*posicao_contratual!O137,2))</f>
        <v/>
      </c>
      <c r="F139" s="213">
        <f>IF(OR(posicao_contratual!A137="",NOT(ISNUMBER(posicao_contratual!B137)),NOT(ISNUMBER(posicao_contratual!S137))),"",ROUND(posicao_contratual!B137*posicao_contratual!S137,2))</f>
        <v/>
      </c>
      <c r="G139" s="213">
        <f>IF(OR(posicao_contratual!A137="",NOT(ISNUMBER(posicao_contratual!B137)),NOT(ISNUMBER(posicao_contratual!W137))),"",ROUND(posicao_contratual!B137*posicao_contratual!W137,2))</f>
        <v/>
      </c>
    </row>
    <row r="140">
      <c r="A140">
        <f>IF(posicao_contratual!A138="","",posicao_contratual!A138)</f>
        <v/>
      </c>
      <c r="B140" s="213">
        <f>IF(posicao_contratual!A138="","",posicao_contratual!B138)</f>
        <v/>
      </c>
      <c r="C140" s="213">
        <f>IF(OR(posicao_contratual!A138="",NOT(ISNUMBER(posicao_contratual!B138)),NOT(ISNUMBER(posicao_contratual!G138))),"",ROUND(posicao_contratual!B138*posicao_contratual!G138,2))</f>
        <v/>
      </c>
      <c r="D140" s="213">
        <f>IF(OR(posicao_contratual!A138="",NOT(ISNUMBER(posicao_contratual!B138)),NOT(ISNUMBER(posicao_contratual!K138))),"",ROUND(posicao_contratual!B138*posicao_contratual!K138,2))</f>
        <v/>
      </c>
      <c r="E140" s="213">
        <f>IF(OR(posicao_contratual!A138="",NOT(ISNUMBER(posicao_contratual!B138)),NOT(ISNUMBER(posicao_contratual!O138))),"",ROUND(posicao_contratual!B138*posicao_contratual!O138,2))</f>
        <v/>
      </c>
      <c r="F140" s="213">
        <f>IF(OR(posicao_contratual!A138="",NOT(ISNUMBER(posicao_contratual!B138)),NOT(ISNUMBER(posicao_contratual!S138))),"",ROUND(posicao_contratual!B138*posicao_contratual!S138,2))</f>
        <v/>
      </c>
      <c r="G140" s="213">
        <f>IF(OR(posicao_contratual!A138="",NOT(ISNUMBER(posicao_contratual!B138)),NOT(ISNUMBER(posicao_contratual!W138))),"",ROUND(posicao_contratual!B138*posicao_contratual!W138,2))</f>
        <v/>
      </c>
    </row>
    <row r="141">
      <c r="A141">
        <f>IF(posicao_contratual!A139="","",posicao_contratual!A139)</f>
        <v/>
      </c>
      <c r="B141" s="213">
        <f>IF(posicao_contratual!A139="","",posicao_contratual!B139)</f>
        <v/>
      </c>
      <c r="C141" s="213">
        <f>IF(OR(posicao_contratual!A139="",NOT(ISNUMBER(posicao_contratual!B139)),NOT(ISNUMBER(posicao_contratual!G139))),"",ROUND(posicao_contratual!B139*posicao_contratual!G139,2))</f>
        <v/>
      </c>
      <c r="D141" s="213">
        <f>IF(OR(posicao_contratual!A139="",NOT(ISNUMBER(posicao_contratual!B139)),NOT(ISNUMBER(posicao_contratual!K139))),"",ROUND(posicao_contratual!B139*posicao_contratual!K139,2))</f>
        <v/>
      </c>
      <c r="E141" s="213">
        <f>IF(OR(posicao_contratual!A139="",NOT(ISNUMBER(posicao_contratual!B139)),NOT(ISNUMBER(posicao_contratual!O139))),"",ROUND(posicao_contratual!B139*posicao_contratual!O139,2))</f>
        <v/>
      </c>
      <c r="F141" s="213">
        <f>IF(OR(posicao_contratual!A139="",NOT(ISNUMBER(posicao_contratual!B139)),NOT(ISNUMBER(posicao_contratual!S139))),"",ROUND(posicao_contratual!B139*posicao_contratual!S139,2))</f>
        <v/>
      </c>
      <c r="G141" s="213">
        <f>IF(OR(posicao_contratual!A139="",NOT(ISNUMBER(posicao_contratual!B139)),NOT(ISNUMBER(posicao_contratual!W139))),"",ROUND(posicao_contratual!B139*posicao_contratual!W139,2))</f>
        <v/>
      </c>
    </row>
    <row r="142">
      <c r="A142">
        <f>IF(posicao_contratual!A140="","",posicao_contratual!A140)</f>
        <v/>
      </c>
      <c r="B142" s="213">
        <f>IF(posicao_contratual!A140="","",posicao_contratual!B140)</f>
        <v/>
      </c>
      <c r="C142" s="213">
        <f>IF(OR(posicao_contratual!A140="",NOT(ISNUMBER(posicao_contratual!B140)),NOT(ISNUMBER(posicao_contratual!G140))),"",ROUND(posicao_contratual!B140*posicao_contratual!G140,2))</f>
        <v/>
      </c>
      <c r="D142" s="213">
        <f>IF(OR(posicao_contratual!A140="",NOT(ISNUMBER(posicao_contratual!B140)),NOT(ISNUMBER(posicao_contratual!K140))),"",ROUND(posicao_contratual!B140*posicao_contratual!K140,2))</f>
        <v/>
      </c>
      <c r="E142" s="213">
        <f>IF(OR(posicao_contratual!A140="",NOT(ISNUMBER(posicao_contratual!B140)),NOT(ISNUMBER(posicao_contratual!O140))),"",ROUND(posicao_contratual!B140*posicao_contratual!O140,2))</f>
        <v/>
      </c>
      <c r="F142" s="213">
        <f>IF(OR(posicao_contratual!A140="",NOT(ISNUMBER(posicao_contratual!B140)),NOT(ISNUMBER(posicao_contratual!S140))),"",ROUND(posicao_contratual!B140*posicao_contratual!S140,2))</f>
        <v/>
      </c>
      <c r="G142" s="213">
        <f>IF(OR(posicao_contratual!A140="",NOT(ISNUMBER(posicao_contratual!B140)),NOT(ISNUMBER(posicao_contratual!W140))),"",ROUND(posicao_contratual!B140*posicao_contratual!W140,2))</f>
        <v/>
      </c>
    </row>
    <row r="143">
      <c r="A143">
        <f>IF(posicao_contratual!A141="","",posicao_contratual!A141)</f>
        <v/>
      </c>
      <c r="B143" s="213">
        <f>IF(posicao_contratual!A141="","",posicao_contratual!B141)</f>
        <v/>
      </c>
      <c r="C143" s="213">
        <f>IF(OR(posicao_contratual!A141="",NOT(ISNUMBER(posicao_contratual!B141)),NOT(ISNUMBER(posicao_contratual!G141))),"",ROUND(posicao_contratual!B141*posicao_contratual!G141,2))</f>
        <v/>
      </c>
      <c r="D143" s="213">
        <f>IF(OR(posicao_contratual!A141="",NOT(ISNUMBER(posicao_contratual!B141)),NOT(ISNUMBER(posicao_contratual!K141))),"",ROUND(posicao_contratual!B141*posicao_contratual!K141,2))</f>
        <v/>
      </c>
      <c r="E143" s="213">
        <f>IF(OR(posicao_contratual!A141="",NOT(ISNUMBER(posicao_contratual!B141)),NOT(ISNUMBER(posicao_contratual!O141))),"",ROUND(posicao_contratual!B141*posicao_contratual!O141,2))</f>
        <v/>
      </c>
      <c r="F143" s="213">
        <f>IF(OR(posicao_contratual!A141="",NOT(ISNUMBER(posicao_contratual!B141)),NOT(ISNUMBER(posicao_contratual!S141))),"",ROUND(posicao_contratual!B141*posicao_contratual!S141,2))</f>
        <v/>
      </c>
      <c r="G143" s="213">
        <f>IF(OR(posicao_contratual!A141="",NOT(ISNUMBER(posicao_contratual!B141)),NOT(ISNUMBER(posicao_contratual!W141))),"",ROUND(posicao_contratual!B141*posicao_contratual!W141,2))</f>
        <v/>
      </c>
    </row>
    <row r="144">
      <c r="A144">
        <f>IF(posicao_contratual!A142="","",posicao_contratual!A142)</f>
        <v/>
      </c>
      <c r="B144" s="213">
        <f>IF(posicao_contratual!A142="","",posicao_contratual!B142)</f>
        <v/>
      </c>
      <c r="C144" s="213">
        <f>IF(OR(posicao_contratual!A142="",NOT(ISNUMBER(posicao_contratual!B142)),NOT(ISNUMBER(posicao_contratual!G142))),"",ROUND(posicao_contratual!B142*posicao_contratual!G142,2))</f>
        <v/>
      </c>
      <c r="D144" s="213">
        <f>IF(OR(posicao_contratual!A142="",NOT(ISNUMBER(posicao_contratual!B142)),NOT(ISNUMBER(posicao_contratual!K142))),"",ROUND(posicao_contratual!B142*posicao_contratual!K142,2))</f>
        <v/>
      </c>
      <c r="E144" s="213">
        <f>IF(OR(posicao_contratual!A142="",NOT(ISNUMBER(posicao_contratual!B142)),NOT(ISNUMBER(posicao_contratual!O142))),"",ROUND(posicao_contratual!B142*posicao_contratual!O142,2))</f>
        <v/>
      </c>
      <c r="F144" s="213">
        <f>IF(OR(posicao_contratual!A142="",NOT(ISNUMBER(posicao_contratual!B142)),NOT(ISNUMBER(posicao_contratual!S142))),"",ROUND(posicao_contratual!B142*posicao_contratual!S142,2))</f>
        <v/>
      </c>
      <c r="G144" s="213">
        <f>IF(OR(posicao_contratual!A142="",NOT(ISNUMBER(posicao_contratual!B142)),NOT(ISNUMBER(posicao_contratual!W142))),"",ROUND(posicao_contratual!B142*posicao_contratual!W142,2))</f>
        <v/>
      </c>
    </row>
    <row r="145">
      <c r="A145">
        <f>IF(posicao_contratual!A143="","",posicao_contratual!A143)</f>
        <v/>
      </c>
      <c r="B145" s="213">
        <f>IF(posicao_contratual!A143="","",posicao_contratual!B143)</f>
        <v/>
      </c>
      <c r="C145" s="213">
        <f>IF(OR(posicao_contratual!A143="",NOT(ISNUMBER(posicao_contratual!B143)),NOT(ISNUMBER(posicao_contratual!G143))),"",ROUND(posicao_contratual!B143*posicao_contratual!G143,2))</f>
        <v/>
      </c>
      <c r="D145" s="213">
        <f>IF(OR(posicao_contratual!A143="",NOT(ISNUMBER(posicao_contratual!B143)),NOT(ISNUMBER(posicao_contratual!K143))),"",ROUND(posicao_contratual!B143*posicao_contratual!K143,2))</f>
        <v/>
      </c>
      <c r="E145" s="213">
        <f>IF(OR(posicao_contratual!A143="",NOT(ISNUMBER(posicao_contratual!B143)),NOT(ISNUMBER(posicao_contratual!O143))),"",ROUND(posicao_contratual!B143*posicao_contratual!O143,2))</f>
        <v/>
      </c>
      <c r="F145" s="213">
        <f>IF(OR(posicao_contratual!A143="",NOT(ISNUMBER(posicao_contratual!B143)),NOT(ISNUMBER(posicao_contratual!S143))),"",ROUND(posicao_contratual!B143*posicao_contratual!S143,2))</f>
        <v/>
      </c>
      <c r="G145" s="213">
        <f>IF(OR(posicao_contratual!A143="",NOT(ISNUMBER(posicao_contratual!B143)),NOT(ISNUMBER(posicao_contratual!W143))),"",ROUND(posicao_contratual!B143*posicao_contratual!W143,2))</f>
        <v/>
      </c>
    </row>
    <row r="146">
      <c r="A146">
        <f>IF(posicao_contratual!A144="","",posicao_contratual!A144)</f>
        <v/>
      </c>
      <c r="B146" s="213">
        <f>IF(posicao_contratual!A144="","",posicao_contratual!B144)</f>
        <v/>
      </c>
      <c r="C146" s="213">
        <f>IF(OR(posicao_contratual!A144="",NOT(ISNUMBER(posicao_contratual!B144)),NOT(ISNUMBER(posicao_contratual!G144))),"",ROUND(posicao_contratual!B144*posicao_contratual!G144,2))</f>
        <v/>
      </c>
      <c r="D146" s="213">
        <f>IF(OR(posicao_contratual!A144="",NOT(ISNUMBER(posicao_contratual!B144)),NOT(ISNUMBER(posicao_contratual!K144))),"",ROUND(posicao_contratual!B144*posicao_contratual!K144,2))</f>
        <v/>
      </c>
      <c r="E146" s="213">
        <f>IF(OR(posicao_contratual!A144="",NOT(ISNUMBER(posicao_contratual!B144)),NOT(ISNUMBER(posicao_contratual!O144))),"",ROUND(posicao_contratual!B144*posicao_contratual!O144,2))</f>
        <v/>
      </c>
      <c r="F146" s="213">
        <f>IF(OR(posicao_contratual!A144="",NOT(ISNUMBER(posicao_contratual!B144)),NOT(ISNUMBER(posicao_contratual!S144))),"",ROUND(posicao_contratual!B144*posicao_contratual!S144,2))</f>
        <v/>
      </c>
      <c r="G146" s="213">
        <f>IF(OR(posicao_contratual!A144="",NOT(ISNUMBER(posicao_contratual!B144)),NOT(ISNUMBER(posicao_contratual!W144))),"",ROUND(posicao_contratual!B144*posicao_contratual!W144,2))</f>
        <v/>
      </c>
    </row>
    <row r="147">
      <c r="A147">
        <f>IF(posicao_contratual!A145="","",posicao_contratual!A145)</f>
        <v/>
      </c>
      <c r="B147" s="213">
        <f>IF(posicao_contratual!A145="","",posicao_contratual!B145)</f>
        <v/>
      </c>
      <c r="C147" s="213">
        <f>IF(OR(posicao_contratual!A145="",NOT(ISNUMBER(posicao_contratual!B145)),NOT(ISNUMBER(posicao_contratual!G145))),"",ROUND(posicao_contratual!B145*posicao_contratual!G145,2))</f>
        <v/>
      </c>
      <c r="D147" s="213">
        <f>IF(OR(posicao_contratual!A145="",NOT(ISNUMBER(posicao_contratual!B145)),NOT(ISNUMBER(posicao_contratual!K145))),"",ROUND(posicao_contratual!B145*posicao_contratual!K145,2))</f>
        <v/>
      </c>
      <c r="E147" s="213">
        <f>IF(OR(posicao_contratual!A145="",NOT(ISNUMBER(posicao_contratual!B145)),NOT(ISNUMBER(posicao_contratual!O145))),"",ROUND(posicao_contratual!B145*posicao_contratual!O145,2))</f>
        <v/>
      </c>
      <c r="F147" s="213">
        <f>IF(OR(posicao_contratual!A145="",NOT(ISNUMBER(posicao_contratual!B145)),NOT(ISNUMBER(posicao_contratual!S145))),"",ROUND(posicao_contratual!B145*posicao_contratual!S145,2))</f>
        <v/>
      </c>
      <c r="G147" s="213">
        <f>IF(OR(posicao_contratual!A145="",NOT(ISNUMBER(posicao_contratual!B145)),NOT(ISNUMBER(posicao_contratual!W145))),"",ROUND(posicao_contratual!B145*posicao_contratual!W145,2))</f>
        <v/>
      </c>
    </row>
    <row r="148">
      <c r="A148">
        <f>IF(posicao_contratual!A146="","",posicao_contratual!A146)</f>
        <v/>
      </c>
      <c r="B148" s="213">
        <f>IF(posicao_contratual!A146="","",posicao_contratual!B146)</f>
        <v/>
      </c>
      <c r="C148" s="213">
        <f>IF(OR(posicao_contratual!A146="",NOT(ISNUMBER(posicao_contratual!B146)),NOT(ISNUMBER(posicao_contratual!G146))),"",ROUND(posicao_contratual!B146*posicao_contratual!G146,2))</f>
        <v/>
      </c>
      <c r="D148" s="213">
        <f>IF(OR(posicao_contratual!A146="",NOT(ISNUMBER(posicao_contratual!B146)),NOT(ISNUMBER(posicao_contratual!K146))),"",ROUND(posicao_contratual!B146*posicao_contratual!K146,2))</f>
        <v/>
      </c>
      <c r="E148" s="213">
        <f>IF(OR(posicao_contratual!A146="",NOT(ISNUMBER(posicao_contratual!B146)),NOT(ISNUMBER(posicao_contratual!O146))),"",ROUND(posicao_contratual!B146*posicao_contratual!O146,2))</f>
        <v/>
      </c>
      <c r="F148" s="213">
        <f>IF(OR(posicao_contratual!A146="",NOT(ISNUMBER(posicao_contratual!B146)),NOT(ISNUMBER(posicao_contratual!S146))),"",ROUND(posicao_contratual!B146*posicao_contratual!S146,2))</f>
        <v/>
      </c>
      <c r="G148" s="213">
        <f>IF(OR(posicao_contratual!A146="",NOT(ISNUMBER(posicao_contratual!B146)),NOT(ISNUMBER(posicao_contratual!W146))),"",ROUND(posicao_contratual!B146*posicao_contratual!W146,2))</f>
        <v/>
      </c>
    </row>
    <row r="149">
      <c r="A149">
        <f>IF(posicao_contratual!A147="","",posicao_contratual!A147)</f>
        <v/>
      </c>
      <c r="B149" s="213">
        <f>IF(posicao_contratual!A147="","",posicao_contratual!B147)</f>
        <v/>
      </c>
      <c r="C149" s="213">
        <f>IF(OR(posicao_contratual!A147="",NOT(ISNUMBER(posicao_contratual!B147)),NOT(ISNUMBER(posicao_contratual!G147))),"",ROUND(posicao_contratual!B147*posicao_contratual!G147,2))</f>
        <v/>
      </c>
      <c r="D149" s="213">
        <f>IF(OR(posicao_contratual!A147="",NOT(ISNUMBER(posicao_contratual!B147)),NOT(ISNUMBER(posicao_contratual!K147))),"",ROUND(posicao_contratual!B147*posicao_contratual!K147,2))</f>
        <v/>
      </c>
      <c r="E149" s="213">
        <f>IF(OR(posicao_contratual!A147="",NOT(ISNUMBER(posicao_contratual!B147)),NOT(ISNUMBER(posicao_contratual!O147))),"",ROUND(posicao_contratual!B147*posicao_contratual!O147,2))</f>
        <v/>
      </c>
      <c r="F149" s="213">
        <f>IF(OR(posicao_contratual!A147="",NOT(ISNUMBER(posicao_contratual!B147)),NOT(ISNUMBER(posicao_contratual!S147))),"",ROUND(posicao_contratual!B147*posicao_contratual!S147,2))</f>
        <v/>
      </c>
      <c r="G149" s="213">
        <f>IF(OR(posicao_contratual!A147="",NOT(ISNUMBER(posicao_contratual!B147)),NOT(ISNUMBER(posicao_contratual!W147))),"",ROUND(posicao_contratual!B147*posicao_contratual!W147,2))</f>
        <v/>
      </c>
    </row>
    <row r="150">
      <c r="A150">
        <f>IF(posicao_contratual!A148="","",posicao_contratual!A148)</f>
        <v/>
      </c>
      <c r="B150" s="213">
        <f>IF(posicao_contratual!A148="","",posicao_contratual!B148)</f>
        <v/>
      </c>
      <c r="C150" s="213">
        <f>IF(OR(posicao_contratual!A148="",NOT(ISNUMBER(posicao_contratual!B148)),NOT(ISNUMBER(posicao_contratual!G148))),"",ROUND(posicao_contratual!B148*posicao_contratual!G148,2))</f>
        <v/>
      </c>
      <c r="D150" s="213">
        <f>IF(OR(posicao_contratual!A148="",NOT(ISNUMBER(posicao_contratual!B148)),NOT(ISNUMBER(posicao_contratual!K148))),"",ROUND(posicao_contratual!B148*posicao_contratual!K148,2))</f>
        <v/>
      </c>
      <c r="E150" s="213">
        <f>IF(OR(posicao_contratual!A148="",NOT(ISNUMBER(posicao_contratual!B148)),NOT(ISNUMBER(posicao_contratual!O148))),"",ROUND(posicao_contratual!B148*posicao_contratual!O148,2))</f>
        <v/>
      </c>
      <c r="F150" s="213">
        <f>IF(OR(posicao_contratual!A148="",NOT(ISNUMBER(posicao_contratual!B148)),NOT(ISNUMBER(posicao_contratual!S148))),"",ROUND(posicao_contratual!B148*posicao_contratual!S148,2))</f>
        <v/>
      </c>
      <c r="G150" s="213">
        <f>IF(OR(posicao_contratual!A148="",NOT(ISNUMBER(posicao_contratual!B148)),NOT(ISNUMBER(posicao_contratual!W148))),"",ROUND(posicao_contratual!B148*posicao_contratual!W148,2))</f>
        <v/>
      </c>
    </row>
    <row r="151">
      <c r="A151">
        <f>IF(posicao_contratual!A149="","",posicao_contratual!A149)</f>
        <v/>
      </c>
      <c r="B151" s="213">
        <f>IF(posicao_contratual!A149="","",posicao_contratual!B149)</f>
        <v/>
      </c>
      <c r="C151" s="213">
        <f>IF(OR(posicao_contratual!A149="",NOT(ISNUMBER(posicao_contratual!B149)),NOT(ISNUMBER(posicao_contratual!G149))),"",ROUND(posicao_contratual!B149*posicao_contratual!G149,2))</f>
        <v/>
      </c>
      <c r="D151" s="213">
        <f>IF(OR(posicao_contratual!A149="",NOT(ISNUMBER(posicao_contratual!B149)),NOT(ISNUMBER(posicao_contratual!K149))),"",ROUND(posicao_contratual!B149*posicao_contratual!K149,2))</f>
        <v/>
      </c>
      <c r="E151" s="213">
        <f>IF(OR(posicao_contratual!A149="",NOT(ISNUMBER(posicao_contratual!B149)),NOT(ISNUMBER(posicao_contratual!O149))),"",ROUND(posicao_contratual!B149*posicao_contratual!O149,2))</f>
        <v/>
      </c>
      <c r="F151" s="213">
        <f>IF(OR(posicao_contratual!A149="",NOT(ISNUMBER(posicao_contratual!B149)),NOT(ISNUMBER(posicao_contratual!S149))),"",ROUND(posicao_contratual!B149*posicao_contratual!S149,2))</f>
        <v/>
      </c>
      <c r="G151" s="213">
        <f>IF(OR(posicao_contratual!A149="",NOT(ISNUMBER(posicao_contratual!B149)),NOT(ISNUMBER(posicao_contratual!W149))),"",ROUND(posicao_contratual!B149*posicao_contratual!W149,2))</f>
        <v/>
      </c>
    </row>
    <row r="152">
      <c r="A152">
        <f>IF(posicao_contratual!A150="","",posicao_contratual!A150)</f>
        <v/>
      </c>
      <c r="B152" s="213">
        <f>IF(posicao_contratual!A150="","",posicao_contratual!B150)</f>
        <v/>
      </c>
      <c r="C152" s="213">
        <f>IF(OR(posicao_contratual!A150="",NOT(ISNUMBER(posicao_contratual!B150)),NOT(ISNUMBER(posicao_contratual!G150))),"",ROUND(posicao_contratual!B150*posicao_contratual!G150,2))</f>
        <v/>
      </c>
      <c r="D152" s="213">
        <f>IF(OR(posicao_contratual!A150="",NOT(ISNUMBER(posicao_contratual!B150)),NOT(ISNUMBER(posicao_contratual!K150))),"",ROUND(posicao_contratual!B150*posicao_contratual!K150,2))</f>
        <v/>
      </c>
      <c r="E152" s="213">
        <f>IF(OR(posicao_contratual!A150="",NOT(ISNUMBER(posicao_contratual!B150)),NOT(ISNUMBER(posicao_contratual!O150))),"",ROUND(posicao_contratual!B150*posicao_contratual!O150,2))</f>
        <v/>
      </c>
      <c r="F152" s="213">
        <f>IF(OR(posicao_contratual!A150="",NOT(ISNUMBER(posicao_contratual!B150)),NOT(ISNUMBER(posicao_contratual!S150))),"",ROUND(posicao_contratual!B150*posicao_contratual!S150,2))</f>
        <v/>
      </c>
      <c r="G152" s="213">
        <f>IF(OR(posicao_contratual!A150="",NOT(ISNUMBER(posicao_contratual!B150)),NOT(ISNUMBER(posicao_contratual!W150))),"",ROUND(posicao_contratual!B150*posicao_contratual!W150,2))</f>
        <v/>
      </c>
    </row>
    <row r="153">
      <c r="A153">
        <f>IF(posicao_contratual!A151="","",posicao_contratual!A151)</f>
        <v/>
      </c>
      <c r="B153" s="213">
        <f>IF(posicao_contratual!A151="","",posicao_contratual!B151)</f>
        <v/>
      </c>
      <c r="C153" s="213">
        <f>IF(OR(posicao_contratual!A151="",NOT(ISNUMBER(posicao_contratual!B151)),NOT(ISNUMBER(posicao_contratual!G151))),"",ROUND(posicao_contratual!B151*posicao_contratual!G151,2))</f>
        <v/>
      </c>
      <c r="D153" s="213">
        <f>IF(OR(posicao_contratual!A151="",NOT(ISNUMBER(posicao_contratual!B151)),NOT(ISNUMBER(posicao_contratual!K151))),"",ROUND(posicao_contratual!B151*posicao_contratual!K151,2))</f>
        <v/>
      </c>
      <c r="E153" s="213">
        <f>IF(OR(posicao_contratual!A151="",NOT(ISNUMBER(posicao_contratual!B151)),NOT(ISNUMBER(posicao_contratual!O151))),"",ROUND(posicao_contratual!B151*posicao_contratual!O151,2))</f>
        <v/>
      </c>
      <c r="F153" s="213">
        <f>IF(OR(posicao_contratual!A151="",NOT(ISNUMBER(posicao_contratual!B151)),NOT(ISNUMBER(posicao_contratual!S151))),"",ROUND(posicao_contratual!B151*posicao_contratual!S151,2))</f>
        <v/>
      </c>
      <c r="G153" s="213">
        <f>IF(OR(posicao_contratual!A151="",NOT(ISNUMBER(posicao_contratual!B151)),NOT(ISNUMBER(posicao_contratual!W151))),"",ROUND(posicao_contratual!B151*posicao_contratual!W151,2))</f>
        <v/>
      </c>
    </row>
    <row r="154">
      <c r="A154">
        <f>IF(posicao_contratual!A152="","",posicao_contratual!A152)</f>
        <v/>
      </c>
      <c r="B154" s="213">
        <f>IF(posicao_contratual!A152="","",posicao_contratual!B152)</f>
        <v/>
      </c>
      <c r="C154" s="213">
        <f>IF(OR(posicao_contratual!A152="",NOT(ISNUMBER(posicao_contratual!B152)),NOT(ISNUMBER(posicao_contratual!G152))),"",ROUND(posicao_contratual!B152*posicao_contratual!G152,2))</f>
        <v/>
      </c>
      <c r="D154" s="213">
        <f>IF(OR(posicao_contratual!A152="",NOT(ISNUMBER(posicao_contratual!B152)),NOT(ISNUMBER(posicao_contratual!K152))),"",ROUND(posicao_contratual!B152*posicao_contratual!K152,2))</f>
        <v/>
      </c>
      <c r="E154" s="213">
        <f>IF(OR(posicao_contratual!A152="",NOT(ISNUMBER(posicao_contratual!B152)),NOT(ISNUMBER(posicao_contratual!O152))),"",ROUND(posicao_contratual!B152*posicao_contratual!O152,2))</f>
        <v/>
      </c>
      <c r="F154" s="213">
        <f>IF(OR(posicao_contratual!A152="",NOT(ISNUMBER(posicao_contratual!B152)),NOT(ISNUMBER(posicao_contratual!S152))),"",ROUND(posicao_contratual!B152*posicao_contratual!S152,2))</f>
        <v/>
      </c>
      <c r="G154" s="213">
        <f>IF(OR(posicao_contratual!A152="",NOT(ISNUMBER(posicao_contratual!B152)),NOT(ISNUMBER(posicao_contratual!W152))),"",ROUND(posicao_contratual!B152*posicao_contratual!W152,2))</f>
        <v/>
      </c>
    </row>
    <row r="155">
      <c r="A155">
        <f>IF(posicao_contratual!A153="","",posicao_contratual!A153)</f>
        <v/>
      </c>
      <c r="B155" s="213">
        <f>IF(posicao_contratual!A153="","",posicao_contratual!B153)</f>
        <v/>
      </c>
      <c r="C155" s="213">
        <f>IF(OR(posicao_contratual!A153="",NOT(ISNUMBER(posicao_contratual!B153)),NOT(ISNUMBER(posicao_contratual!G153))),"",ROUND(posicao_contratual!B153*posicao_contratual!G153,2))</f>
        <v/>
      </c>
      <c r="D155" s="213">
        <f>IF(OR(posicao_contratual!A153="",NOT(ISNUMBER(posicao_contratual!B153)),NOT(ISNUMBER(posicao_contratual!K153))),"",ROUND(posicao_contratual!B153*posicao_contratual!K153,2))</f>
        <v/>
      </c>
      <c r="E155" s="213">
        <f>IF(OR(posicao_contratual!A153="",NOT(ISNUMBER(posicao_contratual!B153)),NOT(ISNUMBER(posicao_contratual!O153))),"",ROUND(posicao_contratual!B153*posicao_contratual!O153,2))</f>
        <v/>
      </c>
      <c r="F155" s="213">
        <f>IF(OR(posicao_contratual!A153="",NOT(ISNUMBER(posicao_contratual!B153)),NOT(ISNUMBER(posicao_contratual!S153))),"",ROUND(posicao_contratual!B153*posicao_contratual!S153,2))</f>
        <v/>
      </c>
      <c r="G155" s="213">
        <f>IF(OR(posicao_contratual!A153="",NOT(ISNUMBER(posicao_contratual!B153)),NOT(ISNUMBER(posicao_contratual!W153))),"",ROUND(posicao_contratual!B153*posicao_contratual!W153,2))</f>
        <v/>
      </c>
    </row>
    <row r="156">
      <c r="A156">
        <f>IF(posicao_contratual!A154="","",posicao_contratual!A154)</f>
        <v/>
      </c>
      <c r="B156" s="213">
        <f>IF(posicao_contratual!A154="","",posicao_contratual!B154)</f>
        <v/>
      </c>
      <c r="C156" s="213">
        <f>IF(OR(posicao_contratual!A154="",NOT(ISNUMBER(posicao_contratual!B154)),NOT(ISNUMBER(posicao_contratual!G154))),"",ROUND(posicao_contratual!B154*posicao_contratual!G154,2))</f>
        <v/>
      </c>
      <c r="D156" s="213">
        <f>IF(OR(posicao_contratual!A154="",NOT(ISNUMBER(posicao_contratual!B154)),NOT(ISNUMBER(posicao_contratual!K154))),"",ROUND(posicao_contratual!B154*posicao_contratual!K154,2))</f>
        <v/>
      </c>
      <c r="E156" s="213">
        <f>IF(OR(posicao_contratual!A154="",NOT(ISNUMBER(posicao_contratual!B154)),NOT(ISNUMBER(posicao_contratual!O154))),"",ROUND(posicao_contratual!B154*posicao_contratual!O154,2))</f>
        <v/>
      </c>
      <c r="F156" s="213">
        <f>IF(OR(posicao_contratual!A154="",NOT(ISNUMBER(posicao_contratual!B154)),NOT(ISNUMBER(posicao_contratual!S154))),"",ROUND(posicao_contratual!B154*posicao_contratual!S154,2))</f>
        <v/>
      </c>
      <c r="G156" s="213">
        <f>IF(OR(posicao_contratual!A154="",NOT(ISNUMBER(posicao_contratual!B154)),NOT(ISNUMBER(posicao_contratual!W154))),"",ROUND(posicao_contratual!B154*posicao_contratual!W154,2))</f>
        <v/>
      </c>
    </row>
    <row r="157">
      <c r="A157">
        <f>IF(posicao_contratual!A155="","",posicao_contratual!A155)</f>
        <v/>
      </c>
      <c r="B157" s="213">
        <f>IF(posicao_contratual!A155="","",posicao_contratual!B155)</f>
        <v/>
      </c>
      <c r="C157" s="213">
        <f>IF(OR(posicao_contratual!A155="",NOT(ISNUMBER(posicao_contratual!B155)),NOT(ISNUMBER(posicao_contratual!G155))),"",ROUND(posicao_contratual!B155*posicao_contratual!G155,2))</f>
        <v/>
      </c>
      <c r="D157" s="213">
        <f>IF(OR(posicao_contratual!A155="",NOT(ISNUMBER(posicao_contratual!B155)),NOT(ISNUMBER(posicao_contratual!K155))),"",ROUND(posicao_contratual!B155*posicao_contratual!K155,2))</f>
        <v/>
      </c>
      <c r="E157" s="213">
        <f>IF(OR(posicao_contratual!A155="",NOT(ISNUMBER(posicao_contratual!B155)),NOT(ISNUMBER(posicao_contratual!O155))),"",ROUND(posicao_contratual!B155*posicao_contratual!O155,2))</f>
        <v/>
      </c>
      <c r="F157" s="213">
        <f>IF(OR(posicao_contratual!A155="",NOT(ISNUMBER(posicao_contratual!B155)),NOT(ISNUMBER(posicao_contratual!S155))),"",ROUND(posicao_contratual!B155*posicao_contratual!S155,2))</f>
        <v/>
      </c>
      <c r="G157" s="213">
        <f>IF(OR(posicao_contratual!A155="",NOT(ISNUMBER(posicao_contratual!B155)),NOT(ISNUMBER(posicao_contratual!W155))),"",ROUND(posicao_contratual!B155*posicao_contratual!W155,2))</f>
        <v/>
      </c>
    </row>
    <row r="158">
      <c r="A158">
        <f>IF(posicao_contratual!A156="","",posicao_contratual!A156)</f>
        <v/>
      </c>
      <c r="B158" s="213">
        <f>IF(posicao_contratual!A156="","",posicao_contratual!B156)</f>
        <v/>
      </c>
      <c r="C158" s="213">
        <f>IF(OR(posicao_contratual!A156="",NOT(ISNUMBER(posicao_contratual!B156)),NOT(ISNUMBER(posicao_contratual!G156))),"",ROUND(posicao_contratual!B156*posicao_contratual!G156,2))</f>
        <v/>
      </c>
      <c r="D158" s="213">
        <f>IF(OR(posicao_contratual!A156="",NOT(ISNUMBER(posicao_contratual!B156)),NOT(ISNUMBER(posicao_contratual!K156))),"",ROUND(posicao_contratual!B156*posicao_contratual!K156,2))</f>
        <v/>
      </c>
      <c r="E158" s="213">
        <f>IF(OR(posicao_contratual!A156="",NOT(ISNUMBER(posicao_contratual!B156)),NOT(ISNUMBER(posicao_contratual!O156))),"",ROUND(posicao_contratual!B156*posicao_contratual!O156,2))</f>
        <v/>
      </c>
      <c r="F158" s="213">
        <f>IF(OR(posicao_contratual!A156="",NOT(ISNUMBER(posicao_contratual!B156)),NOT(ISNUMBER(posicao_contratual!S156))),"",ROUND(posicao_contratual!B156*posicao_contratual!S156,2))</f>
        <v/>
      </c>
      <c r="G158" s="213">
        <f>IF(OR(posicao_contratual!A156="",NOT(ISNUMBER(posicao_contratual!B156)),NOT(ISNUMBER(posicao_contratual!W156))),"",ROUND(posicao_contratual!B156*posicao_contratual!W156,2))</f>
        <v/>
      </c>
    </row>
    <row r="159">
      <c r="A159">
        <f>IF(posicao_contratual!A157="","",posicao_contratual!A157)</f>
        <v/>
      </c>
      <c r="B159" s="213">
        <f>IF(posicao_contratual!A157="","",posicao_contratual!B157)</f>
        <v/>
      </c>
      <c r="C159" s="213">
        <f>IF(OR(posicao_contratual!A157="",NOT(ISNUMBER(posicao_contratual!B157)),NOT(ISNUMBER(posicao_contratual!G157))),"",ROUND(posicao_contratual!B157*posicao_contratual!G157,2))</f>
        <v/>
      </c>
      <c r="D159" s="213">
        <f>IF(OR(posicao_contratual!A157="",NOT(ISNUMBER(posicao_contratual!B157)),NOT(ISNUMBER(posicao_contratual!K157))),"",ROUND(posicao_contratual!B157*posicao_contratual!K157,2))</f>
        <v/>
      </c>
      <c r="E159" s="213">
        <f>IF(OR(posicao_contratual!A157="",NOT(ISNUMBER(posicao_contratual!B157)),NOT(ISNUMBER(posicao_contratual!O157))),"",ROUND(posicao_contratual!B157*posicao_contratual!O157,2))</f>
        <v/>
      </c>
      <c r="F159" s="213">
        <f>IF(OR(posicao_contratual!A157="",NOT(ISNUMBER(posicao_contratual!B157)),NOT(ISNUMBER(posicao_contratual!S157))),"",ROUND(posicao_contratual!B157*posicao_contratual!S157,2))</f>
        <v/>
      </c>
      <c r="G159" s="213">
        <f>IF(OR(posicao_contratual!A157="",NOT(ISNUMBER(posicao_contratual!B157)),NOT(ISNUMBER(posicao_contratual!W157))),"",ROUND(posicao_contratual!B157*posicao_contratual!W157,2))</f>
        <v/>
      </c>
    </row>
    <row r="160">
      <c r="A160">
        <f>IF(posicao_contratual!A158="","",posicao_contratual!A158)</f>
        <v/>
      </c>
      <c r="B160" s="213">
        <f>IF(posicao_contratual!A158="","",posicao_contratual!B158)</f>
        <v/>
      </c>
      <c r="C160" s="213">
        <f>IF(OR(posicao_contratual!A158="",NOT(ISNUMBER(posicao_contratual!B158)),NOT(ISNUMBER(posicao_contratual!G158))),"",ROUND(posicao_contratual!B158*posicao_contratual!G158,2))</f>
        <v/>
      </c>
      <c r="D160" s="213">
        <f>IF(OR(posicao_contratual!A158="",NOT(ISNUMBER(posicao_contratual!B158)),NOT(ISNUMBER(posicao_contratual!K158))),"",ROUND(posicao_contratual!B158*posicao_contratual!K158,2))</f>
        <v/>
      </c>
      <c r="E160" s="213">
        <f>IF(OR(posicao_contratual!A158="",NOT(ISNUMBER(posicao_contratual!B158)),NOT(ISNUMBER(posicao_contratual!O158))),"",ROUND(posicao_contratual!B158*posicao_contratual!O158,2))</f>
        <v/>
      </c>
      <c r="F160" s="213">
        <f>IF(OR(posicao_contratual!A158="",NOT(ISNUMBER(posicao_contratual!B158)),NOT(ISNUMBER(posicao_contratual!S158))),"",ROUND(posicao_contratual!B158*posicao_contratual!S158,2))</f>
        <v/>
      </c>
      <c r="G160" s="213">
        <f>IF(OR(posicao_contratual!A158="",NOT(ISNUMBER(posicao_contratual!B158)),NOT(ISNUMBER(posicao_contratual!W158))),"",ROUND(posicao_contratual!B158*posicao_contratual!W158,2))</f>
        <v/>
      </c>
    </row>
    <row r="161">
      <c r="A161">
        <f>IF(posicao_contratual!A159="","",posicao_contratual!A159)</f>
        <v/>
      </c>
      <c r="B161" s="213">
        <f>IF(posicao_contratual!A159="","",posicao_contratual!B159)</f>
        <v/>
      </c>
      <c r="C161" s="213">
        <f>IF(OR(posicao_contratual!A159="",NOT(ISNUMBER(posicao_contratual!B159)),NOT(ISNUMBER(posicao_contratual!G159))),"",ROUND(posicao_contratual!B159*posicao_contratual!G159,2))</f>
        <v/>
      </c>
      <c r="D161" s="213">
        <f>IF(OR(posicao_contratual!A159="",NOT(ISNUMBER(posicao_contratual!B159)),NOT(ISNUMBER(posicao_contratual!K159))),"",ROUND(posicao_contratual!B159*posicao_contratual!K159,2))</f>
        <v/>
      </c>
      <c r="E161" s="213">
        <f>IF(OR(posicao_contratual!A159="",NOT(ISNUMBER(posicao_contratual!B159)),NOT(ISNUMBER(posicao_contratual!O159))),"",ROUND(posicao_contratual!B159*posicao_contratual!O159,2))</f>
        <v/>
      </c>
      <c r="F161" s="213">
        <f>IF(OR(posicao_contratual!A159="",NOT(ISNUMBER(posicao_contratual!B159)),NOT(ISNUMBER(posicao_contratual!S159))),"",ROUND(posicao_contratual!B159*posicao_contratual!S159,2))</f>
        <v/>
      </c>
      <c r="G161" s="213">
        <f>IF(OR(posicao_contratual!A159="",NOT(ISNUMBER(posicao_contratual!B159)),NOT(ISNUMBER(posicao_contratual!W159))),"",ROUND(posicao_contratual!B159*posicao_contratual!W159,2))</f>
        <v/>
      </c>
    </row>
    <row r="162">
      <c r="A162">
        <f>IF(posicao_contratual!A160="","",posicao_contratual!A160)</f>
        <v/>
      </c>
      <c r="B162" s="213">
        <f>IF(posicao_contratual!A160="","",posicao_contratual!B160)</f>
        <v/>
      </c>
      <c r="C162" s="213">
        <f>IF(OR(posicao_contratual!A160="",NOT(ISNUMBER(posicao_contratual!B160)),NOT(ISNUMBER(posicao_contratual!G160))),"",ROUND(posicao_contratual!B160*posicao_contratual!G160,2))</f>
        <v/>
      </c>
      <c r="D162" s="213">
        <f>IF(OR(posicao_contratual!A160="",NOT(ISNUMBER(posicao_contratual!B160)),NOT(ISNUMBER(posicao_contratual!K160))),"",ROUND(posicao_contratual!B160*posicao_contratual!K160,2))</f>
        <v/>
      </c>
      <c r="E162" s="213">
        <f>IF(OR(posicao_contratual!A160="",NOT(ISNUMBER(posicao_contratual!B160)),NOT(ISNUMBER(posicao_contratual!O160))),"",ROUND(posicao_contratual!B160*posicao_contratual!O160,2))</f>
        <v/>
      </c>
      <c r="F162" s="213">
        <f>IF(OR(posicao_contratual!A160="",NOT(ISNUMBER(posicao_contratual!B160)),NOT(ISNUMBER(posicao_contratual!S160))),"",ROUND(posicao_contratual!B160*posicao_contratual!S160,2))</f>
        <v/>
      </c>
      <c r="G162" s="213">
        <f>IF(OR(posicao_contratual!A160="",NOT(ISNUMBER(posicao_contratual!B160)),NOT(ISNUMBER(posicao_contratual!W160))),"",ROUND(posicao_contratual!B160*posicao_contratual!W160,2))</f>
        <v/>
      </c>
    </row>
    <row r="163">
      <c r="A163">
        <f>IF(posicao_contratual!A161="","",posicao_contratual!A161)</f>
        <v/>
      </c>
      <c r="B163" s="213">
        <f>IF(posicao_contratual!A161="","",posicao_contratual!B161)</f>
        <v/>
      </c>
      <c r="C163" s="213">
        <f>IF(OR(posicao_contratual!A161="",NOT(ISNUMBER(posicao_contratual!B161)),NOT(ISNUMBER(posicao_contratual!G161))),"",ROUND(posicao_contratual!B161*posicao_contratual!G161,2))</f>
        <v/>
      </c>
      <c r="D163" s="213">
        <f>IF(OR(posicao_contratual!A161="",NOT(ISNUMBER(posicao_contratual!B161)),NOT(ISNUMBER(posicao_contratual!K161))),"",ROUND(posicao_contratual!B161*posicao_contratual!K161,2))</f>
        <v/>
      </c>
      <c r="E163" s="213">
        <f>IF(OR(posicao_contratual!A161="",NOT(ISNUMBER(posicao_contratual!B161)),NOT(ISNUMBER(posicao_contratual!O161))),"",ROUND(posicao_contratual!B161*posicao_contratual!O161,2))</f>
        <v/>
      </c>
      <c r="F163" s="213">
        <f>IF(OR(posicao_contratual!A161="",NOT(ISNUMBER(posicao_contratual!B161)),NOT(ISNUMBER(posicao_contratual!S161))),"",ROUND(posicao_contratual!B161*posicao_contratual!S161,2))</f>
        <v/>
      </c>
      <c r="G163" s="213">
        <f>IF(OR(posicao_contratual!A161="",NOT(ISNUMBER(posicao_contratual!B161)),NOT(ISNUMBER(posicao_contratual!W161))),"",ROUND(posicao_contratual!B161*posicao_contratual!W161,2))</f>
        <v/>
      </c>
    </row>
    <row r="164">
      <c r="A164">
        <f>IF(posicao_contratual!A162="","",posicao_contratual!A162)</f>
        <v/>
      </c>
      <c r="B164" s="213">
        <f>IF(posicao_contratual!A162="","",posicao_contratual!B162)</f>
        <v/>
      </c>
      <c r="C164" s="213">
        <f>IF(OR(posicao_contratual!A162="",NOT(ISNUMBER(posicao_contratual!B162)),NOT(ISNUMBER(posicao_contratual!G162))),"",ROUND(posicao_contratual!B162*posicao_contratual!G162,2))</f>
        <v/>
      </c>
      <c r="D164" s="213">
        <f>IF(OR(posicao_contratual!A162="",NOT(ISNUMBER(posicao_contratual!B162)),NOT(ISNUMBER(posicao_contratual!K162))),"",ROUND(posicao_contratual!B162*posicao_contratual!K162,2))</f>
        <v/>
      </c>
      <c r="E164" s="213">
        <f>IF(OR(posicao_contratual!A162="",NOT(ISNUMBER(posicao_contratual!B162)),NOT(ISNUMBER(posicao_contratual!O162))),"",ROUND(posicao_contratual!B162*posicao_contratual!O162,2))</f>
        <v/>
      </c>
      <c r="F164" s="213">
        <f>IF(OR(posicao_contratual!A162="",NOT(ISNUMBER(posicao_contratual!B162)),NOT(ISNUMBER(posicao_contratual!S162))),"",ROUND(posicao_contratual!B162*posicao_contratual!S162,2))</f>
        <v/>
      </c>
      <c r="G164" s="213">
        <f>IF(OR(posicao_contratual!A162="",NOT(ISNUMBER(posicao_contratual!B162)),NOT(ISNUMBER(posicao_contratual!W162))),"",ROUND(posicao_contratual!B162*posicao_contratual!W162,2))</f>
        <v/>
      </c>
    </row>
    <row r="165">
      <c r="A165">
        <f>IF(posicao_contratual!A163="","",posicao_contratual!A163)</f>
        <v/>
      </c>
      <c r="B165" s="213">
        <f>IF(posicao_contratual!A163="","",posicao_contratual!B163)</f>
        <v/>
      </c>
      <c r="C165" s="213">
        <f>IF(OR(posicao_contratual!A163="",NOT(ISNUMBER(posicao_contratual!B163)),NOT(ISNUMBER(posicao_contratual!G163))),"",ROUND(posicao_contratual!B163*posicao_contratual!G163,2))</f>
        <v/>
      </c>
      <c r="D165" s="213">
        <f>IF(OR(posicao_contratual!A163="",NOT(ISNUMBER(posicao_contratual!B163)),NOT(ISNUMBER(posicao_contratual!K163))),"",ROUND(posicao_contratual!B163*posicao_contratual!K163,2))</f>
        <v/>
      </c>
      <c r="E165" s="213">
        <f>IF(OR(posicao_contratual!A163="",NOT(ISNUMBER(posicao_contratual!B163)),NOT(ISNUMBER(posicao_contratual!O163))),"",ROUND(posicao_contratual!B163*posicao_contratual!O163,2))</f>
        <v/>
      </c>
      <c r="F165" s="213">
        <f>IF(OR(posicao_contratual!A163="",NOT(ISNUMBER(posicao_contratual!B163)),NOT(ISNUMBER(posicao_contratual!S163))),"",ROUND(posicao_contratual!B163*posicao_contratual!S163,2))</f>
        <v/>
      </c>
      <c r="G165" s="213">
        <f>IF(OR(posicao_contratual!A163="",NOT(ISNUMBER(posicao_contratual!B163)),NOT(ISNUMBER(posicao_contratual!W163))),"",ROUND(posicao_contratual!B163*posicao_contratual!W163,2))</f>
        <v/>
      </c>
    </row>
    <row r="166">
      <c r="A166">
        <f>IF(posicao_contratual!A164="","",posicao_contratual!A164)</f>
        <v/>
      </c>
      <c r="B166" s="213">
        <f>IF(posicao_contratual!A164="","",posicao_contratual!B164)</f>
        <v/>
      </c>
      <c r="C166" s="213">
        <f>IF(OR(posicao_contratual!A164="",NOT(ISNUMBER(posicao_contratual!B164)),NOT(ISNUMBER(posicao_contratual!G164))),"",ROUND(posicao_contratual!B164*posicao_contratual!G164,2))</f>
        <v/>
      </c>
      <c r="D166" s="213">
        <f>IF(OR(posicao_contratual!A164="",NOT(ISNUMBER(posicao_contratual!B164)),NOT(ISNUMBER(posicao_contratual!K164))),"",ROUND(posicao_contratual!B164*posicao_contratual!K164,2))</f>
        <v/>
      </c>
      <c r="E166" s="213">
        <f>IF(OR(posicao_contratual!A164="",NOT(ISNUMBER(posicao_contratual!B164)),NOT(ISNUMBER(posicao_contratual!O164))),"",ROUND(posicao_contratual!B164*posicao_contratual!O164,2))</f>
        <v/>
      </c>
      <c r="F166" s="213">
        <f>IF(OR(posicao_contratual!A164="",NOT(ISNUMBER(posicao_contratual!B164)),NOT(ISNUMBER(posicao_contratual!S164))),"",ROUND(posicao_contratual!B164*posicao_contratual!S164,2))</f>
        <v/>
      </c>
      <c r="G166" s="213">
        <f>IF(OR(posicao_contratual!A164="",NOT(ISNUMBER(posicao_contratual!B164)),NOT(ISNUMBER(posicao_contratual!W164))),"",ROUND(posicao_contratual!B164*posicao_contratual!W164,2))</f>
        <v/>
      </c>
    </row>
    <row r="167">
      <c r="A167">
        <f>IF(posicao_contratual!A165="","",posicao_contratual!A165)</f>
        <v/>
      </c>
      <c r="B167" s="213">
        <f>IF(posicao_contratual!A165="","",posicao_contratual!B165)</f>
        <v/>
      </c>
      <c r="C167" s="213">
        <f>IF(OR(posicao_contratual!A165="",NOT(ISNUMBER(posicao_contratual!B165)),NOT(ISNUMBER(posicao_contratual!G165))),"",ROUND(posicao_contratual!B165*posicao_contratual!G165,2))</f>
        <v/>
      </c>
      <c r="D167" s="213">
        <f>IF(OR(posicao_contratual!A165="",NOT(ISNUMBER(posicao_contratual!B165)),NOT(ISNUMBER(posicao_contratual!K165))),"",ROUND(posicao_contratual!B165*posicao_contratual!K165,2))</f>
        <v/>
      </c>
      <c r="E167" s="213">
        <f>IF(OR(posicao_contratual!A165="",NOT(ISNUMBER(posicao_contratual!B165)),NOT(ISNUMBER(posicao_contratual!O165))),"",ROUND(posicao_contratual!B165*posicao_contratual!O165,2))</f>
        <v/>
      </c>
      <c r="F167" s="213">
        <f>IF(OR(posicao_contratual!A165="",NOT(ISNUMBER(posicao_contratual!B165)),NOT(ISNUMBER(posicao_contratual!S165))),"",ROUND(posicao_contratual!B165*posicao_contratual!S165,2))</f>
        <v/>
      </c>
      <c r="G167" s="213">
        <f>IF(OR(posicao_contratual!A165="",NOT(ISNUMBER(posicao_contratual!B165)),NOT(ISNUMBER(posicao_contratual!W165))),"",ROUND(posicao_contratual!B165*posicao_contratual!W165,2))</f>
        <v/>
      </c>
    </row>
    <row r="168">
      <c r="A168">
        <f>IF(posicao_contratual!A166="","",posicao_contratual!A166)</f>
        <v/>
      </c>
      <c r="B168" s="213">
        <f>IF(posicao_contratual!A166="","",posicao_contratual!B166)</f>
        <v/>
      </c>
      <c r="C168" s="213">
        <f>IF(OR(posicao_contratual!A166="",NOT(ISNUMBER(posicao_contratual!B166)),NOT(ISNUMBER(posicao_contratual!G166))),"",ROUND(posicao_contratual!B166*posicao_contratual!G166,2))</f>
        <v/>
      </c>
      <c r="D168" s="213">
        <f>IF(OR(posicao_contratual!A166="",NOT(ISNUMBER(posicao_contratual!B166)),NOT(ISNUMBER(posicao_contratual!K166))),"",ROUND(posicao_contratual!B166*posicao_contratual!K166,2))</f>
        <v/>
      </c>
      <c r="E168" s="213">
        <f>IF(OR(posicao_contratual!A166="",NOT(ISNUMBER(posicao_contratual!B166)),NOT(ISNUMBER(posicao_contratual!O166))),"",ROUND(posicao_contratual!B166*posicao_contratual!O166,2))</f>
        <v/>
      </c>
      <c r="F168" s="213">
        <f>IF(OR(posicao_contratual!A166="",NOT(ISNUMBER(posicao_contratual!B166)),NOT(ISNUMBER(posicao_contratual!S166))),"",ROUND(posicao_contratual!B166*posicao_contratual!S166,2))</f>
        <v/>
      </c>
      <c r="G168" s="213">
        <f>IF(OR(posicao_contratual!A166="",NOT(ISNUMBER(posicao_contratual!B166)),NOT(ISNUMBER(posicao_contratual!W166))),"",ROUND(posicao_contratual!B166*posicao_contratual!W166,2))</f>
        <v/>
      </c>
    </row>
    <row r="169">
      <c r="A169">
        <f>IF(posicao_contratual!A167="","",posicao_contratual!A167)</f>
        <v/>
      </c>
      <c r="B169" s="213">
        <f>IF(posicao_contratual!A167="","",posicao_contratual!B167)</f>
        <v/>
      </c>
      <c r="C169" s="213">
        <f>IF(OR(posicao_contratual!A167="",NOT(ISNUMBER(posicao_contratual!B167)),NOT(ISNUMBER(posicao_contratual!G167))),"",ROUND(posicao_contratual!B167*posicao_contratual!G167,2))</f>
        <v/>
      </c>
      <c r="D169" s="213">
        <f>IF(OR(posicao_contratual!A167="",NOT(ISNUMBER(posicao_contratual!B167)),NOT(ISNUMBER(posicao_contratual!K167))),"",ROUND(posicao_contratual!B167*posicao_contratual!K167,2))</f>
        <v/>
      </c>
      <c r="E169" s="213">
        <f>IF(OR(posicao_contratual!A167="",NOT(ISNUMBER(posicao_contratual!B167)),NOT(ISNUMBER(posicao_contratual!O167))),"",ROUND(posicao_contratual!B167*posicao_contratual!O167,2))</f>
        <v/>
      </c>
      <c r="F169" s="213">
        <f>IF(OR(posicao_contratual!A167="",NOT(ISNUMBER(posicao_contratual!B167)),NOT(ISNUMBER(posicao_contratual!S167))),"",ROUND(posicao_contratual!B167*posicao_contratual!S167,2))</f>
        <v/>
      </c>
      <c r="G169" s="213">
        <f>IF(OR(posicao_contratual!A167="",NOT(ISNUMBER(posicao_contratual!B167)),NOT(ISNUMBER(posicao_contratual!W167))),"",ROUND(posicao_contratual!B167*posicao_contratual!W167,2))</f>
        <v/>
      </c>
    </row>
    <row r="170">
      <c r="A170">
        <f>IF(posicao_contratual!A168="","",posicao_contratual!A168)</f>
        <v/>
      </c>
      <c r="B170" s="213">
        <f>IF(posicao_contratual!A168="","",posicao_contratual!B168)</f>
        <v/>
      </c>
      <c r="C170" s="213">
        <f>IF(OR(posicao_contratual!A168="",NOT(ISNUMBER(posicao_contratual!B168)),NOT(ISNUMBER(posicao_contratual!G168))),"",ROUND(posicao_contratual!B168*posicao_contratual!G168,2))</f>
        <v/>
      </c>
      <c r="D170" s="213">
        <f>IF(OR(posicao_contratual!A168="",NOT(ISNUMBER(posicao_contratual!B168)),NOT(ISNUMBER(posicao_contratual!K168))),"",ROUND(posicao_contratual!B168*posicao_contratual!K168,2))</f>
        <v/>
      </c>
      <c r="E170" s="213">
        <f>IF(OR(posicao_contratual!A168="",NOT(ISNUMBER(posicao_contratual!B168)),NOT(ISNUMBER(posicao_contratual!O168))),"",ROUND(posicao_contratual!B168*posicao_contratual!O168,2))</f>
        <v/>
      </c>
      <c r="F170" s="213">
        <f>IF(OR(posicao_contratual!A168="",NOT(ISNUMBER(posicao_contratual!B168)),NOT(ISNUMBER(posicao_contratual!S168))),"",ROUND(posicao_contratual!B168*posicao_contratual!S168,2))</f>
        <v/>
      </c>
      <c r="G170" s="213">
        <f>IF(OR(posicao_contratual!A168="",NOT(ISNUMBER(posicao_contratual!B168)),NOT(ISNUMBER(posicao_contratual!W168))),"",ROUND(posicao_contratual!B168*posicao_contratual!W168,2))</f>
        <v/>
      </c>
    </row>
    <row r="171">
      <c r="A171">
        <f>IF(posicao_contratual!A169="","",posicao_contratual!A169)</f>
        <v/>
      </c>
      <c r="B171" s="213">
        <f>IF(posicao_contratual!A169="","",posicao_contratual!B169)</f>
        <v/>
      </c>
      <c r="C171" s="213">
        <f>IF(OR(posicao_contratual!A169="",NOT(ISNUMBER(posicao_contratual!B169)),NOT(ISNUMBER(posicao_contratual!G169))),"",ROUND(posicao_contratual!B169*posicao_contratual!G169,2))</f>
        <v/>
      </c>
      <c r="D171" s="213">
        <f>IF(OR(posicao_contratual!A169="",NOT(ISNUMBER(posicao_contratual!B169)),NOT(ISNUMBER(posicao_contratual!K169))),"",ROUND(posicao_contratual!B169*posicao_contratual!K169,2))</f>
        <v/>
      </c>
      <c r="E171" s="213">
        <f>IF(OR(posicao_contratual!A169="",NOT(ISNUMBER(posicao_contratual!B169)),NOT(ISNUMBER(posicao_contratual!O169))),"",ROUND(posicao_contratual!B169*posicao_contratual!O169,2))</f>
        <v/>
      </c>
      <c r="F171" s="213">
        <f>IF(OR(posicao_contratual!A169="",NOT(ISNUMBER(posicao_contratual!B169)),NOT(ISNUMBER(posicao_contratual!S169))),"",ROUND(posicao_contratual!B169*posicao_contratual!S169,2))</f>
        <v/>
      </c>
      <c r="G171" s="213">
        <f>IF(OR(posicao_contratual!A169="",NOT(ISNUMBER(posicao_contratual!B169)),NOT(ISNUMBER(posicao_contratual!W169))),"",ROUND(posicao_contratual!B169*posicao_contratual!W169,2))</f>
        <v/>
      </c>
    </row>
    <row r="172">
      <c r="A172">
        <f>IF(posicao_contratual!A170="","",posicao_contratual!A170)</f>
        <v/>
      </c>
      <c r="B172" s="213">
        <f>IF(posicao_contratual!A170="","",posicao_contratual!B170)</f>
        <v/>
      </c>
      <c r="C172" s="213">
        <f>IF(OR(posicao_contratual!A170="",NOT(ISNUMBER(posicao_contratual!B170)),NOT(ISNUMBER(posicao_contratual!G170))),"",ROUND(posicao_contratual!B170*posicao_contratual!G170,2))</f>
        <v/>
      </c>
      <c r="D172" s="213">
        <f>IF(OR(posicao_contratual!A170="",NOT(ISNUMBER(posicao_contratual!B170)),NOT(ISNUMBER(posicao_contratual!K170))),"",ROUND(posicao_contratual!B170*posicao_contratual!K170,2))</f>
        <v/>
      </c>
      <c r="E172" s="213">
        <f>IF(OR(posicao_contratual!A170="",NOT(ISNUMBER(posicao_contratual!B170)),NOT(ISNUMBER(posicao_contratual!O170))),"",ROUND(posicao_contratual!B170*posicao_contratual!O170,2))</f>
        <v/>
      </c>
      <c r="F172" s="213">
        <f>IF(OR(posicao_contratual!A170="",NOT(ISNUMBER(posicao_contratual!B170)),NOT(ISNUMBER(posicao_contratual!S170))),"",ROUND(posicao_contratual!B170*posicao_contratual!S170,2))</f>
        <v/>
      </c>
      <c r="G172" s="213">
        <f>IF(OR(posicao_contratual!A170="",NOT(ISNUMBER(posicao_contratual!B170)),NOT(ISNUMBER(posicao_contratual!W170))),"",ROUND(posicao_contratual!B170*posicao_contratual!W170,2))</f>
        <v/>
      </c>
    </row>
    <row r="173">
      <c r="A173">
        <f>IF(posicao_contratual!A171="","",posicao_contratual!A171)</f>
        <v/>
      </c>
      <c r="B173" s="213">
        <f>IF(posicao_contratual!A171="","",posicao_contratual!B171)</f>
        <v/>
      </c>
      <c r="C173" s="213">
        <f>IF(OR(posicao_contratual!A171="",NOT(ISNUMBER(posicao_contratual!B171)),NOT(ISNUMBER(posicao_contratual!G171))),"",ROUND(posicao_contratual!B171*posicao_contratual!G171,2))</f>
        <v/>
      </c>
      <c r="D173" s="213">
        <f>IF(OR(posicao_contratual!A171="",NOT(ISNUMBER(posicao_contratual!B171)),NOT(ISNUMBER(posicao_contratual!K171))),"",ROUND(posicao_contratual!B171*posicao_contratual!K171,2))</f>
        <v/>
      </c>
      <c r="E173" s="213">
        <f>IF(OR(posicao_contratual!A171="",NOT(ISNUMBER(posicao_contratual!B171)),NOT(ISNUMBER(posicao_contratual!O171))),"",ROUND(posicao_contratual!B171*posicao_contratual!O171,2))</f>
        <v/>
      </c>
      <c r="F173" s="213">
        <f>IF(OR(posicao_contratual!A171="",NOT(ISNUMBER(posicao_contratual!B171)),NOT(ISNUMBER(posicao_contratual!S171))),"",ROUND(posicao_contratual!B171*posicao_contratual!S171,2))</f>
        <v/>
      </c>
      <c r="G173" s="213">
        <f>IF(OR(posicao_contratual!A171="",NOT(ISNUMBER(posicao_contratual!B171)),NOT(ISNUMBER(posicao_contratual!W171))),"",ROUND(posicao_contratual!B171*posicao_contratual!W171,2))</f>
        <v/>
      </c>
    </row>
    <row r="174">
      <c r="A174">
        <f>IF(posicao_contratual!A172="","",posicao_contratual!A172)</f>
        <v/>
      </c>
      <c r="B174" s="213">
        <f>IF(posicao_contratual!A172="","",posicao_contratual!B172)</f>
        <v/>
      </c>
      <c r="C174" s="213">
        <f>IF(OR(posicao_contratual!A172="",NOT(ISNUMBER(posicao_contratual!B172)),NOT(ISNUMBER(posicao_contratual!G172))),"",ROUND(posicao_contratual!B172*posicao_contratual!G172,2))</f>
        <v/>
      </c>
      <c r="D174" s="213">
        <f>IF(OR(posicao_contratual!A172="",NOT(ISNUMBER(posicao_contratual!B172)),NOT(ISNUMBER(posicao_contratual!K172))),"",ROUND(posicao_contratual!B172*posicao_contratual!K172,2))</f>
        <v/>
      </c>
      <c r="E174" s="213">
        <f>IF(OR(posicao_contratual!A172="",NOT(ISNUMBER(posicao_contratual!B172)),NOT(ISNUMBER(posicao_contratual!O172))),"",ROUND(posicao_contratual!B172*posicao_contratual!O172,2))</f>
        <v/>
      </c>
      <c r="F174" s="213">
        <f>IF(OR(posicao_contratual!A172="",NOT(ISNUMBER(posicao_contratual!B172)),NOT(ISNUMBER(posicao_contratual!S172))),"",ROUND(posicao_contratual!B172*posicao_contratual!S172,2))</f>
        <v/>
      </c>
      <c r="G174" s="213">
        <f>IF(OR(posicao_contratual!A172="",NOT(ISNUMBER(posicao_contratual!B172)),NOT(ISNUMBER(posicao_contratual!W172))),"",ROUND(posicao_contratual!B172*posicao_contratual!W172,2))</f>
        <v/>
      </c>
    </row>
    <row r="175">
      <c r="A175">
        <f>IF(posicao_contratual!A173="","",posicao_contratual!A173)</f>
        <v/>
      </c>
      <c r="B175" s="213">
        <f>IF(posicao_contratual!A173="","",posicao_contratual!B173)</f>
        <v/>
      </c>
      <c r="C175" s="213">
        <f>IF(OR(posicao_contratual!A173="",NOT(ISNUMBER(posicao_contratual!B173)),NOT(ISNUMBER(posicao_contratual!G173))),"",ROUND(posicao_contratual!B173*posicao_contratual!G173,2))</f>
        <v/>
      </c>
      <c r="D175" s="213">
        <f>IF(OR(posicao_contratual!A173="",NOT(ISNUMBER(posicao_contratual!B173)),NOT(ISNUMBER(posicao_contratual!K173))),"",ROUND(posicao_contratual!B173*posicao_contratual!K173,2))</f>
        <v/>
      </c>
      <c r="E175" s="213">
        <f>IF(OR(posicao_contratual!A173="",NOT(ISNUMBER(posicao_contratual!B173)),NOT(ISNUMBER(posicao_contratual!O173))),"",ROUND(posicao_contratual!B173*posicao_contratual!O173,2))</f>
        <v/>
      </c>
      <c r="F175" s="213">
        <f>IF(OR(posicao_contratual!A173="",NOT(ISNUMBER(posicao_contratual!B173)),NOT(ISNUMBER(posicao_contratual!S173))),"",ROUND(posicao_contratual!B173*posicao_contratual!S173,2))</f>
        <v/>
      </c>
      <c r="G175" s="213">
        <f>IF(OR(posicao_contratual!A173="",NOT(ISNUMBER(posicao_contratual!B173)),NOT(ISNUMBER(posicao_contratual!W173))),"",ROUND(posicao_contratual!B173*posicao_contratual!W173,2))</f>
        <v/>
      </c>
    </row>
    <row r="176">
      <c r="A176">
        <f>IF(posicao_contratual!A174="","",posicao_contratual!A174)</f>
        <v/>
      </c>
      <c r="B176" s="213">
        <f>IF(posicao_contratual!A174="","",posicao_contratual!B174)</f>
        <v/>
      </c>
      <c r="C176" s="213">
        <f>IF(OR(posicao_contratual!A174="",NOT(ISNUMBER(posicao_contratual!B174)),NOT(ISNUMBER(posicao_contratual!G174))),"",ROUND(posicao_contratual!B174*posicao_contratual!G174,2))</f>
        <v/>
      </c>
      <c r="D176" s="213">
        <f>IF(OR(posicao_contratual!A174="",NOT(ISNUMBER(posicao_contratual!B174)),NOT(ISNUMBER(posicao_contratual!K174))),"",ROUND(posicao_contratual!B174*posicao_contratual!K174,2))</f>
        <v/>
      </c>
      <c r="E176" s="213">
        <f>IF(OR(posicao_contratual!A174="",NOT(ISNUMBER(posicao_contratual!B174)),NOT(ISNUMBER(posicao_contratual!O174))),"",ROUND(posicao_contratual!B174*posicao_contratual!O174,2))</f>
        <v/>
      </c>
      <c r="F176" s="213">
        <f>IF(OR(posicao_contratual!A174="",NOT(ISNUMBER(posicao_contratual!B174)),NOT(ISNUMBER(posicao_contratual!S174))),"",ROUND(posicao_contratual!B174*posicao_contratual!S174,2))</f>
        <v/>
      </c>
      <c r="G176" s="213">
        <f>IF(OR(posicao_contratual!A174="",NOT(ISNUMBER(posicao_contratual!B174)),NOT(ISNUMBER(posicao_contratual!W174))),"",ROUND(posicao_contratual!B174*posicao_contratual!W174,2))</f>
        <v/>
      </c>
    </row>
    <row r="177">
      <c r="A177">
        <f>IF(posicao_contratual!A175="","",posicao_contratual!A175)</f>
        <v/>
      </c>
      <c r="B177" s="213">
        <f>IF(posicao_contratual!A175="","",posicao_contratual!B175)</f>
        <v/>
      </c>
      <c r="C177" s="213">
        <f>IF(OR(posicao_contratual!A175="",NOT(ISNUMBER(posicao_contratual!B175)),NOT(ISNUMBER(posicao_contratual!G175))),"",ROUND(posicao_contratual!B175*posicao_contratual!G175,2))</f>
        <v/>
      </c>
      <c r="D177" s="213">
        <f>IF(OR(posicao_contratual!A175="",NOT(ISNUMBER(posicao_contratual!B175)),NOT(ISNUMBER(posicao_contratual!K175))),"",ROUND(posicao_contratual!B175*posicao_contratual!K175,2))</f>
        <v/>
      </c>
      <c r="E177" s="213">
        <f>IF(OR(posicao_contratual!A175="",NOT(ISNUMBER(posicao_contratual!B175)),NOT(ISNUMBER(posicao_contratual!O175))),"",ROUND(posicao_contratual!B175*posicao_contratual!O175,2))</f>
        <v/>
      </c>
      <c r="F177" s="213">
        <f>IF(OR(posicao_contratual!A175="",NOT(ISNUMBER(posicao_contratual!B175)),NOT(ISNUMBER(posicao_contratual!S175))),"",ROUND(posicao_contratual!B175*posicao_contratual!S175,2))</f>
        <v/>
      </c>
      <c r="G177" s="213">
        <f>IF(OR(posicao_contratual!A175="",NOT(ISNUMBER(posicao_contratual!B175)),NOT(ISNUMBER(posicao_contratual!W175))),"",ROUND(posicao_contratual!B175*posicao_contratual!W175,2))</f>
        <v/>
      </c>
    </row>
    <row r="178">
      <c r="A178">
        <f>IF(posicao_contratual!A176="","",posicao_contratual!A176)</f>
        <v/>
      </c>
      <c r="B178" s="213">
        <f>IF(posicao_contratual!A176="","",posicao_contratual!B176)</f>
        <v/>
      </c>
      <c r="C178" s="213">
        <f>IF(OR(posicao_contratual!A176="",NOT(ISNUMBER(posicao_contratual!B176)),NOT(ISNUMBER(posicao_contratual!G176))),"",ROUND(posicao_contratual!B176*posicao_contratual!G176,2))</f>
        <v/>
      </c>
      <c r="D178" s="213">
        <f>IF(OR(posicao_contratual!A176="",NOT(ISNUMBER(posicao_contratual!B176)),NOT(ISNUMBER(posicao_contratual!K176))),"",ROUND(posicao_contratual!B176*posicao_contratual!K176,2))</f>
        <v/>
      </c>
      <c r="E178" s="213">
        <f>IF(OR(posicao_contratual!A176="",NOT(ISNUMBER(posicao_contratual!B176)),NOT(ISNUMBER(posicao_contratual!O176))),"",ROUND(posicao_contratual!B176*posicao_contratual!O176,2))</f>
        <v/>
      </c>
      <c r="F178" s="213">
        <f>IF(OR(posicao_contratual!A176="",NOT(ISNUMBER(posicao_contratual!B176)),NOT(ISNUMBER(posicao_contratual!S176))),"",ROUND(posicao_contratual!B176*posicao_contratual!S176,2))</f>
        <v/>
      </c>
      <c r="G178" s="213">
        <f>IF(OR(posicao_contratual!A176="",NOT(ISNUMBER(posicao_contratual!B176)),NOT(ISNUMBER(posicao_contratual!W176))),"",ROUND(posicao_contratual!B176*posicao_contratual!W176,2))</f>
        <v/>
      </c>
    </row>
    <row r="179">
      <c r="A179">
        <f>IF(posicao_contratual!A177="","",posicao_contratual!A177)</f>
        <v/>
      </c>
      <c r="B179" s="213">
        <f>IF(posicao_contratual!A177="","",posicao_contratual!B177)</f>
        <v/>
      </c>
      <c r="C179" s="213">
        <f>IF(OR(posicao_contratual!A177="",NOT(ISNUMBER(posicao_contratual!B177)),NOT(ISNUMBER(posicao_contratual!G177))),"",ROUND(posicao_contratual!B177*posicao_contratual!G177,2))</f>
        <v/>
      </c>
      <c r="D179" s="213">
        <f>IF(OR(posicao_contratual!A177="",NOT(ISNUMBER(posicao_contratual!B177)),NOT(ISNUMBER(posicao_contratual!K177))),"",ROUND(posicao_contratual!B177*posicao_contratual!K177,2))</f>
        <v/>
      </c>
      <c r="E179" s="213">
        <f>IF(OR(posicao_contratual!A177="",NOT(ISNUMBER(posicao_contratual!B177)),NOT(ISNUMBER(posicao_contratual!O177))),"",ROUND(posicao_contratual!B177*posicao_contratual!O177,2))</f>
        <v/>
      </c>
      <c r="F179" s="213">
        <f>IF(OR(posicao_contratual!A177="",NOT(ISNUMBER(posicao_contratual!B177)),NOT(ISNUMBER(posicao_contratual!S177))),"",ROUND(posicao_contratual!B177*posicao_contratual!S177,2))</f>
        <v/>
      </c>
      <c r="G179" s="213">
        <f>IF(OR(posicao_contratual!A177="",NOT(ISNUMBER(posicao_contratual!B177)),NOT(ISNUMBER(posicao_contratual!W177))),"",ROUND(posicao_contratual!B177*posicao_contratual!W177,2))</f>
        <v/>
      </c>
    </row>
    <row r="180">
      <c r="A180">
        <f>IF(posicao_contratual!A178="","",posicao_contratual!A178)</f>
        <v/>
      </c>
      <c r="B180" s="213">
        <f>IF(posicao_contratual!A178="","",posicao_contratual!B178)</f>
        <v/>
      </c>
      <c r="C180" s="213">
        <f>IF(OR(posicao_contratual!A178="",NOT(ISNUMBER(posicao_contratual!B178)),NOT(ISNUMBER(posicao_contratual!G178))),"",ROUND(posicao_contratual!B178*posicao_contratual!G178,2))</f>
        <v/>
      </c>
      <c r="D180" s="213">
        <f>IF(OR(posicao_contratual!A178="",NOT(ISNUMBER(posicao_contratual!B178)),NOT(ISNUMBER(posicao_contratual!K178))),"",ROUND(posicao_contratual!B178*posicao_contratual!K178,2))</f>
        <v/>
      </c>
      <c r="E180" s="213">
        <f>IF(OR(posicao_contratual!A178="",NOT(ISNUMBER(posicao_contratual!B178)),NOT(ISNUMBER(posicao_contratual!O178))),"",ROUND(posicao_contratual!B178*posicao_contratual!O178,2))</f>
        <v/>
      </c>
      <c r="F180" s="213">
        <f>IF(OR(posicao_contratual!A178="",NOT(ISNUMBER(posicao_contratual!B178)),NOT(ISNUMBER(posicao_contratual!S178))),"",ROUND(posicao_contratual!B178*posicao_contratual!S178,2))</f>
        <v/>
      </c>
      <c r="G180" s="213">
        <f>IF(OR(posicao_contratual!A178="",NOT(ISNUMBER(posicao_contratual!B178)),NOT(ISNUMBER(posicao_contratual!W178))),"",ROUND(posicao_contratual!B178*posicao_contratual!W178,2))</f>
        <v/>
      </c>
    </row>
    <row r="181">
      <c r="A181">
        <f>IF(posicao_contratual!A179="","",posicao_contratual!A179)</f>
        <v/>
      </c>
      <c r="B181" s="213">
        <f>IF(posicao_contratual!A179="","",posicao_contratual!B179)</f>
        <v/>
      </c>
      <c r="C181" s="213">
        <f>IF(OR(posicao_contratual!A179="",NOT(ISNUMBER(posicao_contratual!B179)),NOT(ISNUMBER(posicao_contratual!G179))),"",ROUND(posicao_contratual!B179*posicao_contratual!G179,2))</f>
        <v/>
      </c>
      <c r="D181" s="213">
        <f>IF(OR(posicao_contratual!A179="",NOT(ISNUMBER(posicao_contratual!B179)),NOT(ISNUMBER(posicao_contratual!K179))),"",ROUND(posicao_contratual!B179*posicao_contratual!K179,2))</f>
        <v/>
      </c>
      <c r="E181" s="213">
        <f>IF(OR(posicao_contratual!A179="",NOT(ISNUMBER(posicao_contratual!B179)),NOT(ISNUMBER(posicao_contratual!O179))),"",ROUND(posicao_contratual!B179*posicao_contratual!O179,2))</f>
        <v/>
      </c>
      <c r="F181" s="213">
        <f>IF(OR(posicao_contratual!A179="",NOT(ISNUMBER(posicao_contratual!B179)),NOT(ISNUMBER(posicao_contratual!S179))),"",ROUND(posicao_contratual!B179*posicao_contratual!S179,2))</f>
        <v/>
      </c>
      <c r="G181" s="213">
        <f>IF(OR(posicao_contratual!A179="",NOT(ISNUMBER(posicao_contratual!B179)),NOT(ISNUMBER(posicao_contratual!W179))),"",ROUND(posicao_contratual!B179*posicao_contratual!W179,2))</f>
        <v/>
      </c>
    </row>
    <row r="182">
      <c r="A182">
        <f>IF(posicao_contratual!A180="","",posicao_contratual!A180)</f>
        <v/>
      </c>
      <c r="B182" s="213">
        <f>IF(posicao_contratual!A180="","",posicao_contratual!B180)</f>
        <v/>
      </c>
      <c r="C182" s="213">
        <f>IF(OR(posicao_contratual!A180="",NOT(ISNUMBER(posicao_contratual!B180)),NOT(ISNUMBER(posicao_contratual!G180))),"",ROUND(posicao_contratual!B180*posicao_contratual!G180,2))</f>
        <v/>
      </c>
      <c r="D182" s="213">
        <f>IF(OR(posicao_contratual!A180="",NOT(ISNUMBER(posicao_contratual!B180)),NOT(ISNUMBER(posicao_contratual!K180))),"",ROUND(posicao_contratual!B180*posicao_contratual!K180,2))</f>
        <v/>
      </c>
      <c r="E182" s="213">
        <f>IF(OR(posicao_contratual!A180="",NOT(ISNUMBER(posicao_contratual!B180)),NOT(ISNUMBER(posicao_contratual!O180))),"",ROUND(posicao_contratual!B180*posicao_contratual!O180,2))</f>
        <v/>
      </c>
      <c r="F182" s="213">
        <f>IF(OR(posicao_contratual!A180="",NOT(ISNUMBER(posicao_contratual!B180)),NOT(ISNUMBER(posicao_contratual!S180))),"",ROUND(posicao_contratual!B180*posicao_contratual!S180,2))</f>
        <v/>
      </c>
      <c r="G182" s="213">
        <f>IF(OR(posicao_contratual!A180="",NOT(ISNUMBER(posicao_contratual!B180)),NOT(ISNUMBER(posicao_contratual!W180))),"",ROUND(posicao_contratual!B180*posicao_contratual!W180,2))</f>
        <v/>
      </c>
    </row>
    <row r="183">
      <c r="A183">
        <f>IF(posicao_contratual!A181="","",posicao_contratual!A181)</f>
        <v/>
      </c>
      <c r="B183" s="213">
        <f>IF(posicao_contratual!A181="","",posicao_contratual!B181)</f>
        <v/>
      </c>
      <c r="C183" s="213">
        <f>IF(OR(posicao_contratual!A181="",NOT(ISNUMBER(posicao_contratual!B181)),NOT(ISNUMBER(posicao_contratual!G181))),"",ROUND(posicao_contratual!B181*posicao_contratual!G181,2))</f>
        <v/>
      </c>
      <c r="D183" s="213">
        <f>IF(OR(posicao_contratual!A181="",NOT(ISNUMBER(posicao_contratual!B181)),NOT(ISNUMBER(posicao_contratual!K181))),"",ROUND(posicao_contratual!B181*posicao_contratual!K181,2))</f>
        <v/>
      </c>
      <c r="E183" s="213">
        <f>IF(OR(posicao_contratual!A181="",NOT(ISNUMBER(posicao_contratual!B181)),NOT(ISNUMBER(posicao_contratual!O181))),"",ROUND(posicao_contratual!B181*posicao_contratual!O181,2))</f>
        <v/>
      </c>
      <c r="F183" s="213">
        <f>IF(OR(posicao_contratual!A181="",NOT(ISNUMBER(posicao_contratual!B181)),NOT(ISNUMBER(posicao_contratual!S181))),"",ROUND(posicao_contratual!B181*posicao_contratual!S181,2))</f>
        <v/>
      </c>
      <c r="G183" s="213">
        <f>IF(OR(posicao_contratual!A181="",NOT(ISNUMBER(posicao_contratual!B181)),NOT(ISNUMBER(posicao_contratual!W181))),"",ROUND(posicao_contratual!B181*posicao_contratual!W181,2))</f>
        <v/>
      </c>
    </row>
    <row r="184">
      <c r="A184">
        <f>IF(posicao_contratual!A182="","",posicao_contratual!A182)</f>
        <v/>
      </c>
      <c r="B184" s="213">
        <f>IF(posicao_contratual!A182="","",posicao_contratual!B182)</f>
        <v/>
      </c>
      <c r="C184" s="213">
        <f>IF(OR(posicao_contratual!A182="",NOT(ISNUMBER(posicao_contratual!B182)),NOT(ISNUMBER(posicao_contratual!G182))),"",ROUND(posicao_contratual!B182*posicao_contratual!G182,2))</f>
        <v/>
      </c>
      <c r="D184" s="213">
        <f>IF(OR(posicao_contratual!A182="",NOT(ISNUMBER(posicao_contratual!B182)),NOT(ISNUMBER(posicao_contratual!K182))),"",ROUND(posicao_contratual!B182*posicao_contratual!K182,2))</f>
        <v/>
      </c>
      <c r="E184" s="213">
        <f>IF(OR(posicao_contratual!A182="",NOT(ISNUMBER(posicao_contratual!B182)),NOT(ISNUMBER(posicao_contratual!O182))),"",ROUND(posicao_contratual!B182*posicao_contratual!O182,2))</f>
        <v/>
      </c>
      <c r="F184" s="213">
        <f>IF(OR(posicao_contratual!A182="",NOT(ISNUMBER(posicao_contratual!B182)),NOT(ISNUMBER(posicao_contratual!S182))),"",ROUND(posicao_contratual!B182*posicao_contratual!S182,2))</f>
        <v/>
      </c>
      <c r="G184" s="213">
        <f>IF(OR(posicao_contratual!A182="",NOT(ISNUMBER(posicao_contratual!B182)),NOT(ISNUMBER(posicao_contratual!W182))),"",ROUND(posicao_contratual!B182*posicao_contratual!W182,2))</f>
        <v/>
      </c>
    </row>
    <row r="185">
      <c r="A185">
        <f>IF(posicao_contratual!A183="","",posicao_contratual!A183)</f>
        <v/>
      </c>
      <c r="B185" s="213">
        <f>IF(posicao_contratual!A183="","",posicao_contratual!B183)</f>
        <v/>
      </c>
      <c r="C185" s="213">
        <f>IF(OR(posicao_contratual!A183="",NOT(ISNUMBER(posicao_contratual!B183)),NOT(ISNUMBER(posicao_contratual!G183))),"",ROUND(posicao_contratual!B183*posicao_contratual!G183,2))</f>
        <v/>
      </c>
      <c r="D185" s="213">
        <f>IF(OR(posicao_contratual!A183="",NOT(ISNUMBER(posicao_contratual!B183)),NOT(ISNUMBER(posicao_contratual!K183))),"",ROUND(posicao_contratual!B183*posicao_contratual!K183,2))</f>
        <v/>
      </c>
      <c r="E185" s="213">
        <f>IF(OR(posicao_contratual!A183="",NOT(ISNUMBER(posicao_contratual!B183)),NOT(ISNUMBER(posicao_contratual!O183))),"",ROUND(posicao_contratual!B183*posicao_contratual!O183,2))</f>
        <v/>
      </c>
      <c r="F185" s="213">
        <f>IF(OR(posicao_contratual!A183="",NOT(ISNUMBER(posicao_contratual!B183)),NOT(ISNUMBER(posicao_contratual!S183))),"",ROUND(posicao_contratual!B183*posicao_contratual!S183,2))</f>
        <v/>
      </c>
      <c r="G185" s="213">
        <f>IF(OR(posicao_contratual!A183="",NOT(ISNUMBER(posicao_contratual!B183)),NOT(ISNUMBER(posicao_contratual!W183))),"",ROUND(posicao_contratual!B183*posicao_contratual!W183,2))</f>
        <v/>
      </c>
    </row>
    <row r="186">
      <c r="A186">
        <f>IF(posicao_contratual!A184="","",posicao_contratual!A184)</f>
        <v/>
      </c>
      <c r="B186" s="213">
        <f>IF(posicao_contratual!A184="","",posicao_contratual!B184)</f>
        <v/>
      </c>
      <c r="C186" s="213">
        <f>IF(OR(posicao_contratual!A184="",NOT(ISNUMBER(posicao_contratual!B184)),NOT(ISNUMBER(posicao_contratual!G184))),"",ROUND(posicao_contratual!B184*posicao_contratual!G184,2))</f>
        <v/>
      </c>
      <c r="D186" s="213">
        <f>IF(OR(posicao_contratual!A184="",NOT(ISNUMBER(posicao_contratual!B184)),NOT(ISNUMBER(posicao_contratual!K184))),"",ROUND(posicao_contratual!B184*posicao_contratual!K184,2))</f>
        <v/>
      </c>
      <c r="E186" s="213">
        <f>IF(OR(posicao_contratual!A184="",NOT(ISNUMBER(posicao_contratual!B184)),NOT(ISNUMBER(posicao_contratual!O184))),"",ROUND(posicao_contratual!B184*posicao_contratual!O184,2))</f>
        <v/>
      </c>
      <c r="F186" s="213">
        <f>IF(OR(posicao_contratual!A184="",NOT(ISNUMBER(posicao_contratual!B184)),NOT(ISNUMBER(posicao_contratual!S184))),"",ROUND(posicao_contratual!B184*posicao_contratual!S184,2))</f>
        <v/>
      </c>
      <c r="G186" s="213">
        <f>IF(OR(posicao_contratual!A184="",NOT(ISNUMBER(posicao_contratual!B184)),NOT(ISNUMBER(posicao_contratual!W184))),"",ROUND(posicao_contratual!B184*posicao_contratual!W184,2))</f>
        <v/>
      </c>
    </row>
    <row r="187">
      <c r="A187">
        <f>IF(posicao_contratual!A185="","",posicao_contratual!A185)</f>
        <v/>
      </c>
      <c r="B187" s="213">
        <f>IF(posicao_contratual!A185="","",posicao_contratual!B185)</f>
        <v/>
      </c>
      <c r="C187" s="213">
        <f>IF(OR(posicao_contratual!A185="",NOT(ISNUMBER(posicao_contratual!B185)),NOT(ISNUMBER(posicao_contratual!G185))),"",ROUND(posicao_contratual!B185*posicao_contratual!G185,2))</f>
        <v/>
      </c>
      <c r="D187" s="213">
        <f>IF(OR(posicao_contratual!A185="",NOT(ISNUMBER(posicao_contratual!B185)),NOT(ISNUMBER(posicao_contratual!K185))),"",ROUND(posicao_contratual!B185*posicao_contratual!K185,2))</f>
        <v/>
      </c>
      <c r="E187" s="213">
        <f>IF(OR(posicao_contratual!A185="",NOT(ISNUMBER(posicao_contratual!B185)),NOT(ISNUMBER(posicao_contratual!O185))),"",ROUND(posicao_contratual!B185*posicao_contratual!O185,2))</f>
        <v/>
      </c>
      <c r="F187" s="213">
        <f>IF(OR(posicao_contratual!A185="",NOT(ISNUMBER(posicao_contratual!B185)),NOT(ISNUMBER(posicao_contratual!S185))),"",ROUND(posicao_contratual!B185*posicao_contratual!S185,2))</f>
        <v/>
      </c>
      <c r="G187" s="213">
        <f>IF(OR(posicao_contratual!A185="",NOT(ISNUMBER(posicao_contratual!B185)),NOT(ISNUMBER(posicao_contratual!W185))),"",ROUND(posicao_contratual!B185*posicao_contratual!W185,2))</f>
        <v/>
      </c>
    </row>
    <row r="188">
      <c r="A188">
        <f>IF(posicao_contratual!A186="","",posicao_contratual!A186)</f>
        <v/>
      </c>
      <c r="B188" s="213">
        <f>IF(posicao_contratual!A186="","",posicao_contratual!B186)</f>
        <v/>
      </c>
      <c r="C188" s="213">
        <f>IF(OR(posicao_contratual!A186="",NOT(ISNUMBER(posicao_contratual!B186)),NOT(ISNUMBER(posicao_contratual!G186))),"",ROUND(posicao_contratual!B186*posicao_contratual!G186,2))</f>
        <v/>
      </c>
      <c r="D188" s="213">
        <f>IF(OR(posicao_contratual!A186="",NOT(ISNUMBER(posicao_contratual!B186)),NOT(ISNUMBER(posicao_contratual!K186))),"",ROUND(posicao_contratual!B186*posicao_contratual!K186,2))</f>
        <v/>
      </c>
      <c r="E188" s="213">
        <f>IF(OR(posicao_contratual!A186="",NOT(ISNUMBER(posicao_contratual!B186)),NOT(ISNUMBER(posicao_contratual!O186))),"",ROUND(posicao_contratual!B186*posicao_contratual!O186,2))</f>
        <v/>
      </c>
      <c r="F188" s="213">
        <f>IF(OR(posicao_contratual!A186="",NOT(ISNUMBER(posicao_contratual!B186)),NOT(ISNUMBER(posicao_contratual!S186))),"",ROUND(posicao_contratual!B186*posicao_contratual!S186,2))</f>
        <v/>
      </c>
      <c r="G188" s="213">
        <f>IF(OR(posicao_contratual!A186="",NOT(ISNUMBER(posicao_contratual!B186)),NOT(ISNUMBER(posicao_contratual!W186))),"",ROUND(posicao_contratual!B186*posicao_contratual!W186,2))</f>
        <v/>
      </c>
    </row>
    <row r="189">
      <c r="A189">
        <f>IF(posicao_contratual!A187="","",posicao_contratual!A187)</f>
        <v/>
      </c>
      <c r="B189" s="213">
        <f>IF(posicao_contratual!A187="","",posicao_contratual!B187)</f>
        <v/>
      </c>
      <c r="C189" s="213">
        <f>IF(OR(posicao_contratual!A187="",NOT(ISNUMBER(posicao_contratual!B187)),NOT(ISNUMBER(posicao_contratual!G187))),"",ROUND(posicao_contratual!B187*posicao_contratual!G187,2))</f>
        <v/>
      </c>
      <c r="D189" s="213">
        <f>IF(OR(posicao_contratual!A187="",NOT(ISNUMBER(posicao_contratual!B187)),NOT(ISNUMBER(posicao_contratual!K187))),"",ROUND(posicao_contratual!B187*posicao_contratual!K187,2))</f>
        <v/>
      </c>
      <c r="E189" s="213">
        <f>IF(OR(posicao_contratual!A187="",NOT(ISNUMBER(posicao_contratual!B187)),NOT(ISNUMBER(posicao_contratual!O187))),"",ROUND(posicao_contratual!B187*posicao_contratual!O187,2))</f>
        <v/>
      </c>
      <c r="F189" s="213">
        <f>IF(OR(posicao_contratual!A187="",NOT(ISNUMBER(posicao_contratual!B187)),NOT(ISNUMBER(posicao_contratual!S187))),"",ROUND(posicao_contratual!B187*posicao_contratual!S187,2))</f>
        <v/>
      </c>
      <c r="G189" s="213">
        <f>IF(OR(posicao_contratual!A187="",NOT(ISNUMBER(posicao_contratual!B187)),NOT(ISNUMBER(posicao_contratual!W187))),"",ROUND(posicao_contratual!B187*posicao_contratual!W187,2))</f>
        <v/>
      </c>
    </row>
    <row r="190">
      <c r="A190">
        <f>IF(posicao_contratual!A188="","",posicao_contratual!A188)</f>
        <v/>
      </c>
      <c r="B190" s="213">
        <f>IF(posicao_contratual!A188="","",posicao_contratual!B188)</f>
        <v/>
      </c>
      <c r="C190" s="213">
        <f>IF(OR(posicao_contratual!A188="",NOT(ISNUMBER(posicao_contratual!B188)),NOT(ISNUMBER(posicao_contratual!G188))),"",ROUND(posicao_contratual!B188*posicao_contratual!G188,2))</f>
        <v/>
      </c>
      <c r="D190" s="213">
        <f>IF(OR(posicao_contratual!A188="",NOT(ISNUMBER(posicao_contratual!B188)),NOT(ISNUMBER(posicao_contratual!K188))),"",ROUND(posicao_contratual!B188*posicao_contratual!K188,2))</f>
        <v/>
      </c>
      <c r="E190" s="213">
        <f>IF(OR(posicao_contratual!A188="",NOT(ISNUMBER(posicao_contratual!B188)),NOT(ISNUMBER(posicao_contratual!O188))),"",ROUND(posicao_contratual!B188*posicao_contratual!O188,2))</f>
        <v/>
      </c>
      <c r="F190" s="213">
        <f>IF(OR(posicao_contratual!A188="",NOT(ISNUMBER(posicao_contratual!B188)),NOT(ISNUMBER(posicao_contratual!S188))),"",ROUND(posicao_contratual!B188*posicao_contratual!S188,2))</f>
        <v/>
      </c>
      <c r="G190" s="213">
        <f>IF(OR(posicao_contratual!A188="",NOT(ISNUMBER(posicao_contratual!B188)),NOT(ISNUMBER(posicao_contratual!W188))),"",ROUND(posicao_contratual!B188*posicao_contratual!W188,2))</f>
        <v/>
      </c>
    </row>
    <row r="191">
      <c r="A191">
        <f>IF(posicao_contratual!A189="","",posicao_contratual!A189)</f>
        <v/>
      </c>
      <c r="B191" s="213">
        <f>IF(posicao_contratual!A189="","",posicao_contratual!B189)</f>
        <v/>
      </c>
      <c r="C191" s="213">
        <f>IF(OR(posicao_contratual!A189="",NOT(ISNUMBER(posicao_contratual!B189)),NOT(ISNUMBER(posicao_contratual!G189))),"",ROUND(posicao_contratual!B189*posicao_contratual!G189,2))</f>
        <v/>
      </c>
      <c r="D191" s="213">
        <f>IF(OR(posicao_contratual!A189="",NOT(ISNUMBER(posicao_contratual!B189)),NOT(ISNUMBER(posicao_contratual!K189))),"",ROUND(posicao_contratual!B189*posicao_contratual!K189,2))</f>
        <v/>
      </c>
      <c r="E191" s="213">
        <f>IF(OR(posicao_contratual!A189="",NOT(ISNUMBER(posicao_contratual!B189)),NOT(ISNUMBER(posicao_contratual!O189))),"",ROUND(posicao_contratual!B189*posicao_contratual!O189,2))</f>
        <v/>
      </c>
      <c r="F191" s="213">
        <f>IF(OR(posicao_contratual!A189="",NOT(ISNUMBER(posicao_contratual!B189)),NOT(ISNUMBER(posicao_contratual!S189))),"",ROUND(posicao_contratual!B189*posicao_contratual!S189,2))</f>
        <v/>
      </c>
      <c r="G191" s="213">
        <f>IF(OR(posicao_contratual!A189="",NOT(ISNUMBER(posicao_contratual!B189)),NOT(ISNUMBER(posicao_contratual!W189))),"",ROUND(posicao_contratual!B189*posicao_contratual!W189,2))</f>
        <v/>
      </c>
    </row>
    <row r="192">
      <c r="A192">
        <f>IF(posicao_contratual!A190="","",posicao_contratual!A190)</f>
        <v/>
      </c>
      <c r="B192" s="213">
        <f>IF(posicao_contratual!A190="","",posicao_contratual!B190)</f>
        <v/>
      </c>
      <c r="C192" s="213">
        <f>IF(OR(posicao_contratual!A190="",NOT(ISNUMBER(posicao_contratual!B190)),NOT(ISNUMBER(posicao_contratual!G190))),"",ROUND(posicao_contratual!B190*posicao_contratual!G190,2))</f>
        <v/>
      </c>
      <c r="D192" s="213">
        <f>IF(OR(posicao_contratual!A190="",NOT(ISNUMBER(posicao_contratual!B190)),NOT(ISNUMBER(posicao_contratual!K190))),"",ROUND(posicao_contratual!B190*posicao_contratual!K190,2))</f>
        <v/>
      </c>
      <c r="E192" s="213">
        <f>IF(OR(posicao_contratual!A190="",NOT(ISNUMBER(posicao_contratual!B190)),NOT(ISNUMBER(posicao_contratual!O190))),"",ROUND(posicao_contratual!B190*posicao_contratual!O190,2))</f>
        <v/>
      </c>
      <c r="F192" s="213">
        <f>IF(OR(posicao_contratual!A190="",NOT(ISNUMBER(posicao_contratual!B190)),NOT(ISNUMBER(posicao_contratual!S190))),"",ROUND(posicao_contratual!B190*posicao_contratual!S190,2))</f>
        <v/>
      </c>
      <c r="G192" s="213">
        <f>IF(OR(posicao_contratual!A190="",NOT(ISNUMBER(posicao_contratual!B190)),NOT(ISNUMBER(posicao_contratual!W190))),"",ROUND(posicao_contratual!B190*posicao_contratual!W190,2))</f>
        <v/>
      </c>
    </row>
    <row r="193">
      <c r="A193">
        <f>IF(posicao_contratual!A191="","",posicao_contratual!A191)</f>
        <v/>
      </c>
      <c r="B193" s="213">
        <f>IF(posicao_contratual!A191="","",posicao_contratual!B191)</f>
        <v/>
      </c>
      <c r="C193" s="213">
        <f>IF(OR(posicao_contratual!A191="",NOT(ISNUMBER(posicao_contratual!B191)),NOT(ISNUMBER(posicao_contratual!G191))),"",ROUND(posicao_contratual!B191*posicao_contratual!G191,2))</f>
        <v/>
      </c>
      <c r="D193" s="213">
        <f>IF(OR(posicao_contratual!A191="",NOT(ISNUMBER(posicao_contratual!B191)),NOT(ISNUMBER(posicao_contratual!K191))),"",ROUND(posicao_contratual!B191*posicao_contratual!K191,2))</f>
        <v/>
      </c>
      <c r="E193" s="213">
        <f>IF(OR(posicao_contratual!A191="",NOT(ISNUMBER(posicao_contratual!B191)),NOT(ISNUMBER(posicao_contratual!O191))),"",ROUND(posicao_contratual!B191*posicao_contratual!O191,2))</f>
        <v/>
      </c>
      <c r="F193" s="213">
        <f>IF(OR(posicao_contratual!A191="",NOT(ISNUMBER(posicao_contratual!B191)),NOT(ISNUMBER(posicao_contratual!S191))),"",ROUND(posicao_contratual!B191*posicao_contratual!S191,2))</f>
        <v/>
      </c>
      <c r="G193" s="213">
        <f>IF(OR(posicao_contratual!A191="",NOT(ISNUMBER(posicao_contratual!B191)),NOT(ISNUMBER(posicao_contratual!W191))),"",ROUND(posicao_contratual!B191*posicao_contratual!W191,2))</f>
        <v/>
      </c>
    </row>
    <row r="194">
      <c r="A194">
        <f>IF(posicao_contratual!A192="","",posicao_contratual!A192)</f>
        <v/>
      </c>
      <c r="B194" s="213">
        <f>IF(posicao_contratual!A192="","",posicao_contratual!B192)</f>
        <v/>
      </c>
      <c r="C194" s="213">
        <f>IF(OR(posicao_contratual!A192="",NOT(ISNUMBER(posicao_contratual!B192)),NOT(ISNUMBER(posicao_contratual!G192))),"",ROUND(posicao_contratual!B192*posicao_contratual!G192,2))</f>
        <v/>
      </c>
      <c r="D194" s="213">
        <f>IF(OR(posicao_contratual!A192="",NOT(ISNUMBER(posicao_contratual!B192)),NOT(ISNUMBER(posicao_contratual!K192))),"",ROUND(posicao_contratual!B192*posicao_contratual!K192,2))</f>
        <v/>
      </c>
      <c r="E194" s="213">
        <f>IF(OR(posicao_contratual!A192="",NOT(ISNUMBER(posicao_contratual!B192)),NOT(ISNUMBER(posicao_contratual!O192))),"",ROUND(posicao_contratual!B192*posicao_contratual!O192,2))</f>
        <v/>
      </c>
      <c r="F194" s="213">
        <f>IF(OR(posicao_contratual!A192="",NOT(ISNUMBER(posicao_contratual!B192)),NOT(ISNUMBER(posicao_contratual!S192))),"",ROUND(posicao_contratual!B192*posicao_contratual!S192,2))</f>
        <v/>
      </c>
      <c r="G194" s="213">
        <f>IF(OR(posicao_contratual!A192="",NOT(ISNUMBER(posicao_contratual!B192)),NOT(ISNUMBER(posicao_contratual!W192))),"",ROUND(posicao_contratual!B192*posicao_contratual!W192,2))</f>
        <v/>
      </c>
    </row>
    <row r="195">
      <c r="A195">
        <f>IF(posicao_contratual!A193="","",posicao_contratual!A193)</f>
        <v/>
      </c>
      <c r="B195" s="213">
        <f>IF(posicao_contratual!A193="","",posicao_contratual!B193)</f>
        <v/>
      </c>
      <c r="C195" s="213">
        <f>IF(OR(posicao_contratual!A193="",NOT(ISNUMBER(posicao_contratual!B193)),NOT(ISNUMBER(posicao_contratual!G193))),"",ROUND(posicao_contratual!B193*posicao_contratual!G193,2))</f>
        <v/>
      </c>
      <c r="D195" s="213">
        <f>IF(OR(posicao_contratual!A193="",NOT(ISNUMBER(posicao_contratual!B193)),NOT(ISNUMBER(posicao_contratual!K193))),"",ROUND(posicao_contratual!B193*posicao_contratual!K193,2))</f>
        <v/>
      </c>
      <c r="E195" s="213">
        <f>IF(OR(posicao_contratual!A193="",NOT(ISNUMBER(posicao_contratual!B193)),NOT(ISNUMBER(posicao_contratual!O193))),"",ROUND(posicao_contratual!B193*posicao_contratual!O193,2))</f>
        <v/>
      </c>
      <c r="F195" s="213">
        <f>IF(OR(posicao_contratual!A193="",NOT(ISNUMBER(posicao_contratual!B193)),NOT(ISNUMBER(posicao_contratual!S193))),"",ROUND(posicao_contratual!B193*posicao_contratual!S193,2))</f>
        <v/>
      </c>
      <c r="G195" s="213">
        <f>IF(OR(posicao_contratual!A193="",NOT(ISNUMBER(posicao_contratual!B193)),NOT(ISNUMBER(posicao_contratual!W193))),"",ROUND(posicao_contratual!B193*posicao_contratual!W193,2))</f>
        <v/>
      </c>
    </row>
    <row r="196">
      <c r="A196">
        <f>IF(posicao_contratual!A194="","",posicao_contratual!A194)</f>
        <v/>
      </c>
      <c r="B196" s="213">
        <f>IF(posicao_contratual!A194="","",posicao_contratual!B194)</f>
        <v/>
      </c>
      <c r="C196" s="213">
        <f>IF(OR(posicao_contratual!A194="",NOT(ISNUMBER(posicao_contratual!B194)),NOT(ISNUMBER(posicao_contratual!G194))),"",ROUND(posicao_contratual!B194*posicao_contratual!G194,2))</f>
        <v/>
      </c>
      <c r="D196" s="213">
        <f>IF(OR(posicao_contratual!A194="",NOT(ISNUMBER(posicao_contratual!B194)),NOT(ISNUMBER(posicao_contratual!K194))),"",ROUND(posicao_contratual!B194*posicao_contratual!K194,2))</f>
        <v/>
      </c>
      <c r="E196" s="213">
        <f>IF(OR(posicao_contratual!A194="",NOT(ISNUMBER(posicao_contratual!B194)),NOT(ISNUMBER(posicao_contratual!O194))),"",ROUND(posicao_contratual!B194*posicao_contratual!O194,2))</f>
        <v/>
      </c>
      <c r="F196" s="213">
        <f>IF(OR(posicao_contratual!A194="",NOT(ISNUMBER(posicao_contratual!B194)),NOT(ISNUMBER(posicao_contratual!S194))),"",ROUND(posicao_contratual!B194*posicao_contratual!S194,2))</f>
        <v/>
      </c>
      <c r="G196" s="213">
        <f>IF(OR(posicao_contratual!A194="",NOT(ISNUMBER(posicao_contratual!B194)),NOT(ISNUMBER(posicao_contratual!W194))),"",ROUND(posicao_contratual!B194*posicao_contratual!W194,2))</f>
        <v/>
      </c>
    </row>
    <row r="197">
      <c r="A197">
        <f>IF(posicao_contratual!A195="","",posicao_contratual!A195)</f>
        <v/>
      </c>
      <c r="B197" s="213">
        <f>IF(posicao_contratual!A195="","",posicao_contratual!B195)</f>
        <v/>
      </c>
      <c r="C197" s="213">
        <f>IF(OR(posicao_contratual!A195="",NOT(ISNUMBER(posicao_contratual!B195)),NOT(ISNUMBER(posicao_contratual!G195))),"",ROUND(posicao_contratual!B195*posicao_contratual!G195,2))</f>
        <v/>
      </c>
      <c r="D197" s="213">
        <f>IF(OR(posicao_contratual!A195="",NOT(ISNUMBER(posicao_contratual!B195)),NOT(ISNUMBER(posicao_contratual!K195))),"",ROUND(posicao_contratual!B195*posicao_contratual!K195,2))</f>
        <v/>
      </c>
      <c r="E197" s="213">
        <f>IF(OR(posicao_contratual!A195="",NOT(ISNUMBER(posicao_contratual!B195)),NOT(ISNUMBER(posicao_contratual!O195))),"",ROUND(posicao_contratual!B195*posicao_contratual!O195,2))</f>
        <v/>
      </c>
      <c r="F197" s="213">
        <f>IF(OR(posicao_contratual!A195="",NOT(ISNUMBER(posicao_contratual!B195)),NOT(ISNUMBER(posicao_contratual!S195))),"",ROUND(posicao_contratual!B195*posicao_contratual!S195,2))</f>
        <v/>
      </c>
      <c r="G197" s="213">
        <f>IF(OR(posicao_contratual!A195="",NOT(ISNUMBER(posicao_contratual!B195)),NOT(ISNUMBER(posicao_contratual!W195))),"",ROUND(posicao_contratual!B195*posicao_contratual!W195,2))</f>
        <v/>
      </c>
    </row>
    <row r="198">
      <c r="A198">
        <f>IF(posicao_contratual!A196="","",posicao_contratual!A196)</f>
        <v/>
      </c>
      <c r="B198" s="213">
        <f>IF(posicao_contratual!A196="","",posicao_contratual!B196)</f>
        <v/>
      </c>
      <c r="C198" s="213">
        <f>IF(OR(posicao_contratual!A196="",NOT(ISNUMBER(posicao_contratual!B196)),NOT(ISNUMBER(posicao_contratual!G196))),"",ROUND(posicao_contratual!B196*posicao_contratual!G196,2))</f>
        <v/>
      </c>
      <c r="D198" s="213">
        <f>IF(OR(posicao_contratual!A196="",NOT(ISNUMBER(posicao_contratual!B196)),NOT(ISNUMBER(posicao_contratual!K196))),"",ROUND(posicao_contratual!B196*posicao_contratual!K196,2))</f>
        <v/>
      </c>
      <c r="E198" s="213">
        <f>IF(OR(posicao_contratual!A196="",NOT(ISNUMBER(posicao_contratual!B196)),NOT(ISNUMBER(posicao_contratual!O196))),"",ROUND(posicao_contratual!B196*posicao_contratual!O196,2))</f>
        <v/>
      </c>
      <c r="F198" s="213">
        <f>IF(OR(posicao_contratual!A196="",NOT(ISNUMBER(posicao_contratual!B196)),NOT(ISNUMBER(posicao_contratual!S196))),"",ROUND(posicao_contratual!B196*posicao_contratual!S196,2))</f>
        <v/>
      </c>
      <c r="G198" s="213">
        <f>IF(OR(posicao_contratual!A196="",NOT(ISNUMBER(posicao_contratual!B196)),NOT(ISNUMBER(posicao_contratual!W196))),"",ROUND(posicao_contratual!B196*posicao_contratual!W196,2))</f>
        <v/>
      </c>
    </row>
    <row r="199">
      <c r="A199">
        <f>IF(posicao_contratual!A197="","",posicao_contratual!A197)</f>
        <v/>
      </c>
      <c r="B199" s="213">
        <f>IF(posicao_contratual!A197="","",posicao_contratual!B197)</f>
        <v/>
      </c>
      <c r="C199" s="213">
        <f>IF(OR(posicao_contratual!A197="",NOT(ISNUMBER(posicao_contratual!B197)),NOT(ISNUMBER(posicao_contratual!G197))),"",ROUND(posicao_contratual!B197*posicao_contratual!G197,2))</f>
        <v/>
      </c>
      <c r="D199" s="213">
        <f>IF(OR(posicao_contratual!A197="",NOT(ISNUMBER(posicao_contratual!B197)),NOT(ISNUMBER(posicao_contratual!K197))),"",ROUND(posicao_contratual!B197*posicao_contratual!K197,2))</f>
        <v/>
      </c>
      <c r="E199" s="213">
        <f>IF(OR(posicao_contratual!A197="",NOT(ISNUMBER(posicao_contratual!B197)),NOT(ISNUMBER(posicao_contratual!O197))),"",ROUND(posicao_contratual!B197*posicao_contratual!O197,2))</f>
        <v/>
      </c>
      <c r="F199" s="213">
        <f>IF(OR(posicao_contratual!A197="",NOT(ISNUMBER(posicao_contratual!B197)),NOT(ISNUMBER(posicao_contratual!S197))),"",ROUND(posicao_contratual!B197*posicao_contratual!S197,2))</f>
        <v/>
      </c>
      <c r="G199" s="213">
        <f>IF(OR(posicao_contratual!A197="",NOT(ISNUMBER(posicao_contratual!B197)),NOT(ISNUMBER(posicao_contratual!W197))),"",ROUND(posicao_contratual!B197*posicao_contratual!W197,2))</f>
        <v/>
      </c>
    </row>
    <row r="200">
      <c r="A200">
        <f>IF(posicao_contratual!A198="","",posicao_contratual!A198)</f>
        <v/>
      </c>
      <c r="B200" s="213">
        <f>IF(posicao_contratual!A198="","",posicao_contratual!B198)</f>
        <v/>
      </c>
      <c r="C200" s="213">
        <f>IF(OR(posicao_contratual!A198="",NOT(ISNUMBER(posicao_contratual!B198)),NOT(ISNUMBER(posicao_contratual!G198))),"",ROUND(posicao_contratual!B198*posicao_contratual!G198,2))</f>
        <v/>
      </c>
      <c r="D200" s="213">
        <f>IF(OR(posicao_contratual!A198="",NOT(ISNUMBER(posicao_contratual!B198)),NOT(ISNUMBER(posicao_contratual!K198))),"",ROUND(posicao_contratual!B198*posicao_contratual!K198,2))</f>
        <v/>
      </c>
      <c r="E200" s="213">
        <f>IF(OR(posicao_contratual!A198="",NOT(ISNUMBER(posicao_contratual!B198)),NOT(ISNUMBER(posicao_contratual!O198))),"",ROUND(posicao_contratual!B198*posicao_contratual!O198,2))</f>
        <v/>
      </c>
      <c r="F200" s="213">
        <f>IF(OR(posicao_contratual!A198="",NOT(ISNUMBER(posicao_contratual!B198)),NOT(ISNUMBER(posicao_contratual!S198))),"",ROUND(posicao_contratual!B198*posicao_contratual!S198,2))</f>
        <v/>
      </c>
      <c r="G200" s="213">
        <f>IF(OR(posicao_contratual!A198="",NOT(ISNUMBER(posicao_contratual!B198)),NOT(ISNUMBER(posicao_contratual!W198))),"",ROUND(posicao_contratual!B198*posicao_contratual!W198,2))</f>
        <v/>
      </c>
    </row>
    <row r="201">
      <c r="A201">
        <f>IF(posicao_contratual!A199="","",posicao_contratual!A199)</f>
        <v/>
      </c>
      <c r="B201" s="213">
        <f>IF(posicao_contratual!A199="","",posicao_contratual!B199)</f>
        <v/>
      </c>
      <c r="C201" s="213">
        <f>IF(OR(posicao_contratual!A199="",NOT(ISNUMBER(posicao_contratual!B199)),NOT(ISNUMBER(posicao_contratual!G199))),"",ROUND(posicao_contratual!B199*posicao_contratual!G199,2))</f>
        <v/>
      </c>
      <c r="D201" s="213">
        <f>IF(OR(posicao_contratual!A199="",NOT(ISNUMBER(posicao_contratual!B199)),NOT(ISNUMBER(posicao_contratual!K199))),"",ROUND(posicao_contratual!B199*posicao_contratual!K199,2))</f>
        <v/>
      </c>
      <c r="E201" s="213">
        <f>IF(OR(posicao_contratual!A199="",NOT(ISNUMBER(posicao_contratual!B199)),NOT(ISNUMBER(posicao_contratual!O199))),"",ROUND(posicao_contratual!B199*posicao_contratual!O199,2))</f>
        <v/>
      </c>
      <c r="F201" s="213">
        <f>IF(OR(posicao_contratual!A199="",NOT(ISNUMBER(posicao_contratual!B199)),NOT(ISNUMBER(posicao_contratual!S199))),"",ROUND(posicao_contratual!B199*posicao_contratual!S199,2))</f>
        <v/>
      </c>
      <c r="G201" s="213">
        <f>IF(OR(posicao_contratual!A199="",NOT(ISNUMBER(posicao_contratual!B199)),NOT(ISNUMBER(posicao_contratual!W199))),"",ROUND(posicao_contratual!B199*posicao_contratual!W199,2))</f>
        <v/>
      </c>
    </row>
    <row r="202">
      <c r="A202">
        <f>IF(posicao_contratual!A200="","",posicao_contratual!A200)</f>
        <v/>
      </c>
      <c r="B202" s="213">
        <f>IF(posicao_contratual!A200="","",posicao_contratual!B200)</f>
        <v/>
      </c>
      <c r="C202" s="213">
        <f>IF(OR(posicao_contratual!A200="",NOT(ISNUMBER(posicao_contratual!B200)),NOT(ISNUMBER(posicao_contratual!G200))),"",ROUND(posicao_contratual!B200*posicao_contratual!G200,2))</f>
        <v/>
      </c>
      <c r="D202" s="213">
        <f>IF(OR(posicao_contratual!A200="",NOT(ISNUMBER(posicao_contratual!B200)),NOT(ISNUMBER(posicao_contratual!K200))),"",ROUND(posicao_contratual!B200*posicao_contratual!K200,2))</f>
        <v/>
      </c>
      <c r="E202" s="213">
        <f>IF(OR(posicao_contratual!A200="",NOT(ISNUMBER(posicao_contratual!B200)),NOT(ISNUMBER(posicao_contratual!O200))),"",ROUND(posicao_contratual!B200*posicao_contratual!O200,2))</f>
        <v/>
      </c>
      <c r="F202" s="213">
        <f>IF(OR(posicao_contratual!A200="",NOT(ISNUMBER(posicao_contratual!B200)),NOT(ISNUMBER(posicao_contratual!S200))),"",ROUND(posicao_contratual!B200*posicao_contratual!S200,2))</f>
        <v/>
      </c>
      <c r="G202" s="213">
        <f>IF(OR(posicao_contratual!A200="",NOT(ISNUMBER(posicao_contratual!B200)),NOT(ISNUMBER(posicao_contratual!W200))),"",ROUND(posicao_contratual!B200*posicao_contratual!W200,2))</f>
        <v/>
      </c>
    </row>
    <row r="203">
      <c r="A203">
        <f>IF(posicao_contratual!A201="","",posicao_contratual!A201)</f>
        <v/>
      </c>
      <c r="B203" s="213">
        <f>IF(posicao_contratual!A201="","",posicao_contratual!B201)</f>
        <v/>
      </c>
      <c r="C203" s="213">
        <f>IF(OR(posicao_contratual!A201="",NOT(ISNUMBER(posicao_contratual!B201)),NOT(ISNUMBER(posicao_contratual!G201))),"",ROUND(posicao_contratual!B201*posicao_contratual!G201,2))</f>
        <v/>
      </c>
      <c r="D203" s="213">
        <f>IF(OR(posicao_contratual!A201="",NOT(ISNUMBER(posicao_contratual!B201)),NOT(ISNUMBER(posicao_contratual!K201))),"",ROUND(posicao_contratual!B201*posicao_contratual!K201,2))</f>
        <v/>
      </c>
      <c r="E203" s="213">
        <f>IF(OR(posicao_contratual!A201="",NOT(ISNUMBER(posicao_contratual!B201)),NOT(ISNUMBER(posicao_contratual!O201))),"",ROUND(posicao_contratual!B201*posicao_contratual!O201,2))</f>
        <v/>
      </c>
      <c r="F203" s="213">
        <f>IF(OR(posicao_contratual!A201="",NOT(ISNUMBER(posicao_contratual!B201)),NOT(ISNUMBER(posicao_contratual!S201))),"",ROUND(posicao_contratual!B201*posicao_contratual!S201,2))</f>
        <v/>
      </c>
      <c r="G203" s="213">
        <f>IF(OR(posicao_contratual!A201="",NOT(ISNUMBER(posicao_contratual!B201)),NOT(ISNUMBER(posicao_contratual!W201))),"",ROUND(posicao_contratual!B201*posicao_contratual!W201,2))</f>
        <v/>
      </c>
    </row>
    <row r="204">
      <c r="A204" t="inlineStr">
        <is>
          <t>TOTAL</t>
        </is>
      </c>
      <c r="B204" s="213" t="n"/>
      <c r="C204" s="213">
        <f>ROUND(SUM(C4:C203),2)</f>
        <v/>
      </c>
      <c r="D204" s="213">
        <f>ROUND(SUM(D4:D203),2)</f>
        <v/>
      </c>
      <c r="E204" s="213">
        <f>ROUND(SUM(E4:E203),2)</f>
        <v/>
      </c>
      <c r="F204" s="213">
        <f>ROUND(SUM(F4:F203),2)</f>
        <v/>
      </c>
      <c r="G204" s="213">
        <f>ROUND(SUM(G4:G203),2)</f>
        <v/>
      </c>
    </row>
    <row r="206">
      <c r="A206" t="inlineStr">
        <is>
          <t>BLOCO 2 - COMPARACAO DE REFERENCIA - NAO UTILIZAR COMO VTA OU VALOR DE PAGAMENTO</t>
        </is>
      </c>
    </row>
    <row r="207">
      <c r="A207" t="inlineStr">
        <is>
          <t>VTA pelo metodo aplicado</t>
        </is>
      </c>
      <c r="B207" s="213">
        <f>MEMORIA_RESULTADOS!$B$26</f>
        <v/>
      </c>
    </row>
    <row r="208">
      <c r="A208" t="inlineStr">
        <is>
          <t>Contrato original integralmente reajustado ate o ciclo atual - REFERENCIA APENAS</t>
        </is>
      </c>
      <c r="B208" s="213">
        <f>IFERROR(ROUND(SUMPRODUCT(posicao_contratual!$B$2:$B$201,posicao_contratual!$C$2:$C$201)*CONTROLE!$B$11,2),"")</f>
        <v/>
      </c>
    </row>
    <row r="210">
      <c r="A210" t="inlineStr">
        <is>
      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tabSelected="1" workbookViewId="0">
      <selection activeCell="C43" sqref="C43"/>
    </sheetView>
  </sheetViews>
  <sheetFormatPr baseColWidth="8" defaultColWidth="30" defaultRowHeight="14.5"/>
  <cols>
    <col width="36" customWidth="1" style="2" min="1" max="1"/>
    <col width="22" customWidth="1" style="2" min="2" max="2"/>
    <col width="48" customWidth="1" style="2" min="3" max="3"/>
    <col width="30" customWidth="1" style="2" min="4" max="4"/>
    <col width="28" customWidth="1" style="289" min="5" max="5"/>
    <col width="30" customWidth="1" style="2" min="6" max="11"/>
    <col width="30" customWidth="1" style="2" min="12" max="16384"/>
  </cols>
  <sheetData>
    <row r="1" ht="15.75" customHeight="1" s="289">
      <c r="A1" s="1" t="inlineStr">
        <is>
          <t>MODO DE LEITURA</t>
        </is>
      </c>
      <c r="B1" s="168" t="inlineStr">
        <is>
          <t>SELECIONE AQUI</t>
        </is>
      </c>
    </row>
    <row r="2">
      <c r="A2" s="1" t="inlineStr">
        <is>
          <t>Ciclo vigente (em execução)</t>
        </is>
      </c>
      <c r="B2" s="167" t="n"/>
    </row>
    <row r="3">
      <c r="A3" s="1" t="inlineStr">
        <is>
          <t>Data de corte (única p/ contrato)</t>
        </is>
      </c>
      <c r="B3" s="194" t="n"/>
      <c r="E3" s="211" t="n"/>
      <c r="G3" s="211" t="n"/>
    </row>
    <row r="4" hidden="1" s="289">
      <c r="A4" s="2" t="inlineStr">
        <is>
          <t>C0 e ciclos fora da analise</t>
        </is>
      </c>
      <c r="B4" s="2" t="inlineStr">
        <is>
          <t>Preencher FINANCEIRO: coluna B com o nome do ciclo (ex: c0, c1), coluna C com o valor efetivamente pago. Se vazio, o sistema usa calculo por itens/estoque.</t>
        </is>
      </c>
      <c r="E4" s="211" t="n"/>
      <c r="G4" s="211" t="n"/>
    </row>
    <row r="5" ht="5" customHeight="1" s="289">
      <c r="A5" s="3" t="n"/>
      <c r="E5" s="211" t="n"/>
      <c r="G5" s="211" t="n"/>
    </row>
    <row r="6" ht="22" customHeight="1" s="289">
      <c r="A6" s="5" t="inlineStr">
        <is>
          <t>RESUMO DO REAJUSTE</t>
        </is>
      </c>
      <c r="B6" s="5" t="inlineStr">
        <is>
          <t>VALOR</t>
        </is>
      </c>
      <c r="C6" s="4" t="n"/>
      <c r="D6" s="4" t="n"/>
      <c r="E6" s="212" t="n"/>
      <c r="F6" s="4" t="n"/>
      <c r="G6" s="212" t="n"/>
    </row>
    <row r="7" ht="18" customHeight="1" s="289">
      <c r="A7" s="6" t="inlineStr">
        <is>
          <t>Índice utilizado</t>
        </is>
      </c>
      <c r="B7" s="7" t="n"/>
      <c r="C7" s="8" t="n"/>
      <c r="D7" s="8" t="n"/>
      <c r="E7" s="8" t="n"/>
      <c r="F7" s="4" t="n"/>
      <c r="G7" s="4" t="n"/>
    </row>
    <row r="8" ht="28" customHeight="1" s="289">
      <c r="A8" s="6" t="inlineStr">
        <is>
          <t>Data-base original</t>
        </is>
      </c>
      <c r="B8" s="322" t="n"/>
      <c r="C8" s="9" t="n"/>
      <c r="D8" s="9" t="n"/>
      <c r="E8" s="9" t="n"/>
      <c r="F8" s="4" t="n"/>
      <c r="G8" s="4" t="n"/>
    </row>
    <row r="9" ht="28" customHeight="1" s="289">
      <c r="A9" s="6" t="inlineStr">
        <is>
          <t>Quantidade de ciclos desta análise</t>
        </is>
      </c>
      <c r="B9" s="10">
        <f>COUNTIF(parametros!A2:A6,"Sim")</f>
        <v/>
      </c>
      <c r="C9" s="9" t="n"/>
      <c r="D9" s="9" t="n"/>
      <c r="E9" s="9" t="n"/>
      <c r="F9" s="4" t="n"/>
      <c r="G9" s="4" t="n"/>
    </row>
    <row r="10" ht="28" customHeight="1" s="289">
      <c r="A10" s="6" t="inlineStr">
        <is>
          <t>Variação histórica integral até o ciclo vigente</t>
        </is>
      </c>
      <c r="B10" s="228">
        <f>IF(ISNUMBER(B11),B11-1,"")</f>
        <v/>
      </c>
      <c r="C10" s="9" t="n"/>
      <c r="D10" s="9" t="n"/>
      <c r="E10" s="9" t="n"/>
      <c r="F10" s="4" t="n"/>
      <c r="G10" s="4" t="n"/>
    </row>
    <row r="11" ht="28" customHeight="1" s="289">
      <c r="A11" s="6" t="inlineStr">
        <is>
          <t>Fator histórico integral (até o ciclo vigente)</t>
        </is>
      </c>
      <c r="B11" s="229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 t="n"/>
      <c r="D11" s="9" t="n"/>
      <c r="E11" s="9" t="n"/>
      <c r="F11" s="4" t="n"/>
      <c r="G11" s="4" t="n"/>
    </row>
    <row r="12" ht="28" customHeight="1" s="289">
      <c r="A12" s="6" t="inlineStr">
        <is>
          <t>Último ciclo considerado nesta apuração</t>
        </is>
      </c>
      <c r="B12" s="7">
        <f>IFERROR(IF(parametros!A6="Sim",parametros!B6,IF(parametros!A5="Sim",parametros!B5,IF(parametros!A4="Sim",parametros!B4,IF(parametros!A3="Sim",parametros!B3,IF(parametros!A2="Sim",parametros!B2,"Nenhum"))))),"Nenhum")</f>
        <v/>
      </c>
      <c r="C12" s="9" t="n"/>
      <c r="D12" s="9" t="n"/>
      <c r="E12" s="9" t="n"/>
      <c r="F12" s="4" t="n"/>
      <c r="G12" s="4" t="n"/>
    </row>
    <row r="13" ht="20.15" customHeight="1" s="289">
      <c r="A13" s="6" t="inlineStr">
        <is>
          <t>Início do último ciclo considerado</t>
        </is>
      </c>
      <c r="B13" s="322">
        <f>IFERROR(IF(parametros!A6="Sim",parametros!C6,IF(parametros!A5="Sim",parametros!C5,IF(parametros!A4="Sim",parametros!C4,IF(parametros!A3="Sim",parametros!C3,IF(parametros!A2="Sim",parametros!C2,""))))),"")</f>
        <v/>
      </c>
      <c r="C13" s="4" t="n"/>
      <c r="D13" s="4" t="n"/>
      <c r="E13" s="4" t="n"/>
      <c r="F13" s="4" t="n"/>
      <c r="G13" s="4" t="n"/>
    </row>
    <row r="14" hidden="1" ht="5" customHeight="1" s="289">
      <c r="A14" s="6" t="inlineStr">
        <is>
          <t>Data de geracao do arquivo</t>
        </is>
      </c>
      <c r="B14" s="322">
        <f>NOW()</f>
        <v/>
      </c>
      <c r="C14" s="4" t="n"/>
      <c r="D14" s="4" t="n"/>
      <c r="E14" s="4" t="n"/>
      <c r="F14" s="4" t="n"/>
      <c r="G14" s="4" t="n"/>
    </row>
    <row r="15" hidden="1" ht="22" customHeight="1" s="289">
      <c r="A15" s="8" t="n"/>
      <c r="B15" s="4" t="n"/>
      <c r="C15" s="4" t="n"/>
      <c r="D15" s="4" t="n"/>
      <c r="E15" s="4" t="n"/>
      <c r="F15" s="4" t="n"/>
      <c r="G15" s="4" t="n"/>
    </row>
    <row r="16" hidden="1" ht="40" customHeight="1" s="289">
      <c r="A16" s="9" t="n"/>
      <c r="B16" s="4" t="n"/>
      <c r="C16" s="4" t="n"/>
      <c r="D16" s="4" t="n"/>
      <c r="E16" s="4" t="n"/>
      <c r="F16" s="4" t="n"/>
      <c r="G16" s="4" t="n"/>
    </row>
    <row r="17" hidden="1" s="289">
      <c r="A17" s="4" t="n"/>
      <c r="B17" s="4" t="n"/>
      <c r="C17" s="4" t="n"/>
      <c r="D17" s="4" t="n"/>
      <c r="E17" s="4" t="n"/>
      <c r="F17" s="4" t="n"/>
      <c r="G17" s="4" t="n"/>
    </row>
    <row r="18" hidden="1" ht="40" customHeight="1" s="289">
      <c r="A18" s="11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dataValidations count="3">
    <dataValidation sqref="B2" showDropDown="0" showInputMessage="0" showErrorMessage="0" allowBlank="0" type="list">
      <formula1>"C0,C1,C2,C3,C4"</formula1>
      <formula2>0</formula2>
    </dataValidation>
    <dataValidation sqref="B3" showDropDown="0" showInputMessage="1" showErrorMessage="1" allowBlank="1" error="Informe uma data valida no formato dd/mm/aaaa." promptTitle="Data da posicao atual (opcional)" prompt="Data da fotografia da posicao ATUAL (dd/mm/aaaa). Opcional: se vazia, o Claus usa a ultima fotografia historica valida." type="date">
      <formula1>32874</formula1>
      <formula2>109574</formula2>
    </dataValidation>
    <dataValidation sqref="B1" showDropDown="0" showInputMessage="1" showErrorMessage="1" allowBlank="1" type="list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baseColWidth="8" defaultColWidth="8.54296875" defaultRowHeight="14.5"/>
  <cols>
    <col width="30" customWidth="1" style="2" min="1" max="1"/>
    <col width="10" customWidth="1" style="2" min="2" max="2"/>
    <col width="16" customWidth="1" style="2" min="3" max="3"/>
    <col width="16" customWidth="1" style="289" min="4" max="4"/>
    <col width="23" customWidth="1" style="2" min="5" max="5"/>
    <col width="20" customWidth="1" style="289" min="6" max="6"/>
    <col width="42.6328125" customWidth="1" style="2" min="7" max="7"/>
    <col width="25.6328125" customWidth="1" style="289" min="8" max="8"/>
    <col width="14" customWidth="1" style="2" min="9" max="9"/>
    <col width="9.6328125" customWidth="1" style="2" min="10" max="10"/>
    <col width="15.6328125" customWidth="1" style="2" min="11" max="11"/>
    <col width="8.6328125" customWidth="1" style="2" min="12" max="12"/>
    <col width="14.6328125" customWidth="1" style="2" min="13" max="15"/>
    <col width="16.6328125" customWidth="1" style="2" min="16" max="16"/>
    <col width="15.6328125" customWidth="1" style="2" min="17" max="17"/>
    <col width="60.6328125" customWidth="1" style="2" min="18" max="18"/>
    <col width="8.54296875" customWidth="1" style="2" min="19" max="19"/>
    <col hidden="1" style="2" min="20" max="20"/>
    <col width="8.54296875" customWidth="1" style="2" min="21" max="16384"/>
  </cols>
  <sheetData>
    <row r="1" ht="32" customHeight="1" s="289">
      <c r="A1" s="68" t="inlineStr">
        <is>
          <t>COMPUTAR_NESTA_APURACAO</t>
        </is>
      </c>
      <c r="B1" s="68" t="inlineStr">
        <is>
          <t>CICLO</t>
        </is>
      </c>
      <c r="C1" s="68" t="inlineStr">
        <is>
          <t>DATA_INICIO</t>
        </is>
      </c>
      <c r="D1" s="68" t="inlineStr">
        <is>
          <t>DATA_FIM</t>
        </is>
      </c>
      <c r="E1" s="68" t="inlineStr">
        <is>
          <t>PERCENTUAL_DO_CICLO</t>
        </is>
      </c>
      <c r="F1" s="68" t="inlineStr">
        <is>
          <t>FATOR_ACUMULADO</t>
        </is>
      </c>
      <c r="G1" s="68" t="inlineStr">
        <is>
          <t>SITUACAO</t>
        </is>
      </c>
      <c r="H1" s="68" t="inlineStr">
        <is>
          <t>INICIO_EFEITO_FINANCEIRO</t>
        </is>
      </c>
      <c r="J1" s="68" t="inlineStr">
        <is>
          <t>CICLO</t>
        </is>
      </c>
      <c r="K1" s="68" t="inlineStr">
        <is>
          <t>TIPO_REGISTRO</t>
        </is>
      </c>
      <c r="L1" s="68" t="inlineStr">
        <is>
          <t>ORDEM</t>
        </is>
      </c>
      <c r="M1" s="68" t="inlineStr">
        <is>
          <t>COMPETENCIA</t>
        </is>
      </c>
      <c r="N1" s="68" t="inlineStr">
        <is>
          <t>VALOR_INDICE</t>
        </is>
      </c>
      <c r="O1" s="68" t="inlineStr">
        <is>
          <t>FATOR_MENSAL</t>
        </is>
      </c>
      <c r="P1" s="68" t="inlineStr">
        <is>
          <t>FATOR_ACUMULADO</t>
        </is>
      </c>
      <c r="Q1" s="68" t="inlineStr">
        <is>
          <t>VARIACAO_FINAL</t>
        </is>
      </c>
      <c r="R1" s="68" t="inlineStr">
        <is>
          <t>METODO_FONTE</t>
        </is>
      </c>
    </row>
    <row r="2">
      <c r="A2" s="158" t="n"/>
      <c r="B2" s="158" t="inlineStr">
        <is>
          <t>C0</t>
        </is>
      </c>
      <c r="C2" s="323" t="n"/>
      <c r="D2" s="323" t="n"/>
      <c r="E2" s="160" t="n"/>
      <c r="F2" s="324">
        <f>1</f>
        <v/>
      </c>
      <c r="G2" s="158" t="n"/>
      <c r="H2" s="183" t="n"/>
      <c r="M2" s="186" t="n"/>
      <c r="N2" s="187" t="n"/>
      <c r="O2" s="188" t="n"/>
      <c r="P2" s="188" t="n"/>
      <c r="Q2" s="187" t="n"/>
      <c r="T2" s="2" t="inlineStr">
        <is>
          <t>Sim</t>
        </is>
      </c>
    </row>
    <row r="3">
      <c r="A3" s="161" t="n"/>
      <c r="B3" s="161" t="inlineStr">
        <is>
          <t>C1</t>
        </is>
      </c>
      <c r="C3" s="325" t="n"/>
      <c r="D3" s="325" t="n"/>
      <c r="E3" s="163" t="n"/>
      <c r="F3" s="324">
        <f>IF(E3="","",IF(NOT(ISNUMBER(E3)),"",IF(NOT(ISNUMBER(F2)),"",F2*(1+E3))))</f>
        <v/>
      </c>
      <c r="G3" s="161" t="n"/>
      <c r="H3" s="184" t="n"/>
      <c r="M3" s="186" t="n"/>
      <c r="N3" s="187" t="n"/>
      <c r="O3" s="188" t="n"/>
      <c r="P3" s="188" t="n"/>
      <c r="Q3" s="187" t="n"/>
      <c r="T3" s="2" t="inlineStr">
        <is>
          <t>Nao</t>
        </is>
      </c>
    </row>
    <row r="4">
      <c r="A4" s="161" t="n"/>
      <c r="B4" s="161" t="inlineStr">
        <is>
          <t>C2</t>
        </is>
      </c>
      <c r="C4" s="325" t="n"/>
      <c r="D4" s="325" t="n"/>
      <c r="E4" s="163" t="n"/>
      <c r="F4" s="324">
        <f>IF(E4="","",IF(NOT(ISNUMBER(E4)),"",IF(NOT(ISNUMBER(F3)),"",F3*(1+E4))))</f>
        <v/>
      </c>
      <c r="G4" s="161" t="n"/>
      <c r="H4" s="184" t="n"/>
      <c r="M4" s="186" t="n"/>
      <c r="N4" s="187" t="n"/>
      <c r="O4" s="188" t="n"/>
      <c r="P4" s="188" t="n"/>
      <c r="Q4" s="187" t="n"/>
      <c r="T4" s="2" t="inlineStr">
        <is>
          <t>N/A</t>
        </is>
      </c>
    </row>
    <row r="5">
      <c r="A5" s="214" t="n"/>
      <c r="B5" s="214" t="inlineStr">
        <is>
          <t>C3</t>
        </is>
      </c>
      <c r="C5" s="326" t="n"/>
      <c r="D5" s="326" t="n"/>
      <c r="E5" s="216" t="n"/>
      <c r="F5" s="327">
        <f>IF(E5="","",IF(NOT(ISNUMBER(E5)),"",IF(NOT(ISNUMBER(F4)),"",F4*(1+E5))))</f>
        <v/>
      </c>
      <c r="G5" s="214" t="n"/>
      <c r="H5" s="185" t="n"/>
      <c r="M5" s="186" t="n"/>
      <c r="N5" s="187" t="n"/>
      <c r="O5" s="188" t="n"/>
      <c r="P5" s="188" t="n"/>
      <c r="Q5" s="187" t="n"/>
    </row>
    <row r="6">
      <c r="A6" s="214" t="n"/>
      <c r="B6" s="214" t="inlineStr">
        <is>
          <t>C4</t>
        </is>
      </c>
      <c r="C6" s="326" t="n"/>
      <c r="D6" s="326" t="n"/>
      <c r="E6" s="216" t="n"/>
      <c r="F6" s="327">
        <f>IF(E6="","",IF(NOT(ISNUMBER(E6)),"",IF(NOT(ISNUMBER(F5)),"",F5*(1+E6))))</f>
        <v/>
      </c>
      <c r="G6" s="214" t="n"/>
      <c r="H6" s="185" t="n"/>
      <c r="M6" s="186" t="n"/>
      <c r="N6" s="187" t="n"/>
      <c r="O6" s="188" t="n"/>
      <c r="P6" s="188" t="n"/>
      <c r="Q6" s="187" t="n"/>
    </row>
    <row r="7">
      <c r="A7" s="14" t="n"/>
      <c r="B7" s="14" t="n"/>
      <c r="C7" s="15" t="n"/>
      <c r="D7" s="15" t="n"/>
      <c r="E7" s="14" t="n"/>
      <c r="F7" s="14" t="n"/>
      <c r="G7" s="14" t="n"/>
      <c r="M7" s="186" t="n"/>
      <c r="N7" s="187" t="n"/>
      <c r="O7" s="188" t="n"/>
      <c r="P7" s="188" t="n"/>
      <c r="Q7" s="187" t="n"/>
    </row>
    <row r="8">
      <c r="A8" s="14" t="n"/>
      <c r="B8" s="14" t="n"/>
      <c r="C8" s="15" t="n"/>
      <c r="D8" s="15" t="n"/>
      <c r="E8" s="14" t="n"/>
      <c r="F8" s="14" t="n"/>
      <c r="G8" s="14" t="n"/>
      <c r="M8" s="186" t="n"/>
      <c r="N8" s="187" t="n"/>
      <c r="O8" s="188" t="n"/>
      <c r="P8" s="188" t="n"/>
      <c r="Q8" s="187" t="n"/>
    </row>
    <row r="9">
      <c r="A9" s="274" t="inlineStr">
        <is>
          <t>MEMORIA DO FATOR APLICAVEL A APURACAO</t>
        </is>
      </c>
      <c r="B9" s="275" t="n"/>
      <c r="C9" s="275" t="n"/>
      <c r="D9" s="275" t="n"/>
      <c r="E9" s="275" t="n"/>
      <c r="F9" s="276" t="n"/>
      <c r="G9" s="14" t="n"/>
      <c r="M9" s="186" t="n"/>
      <c r="N9" s="187" t="n"/>
      <c r="O9" s="188" t="n"/>
      <c r="P9" s="188" t="n"/>
      <c r="Q9" s="187" t="n"/>
    </row>
    <row r="10" ht="26" customHeight="1" s="289">
      <c r="A10" s="68" t="inlineStr">
        <is>
          <t>CICLO</t>
        </is>
      </c>
      <c r="B10" s="68" t="inlineStr">
        <is>
          <t>COMPUTA?</t>
        </is>
      </c>
      <c r="C10" s="70" t="inlineStr">
        <is>
          <t>PERCENTUAL</t>
        </is>
      </c>
      <c r="D10" s="70" t="inlineStr">
        <is>
          <t>FATOR</t>
        </is>
      </c>
      <c r="E10" s="68" t="inlineStr">
        <is>
          <t>FATOR_ACUMULADO_APURACAO</t>
        </is>
      </c>
      <c r="F10" s="68" t="inlineStr">
        <is>
          <t>STATUS</t>
        </is>
      </c>
      <c r="G10" s="68" t="inlineStr">
        <is>
          <t>REAJUSTE ANTERIOR JA FORMALIZADO? (Sim/Nao; vazio=nao comprovado)</t>
        </is>
      </c>
      <c r="M10" s="186" t="n"/>
      <c r="N10" s="187" t="n"/>
      <c r="O10" s="188" t="n"/>
      <c r="P10" s="188" t="n"/>
      <c r="Q10" s="187" t="n"/>
    </row>
    <row r="11">
      <c r="A11" s="71" t="inlineStr">
        <is>
          <t>C0</t>
        </is>
      </c>
      <c r="B11" s="71">
        <f>A2</f>
        <v/>
      </c>
      <c r="C11" s="72">
        <f>IF(B11="Sim",E2,"")</f>
        <v/>
      </c>
      <c r="D11" s="328">
        <f>1</f>
        <v/>
      </c>
      <c r="E11" s="328">
        <f>1</f>
        <v/>
      </c>
      <c r="F11" s="71" t="inlineStr">
        <is>
          <t>Base</t>
        </is>
      </c>
      <c r="G11" s="14" t="n"/>
      <c r="M11" s="186" t="n"/>
      <c r="N11" s="187" t="n"/>
      <c r="O11" s="188" t="n"/>
      <c r="P11" s="188" t="n"/>
      <c r="Q11" s="187" t="n"/>
    </row>
    <row r="12">
      <c r="A12" s="74" t="inlineStr">
        <is>
          <t>C1</t>
        </is>
      </c>
      <c r="B12" s="74">
        <f>A3</f>
        <v/>
      </c>
      <c r="C12" s="75">
        <f>IF(B12="Sim",E3,"")</f>
        <v/>
      </c>
      <c r="D12" s="329">
        <f>IF(C12="","",1+C12)</f>
        <v/>
      </c>
      <c r="E12" s="329">
        <f>IF(B12="Sim",E11*D12,E11)</f>
        <v/>
      </c>
      <c r="F12" s="74">
        <f>IF(B12="Sim","Aplicado","Fora da apuracao")</f>
        <v/>
      </c>
      <c r="G12" s="14" t="n"/>
      <c r="M12" s="186" t="n"/>
      <c r="N12" s="187" t="n"/>
      <c r="O12" s="188" t="n"/>
      <c r="P12" s="188" t="n"/>
      <c r="Q12" s="187" t="n"/>
    </row>
    <row r="13">
      <c r="A13" s="74" t="inlineStr">
        <is>
          <t>C2</t>
        </is>
      </c>
      <c r="B13" s="74">
        <f>A4</f>
        <v/>
      </c>
      <c r="C13" s="75">
        <f>IF(B13="Sim",E4,"")</f>
        <v/>
      </c>
      <c r="D13" s="329">
        <f>IF(C13="","",1+C13)</f>
        <v/>
      </c>
      <c r="E13" s="329">
        <f>IF(B13="Sim",E12*D13,E12)</f>
        <v/>
      </c>
      <c r="F13" s="74">
        <f>IF(B13="Sim","Aplicado","Fora da apuracao")</f>
        <v/>
      </c>
      <c r="G13" s="14" t="n"/>
      <c r="M13" s="186" t="n"/>
      <c r="N13" s="187" t="n"/>
      <c r="O13" s="188" t="n"/>
      <c r="P13" s="188" t="n"/>
      <c r="Q13" s="187" t="n"/>
    </row>
    <row r="14">
      <c r="A14" s="74" t="inlineStr">
        <is>
          <t>C3</t>
        </is>
      </c>
      <c r="B14" s="74">
        <f>A5</f>
        <v/>
      </c>
      <c r="C14" s="75">
        <f>IF(B14="Sim",E5,"")</f>
        <v/>
      </c>
      <c r="D14" s="329">
        <f>IF(C14="","",1+C14)</f>
        <v/>
      </c>
      <c r="E14" s="329">
        <f>IF(B14="Sim",E13*D14,E13)</f>
        <v/>
      </c>
      <c r="F14" s="74">
        <f>IF(B14="Sim","Aplicado","Fora da apuracao")</f>
        <v/>
      </c>
      <c r="G14" s="14" t="n"/>
      <c r="M14" s="186" t="n"/>
      <c r="N14" s="187" t="n"/>
      <c r="O14" s="188" t="n"/>
      <c r="P14" s="188" t="n"/>
      <c r="Q14" s="187" t="n"/>
    </row>
    <row r="15">
      <c r="A15" s="74" t="inlineStr">
        <is>
          <t>C4</t>
        </is>
      </c>
      <c r="B15" s="74">
        <f>A6</f>
        <v/>
      </c>
      <c r="C15" s="75">
        <f>IF(B15="Sim",E6,"")</f>
        <v/>
      </c>
      <c r="D15" s="329">
        <f>IF(C15="","",1+C15)</f>
        <v/>
      </c>
      <c r="E15" s="329">
        <f>IF(B15="Sim",E14*D15,E14)</f>
        <v/>
      </c>
      <c r="F15" s="74">
        <f>IF(B15="Sim","Aplicado","Fora da apuracao")</f>
        <v/>
      </c>
      <c r="G15" s="14" t="n"/>
      <c r="M15" s="186" t="n"/>
      <c r="N15" s="187" t="n"/>
      <c r="O15" s="188" t="n"/>
      <c r="P15" s="188" t="n"/>
      <c r="Q15" s="187" t="n"/>
    </row>
    <row r="16">
      <c r="A16" s="77" t="inlineStr">
        <is>
          <t>TOTAL APURACAO</t>
        </is>
      </c>
      <c r="B16" s="78" t="n"/>
      <c r="C16" s="79" t="n"/>
      <c r="D16" s="330">
        <f>E15</f>
        <v/>
      </c>
      <c r="E16" s="330">
        <f>E15</f>
        <v/>
      </c>
      <c r="F16" s="154">
        <f>E16-1</f>
        <v/>
      </c>
      <c r="G16" s="14" t="n"/>
      <c r="M16" s="186" t="n"/>
      <c r="N16" s="187" t="n"/>
      <c r="O16" s="188" t="n"/>
      <c r="P16" s="188" t="n"/>
      <c r="Q16" s="187" t="n"/>
    </row>
    <row r="17">
      <c r="A17" s="14" t="n"/>
      <c r="B17" s="14" t="n"/>
      <c r="C17" s="15" t="n"/>
      <c r="D17" s="15" t="n"/>
      <c r="E17" s="331" t="n"/>
      <c r="F17" s="331" t="n"/>
      <c r="G17" s="14" t="n"/>
      <c r="M17" s="186" t="n"/>
      <c r="N17" s="187" t="n"/>
      <c r="O17" s="188" t="n"/>
      <c r="P17" s="188" t="n"/>
      <c r="Q17" s="187" t="n"/>
    </row>
    <row r="18">
      <c r="A18" s="14" t="n"/>
      <c r="B18" s="14" t="n"/>
      <c r="C18" s="15" t="n"/>
      <c r="D18" s="15" t="n"/>
      <c r="E18" s="331" t="n"/>
      <c r="F18" s="331" t="n"/>
      <c r="G18" s="14" t="n"/>
      <c r="M18" s="186" t="n"/>
      <c r="N18" s="187" t="n"/>
      <c r="O18" s="188" t="n"/>
      <c r="P18" s="188" t="n"/>
      <c r="Q18" s="187" t="n"/>
    </row>
    <row r="19">
      <c r="A19" s="14" t="n"/>
      <c r="B19" s="14" t="n"/>
      <c r="C19" s="15" t="n"/>
      <c r="D19" s="15" t="n"/>
      <c r="E19" s="331" t="n"/>
      <c r="F19" s="331" t="n"/>
      <c r="G19" s="14" t="n"/>
      <c r="M19" s="186" t="n"/>
      <c r="N19" s="187" t="n"/>
      <c r="O19" s="188" t="n"/>
      <c r="P19" s="188" t="n"/>
      <c r="Q19" s="187" t="n"/>
    </row>
    <row r="20">
      <c r="A20" s="14" t="n"/>
      <c r="B20" s="14" t="n"/>
      <c r="C20" s="15" t="n"/>
      <c r="D20" s="15" t="n"/>
      <c r="E20" s="331" t="n"/>
      <c r="F20" s="331" t="n"/>
      <c r="G20" s="14" t="n"/>
      <c r="M20" s="186" t="n"/>
      <c r="N20" s="187" t="n"/>
      <c r="O20" s="188" t="n"/>
      <c r="P20" s="188" t="n"/>
      <c r="Q20" s="187" t="n"/>
    </row>
    <row r="21">
      <c r="M21" s="186" t="n"/>
      <c r="N21" s="187" t="n"/>
      <c r="O21" s="188" t="n"/>
      <c r="P21" s="188" t="n"/>
      <c r="Q21" s="187" t="n"/>
    </row>
    <row r="22">
      <c r="M22" s="186" t="n"/>
      <c r="N22" s="187" t="n"/>
      <c r="O22" s="188" t="n"/>
      <c r="P22" s="188" t="n"/>
      <c r="Q22" s="187" t="n"/>
    </row>
    <row r="23">
      <c r="M23" s="186" t="n"/>
      <c r="N23" s="187" t="n"/>
      <c r="O23" s="188" t="n"/>
      <c r="P23" s="188" t="n"/>
      <c r="Q23" s="187" t="n"/>
    </row>
    <row r="24">
      <c r="M24" s="186" t="n"/>
      <c r="N24" s="187" t="n"/>
      <c r="O24" s="188" t="n"/>
      <c r="P24" s="188" t="n"/>
      <c r="Q24" s="187" t="n"/>
    </row>
    <row r="25">
      <c r="M25" s="186" t="n"/>
      <c r="N25" s="187" t="n"/>
      <c r="O25" s="188" t="n"/>
      <c r="P25" s="188" t="n"/>
      <c r="Q25" s="187" t="n"/>
    </row>
    <row r="26">
      <c r="M26" s="186" t="n"/>
      <c r="N26" s="187" t="n"/>
      <c r="O26" s="188" t="n"/>
      <c r="P26" s="188" t="n"/>
      <c r="Q26" s="187" t="n"/>
    </row>
    <row r="27">
      <c r="M27" s="186" t="n"/>
      <c r="N27" s="187" t="n"/>
      <c r="O27" s="188" t="n"/>
      <c r="P27" s="188" t="n"/>
      <c r="Q27" s="187" t="n"/>
    </row>
    <row r="28">
      <c r="M28" s="186" t="n"/>
      <c r="N28" s="187" t="n"/>
      <c r="O28" s="188" t="n"/>
      <c r="P28" s="188" t="n"/>
      <c r="Q28" s="187" t="n"/>
    </row>
    <row r="29">
      <c r="M29" s="186" t="n"/>
      <c r="N29" s="187" t="n"/>
      <c r="O29" s="188" t="n"/>
      <c r="P29" s="188" t="n"/>
      <c r="Q29" s="187" t="n"/>
    </row>
    <row r="30">
      <c r="M30" s="186" t="n"/>
      <c r="N30" s="187" t="n"/>
      <c r="O30" s="188" t="n"/>
      <c r="P30" s="188" t="n"/>
      <c r="Q30" s="187" t="n"/>
    </row>
    <row r="31">
      <c r="M31" s="186" t="n"/>
      <c r="N31" s="187" t="n"/>
      <c r="O31" s="188" t="n"/>
      <c r="P31" s="188" t="n"/>
      <c r="Q31" s="187" t="n"/>
    </row>
    <row r="32">
      <c r="M32" s="186" t="n"/>
      <c r="N32" s="187" t="n"/>
      <c r="O32" s="188" t="n"/>
      <c r="P32" s="188" t="n"/>
      <c r="Q32" s="187" t="n"/>
    </row>
    <row r="33">
      <c r="M33" s="186" t="n"/>
      <c r="N33" s="187" t="n"/>
      <c r="O33" s="188" t="n"/>
      <c r="P33" s="188" t="n"/>
      <c r="Q33" s="187" t="n"/>
    </row>
    <row r="34">
      <c r="M34" s="186" t="n"/>
      <c r="N34" s="187" t="n"/>
      <c r="O34" s="188" t="n"/>
      <c r="P34" s="188" t="n"/>
      <c r="Q34" s="187" t="n"/>
    </row>
    <row r="35">
      <c r="M35" s="186" t="n"/>
      <c r="N35" s="187" t="n"/>
      <c r="O35" s="188" t="n"/>
      <c r="P35" s="188" t="n"/>
      <c r="Q35" s="187" t="n"/>
    </row>
    <row r="36">
      <c r="M36" s="186" t="n"/>
      <c r="N36" s="187" t="n"/>
      <c r="O36" s="188" t="n"/>
      <c r="P36" s="188" t="n"/>
      <c r="Q36" s="187" t="n"/>
    </row>
    <row r="37">
      <c r="M37" s="186" t="n"/>
      <c r="N37" s="187" t="n"/>
      <c r="O37" s="188" t="n"/>
      <c r="P37" s="188" t="n"/>
      <c r="Q37" s="187" t="n"/>
    </row>
    <row r="38">
      <c r="M38" s="186" t="n"/>
      <c r="N38" s="187" t="n"/>
      <c r="O38" s="188" t="n"/>
      <c r="P38" s="188" t="n"/>
      <c r="Q38" s="187" t="n"/>
    </row>
    <row r="39">
      <c r="M39" s="186" t="n"/>
      <c r="N39" s="187" t="n"/>
      <c r="O39" s="188" t="n"/>
      <c r="P39" s="188" t="n"/>
      <c r="Q39" s="187" t="n"/>
    </row>
    <row r="40">
      <c r="M40" s="186" t="n"/>
      <c r="N40" s="187" t="n"/>
      <c r="O40" s="188" t="n"/>
      <c r="P40" s="188" t="n"/>
      <c r="Q40" s="187" t="n"/>
    </row>
    <row r="41">
      <c r="M41" s="186" t="n"/>
      <c r="N41" s="187" t="n"/>
      <c r="O41" s="188" t="n"/>
      <c r="P41" s="188" t="n"/>
      <c r="Q41" s="187" t="n"/>
    </row>
    <row r="42">
      <c r="M42" s="186" t="n"/>
      <c r="N42" s="187" t="n"/>
      <c r="O42" s="188" t="n"/>
      <c r="P42" s="188" t="n"/>
      <c r="Q42" s="187" t="n"/>
    </row>
    <row r="43">
      <c r="M43" s="186" t="n"/>
      <c r="N43" s="187" t="n"/>
      <c r="O43" s="188" t="n"/>
      <c r="P43" s="188" t="n"/>
      <c r="Q43" s="187" t="n"/>
    </row>
    <row r="44">
      <c r="M44" s="186" t="n"/>
      <c r="N44" s="187" t="n"/>
      <c r="O44" s="188" t="n"/>
      <c r="P44" s="188" t="n"/>
      <c r="Q44" s="187" t="n"/>
    </row>
    <row r="45">
      <c r="M45" s="186" t="n"/>
      <c r="N45" s="187" t="n"/>
      <c r="O45" s="188" t="n"/>
      <c r="P45" s="188" t="n"/>
      <c r="Q45" s="187" t="n"/>
    </row>
    <row r="46">
      <c r="M46" s="186" t="n"/>
      <c r="N46" s="187" t="n"/>
      <c r="O46" s="188" t="n"/>
      <c r="P46" s="188" t="n"/>
      <c r="Q46" s="187" t="n"/>
    </row>
    <row r="47">
      <c r="M47" s="186" t="n"/>
      <c r="N47" s="187" t="n"/>
      <c r="O47" s="188" t="n"/>
      <c r="P47" s="188" t="n"/>
      <c r="Q47" s="187" t="n"/>
    </row>
    <row r="48">
      <c r="M48" s="186" t="n"/>
      <c r="N48" s="187" t="n"/>
      <c r="O48" s="188" t="n"/>
      <c r="P48" s="188" t="n"/>
      <c r="Q48" s="187" t="n"/>
    </row>
    <row r="49">
      <c r="M49" s="186" t="n"/>
      <c r="N49" s="187" t="n"/>
      <c r="O49" s="188" t="n"/>
      <c r="P49" s="188" t="n"/>
      <c r="Q49" s="187" t="n"/>
    </row>
    <row r="50">
      <c r="M50" s="186" t="n"/>
      <c r="N50" s="187" t="n"/>
      <c r="O50" s="188" t="n"/>
      <c r="P50" s="188" t="n"/>
      <c r="Q50" s="187" t="n"/>
    </row>
    <row r="51">
      <c r="M51" s="186" t="n"/>
      <c r="N51" s="187" t="n"/>
      <c r="O51" s="188" t="n"/>
      <c r="P51" s="188" t="n"/>
      <c r="Q51" s="187" t="n"/>
    </row>
    <row r="52">
      <c r="M52" s="186" t="n"/>
      <c r="N52" s="187" t="n"/>
      <c r="O52" s="188" t="n"/>
      <c r="P52" s="188" t="n"/>
      <c r="Q52" s="187" t="n"/>
    </row>
    <row r="53">
      <c r="M53" s="186" t="n"/>
      <c r="N53" s="187" t="n"/>
      <c r="O53" s="188" t="n"/>
      <c r="P53" s="188" t="n"/>
      <c r="Q53" s="187" t="n"/>
    </row>
    <row r="54">
      <c r="M54" s="186" t="n"/>
      <c r="N54" s="187" t="n"/>
      <c r="O54" s="188" t="n"/>
      <c r="P54" s="188" t="n"/>
      <c r="Q54" s="187" t="n"/>
    </row>
    <row r="55">
      <c r="M55" s="186" t="n"/>
      <c r="N55" s="187" t="n"/>
      <c r="O55" s="188" t="n"/>
      <c r="P55" s="188" t="n"/>
      <c r="Q55" s="187" t="n"/>
    </row>
    <row r="56">
      <c r="M56" s="186" t="n"/>
      <c r="N56" s="187" t="n"/>
      <c r="O56" s="188" t="n"/>
      <c r="P56" s="188" t="n"/>
      <c r="Q56" s="187" t="n"/>
    </row>
    <row r="57">
      <c r="M57" s="186" t="n"/>
      <c r="N57" s="187" t="n"/>
      <c r="O57" s="188" t="n"/>
      <c r="P57" s="188" t="n"/>
      <c r="Q57" s="187" t="n"/>
    </row>
    <row r="58">
      <c r="M58" s="186" t="n"/>
      <c r="N58" s="187" t="n"/>
      <c r="O58" s="188" t="n"/>
      <c r="P58" s="188" t="n"/>
      <c r="Q58" s="187" t="n"/>
    </row>
    <row r="59">
      <c r="M59" s="186" t="n"/>
      <c r="N59" s="187" t="n"/>
      <c r="O59" s="188" t="n"/>
      <c r="P59" s="188" t="n"/>
      <c r="Q59" s="187" t="n"/>
    </row>
    <row r="60">
      <c r="M60" s="186" t="n"/>
      <c r="N60" s="187" t="n"/>
      <c r="O60" s="188" t="n"/>
      <c r="P60" s="188" t="n"/>
      <c r="Q60" s="187" t="n"/>
    </row>
    <row r="61">
      <c r="M61" s="186" t="n"/>
      <c r="N61" s="187" t="n"/>
      <c r="O61" s="188" t="n"/>
      <c r="P61" s="188" t="n"/>
      <c r="Q61" s="187" t="n"/>
    </row>
    <row r="62">
      <c r="M62" s="186" t="n"/>
      <c r="N62" s="187" t="n"/>
      <c r="O62" s="188" t="n"/>
      <c r="P62" s="188" t="n"/>
      <c r="Q62" s="187" t="n"/>
    </row>
    <row r="63">
      <c r="M63" s="186" t="n"/>
      <c r="N63" s="187" t="n"/>
      <c r="O63" s="188" t="n"/>
      <c r="P63" s="188" t="n"/>
      <c r="Q63" s="187" t="n"/>
    </row>
    <row r="64">
      <c r="M64" s="186" t="n"/>
      <c r="N64" s="187" t="n"/>
      <c r="O64" s="188" t="n"/>
      <c r="P64" s="188" t="n"/>
      <c r="Q64" s="187" t="n"/>
    </row>
    <row r="65">
      <c r="M65" s="186" t="n"/>
      <c r="N65" s="187" t="n"/>
      <c r="O65" s="188" t="n"/>
      <c r="P65" s="188" t="n"/>
      <c r="Q65" s="187" t="n"/>
    </row>
    <row r="66">
      <c r="M66" s="186" t="n"/>
      <c r="N66" s="187" t="n"/>
      <c r="O66" s="188" t="n"/>
      <c r="P66" s="188" t="n"/>
      <c r="Q66" s="187" t="n"/>
    </row>
    <row r="67">
      <c r="M67" s="186" t="n"/>
      <c r="N67" s="187" t="n"/>
      <c r="O67" s="188" t="n"/>
      <c r="P67" s="188" t="n"/>
      <c r="Q67" s="187" t="n"/>
    </row>
    <row r="68">
      <c r="M68" s="186" t="n"/>
      <c r="N68" s="187" t="n"/>
      <c r="O68" s="188" t="n"/>
      <c r="P68" s="188" t="n"/>
      <c r="Q68" s="187" t="n"/>
    </row>
    <row r="69">
      <c r="M69" s="186" t="n"/>
      <c r="N69" s="187" t="n"/>
      <c r="O69" s="188" t="n"/>
      <c r="P69" s="188" t="n"/>
      <c r="Q69" s="187" t="n"/>
    </row>
    <row r="70">
      <c r="M70" s="186" t="n"/>
      <c r="N70" s="187" t="n"/>
      <c r="O70" s="188" t="n"/>
      <c r="P70" s="188" t="n"/>
      <c r="Q70" s="187" t="n"/>
    </row>
    <row r="71">
      <c r="M71" s="186" t="n"/>
      <c r="N71" s="187" t="n"/>
      <c r="O71" s="188" t="n"/>
      <c r="P71" s="188" t="n"/>
      <c r="Q71" s="187" t="n"/>
    </row>
    <row r="72">
      <c r="M72" s="186" t="n"/>
      <c r="N72" s="187" t="n"/>
      <c r="O72" s="188" t="n"/>
      <c r="P72" s="188" t="n"/>
      <c r="Q72" s="187" t="n"/>
    </row>
    <row r="73">
      <c r="M73" s="186" t="n"/>
      <c r="N73" s="187" t="n"/>
      <c r="O73" s="188" t="n"/>
      <c r="P73" s="188" t="n"/>
      <c r="Q73" s="187" t="n"/>
    </row>
    <row r="74">
      <c r="M74" s="186" t="n"/>
      <c r="N74" s="187" t="n"/>
      <c r="O74" s="188" t="n"/>
      <c r="P74" s="188" t="n"/>
      <c r="Q74" s="187" t="n"/>
    </row>
    <row r="75">
      <c r="M75" s="186" t="n"/>
      <c r="N75" s="187" t="n"/>
      <c r="O75" s="188" t="n"/>
      <c r="P75" s="188" t="n"/>
      <c r="Q75" s="187" t="n"/>
    </row>
    <row r="76">
      <c r="M76" s="186" t="n"/>
      <c r="N76" s="187" t="n"/>
      <c r="O76" s="188" t="n"/>
      <c r="P76" s="188" t="n"/>
      <c r="Q76" s="187" t="n"/>
    </row>
    <row r="77">
      <c r="M77" s="186" t="n"/>
      <c r="N77" s="187" t="n"/>
      <c r="O77" s="188" t="n"/>
      <c r="P77" s="188" t="n"/>
      <c r="Q77" s="187" t="n"/>
    </row>
    <row r="78">
      <c r="M78" s="186" t="n"/>
      <c r="N78" s="187" t="n"/>
      <c r="O78" s="188" t="n"/>
      <c r="P78" s="188" t="n"/>
      <c r="Q78" s="187" t="n"/>
    </row>
    <row r="79">
      <c r="M79" s="186" t="n"/>
      <c r="N79" s="187" t="n"/>
      <c r="O79" s="188" t="n"/>
      <c r="P79" s="188" t="n"/>
      <c r="Q79" s="187" t="n"/>
    </row>
    <row r="80">
      <c r="M80" s="186" t="n"/>
      <c r="N80" s="187" t="n"/>
      <c r="O80" s="188" t="n"/>
      <c r="P80" s="188" t="n"/>
      <c r="Q80" s="187" t="n"/>
    </row>
  </sheetData>
  <mergeCells count="1">
    <mergeCell ref="A9:F9"/>
  </mergeCells>
  <conditionalFormatting sqref="E3:E6">
    <cfRule type="expression" priority="1" dxfId="35">
      <formula>AND($A3="Nao",$C3&lt;&gt;"",$E3="")</formula>
    </cfRule>
  </conditionalFormatting>
  <dataValidations count="3">
    <dataValidation sqref="A2:A6" showDropDown="0" showInputMessage="0" showErrorMessage="0" allowBlank="0" type="list">
      <formula1>"Sim,Nao"</formula1>
    </dataValidation>
    <dataValidation sqref="G13:G15" showDropDown="0" showInputMessage="1" showErrorMessage="1" allowBlank="1" error="Selecione Sim ou Nao (ou deixe vazio se ainda nao comprovado)." type="list">
      <formula1>OPCOES_SIM_NAO</formula1>
    </dataValidation>
    <dataValidation sqref="G12" showDropDown="0" showInputMessage="1" showErrorMessage="1" allowBlank="1" type="list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selection activeCell="C14" sqref="C14:C33"/>
    </sheetView>
  </sheetViews>
  <sheetFormatPr baseColWidth="8" defaultColWidth="8.54296875" defaultRowHeight="14.5"/>
  <cols>
    <col width="16" customWidth="1" style="289" min="1" max="1"/>
    <col width="14" customWidth="1" style="289" min="2" max="2"/>
    <col width="18" customWidth="1" style="289" min="3" max="3"/>
    <col width="17" customWidth="1" style="289" min="4" max="4"/>
    <col width="19" customWidth="1" style="289" min="5" max="5"/>
    <col width="18" customWidth="1" style="289" min="6" max="6"/>
    <col width="19" customWidth="1" style="289" min="7" max="7"/>
    <col width="12.7265625" customWidth="1" style="289" min="13" max="13"/>
  </cols>
  <sheetData>
    <row r="1" ht="32" customHeight="1" s="289">
      <c r="A1" s="279" t="inlineStr">
        <is>
          <t>COMPETENCIA</t>
        </is>
      </c>
      <c r="B1" s="279" t="inlineStr">
        <is>
          <t>CICLO</t>
        </is>
      </c>
      <c r="C1" s="279" t="inlineStr">
        <is>
          <t>VALOR_PAGO</t>
        </is>
      </c>
      <c r="D1" s="279" t="inlineStr">
        <is>
          <t>FATOR_APLICAVEL</t>
        </is>
      </c>
      <c r="E1" s="279" t="inlineStr">
        <is>
          <t>VALOR_ATUALIZADO</t>
        </is>
      </c>
      <c r="F1" s="279" t="inlineStr">
        <is>
          <t>DELTA</t>
        </is>
      </c>
      <c r="G1" s="279" t="inlineStr">
        <is>
          <t>EFEITO_FINANCEIRO</t>
        </is>
      </c>
    </row>
    <row r="2">
      <c r="A2" s="332" t="n"/>
      <c r="B2" s="332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333" t="n"/>
      <c r="D2" s="334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335">
        <f>IF(C2="","",IF(G2="","",IF(G2="Sim",IF(NOT(ISNUMBER(D2)),"",ROUND(C2*D2,2)),C2)))</f>
        <v/>
      </c>
      <c r="F2" s="335">
        <f>IF(C2="","",IF(G2="","",IF(G2="Sim",IF(E2="","",ROUND(E2-C2,2)),0)))</f>
        <v/>
      </c>
      <c r="G2" s="104" t="n"/>
    </row>
    <row r="3">
      <c r="A3" s="332" t="n"/>
      <c r="B3" s="332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333" t="n"/>
      <c r="D3" s="334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335">
        <f>IF(C3="","",IF(G3="","",IF(G3="Sim",IF(NOT(ISNUMBER(D3)),"",ROUND(C3*D3,2)),C3)))</f>
        <v/>
      </c>
      <c r="F3" s="335">
        <f>IF(C3="","",IF(G3="","",IF(G3="Sim",IF(E3="","",ROUND(E3-C3,2)),0)))</f>
        <v/>
      </c>
      <c r="G3" s="104" t="n"/>
    </row>
    <row r="4">
      <c r="A4" s="332" t="n"/>
      <c r="B4" s="332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333" t="n"/>
      <c r="D4" s="334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335">
        <f>IF(C4="","",IF(G4="","",IF(G4="Sim",IF(NOT(ISNUMBER(D4)),"",ROUND(C4*D4,2)),C4)))</f>
        <v/>
      </c>
      <c r="F4" s="335">
        <f>IF(C4="","",IF(G4="","",IF(G4="Sim",IF(E4="","",ROUND(E4-C4,2)),0)))</f>
        <v/>
      </c>
      <c r="G4" s="104" t="n"/>
    </row>
    <row r="5">
      <c r="A5" s="332" t="n"/>
      <c r="B5" s="332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333" t="n"/>
      <c r="D5" s="334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335">
        <f>IF(C5="","",IF(G5="","",IF(G5="Sim",IF(NOT(ISNUMBER(D5)),"",ROUND(C5*D5,2)),C5)))</f>
        <v/>
      </c>
      <c r="F5" s="335">
        <f>IF(C5="","",IF(G5="","",IF(G5="Sim",IF(E5="","",ROUND(E5-C5,2)),0)))</f>
        <v/>
      </c>
      <c r="G5" s="104" t="n"/>
    </row>
    <row r="6">
      <c r="A6" s="332" t="n"/>
      <c r="B6" s="332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333" t="n"/>
      <c r="D6" s="334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335">
        <f>IF(C6="","",IF(G6="","",IF(G6="Sim",IF(NOT(ISNUMBER(D6)),"",ROUND(C6*D6,2)),C6)))</f>
        <v/>
      </c>
      <c r="F6" s="335">
        <f>IF(C6="","",IF(G6="","",IF(G6="Sim",IF(E6="","",ROUND(E6-C6,2)),0)))</f>
        <v/>
      </c>
      <c r="G6" s="104" t="n"/>
    </row>
    <row r="7">
      <c r="A7" s="332" t="n"/>
      <c r="B7" s="332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333" t="n"/>
      <c r="D7" s="334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335">
        <f>IF(C7="","",IF(G7="","",IF(G7="Sim",IF(NOT(ISNUMBER(D7)),"",ROUND(C7*D7,2)),C7)))</f>
        <v/>
      </c>
      <c r="F7" s="335">
        <f>IF(C7="","",IF(G7="","",IF(G7="Sim",IF(E7="","",ROUND(E7-C7,2)),0)))</f>
        <v/>
      </c>
      <c r="G7" s="104" t="n"/>
    </row>
    <row r="8">
      <c r="A8" s="332" t="n"/>
      <c r="B8" s="332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333" t="n"/>
      <c r="D8" s="334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335">
        <f>IF(C8="","",IF(G8="","",IF(G8="Sim",IF(NOT(ISNUMBER(D8)),"",ROUND(C8*D8,2)),C8)))</f>
        <v/>
      </c>
      <c r="F8" s="335">
        <f>IF(C8="","",IF(G8="","",IF(G8="Sim",IF(E8="","",ROUND(E8-C8,2)),0)))</f>
        <v/>
      </c>
      <c r="G8" s="104" t="n"/>
    </row>
    <row r="9">
      <c r="A9" s="332" t="n"/>
      <c r="B9" s="332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333" t="n"/>
      <c r="D9" s="334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335">
        <f>IF(C9="","",IF(G9="","",IF(G9="Sim",IF(NOT(ISNUMBER(D9)),"",ROUND(C9*D9,2)),C9)))</f>
        <v/>
      </c>
      <c r="F9" s="335">
        <f>IF(C9="","",IF(G9="","",IF(G9="Sim",IF(E9="","",ROUND(E9-C9,2)),0)))</f>
        <v/>
      </c>
      <c r="G9" s="104" t="n"/>
    </row>
    <row r="10">
      <c r="A10" s="332" t="n"/>
      <c r="B10" s="332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333" t="n"/>
      <c r="D10" s="334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335">
        <f>IF(C10="","",IF(G10="","",IF(G10="Sim",IF(NOT(ISNUMBER(D10)),"",ROUND(C10*D10,2)),C10)))</f>
        <v/>
      </c>
      <c r="F10" s="335">
        <f>IF(C10="","",IF(G10="","",IF(G10="Sim",IF(E10="","",ROUND(E10-C10,2)),0)))</f>
        <v/>
      </c>
      <c r="G10" s="104" t="n"/>
    </row>
    <row r="11">
      <c r="A11" s="332" t="n"/>
      <c r="B11" s="332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333" t="n"/>
      <c r="D11" s="334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335">
        <f>IF(C11="","",IF(G11="","",IF(G11="Sim",IF(NOT(ISNUMBER(D11)),"",ROUND(C11*D11,2)),C11)))</f>
        <v/>
      </c>
      <c r="F11" s="335">
        <f>IF(C11="","",IF(G11="","",IF(G11="Sim",IF(E11="","",ROUND(E11-C11,2)),0)))</f>
        <v/>
      </c>
      <c r="G11" s="104" t="n"/>
    </row>
    <row r="12">
      <c r="A12" s="332" t="n"/>
      <c r="B12" s="332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333" t="n"/>
      <c r="D12" s="334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335">
        <f>IF(C12="","",IF(G12="","",IF(G12="Sim",IF(NOT(ISNUMBER(D12)),"",ROUND(C12*D12,2)),C12)))</f>
        <v/>
      </c>
      <c r="F12" s="335">
        <f>IF(C12="","",IF(G12="","",IF(G12="Sim",IF(E12="","",ROUND(E12-C12,2)),0)))</f>
        <v/>
      </c>
      <c r="G12" s="104" t="n"/>
    </row>
    <row r="13">
      <c r="A13" s="332" t="n"/>
      <c r="B13" s="332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333" t="n"/>
      <c r="D13" s="334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335">
        <f>IF(C13="","",IF(G13="","",IF(G13="Sim",IF(NOT(ISNUMBER(D13)),"",ROUND(C13*D13,2)),C13)))</f>
        <v/>
      </c>
      <c r="F13" s="335">
        <f>IF(C13="","",IF(G13="","",IF(G13="Sim",IF(E13="","",ROUND(E13-C13,2)),0)))</f>
        <v/>
      </c>
      <c r="G13" s="104" t="n"/>
    </row>
    <row r="14">
      <c r="A14" s="336" t="n"/>
      <c r="B14" s="332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333" t="n"/>
      <c r="D14" s="334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335">
        <f>IF(C14="","",IF(G14="","",IF(G14="Sim",IF(NOT(ISNUMBER(D14)),"",ROUND(C14*D14,2)),C14)))</f>
        <v/>
      </c>
      <c r="F14" s="335">
        <f>IF(C14="","",IF(G14="","",IF(G14="Sim",IF(E14="","",ROUND(E14-C14,2)),0)))</f>
        <v/>
      </c>
      <c r="G14" s="165" t="n"/>
    </row>
    <row r="15">
      <c r="A15" s="336" t="n"/>
      <c r="B15" s="332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333" t="n"/>
      <c r="D15" s="334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335">
        <f>IF(C15="","",IF(G15="","",IF(G15="Sim",IF(NOT(ISNUMBER(D15)),"",ROUND(C15*D15,2)),C15)))</f>
        <v/>
      </c>
      <c r="F15" s="335">
        <f>IF(C15="","",IF(G15="","",IF(G15="Sim",IF(E15="","",ROUND(E15-C15,2)),0)))</f>
        <v/>
      </c>
      <c r="G15" s="165" t="n"/>
    </row>
    <row r="16">
      <c r="A16" s="336" t="n"/>
      <c r="B16" s="332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333" t="n"/>
      <c r="D16" s="334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335">
        <f>IF(C16="","",IF(G16="","",IF(G16="Sim",IF(NOT(ISNUMBER(D16)),"",ROUND(C16*D16,2)),C16)))</f>
        <v/>
      </c>
      <c r="F16" s="335">
        <f>IF(C16="","",IF(G16="","",IF(G16="Sim",IF(E16="","",ROUND(E16-C16,2)),0)))</f>
        <v/>
      </c>
      <c r="G16" s="165" t="n"/>
    </row>
    <row r="17">
      <c r="A17" s="336" t="n"/>
      <c r="B17" s="332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333" t="n"/>
      <c r="D17" s="334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335">
        <f>IF(C17="","",IF(G17="","",IF(G17="Sim",IF(NOT(ISNUMBER(D17)),"",ROUND(C17*D17,2)),C17)))</f>
        <v/>
      </c>
      <c r="F17" s="335">
        <f>IF(C17="","",IF(G17="","",IF(G17="Sim",IF(E17="","",ROUND(E17-C17,2)),0)))</f>
        <v/>
      </c>
      <c r="G17" s="165" t="n"/>
    </row>
    <row r="18">
      <c r="A18" s="336" t="n"/>
      <c r="B18" s="332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333" t="n"/>
      <c r="D18" s="334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335">
        <f>IF(C18="","",IF(G18="","",IF(G18="Sim",IF(NOT(ISNUMBER(D18)),"",ROUND(C18*D18,2)),C18)))</f>
        <v/>
      </c>
      <c r="F18" s="335">
        <f>IF(C18="","",IF(G18="","",IF(G18="Sim",IF(E18="","",ROUND(E18-C18,2)),0)))</f>
        <v/>
      </c>
      <c r="G18" s="165" t="n"/>
    </row>
    <row r="19">
      <c r="A19" s="336" t="n"/>
      <c r="B19" s="332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333" t="n"/>
      <c r="D19" s="334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335">
        <f>IF(C19="","",IF(G19="","",IF(G19="Sim",IF(NOT(ISNUMBER(D19)),"",ROUND(C19*D19,2)),C19)))</f>
        <v/>
      </c>
      <c r="F19" s="335">
        <f>IF(C19="","",IF(G19="","",IF(G19="Sim",IF(E19="","",ROUND(E19-C19,2)),0)))</f>
        <v/>
      </c>
      <c r="G19" s="165" t="n"/>
    </row>
    <row r="20">
      <c r="A20" s="336" t="n"/>
      <c r="B20" s="332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333" t="n"/>
      <c r="D20" s="334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335">
        <f>IF(C20="","",IF(G20="","",IF(G20="Sim",IF(NOT(ISNUMBER(D20)),"",ROUND(C20*D20,2)),C20)))</f>
        <v/>
      </c>
      <c r="F20" s="335">
        <f>IF(C20="","",IF(G20="","",IF(G20="Sim",IF(E20="","",ROUND(E20-C20,2)),0)))</f>
        <v/>
      </c>
      <c r="G20" s="165" t="n"/>
    </row>
    <row r="21">
      <c r="A21" s="336" t="n"/>
      <c r="B21" s="332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333" t="n"/>
      <c r="D21" s="334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335">
        <f>IF(C21="","",IF(G21="","",IF(G21="Sim",IF(NOT(ISNUMBER(D21)),"",ROUND(C21*D21,2)),C21)))</f>
        <v/>
      </c>
      <c r="F21" s="335">
        <f>IF(C21="","",IF(G21="","",IF(G21="Sim",IF(E21="","",ROUND(E21-C21,2)),0)))</f>
        <v/>
      </c>
      <c r="G21" s="165" t="n"/>
    </row>
    <row r="22">
      <c r="A22" s="336" t="n"/>
      <c r="B22" s="332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333" t="n"/>
      <c r="D22" s="334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335">
        <f>IF(C22="","",IF(G22="","",IF(G22="Sim",IF(NOT(ISNUMBER(D22)),"",ROUND(C22*D22,2)),C22)))</f>
        <v/>
      </c>
      <c r="F22" s="335">
        <f>IF(C22="","",IF(G22="","",IF(G22="Sim",IF(E22="","",ROUND(E22-C22,2)),0)))</f>
        <v/>
      </c>
      <c r="G22" s="165" t="n"/>
    </row>
    <row r="23">
      <c r="A23" s="336" t="n"/>
      <c r="B23" s="332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333" t="n"/>
      <c r="D23" s="334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335">
        <f>IF(C23="","",IF(G23="","",IF(G23="Sim",IF(NOT(ISNUMBER(D23)),"",ROUND(C23*D23,2)),C23)))</f>
        <v/>
      </c>
      <c r="F23" s="335">
        <f>IF(C23="","",IF(G23="","",IF(G23="Sim",IF(E23="","",ROUND(E23-C23,2)),0)))</f>
        <v/>
      </c>
      <c r="G23" s="165" t="n"/>
    </row>
    <row r="24">
      <c r="A24" s="336" t="n"/>
      <c r="B24" s="332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333" t="n"/>
      <c r="D24" s="334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335">
        <f>IF(C24="","",IF(G24="","",IF(G24="Sim",IF(NOT(ISNUMBER(D24)),"",ROUND(C24*D24,2)),C24)))</f>
        <v/>
      </c>
      <c r="F24" s="335">
        <f>IF(C24="","",IF(G24="","",IF(G24="Sim",IF(E24="","",ROUND(E24-C24,2)),0)))</f>
        <v/>
      </c>
      <c r="G24" s="165" t="n"/>
    </row>
    <row r="25">
      <c r="A25" s="336" t="n"/>
      <c r="B25" s="332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333" t="n"/>
      <c r="D25" s="334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335">
        <f>IF(C25="","",IF(G25="","",IF(G25="Sim",IF(NOT(ISNUMBER(D25)),"",ROUND(C25*D25,2)),C25)))</f>
        <v/>
      </c>
      <c r="F25" s="335">
        <f>IF(C25="","",IF(G25="","",IF(G25="Sim",IF(E25="","",ROUND(E25-C25,2)),0)))</f>
        <v/>
      </c>
      <c r="G25" s="165" t="n"/>
    </row>
    <row r="26">
      <c r="A26" s="336" t="n"/>
      <c r="B26" s="332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333" t="n"/>
      <c r="D26" s="334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335">
        <f>IF(C26="","",IF(G26="","",IF(G26="Sim",IF(NOT(ISNUMBER(D26)),"",ROUND(C26*D26,2)),C26)))</f>
        <v/>
      </c>
      <c r="F26" s="335">
        <f>IF(C26="","",IF(G26="","",IF(G26="Sim",IF(E26="","",ROUND(E26-C26,2)),0)))</f>
        <v/>
      </c>
      <c r="G26" s="165" t="n"/>
    </row>
    <row r="27">
      <c r="A27" s="336" t="n"/>
      <c r="B27" s="332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333" t="n"/>
      <c r="D27" s="334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335">
        <f>IF(C27="","",IF(G27="","",IF(G27="Sim",IF(NOT(ISNUMBER(D27)),"",ROUND(C27*D27,2)),C27)))</f>
        <v/>
      </c>
      <c r="F27" s="335">
        <f>IF(C27="","",IF(G27="","",IF(G27="Sim",IF(E27="","",ROUND(E27-C27,2)),0)))</f>
        <v/>
      </c>
      <c r="G27" s="165" t="n"/>
    </row>
    <row r="28">
      <c r="A28" s="336" t="n"/>
      <c r="B28" s="332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333" t="n"/>
      <c r="D28" s="334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335">
        <f>IF(C28="","",IF(G28="","",IF(G28="Sim",IF(NOT(ISNUMBER(D28)),"",ROUND(C28*D28,2)),C28)))</f>
        <v/>
      </c>
      <c r="F28" s="335">
        <f>IF(C28="","",IF(G28="","",IF(G28="Sim",IF(E28="","",ROUND(E28-C28,2)),0)))</f>
        <v/>
      </c>
      <c r="G28" s="165" t="n"/>
    </row>
    <row r="29">
      <c r="A29" s="336" t="n"/>
      <c r="B29" s="332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333" t="n"/>
      <c r="D29" s="334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335">
        <f>IF(C29="","",IF(G29="","",IF(G29="Sim",IF(NOT(ISNUMBER(D29)),"",ROUND(C29*D29,2)),C29)))</f>
        <v/>
      </c>
      <c r="F29" s="335">
        <f>IF(C29="","",IF(G29="","",IF(G29="Sim",IF(E29="","",ROUND(E29-C29,2)),0)))</f>
        <v/>
      </c>
      <c r="G29" s="165" t="n"/>
    </row>
    <row r="30">
      <c r="A30" s="336" t="n"/>
      <c r="B30" s="332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333" t="n"/>
      <c r="D30" s="334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335">
        <f>IF(C30="","",IF(G30="","",IF(G30="Sim",IF(NOT(ISNUMBER(D30)),"",ROUND(C30*D30,2)),C30)))</f>
        <v/>
      </c>
      <c r="F30" s="335">
        <f>IF(C30="","",IF(G30="","",IF(G30="Sim",IF(E30="","",ROUND(E30-C30,2)),0)))</f>
        <v/>
      </c>
      <c r="G30" s="165" t="n"/>
    </row>
    <row r="31">
      <c r="A31" s="336" t="n"/>
      <c r="B31" s="332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333" t="n"/>
      <c r="D31" s="334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335">
        <f>IF(C31="","",IF(G31="","",IF(G31="Sim",IF(NOT(ISNUMBER(D31)),"",ROUND(C31*D31,2)),C31)))</f>
        <v/>
      </c>
      <c r="F31" s="335">
        <f>IF(C31="","",IF(G31="","",IF(G31="Sim",IF(E31="","",ROUND(E31-C31,2)),0)))</f>
        <v/>
      </c>
      <c r="G31" s="165" t="n"/>
    </row>
    <row r="32">
      <c r="A32" s="336" t="n"/>
      <c r="B32" s="332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333" t="n"/>
      <c r="D32" s="334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335">
        <f>IF(C32="","",IF(G32="","",IF(G32="Sim",IF(NOT(ISNUMBER(D32)),"",ROUND(C32*D32,2)),C32)))</f>
        <v/>
      </c>
      <c r="F32" s="335">
        <f>IF(C32="","",IF(G32="","",IF(G32="Sim",IF(E32="","",ROUND(E32-C32,2)),0)))</f>
        <v/>
      </c>
      <c r="G32" s="165" t="n"/>
    </row>
    <row r="33">
      <c r="A33" s="336" t="n"/>
      <c r="B33" s="332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333" t="n"/>
      <c r="D33" s="334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335">
        <f>IF(C33="","",IF(G33="","",IF(G33="Sim",IF(NOT(ISNUMBER(D33)),"",ROUND(C33*D33,2)),C33)))</f>
        <v/>
      </c>
      <c r="F33" s="335">
        <f>IF(C33="","",IF(G33="","",IF(G33="Sim",IF(E33="","",ROUND(E33-C33,2)),0)))</f>
        <v/>
      </c>
      <c r="G33" s="165" t="n"/>
    </row>
    <row r="34">
      <c r="A34" s="336" t="n"/>
      <c r="B34" s="332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333" t="n"/>
      <c r="D34" s="334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335">
        <f>IF(C34="","",IF(G34="","",IF(G34="Sim",IF(NOT(ISNUMBER(D34)),"",ROUND(C34*D34,2)),C34)))</f>
        <v/>
      </c>
      <c r="F34" s="335">
        <f>IF(C34="","",IF(G34="","",IF(G34="Sim",IF(E34="","",ROUND(E34-C34,2)),0)))</f>
        <v/>
      </c>
      <c r="G34" s="165" t="n"/>
    </row>
    <row r="35">
      <c r="A35" s="336" t="n"/>
      <c r="B35" s="332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333" t="n"/>
      <c r="D35" s="334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335">
        <f>IF(C35="","",IF(G35="","",IF(G35="Sim",IF(NOT(ISNUMBER(D35)),"",ROUND(C35*D35,2)),C35)))</f>
        <v/>
      </c>
      <c r="F35" s="335">
        <f>IF(C35="","",IF(G35="","",IF(G35="Sim",IF(E35="","",ROUND(E35-C35,2)),0)))</f>
        <v/>
      </c>
      <c r="G35" s="165" t="n"/>
    </row>
    <row r="36">
      <c r="A36" s="336" t="n"/>
      <c r="B36" s="332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333" t="n"/>
      <c r="D36" s="334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335">
        <f>IF(C36="","",IF(G36="","",IF(G36="Sim",IF(NOT(ISNUMBER(D36)),"",ROUND(C36*D36,2)),C36)))</f>
        <v/>
      </c>
      <c r="F36" s="335">
        <f>IF(C36="","",IF(G36="","",IF(G36="Sim",IF(E36="","",ROUND(E36-C36,2)),0)))</f>
        <v/>
      </c>
      <c r="G36" s="165" t="n"/>
    </row>
    <row r="37">
      <c r="A37" s="336" t="n"/>
      <c r="B37" s="332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333" t="n"/>
      <c r="D37" s="334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335">
        <f>IF(C37="","",IF(G37="","",IF(G37="Sim",IF(NOT(ISNUMBER(D37)),"",ROUND(C37*D37,2)),C37)))</f>
        <v/>
      </c>
      <c r="F37" s="335">
        <f>IF(C37="","",IF(G37="","",IF(G37="Sim",IF(E37="","",ROUND(E37-C37,2)),0)))</f>
        <v/>
      </c>
      <c r="G37" s="165" t="n"/>
    </row>
    <row r="38">
      <c r="A38" s="337" t="n"/>
      <c r="B38" s="332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333" t="n"/>
      <c r="D38" s="334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335">
        <f>IF(C38="","",IF(G38="","",IF(G38="Sim",IF(NOT(ISNUMBER(D38)),"",ROUND(C38*D38,2)),C38)))</f>
        <v/>
      </c>
      <c r="F38" s="335">
        <f>IF(C38="","",IF(G38="","",IF(G38="Sim",IF(E38="","",ROUND(E38-C38,2)),0)))</f>
        <v/>
      </c>
      <c r="G38" s="85" t="n"/>
    </row>
    <row r="39">
      <c r="A39" s="337" t="n"/>
      <c r="B39" s="332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333" t="n"/>
      <c r="D39" s="334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335">
        <f>IF(C39="","",IF(G39="","",IF(G39="Sim",IF(NOT(ISNUMBER(D39)),"",ROUND(C39*D39,2)),C39)))</f>
        <v/>
      </c>
      <c r="F39" s="335">
        <f>IF(C39="","",IF(G39="","",IF(G39="Sim",IF(E39="","",ROUND(E39-C39,2)),0)))</f>
        <v/>
      </c>
      <c r="G39" s="85" t="n"/>
    </row>
    <row r="40">
      <c r="A40" s="337" t="n"/>
      <c r="B40" s="332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333" t="n"/>
      <c r="D40" s="334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335">
        <f>IF(C40="","",IF(G40="","",IF(G40="Sim",IF(NOT(ISNUMBER(D40)),"",ROUND(C40*D40,2)),C40)))</f>
        <v/>
      </c>
      <c r="F40" s="335">
        <f>IF(C40="","",IF(G40="","",IF(G40="Sim",IF(E40="","",ROUND(E40-C40,2)),0)))</f>
        <v/>
      </c>
      <c r="G40" s="85" t="n"/>
    </row>
    <row r="41">
      <c r="A41" s="337" t="n"/>
      <c r="B41" s="332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333" t="n"/>
      <c r="D41" s="334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335">
        <f>IF(C41="","",IF(G41="","",IF(G41="Sim",IF(NOT(ISNUMBER(D41)),"",ROUND(C41*D41,2)),C41)))</f>
        <v/>
      </c>
      <c r="F41" s="335">
        <f>IF(C41="","",IF(G41="","",IF(G41="Sim",IF(E41="","",ROUND(E41-C41,2)),0)))</f>
        <v/>
      </c>
      <c r="G41" s="85" t="n"/>
    </row>
    <row r="42">
      <c r="A42" s="337" t="n"/>
      <c r="B42" s="332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333" t="n"/>
      <c r="D42" s="334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335">
        <f>IF(C42="","",IF(G42="","",IF(G42="Sim",IF(NOT(ISNUMBER(D42)),"",ROUND(C42*D42,2)),C42)))</f>
        <v/>
      </c>
      <c r="F42" s="335">
        <f>IF(C42="","",IF(G42="","",IF(G42="Sim",IF(E42="","",ROUND(E42-C42,2)),0)))</f>
        <v/>
      </c>
      <c r="G42" s="85" t="n"/>
    </row>
    <row r="43">
      <c r="A43" s="337" t="n"/>
      <c r="B43" s="332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333" t="n"/>
      <c r="D43" s="334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335">
        <f>IF(C43="","",IF(G43="","",IF(G43="Sim",IF(NOT(ISNUMBER(D43)),"",ROUND(C43*D43,2)),C43)))</f>
        <v/>
      </c>
      <c r="F43" s="335">
        <f>IF(C43="","",IF(G43="","",IF(G43="Sim",IF(E43="","",ROUND(E43-C43,2)),0)))</f>
        <v/>
      </c>
      <c r="G43" s="85" t="n"/>
    </row>
    <row r="44">
      <c r="A44" s="337" t="n"/>
      <c r="B44" s="332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333" t="n"/>
      <c r="D44" s="334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335">
        <f>IF(C44="","",IF(G44="","",IF(G44="Sim",IF(NOT(ISNUMBER(D44)),"",ROUND(C44*D44,2)),C44)))</f>
        <v/>
      </c>
      <c r="F44" s="335">
        <f>IF(C44="","",IF(G44="","",IF(G44="Sim",IF(E44="","",ROUND(E44-C44,2)),0)))</f>
        <v/>
      </c>
      <c r="G44" s="85" t="n"/>
    </row>
    <row r="45">
      <c r="A45" s="337" t="n"/>
      <c r="B45" s="332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333" t="n"/>
      <c r="D45" s="334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335">
        <f>IF(C45="","",IF(G45="","",IF(G45="Sim",IF(NOT(ISNUMBER(D45)),"",ROUND(C45*D45,2)),C45)))</f>
        <v/>
      </c>
      <c r="F45" s="335">
        <f>IF(C45="","",IF(G45="","",IF(G45="Sim",IF(E45="","",ROUND(E45-C45,2)),0)))</f>
        <v/>
      </c>
      <c r="G45" s="85" t="n"/>
    </row>
    <row r="46">
      <c r="A46" s="337" t="n"/>
      <c r="B46" s="332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333" t="n"/>
      <c r="D46" s="334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335">
        <f>IF(C46="","",IF(G46="","",IF(G46="Sim",IF(NOT(ISNUMBER(D46)),"",ROUND(C46*D46,2)),C46)))</f>
        <v/>
      </c>
      <c r="F46" s="335">
        <f>IF(C46="","",IF(G46="","",IF(G46="Sim",IF(E46="","",ROUND(E46-C46,2)),0)))</f>
        <v/>
      </c>
      <c r="G46" s="85" t="n"/>
    </row>
    <row r="47">
      <c r="A47" s="337" t="n"/>
      <c r="B47" s="332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333" t="n"/>
      <c r="D47" s="334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335">
        <f>IF(C47="","",IF(G47="","",IF(G47="Sim",IF(NOT(ISNUMBER(D47)),"",ROUND(C47*D47,2)),C47)))</f>
        <v/>
      </c>
      <c r="F47" s="335">
        <f>IF(C47="","",IF(G47="","",IF(G47="Sim",IF(E47="","",ROUND(E47-C47,2)),0)))</f>
        <v/>
      </c>
      <c r="G47" s="85" t="n"/>
    </row>
    <row r="48">
      <c r="A48" s="337" t="n"/>
      <c r="B48" s="332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333" t="n"/>
      <c r="D48" s="334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335">
        <f>IF(C48="","",IF(G48="","",IF(G48="Sim",IF(NOT(ISNUMBER(D48)),"",ROUND(C48*D48,2)),C48)))</f>
        <v/>
      </c>
      <c r="F48" s="335">
        <f>IF(C48="","",IF(G48="","",IF(G48="Sim",IF(E48="","",ROUND(E48-C48,2)),0)))</f>
        <v/>
      </c>
      <c r="G48" s="85" t="n"/>
    </row>
    <row r="49">
      <c r="A49" s="337" t="n"/>
      <c r="B49" s="332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333" t="n"/>
      <c r="D49" s="334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335">
        <f>IF(C49="","",IF(G49="","",IF(G49="Sim",IF(NOT(ISNUMBER(D49)),"",ROUND(C49*D49,2)),C49)))</f>
        <v/>
      </c>
      <c r="F49" s="335">
        <f>IF(C49="","",IF(G49="","",IF(G49="Sim",IF(E49="","",ROUND(E49-C49,2)),0)))</f>
        <v/>
      </c>
      <c r="G49" s="85" t="n"/>
    </row>
    <row r="50">
      <c r="A50" s="337" t="n"/>
      <c r="B50" s="332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333" t="n"/>
      <c r="D50" s="334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335">
        <f>IF(C50="","",IF(G50="","",IF(G50="Sim",IF(NOT(ISNUMBER(D50)),"",ROUND(C50*D50,2)),C50)))</f>
        <v/>
      </c>
      <c r="F50" s="335">
        <f>IF(C50="","",IF(G50="","",IF(G50="Sim",IF(E50="","",ROUND(E50-C50,2)),0)))</f>
        <v/>
      </c>
      <c r="G50" s="85" t="n"/>
    </row>
    <row r="51">
      <c r="A51" s="337" t="n"/>
      <c r="B51" s="332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333" t="n"/>
      <c r="D51" s="334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335">
        <f>IF(C51="","",IF(G51="","",IF(G51="Sim",IF(NOT(ISNUMBER(D51)),"",ROUND(C51*D51,2)),C51)))</f>
        <v/>
      </c>
      <c r="F51" s="335">
        <f>IF(C51="","",IF(G51="","",IF(G51="Sim",IF(E51="","",ROUND(E51-C51,2)),0)))</f>
        <v/>
      </c>
      <c r="G51" s="85" t="n"/>
    </row>
    <row r="52">
      <c r="A52" s="337" t="n"/>
      <c r="B52" s="332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333" t="n"/>
      <c r="D52" s="334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335">
        <f>IF(C52="","",IF(G52="","",IF(G52="Sim",IF(NOT(ISNUMBER(D52)),"",ROUND(C52*D52,2)),C52)))</f>
        <v/>
      </c>
      <c r="F52" s="335">
        <f>IF(C52="","",IF(G52="","",IF(G52="Sim",IF(E52="","",ROUND(E52-C52,2)),0)))</f>
        <v/>
      </c>
      <c r="G52" s="85" t="n"/>
    </row>
    <row r="53">
      <c r="A53" s="337" t="n"/>
      <c r="B53" s="332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333" t="n"/>
      <c r="D53" s="334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335">
        <f>IF(C53="","",IF(G53="","",IF(G53="Sim",IF(NOT(ISNUMBER(D53)),"",ROUND(C53*D53,2)),C53)))</f>
        <v/>
      </c>
      <c r="F53" s="335">
        <f>IF(C53="","",IF(G53="","",IF(G53="Sim",IF(E53="","",ROUND(E53-C53,2)),0)))</f>
        <v/>
      </c>
      <c r="G53" s="85" t="n"/>
    </row>
    <row r="54">
      <c r="A54" s="337" t="n"/>
      <c r="B54" s="332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333" t="n"/>
      <c r="D54" s="334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335">
        <f>IF(C54="","",IF(G54="","",IF(G54="Sim",IF(NOT(ISNUMBER(D54)),"",ROUND(C54*D54,2)),C54)))</f>
        <v/>
      </c>
      <c r="F54" s="335">
        <f>IF(C54="","",IF(G54="","",IF(G54="Sim",IF(E54="","",ROUND(E54-C54,2)),0)))</f>
        <v/>
      </c>
      <c r="G54" s="85" t="n"/>
    </row>
    <row r="55">
      <c r="A55" s="337" t="n"/>
      <c r="B55" s="332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333" t="n"/>
      <c r="D55" s="334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335">
        <f>IF(C55="","",IF(G55="","",IF(G55="Sim",IF(NOT(ISNUMBER(D55)),"",ROUND(C55*D55,2)),C55)))</f>
        <v/>
      </c>
      <c r="F55" s="335">
        <f>IF(C55="","",IF(G55="","",IF(G55="Sim",IF(E55="","",ROUND(E55-C55,2)),0)))</f>
        <v/>
      </c>
      <c r="G55" s="85" t="n"/>
    </row>
    <row r="56">
      <c r="A56" s="337" t="n"/>
      <c r="B56" s="332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333" t="n"/>
      <c r="D56" s="334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335">
        <f>IF(C56="","",IF(G56="","",IF(G56="Sim",IF(NOT(ISNUMBER(D56)),"",ROUND(C56*D56,2)),C56)))</f>
        <v/>
      </c>
      <c r="F56" s="335">
        <f>IF(C56="","",IF(G56="","",IF(G56="Sim",IF(E56="","",ROUND(E56-C56,2)),0)))</f>
        <v/>
      </c>
      <c r="G56" s="85" t="n"/>
    </row>
    <row r="57">
      <c r="A57" s="337" t="n"/>
      <c r="B57" s="332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333" t="n"/>
      <c r="D57" s="334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335">
        <f>IF(C57="","",IF(G57="","",IF(G57="Sim",IF(NOT(ISNUMBER(D57)),"",ROUND(C57*D57,2)),C57)))</f>
        <v/>
      </c>
      <c r="F57" s="335">
        <f>IF(C57="","",IF(G57="","",IF(G57="Sim",IF(E57="","",ROUND(E57-C57,2)),0)))</f>
        <v/>
      </c>
      <c r="G57" s="85" t="n"/>
    </row>
    <row r="58">
      <c r="A58" s="337" t="n"/>
      <c r="B58" s="332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333" t="n"/>
      <c r="D58" s="334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335">
        <f>IF(C58="","",IF(G58="","",IF(G58="Sim",IF(NOT(ISNUMBER(D58)),"",ROUND(C58*D58,2)),C58)))</f>
        <v/>
      </c>
      <c r="F58" s="335">
        <f>IF(C58="","",IF(G58="","",IF(G58="Sim",IF(E58="","",ROUND(E58-C58,2)),0)))</f>
        <v/>
      </c>
      <c r="G58" s="85" t="n"/>
    </row>
    <row r="59">
      <c r="A59" s="337" t="n"/>
      <c r="B59" s="332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333" t="n"/>
      <c r="D59" s="334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335">
        <f>IF(C59="","",IF(G59="","",IF(G59="Sim",IF(NOT(ISNUMBER(D59)),"",ROUND(C59*D59,2)),C59)))</f>
        <v/>
      </c>
      <c r="F59" s="335">
        <f>IF(C59="","",IF(G59="","",IF(G59="Sim",IF(E59="","",ROUND(E59-C59,2)),0)))</f>
        <v/>
      </c>
      <c r="G59" s="85" t="n"/>
    </row>
    <row r="60">
      <c r="A60" s="337" t="n"/>
      <c r="B60" s="332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333" t="n"/>
      <c r="D60" s="334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335">
        <f>IF(C60="","",IF(G60="","",IF(G60="Sim",IF(NOT(ISNUMBER(D60)),"",ROUND(C60*D60,2)),C60)))</f>
        <v/>
      </c>
      <c r="F60" s="335">
        <f>IF(C60="","",IF(G60="","",IF(G60="Sim",IF(E60="","",ROUND(E60-C60,2)),0)))</f>
        <v/>
      </c>
      <c r="G60" s="85" t="n"/>
    </row>
    <row r="61">
      <c r="A61" s="337" t="n"/>
      <c r="B61" s="332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333" t="n"/>
      <c r="D61" s="334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335">
        <f>IF(C61="","",IF(G61="","",IF(G61="Sim",IF(NOT(ISNUMBER(D61)),"",ROUND(C61*D61,2)),C61)))</f>
        <v/>
      </c>
      <c r="F61" s="335">
        <f>IF(C61="","",IF(G61="","",IF(G61="Sim",IF(E61="","",ROUND(E61-C61,2)),0)))</f>
        <v/>
      </c>
      <c r="G61" s="85" t="n"/>
    </row>
    <row r="62">
      <c r="A62" s="337" t="n"/>
      <c r="B62" s="332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333" t="n"/>
      <c r="D62" s="334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335">
        <f>IF(C62="","",IF(G62="","",IF(G62="Sim",IF(NOT(ISNUMBER(D62)),"",ROUND(C62*D62,2)),C62)))</f>
        <v/>
      </c>
      <c r="F62" s="335">
        <f>IF(C62="","",IF(G62="","",IF(G62="Sim",IF(E62="","",ROUND(E62-C62,2)),0)))</f>
        <v/>
      </c>
      <c r="G62" s="85" t="n"/>
    </row>
    <row r="63">
      <c r="A63" s="337" t="n"/>
      <c r="B63" s="332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333" t="n"/>
      <c r="D63" s="334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335">
        <f>IF(C63="","",IF(G63="","",IF(G63="Sim",IF(NOT(ISNUMBER(D63)),"",ROUND(C63*D63,2)),C63)))</f>
        <v/>
      </c>
      <c r="F63" s="335">
        <f>IF(C63="","",IF(G63="","",IF(G63="Sim",IF(E63="","",ROUND(E63-C63,2)),0)))</f>
        <v/>
      </c>
      <c r="G63" s="85" t="n"/>
    </row>
    <row r="64">
      <c r="A64" s="337" t="n"/>
      <c r="B64" s="332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333" t="n"/>
      <c r="D64" s="334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335">
        <f>IF(C64="","",IF(G64="","",IF(G64="Sim",IF(NOT(ISNUMBER(D64)),"",ROUND(C64*D64,2)),C64)))</f>
        <v/>
      </c>
      <c r="F64" s="335">
        <f>IF(C64="","",IF(G64="","",IF(G64="Sim",IF(E64="","",ROUND(E64-C64,2)),0)))</f>
        <v/>
      </c>
      <c r="G64" s="85" t="n"/>
    </row>
    <row r="65">
      <c r="A65" s="337" t="n"/>
      <c r="B65" s="332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333" t="n"/>
      <c r="D65" s="334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335">
        <f>IF(C65="","",IF(G65="","",IF(G65="Sim",IF(NOT(ISNUMBER(D65)),"",ROUND(C65*D65,2)),C65)))</f>
        <v/>
      </c>
      <c r="F65" s="335">
        <f>IF(C65="","",IF(G65="","",IF(G65="Sim",IF(E65="","",ROUND(E65-C65,2)),0)))</f>
        <v/>
      </c>
      <c r="G65" s="85" t="n"/>
    </row>
    <row r="66">
      <c r="A66" s="337" t="n"/>
      <c r="B66" s="332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333" t="n"/>
      <c r="D66" s="334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335">
        <f>IF(C66="","",IF(G66="","",IF(G66="Sim",IF(NOT(ISNUMBER(D66)),"",ROUND(C66*D66,2)),C66)))</f>
        <v/>
      </c>
      <c r="F66" s="335">
        <f>IF(C66="","",IF(G66="","",IF(G66="Sim",IF(E66="","",ROUND(E66-C66,2)),0)))</f>
        <v/>
      </c>
      <c r="G66" s="85" t="n"/>
    </row>
    <row r="67">
      <c r="A67" s="337" t="n"/>
      <c r="B67" s="332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333" t="n"/>
      <c r="D67" s="334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335">
        <f>IF(C67="","",IF(G67="","",IF(G67="Sim",IF(NOT(ISNUMBER(D67)),"",ROUND(C67*D67,2)),C67)))</f>
        <v/>
      </c>
      <c r="F67" s="335">
        <f>IF(C67="","",IF(G67="","",IF(G67="Sim",IF(E67="","",ROUND(E67-C67,2)),0)))</f>
        <v/>
      </c>
      <c r="G67" s="85" t="n"/>
    </row>
    <row r="68">
      <c r="A68" s="337" t="n"/>
      <c r="B68" s="332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333" t="n"/>
      <c r="D68" s="334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335">
        <f>IF(C68="","",IF(G68="","",IF(G68="Sim",IF(NOT(ISNUMBER(D68)),"",ROUND(C68*D68,2)),C68)))</f>
        <v/>
      </c>
      <c r="F68" s="335">
        <f>IF(C68="","",IF(G68="","",IF(G68="Sim",IF(E68="","",ROUND(E68-C68,2)),0)))</f>
        <v/>
      </c>
      <c r="G68" s="85" t="n"/>
    </row>
    <row r="69">
      <c r="A69" s="337" t="n"/>
      <c r="B69" s="332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333" t="n"/>
      <c r="D69" s="334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335">
        <f>IF(C69="","",IF(G69="","",IF(G69="Sim",IF(NOT(ISNUMBER(D69)),"",ROUND(C69*D69,2)),C69)))</f>
        <v/>
      </c>
      <c r="F69" s="335">
        <f>IF(C69="","",IF(G69="","",IF(G69="Sim",IF(E69="","",ROUND(E69-C69,2)),0)))</f>
        <v/>
      </c>
      <c r="G69" s="85" t="n"/>
    </row>
    <row r="70">
      <c r="A70" s="337" t="n"/>
      <c r="B70" s="332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333" t="n"/>
      <c r="D70" s="334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335">
        <f>IF(C70="","",IF(G70="","",IF(G70="Sim",IF(NOT(ISNUMBER(D70)),"",ROUND(C70*D70,2)),C70)))</f>
        <v/>
      </c>
      <c r="F70" s="335">
        <f>IF(C70="","",IF(G70="","",IF(G70="Sim",IF(E70="","",ROUND(E70-C70,2)),0)))</f>
        <v/>
      </c>
      <c r="G70" s="85" t="n"/>
    </row>
    <row r="71">
      <c r="A71" s="337" t="n"/>
      <c r="B71" s="332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333" t="n"/>
      <c r="D71" s="334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335">
        <f>IF(C71="","",IF(G71="","",IF(G71="Sim",IF(NOT(ISNUMBER(D71)),"",ROUND(C71*D71,2)),C71)))</f>
        <v/>
      </c>
      <c r="F71" s="335">
        <f>IF(C71="","",IF(G71="","",IF(G71="Sim",IF(E71="","",ROUND(E71-C71,2)),0)))</f>
        <v/>
      </c>
      <c r="G71" s="85" t="n"/>
    </row>
    <row r="72">
      <c r="A72" s="337" t="n"/>
      <c r="B72" s="332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333" t="n"/>
      <c r="D72" s="334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335">
        <f>IF(C72="","",IF(G72="","",IF(G72="Sim",IF(NOT(ISNUMBER(D72)),"",ROUND(C72*D72,2)),C72)))</f>
        <v/>
      </c>
      <c r="F72" s="335">
        <f>IF(C72="","",IF(G72="","",IF(G72="Sim",IF(E72="","",ROUND(E72-C72,2)),0)))</f>
        <v/>
      </c>
      <c r="G72" s="85" t="n"/>
    </row>
    <row r="73">
      <c r="A73" s="337" t="n"/>
      <c r="B73" s="332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333" t="n"/>
      <c r="D73" s="334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335">
        <f>IF(C73="","",IF(G73="","",IF(G73="Sim",IF(NOT(ISNUMBER(D73)),"",ROUND(C73*D73,2)),C73)))</f>
        <v/>
      </c>
      <c r="F73" s="335">
        <f>IF(C73="","",IF(G73="","",IF(G73="Sim",IF(E73="","",ROUND(E73-C73,2)),0)))</f>
        <v/>
      </c>
      <c r="G73" s="85" t="n"/>
    </row>
    <row r="74">
      <c r="B74" s="189" t="inlineStr">
        <is>
          <t>TOTAL</t>
        </is>
      </c>
      <c r="C74" s="338">
        <f>SUM(C2:C73)</f>
        <v/>
      </c>
      <c r="E74" s="338">
        <f>SUM(E2:E73)</f>
        <v/>
      </c>
      <c r="F74" s="338">
        <f>SUM(F2:F73)</f>
        <v/>
      </c>
    </row>
  </sheetData>
  <conditionalFormatting sqref="A2:G73">
    <cfRule type="expression" priority="1" dxfId="34" stopIfTrue="1">
      <formula>AND($C2&lt;&gt;"",$G2="")</formula>
    </cfRule>
    <cfRule type="expression" priority="2" dxfId="33" stopIfTrue="1">
      <formula>AND($A2&lt;&gt;"",$G2="Nao")</formula>
    </cfRule>
  </conditionalFormatting>
  <dataValidations count="1">
    <dataValidation sqref="G2:G73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baseColWidth="8" defaultColWidth="25.453125" defaultRowHeight="14.5"/>
  <cols>
    <col hidden="1" width="15.6328125" customWidth="1" style="289" min="41" max="60"/>
  </cols>
  <sheetData>
    <row r="1" ht="72" customHeight="1" s="289">
      <c r="A1" s="279" t="inlineStr">
        <is>
          <t>ITEM
(NOVO ITEM: use N001, N002...; QTD_BASE_ORIGINAL fica 0 automaticamente - nao digite; informe o VU_ORIGINAL)</t>
        </is>
      </c>
      <c r="B1" s="279" t="inlineStr">
        <is>
          <t>QTD_BASE_ORIGINAL
(NOVO ITEM: deixar vazio - assume 0 automaticamente)</t>
        </is>
      </c>
      <c r="C1" s="279" t="inlineStr">
        <is>
          <t>VU_ORIGINAL</t>
        </is>
      </c>
      <c r="D1" s="279" t="inlineStr">
        <is>
          <t>VALOR_TOTAL</t>
        </is>
      </c>
      <c r="E1" s="40">
        <f>IF(parametros!$C$3="","QTD_REM_BASE_C1","QTD_REM_BASE_C1"&amp;CHAR(10)&amp;"Inicio: "&amp;RIGHT("0"&amp;DAY(parametros!$C$3),2)&amp;"/"&amp;RIGHT("0"&amp;MONTH(parametros!$C$3),2)&amp;"/"&amp;YEAR(parametros!$C$3))</f>
        <v/>
      </c>
      <c r="F1" s="40">
        <f>IF(parametros!$C$3="","VALOR_REM_INICIO_C1","VALOR_REM_INICIO_C1"&amp;CHAR(10)&amp;"Inicio: "&amp;RIGHT("0"&amp;DAY(parametros!$C$3),2)&amp;"/"&amp;RIGHT("0"&amp;MONTH(parametros!$C$3),2)&amp;"/"&amp;YEAR(parametros!$C$3))</f>
        <v/>
      </c>
      <c r="G1" s="18">
        <f>IF(parametros!$C$4="","QTD_REM_BASE_C2","QTD_REM_BASE_C2"&amp;CHAR(10)&amp;"Inicio: "&amp;RIGHT("0"&amp;DAY(parametros!$C$4),2)&amp;"/"&amp;RIGHT("0"&amp;MONTH(parametros!$C$4),2)&amp;"/"&amp;YEAR(parametros!$C$4))</f>
        <v/>
      </c>
      <c r="H1" s="18">
        <f>IF(parametros!$C$4="","VALOR_REM_INICIO_C2","VALOR_REM_INICIO_C2"&amp;CHAR(10)&amp;"Inicio: "&amp;RIGHT("0"&amp;DAY(parametros!$C$4),2)&amp;"/"&amp;RIGHT("0"&amp;MONTH(parametros!$C$4),2)&amp;"/"&amp;YEAR(parametros!$C$4))</f>
        <v/>
      </c>
      <c r="I1" s="40">
        <f>IF(parametros!$C$5="","QTD_REM_BASE_C3","QTD_REM_BASE_C3"&amp;CHAR(10)&amp;"Inicio: "&amp;RIGHT("0"&amp;DAY(parametros!$C$5),2)&amp;"/"&amp;RIGHT("0"&amp;MONTH(parametros!$C$5),2)&amp;"/"&amp;YEAR(parametros!$C$5))</f>
        <v/>
      </c>
      <c r="J1" s="40">
        <f>IF(parametros!$C$5="","VALOR_REM_INICIO_C3","VALOR_REM_INICIO_C3"&amp;CHAR(10)&amp;"Inicio: "&amp;RIGHT("0"&amp;DAY(parametros!$C$5),2)&amp;"/"&amp;RIGHT("0"&amp;MONTH(parametros!$C$5),2)&amp;"/"&amp;YEAR(parametros!$C$5))</f>
        <v/>
      </c>
      <c r="K1" s="18">
        <f>IF(parametros!$C$6="","QTD_REM_BASE_C4","QTD_REM_BASE_C4"&amp;CHAR(10)&amp;"Inicio: "&amp;RIGHT("0"&amp;DAY(parametros!$C$6),2)&amp;"/"&amp;RIGHT("0"&amp;MONTH(parametros!$C$6),2)&amp;"/"&amp;YEAR(parametros!$C$6))</f>
        <v/>
      </c>
      <c r="L1" s="18">
        <f>IF(parametros!$C$6="","VALOR_REM_INICIO_C4","VALOR_REM_INICIO_C4"&amp;CHAR(10)&amp;"Inicio: "&amp;RIGHT("0"&amp;DAY(parametros!$C$6),2)&amp;"/"&amp;RIGHT("0"&amp;MONTH(parametros!$C$6),2)&amp;"/"&amp;YEAR(parametros!$C$6))</f>
        <v/>
      </c>
      <c r="M1" s="41">
        <f>IF(parametros!$C$3="","QTD_EXECUTADA_C1","QTD_EXECUTADA_C1"&amp;CHAR(10)&amp;"Inicio: "&amp;RIGHT("0"&amp;DAY(parametros!$C$3),2)&amp;"/"&amp;RIGHT("0"&amp;MONTH(parametros!$C$3),2)&amp;"/"&amp;YEAR(parametros!$C$3))</f>
        <v/>
      </c>
      <c r="N1" s="41">
        <f>IF(parametros!$C$3="","VALOR_EXECUTADO_C1","VALOR_EXECUTADO_C1"&amp;CHAR(10)&amp;"Inicio: "&amp;RIGHT("0"&amp;DAY(parametros!$C$3),2)&amp;"/"&amp;RIGHT("0"&amp;MONTH(parametros!$C$3),2)&amp;"/"&amp;YEAR(parametros!$C$3))</f>
        <v/>
      </c>
      <c r="O1" s="19">
        <f>IF(parametros!$C$4="","QTD_EXECUTADA_C2","QTD_EXECUTADA_C2"&amp;CHAR(10)&amp;"Inicio: "&amp;RIGHT("0"&amp;DAY(parametros!$C$4),2)&amp;"/"&amp;RIGHT("0"&amp;MONTH(parametros!$C$4),2)&amp;"/"&amp;YEAR(parametros!$C$4))</f>
        <v/>
      </c>
      <c r="P1" s="19">
        <f>IF(parametros!$C$4="","VALOR_EXECUTADO_C2","VALOR_EXECUTADO_C2"&amp;CHAR(10)&amp;"Inicio: "&amp;RIGHT("0"&amp;DAY(parametros!$C$4),2)&amp;"/"&amp;RIGHT("0"&amp;MONTH(parametros!$C$4),2)&amp;"/"&amp;YEAR(parametros!$C$4))</f>
        <v/>
      </c>
      <c r="Q1" s="41">
        <f>IF(parametros!$C$5="","QTD_EXECUTADA_C3","QTD_EXECUTADA_C3"&amp;CHAR(10)&amp;"Inicio: "&amp;RIGHT("0"&amp;DAY(parametros!$C$5),2)&amp;"/"&amp;RIGHT("0"&amp;MONTH(parametros!$C$5),2)&amp;"/"&amp;YEAR(parametros!$C$5))</f>
        <v/>
      </c>
      <c r="R1" s="41">
        <f>IF(parametros!$C$5="","VALOR_EXECUTADO_C3","VALOR_EXECUTADO_C3"&amp;CHAR(10)&amp;"Inicio: "&amp;RIGHT("0"&amp;DAY(parametros!$C$5),2)&amp;"/"&amp;RIGHT("0"&amp;MONTH(parametros!$C$5),2)&amp;"/"&amp;YEAR(parametros!$C$5))</f>
        <v/>
      </c>
      <c r="S1" s="19">
        <f>IF(parametros!$C$6="","QTD_EXECUTADA_C4","QTD_EXECUTADA_C4"&amp;CHAR(10)&amp;"Inicio: "&amp;RIGHT("0"&amp;DAY(parametros!$C$6),2)&amp;"/"&amp;RIGHT("0"&amp;MONTH(parametros!$C$6),2)&amp;"/"&amp;YEAR(parametros!$C$6))</f>
        <v/>
      </c>
      <c r="T1" s="19">
        <f>IF(parametros!$C$6="","VALOR_EXECUTADO_C4","VALOR_EXECUTADO_C4"&amp;CHAR(10)&amp;"Inicio: "&amp;RIGHT("0"&amp;DAY(parametros!$C$6),2)&amp;"/"&amp;RIGHT("0"&amp;MONTH(parametros!$C$6),2)&amp;"/"&amp;YEAR(parametros!$C$6))</f>
        <v/>
      </c>
      <c r="U1" s="279" t="inlineStr">
        <is>
          <t>CHECK</t>
        </is>
      </c>
      <c r="V1" s="279" t="inlineStr">
        <is>
          <t>CHECK_QTD</t>
        </is>
      </c>
      <c r="W1" s="42" t="inlineStr">
        <is>
          <t>CICLO</t>
        </is>
      </c>
      <c r="X1" s="42" t="inlineStr">
        <is>
          <t>COMPUTAR_NESTA_APURACAO</t>
        </is>
      </c>
      <c r="Y1" s="42" t="inlineStr">
        <is>
          <t>FATOR_PROPRIO</t>
        </is>
      </c>
      <c r="Z1" s="42" t="inlineStr">
        <is>
          <t>FATOR_ACUMULADO</t>
        </is>
      </c>
      <c r="AA1" s="20" t="inlineStr">
        <is>
          <t>EXECUÇÃO IMPLÍCITA C0 — INFORMATIVO</t>
        </is>
      </c>
      <c r="AB1" s="21" t="inlineStr">
        <is>
          <t>QTD_EXECUTADA_C0</t>
        </is>
      </c>
      <c r="AC1" s="21" t="inlineStr">
        <is>
          <t>VALOR_EXECUTADO_C0</t>
        </is>
      </c>
      <c r="AD1" s="68" t="inlineStr">
        <is>
          <t>QTD_CONTRATADA_VIGENTE_C0</t>
        </is>
      </c>
      <c r="AE1" s="68" t="inlineStr">
        <is>
          <t>QTD_CONTRATADA_VIGENTE_C1</t>
        </is>
      </c>
      <c r="AF1" s="68" t="inlineStr">
        <is>
          <t>QTD_CONTRATADA_VIGENTE_C2</t>
        </is>
      </c>
      <c r="AG1" s="68" t="inlineStr">
        <is>
          <t>QTD_CONTRATADA_VIGENTE_C3</t>
        </is>
      </c>
      <c r="AH1" s="68" t="inlineStr">
        <is>
          <t>QTD_CONTRATADA_VIGENTE_C4</t>
        </is>
      </c>
      <c r="AI1" s="68" t="inlineStr">
        <is>
          <t>QTD_REM_AJUSTADA_C0</t>
        </is>
      </c>
      <c r="AJ1" s="68" t="inlineStr">
        <is>
          <t>QTD_REM_AJUSTADA_C1</t>
        </is>
      </c>
      <c r="AK1" s="68" t="inlineStr">
        <is>
          <t>QTD_REM_AJUSTADA_C2</t>
        </is>
      </c>
      <c r="AL1" s="68" t="inlineStr">
        <is>
          <t>QTD_REM_AJUSTADA_C3</t>
        </is>
      </c>
      <c r="AM1" s="68" t="inlineStr">
        <is>
          <t>QTD_REM_AJUSTADA_C4</t>
        </is>
      </c>
      <c r="AN1" s="68" t="inlineStr">
        <is>
          <t>CHECK_POSICAO_CONTRATUAL</t>
        </is>
      </c>
      <c r="AO1" s="42" t="inlineStr">
        <is>
          <t>QTD_COBERTA_C0</t>
        </is>
      </c>
      <c r="AP1" s="42" t="inlineStr">
        <is>
          <t>QTD_NAO_COBERTA_C0</t>
        </is>
      </c>
      <c r="AQ1" s="42" t="inlineStr">
        <is>
          <t>PARCELA_A_C0</t>
        </is>
      </c>
      <c r="AR1" s="42" t="inlineStr">
        <is>
          <t>PARCELA_B_C0</t>
        </is>
      </c>
      <c r="AS1" s="42" t="inlineStr">
        <is>
          <t>QTD_COBERTA_C1</t>
        </is>
      </c>
      <c r="AT1" s="42" t="inlineStr">
        <is>
          <t>QTD_NAO_COBERTA_C1</t>
        </is>
      </c>
      <c r="AU1" s="42" t="inlineStr">
        <is>
          <t>PARCELA_A_C1</t>
        </is>
      </c>
      <c r="AV1" s="42" t="inlineStr">
        <is>
          <t>PARCELA_B_C1</t>
        </is>
      </c>
      <c r="AW1" s="42" t="inlineStr">
        <is>
          <t>QTD_COBERTA_C2</t>
        </is>
      </c>
      <c r="AX1" s="42" t="inlineStr">
        <is>
          <t>QTD_NAO_COBERTA_C2</t>
        </is>
      </c>
      <c r="AY1" s="42" t="inlineStr">
        <is>
          <t>PARCELA_A_C2</t>
        </is>
      </c>
      <c r="AZ1" s="42" t="inlineStr">
        <is>
          <t>PARCELA_B_C2</t>
        </is>
      </c>
      <c r="BA1" s="42" t="inlineStr">
        <is>
          <t>QTD_COBERTA_C3</t>
        </is>
      </c>
      <c r="BB1" s="42" t="inlineStr">
        <is>
          <t>QTD_NAO_COBERTA_C3</t>
        </is>
      </c>
      <c r="BC1" s="42" t="inlineStr">
        <is>
          <t>PARCELA_A_C3</t>
        </is>
      </c>
      <c r="BD1" s="42" t="inlineStr">
        <is>
          <t>PARCELA_B_C3</t>
        </is>
      </c>
      <c r="BE1" s="42" t="inlineStr">
        <is>
          <t>QTD_COBERTA_C4</t>
        </is>
      </c>
      <c r="BF1" s="42" t="inlineStr">
        <is>
          <t>QTD_NAO_COBERTA_C4</t>
        </is>
      </c>
      <c r="BG1" s="42" t="inlineStr">
        <is>
          <t>PARCELA_A_C4</t>
        </is>
      </c>
      <c r="BH1" s="42" t="inlineStr">
        <is>
          <t>PARCELA_B_C4</t>
        </is>
      </c>
    </row>
    <row r="2">
      <c r="A2" s="86" t="n"/>
      <c r="B2" s="87">
        <f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339" t="n"/>
      <c r="D2" s="335">
        <f>IF(FALSE,ROUND(SUMIF($A1:A$2,"&lt;&gt;",$D1:D$2),2),IF(OR(A2="",B2="",C2=""),"",ROUND(B2*C2,2)))</f>
        <v/>
      </c>
      <c r="E2" s="89" t="n"/>
      <c r="F2" s="335">
        <f>IF(FALSE,ROUND(SUMIF($A1:A$2,"&lt;&gt;",$F1:F$2),2),IF(OR(A2="",posicao_contratual!K2="",C2="",NOT(ISNUMBER($Z$3))),"",ROUND(posicao_contratual!K2*C2*$Z$3,2)))</f>
        <v/>
      </c>
      <c r="G2" s="89" t="n"/>
      <c r="H2" s="335">
        <f>IF(FALSE,ROUND(SUMIF($A1:A$2,"&lt;&gt;",$H1:H$2),2),IF(OR(A2="",posicao_contratual!O2="",C2="",NOT(ISNUMBER($Z$4))),"",ROUND(posicao_contratual!O2*C2*$Z$4,2)))</f>
        <v/>
      </c>
      <c r="I2" s="89" t="n"/>
      <c r="J2" s="335">
        <f>IF(FALSE,ROUND(SUMIF($A1:A$2,"&lt;&gt;",$J1:J$2),2),IF(OR(A2="",posicao_contratual!S2="",C2="",NOT(ISNUMBER($Z$5))),"",ROUND(posicao_contratual!S2*C2*$Z$5,2)))</f>
        <v/>
      </c>
      <c r="K2" s="89" t="n"/>
      <c r="L2" s="335">
        <f>IF(FALSE,ROUND(SUMIF($A1:A$2,"&lt;&gt;",$L1:L$2),2),IF(OR(A2="",posicao_contratual!W2="",C2="",NOT(ISNUMBER($Z$6))),"",ROUND(posicao_contratual!W2*C2*$Z$6,2)))</f>
        <v/>
      </c>
      <c r="M2" s="90">
        <f>IF(OR(posicao_contratual!J2="",posicao_contratual!N2=""),"",ROUND(MAX(posicao_contratual!J2+posicao_contratual!H2-posicao_contratual!N2,0),2))</f>
        <v/>
      </c>
      <c r="N2" s="335">
        <f>IF(FALSE,ROUND(SUMIF($A1:A$2,"&lt;&gt;",$N1:N$2),2),IF(OR(M2="",C2="",NOT(ISNUMBER($Z$3))),"",ROUND(M2*C2*$Z$3,2)))</f>
        <v/>
      </c>
      <c r="O2" s="90">
        <f>IF(OR(posicao_contratual!N2="",posicao_contratual!R2=""),"",ROUND(MAX(posicao_contratual!N2+posicao_contratual!L2-posicao_contratual!R2,0),2))</f>
        <v/>
      </c>
      <c r="P2" s="335">
        <f>IF(FALSE,ROUND(SUMIF($A1:A$2,"&lt;&gt;",$P1:P$2),2),IF(OR(O2="",C2="",NOT(ISNUMBER($Z$4))),"",ROUND(O2*C2*$Z$4,2)))</f>
        <v/>
      </c>
      <c r="Q2" s="90">
        <f>IF(OR(posicao_contratual!R2="",posicao_contratual!V2=""),"",ROUND(MAX(posicao_contratual!R2+posicao_contratual!P2-posicao_contratual!V2,0),2))</f>
        <v/>
      </c>
      <c r="R2" s="335">
        <f>IF(FALSE,ROUND(SUMIF($A1:A$2,"&lt;&gt;",$R1:R$2),2),IF(OR(Q2="",C2="",NOT(ISNUMBER($Z$5))),"",ROUND(Q2*C2*$Z$5,2)))</f>
        <v/>
      </c>
      <c r="S2" s="22" t="n"/>
      <c r="T2" s="340" t="n"/>
      <c r="U2" s="91">
        <f>IF(A2="","",posicao_contratual!X2)</f>
        <v/>
      </c>
      <c r="V2" s="91">
        <f>IF(A2="","",posicao_contratual!X2)</f>
        <v/>
      </c>
      <c r="W2" s="92" t="inlineStr">
        <is>
          <t>C0</t>
        </is>
      </c>
      <c r="X2" s="93">
        <f>parametros!$A$2</f>
        <v/>
      </c>
      <c r="Y2" s="94">
        <f>IF(ISNUMBER(parametros!$E$2),parametros!$E$2,"")</f>
        <v/>
      </c>
      <c r="Z2" s="341">
        <f>IF(ISNUMBER(parametros!$F$2),parametros!$F$2,"")</f>
        <v/>
      </c>
      <c r="AA2" s="13" t="n"/>
      <c r="AB2" s="90">
        <f>IF(OR(A2="",posicao_contratual!E2="",posicao_contratual!J2=""),"",ROUND(MAX(posicao_contratual!E2-posicao_contratual!J2,0),2))</f>
        <v/>
      </c>
      <c r="AC2" s="335">
        <f>IF(FALSE,ROUND(SUMIF($A1:A$2,"&lt;&gt;",$AC1:AC$2),2),IF(OR(AB2="",C2="",NOT(ISNUMBER($Z$2))),"",ROUND(AB2*C2*$Z$2,2)))</f>
        <v/>
      </c>
      <c r="AD2" s="155">
        <f>IF(A2="","",posicao_contratual!E2)</f>
        <v/>
      </c>
      <c r="AE2" s="155">
        <f>IF(A2="","",posicao_contratual!I2)</f>
        <v/>
      </c>
      <c r="AF2" s="155">
        <f>IF(A2="","",posicao_contratual!M2)</f>
        <v/>
      </c>
      <c r="AG2" s="155">
        <f>IF(A2="","",posicao_contratual!Q2)</f>
        <v/>
      </c>
      <c r="AH2" s="155">
        <f>IF(A2="","",posicao_contratual!U2)</f>
        <v/>
      </c>
      <c r="AI2" s="155">
        <f>IF(A2="","",posicao_contratual!G2)</f>
        <v/>
      </c>
      <c r="AJ2" s="155">
        <f>IF(A2="","",posicao_contratual!K2)</f>
        <v/>
      </c>
      <c r="AK2" s="155">
        <f>IF(A2="","",posicao_contratual!O2)</f>
        <v/>
      </c>
      <c r="AL2" s="155">
        <f>IF(A2="","",posicao_contratual!S2)</f>
        <v/>
      </c>
      <c r="AM2" s="155">
        <f>IF(A2="","",posicao_contratual!W2)</f>
        <v/>
      </c>
      <c r="AN2" s="156">
        <f>IF(A2="","",posicao_contratual!X2)</f>
        <v/>
      </c>
      <c r="AO2">
        <f>IF($A2="","",ROUND(SUMIFS(itens_Consumidos!$E$2:$E$200,itens_Consumidos!$A$2:$A$200,$A2),2))</f>
        <v/>
      </c>
      <c r="AP2">
        <f>IF(OR($A2="",AB2=""),"",ROUND(MAX(AB2-AO2,0),2))</f>
        <v/>
      </c>
      <c r="AQ2">
        <f>IF(OR($A2="",AB2="",MEMORIA_RESULTADOS!$I$258=""),"",ROUND(AB2*$C2*(MEMORIA_RESULTADOS!$I$258-1),2))</f>
        <v/>
      </c>
      <c r="AR2">
        <f>IF(OR($A2="",AP2="",MEMORIA_RESULTADOS!$I$258=""),"",ROUND(AP2*$C2*(parametros!$F$2-MEMORIA_RESULTADOS!$I$258),2))</f>
        <v/>
      </c>
      <c r="AS2">
        <f>IF($A2="","",ROUND(SUMIFS(itens_Consumidos!$G$2:$G$200,itens_Consumidos!$A$2:$A$200,$A2),2))</f>
        <v/>
      </c>
      <c r="AT2">
        <f>IF(OR($A2="",M2=""),"",ROUND(MAX(M2-AS2,0),2))</f>
        <v/>
      </c>
      <c r="AU2">
        <f>IF(OR($A2="",M2="",MEMORIA_RESULTADOS!$I$259=""),"",ROUND(M2*$C2*(MEMORIA_RESULTADOS!$I$259-1),2))</f>
        <v/>
      </c>
      <c r="AV2">
        <f>IF(OR($A2="",AT2="",MEMORIA_RESULTADOS!$I$259=""),"",ROUND(AT2*$C2*(parametros!$F$3-MEMORIA_RESULTADOS!$I$259),2))</f>
        <v/>
      </c>
      <c r="AW2">
        <f>IF($A2="","",ROUND(SUMIFS(itens_Consumidos!$I$2:$I$200,itens_Consumidos!$A$2:$A$200,$A2),2))</f>
        <v/>
      </c>
      <c r="AX2">
        <f>IF(OR($A2="",O2=""),"",ROUND(MAX(O2-AW2,0),2))</f>
        <v/>
      </c>
      <c r="AY2">
        <f>IF(OR($A2="",O2="",MEMORIA_RESULTADOS!$I$260=""),"",ROUND(O2*$C2*(MEMORIA_RESULTADOS!$I$260-1),2))</f>
        <v/>
      </c>
      <c r="AZ2">
        <f>IF(OR($A2="",AX2="",MEMORIA_RESULTADOS!$I$260=""),"",ROUND(AX2*$C2*(parametros!$F$4-MEMORIA_RESULTADOS!$I$260),2))</f>
        <v/>
      </c>
      <c r="BA2">
        <f>IF($A2="","",ROUND(SUMIFS(itens_Consumidos!$K$2:$K$200,itens_Consumidos!$A$2:$A$200,$A2),2))</f>
        <v/>
      </c>
      <c r="BB2">
        <f>IF(OR($A2="",Q2=""),"",ROUND(MAX(Q2-BA2,0),2))</f>
        <v/>
      </c>
      <c r="BC2">
        <f>IF(OR($A2="",Q2="",MEMORIA_RESULTADOS!$I$261=""),"",ROUND(Q2*$C2*(MEMORIA_RESULTADOS!$I$261-1),2))</f>
        <v/>
      </c>
      <c r="BD2">
        <f>IF(OR($A2="",BB2="",MEMORIA_RESULTADOS!$I$261=""),"",ROUND(BB2*$C2*(parametros!$F$5-MEMORIA_RESULTADOS!$I$261),2))</f>
        <v/>
      </c>
      <c r="BE2">
        <f>IF($A2="","",ROUND(SUMIFS(itens_Consumidos!$M$2:$M$200,itens_Consumidos!$A$2:$A$200,$A2),2))</f>
        <v/>
      </c>
      <c r="BF2">
        <f>IF(OR($A2="",S2=""),"",ROUND(MAX(S2-BE2,0),2))</f>
        <v/>
      </c>
      <c r="BG2">
        <f>IF(OR($A2="",S2="",MEMORIA_RESULTADOS!$I$262=""),"",ROUND(S2*$C2*(MEMORIA_RESULTADOS!$I$262-1),2))</f>
        <v/>
      </c>
      <c r="BH2">
        <f>IF(OR($A2="",BF2="",MEMORIA_RESULTADOS!$I$262=""),"",ROUND(BF2*$C2*(parametros!$F$6-MEMORIA_RESULTADOS!$I$262),2))</f>
        <v/>
      </c>
    </row>
    <row r="3">
      <c r="A3" s="86" t="n"/>
      <c r="B3" s="87">
        <f>IF(AND(LEN(TRIM($A3))=4,LEFT(TRIM($A3),1)="N",ISNUMBER(--MID(TRIM($A3),2,3)),ISERROR(FIND(".",$A3)),ISERROR(FIND(",",$A3)),ISERROR(FIND("-",$A3)),ISERROR(FIND("+",$A3)),ISERROR(SEARCH("E",$A3,2)),ISERROR(FIND(" ",TRIM($A3)))),0,"")</f>
        <v/>
      </c>
      <c r="C3" s="339" t="n"/>
      <c r="D3" s="335">
        <f>IF(AND(A3="",A2&lt;&gt;"",COUNTIF(A4:$A$200,"&lt;&gt;")=0),ROUND(SUMIF($A$2:A2,"&lt;&gt;",$D$2:D2),2),IF(OR(A3="",B3="",C3=""),"",ROUND(B3*C3,2)))</f>
        <v/>
      </c>
      <c r="E3" s="89" t="n"/>
      <c r="F3" s="335">
        <f>IF(AND(A3="",A2&lt;&gt;"",COUNTIF(A4:$A$200,"&lt;&gt;")=0),ROUND(SUMIF($A$2:A2,"&lt;&gt;",$F$2:F2),2),IF(OR(A3="",posicao_contratual!K3="",C3="",NOT(ISNUMBER($Z$3))),"",ROUND(posicao_contratual!K3*C3*$Z$3,2)))</f>
        <v/>
      </c>
      <c r="G3" s="89" t="n"/>
      <c r="H3" s="335">
        <f>IF(AND(A3="",A2&lt;&gt;"",COUNTIF(A4:$A$200,"&lt;&gt;")=0),ROUND(SUMIF($A$2:A2,"&lt;&gt;",$H$2:H2),2),IF(OR(A3="",posicao_contratual!O3="",C3="",NOT(ISNUMBER($Z$4))),"",ROUND(posicao_contratual!O3*C3*$Z$4,2)))</f>
        <v/>
      </c>
      <c r="I3" s="89" t="n"/>
      <c r="J3" s="335">
        <f>IF(AND(A3="",A2&lt;&gt;"",COUNTIF(A4:$A$200,"&lt;&gt;")=0),ROUND(SUMIF($A$2:A2,"&lt;&gt;",$J$2:J2),2),IF(OR(A3="",posicao_contratual!S3="",C3="",NOT(ISNUMBER($Z$5))),"",ROUND(posicao_contratual!S3*C3*$Z$5,2)))</f>
        <v/>
      </c>
      <c r="K3" s="89" t="n"/>
      <c r="L3" s="335">
        <f>IF(AND(A3="",A2&lt;&gt;"",COUNTIF(A4:$A$200,"&lt;&gt;")=0),ROUND(SUMIF($A$2:A2,"&lt;&gt;",$L$2:L2),2),IF(OR(A3="",posicao_contratual!W3="",C3="",NOT(ISNUMBER($Z$6))),"",ROUND(posicao_contratual!W3*C3*$Z$6,2)))</f>
        <v/>
      </c>
      <c r="M3" s="90">
        <f>IF(OR(posicao_contratual!J3="",posicao_contratual!N3=""),"",ROUND(MAX(posicao_contratual!J3+posicao_contratual!H3-posicao_contratual!N3,0),2))</f>
        <v/>
      </c>
      <c r="N3" s="335">
        <f>IF(AND(A3="",A2&lt;&gt;"",COUNTIF(A4:$A$200,"&lt;&gt;")=0),ROUND(SUMIF($A$2:A2,"&lt;&gt;",$N$2:N2),2),IF(OR(M3="",C3="",NOT(ISNUMBER($Z$3))),"",ROUND(M3*C3*$Z$3,2)))</f>
        <v/>
      </c>
      <c r="O3" s="90">
        <f>IF(OR(posicao_contratual!N3="",posicao_contratual!R3=""),"",ROUND(MAX(posicao_contratual!N3+posicao_contratual!L3-posicao_contratual!R3,0),2))</f>
        <v/>
      </c>
      <c r="P3" s="335">
        <f>IF(AND(A3="",A2&lt;&gt;"",COUNTIF(A4:$A$200,"&lt;&gt;")=0),ROUND(SUMIF($A$2:A2,"&lt;&gt;",$P$2:P2),2),IF(OR(O3="",C3="",NOT(ISNUMBER($Z$4))),"",ROUND(O3*C3*$Z$4,2)))</f>
        <v/>
      </c>
      <c r="Q3" s="90">
        <f>IF(OR(posicao_contratual!R3="",posicao_contratual!V3=""),"",ROUND(MAX(posicao_contratual!R3+posicao_contratual!P3-posicao_contratual!V3,0),2))</f>
        <v/>
      </c>
      <c r="R3" s="335">
        <f>IF(AND(A3="",A2&lt;&gt;"",COUNTIF(A4:$A$200,"&lt;&gt;")=0),ROUND(SUMIF($A$2:A2,"&lt;&gt;",$R$2:R2),2),IF(OR(Q3="",C3="",NOT(ISNUMBER($Z$5))),"",ROUND(Q3*C3*$Z$5,2)))</f>
        <v/>
      </c>
      <c r="S3" s="22" t="n"/>
      <c r="T3" s="340" t="n"/>
      <c r="U3" s="91">
        <f>IF(AND(A3="",A2&lt;&gt;"",COUNTIF(A4:$A$200,"&lt;&gt;")=0),"TOTAL",IF(A3="","",posicao_contratual!X3))</f>
        <v/>
      </c>
      <c r="V3" s="91">
        <f>IF(A3="","",posicao_contratual!X3)</f>
        <v/>
      </c>
      <c r="W3" s="92" t="inlineStr">
        <is>
          <t>C1</t>
        </is>
      </c>
      <c r="X3" s="93">
        <f>parametros!$A$3</f>
        <v/>
      </c>
      <c r="Y3" s="94">
        <f>IF(ISNUMBER(parametros!$E$3),parametros!$E$3,"")</f>
        <v/>
      </c>
      <c r="Z3" s="341">
        <f>IF(ISNUMBER(parametros!$F$3),parametros!$F$3,"")</f>
        <v/>
      </c>
      <c r="AA3" s="13" t="n"/>
      <c r="AB3" s="90">
        <f>IF(OR(A3="",posicao_contratual!E3="",posicao_contratual!J3=""),"",ROUND(MAX(posicao_contratual!E3-posicao_contratual!J3,0),2))</f>
        <v/>
      </c>
      <c r="AC3" s="335">
        <f>IF(AND(A3="",A2&lt;&gt;"",COUNTIF(A4:$A$200,"&lt;&gt;")=0),ROUND(SUMIF($A$2:A2,"&lt;&gt;",$AC$2:AC2),2),IF(OR(AB3="",C3="",NOT(ISNUMBER($Z$2))),"",ROUND(AB3*C3*$Z$2,2)))</f>
        <v/>
      </c>
      <c r="AD3" s="155">
        <f>IF(A3="","",posicao_contratual!E3)</f>
        <v/>
      </c>
      <c r="AE3" s="155">
        <f>IF(A3="","",posicao_contratual!I3)</f>
        <v/>
      </c>
      <c r="AF3" s="155">
        <f>IF(A3="","",posicao_contratual!M3)</f>
        <v/>
      </c>
      <c r="AG3" s="155">
        <f>IF(A3="","",posicao_contratual!Q3)</f>
        <v/>
      </c>
      <c r="AH3" s="155">
        <f>IF(A3="","",posicao_contratual!U3)</f>
        <v/>
      </c>
      <c r="AI3" s="155">
        <f>IF(A3="","",posicao_contratual!G3)</f>
        <v/>
      </c>
      <c r="AJ3" s="155">
        <f>IF(A3="","",posicao_contratual!K3)</f>
        <v/>
      </c>
      <c r="AK3" s="155">
        <f>IF(A3="","",posicao_contratual!O3)</f>
        <v/>
      </c>
      <c r="AL3" s="155">
        <f>IF(A3="","",posicao_contratual!S3)</f>
        <v/>
      </c>
      <c r="AM3" s="155">
        <f>IF(A3="","",posicao_contratual!W3)</f>
        <v/>
      </c>
      <c r="AN3" s="156">
        <f>IF(A3="","",posicao_contratual!X3)</f>
        <v/>
      </c>
      <c r="AO3">
        <f>IF($A3="","",ROUND(SUMIFS(itens_Consumidos!$E$2:$E$200,itens_Consumidos!$A$2:$A$200,$A3),2))</f>
        <v/>
      </c>
      <c r="AP3">
        <f>IF(OR($A3="",AB3=""),"",ROUND(MAX(AB3-AO3,0),2))</f>
        <v/>
      </c>
      <c r="AQ3">
        <f>IF(OR($A3="",AB3="",MEMORIA_RESULTADOS!$I$258=""),"",ROUND(AB3*$C3*(MEMORIA_RESULTADOS!$I$258-1),2))</f>
        <v/>
      </c>
      <c r="AR3">
        <f>IF(OR($A3="",AP3="",MEMORIA_RESULTADOS!$I$258=""),"",ROUND(AP3*$C3*(parametros!$F$2-MEMORIA_RESULTADOS!$I$258),2))</f>
        <v/>
      </c>
      <c r="AS3">
        <f>IF($A3="","",ROUND(SUMIFS(itens_Consumidos!$G$2:$G$200,itens_Consumidos!$A$2:$A$200,$A3),2))</f>
        <v/>
      </c>
      <c r="AT3">
        <f>IF(OR($A3="",M3=""),"",ROUND(MAX(M3-AS3,0),2))</f>
        <v/>
      </c>
      <c r="AU3">
        <f>IF(OR($A3="",M3="",MEMORIA_RESULTADOS!$I$259=""),"",ROUND(M3*$C3*(MEMORIA_RESULTADOS!$I$259-1),2))</f>
        <v/>
      </c>
      <c r="AV3">
        <f>IF(OR($A3="",AT3="",MEMORIA_RESULTADOS!$I$259=""),"",ROUND(AT3*$C3*(parametros!$F$3-MEMORIA_RESULTADOS!$I$259),2))</f>
        <v/>
      </c>
      <c r="AW3">
        <f>IF($A3="","",ROUND(SUMIFS(itens_Consumidos!$I$2:$I$200,itens_Consumidos!$A$2:$A$200,$A3),2))</f>
        <v/>
      </c>
      <c r="AX3">
        <f>IF(OR($A3="",O3=""),"",ROUND(MAX(O3-AW3,0),2))</f>
        <v/>
      </c>
      <c r="AY3">
        <f>IF(OR($A3="",O3="",MEMORIA_RESULTADOS!$I$260=""),"",ROUND(O3*$C3*(MEMORIA_RESULTADOS!$I$260-1),2))</f>
        <v/>
      </c>
      <c r="AZ3">
        <f>IF(OR($A3="",AX3="",MEMORIA_RESULTADOS!$I$260=""),"",ROUND(AX3*$C3*(parametros!$F$4-MEMORIA_RESULTADOS!$I$260),2))</f>
        <v/>
      </c>
      <c r="BA3">
        <f>IF($A3="","",ROUND(SUMIFS(itens_Consumidos!$K$2:$K$200,itens_Consumidos!$A$2:$A$200,$A3),2))</f>
        <v/>
      </c>
      <c r="BB3">
        <f>IF(OR($A3="",Q3=""),"",ROUND(MAX(Q3-BA3,0),2))</f>
        <v/>
      </c>
      <c r="BC3">
        <f>IF(OR($A3="",Q3="",MEMORIA_RESULTADOS!$I$261=""),"",ROUND(Q3*$C3*(MEMORIA_RESULTADOS!$I$261-1),2))</f>
        <v/>
      </c>
      <c r="BD3">
        <f>IF(OR($A3="",BB3="",MEMORIA_RESULTADOS!$I$261=""),"",ROUND(BB3*$C3*(parametros!$F$5-MEMORIA_RESULTADOS!$I$261),2))</f>
        <v/>
      </c>
      <c r="BE3">
        <f>IF($A3="","",ROUND(SUMIFS(itens_Consumidos!$M$2:$M$200,itens_Consumidos!$A$2:$A$200,$A3),2))</f>
        <v/>
      </c>
      <c r="BF3">
        <f>IF(OR($A3="",S3=""),"",ROUND(MAX(S3-BE3,0),2))</f>
        <v/>
      </c>
      <c r="BG3">
        <f>IF(OR($A3="",S3="",MEMORIA_RESULTADOS!$I$262=""),"",ROUND(S3*$C3*(MEMORIA_RESULTADOS!$I$262-1),2))</f>
        <v/>
      </c>
      <c r="BH3">
        <f>IF(OR($A3="",BF3="",MEMORIA_RESULTADOS!$I$262=""),"",ROUND(BF3*$C3*(parametros!$F$6-MEMORIA_RESULTADOS!$I$262),2))</f>
        <v/>
      </c>
    </row>
    <row r="4">
      <c r="A4" s="86" t="n"/>
      <c r="B4" s="87">
        <f>IF(AND(LEN(TRIM($A4))=4,LEFT(TRIM($A4),1)="N",ISNUMBER(--MID(TRIM($A4),2,3)),ISERROR(FIND(".",$A4)),ISERROR(FIND(",",$A4)),ISERROR(FIND("-",$A4)),ISERROR(FIND("+",$A4)),ISERROR(SEARCH("E",$A4,2)),ISERROR(FIND(" ",TRIM($A4)))),0,"")</f>
        <v/>
      </c>
      <c r="C4" s="339" t="n"/>
      <c r="D4" s="335">
        <f>IF(AND(A4="",A3&lt;&gt;"",COUNTIF(A5:$A$200,"&lt;&gt;")=0),ROUND(SUMIF($A$2:A3,"&lt;&gt;",$D$2:D3),2),IF(OR(A4="",B4="",C4=""),"",ROUND(B4*C4,2)))</f>
        <v/>
      </c>
      <c r="E4" s="89" t="n"/>
      <c r="F4" s="335">
        <f>IF(AND(A4="",A3&lt;&gt;"",COUNTIF(A5:$A$200,"&lt;&gt;")=0),ROUND(SUMIF($A$2:A3,"&lt;&gt;",$F$2:F3),2),IF(OR(A4="",posicao_contratual!K4="",C4="",NOT(ISNUMBER($Z$3))),"",ROUND(posicao_contratual!K4*C4*$Z$3,2)))</f>
        <v/>
      </c>
      <c r="G4" s="89" t="n"/>
      <c r="H4" s="335">
        <f>IF(AND(A4="",A3&lt;&gt;"",COUNTIF(A5:$A$200,"&lt;&gt;")=0),ROUND(SUMIF($A$2:A3,"&lt;&gt;",$H$2:H3),2),IF(OR(A4="",posicao_contratual!O4="",C4="",NOT(ISNUMBER($Z$4))),"",ROUND(posicao_contratual!O4*C4*$Z$4,2)))</f>
        <v/>
      </c>
      <c r="I4" s="89" t="n"/>
      <c r="J4" s="335">
        <f>IF(AND(A4="",A3&lt;&gt;"",COUNTIF(A5:$A$200,"&lt;&gt;")=0),ROUND(SUMIF($A$2:A3,"&lt;&gt;",$J$2:J3),2),IF(OR(A4="",posicao_contratual!S4="",C4="",NOT(ISNUMBER($Z$5))),"",ROUND(posicao_contratual!S4*C4*$Z$5,2)))</f>
        <v/>
      </c>
      <c r="K4" s="89" t="n"/>
      <c r="L4" s="335">
        <f>IF(AND(A4="",A3&lt;&gt;"",COUNTIF(A5:$A$200,"&lt;&gt;")=0),ROUND(SUMIF($A$2:A3,"&lt;&gt;",$L$2:L3),2),IF(OR(A4="",posicao_contratual!W4="",C4="",NOT(ISNUMBER($Z$6))),"",ROUND(posicao_contratual!W4*C4*$Z$6,2)))</f>
        <v/>
      </c>
      <c r="M4" s="90">
        <f>IF(OR(posicao_contratual!J4="",posicao_contratual!N4=""),"",ROUND(MAX(posicao_contratual!J4+posicao_contratual!H4-posicao_contratual!N4,0),2))</f>
        <v/>
      </c>
      <c r="N4" s="335">
        <f>IF(AND(A4="",A3&lt;&gt;"",COUNTIF(A5:$A$200,"&lt;&gt;")=0),ROUND(SUMIF($A$2:A3,"&lt;&gt;",$N$2:N3),2),IF(OR(M4="",C4="",NOT(ISNUMBER($Z$3))),"",ROUND(M4*C4*$Z$3,2)))</f>
        <v/>
      </c>
      <c r="O4" s="90">
        <f>IF(OR(posicao_contratual!N4="",posicao_contratual!R4=""),"",ROUND(MAX(posicao_contratual!N4+posicao_contratual!L4-posicao_contratual!R4,0),2))</f>
        <v/>
      </c>
      <c r="P4" s="335">
        <f>IF(AND(A4="",A3&lt;&gt;"",COUNTIF(A5:$A$200,"&lt;&gt;")=0),ROUND(SUMIF($A$2:A3,"&lt;&gt;",$P$2:P3),2),IF(OR(O4="",C4="",NOT(ISNUMBER($Z$4))),"",ROUND(O4*C4*$Z$4,2)))</f>
        <v/>
      </c>
      <c r="Q4" s="90">
        <f>IF(OR(posicao_contratual!R4="",posicao_contratual!V4=""),"",ROUND(MAX(posicao_contratual!R4+posicao_contratual!P4-posicao_contratual!V4,0),2))</f>
        <v/>
      </c>
      <c r="R4" s="335">
        <f>IF(AND(A4="",A3&lt;&gt;"",COUNTIF(A5:$A$200,"&lt;&gt;")=0),ROUND(SUMIF($A$2:A3,"&lt;&gt;",$R$2:R3),2),IF(OR(Q4="",C4="",NOT(ISNUMBER($Z$5))),"",ROUND(Q4*C4*$Z$5,2)))</f>
        <v/>
      </c>
      <c r="S4" s="22" t="n"/>
      <c r="T4" s="340" t="n"/>
      <c r="U4" s="91">
        <f>IF(AND(A4="",A3&lt;&gt;"",COUNTIF(A5:$A$200,"&lt;&gt;")=0),"TOTAL",IF(A4="","",posicao_contratual!X4))</f>
        <v/>
      </c>
      <c r="V4" s="91">
        <f>IF(A4="","",posicao_contratual!X4)</f>
        <v/>
      </c>
      <c r="W4" s="92" t="inlineStr">
        <is>
          <t>C2</t>
        </is>
      </c>
      <c r="X4" s="93">
        <f>parametros!$A$4</f>
        <v/>
      </c>
      <c r="Y4" s="94">
        <f>IF(ISNUMBER(parametros!$E$4),parametros!$E$4,"")</f>
        <v/>
      </c>
      <c r="Z4" s="341">
        <f>IF(ISNUMBER(parametros!$F$4),parametros!$F$4,"")</f>
        <v/>
      </c>
      <c r="AA4" s="13" t="n"/>
      <c r="AB4" s="90">
        <f>IF(OR(A4="",posicao_contratual!E4="",posicao_contratual!J4=""),"",ROUND(MAX(posicao_contratual!E4-posicao_contratual!J4,0),2))</f>
        <v/>
      </c>
      <c r="AC4" s="335">
        <f>IF(AND(A4="",A3&lt;&gt;"",COUNTIF(A5:$A$200,"&lt;&gt;")=0),ROUND(SUMIF($A$2:A3,"&lt;&gt;",$AC$2:AC3),2),IF(OR(AB4="",C4="",NOT(ISNUMBER($Z$2))),"",ROUND(AB4*C4*$Z$2,2)))</f>
        <v/>
      </c>
      <c r="AD4" s="155">
        <f>IF(A4="","",posicao_contratual!E4)</f>
        <v/>
      </c>
      <c r="AE4" s="155">
        <f>IF(A4="","",posicao_contratual!I4)</f>
        <v/>
      </c>
      <c r="AF4" s="155">
        <f>IF(A4="","",posicao_contratual!M4)</f>
        <v/>
      </c>
      <c r="AG4" s="155">
        <f>IF(A4="","",posicao_contratual!Q4)</f>
        <v/>
      </c>
      <c r="AH4" s="155">
        <f>IF(A4="","",posicao_contratual!U4)</f>
        <v/>
      </c>
      <c r="AI4" s="155">
        <f>IF(A4="","",posicao_contratual!G4)</f>
        <v/>
      </c>
      <c r="AJ4" s="155">
        <f>IF(A4="","",posicao_contratual!K4)</f>
        <v/>
      </c>
      <c r="AK4" s="155">
        <f>IF(A4="","",posicao_contratual!O4)</f>
        <v/>
      </c>
      <c r="AL4" s="155">
        <f>IF(A4="","",posicao_contratual!S4)</f>
        <v/>
      </c>
      <c r="AM4" s="155">
        <f>IF(A4="","",posicao_contratual!W4)</f>
        <v/>
      </c>
      <c r="AN4" s="156">
        <f>IF(A4="","",posicao_contratual!X4)</f>
        <v/>
      </c>
      <c r="AO4">
        <f>IF($A4="","",ROUND(SUMIFS(itens_Consumidos!$E$2:$E$200,itens_Consumidos!$A$2:$A$200,$A4),2))</f>
        <v/>
      </c>
      <c r="AP4">
        <f>IF(OR($A4="",AB4=""),"",ROUND(MAX(AB4-AO4,0),2))</f>
        <v/>
      </c>
      <c r="AQ4">
        <f>IF(OR($A4="",AB4="",MEMORIA_RESULTADOS!$I$258=""),"",ROUND(AB4*$C4*(MEMORIA_RESULTADOS!$I$258-1),2))</f>
        <v/>
      </c>
      <c r="AR4">
        <f>IF(OR($A4="",AP4="",MEMORIA_RESULTADOS!$I$258=""),"",ROUND(AP4*$C4*(parametros!$F$2-MEMORIA_RESULTADOS!$I$258),2))</f>
        <v/>
      </c>
      <c r="AS4">
        <f>IF($A4="","",ROUND(SUMIFS(itens_Consumidos!$G$2:$G$200,itens_Consumidos!$A$2:$A$200,$A4),2))</f>
        <v/>
      </c>
      <c r="AT4">
        <f>IF(OR($A4="",M4=""),"",ROUND(MAX(M4-AS4,0),2))</f>
        <v/>
      </c>
      <c r="AU4">
        <f>IF(OR($A4="",M4="",MEMORIA_RESULTADOS!$I$259=""),"",ROUND(M4*$C4*(MEMORIA_RESULTADOS!$I$259-1),2))</f>
        <v/>
      </c>
      <c r="AV4">
        <f>IF(OR($A4="",AT4="",MEMORIA_RESULTADOS!$I$259=""),"",ROUND(AT4*$C4*(parametros!$F$3-MEMORIA_RESULTADOS!$I$259),2))</f>
        <v/>
      </c>
      <c r="AW4">
        <f>IF($A4="","",ROUND(SUMIFS(itens_Consumidos!$I$2:$I$200,itens_Consumidos!$A$2:$A$200,$A4),2))</f>
        <v/>
      </c>
      <c r="AX4">
        <f>IF(OR($A4="",O4=""),"",ROUND(MAX(O4-AW4,0),2))</f>
        <v/>
      </c>
      <c r="AY4">
        <f>IF(OR($A4="",O4="",MEMORIA_RESULTADOS!$I$260=""),"",ROUND(O4*$C4*(MEMORIA_RESULTADOS!$I$260-1),2))</f>
        <v/>
      </c>
      <c r="AZ4">
        <f>IF(OR($A4="",AX4="",MEMORIA_RESULTADOS!$I$260=""),"",ROUND(AX4*$C4*(parametros!$F$4-MEMORIA_RESULTADOS!$I$260),2))</f>
        <v/>
      </c>
      <c r="BA4">
        <f>IF($A4="","",ROUND(SUMIFS(itens_Consumidos!$K$2:$K$200,itens_Consumidos!$A$2:$A$200,$A4),2))</f>
        <v/>
      </c>
      <c r="BB4">
        <f>IF(OR($A4="",Q4=""),"",ROUND(MAX(Q4-BA4,0),2))</f>
        <v/>
      </c>
      <c r="BC4">
        <f>IF(OR($A4="",Q4="",MEMORIA_RESULTADOS!$I$261=""),"",ROUND(Q4*$C4*(MEMORIA_RESULTADOS!$I$261-1),2))</f>
        <v/>
      </c>
      <c r="BD4">
        <f>IF(OR($A4="",BB4="",MEMORIA_RESULTADOS!$I$261=""),"",ROUND(BB4*$C4*(parametros!$F$5-MEMORIA_RESULTADOS!$I$261),2))</f>
        <v/>
      </c>
      <c r="BE4">
        <f>IF($A4="","",ROUND(SUMIFS(itens_Consumidos!$M$2:$M$200,itens_Consumidos!$A$2:$A$200,$A4),2))</f>
        <v/>
      </c>
      <c r="BF4">
        <f>IF(OR($A4="",S4=""),"",ROUND(MAX(S4-BE4,0),2))</f>
        <v/>
      </c>
      <c r="BG4">
        <f>IF(OR($A4="",S4="",MEMORIA_RESULTADOS!$I$262=""),"",ROUND(S4*$C4*(MEMORIA_RESULTADOS!$I$262-1),2))</f>
        <v/>
      </c>
      <c r="BH4">
        <f>IF(OR($A4="",BF4="",MEMORIA_RESULTADOS!$I$262=""),"",ROUND(BF4*$C4*(parametros!$F$6-MEMORIA_RESULTADOS!$I$262),2))</f>
        <v/>
      </c>
    </row>
    <row r="5">
      <c r="A5" s="86" t="n"/>
      <c r="B5" s="87">
        <f>IF(AND(LEN(TRIM($A5))=4,LEFT(TRIM($A5),1)="N",ISNUMBER(--MID(TRIM($A5),2,3)),ISERROR(FIND(".",$A5)),ISERROR(FIND(",",$A5)),ISERROR(FIND("-",$A5)),ISERROR(FIND("+",$A5)),ISERROR(SEARCH("E",$A5,2)),ISERROR(FIND(" ",TRIM($A5)))),0,"")</f>
        <v/>
      </c>
      <c r="C5" s="339" t="n"/>
      <c r="D5" s="335">
        <f>IF(AND(A5="",A4&lt;&gt;"",COUNTIF(A6:$A$200,"&lt;&gt;")=0),ROUND(SUMIF($A$2:A4,"&lt;&gt;",$D$2:D4),2),IF(OR(A5="",B5="",C5=""),"",ROUND(B5*C5,2)))</f>
        <v/>
      </c>
      <c r="E5" s="89" t="n"/>
      <c r="F5" s="335">
        <f>IF(AND(A5="",A4&lt;&gt;"",COUNTIF(A6:$A$200,"&lt;&gt;")=0),ROUND(SUMIF($A$2:A4,"&lt;&gt;",$F$2:F4),2),IF(OR(A5="",posicao_contratual!K5="",C5="",NOT(ISNUMBER($Z$3))),"",ROUND(posicao_contratual!K5*C5*$Z$3,2)))</f>
        <v/>
      </c>
      <c r="G5" s="89" t="n"/>
      <c r="H5" s="335">
        <f>IF(AND(A5="",A4&lt;&gt;"",COUNTIF(A6:$A$200,"&lt;&gt;")=0),ROUND(SUMIF($A$2:A4,"&lt;&gt;",$H$2:H4),2),IF(OR(A5="",posicao_contratual!O5="",C5="",NOT(ISNUMBER($Z$4))),"",ROUND(posicao_contratual!O5*C5*$Z$4,2)))</f>
        <v/>
      </c>
      <c r="I5" s="89" t="n"/>
      <c r="J5" s="335">
        <f>IF(AND(A5="",A4&lt;&gt;"",COUNTIF(A6:$A$200,"&lt;&gt;")=0),ROUND(SUMIF($A$2:A4,"&lt;&gt;",$J$2:J4),2),IF(OR(A5="",posicao_contratual!S5="",C5="",NOT(ISNUMBER($Z$5))),"",ROUND(posicao_contratual!S5*C5*$Z$5,2)))</f>
        <v/>
      </c>
      <c r="K5" s="89" t="n"/>
      <c r="L5" s="335">
        <f>IF(AND(A5="",A4&lt;&gt;"",COUNTIF(A6:$A$200,"&lt;&gt;")=0),ROUND(SUMIF($A$2:A4,"&lt;&gt;",$L$2:L4),2),IF(OR(A5="",posicao_contratual!W5="",C5="",NOT(ISNUMBER($Z$6))),"",ROUND(posicao_contratual!W5*C5*$Z$6,2)))</f>
        <v/>
      </c>
      <c r="M5" s="90">
        <f>IF(OR(posicao_contratual!J5="",posicao_contratual!N5=""),"",ROUND(MAX(posicao_contratual!J5+posicao_contratual!H5-posicao_contratual!N5,0),2))</f>
        <v/>
      </c>
      <c r="N5" s="335">
        <f>IF(AND(A5="",A4&lt;&gt;"",COUNTIF(A6:$A$200,"&lt;&gt;")=0),ROUND(SUMIF($A$2:A4,"&lt;&gt;",$N$2:N4),2),IF(OR(M5="",C5="",NOT(ISNUMBER($Z$3))),"",ROUND(M5*C5*$Z$3,2)))</f>
        <v/>
      </c>
      <c r="O5" s="90">
        <f>IF(OR(posicao_contratual!N5="",posicao_contratual!R5=""),"",ROUND(MAX(posicao_contratual!N5+posicao_contratual!L5-posicao_contratual!R5,0),2))</f>
        <v/>
      </c>
      <c r="P5" s="335">
        <f>IF(AND(A5="",A4&lt;&gt;"",COUNTIF(A6:$A$200,"&lt;&gt;")=0),ROUND(SUMIF($A$2:A4,"&lt;&gt;",$P$2:P4),2),IF(OR(O5="",C5="",NOT(ISNUMBER($Z$4))),"",ROUND(O5*C5*$Z$4,2)))</f>
        <v/>
      </c>
      <c r="Q5" s="90">
        <f>IF(OR(posicao_contratual!R5="",posicao_contratual!V5=""),"",ROUND(MAX(posicao_contratual!R5+posicao_contratual!P5-posicao_contratual!V5,0),2))</f>
        <v/>
      </c>
      <c r="R5" s="335">
        <f>IF(AND(A5="",A4&lt;&gt;"",COUNTIF(A6:$A$200,"&lt;&gt;")=0),ROUND(SUMIF($A$2:A4,"&lt;&gt;",$R$2:R4),2),IF(OR(Q5="",C5="",NOT(ISNUMBER($Z$5))),"",ROUND(Q5*C5*$Z$5,2)))</f>
        <v/>
      </c>
      <c r="S5" s="22" t="n"/>
      <c r="T5" s="340" t="n"/>
      <c r="U5" s="91">
        <f>IF(AND(A5="",A4&lt;&gt;"",COUNTIF(A6:$A$200,"&lt;&gt;")=0),"TOTAL",IF(A5="","",posicao_contratual!X5))</f>
        <v/>
      </c>
      <c r="V5" s="91">
        <f>IF(A5="","",posicao_contratual!X5)</f>
        <v/>
      </c>
      <c r="W5" s="92" t="inlineStr">
        <is>
          <t>C3</t>
        </is>
      </c>
      <c r="X5" s="93">
        <f>parametros!$A$5</f>
        <v/>
      </c>
      <c r="Y5" s="94">
        <f>IF(ISNUMBER(parametros!$E$5),parametros!$E$5,"")</f>
        <v/>
      </c>
      <c r="Z5" s="341">
        <f>IF(ISNUMBER(parametros!$F$5),parametros!$F$5,"")</f>
        <v/>
      </c>
      <c r="AA5" s="13" t="n"/>
      <c r="AB5" s="90">
        <f>IF(OR(A5="",posicao_contratual!E5="",posicao_contratual!J5=""),"",ROUND(MAX(posicao_contratual!E5-posicao_contratual!J5,0),2))</f>
        <v/>
      </c>
      <c r="AC5" s="335">
        <f>IF(AND(A5="",A4&lt;&gt;"",COUNTIF(A6:$A$200,"&lt;&gt;")=0),ROUND(SUMIF($A$2:A4,"&lt;&gt;",$AC$2:AC4),2),IF(OR(AB5="",C5="",NOT(ISNUMBER($Z$2))),"",ROUND(AB5*C5*$Z$2,2)))</f>
        <v/>
      </c>
      <c r="AD5" s="155">
        <f>IF(A5="","",posicao_contratual!E5)</f>
        <v/>
      </c>
      <c r="AE5" s="155">
        <f>IF(A5="","",posicao_contratual!I5)</f>
        <v/>
      </c>
      <c r="AF5" s="155">
        <f>IF(A5="","",posicao_contratual!M5)</f>
        <v/>
      </c>
      <c r="AG5" s="155">
        <f>IF(A5="","",posicao_contratual!Q5)</f>
        <v/>
      </c>
      <c r="AH5" s="155">
        <f>IF(A5="","",posicao_contratual!U5)</f>
        <v/>
      </c>
      <c r="AI5" s="155">
        <f>IF(A5="","",posicao_contratual!G5)</f>
        <v/>
      </c>
      <c r="AJ5" s="155">
        <f>IF(A5="","",posicao_contratual!K5)</f>
        <v/>
      </c>
      <c r="AK5" s="155">
        <f>IF(A5="","",posicao_contratual!O5)</f>
        <v/>
      </c>
      <c r="AL5" s="155">
        <f>IF(A5="","",posicao_contratual!S5)</f>
        <v/>
      </c>
      <c r="AM5" s="155">
        <f>IF(A5="","",posicao_contratual!W5)</f>
        <v/>
      </c>
      <c r="AN5" s="156">
        <f>IF(A5="","",posicao_contratual!X5)</f>
        <v/>
      </c>
      <c r="AO5">
        <f>IF($A5="","",ROUND(SUMIFS(itens_Consumidos!$E$2:$E$200,itens_Consumidos!$A$2:$A$200,$A5),2))</f>
        <v/>
      </c>
      <c r="AP5">
        <f>IF(OR($A5="",AB5=""),"",ROUND(MAX(AB5-AO5,0),2))</f>
        <v/>
      </c>
      <c r="AQ5">
        <f>IF(OR($A5="",AB5="",MEMORIA_RESULTADOS!$I$258=""),"",ROUND(AB5*$C5*(MEMORIA_RESULTADOS!$I$258-1),2))</f>
        <v/>
      </c>
      <c r="AR5">
        <f>IF(OR($A5="",AP5="",MEMORIA_RESULTADOS!$I$258=""),"",ROUND(AP5*$C5*(parametros!$F$2-MEMORIA_RESULTADOS!$I$258),2))</f>
        <v/>
      </c>
      <c r="AS5">
        <f>IF($A5="","",ROUND(SUMIFS(itens_Consumidos!$G$2:$G$200,itens_Consumidos!$A$2:$A$200,$A5),2))</f>
        <v/>
      </c>
      <c r="AT5">
        <f>IF(OR($A5="",M5=""),"",ROUND(MAX(M5-AS5,0),2))</f>
        <v/>
      </c>
      <c r="AU5">
        <f>IF(OR($A5="",M5="",MEMORIA_RESULTADOS!$I$259=""),"",ROUND(M5*$C5*(MEMORIA_RESULTADOS!$I$259-1),2))</f>
        <v/>
      </c>
      <c r="AV5">
        <f>IF(OR($A5="",AT5="",MEMORIA_RESULTADOS!$I$259=""),"",ROUND(AT5*$C5*(parametros!$F$3-MEMORIA_RESULTADOS!$I$259),2))</f>
        <v/>
      </c>
      <c r="AW5">
        <f>IF($A5="","",ROUND(SUMIFS(itens_Consumidos!$I$2:$I$200,itens_Consumidos!$A$2:$A$200,$A5),2))</f>
        <v/>
      </c>
      <c r="AX5">
        <f>IF(OR($A5="",O5=""),"",ROUND(MAX(O5-AW5,0),2))</f>
        <v/>
      </c>
      <c r="AY5">
        <f>IF(OR($A5="",O5="",MEMORIA_RESULTADOS!$I$260=""),"",ROUND(O5*$C5*(MEMORIA_RESULTADOS!$I$260-1),2))</f>
        <v/>
      </c>
      <c r="AZ5">
        <f>IF(OR($A5="",AX5="",MEMORIA_RESULTADOS!$I$260=""),"",ROUND(AX5*$C5*(parametros!$F$4-MEMORIA_RESULTADOS!$I$260),2))</f>
        <v/>
      </c>
      <c r="BA5">
        <f>IF($A5="","",ROUND(SUMIFS(itens_Consumidos!$K$2:$K$200,itens_Consumidos!$A$2:$A$200,$A5),2))</f>
        <v/>
      </c>
      <c r="BB5">
        <f>IF(OR($A5="",Q5=""),"",ROUND(MAX(Q5-BA5,0),2))</f>
        <v/>
      </c>
      <c r="BC5">
        <f>IF(OR($A5="",Q5="",MEMORIA_RESULTADOS!$I$261=""),"",ROUND(Q5*$C5*(MEMORIA_RESULTADOS!$I$261-1),2))</f>
        <v/>
      </c>
      <c r="BD5">
        <f>IF(OR($A5="",BB5="",MEMORIA_RESULTADOS!$I$261=""),"",ROUND(BB5*$C5*(parametros!$F$5-MEMORIA_RESULTADOS!$I$261),2))</f>
        <v/>
      </c>
      <c r="BE5">
        <f>IF($A5="","",ROUND(SUMIFS(itens_Consumidos!$M$2:$M$200,itens_Consumidos!$A$2:$A$200,$A5),2))</f>
        <v/>
      </c>
      <c r="BF5">
        <f>IF(OR($A5="",S5=""),"",ROUND(MAX(S5-BE5,0),2))</f>
        <v/>
      </c>
      <c r="BG5">
        <f>IF(OR($A5="",S5="",MEMORIA_RESULTADOS!$I$262=""),"",ROUND(S5*$C5*(MEMORIA_RESULTADOS!$I$262-1),2))</f>
        <v/>
      </c>
      <c r="BH5">
        <f>IF(OR($A5="",BF5="",MEMORIA_RESULTADOS!$I$262=""),"",ROUND(BF5*$C5*(parametros!$F$6-MEMORIA_RESULTADOS!$I$262),2))</f>
        <v/>
      </c>
    </row>
    <row r="6">
      <c r="A6" s="86" t="n"/>
      <c r="B6" s="87">
        <f>IF(AND(LEN(TRIM($A6))=4,LEFT(TRIM($A6),1)="N",ISNUMBER(--MID(TRIM($A6),2,3)),ISERROR(FIND(".",$A6)),ISERROR(FIND(",",$A6)),ISERROR(FIND("-",$A6)),ISERROR(FIND("+",$A6)),ISERROR(SEARCH("E",$A6,2)),ISERROR(FIND(" ",TRIM($A6)))),0,"")</f>
        <v/>
      </c>
      <c r="C6" s="339" t="n"/>
      <c r="D6" s="335">
        <f>IF(AND(A6="",A5&lt;&gt;"",COUNTIF(A7:$A$200,"&lt;&gt;")=0),ROUND(SUMIF($A$2:A5,"&lt;&gt;",$D$2:D5),2),IF(OR(A6="",B6="",C6=""),"",ROUND(B6*C6,2)))</f>
        <v/>
      </c>
      <c r="E6" s="89" t="n"/>
      <c r="F6" s="335">
        <f>IF(AND(A6="",A5&lt;&gt;"",COUNTIF(A7:$A$200,"&lt;&gt;")=0),ROUND(SUMIF($A$2:A5,"&lt;&gt;",$F$2:F5),2),IF(OR(A6="",posicao_contratual!K6="",C6="",NOT(ISNUMBER($Z$3))),"",ROUND(posicao_contratual!K6*C6*$Z$3,2)))</f>
        <v/>
      </c>
      <c r="G6" s="89" t="n"/>
      <c r="H6" s="335">
        <f>IF(AND(A6="",A5&lt;&gt;"",COUNTIF(A7:$A$200,"&lt;&gt;")=0),ROUND(SUMIF($A$2:A5,"&lt;&gt;",$H$2:H5),2),IF(OR(A6="",posicao_contratual!O6="",C6="",NOT(ISNUMBER($Z$4))),"",ROUND(posicao_contratual!O6*C6*$Z$4,2)))</f>
        <v/>
      </c>
      <c r="I6" s="89" t="n"/>
      <c r="J6" s="335">
        <f>IF(AND(A6="",A5&lt;&gt;"",COUNTIF(A7:$A$200,"&lt;&gt;")=0),ROUND(SUMIF($A$2:A5,"&lt;&gt;",$J$2:J5),2),IF(OR(A6="",posicao_contratual!S6="",C6="",NOT(ISNUMBER($Z$5))),"",ROUND(posicao_contratual!S6*C6*$Z$5,2)))</f>
        <v/>
      </c>
      <c r="K6" s="89" t="n"/>
      <c r="L6" s="335">
        <f>IF(AND(A6="",A5&lt;&gt;"",COUNTIF(A7:$A$200,"&lt;&gt;")=0),ROUND(SUMIF($A$2:A5,"&lt;&gt;",$L$2:L5),2),IF(OR(A6="",posicao_contratual!W6="",C6="",NOT(ISNUMBER($Z$6))),"",ROUND(posicao_contratual!W6*C6*$Z$6,2)))</f>
        <v/>
      </c>
      <c r="M6" s="90">
        <f>IF(OR(posicao_contratual!J6="",posicao_contratual!N6=""),"",ROUND(MAX(posicao_contratual!J6+posicao_contratual!H6-posicao_contratual!N6,0),2))</f>
        <v/>
      </c>
      <c r="N6" s="335">
        <f>IF(AND(A6="",A5&lt;&gt;"",COUNTIF(A7:$A$200,"&lt;&gt;")=0),ROUND(SUMIF($A$2:A5,"&lt;&gt;",$N$2:N5),2),IF(OR(M6="",C6="",NOT(ISNUMBER($Z$3))),"",ROUND(M6*C6*$Z$3,2)))</f>
        <v/>
      </c>
      <c r="O6" s="90">
        <f>IF(OR(posicao_contratual!N6="",posicao_contratual!R6=""),"",ROUND(MAX(posicao_contratual!N6+posicao_contratual!L6-posicao_contratual!R6,0),2))</f>
        <v/>
      </c>
      <c r="P6" s="335">
        <f>IF(AND(A6="",A5&lt;&gt;"",COUNTIF(A7:$A$200,"&lt;&gt;")=0),ROUND(SUMIF($A$2:A5,"&lt;&gt;",$P$2:P5),2),IF(OR(O6="",C6="",NOT(ISNUMBER($Z$4))),"",ROUND(O6*C6*$Z$4,2)))</f>
        <v/>
      </c>
      <c r="Q6" s="90">
        <f>IF(OR(posicao_contratual!R6="",posicao_contratual!V6=""),"",ROUND(MAX(posicao_contratual!R6+posicao_contratual!P6-posicao_contratual!V6,0),2))</f>
        <v/>
      </c>
      <c r="R6" s="335">
        <f>IF(AND(A6="",A5&lt;&gt;"",COUNTIF(A7:$A$200,"&lt;&gt;")=0),ROUND(SUMIF($A$2:A5,"&lt;&gt;",$R$2:R5),2),IF(OR(Q6="",C6="",NOT(ISNUMBER($Z$5))),"",ROUND(Q6*C6*$Z$5,2)))</f>
        <v/>
      </c>
      <c r="S6" s="22" t="n"/>
      <c r="T6" s="340" t="n"/>
      <c r="U6" s="91">
        <f>IF(AND(A6="",A5&lt;&gt;"",COUNTIF(A7:$A$200,"&lt;&gt;")=0),"TOTAL",IF(A6="","",posicao_contratual!X6))</f>
        <v/>
      </c>
      <c r="V6" s="91">
        <f>IF(A6="","",posicao_contratual!X6)</f>
        <v/>
      </c>
      <c r="W6" s="92" t="inlineStr">
        <is>
          <t>C4</t>
        </is>
      </c>
      <c r="X6" s="93">
        <f>parametros!$A$6</f>
        <v/>
      </c>
      <c r="Y6" s="94">
        <f>IF(ISNUMBER(parametros!$E$6),parametros!$E$6,"")</f>
        <v/>
      </c>
      <c r="Z6" s="341">
        <f>IF(ISNUMBER(parametros!$F$6),parametros!$F$6,"")</f>
        <v/>
      </c>
      <c r="AA6" s="13" t="n"/>
      <c r="AB6" s="90">
        <f>IF(OR(A6="",posicao_contratual!E6="",posicao_contratual!J6=""),"",ROUND(MAX(posicao_contratual!E6-posicao_contratual!J6,0),2))</f>
        <v/>
      </c>
      <c r="AC6" s="335">
        <f>IF(AND(A6="",A5&lt;&gt;"",COUNTIF(A7:$A$200,"&lt;&gt;")=0),ROUND(SUMIF($A$2:A5,"&lt;&gt;",$AC$2:AC5),2),IF(OR(AB6="",C6="",NOT(ISNUMBER($Z$2))),"",ROUND(AB6*C6*$Z$2,2)))</f>
        <v/>
      </c>
      <c r="AD6" s="155">
        <f>IF(A6="","",posicao_contratual!E6)</f>
        <v/>
      </c>
      <c r="AE6" s="155">
        <f>IF(A6="","",posicao_contratual!I6)</f>
        <v/>
      </c>
      <c r="AF6" s="155">
        <f>IF(A6="","",posicao_contratual!M6)</f>
        <v/>
      </c>
      <c r="AG6" s="155">
        <f>IF(A6="","",posicao_contratual!Q6)</f>
        <v/>
      </c>
      <c r="AH6" s="155">
        <f>IF(A6="","",posicao_contratual!U6)</f>
        <v/>
      </c>
      <c r="AI6" s="155">
        <f>IF(A6="","",posicao_contratual!G6)</f>
        <v/>
      </c>
      <c r="AJ6" s="155">
        <f>IF(A6="","",posicao_contratual!K6)</f>
        <v/>
      </c>
      <c r="AK6" s="155">
        <f>IF(A6="","",posicao_contratual!O6)</f>
        <v/>
      </c>
      <c r="AL6" s="155">
        <f>IF(A6="","",posicao_contratual!S6)</f>
        <v/>
      </c>
      <c r="AM6" s="155">
        <f>IF(A6="","",posicao_contratual!W6)</f>
        <v/>
      </c>
      <c r="AN6" s="156">
        <f>IF(A6="","",posicao_contratual!X6)</f>
        <v/>
      </c>
      <c r="AO6">
        <f>IF($A6="","",ROUND(SUMIFS(itens_Consumidos!$E$2:$E$200,itens_Consumidos!$A$2:$A$200,$A6),2))</f>
        <v/>
      </c>
      <c r="AP6">
        <f>IF(OR($A6="",AB6=""),"",ROUND(MAX(AB6-AO6,0),2))</f>
        <v/>
      </c>
      <c r="AQ6">
        <f>IF(OR($A6="",AB6="",MEMORIA_RESULTADOS!$I$258=""),"",ROUND(AB6*$C6*(MEMORIA_RESULTADOS!$I$258-1),2))</f>
        <v/>
      </c>
      <c r="AR6">
        <f>IF(OR($A6="",AP6="",MEMORIA_RESULTADOS!$I$258=""),"",ROUND(AP6*$C6*(parametros!$F$2-MEMORIA_RESULTADOS!$I$258),2))</f>
        <v/>
      </c>
      <c r="AS6">
        <f>IF($A6="","",ROUND(SUMIFS(itens_Consumidos!$G$2:$G$200,itens_Consumidos!$A$2:$A$200,$A6),2))</f>
        <v/>
      </c>
      <c r="AT6">
        <f>IF(OR($A6="",M6=""),"",ROUND(MAX(M6-AS6,0),2))</f>
        <v/>
      </c>
      <c r="AU6">
        <f>IF(OR($A6="",M6="",MEMORIA_RESULTADOS!$I$259=""),"",ROUND(M6*$C6*(MEMORIA_RESULTADOS!$I$259-1),2))</f>
        <v/>
      </c>
      <c r="AV6">
        <f>IF(OR($A6="",AT6="",MEMORIA_RESULTADOS!$I$259=""),"",ROUND(AT6*$C6*(parametros!$F$3-MEMORIA_RESULTADOS!$I$259),2))</f>
        <v/>
      </c>
      <c r="AW6">
        <f>IF($A6="","",ROUND(SUMIFS(itens_Consumidos!$I$2:$I$200,itens_Consumidos!$A$2:$A$200,$A6),2))</f>
        <v/>
      </c>
      <c r="AX6">
        <f>IF(OR($A6="",O6=""),"",ROUND(MAX(O6-AW6,0),2))</f>
        <v/>
      </c>
      <c r="AY6">
        <f>IF(OR($A6="",O6="",MEMORIA_RESULTADOS!$I$260=""),"",ROUND(O6*$C6*(MEMORIA_RESULTADOS!$I$260-1),2))</f>
        <v/>
      </c>
      <c r="AZ6">
        <f>IF(OR($A6="",AX6="",MEMORIA_RESULTADOS!$I$260=""),"",ROUND(AX6*$C6*(parametros!$F$4-MEMORIA_RESULTADOS!$I$260),2))</f>
        <v/>
      </c>
      <c r="BA6">
        <f>IF($A6="","",ROUND(SUMIFS(itens_Consumidos!$K$2:$K$200,itens_Consumidos!$A$2:$A$200,$A6),2))</f>
        <v/>
      </c>
      <c r="BB6">
        <f>IF(OR($A6="",Q6=""),"",ROUND(MAX(Q6-BA6,0),2))</f>
        <v/>
      </c>
      <c r="BC6">
        <f>IF(OR($A6="",Q6="",MEMORIA_RESULTADOS!$I$261=""),"",ROUND(Q6*$C6*(MEMORIA_RESULTADOS!$I$261-1),2))</f>
        <v/>
      </c>
      <c r="BD6">
        <f>IF(OR($A6="",BB6="",MEMORIA_RESULTADOS!$I$261=""),"",ROUND(BB6*$C6*(parametros!$F$5-MEMORIA_RESULTADOS!$I$261),2))</f>
        <v/>
      </c>
      <c r="BE6">
        <f>IF($A6="","",ROUND(SUMIFS(itens_Consumidos!$M$2:$M$200,itens_Consumidos!$A$2:$A$200,$A6),2))</f>
        <v/>
      </c>
      <c r="BF6">
        <f>IF(OR($A6="",S6=""),"",ROUND(MAX(S6-BE6,0),2))</f>
        <v/>
      </c>
      <c r="BG6">
        <f>IF(OR($A6="",S6="",MEMORIA_RESULTADOS!$I$262=""),"",ROUND(S6*$C6*(MEMORIA_RESULTADOS!$I$262-1),2))</f>
        <v/>
      </c>
      <c r="BH6">
        <f>IF(OR($A6="",BF6="",MEMORIA_RESULTADOS!$I$262=""),"",ROUND(BF6*$C6*(parametros!$F$6-MEMORIA_RESULTADOS!$I$262),2))</f>
        <v/>
      </c>
    </row>
    <row r="7">
      <c r="A7" s="86" t="n"/>
      <c r="B7" s="87">
        <f>IF(AND(LEN(TRIM($A7))=4,LEFT(TRIM($A7),1)="N",ISNUMBER(--MID(TRIM($A7),2,3)),ISERROR(FIND(".",$A7)),ISERROR(FIND(",",$A7)),ISERROR(FIND("-",$A7)),ISERROR(FIND("+",$A7)),ISERROR(SEARCH("E",$A7,2)),ISERROR(FIND(" ",TRIM($A7)))),0,"")</f>
        <v/>
      </c>
      <c r="C7" s="339" t="n"/>
      <c r="D7" s="335">
        <f>IF(AND(A7="",A6&lt;&gt;"",COUNTIF(A8:$A$200,"&lt;&gt;")=0),ROUND(SUMIF($A$2:A6,"&lt;&gt;",$D$2:D6),2),IF(OR(A7="",B7="",C7=""),"",ROUND(B7*C7,2)))</f>
        <v/>
      </c>
      <c r="E7" s="89" t="n"/>
      <c r="F7" s="335">
        <f>IF(AND(A7="",A6&lt;&gt;"",COUNTIF(A8:$A$200,"&lt;&gt;")=0),ROUND(SUMIF($A$2:A6,"&lt;&gt;",$F$2:F6),2),IF(OR(A7="",posicao_contratual!K7="",C7="",NOT(ISNUMBER($Z$3))),"",ROUND(posicao_contratual!K7*C7*$Z$3,2)))</f>
        <v/>
      </c>
      <c r="G7" s="89" t="n"/>
      <c r="H7" s="335">
        <f>IF(AND(A7="",A6&lt;&gt;"",COUNTIF(A8:$A$200,"&lt;&gt;")=0),ROUND(SUMIF($A$2:A6,"&lt;&gt;",$H$2:H6),2),IF(OR(A7="",posicao_contratual!O7="",C7="",NOT(ISNUMBER($Z$4))),"",ROUND(posicao_contratual!O7*C7*$Z$4,2)))</f>
        <v/>
      </c>
      <c r="I7" s="89" t="n"/>
      <c r="J7" s="335">
        <f>IF(AND(A7="",A6&lt;&gt;"",COUNTIF(A8:$A$200,"&lt;&gt;")=0),ROUND(SUMIF($A$2:A6,"&lt;&gt;",$J$2:J6),2),IF(OR(A7="",posicao_contratual!S7="",C7="",NOT(ISNUMBER($Z$5))),"",ROUND(posicao_contratual!S7*C7*$Z$5,2)))</f>
        <v/>
      </c>
      <c r="K7" s="89" t="n"/>
      <c r="L7" s="335">
        <f>IF(AND(A7="",A6&lt;&gt;"",COUNTIF(A8:$A$200,"&lt;&gt;")=0),ROUND(SUMIF($A$2:A6,"&lt;&gt;",$L$2:L6),2),IF(OR(A7="",posicao_contratual!W7="",C7="",NOT(ISNUMBER($Z$6))),"",ROUND(posicao_contratual!W7*C7*$Z$6,2)))</f>
        <v/>
      </c>
      <c r="M7" s="90">
        <f>IF(OR(posicao_contratual!J7="",posicao_contratual!N7=""),"",ROUND(MAX(posicao_contratual!J7+posicao_contratual!H7-posicao_contratual!N7,0),2))</f>
        <v/>
      </c>
      <c r="N7" s="335">
        <f>IF(AND(A7="",A6&lt;&gt;"",COUNTIF(A8:$A$200,"&lt;&gt;")=0),ROUND(SUMIF($A$2:A6,"&lt;&gt;",$N$2:N6),2),IF(OR(M7="",C7="",NOT(ISNUMBER($Z$3))),"",ROUND(M7*C7*$Z$3,2)))</f>
        <v/>
      </c>
      <c r="O7" s="90">
        <f>IF(OR(posicao_contratual!N7="",posicao_contratual!R7=""),"",ROUND(MAX(posicao_contratual!N7+posicao_contratual!L7-posicao_contratual!R7,0),2))</f>
        <v/>
      </c>
      <c r="P7" s="335">
        <f>IF(AND(A7="",A6&lt;&gt;"",COUNTIF(A8:$A$200,"&lt;&gt;")=0),ROUND(SUMIF($A$2:A6,"&lt;&gt;",$P$2:P6),2),IF(OR(O7="",C7="",NOT(ISNUMBER($Z$4))),"",ROUND(O7*C7*$Z$4,2)))</f>
        <v/>
      </c>
      <c r="Q7" s="90">
        <f>IF(OR(posicao_contratual!R7="",posicao_contratual!V7=""),"",ROUND(MAX(posicao_contratual!R7+posicao_contratual!P7-posicao_contratual!V7,0),2))</f>
        <v/>
      </c>
      <c r="R7" s="335">
        <f>IF(AND(A7="",A6&lt;&gt;"",COUNTIF(A8:$A$200,"&lt;&gt;")=0),ROUND(SUMIF($A$2:A6,"&lt;&gt;",$R$2:R6),2),IF(OR(Q7="",C7="",NOT(ISNUMBER($Z$5))),"",ROUND(Q7*C7*$Z$5,2)))</f>
        <v/>
      </c>
      <c r="S7" s="22" t="n"/>
      <c r="T7" s="340" t="n"/>
      <c r="U7" s="91">
        <f>IF(AND(A7="",A6&lt;&gt;"",COUNTIF(A8:$A$200,"&lt;&gt;")=0),"TOTAL",IF(A7="","",posicao_contratual!X7))</f>
        <v/>
      </c>
      <c r="V7" s="91">
        <f>IF(A7="","",posicao_contratual!X7)</f>
        <v/>
      </c>
      <c r="W7" s="14" t="n"/>
      <c r="X7" s="14" t="n"/>
      <c r="Y7" s="14" t="n"/>
      <c r="Z7" s="13" t="n"/>
      <c r="AA7" s="13" t="n"/>
      <c r="AB7" s="90">
        <f>IF(OR(A7="",posicao_contratual!E7="",posicao_contratual!J7=""),"",ROUND(MAX(posicao_contratual!E7-posicao_contratual!J7,0),2))</f>
        <v/>
      </c>
      <c r="AC7" s="335">
        <f>IF(AND(A7="",A6&lt;&gt;"",COUNTIF(A8:$A$200,"&lt;&gt;")=0),ROUND(SUMIF($A$2:A6,"&lt;&gt;",$AC$2:AC6),2),IF(OR(AB7="",C7="",NOT(ISNUMBER($Z$2))),"",ROUND(AB7*C7*$Z$2,2)))</f>
        <v/>
      </c>
      <c r="AD7" s="155">
        <f>IF(A7="","",posicao_contratual!E7)</f>
        <v/>
      </c>
      <c r="AE7" s="155">
        <f>IF(A7="","",posicao_contratual!I7)</f>
        <v/>
      </c>
      <c r="AF7" s="155">
        <f>IF(A7="","",posicao_contratual!M7)</f>
        <v/>
      </c>
      <c r="AG7" s="155">
        <f>IF(A7="","",posicao_contratual!Q7)</f>
        <v/>
      </c>
      <c r="AH7" s="155">
        <f>IF(A7="","",posicao_contratual!U7)</f>
        <v/>
      </c>
      <c r="AI7" s="155">
        <f>IF(A7="","",posicao_contratual!G7)</f>
        <v/>
      </c>
      <c r="AJ7" s="155">
        <f>IF(A7="","",posicao_contratual!K7)</f>
        <v/>
      </c>
      <c r="AK7" s="155">
        <f>IF(A7="","",posicao_contratual!O7)</f>
        <v/>
      </c>
      <c r="AL7" s="155">
        <f>IF(A7="","",posicao_contratual!S7)</f>
        <v/>
      </c>
      <c r="AM7" s="155">
        <f>IF(A7="","",posicao_contratual!W7)</f>
        <v/>
      </c>
      <c r="AN7" s="156">
        <f>IF(A7="","",posicao_contratual!X7)</f>
        <v/>
      </c>
      <c r="AO7">
        <f>IF($A7="","",ROUND(SUMIFS(itens_Consumidos!$E$2:$E$200,itens_Consumidos!$A$2:$A$200,$A7),2))</f>
        <v/>
      </c>
      <c r="AP7">
        <f>IF(OR($A7="",AB7=""),"",ROUND(MAX(AB7-AO7,0),2))</f>
        <v/>
      </c>
      <c r="AQ7">
        <f>IF(OR($A7="",AB7="",MEMORIA_RESULTADOS!$I$258=""),"",ROUND(AB7*$C7*(MEMORIA_RESULTADOS!$I$258-1),2))</f>
        <v/>
      </c>
      <c r="AR7">
        <f>IF(OR($A7="",AP7="",MEMORIA_RESULTADOS!$I$258=""),"",ROUND(AP7*$C7*(parametros!$F$2-MEMORIA_RESULTADOS!$I$258),2))</f>
        <v/>
      </c>
      <c r="AS7">
        <f>IF($A7="","",ROUND(SUMIFS(itens_Consumidos!$G$2:$G$200,itens_Consumidos!$A$2:$A$200,$A7),2))</f>
        <v/>
      </c>
      <c r="AT7">
        <f>IF(OR($A7="",M7=""),"",ROUND(MAX(M7-AS7,0),2))</f>
        <v/>
      </c>
      <c r="AU7">
        <f>IF(OR($A7="",M7="",MEMORIA_RESULTADOS!$I$259=""),"",ROUND(M7*$C7*(MEMORIA_RESULTADOS!$I$259-1),2))</f>
        <v/>
      </c>
      <c r="AV7">
        <f>IF(OR($A7="",AT7="",MEMORIA_RESULTADOS!$I$259=""),"",ROUND(AT7*$C7*(parametros!$F$3-MEMORIA_RESULTADOS!$I$259),2))</f>
        <v/>
      </c>
      <c r="AW7">
        <f>IF($A7="","",ROUND(SUMIFS(itens_Consumidos!$I$2:$I$200,itens_Consumidos!$A$2:$A$200,$A7),2))</f>
        <v/>
      </c>
      <c r="AX7">
        <f>IF(OR($A7="",O7=""),"",ROUND(MAX(O7-AW7,0),2))</f>
        <v/>
      </c>
      <c r="AY7">
        <f>IF(OR($A7="",O7="",MEMORIA_RESULTADOS!$I$260=""),"",ROUND(O7*$C7*(MEMORIA_RESULTADOS!$I$260-1),2))</f>
        <v/>
      </c>
      <c r="AZ7">
        <f>IF(OR($A7="",AX7="",MEMORIA_RESULTADOS!$I$260=""),"",ROUND(AX7*$C7*(parametros!$F$4-MEMORIA_RESULTADOS!$I$260),2))</f>
        <v/>
      </c>
      <c r="BA7">
        <f>IF($A7="","",ROUND(SUMIFS(itens_Consumidos!$K$2:$K$200,itens_Consumidos!$A$2:$A$200,$A7),2))</f>
        <v/>
      </c>
      <c r="BB7">
        <f>IF(OR($A7="",Q7=""),"",ROUND(MAX(Q7-BA7,0),2))</f>
        <v/>
      </c>
      <c r="BC7">
        <f>IF(OR($A7="",Q7="",MEMORIA_RESULTADOS!$I$261=""),"",ROUND(Q7*$C7*(MEMORIA_RESULTADOS!$I$261-1),2))</f>
        <v/>
      </c>
      <c r="BD7">
        <f>IF(OR($A7="",BB7="",MEMORIA_RESULTADOS!$I$261=""),"",ROUND(BB7*$C7*(parametros!$F$5-MEMORIA_RESULTADOS!$I$261),2))</f>
        <v/>
      </c>
      <c r="BE7">
        <f>IF($A7="","",ROUND(SUMIFS(itens_Consumidos!$M$2:$M$200,itens_Consumidos!$A$2:$A$200,$A7),2))</f>
        <v/>
      </c>
      <c r="BF7">
        <f>IF(OR($A7="",S7=""),"",ROUND(MAX(S7-BE7,0),2))</f>
        <v/>
      </c>
      <c r="BG7">
        <f>IF(OR($A7="",S7="",MEMORIA_RESULTADOS!$I$262=""),"",ROUND(S7*$C7*(MEMORIA_RESULTADOS!$I$262-1),2))</f>
        <v/>
      </c>
      <c r="BH7">
        <f>IF(OR($A7="",BF7="",MEMORIA_RESULTADOS!$I$262=""),"",ROUND(BF7*$C7*(parametros!$F$6-MEMORIA_RESULTADOS!$I$262),2))</f>
        <v/>
      </c>
    </row>
    <row r="8">
      <c r="A8" s="86" t="n"/>
      <c r="B8" s="87">
        <f>IF(AND(LEN(TRIM($A8))=4,LEFT(TRIM($A8),1)="N",ISNUMBER(--MID(TRIM($A8),2,3)),ISERROR(FIND(".",$A8)),ISERROR(FIND(",",$A8)),ISERROR(FIND("-",$A8)),ISERROR(FIND("+",$A8)),ISERROR(SEARCH("E",$A8,2)),ISERROR(FIND(" ",TRIM($A8)))),0,"")</f>
        <v/>
      </c>
      <c r="C8" s="339" t="n"/>
      <c r="D8" s="335">
        <f>IF(AND(A8="",A7&lt;&gt;"",COUNTIF(A9:$A$200,"&lt;&gt;")=0),ROUND(SUMIF($A$2:A7,"&lt;&gt;",$D$2:D7),2),IF(OR(A8="",B8="",C8=""),"",ROUND(B8*C8,2)))</f>
        <v/>
      </c>
      <c r="E8" s="89" t="n"/>
      <c r="F8" s="335">
        <f>IF(AND(A8="",A7&lt;&gt;"",COUNTIF(A9:$A$200,"&lt;&gt;")=0),ROUND(SUMIF($A$2:A7,"&lt;&gt;",$F$2:F7),2),IF(OR(A8="",posicao_contratual!K8="",C8="",NOT(ISNUMBER($Z$3))),"",ROUND(posicao_contratual!K8*C8*$Z$3,2)))</f>
        <v/>
      </c>
      <c r="G8" s="89" t="n"/>
      <c r="H8" s="335">
        <f>IF(AND(A8="",A7&lt;&gt;"",COUNTIF(A9:$A$200,"&lt;&gt;")=0),ROUND(SUMIF($A$2:A7,"&lt;&gt;",$H$2:H7),2),IF(OR(A8="",posicao_contratual!O8="",C8="",NOT(ISNUMBER($Z$4))),"",ROUND(posicao_contratual!O8*C8*$Z$4,2)))</f>
        <v/>
      </c>
      <c r="I8" s="89" t="n"/>
      <c r="J8" s="335">
        <f>IF(AND(A8="",A7&lt;&gt;"",COUNTIF(A9:$A$200,"&lt;&gt;")=0),ROUND(SUMIF($A$2:A7,"&lt;&gt;",$J$2:J7),2),IF(OR(A8="",posicao_contratual!S8="",C8="",NOT(ISNUMBER($Z$5))),"",ROUND(posicao_contratual!S8*C8*$Z$5,2)))</f>
        <v/>
      </c>
      <c r="K8" s="89" t="n"/>
      <c r="L8" s="335">
        <f>IF(AND(A8="",A7&lt;&gt;"",COUNTIF(A9:$A$200,"&lt;&gt;")=0),ROUND(SUMIF($A$2:A7,"&lt;&gt;",$L$2:L7),2),IF(OR(A8="",posicao_contratual!W8="",C8="",NOT(ISNUMBER($Z$6))),"",ROUND(posicao_contratual!W8*C8*$Z$6,2)))</f>
        <v/>
      </c>
      <c r="M8" s="90">
        <f>IF(OR(posicao_contratual!J8="",posicao_contratual!N8=""),"",ROUND(MAX(posicao_contratual!J8+posicao_contratual!H8-posicao_contratual!N8,0),2))</f>
        <v/>
      </c>
      <c r="N8" s="335">
        <f>IF(AND(A8="",A7&lt;&gt;"",COUNTIF(A9:$A$200,"&lt;&gt;")=0),ROUND(SUMIF($A$2:A7,"&lt;&gt;",$N$2:N7),2),IF(OR(M8="",C8="",NOT(ISNUMBER($Z$3))),"",ROUND(M8*C8*$Z$3,2)))</f>
        <v/>
      </c>
      <c r="O8" s="90">
        <f>IF(OR(posicao_contratual!N8="",posicao_contratual!R8=""),"",ROUND(MAX(posicao_contratual!N8+posicao_contratual!L8-posicao_contratual!R8,0),2))</f>
        <v/>
      </c>
      <c r="P8" s="335">
        <f>IF(AND(A8="",A7&lt;&gt;"",COUNTIF(A9:$A$200,"&lt;&gt;")=0),ROUND(SUMIF($A$2:A7,"&lt;&gt;",$P$2:P7),2),IF(OR(O8="",C8="",NOT(ISNUMBER($Z$4))),"",ROUND(O8*C8*$Z$4,2)))</f>
        <v/>
      </c>
      <c r="Q8" s="90">
        <f>IF(OR(posicao_contratual!R8="",posicao_contratual!V8=""),"",ROUND(MAX(posicao_contratual!R8+posicao_contratual!P8-posicao_contratual!V8,0),2))</f>
        <v/>
      </c>
      <c r="R8" s="335">
        <f>IF(AND(A8="",A7&lt;&gt;"",COUNTIF(A9:$A$200,"&lt;&gt;")=0),ROUND(SUMIF($A$2:A7,"&lt;&gt;",$R$2:R7),2),IF(OR(Q8="",C8="",NOT(ISNUMBER($Z$5))),"",ROUND(Q8*C8*$Z$5,2)))</f>
        <v/>
      </c>
      <c r="S8" s="22" t="n"/>
      <c r="T8" s="340" t="n"/>
      <c r="U8" s="91">
        <f>IF(AND(A8="",A7&lt;&gt;"",COUNTIF(A9:$A$200,"&lt;&gt;")=0),"TOTAL",IF(A8="","",posicao_contratual!X8))</f>
        <v/>
      </c>
      <c r="V8" s="91">
        <f>IF(A8="","",posicao_contratual!X8)</f>
        <v/>
      </c>
      <c r="W8" s="14" t="n"/>
      <c r="X8" s="14" t="n"/>
      <c r="Y8" s="14" t="n"/>
      <c r="Z8" s="13" t="n"/>
      <c r="AA8" s="13" t="n"/>
      <c r="AB8" s="90">
        <f>IF(OR(A8="",posicao_contratual!E8="",posicao_contratual!J8=""),"",ROUND(MAX(posicao_contratual!E8-posicao_contratual!J8,0),2))</f>
        <v/>
      </c>
      <c r="AC8" s="335">
        <f>IF(AND(A8="",A7&lt;&gt;"",COUNTIF(A9:$A$200,"&lt;&gt;")=0),ROUND(SUMIF($A$2:A7,"&lt;&gt;",$AC$2:AC7),2),IF(OR(AB8="",C8="",NOT(ISNUMBER($Z$2))),"",ROUND(AB8*C8*$Z$2,2)))</f>
        <v/>
      </c>
      <c r="AD8" s="155">
        <f>IF(A8="","",posicao_contratual!E8)</f>
        <v/>
      </c>
      <c r="AE8" s="155">
        <f>IF(A8="","",posicao_contratual!I8)</f>
        <v/>
      </c>
      <c r="AF8" s="155">
        <f>IF(A8="","",posicao_contratual!M8)</f>
        <v/>
      </c>
      <c r="AG8" s="155">
        <f>IF(A8="","",posicao_contratual!Q8)</f>
        <v/>
      </c>
      <c r="AH8" s="155">
        <f>IF(A8="","",posicao_contratual!U8)</f>
        <v/>
      </c>
      <c r="AI8" s="155">
        <f>IF(A8="","",posicao_contratual!G8)</f>
        <v/>
      </c>
      <c r="AJ8" s="155">
        <f>IF(A8="","",posicao_contratual!K8)</f>
        <v/>
      </c>
      <c r="AK8" s="155">
        <f>IF(A8="","",posicao_contratual!O8)</f>
        <v/>
      </c>
      <c r="AL8" s="155">
        <f>IF(A8="","",posicao_contratual!S8)</f>
        <v/>
      </c>
      <c r="AM8" s="155">
        <f>IF(A8="","",posicao_contratual!W8)</f>
        <v/>
      </c>
      <c r="AN8" s="156">
        <f>IF(A8="","",posicao_contratual!X8)</f>
        <v/>
      </c>
      <c r="AO8">
        <f>IF($A8="","",ROUND(SUMIFS(itens_Consumidos!$E$2:$E$200,itens_Consumidos!$A$2:$A$200,$A8),2))</f>
        <v/>
      </c>
      <c r="AP8">
        <f>IF(OR($A8="",AB8=""),"",ROUND(MAX(AB8-AO8,0),2))</f>
        <v/>
      </c>
      <c r="AQ8">
        <f>IF(OR($A8="",AB8="",MEMORIA_RESULTADOS!$I$258=""),"",ROUND(AB8*$C8*(MEMORIA_RESULTADOS!$I$258-1),2))</f>
        <v/>
      </c>
      <c r="AR8">
        <f>IF(OR($A8="",AP8="",MEMORIA_RESULTADOS!$I$258=""),"",ROUND(AP8*$C8*(parametros!$F$2-MEMORIA_RESULTADOS!$I$258),2))</f>
        <v/>
      </c>
      <c r="AS8">
        <f>IF($A8="","",ROUND(SUMIFS(itens_Consumidos!$G$2:$G$200,itens_Consumidos!$A$2:$A$200,$A8),2))</f>
        <v/>
      </c>
      <c r="AT8">
        <f>IF(OR($A8="",M8=""),"",ROUND(MAX(M8-AS8,0),2))</f>
        <v/>
      </c>
      <c r="AU8">
        <f>IF(OR($A8="",M8="",MEMORIA_RESULTADOS!$I$259=""),"",ROUND(M8*$C8*(MEMORIA_RESULTADOS!$I$259-1),2))</f>
        <v/>
      </c>
      <c r="AV8">
        <f>IF(OR($A8="",AT8="",MEMORIA_RESULTADOS!$I$259=""),"",ROUND(AT8*$C8*(parametros!$F$3-MEMORIA_RESULTADOS!$I$259),2))</f>
        <v/>
      </c>
      <c r="AW8">
        <f>IF($A8="","",ROUND(SUMIFS(itens_Consumidos!$I$2:$I$200,itens_Consumidos!$A$2:$A$200,$A8),2))</f>
        <v/>
      </c>
      <c r="AX8">
        <f>IF(OR($A8="",O8=""),"",ROUND(MAX(O8-AW8,0),2))</f>
        <v/>
      </c>
      <c r="AY8">
        <f>IF(OR($A8="",O8="",MEMORIA_RESULTADOS!$I$260=""),"",ROUND(O8*$C8*(MEMORIA_RESULTADOS!$I$260-1),2))</f>
        <v/>
      </c>
      <c r="AZ8">
        <f>IF(OR($A8="",AX8="",MEMORIA_RESULTADOS!$I$260=""),"",ROUND(AX8*$C8*(parametros!$F$4-MEMORIA_RESULTADOS!$I$260),2))</f>
        <v/>
      </c>
      <c r="BA8">
        <f>IF($A8="","",ROUND(SUMIFS(itens_Consumidos!$K$2:$K$200,itens_Consumidos!$A$2:$A$200,$A8),2))</f>
        <v/>
      </c>
      <c r="BB8">
        <f>IF(OR($A8="",Q8=""),"",ROUND(MAX(Q8-BA8,0),2))</f>
        <v/>
      </c>
      <c r="BC8">
        <f>IF(OR($A8="",Q8="",MEMORIA_RESULTADOS!$I$261=""),"",ROUND(Q8*$C8*(MEMORIA_RESULTADOS!$I$261-1),2))</f>
        <v/>
      </c>
      <c r="BD8">
        <f>IF(OR($A8="",BB8="",MEMORIA_RESULTADOS!$I$261=""),"",ROUND(BB8*$C8*(parametros!$F$5-MEMORIA_RESULTADOS!$I$261),2))</f>
        <v/>
      </c>
      <c r="BE8">
        <f>IF($A8="","",ROUND(SUMIFS(itens_Consumidos!$M$2:$M$200,itens_Consumidos!$A$2:$A$200,$A8),2))</f>
        <v/>
      </c>
      <c r="BF8">
        <f>IF(OR($A8="",S8=""),"",ROUND(MAX(S8-BE8,0),2))</f>
        <v/>
      </c>
      <c r="BG8">
        <f>IF(OR($A8="",S8="",MEMORIA_RESULTADOS!$I$262=""),"",ROUND(S8*$C8*(MEMORIA_RESULTADOS!$I$262-1),2))</f>
        <v/>
      </c>
      <c r="BH8">
        <f>IF(OR($A8="",BF8="",MEMORIA_RESULTADOS!$I$262=""),"",ROUND(BF8*$C8*(parametros!$F$6-MEMORIA_RESULTADOS!$I$262),2))</f>
        <v/>
      </c>
    </row>
    <row r="9">
      <c r="A9" s="86" t="n"/>
      <c r="B9" s="87">
        <f>IF(AND(LEN(TRIM($A9))=4,LEFT(TRIM($A9),1)="N",ISNUMBER(--MID(TRIM($A9),2,3)),ISERROR(FIND(".",$A9)),ISERROR(FIND(",",$A9)),ISERROR(FIND("-",$A9)),ISERROR(FIND("+",$A9)),ISERROR(SEARCH("E",$A9,2)),ISERROR(FIND(" ",TRIM($A9)))),0,"")</f>
        <v/>
      </c>
      <c r="C9" s="339" t="n"/>
      <c r="D9" s="335">
        <f>IF(AND(A9="",A8&lt;&gt;"",COUNTIF(A10:$A$200,"&lt;&gt;")=0),ROUND(SUMIF($A$2:A8,"&lt;&gt;",$D$2:D8),2),IF(OR(A9="",B9="",C9=""),"",ROUND(B9*C9,2)))</f>
        <v/>
      </c>
      <c r="E9" s="89" t="n"/>
      <c r="F9" s="335">
        <f>IF(AND(A9="",A8&lt;&gt;"",COUNTIF(A10:$A$200,"&lt;&gt;")=0),ROUND(SUMIF($A$2:A8,"&lt;&gt;",$F$2:F8),2),IF(OR(A9="",posicao_contratual!K9="",C9="",NOT(ISNUMBER($Z$3))),"",ROUND(posicao_contratual!K9*C9*$Z$3,2)))</f>
        <v/>
      </c>
      <c r="G9" s="89" t="n"/>
      <c r="H9" s="335">
        <f>IF(AND(A9="",A8&lt;&gt;"",COUNTIF(A10:$A$200,"&lt;&gt;")=0),ROUND(SUMIF($A$2:A8,"&lt;&gt;",$H$2:H8),2),IF(OR(A9="",posicao_contratual!O9="",C9="",NOT(ISNUMBER($Z$4))),"",ROUND(posicao_contratual!O9*C9*$Z$4,2)))</f>
        <v/>
      </c>
      <c r="I9" s="89" t="n"/>
      <c r="J9" s="335">
        <f>IF(AND(A9="",A8&lt;&gt;"",COUNTIF(A10:$A$200,"&lt;&gt;")=0),ROUND(SUMIF($A$2:A8,"&lt;&gt;",$J$2:J8),2),IF(OR(A9="",posicao_contratual!S9="",C9="",NOT(ISNUMBER($Z$5))),"",ROUND(posicao_contratual!S9*C9*$Z$5,2)))</f>
        <v/>
      </c>
      <c r="K9" s="89" t="n"/>
      <c r="L9" s="335">
        <f>IF(AND(A9="",A8&lt;&gt;"",COUNTIF(A10:$A$200,"&lt;&gt;")=0),ROUND(SUMIF($A$2:A8,"&lt;&gt;",$L$2:L8),2),IF(OR(A9="",posicao_contratual!W9="",C9="",NOT(ISNUMBER($Z$6))),"",ROUND(posicao_contratual!W9*C9*$Z$6,2)))</f>
        <v/>
      </c>
      <c r="M9" s="90">
        <f>IF(OR(posicao_contratual!J9="",posicao_contratual!N9=""),"",ROUND(MAX(posicao_contratual!J9+posicao_contratual!H9-posicao_contratual!N9,0),2))</f>
        <v/>
      </c>
      <c r="N9" s="335">
        <f>IF(AND(A9="",A8&lt;&gt;"",COUNTIF(A10:$A$200,"&lt;&gt;")=0),ROUND(SUMIF($A$2:A8,"&lt;&gt;",$N$2:N8),2),IF(OR(M9="",C9="",NOT(ISNUMBER($Z$3))),"",ROUND(M9*C9*$Z$3,2)))</f>
        <v/>
      </c>
      <c r="O9" s="90">
        <f>IF(OR(posicao_contratual!N9="",posicao_contratual!R9=""),"",ROUND(MAX(posicao_contratual!N9+posicao_contratual!L9-posicao_contratual!R9,0),2))</f>
        <v/>
      </c>
      <c r="P9" s="335">
        <f>IF(AND(A9="",A8&lt;&gt;"",COUNTIF(A10:$A$200,"&lt;&gt;")=0),ROUND(SUMIF($A$2:A8,"&lt;&gt;",$P$2:P8),2),IF(OR(O9="",C9="",NOT(ISNUMBER($Z$4))),"",ROUND(O9*C9*$Z$4,2)))</f>
        <v/>
      </c>
      <c r="Q9" s="90">
        <f>IF(OR(posicao_contratual!R9="",posicao_contratual!V9=""),"",ROUND(MAX(posicao_contratual!R9+posicao_contratual!P9-posicao_contratual!V9,0),2))</f>
        <v/>
      </c>
      <c r="R9" s="335">
        <f>IF(AND(A9="",A8&lt;&gt;"",COUNTIF(A10:$A$200,"&lt;&gt;")=0),ROUND(SUMIF($A$2:A8,"&lt;&gt;",$R$2:R8),2),IF(OR(Q9="",C9="",NOT(ISNUMBER($Z$5))),"",ROUND(Q9*C9*$Z$5,2)))</f>
        <v/>
      </c>
      <c r="S9" s="22" t="n"/>
      <c r="T9" s="340" t="n"/>
      <c r="U9" s="91">
        <f>IF(AND(A9="",A8&lt;&gt;"",COUNTIF(A10:$A$200,"&lt;&gt;")=0),"TOTAL",IF(A9="","",posicao_contratual!X9))</f>
        <v/>
      </c>
      <c r="V9" s="91">
        <f>IF(A9="","",posicao_contratual!X9)</f>
        <v/>
      </c>
      <c r="W9" s="14" t="n"/>
      <c r="X9" s="14" t="n"/>
      <c r="Y9" s="14" t="n"/>
      <c r="Z9" s="13" t="n"/>
      <c r="AA9" s="13" t="n"/>
      <c r="AB9" s="90">
        <f>IF(OR(A9="",posicao_contratual!E9="",posicao_contratual!J9=""),"",ROUND(MAX(posicao_contratual!E9-posicao_contratual!J9,0),2))</f>
        <v/>
      </c>
      <c r="AC9" s="335">
        <f>IF(AND(A9="",A8&lt;&gt;"",COUNTIF(A10:$A$200,"&lt;&gt;")=0),ROUND(SUMIF($A$2:A8,"&lt;&gt;",$AC$2:AC8),2),IF(OR(AB9="",C9="",NOT(ISNUMBER($Z$2))),"",ROUND(AB9*C9*$Z$2,2)))</f>
        <v/>
      </c>
      <c r="AD9" s="155">
        <f>IF(A9="","",posicao_contratual!E9)</f>
        <v/>
      </c>
      <c r="AE9" s="155">
        <f>IF(A9="","",posicao_contratual!I9)</f>
        <v/>
      </c>
      <c r="AF9" s="155">
        <f>IF(A9="","",posicao_contratual!M9)</f>
        <v/>
      </c>
      <c r="AG9" s="155">
        <f>IF(A9="","",posicao_contratual!Q9)</f>
        <v/>
      </c>
      <c r="AH9" s="155">
        <f>IF(A9="","",posicao_contratual!U9)</f>
        <v/>
      </c>
      <c r="AI9" s="155">
        <f>IF(A9="","",posicao_contratual!G9)</f>
        <v/>
      </c>
      <c r="AJ9" s="155">
        <f>IF(A9="","",posicao_contratual!K9)</f>
        <v/>
      </c>
      <c r="AK9" s="155">
        <f>IF(A9="","",posicao_contratual!O9)</f>
        <v/>
      </c>
      <c r="AL9" s="155">
        <f>IF(A9="","",posicao_contratual!S9)</f>
        <v/>
      </c>
      <c r="AM9" s="155">
        <f>IF(A9="","",posicao_contratual!W9)</f>
        <v/>
      </c>
      <c r="AN9" s="156">
        <f>IF(A9="","",posicao_contratual!X9)</f>
        <v/>
      </c>
      <c r="AO9">
        <f>IF($A9="","",ROUND(SUMIFS(itens_Consumidos!$E$2:$E$200,itens_Consumidos!$A$2:$A$200,$A9),2))</f>
        <v/>
      </c>
      <c r="AP9">
        <f>IF(OR($A9="",AB9=""),"",ROUND(MAX(AB9-AO9,0),2))</f>
        <v/>
      </c>
      <c r="AQ9">
        <f>IF(OR($A9="",AB9="",MEMORIA_RESULTADOS!$I$258=""),"",ROUND(AB9*$C9*(MEMORIA_RESULTADOS!$I$258-1),2))</f>
        <v/>
      </c>
      <c r="AR9">
        <f>IF(OR($A9="",AP9="",MEMORIA_RESULTADOS!$I$258=""),"",ROUND(AP9*$C9*(parametros!$F$2-MEMORIA_RESULTADOS!$I$258),2))</f>
        <v/>
      </c>
      <c r="AS9">
        <f>IF($A9="","",ROUND(SUMIFS(itens_Consumidos!$G$2:$G$200,itens_Consumidos!$A$2:$A$200,$A9),2))</f>
        <v/>
      </c>
      <c r="AT9">
        <f>IF(OR($A9="",M9=""),"",ROUND(MAX(M9-AS9,0),2))</f>
        <v/>
      </c>
      <c r="AU9">
        <f>IF(OR($A9="",M9="",MEMORIA_RESULTADOS!$I$259=""),"",ROUND(M9*$C9*(MEMORIA_RESULTADOS!$I$259-1),2))</f>
        <v/>
      </c>
      <c r="AV9">
        <f>IF(OR($A9="",AT9="",MEMORIA_RESULTADOS!$I$259=""),"",ROUND(AT9*$C9*(parametros!$F$3-MEMORIA_RESULTADOS!$I$259),2))</f>
        <v/>
      </c>
      <c r="AW9">
        <f>IF($A9="","",ROUND(SUMIFS(itens_Consumidos!$I$2:$I$200,itens_Consumidos!$A$2:$A$200,$A9),2))</f>
        <v/>
      </c>
      <c r="AX9">
        <f>IF(OR($A9="",O9=""),"",ROUND(MAX(O9-AW9,0),2))</f>
        <v/>
      </c>
      <c r="AY9">
        <f>IF(OR($A9="",O9="",MEMORIA_RESULTADOS!$I$260=""),"",ROUND(O9*$C9*(MEMORIA_RESULTADOS!$I$260-1),2))</f>
        <v/>
      </c>
      <c r="AZ9">
        <f>IF(OR($A9="",AX9="",MEMORIA_RESULTADOS!$I$260=""),"",ROUND(AX9*$C9*(parametros!$F$4-MEMORIA_RESULTADOS!$I$260),2))</f>
        <v/>
      </c>
      <c r="BA9">
        <f>IF($A9="","",ROUND(SUMIFS(itens_Consumidos!$K$2:$K$200,itens_Consumidos!$A$2:$A$200,$A9),2))</f>
        <v/>
      </c>
      <c r="BB9">
        <f>IF(OR($A9="",Q9=""),"",ROUND(MAX(Q9-BA9,0),2))</f>
        <v/>
      </c>
      <c r="BC9">
        <f>IF(OR($A9="",Q9="",MEMORIA_RESULTADOS!$I$261=""),"",ROUND(Q9*$C9*(MEMORIA_RESULTADOS!$I$261-1),2))</f>
        <v/>
      </c>
      <c r="BD9">
        <f>IF(OR($A9="",BB9="",MEMORIA_RESULTADOS!$I$261=""),"",ROUND(BB9*$C9*(parametros!$F$5-MEMORIA_RESULTADOS!$I$261),2))</f>
        <v/>
      </c>
      <c r="BE9">
        <f>IF($A9="","",ROUND(SUMIFS(itens_Consumidos!$M$2:$M$200,itens_Consumidos!$A$2:$A$200,$A9),2))</f>
        <v/>
      </c>
      <c r="BF9">
        <f>IF(OR($A9="",S9=""),"",ROUND(MAX(S9-BE9,0),2))</f>
        <v/>
      </c>
      <c r="BG9">
        <f>IF(OR($A9="",S9="",MEMORIA_RESULTADOS!$I$262=""),"",ROUND(S9*$C9*(MEMORIA_RESULTADOS!$I$262-1),2))</f>
        <v/>
      </c>
      <c r="BH9">
        <f>IF(OR($A9="",BF9="",MEMORIA_RESULTADOS!$I$262=""),"",ROUND(BF9*$C9*(parametros!$F$6-MEMORIA_RESULTADOS!$I$262),2))</f>
        <v/>
      </c>
    </row>
    <row r="10">
      <c r="A10" s="86" t="n"/>
      <c r="B10" s="87">
        <f>IF(AND(LEN(TRIM($A10))=4,LEFT(TRIM($A10),1)="N",ISNUMBER(--MID(TRIM($A10),2,3)),ISERROR(FIND(".",$A10)),ISERROR(FIND(",",$A10)),ISERROR(FIND("-",$A10)),ISERROR(FIND("+",$A10)),ISERROR(SEARCH("E",$A10,2)),ISERROR(FIND(" ",TRIM($A10)))),0,"")</f>
        <v/>
      </c>
      <c r="C10" s="339" t="n"/>
      <c r="D10" s="335">
        <f>IF(AND(A10="",A9&lt;&gt;"",COUNTIF(A11:$A$200,"&lt;&gt;")=0),ROUND(SUMIF($A$2:A9,"&lt;&gt;",$D$2:D9),2),IF(OR(A10="",B10="",C10=""),"",ROUND(B10*C10,2)))</f>
        <v/>
      </c>
      <c r="E10" s="89" t="n"/>
      <c r="F10" s="335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 t="n"/>
      <c r="H10" s="335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 t="n"/>
      <c r="J10" s="335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 t="n"/>
      <c r="L10" s="335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>
        <f>IF(OR(posicao_contratual!J10="",posicao_contratual!N10=""),"",ROUND(MAX(posicao_contratual!J10+posicao_contratual!H10-posicao_contratual!N10,0),2))</f>
        <v/>
      </c>
      <c r="N10" s="335">
        <f>IF(AND(A10="",A9&lt;&gt;"",COUNTIF(A11:$A$200,"&lt;&gt;")=0),ROUND(SUMIF($A$2:A9,"&lt;&gt;",$N$2:N9),2),IF(OR(M10="",C10="",NOT(ISNUMBER($Z$3))),"",ROUND(M10*C10*$Z$3,2)))</f>
        <v/>
      </c>
      <c r="O10" s="90">
        <f>IF(OR(posicao_contratual!N10="",posicao_contratual!R10=""),"",ROUND(MAX(posicao_contratual!N10+posicao_contratual!L10-posicao_contratual!R10,0),2))</f>
        <v/>
      </c>
      <c r="P10" s="335">
        <f>IF(AND(A10="",A9&lt;&gt;"",COUNTIF(A11:$A$200,"&lt;&gt;")=0),ROUND(SUMIF($A$2:A9,"&lt;&gt;",$P$2:P9),2),IF(OR(O10="",C10="",NOT(ISNUMBER($Z$4))),"",ROUND(O10*C10*$Z$4,2)))</f>
        <v/>
      </c>
      <c r="Q10" s="90">
        <f>IF(OR(posicao_contratual!R10="",posicao_contratual!V10=""),"",ROUND(MAX(posicao_contratual!R10+posicao_contratual!P10-posicao_contratual!V10,0),2))</f>
        <v/>
      </c>
      <c r="R10" s="335">
        <f>IF(AND(A10="",A9&lt;&gt;"",COUNTIF(A11:$A$200,"&lt;&gt;")=0),ROUND(SUMIF($A$2:A9,"&lt;&gt;",$R$2:R9),2),IF(OR(Q10="",C10="",NOT(ISNUMBER($Z$5))),"",ROUND(Q10*C10*$Z$5,2)))</f>
        <v/>
      </c>
      <c r="S10" s="22" t="n"/>
      <c r="T10" s="340" t="n"/>
      <c r="U10" s="91">
        <f>IF(AND(A10="",A9&lt;&gt;"",COUNTIF(A11:$A$200,"&lt;&gt;")=0),"TOTAL",IF(A10="","",posicao_contratual!X10))</f>
        <v/>
      </c>
      <c r="V10" s="91">
        <f>IF(A10="","",posicao_contratual!X10)</f>
        <v/>
      </c>
      <c r="W10" s="14" t="n"/>
      <c r="X10" s="14" t="n"/>
      <c r="Y10" s="14" t="n"/>
      <c r="Z10" s="13" t="n"/>
      <c r="AA10" s="13" t="n"/>
      <c r="AB10" s="90">
        <f>IF(OR(A10="",posicao_contratual!E10="",posicao_contratual!J10=""),"",ROUND(MAX(posicao_contratual!E10-posicao_contratual!J10,0),2))</f>
        <v/>
      </c>
      <c r="AC10" s="335">
        <f>IF(AND(A10="",A9&lt;&gt;"",COUNTIF(A11:$A$200,"&lt;&gt;")=0),ROUND(SUMIF($A$2:A9,"&lt;&gt;",$AC$2:AC9),2),IF(OR(AB10="",C10="",NOT(ISNUMBER($Z$2))),"",ROUND(AB10*C10*$Z$2,2)))</f>
        <v/>
      </c>
      <c r="AD10" s="155">
        <f>IF(A10="","",posicao_contratual!E10)</f>
        <v/>
      </c>
      <c r="AE10" s="155">
        <f>IF(A10="","",posicao_contratual!I10)</f>
        <v/>
      </c>
      <c r="AF10" s="155">
        <f>IF(A10="","",posicao_contratual!M10)</f>
        <v/>
      </c>
      <c r="AG10" s="155">
        <f>IF(A10="","",posicao_contratual!Q10)</f>
        <v/>
      </c>
      <c r="AH10" s="155">
        <f>IF(A10="","",posicao_contratual!U10)</f>
        <v/>
      </c>
      <c r="AI10" s="155">
        <f>IF(A10="","",posicao_contratual!G10)</f>
        <v/>
      </c>
      <c r="AJ10" s="155">
        <f>IF(A10="","",posicao_contratual!K10)</f>
        <v/>
      </c>
      <c r="AK10" s="155">
        <f>IF(A10="","",posicao_contratual!O10)</f>
        <v/>
      </c>
      <c r="AL10" s="155">
        <f>IF(A10="","",posicao_contratual!S10)</f>
        <v/>
      </c>
      <c r="AM10" s="155">
        <f>IF(A10="","",posicao_contratual!W10)</f>
        <v/>
      </c>
      <c r="AN10" s="156">
        <f>IF(A10="","",posicao_contratual!X10)</f>
        <v/>
      </c>
      <c r="AO10">
        <f>IF($A10="","",ROUND(SUMIFS(itens_Consumidos!$E$2:$E$200,itens_Consumidos!$A$2:$A$200,$A10),2))</f>
        <v/>
      </c>
      <c r="AP10">
        <f>IF(OR($A10="",AB10=""),"",ROUND(MAX(AB10-AO10,0),2))</f>
        <v/>
      </c>
      <c r="AQ10">
        <f>IF(OR($A10="",AB10="",MEMORIA_RESULTADOS!$I$258=""),"",ROUND(AB10*$C10*(MEMORIA_RESULTADOS!$I$258-1),2))</f>
        <v/>
      </c>
      <c r="AR10">
        <f>IF(OR($A10="",AP10="",MEMORIA_RESULTADOS!$I$258=""),"",ROUND(AP10*$C10*(parametros!$F$2-MEMORIA_RESULTADOS!$I$258),2))</f>
        <v/>
      </c>
      <c r="AS10">
        <f>IF($A10="","",ROUND(SUMIFS(itens_Consumidos!$G$2:$G$200,itens_Consumidos!$A$2:$A$200,$A10),2))</f>
        <v/>
      </c>
      <c r="AT10">
        <f>IF(OR($A10="",M10=""),"",ROUND(MAX(M10-AS10,0),2))</f>
        <v/>
      </c>
      <c r="AU10">
        <f>IF(OR($A10="",M10="",MEMORIA_RESULTADOS!$I$259=""),"",ROUND(M10*$C10*(MEMORIA_RESULTADOS!$I$259-1),2))</f>
        <v/>
      </c>
      <c r="AV10">
        <f>IF(OR($A10="",AT10="",MEMORIA_RESULTADOS!$I$259=""),"",ROUND(AT10*$C10*(parametros!$F$3-MEMORIA_RESULTADOS!$I$259),2))</f>
        <v/>
      </c>
      <c r="AW10">
        <f>IF($A10="","",ROUND(SUMIFS(itens_Consumidos!$I$2:$I$200,itens_Consumidos!$A$2:$A$200,$A10),2))</f>
        <v/>
      </c>
      <c r="AX10">
        <f>IF(OR($A10="",O10=""),"",ROUND(MAX(O10-AW10,0),2))</f>
        <v/>
      </c>
      <c r="AY10">
        <f>IF(OR($A10="",O10="",MEMORIA_RESULTADOS!$I$260=""),"",ROUND(O10*$C10*(MEMORIA_RESULTADOS!$I$260-1),2))</f>
        <v/>
      </c>
      <c r="AZ10">
        <f>IF(OR($A10="",AX10="",MEMORIA_RESULTADOS!$I$260=""),"",ROUND(AX10*$C10*(parametros!$F$4-MEMORIA_RESULTADOS!$I$260),2))</f>
        <v/>
      </c>
      <c r="BA10">
        <f>IF($A10="","",ROUND(SUMIFS(itens_Consumidos!$K$2:$K$200,itens_Consumidos!$A$2:$A$200,$A10),2))</f>
        <v/>
      </c>
      <c r="BB10">
        <f>IF(OR($A10="",Q10=""),"",ROUND(MAX(Q10-BA10,0),2))</f>
        <v/>
      </c>
      <c r="BC10">
        <f>IF(OR($A10="",Q10="",MEMORIA_RESULTADOS!$I$261=""),"",ROUND(Q10*$C10*(MEMORIA_RESULTADOS!$I$261-1),2))</f>
        <v/>
      </c>
      <c r="BD10">
        <f>IF(OR($A10="",BB10="",MEMORIA_RESULTADOS!$I$261=""),"",ROUND(BB10*$C10*(parametros!$F$5-MEMORIA_RESULTADOS!$I$261),2))</f>
        <v/>
      </c>
      <c r="BE10">
        <f>IF($A10="","",ROUND(SUMIFS(itens_Consumidos!$M$2:$M$200,itens_Consumidos!$A$2:$A$200,$A10),2))</f>
        <v/>
      </c>
      <c r="BF10">
        <f>IF(OR($A10="",S10=""),"",ROUND(MAX(S10-BE10,0),2))</f>
        <v/>
      </c>
      <c r="BG10">
        <f>IF(OR($A10="",S10="",MEMORIA_RESULTADOS!$I$262=""),"",ROUND(S10*$C10*(MEMORIA_RESULTADOS!$I$262-1),2))</f>
        <v/>
      </c>
      <c r="BH10">
        <f>IF(OR($A10="",BF10="",MEMORIA_RESULTADOS!$I$262=""),"",ROUND(BF10*$C10*(parametros!$F$6-MEMORIA_RESULTADOS!$I$262),2))</f>
        <v/>
      </c>
    </row>
    <row r="11">
      <c r="A11" s="86" t="n"/>
      <c r="B11" s="87">
        <f>IF(AND(LEN(TRIM($A11))=4,LEFT(TRIM($A11),1)="N",ISNUMBER(--MID(TRIM($A11),2,3)),ISERROR(FIND(".",$A11)),ISERROR(FIND(",",$A11)),ISERROR(FIND("-",$A11)),ISERROR(FIND("+",$A11)),ISERROR(SEARCH("E",$A11,2)),ISERROR(FIND(" ",TRIM($A11)))),0,"")</f>
        <v/>
      </c>
      <c r="C11" s="339" t="n"/>
      <c r="D11" s="335">
        <f>IF(AND(A11="",A10&lt;&gt;"",COUNTIF(A12:$A$200,"&lt;&gt;")=0),ROUND(SUMIF($A$2:A10,"&lt;&gt;",$D$2:D10),2),IF(OR(A11="",B11="",C11=""),"",ROUND(B11*C11,2)))</f>
        <v/>
      </c>
      <c r="E11" s="89" t="n"/>
      <c r="F11" s="335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 t="n"/>
      <c r="H11" s="335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 t="n"/>
      <c r="J11" s="335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 t="n"/>
      <c r="L11" s="335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>
        <f>IF(OR(posicao_contratual!J11="",posicao_contratual!N11=""),"",ROUND(MAX(posicao_contratual!J11+posicao_contratual!H11-posicao_contratual!N11,0),2))</f>
        <v/>
      </c>
      <c r="N11" s="335">
        <f>IF(AND(A11="",A10&lt;&gt;"",COUNTIF(A12:$A$200,"&lt;&gt;")=0),ROUND(SUMIF($A$2:A10,"&lt;&gt;",$N$2:N10),2),IF(OR(M11="",C11="",NOT(ISNUMBER($Z$3))),"",ROUND(M11*C11*$Z$3,2)))</f>
        <v/>
      </c>
      <c r="O11" s="90">
        <f>IF(OR(posicao_contratual!N11="",posicao_contratual!R11=""),"",ROUND(MAX(posicao_contratual!N11+posicao_contratual!L11-posicao_contratual!R11,0),2))</f>
        <v/>
      </c>
      <c r="P11" s="335">
        <f>IF(AND(A11="",A10&lt;&gt;"",COUNTIF(A12:$A$200,"&lt;&gt;")=0),ROUND(SUMIF($A$2:A10,"&lt;&gt;",$P$2:P10),2),IF(OR(O11="",C11="",NOT(ISNUMBER($Z$4))),"",ROUND(O11*C11*$Z$4,2)))</f>
        <v/>
      </c>
      <c r="Q11" s="90">
        <f>IF(OR(posicao_contratual!R11="",posicao_contratual!V11=""),"",ROUND(MAX(posicao_contratual!R11+posicao_contratual!P11-posicao_contratual!V11,0),2))</f>
        <v/>
      </c>
      <c r="R11" s="335">
        <f>IF(AND(A11="",A10&lt;&gt;"",COUNTIF(A12:$A$200,"&lt;&gt;")=0),ROUND(SUMIF($A$2:A10,"&lt;&gt;",$R$2:R10),2),IF(OR(Q11="",C11="",NOT(ISNUMBER($Z$5))),"",ROUND(Q11*C11*$Z$5,2)))</f>
        <v/>
      </c>
      <c r="S11" s="22" t="n"/>
      <c r="T11" s="340" t="n"/>
      <c r="U11" s="91">
        <f>IF(AND(A11="",A10&lt;&gt;"",COUNTIF(A12:$A$200,"&lt;&gt;")=0),"TOTAL",IF(A11="","",posicao_contratual!X11))</f>
        <v/>
      </c>
      <c r="V11" s="91">
        <f>IF(A11="","",posicao_contratual!X11)</f>
        <v/>
      </c>
      <c r="W11" s="14" t="n"/>
      <c r="X11" s="14" t="n"/>
      <c r="Y11" s="14" t="n"/>
      <c r="Z11" s="13" t="n"/>
      <c r="AA11" s="13" t="n"/>
      <c r="AB11" s="90">
        <f>IF(OR(A11="",posicao_contratual!E11="",posicao_contratual!J11=""),"",ROUND(MAX(posicao_contratual!E11-posicao_contratual!J11,0),2))</f>
        <v/>
      </c>
      <c r="AC11" s="335">
        <f>IF(AND(A11="",A10&lt;&gt;"",COUNTIF(A12:$A$200,"&lt;&gt;")=0),ROUND(SUMIF($A$2:A10,"&lt;&gt;",$AC$2:AC10),2),IF(OR(AB11="",C11="",NOT(ISNUMBER($Z$2))),"",ROUND(AB11*C11*$Z$2,2)))</f>
        <v/>
      </c>
      <c r="AD11" s="155">
        <f>IF(A11="","",posicao_contratual!E11)</f>
        <v/>
      </c>
      <c r="AE11" s="155">
        <f>IF(A11="","",posicao_contratual!I11)</f>
        <v/>
      </c>
      <c r="AF11" s="155">
        <f>IF(A11="","",posicao_contratual!M11)</f>
        <v/>
      </c>
      <c r="AG11" s="155">
        <f>IF(A11="","",posicao_contratual!Q11)</f>
        <v/>
      </c>
      <c r="AH11" s="155">
        <f>IF(A11="","",posicao_contratual!U11)</f>
        <v/>
      </c>
      <c r="AI11" s="155">
        <f>IF(A11="","",posicao_contratual!G11)</f>
        <v/>
      </c>
      <c r="AJ11" s="155">
        <f>IF(A11="","",posicao_contratual!K11)</f>
        <v/>
      </c>
      <c r="AK11" s="155">
        <f>IF(A11="","",posicao_contratual!O11)</f>
        <v/>
      </c>
      <c r="AL11" s="155">
        <f>IF(A11="","",posicao_contratual!S11)</f>
        <v/>
      </c>
      <c r="AM11" s="155">
        <f>IF(A11="","",posicao_contratual!W11)</f>
        <v/>
      </c>
      <c r="AN11" s="156">
        <f>IF(A11="","",posicao_contratual!X11)</f>
        <v/>
      </c>
      <c r="AO11">
        <f>IF($A11="","",ROUND(SUMIFS(itens_Consumidos!$E$2:$E$200,itens_Consumidos!$A$2:$A$200,$A11),2))</f>
        <v/>
      </c>
      <c r="AP11">
        <f>IF(OR($A11="",AB11=""),"",ROUND(MAX(AB11-AO11,0),2))</f>
        <v/>
      </c>
      <c r="AQ11">
        <f>IF(OR($A11="",AB11="",MEMORIA_RESULTADOS!$I$258=""),"",ROUND(AB11*$C11*(MEMORIA_RESULTADOS!$I$258-1),2))</f>
        <v/>
      </c>
      <c r="AR11">
        <f>IF(OR($A11="",AP11="",MEMORIA_RESULTADOS!$I$258=""),"",ROUND(AP11*$C11*(parametros!$F$2-MEMORIA_RESULTADOS!$I$258),2))</f>
        <v/>
      </c>
      <c r="AS11">
        <f>IF($A11="","",ROUND(SUMIFS(itens_Consumidos!$G$2:$G$200,itens_Consumidos!$A$2:$A$200,$A11),2))</f>
        <v/>
      </c>
      <c r="AT11">
        <f>IF(OR($A11="",M11=""),"",ROUND(MAX(M11-AS11,0),2))</f>
        <v/>
      </c>
      <c r="AU11">
        <f>IF(OR($A11="",M11="",MEMORIA_RESULTADOS!$I$259=""),"",ROUND(M11*$C11*(MEMORIA_RESULTADOS!$I$259-1),2))</f>
        <v/>
      </c>
      <c r="AV11">
        <f>IF(OR($A11="",AT11="",MEMORIA_RESULTADOS!$I$259=""),"",ROUND(AT11*$C11*(parametros!$F$3-MEMORIA_RESULTADOS!$I$259),2))</f>
        <v/>
      </c>
      <c r="AW11">
        <f>IF($A11="","",ROUND(SUMIFS(itens_Consumidos!$I$2:$I$200,itens_Consumidos!$A$2:$A$200,$A11),2))</f>
        <v/>
      </c>
      <c r="AX11">
        <f>IF(OR($A11="",O11=""),"",ROUND(MAX(O11-AW11,0),2))</f>
        <v/>
      </c>
      <c r="AY11">
        <f>IF(OR($A11="",O11="",MEMORIA_RESULTADOS!$I$260=""),"",ROUND(O11*$C11*(MEMORIA_RESULTADOS!$I$260-1),2))</f>
        <v/>
      </c>
      <c r="AZ11">
        <f>IF(OR($A11="",AX11="",MEMORIA_RESULTADOS!$I$260=""),"",ROUND(AX11*$C11*(parametros!$F$4-MEMORIA_RESULTADOS!$I$260),2))</f>
        <v/>
      </c>
      <c r="BA11">
        <f>IF($A11="","",ROUND(SUMIFS(itens_Consumidos!$K$2:$K$200,itens_Consumidos!$A$2:$A$200,$A11),2))</f>
        <v/>
      </c>
      <c r="BB11">
        <f>IF(OR($A11="",Q11=""),"",ROUND(MAX(Q11-BA11,0),2))</f>
        <v/>
      </c>
      <c r="BC11">
        <f>IF(OR($A11="",Q11="",MEMORIA_RESULTADOS!$I$261=""),"",ROUND(Q11*$C11*(MEMORIA_RESULTADOS!$I$261-1),2))</f>
        <v/>
      </c>
      <c r="BD11">
        <f>IF(OR($A11="",BB11="",MEMORIA_RESULTADOS!$I$261=""),"",ROUND(BB11*$C11*(parametros!$F$5-MEMORIA_RESULTADOS!$I$261),2))</f>
        <v/>
      </c>
      <c r="BE11">
        <f>IF($A11="","",ROUND(SUMIFS(itens_Consumidos!$M$2:$M$200,itens_Consumidos!$A$2:$A$200,$A11),2))</f>
        <v/>
      </c>
      <c r="BF11">
        <f>IF(OR($A11="",S11=""),"",ROUND(MAX(S11-BE11,0),2))</f>
        <v/>
      </c>
      <c r="BG11">
        <f>IF(OR($A11="",S11="",MEMORIA_RESULTADOS!$I$262=""),"",ROUND(S11*$C11*(MEMORIA_RESULTADOS!$I$262-1),2))</f>
        <v/>
      </c>
      <c r="BH11">
        <f>IF(OR($A11="",BF11="",MEMORIA_RESULTADOS!$I$262=""),"",ROUND(BF11*$C11*(parametros!$F$6-MEMORIA_RESULTADOS!$I$262),2))</f>
        <v/>
      </c>
    </row>
    <row r="12">
      <c r="A12" s="86" t="n"/>
      <c r="B12" s="87">
        <f>IF(AND(LEN(TRIM($A12))=4,LEFT(TRIM($A12),1)="N",ISNUMBER(--MID(TRIM($A12),2,3)),ISERROR(FIND(".",$A12)),ISERROR(FIND(",",$A12)),ISERROR(FIND("-",$A12)),ISERROR(FIND("+",$A12)),ISERROR(SEARCH("E",$A12,2)),ISERROR(FIND(" ",TRIM($A12)))),0,"")</f>
        <v/>
      </c>
      <c r="C12" s="339" t="n"/>
      <c r="D12" s="335">
        <f>IF(AND(A12="",A11&lt;&gt;"",COUNTIF(A13:$A$200,"&lt;&gt;")=0),ROUND(SUMIF($A$2:A11,"&lt;&gt;",$D$2:D11),2),IF(OR(A12="",B12="",C12=""),"",ROUND(B12*C12,2)))</f>
        <v/>
      </c>
      <c r="E12" s="89" t="n"/>
      <c r="F12" s="335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 t="n"/>
      <c r="H12" s="335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 t="n"/>
      <c r="J12" s="335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 t="n"/>
      <c r="L12" s="335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>
        <f>IF(OR(posicao_contratual!J12="",posicao_contratual!N12=""),"",ROUND(MAX(posicao_contratual!J12+posicao_contratual!H12-posicao_contratual!N12,0),2))</f>
        <v/>
      </c>
      <c r="N12" s="335">
        <f>IF(AND(A12="",A11&lt;&gt;"",COUNTIF(A13:$A$200,"&lt;&gt;")=0),ROUND(SUMIF($A$2:A11,"&lt;&gt;",$N$2:N11),2),IF(OR(M12="",C12="",NOT(ISNUMBER($Z$3))),"",ROUND(M12*C12*$Z$3,2)))</f>
        <v/>
      </c>
      <c r="O12" s="90">
        <f>IF(OR(posicao_contratual!N12="",posicao_contratual!R12=""),"",ROUND(MAX(posicao_contratual!N12+posicao_contratual!L12-posicao_contratual!R12,0),2))</f>
        <v/>
      </c>
      <c r="P12" s="335">
        <f>IF(AND(A12="",A11&lt;&gt;"",COUNTIF(A13:$A$200,"&lt;&gt;")=0),ROUND(SUMIF($A$2:A11,"&lt;&gt;",$P$2:P11),2),IF(OR(O12="",C12="",NOT(ISNUMBER($Z$4))),"",ROUND(O12*C12*$Z$4,2)))</f>
        <v/>
      </c>
      <c r="Q12" s="90">
        <f>IF(OR(posicao_contratual!R12="",posicao_contratual!V12=""),"",ROUND(MAX(posicao_contratual!R12+posicao_contratual!P12-posicao_contratual!V12,0),2))</f>
        <v/>
      </c>
      <c r="R12" s="335">
        <f>IF(AND(A12="",A11&lt;&gt;"",COUNTIF(A13:$A$200,"&lt;&gt;")=0),ROUND(SUMIF($A$2:A11,"&lt;&gt;",$R$2:R11),2),IF(OR(Q12="",C12="",NOT(ISNUMBER($Z$5))),"",ROUND(Q12*C12*$Z$5,2)))</f>
        <v/>
      </c>
      <c r="S12" s="22" t="n"/>
      <c r="T12" s="340" t="n"/>
      <c r="U12" s="91">
        <f>IF(AND(A12="",A11&lt;&gt;"",COUNTIF(A13:$A$200,"&lt;&gt;")=0),"TOTAL",IF(A12="","",posicao_contratual!X12))</f>
        <v/>
      </c>
      <c r="V12" s="91">
        <f>IF(A12="","",posicao_contratual!X12)</f>
        <v/>
      </c>
      <c r="W12" s="14" t="n"/>
      <c r="X12" s="14" t="n"/>
      <c r="Y12" s="14" t="n"/>
      <c r="Z12" s="13" t="n"/>
      <c r="AA12" s="13" t="n"/>
      <c r="AB12" s="90">
        <f>IF(OR(A12="",posicao_contratual!E12="",posicao_contratual!J12=""),"",ROUND(MAX(posicao_contratual!E12-posicao_contratual!J12,0),2))</f>
        <v/>
      </c>
      <c r="AC12" s="335">
        <f>IF(AND(A12="",A11&lt;&gt;"",COUNTIF(A13:$A$200,"&lt;&gt;")=0),ROUND(SUMIF($A$2:A11,"&lt;&gt;",$AC$2:AC11),2),IF(OR(AB12="",C12="",NOT(ISNUMBER($Z$2))),"",ROUND(AB12*C12*$Z$2,2)))</f>
        <v/>
      </c>
      <c r="AD12" s="155">
        <f>IF(A12="","",posicao_contratual!E12)</f>
        <v/>
      </c>
      <c r="AE12" s="155">
        <f>IF(A12="","",posicao_contratual!I12)</f>
        <v/>
      </c>
      <c r="AF12" s="155">
        <f>IF(A12="","",posicao_contratual!M12)</f>
        <v/>
      </c>
      <c r="AG12" s="155">
        <f>IF(A12="","",posicao_contratual!Q12)</f>
        <v/>
      </c>
      <c r="AH12" s="155">
        <f>IF(A12="","",posicao_contratual!U12)</f>
        <v/>
      </c>
      <c r="AI12" s="155">
        <f>IF(A12="","",posicao_contratual!G12)</f>
        <v/>
      </c>
      <c r="AJ12" s="155">
        <f>IF(A12="","",posicao_contratual!K12)</f>
        <v/>
      </c>
      <c r="AK12" s="155">
        <f>IF(A12="","",posicao_contratual!O12)</f>
        <v/>
      </c>
      <c r="AL12" s="155">
        <f>IF(A12="","",posicao_contratual!S12)</f>
        <v/>
      </c>
      <c r="AM12" s="155">
        <f>IF(A12="","",posicao_contratual!W12)</f>
        <v/>
      </c>
      <c r="AN12" s="156">
        <f>IF(A12="","",posicao_contratual!X12)</f>
        <v/>
      </c>
      <c r="AO12">
        <f>IF($A12="","",ROUND(SUMIFS(itens_Consumidos!$E$2:$E$200,itens_Consumidos!$A$2:$A$200,$A12),2))</f>
        <v/>
      </c>
      <c r="AP12">
        <f>IF(OR($A12="",AB12=""),"",ROUND(MAX(AB12-AO12,0),2))</f>
        <v/>
      </c>
      <c r="AQ12">
        <f>IF(OR($A12="",AB12="",MEMORIA_RESULTADOS!$I$258=""),"",ROUND(AB12*$C12*(MEMORIA_RESULTADOS!$I$258-1),2))</f>
        <v/>
      </c>
      <c r="AR12">
        <f>IF(OR($A12="",AP12="",MEMORIA_RESULTADOS!$I$258=""),"",ROUND(AP12*$C12*(parametros!$F$2-MEMORIA_RESULTADOS!$I$258),2))</f>
        <v/>
      </c>
      <c r="AS12">
        <f>IF($A12="","",ROUND(SUMIFS(itens_Consumidos!$G$2:$G$200,itens_Consumidos!$A$2:$A$200,$A12),2))</f>
        <v/>
      </c>
      <c r="AT12">
        <f>IF(OR($A12="",M12=""),"",ROUND(MAX(M12-AS12,0),2))</f>
        <v/>
      </c>
      <c r="AU12">
        <f>IF(OR($A12="",M12="",MEMORIA_RESULTADOS!$I$259=""),"",ROUND(M12*$C12*(MEMORIA_RESULTADOS!$I$259-1),2))</f>
        <v/>
      </c>
      <c r="AV12">
        <f>IF(OR($A12="",AT12="",MEMORIA_RESULTADOS!$I$259=""),"",ROUND(AT12*$C12*(parametros!$F$3-MEMORIA_RESULTADOS!$I$259),2))</f>
        <v/>
      </c>
      <c r="AW12">
        <f>IF($A12="","",ROUND(SUMIFS(itens_Consumidos!$I$2:$I$200,itens_Consumidos!$A$2:$A$200,$A12),2))</f>
        <v/>
      </c>
      <c r="AX12">
        <f>IF(OR($A12="",O12=""),"",ROUND(MAX(O12-AW12,0),2))</f>
        <v/>
      </c>
      <c r="AY12">
        <f>IF(OR($A12="",O12="",MEMORIA_RESULTADOS!$I$260=""),"",ROUND(O12*$C12*(MEMORIA_RESULTADOS!$I$260-1),2))</f>
        <v/>
      </c>
      <c r="AZ12">
        <f>IF(OR($A12="",AX12="",MEMORIA_RESULTADOS!$I$260=""),"",ROUND(AX12*$C12*(parametros!$F$4-MEMORIA_RESULTADOS!$I$260),2))</f>
        <v/>
      </c>
      <c r="BA12">
        <f>IF($A12="","",ROUND(SUMIFS(itens_Consumidos!$K$2:$K$200,itens_Consumidos!$A$2:$A$200,$A12),2))</f>
        <v/>
      </c>
      <c r="BB12">
        <f>IF(OR($A12="",Q12=""),"",ROUND(MAX(Q12-BA12,0),2))</f>
        <v/>
      </c>
      <c r="BC12">
        <f>IF(OR($A12="",Q12="",MEMORIA_RESULTADOS!$I$261=""),"",ROUND(Q12*$C12*(MEMORIA_RESULTADOS!$I$261-1),2))</f>
        <v/>
      </c>
      <c r="BD12">
        <f>IF(OR($A12="",BB12="",MEMORIA_RESULTADOS!$I$261=""),"",ROUND(BB12*$C12*(parametros!$F$5-MEMORIA_RESULTADOS!$I$261),2))</f>
        <v/>
      </c>
      <c r="BE12">
        <f>IF($A12="","",ROUND(SUMIFS(itens_Consumidos!$M$2:$M$200,itens_Consumidos!$A$2:$A$200,$A12),2))</f>
        <v/>
      </c>
      <c r="BF12">
        <f>IF(OR($A12="",S12=""),"",ROUND(MAX(S12-BE12,0),2))</f>
        <v/>
      </c>
      <c r="BG12">
        <f>IF(OR($A12="",S12="",MEMORIA_RESULTADOS!$I$262=""),"",ROUND(S12*$C12*(MEMORIA_RESULTADOS!$I$262-1),2))</f>
        <v/>
      </c>
      <c r="BH12">
        <f>IF(OR($A12="",BF12="",MEMORIA_RESULTADOS!$I$262=""),"",ROUND(BF12*$C12*(parametros!$F$6-MEMORIA_RESULTADOS!$I$262),2))</f>
        <v/>
      </c>
    </row>
    <row r="13">
      <c r="A13" s="86" t="n"/>
      <c r="B13" s="87">
        <f>IF(AND(LEN(TRIM($A13))=4,LEFT(TRIM($A13),1)="N",ISNUMBER(--MID(TRIM($A13),2,3)),ISERROR(FIND(".",$A13)),ISERROR(FIND(",",$A13)),ISERROR(FIND("-",$A13)),ISERROR(FIND("+",$A13)),ISERROR(SEARCH("E",$A13,2)),ISERROR(FIND(" ",TRIM($A13)))),0,"")</f>
        <v/>
      </c>
      <c r="C13" s="339" t="n"/>
      <c r="D13" s="335">
        <f>IF(AND(A13="",A12&lt;&gt;"",COUNTIF(A14:$A$200,"&lt;&gt;")=0),ROUND(SUMIF($A$2:A12,"&lt;&gt;",$D$2:D12),2),IF(OR(A13="",B13="",C13=""),"",ROUND(B13*C13,2)))</f>
        <v/>
      </c>
      <c r="E13" s="89" t="n"/>
      <c r="F13" s="335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 t="n"/>
      <c r="H13" s="335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 t="n"/>
      <c r="J13" s="335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 t="n"/>
      <c r="L13" s="335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>
        <f>IF(OR(posicao_contratual!J13="",posicao_contratual!N13=""),"",ROUND(MAX(posicao_contratual!J13+posicao_contratual!H13-posicao_contratual!N13,0),2))</f>
        <v/>
      </c>
      <c r="N13" s="335">
        <f>IF(AND(A13="",A12&lt;&gt;"",COUNTIF(A14:$A$200,"&lt;&gt;")=0),ROUND(SUMIF($A$2:A12,"&lt;&gt;",$N$2:N12),2),IF(OR(M13="",C13="",NOT(ISNUMBER($Z$3))),"",ROUND(M13*C13*$Z$3,2)))</f>
        <v/>
      </c>
      <c r="O13" s="90">
        <f>IF(OR(posicao_contratual!N13="",posicao_contratual!R13=""),"",ROUND(MAX(posicao_contratual!N13+posicao_contratual!L13-posicao_contratual!R13,0),2))</f>
        <v/>
      </c>
      <c r="P13" s="335">
        <f>IF(AND(A13="",A12&lt;&gt;"",COUNTIF(A14:$A$200,"&lt;&gt;")=0),ROUND(SUMIF($A$2:A12,"&lt;&gt;",$P$2:P12),2),IF(OR(O13="",C13="",NOT(ISNUMBER($Z$4))),"",ROUND(O13*C13*$Z$4,2)))</f>
        <v/>
      </c>
      <c r="Q13" s="90">
        <f>IF(OR(posicao_contratual!R13="",posicao_contratual!V13=""),"",ROUND(MAX(posicao_contratual!R13+posicao_contratual!P13-posicao_contratual!V13,0),2))</f>
        <v/>
      </c>
      <c r="R13" s="335">
        <f>IF(AND(A13="",A12&lt;&gt;"",COUNTIF(A14:$A$200,"&lt;&gt;")=0),ROUND(SUMIF($A$2:A12,"&lt;&gt;",$R$2:R12),2),IF(OR(Q13="",C13="",NOT(ISNUMBER($Z$5))),"",ROUND(Q13*C13*$Z$5,2)))</f>
        <v/>
      </c>
      <c r="S13" s="22" t="n"/>
      <c r="T13" s="340" t="n"/>
      <c r="U13" s="91">
        <f>IF(AND(A13="",A12&lt;&gt;"",COUNTIF(A14:$A$200,"&lt;&gt;")=0),"TOTAL",IF(A13="","",posicao_contratual!X13))</f>
        <v/>
      </c>
      <c r="V13" s="91">
        <f>IF(A13="","",posicao_contratual!X13)</f>
        <v/>
      </c>
      <c r="W13" s="14" t="n"/>
      <c r="X13" s="14" t="n"/>
      <c r="Y13" s="14" t="n"/>
      <c r="Z13" s="13" t="n"/>
      <c r="AA13" s="13" t="n"/>
      <c r="AB13" s="90">
        <f>IF(OR(A13="",posicao_contratual!E13="",posicao_contratual!J13=""),"",ROUND(MAX(posicao_contratual!E13-posicao_contratual!J13,0),2))</f>
        <v/>
      </c>
      <c r="AC13" s="335">
        <f>IF(AND(A13="",A12&lt;&gt;"",COUNTIF(A14:$A$200,"&lt;&gt;")=0),ROUND(SUMIF($A$2:A12,"&lt;&gt;",$AC$2:AC12),2),IF(OR(AB13="",C13="",NOT(ISNUMBER($Z$2))),"",ROUND(AB13*C13*$Z$2,2)))</f>
        <v/>
      </c>
      <c r="AD13" s="155">
        <f>IF(A13="","",posicao_contratual!E13)</f>
        <v/>
      </c>
      <c r="AE13" s="155">
        <f>IF(A13="","",posicao_contratual!I13)</f>
        <v/>
      </c>
      <c r="AF13" s="155">
        <f>IF(A13="","",posicao_contratual!M13)</f>
        <v/>
      </c>
      <c r="AG13" s="155">
        <f>IF(A13="","",posicao_contratual!Q13)</f>
        <v/>
      </c>
      <c r="AH13" s="155">
        <f>IF(A13="","",posicao_contratual!U13)</f>
        <v/>
      </c>
      <c r="AI13" s="155">
        <f>IF(A13="","",posicao_contratual!G13)</f>
        <v/>
      </c>
      <c r="AJ13" s="155">
        <f>IF(A13="","",posicao_contratual!K13)</f>
        <v/>
      </c>
      <c r="AK13" s="155">
        <f>IF(A13="","",posicao_contratual!O13)</f>
        <v/>
      </c>
      <c r="AL13" s="155">
        <f>IF(A13="","",posicao_contratual!S13)</f>
        <v/>
      </c>
      <c r="AM13" s="155">
        <f>IF(A13="","",posicao_contratual!W13)</f>
        <v/>
      </c>
      <c r="AN13" s="156">
        <f>IF(A13="","",posicao_contratual!X13)</f>
        <v/>
      </c>
      <c r="AO13">
        <f>IF($A13="","",ROUND(SUMIFS(itens_Consumidos!$E$2:$E$200,itens_Consumidos!$A$2:$A$200,$A13),2))</f>
        <v/>
      </c>
      <c r="AP13">
        <f>IF(OR($A13="",AB13=""),"",ROUND(MAX(AB13-AO13,0),2))</f>
        <v/>
      </c>
      <c r="AQ13">
        <f>IF(OR($A13="",AB13="",MEMORIA_RESULTADOS!$I$258=""),"",ROUND(AB13*$C13*(MEMORIA_RESULTADOS!$I$258-1),2))</f>
        <v/>
      </c>
      <c r="AR13">
        <f>IF(OR($A13="",AP13="",MEMORIA_RESULTADOS!$I$258=""),"",ROUND(AP13*$C13*(parametros!$F$2-MEMORIA_RESULTADOS!$I$258),2))</f>
        <v/>
      </c>
      <c r="AS13">
        <f>IF($A13="","",ROUND(SUMIFS(itens_Consumidos!$G$2:$G$200,itens_Consumidos!$A$2:$A$200,$A13),2))</f>
        <v/>
      </c>
      <c r="AT13">
        <f>IF(OR($A13="",M13=""),"",ROUND(MAX(M13-AS13,0),2))</f>
        <v/>
      </c>
      <c r="AU13">
        <f>IF(OR($A13="",M13="",MEMORIA_RESULTADOS!$I$259=""),"",ROUND(M13*$C13*(MEMORIA_RESULTADOS!$I$259-1),2))</f>
        <v/>
      </c>
      <c r="AV13">
        <f>IF(OR($A13="",AT13="",MEMORIA_RESULTADOS!$I$259=""),"",ROUND(AT13*$C13*(parametros!$F$3-MEMORIA_RESULTADOS!$I$259),2))</f>
        <v/>
      </c>
      <c r="AW13">
        <f>IF($A13="","",ROUND(SUMIFS(itens_Consumidos!$I$2:$I$200,itens_Consumidos!$A$2:$A$200,$A13),2))</f>
        <v/>
      </c>
      <c r="AX13">
        <f>IF(OR($A13="",O13=""),"",ROUND(MAX(O13-AW13,0),2))</f>
        <v/>
      </c>
      <c r="AY13">
        <f>IF(OR($A13="",O13="",MEMORIA_RESULTADOS!$I$260=""),"",ROUND(O13*$C13*(MEMORIA_RESULTADOS!$I$260-1),2))</f>
        <v/>
      </c>
      <c r="AZ13">
        <f>IF(OR($A13="",AX13="",MEMORIA_RESULTADOS!$I$260=""),"",ROUND(AX13*$C13*(parametros!$F$4-MEMORIA_RESULTADOS!$I$260),2))</f>
        <v/>
      </c>
      <c r="BA13">
        <f>IF($A13="","",ROUND(SUMIFS(itens_Consumidos!$K$2:$K$200,itens_Consumidos!$A$2:$A$200,$A13),2))</f>
        <v/>
      </c>
      <c r="BB13">
        <f>IF(OR($A13="",Q13=""),"",ROUND(MAX(Q13-BA13,0),2))</f>
        <v/>
      </c>
      <c r="BC13">
        <f>IF(OR($A13="",Q13="",MEMORIA_RESULTADOS!$I$261=""),"",ROUND(Q13*$C13*(MEMORIA_RESULTADOS!$I$261-1),2))</f>
        <v/>
      </c>
      <c r="BD13">
        <f>IF(OR($A13="",BB13="",MEMORIA_RESULTADOS!$I$261=""),"",ROUND(BB13*$C13*(parametros!$F$5-MEMORIA_RESULTADOS!$I$261),2))</f>
        <v/>
      </c>
      <c r="BE13">
        <f>IF($A13="","",ROUND(SUMIFS(itens_Consumidos!$M$2:$M$200,itens_Consumidos!$A$2:$A$200,$A13),2))</f>
        <v/>
      </c>
      <c r="BF13">
        <f>IF(OR($A13="",S13=""),"",ROUND(MAX(S13-BE13,0),2))</f>
        <v/>
      </c>
      <c r="BG13">
        <f>IF(OR($A13="",S13="",MEMORIA_RESULTADOS!$I$262=""),"",ROUND(S13*$C13*(MEMORIA_RESULTADOS!$I$262-1),2))</f>
        <v/>
      </c>
      <c r="BH13">
        <f>IF(OR($A13="",BF13="",MEMORIA_RESULTADOS!$I$262=""),"",ROUND(BF13*$C13*(parametros!$F$6-MEMORIA_RESULTADOS!$I$262),2))</f>
        <v/>
      </c>
    </row>
    <row r="14">
      <c r="A14" s="86" t="n"/>
      <c r="B14" s="87">
        <f>IF(AND(LEN(TRIM($A14))=4,LEFT(TRIM($A14),1)="N",ISNUMBER(--MID(TRIM($A14),2,3)),ISERROR(FIND(".",$A14)),ISERROR(FIND(",",$A14)),ISERROR(FIND("-",$A14)),ISERROR(FIND("+",$A14)),ISERROR(SEARCH("E",$A14,2)),ISERROR(FIND(" ",TRIM($A14)))),0,"")</f>
        <v/>
      </c>
      <c r="C14" s="339" t="n"/>
      <c r="D14" s="335">
        <f>IF(AND(A14="",A13&lt;&gt;"",COUNTIF(A15:$A$200,"&lt;&gt;")=0),ROUND(SUMIF($A$2:A13,"&lt;&gt;",$D$2:D13),2),IF(OR(A14="",B14="",C14=""),"",ROUND(B14*C14,2)))</f>
        <v/>
      </c>
      <c r="E14" s="89" t="n"/>
      <c r="F14" s="335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 t="n"/>
      <c r="H14" s="335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 t="n"/>
      <c r="J14" s="335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 t="n"/>
      <c r="L14" s="335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>
        <f>IF(OR(posicao_contratual!J14="",posicao_contratual!N14=""),"",ROUND(MAX(posicao_contratual!J14+posicao_contratual!H14-posicao_contratual!N14,0),2))</f>
        <v/>
      </c>
      <c r="N14" s="335">
        <f>IF(AND(A14="",A13&lt;&gt;"",COUNTIF(A15:$A$200,"&lt;&gt;")=0),ROUND(SUMIF($A$2:A13,"&lt;&gt;",$N$2:N13),2),IF(OR(M14="",C14="",NOT(ISNUMBER($Z$3))),"",ROUND(M14*C14*$Z$3,2)))</f>
        <v/>
      </c>
      <c r="O14" s="90">
        <f>IF(OR(posicao_contratual!N14="",posicao_contratual!R14=""),"",ROUND(MAX(posicao_contratual!N14+posicao_contratual!L14-posicao_contratual!R14,0),2))</f>
        <v/>
      </c>
      <c r="P14" s="335">
        <f>IF(AND(A14="",A13&lt;&gt;"",COUNTIF(A15:$A$200,"&lt;&gt;")=0),ROUND(SUMIF($A$2:A13,"&lt;&gt;",$P$2:P13),2),IF(OR(O14="",C14="",NOT(ISNUMBER($Z$4))),"",ROUND(O14*C14*$Z$4,2)))</f>
        <v/>
      </c>
      <c r="Q14" s="90">
        <f>IF(OR(posicao_contratual!R14="",posicao_contratual!V14=""),"",ROUND(MAX(posicao_contratual!R14+posicao_contratual!P14-posicao_contratual!V14,0),2))</f>
        <v/>
      </c>
      <c r="R14" s="335">
        <f>IF(AND(A14="",A13&lt;&gt;"",COUNTIF(A15:$A$200,"&lt;&gt;")=0),ROUND(SUMIF($A$2:A13,"&lt;&gt;",$R$2:R13),2),IF(OR(Q14="",C14="",NOT(ISNUMBER($Z$5))),"",ROUND(Q14*C14*$Z$5,2)))</f>
        <v/>
      </c>
      <c r="S14" s="22" t="n"/>
      <c r="T14" s="340" t="n"/>
      <c r="U14" s="91">
        <f>IF(AND(A14="",A13&lt;&gt;"",COUNTIF(A15:$A$200,"&lt;&gt;")=0),"TOTAL",IF(A14="","",posicao_contratual!X14))</f>
        <v/>
      </c>
      <c r="V14" s="91">
        <f>IF(A14="","",posicao_contratual!X14)</f>
        <v/>
      </c>
      <c r="W14" s="14" t="n"/>
      <c r="X14" s="14" t="n"/>
      <c r="Y14" s="14" t="n"/>
      <c r="Z14" s="13" t="n"/>
      <c r="AA14" s="13" t="n"/>
      <c r="AB14" s="90">
        <f>IF(OR(A14="",posicao_contratual!E14="",posicao_contratual!J14=""),"",ROUND(MAX(posicao_contratual!E14-posicao_contratual!J14,0),2))</f>
        <v/>
      </c>
      <c r="AC14" s="335">
        <f>IF(AND(A14="",A13&lt;&gt;"",COUNTIF(A15:$A$200,"&lt;&gt;")=0),ROUND(SUMIF($A$2:A13,"&lt;&gt;",$AC$2:AC13),2),IF(OR(AB14="",C14="",NOT(ISNUMBER($Z$2))),"",ROUND(AB14*C14*$Z$2,2)))</f>
        <v/>
      </c>
      <c r="AD14" s="155">
        <f>IF(A14="","",posicao_contratual!E14)</f>
        <v/>
      </c>
      <c r="AE14" s="155">
        <f>IF(A14="","",posicao_contratual!I14)</f>
        <v/>
      </c>
      <c r="AF14" s="155">
        <f>IF(A14="","",posicao_contratual!M14)</f>
        <v/>
      </c>
      <c r="AG14" s="155">
        <f>IF(A14="","",posicao_contratual!Q14)</f>
        <v/>
      </c>
      <c r="AH14" s="155">
        <f>IF(A14="","",posicao_contratual!U14)</f>
        <v/>
      </c>
      <c r="AI14" s="155">
        <f>IF(A14="","",posicao_contratual!G14)</f>
        <v/>
      </c>
      <c r="AJ14" s="155">
        <f>IF(A14="","",posicao_contratual!K14)</f>
        <v/>
      </c>
      <c r="AK14" s="155">
        <f>IF(A14="","",posicao_contratual!O14)</f>
        <v/>
      </c>
      <c r="AL14" s="155">
        <f>IF(A14="","",posicao_contratual!S14)</f>
        <v/>
      </c>
      <c r="AM14" s="155">
        <f>IF(A14="","",posicao_contratual!W14)</f>
        <v/>
      </c>
      <c r="AN14" s="156">
        <f>IF(A14="","",posicao_contratual!X14)</f>
        <v/>
      </c>
      <c r="AO14">
        <f>IF($A14="","",ROUND(SUMIFS(itens_Consumidos!$E$2:$E$200,itens_Consumidos!$A$2:$A$200,$A14),2))</f>
        <v/>
      </c>
      <c r="AP14">
        <f>IF(OR($A14="",AB14=""),"",ROUND(MAX(AB14-AO14,0),2))</f>
        <v/>
      </c>
      <c r="AQ14">
        <f>IF(OR($A14="",AB14="",MEMORIA_RESULTADOS!$I$258=""),"",ROUND(AB14*$C14*(MEMORIA_RESULTADOS!$I$258-1),2))</f>
        <v/>
      </c>
      <c r="AR14">
        <f>IF(OR($A14="",AP14="",MEMORIA_RESULTADOS!$I$258=""),"",ROUND(AP14*$C14*(parametros!$F$2-MEMORIA_RESULTADOS!$I$258),2))</f>
        <v/>
      </c>
      <c r="AS14">
        <f>IF($A14="","",ROUND(SUMIFS(itens_Consumidos!$G$2:$G$200,itens_Consumidos!$A$2:$A$200,$A14),2))</f>
        <v/>
      </c>
      <c r="AT14">
        <f>IF(OR($A14="",M14=""),"",ROUND(MAX(M14-AS14,0),2))</f>
        <v/>
      </c>
      <c r="AU14">
        <f>IF(OR($A14="",M14="",MEMORIA_RESULTADOS!$I$259=""),"",ROUND(M14*$C14*(MEMORIA_RESULTADOS!$I$259-1),2))</f>
        <v/>
      </c>
      <c r="AV14">
        <f>IF(OR($A14="",AT14="",MEMORIA_RESULTADOS!$I$259=""),"",ROUND(AT14*$C14*(parametros!$F$3-MEMORIA_RESULTADOS!$I$259),2))</f>
        <v/>
      </c>
      <c r="AW14">
        <f>IF($A14="","",ROUND(SUMIFS(itens_Consumidos!$I$2:$I$200,itens_Consumidos!$A$2:$A$200,$A14),2))</f>
        <v/>
      </c>
      <c r="AX14">
        <f>IF(OR($A14="",O14=""),"",ROUND(MAX(O14-AW14,0),2))</f>
        <v/>
      </c>
      <c r="AY14">
        <f>IF(OR($A14="",O14="",MEMORIA_RESULTADOS!$I$260=""),"",ROUND(O14*$C14*(MEMORIA_RESULTADOS!$I$260-1),2))</f>
        <v/>
      </c>
      <c r="AZ14">
        <f>IF(OR($A14="",AX14="",MEMORIA_RESULTADOS!$I$260=""),"",ROUND(AX14*$C14*(parametros!$F$4-MEMORIA_RESULTADOS!$I$260),2))</f>
        <v/>
      </c>
      <c r="BA14">
        <f>IF($A14="","",ROUND(SUMIFS(itens_Consumidos!$K$2:$K$200,itens_Consumidos!$A$2:$A$200,$A14),2))</f>
        <v/>
      </c>
      <c r="BB14">
        <f>IF(OR($A14="",Q14=""),"",ROUND(MAX(Q14-BA14,0),2))</f>
        <v/>
      </c>
      <c r="BC14">
        <f>IF(OR($A14="",Q14="",MEMORIA_RESULTADOS!$I$261=""),"",ROUND(Q14*$C14*(MEMORIA_RESULTADOS!$I$261-1),2))</f>
        <v/>
      </c>
      <c r="BD14">
        <f>IF(OR($A14="",BB14="",MEMORIA_RESULTADOS!$I$261=""),"",ROUND(BB14*$C14*(parametros!$F$5-MEMORIA_RESULTADOS!$I$261),2))</f>
        <v/>
      </c>
      <c r="BE14">
        <f>IF($A14="","",ROUND(SUMIFS(itens_Consumidos!$M$2:$M$200,itens_Consumidos!$A$2:$A$200,$A14),2))</f>
        <v/>
      </c>
      <c r="BF14">
        <f>IF(OR($A14="",S14=""),"",ROUND(MAX(S14-BE14,0),2))</f>
        <v/>
      </c>
      <c r="BG14">
        <f>IF(OR($A14="",S14="",MEMORIA_RESULTADOS!$I$262=""),"",ROUND(S14*$C14*(MEMORIA_RESULTADOS!$I$262-1),2))</f>
        <v/>
      </c>
      <c r="BH14">
        <f>IF(OR($A14="",BF14="",MEMORIA_RESULTADOS!$I$262=""),"",ROUND(BF14*$C14*(parametros!$F$6-MEMORIA_RESULTADOS!$I$262),2))</f>
        <v/>
      </c>
    </row>
    <row r="15">
      <c r="A15" s="86" t="n"/>
      <c r="B15" s="87">
        <f>IF(AND(LEN(TRIM($A15))=4,LEFT(TRIM($A15),1)="N",ISNUMBER(--MID(TRIM($A15),2,3)),ISERROR(FIND(".",$A15)),ISERROR(FIND(",",$A15)),ISERROR(FIND("-",$A15)),ISERROR(FIND("+",$A15)),ISERROR(SEARCH("E",$A15,2)),ISERROR(FIND(" ",TRIM($A15)))),0,"")</f>
        <v/>
      </c>
      <c r="C15" s="339" t="n"/>
      <c r="D15" s="335">
        <f>IF(AND(A15="",A14&lt;&gt;"",COUNTIF(A16:$A$200,"&lt;&gt;")=0),ROUND(SUMIF($A$2:A14,"&lt;&gt;",$D$2:D14),2),IF(OR(A15="",B15="",C15=""),"",ROUND(B15*C15,2)))</f>
        <v/>
      </c>
      <c r="E15" s="89" t="n"/>
      <c r="F15" s="335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 t="n"/>
      <c r="H15" s="335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 t="n"/>
      <c r="J15" s="335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 t="n"/>
      <c r="L15" s="335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>
        <f>IF(OR(posicao_contratual!J15="",posicao_contratual!N15=""),"",ROUND(MAX(posicao_contratual!J15+posicao_contratual!H15-posicao_contratual!N15,0),2))</f>
        <v/>
      </c>
      <c r="N15" s="335">
        <f>IF(AND(A15="",A14&lt;&gt;"",COUNTIF(A16:$A$200,"&lt;&gt;")=0),ROUND(SUMIF($A$2:A14,"&lt;&gt;",$N$2:N14),2),IF(OR(M15="",C15="",NOT(ISNUMBER($Z$3))),"",ROUND(M15*C15*$Z$3,2)))</f>
        <v/>
      </c>
      <c r="O15" s="90">
        <f>IF(OR(posicao_contratual!N15="",posicao_contratual!R15=""),"",ROUND(MAX(posicao_contratual!N15+posicao_contratual!L15-posicao_contratual!R15,0),2))</f>
        <v/>
      </c>
      <c r="P15" s="335">
        <f>IF(AND(A15="",A14&lt;&gt;"",COUNTIF(A16:$A$200,"&lt;&gt;")=0),ROUND(SUMIF($A$2:A14,"&lt;&gt;",$P$2:P14),2),IF(OR(O15="",C15="",NOT(ISNUMBER($Z$4))),"",ROUND(O15*C15*$Z$4,2)))</f>
        <v/>
      </c>
      <c r="Q15" s="90">
        <f>IF(OR(posicao_contratual!R15="",posicao_contratual!V15=""),"",ROUND(MAX(posicao_contratual!R15+posicao_contratual!P15-posicao_contratual!V15,0),2))</f>
        <v/>
      </c>
      <c r="R15" s="335">
        <f>IF(AND(A15="",A14&lt;&gt;"",COUNTIF(A16:$A$200,"&lt;&gt;")=0),ROUND(SUMIF($A$2:A14,"&lt;&gt;",$R$2:R14),2),IF(OR(Q15="",C15="",NOT(ISNUMBER($Z$5))),"",ROUND(Q15*C15*$Z$5,2)))</f>
        <v/>
      </c>
      <c r="S15" s="22" t="n"/>
      <c r="T15" s="340" t="n"/>
      <c r="U15" s="91">
        <f>IF(AND(A15="",A14&lt;&gt;"",COUNTIF(A16:$A$200,"&lt;&gt;")=0),"TOTAL",IF(A15="","",posicao_contratual!X15))</f>
        <v/>
      </c>
      <c r="V15" s="91">
        <f>IF(A15="","",posicao_contratual!X15)</f>
        <v/>
      </c>
      <c r="W15" s="14" t="n"/>
      <c r="X15" s="14" t="n"/>
      <c r="Y15" s="14" t="n"/>
      <c r="Z15" s="13" t="n"/>
      <c r="AA15" s="13" t="n"/>
      <c r="AB15" s="90">
        <f>IF(OR(A15="",posicao_contratual!E15="",posicao_contratual!J15=""),"",ROUND(MAX(posicao_contratual!E15-posicao_contratual!J15,0),2))</f>
        <v/>
      </c>
      <c r="AC15" s="335">
        <f>IF(AND(A15="",A14&lt;&gt;"",COUNTIF(A16:$A$200,"&lt;&gt;")=0),ROUND(SUMIF($A$2:A14,"&lt;&gt;",$AC$2:AC14),2),IF(OR(AB15="",C15="",NOT(ISNUMBER($Z$2))),"",ROUND(AB15*C15*$Z$2,2)))</f>
        <v/>
      </c>
      <c r="AD15" s="155">
        <f>IF(A15="","",posicao_contratual!E15)</f>
        <v/>
      </c>
      <c r="AE15" s="155">
        <f>IF(A15="","",posicao_contratual!I15)</f>
        <v/>
      </c>
      <c r="AF15" s="155">
        <f>IF(A15="","",posicao_contratual!M15)</f>
        <v/>
      </c>
      <c r="AG15" s="155">
        <f>IF(A15="","",posicao_contratual!Q15)</f>
        <v/>
      </c>
      <c r="AH15" s="155">
        <f>IF(A15="","",posicao_contratual!U15)</f>
        <v/>
      </c>
      <c r="AI15" s="155">
        <f>IF(A15="","",posicao_contratual!G15)</f>
        <v/>
      </c>
      <c r="AJ15" s="155">
        <f>IF(A15="","",posicao_contratual!K15)</f>
        <v/>
      </c>
      <c r="AK15" s="155">
        <f>IF(A15="","",posicao_contratual!O15)</f>
        <v/>
      </c>
      <c r="AL15" s="155">
        <f>IF(A15="","",posicao_contratual!S15)</f>
        <v/>
      </c>
      <c r="AM15" s="155">
        <f>IF(A15="","",posicao_contratual!W15)</f>
        <v/>
      </c>
      <c r="AN15" s="156">
        <f>IF(A15="","",posicao_contratual!X15)</f>
        <v/>
      </c>
      <c r="AO15">
        <f>IF($A15="","",ROUND(SUMIFS(itens_Consumidos!$E$2:$E$200,itens_Consumidos!$A$2:$A$200,$A15),2))</f>
        <v/>
      </c>
      <c r="AP15">
        <f>IF(OR($A15="",AB15=""),"",ROUND(MAX(AB15-AO15,0),2))</f>
        <v/>
      </c>
      <c r="AQ15">
        <f>IF(OR($A15="",AB15="",MEMORIA_RESULTADOS!$I$258=""),"",ROUND(AB15*$C15*(MEMORIA_RESULTADOS!$I$258-1),2))</f>
        <v/>
      </c>
      <c r="AR15">
        <f>IF(OR($A15="",AP15="",MEMORIA_RESULTADOS!$I$258=""),"",ROUND(AP15*$C15*(parametros!$F$2-MEMORIA_RESULTADOS!$I$258),2))</f>
        <v/>
      </c>
      <c r="AS15">
        <f>IF($A15="","",ROUND(SUMIFS(itens_Consumidos!$G$2:$G$200,itens_Consumidos!$A$2:$A$200,$A15),2))</f>
        <v/>
      </c>
      <c r="AT15">
        <f>IF(OR($A15="",M15=""),"",ROUND(MAX(M15-AS15,0),2))</f>
        <v/>
      </c>
      <c r="AU15">
        <f>IF(OR($A15="",M15="",MEMORIA_RESULTADOS!$I$259=""),"",ROUND(M15*$C15*(MEMORIA_RESULTADOS!$I$259-1),2))</f>
        <v/>
      </c>
      <c r="AV15">
        <f>IF(OR($A15="",AT15="",MEMORIA_RESULTADOS!$I$259=""),"",ROUND(AT15*$C15*(parametros!$F$3-MEMORIA_RESULTADOS!$I$259),2))</f>
        <v/>
      </c>
      <c r="AW15">
        <f>IF($A15="","",ROUND(SUMIFS(itens_Consumidos!$I$2:$I$200,itens_Consumidos!$A$2:$A$200,$A15),2))</f>
        <v/>
      </c>
      <c r="AX15">
        <f>IF(OR($A15="",O15=""),"",ROUND(MAX(O15-AW15,0),2))</f>
        <v/>
      </c>
      <c r="AY15">
        <f>IF(OR($A15="",O15="",MEMORIA_RESULTADOS!$I$260=""),"",ROUND(O15*$C15*(MEMORIA_RESULTADOS!$I$260-1),2))</f>
        <v/>
      </c>
      <c r="AZ15">
        <f>IF(OR($A15="",AX15="",MEMORIA_RESULTADOS!$I$260=""),"",ROUND(AX15*$C15*(parametros!$F$4-MEMORIA_RESULTADOS!$I$260),2))</f>
        <v/>
      </c>
      <c r="BA15">
        <f>IF($A15="","",ROUND(SUMIFS(itens_Consumidos!$K$2:$K$200,itens_Consumidos!$A$2:$A$200,$A15),2))</f>
        <v/>
      </c>
      <c r="BB15">
        <f>IF(OR($A15="",Q15=""),"",ROUND(MAX(Q15-BA15,0),2))</f>
        <v/>
      </c>
      <c r="BC15">
        <f>IF(OR($A15="",Q15="",MEMORIA_RESULTADOS!$I$261=""),"",ROUND(Q15*$C15*(MEMORIA_RESULTADOS!$I$261-1),2))</f>
        <v/>
      </c>
      <c r="BD15">
        <f>IF(OR($A15="",BB15="",MEMORIA_RESULTADOS!$I$261=""),"",ROUND(BB15*$C15*(parametros!$F$5-MEMORIA_RESULTADOS!$I$261),2))</f>
        <v/>
      </c>
      <c r="BE15">
        <f>IF($A15="","",ROUND(SUMIFS(itens_Consumidos!$M$2:$M$200,itens_Consumidos!$A$2:$A$200,$A15),2))</f>
        <v/>
      </c>
      <c r="BF15">
        <f>IF(OR($A15="",S15=""),"",ROUND(MAX(S15-BE15,0),2))</f>
        <v/>
      </c>
      <c r="BG15">
        <f>IF(OR($A15="",S15="",MEMORIA_RESULTADOS!$I$262=""),"",ROUND(S15*$C15*(MEMORIA_RESULTADOS!$I$262-1),2))</f>
        <v/>
      </c>
      <c r="BH15">
        <f>IF(OR($A15="",BF15="",MEMORIA_RESULTADOS!$I$262=""),"",ROUND(BF15*$C15*(parametros!$F$6-MEMORIA_RESULTADOS!$I$262),2))</f>
        <v/>
      </c>
    </row>
    <row r="16">
      <c r="A16" s="86" t="n"/>
      <c r="B16" s="87">
        <f>IF(AND(LEN(TRIM($A16))=4,LEFT(TRIM($A16),1)="N",ISNUMBER(--MID(TRIM($A16),2,3)),ISERROR(FIND(".",$A16)),ISERROR(FIND(",",$A16)),ISERROR(FIND("-",$A16)),ISERROR(FIND("+",$A16)),ISERROR(SEARCH("E",$A16,2)),ISERROR(FIND(" ",TRIM($A16)))),0,"")</f>
        <v/>
      </c>
      <c r="C16" s="339" t="n"/>
      <c r="D16" s="335">
        <f>IF(AND(A16="",A15&lt;&gt;"",COUNTIF(A17:$A$200,"&lt;&gt;")=0),ROUND(SUMIF($A$2:A15,"&lt;&gt;",$D$2:D15),2),IF(OR(A16="",B16="",C16=""),"",ROUND(B16*C16,2)))</f>
        <v/>
      </c>
      <c r="E16" s="89" t="n"/>
      <c r="F16" s="335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 t="n"/>
      <c r="H16" s="335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 t="n"/>
      <c r="J16" s="335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 t="n"/>
      <c r="L16" s="335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>
        <f>IF(OR(posicao_contratual!J16="",posicao_contratual!N16=""),"",ROUND(MAX(posicao_contratual!J16+posicao_contratual!H16-posicao_contratual!N16,0),2))</f>
        <v/>
      </c>
      <c r="N16" s="335">
        <f>IF(AND(A16="",A15&lt;&gt;"",COUNTIF(A17:$A$200,"&lt;&gt;")=0),ROUND(SUMIF($A$2:A15,"&lt;&gt;",$N$2:N15),2),IF(OR(M16="",C16="",NOT(ISNUMBER($Z$3))),"",ROUND(M16*C16*$Z$3,2)))</f>
        <v/>
      </c>
      <c r="O16" s="90">
        <f>IF(OR(posicao_contratual!N16="",posicao_contratual!R16=""),"",ROUND(MAX(posicao_contratual!N16+posicao_contratual!L16-posicao_contratual!R16,0),2))</f>
        <v/>
      </c>
      <c r="P16" s="335">
        <f>IF(AND(A16="",A15&lt;&gt;"",COUNTIF(A17:$A$200,"&lt;&gt;")=0),ROUND(SUMIF($A$2:A15,"&lt;&gt;",$P$2:P15),2),IF(OR(O16="",C16="",NOT(ISNUMBER($Z$4))),"",ROUND(O16*C16*$Z$4,2)))</f>
        <v/>
      </c>
      <c r="Q16" s="90">
        <f>IF(OR(posicao_contratual!R16="",posicao_contratual!V16=""),"",ROUND(MAX(posicao_contratual!R16+posicao_contratual!P16-posicao_contratual!V16,0),2))</f>
        <v/>
      </c>
      <c r="R16" s="335">
        <f>IF(AND(A16="",A15&lt;&gt;"",COUNTIF(A17:$A$200,"&lt;&gt;")=0),ROUND(SUMIF($A$2:A15,"&lt;&gt;",$R$2:R15),2),IF(OR(Q16="",C16="",NOT(ISNUMBER($Z$5))),"",ROUND(Q16*C16*$Z$5,2)))</f>
        <v/>
      </c>
      <c r="S16" s="22" t="n"/>
      <c r="T16" s="340" t="n"/>
      <c r="U16" s="91">
        <f>IF(AND(A16="",A15&lt;&gt;"",COUNTIF(A17:$A$200,"&lt;&gt;")=0),"TOTAL",IF(A16="","",posicao_contratual!X16))</f>
        <v/>
      </c>
      <c r="V16" s="91">
        <f>IF(A16="","",posicao_contratual!X16)</f>
        <v/>
      </c>
      <c r="W16" s="14" t="n"/>
      <c r="X16" s="14" t="n"/>
      <c r="Y16" s="14" t="n"/>
      <c r="Z16" s="13" t="n"/>
      <c r="AA16" s="13" t="n"/>
      <c r="AB16" s="90">
        <f>IF(OR(A16="",posicao_contratual!E16="",posicao_contratual!J16=""),"",ROUND(MAX(posicao_contratual!E16-posicao_contratual!J16,0),2))</f>
        <v/>
      </c>
      <c r="AC16" s="335">
        <f>IF(AND(A16="",A15&lt;&gt;"",COUNTIF(A17:$A$200,"&lt;&gt;")=0),ROUND(SUMIF($A$2:A15,"&lt;&gt;",$AC$2:AC15),2),IF(OR(AB16="",C16="",NOT(ISNUMBER($Z$2))),"",ROUND(AB16*C16*$Z$2,2)))</f>
        <v/>
      </c>
      <c r="AD16" s="155">
        <f>IF(A16="","",posicao_contratual!E16)</f>
        <v/>
      </c>
      <c r="AE16" s="155">
        <f>IF(A16="","",posicao_contratual!I16)</f>
        <v/>
      </c>
      <c r="AF16" s="155">
        <f>IF(A16="","",posicao_contratual!M16)</f>
        <v/>
      </c>
      <c r="AG16" s="155">
        <f>IF(A16="","",posicao_contratual!Q16)</f>
        <v/>
      </c>
      <c r="AH16" s="155">
        <f>IF(A16="","",posicao_contratual!U16)</f>
        <v/>
      </c>
      <c r="AI16" s="155">
        <f>IF(A16="","",posicao_contratual!G16)</f>
        <v/>
      </c>
      <c r="AJ16" s="155">
        <f>IF(A16="","",posicao_contratual!K16)</f>
        <v/>
      </c>
      <c r="AK16" s="155">
        <f>IF(A16="","",posicao_contratual!O16)</f>
        <v/>
      </c>
      <c r="AL16" s="155">
        <f>IF(A16="","",posicao_contratual!S16)</f>
        <v/>
      </c>
      <c r="AM16" s="155">
        <f>IF(A16="","",posicao_contratual!W16)</f>
        <v/>
      </c>
      <c r="AN16" s="156">
        <f>IF(A16="","",posicao_contratual!X16)</f>
        <v/>
      </c>
      <c r="AO16">
        <f>IF($A16="","",ROUND(SUMIFS(itens_Consumidos!$E$2:$E$200,itens_Consumidos!$A$2:$A$200,$A16),2))</f>
        <v/>
      </c>
      <c r="AP16">
        <f>IF(OR($A16="",AB16=""),"",ROUND(MAX(AB16-AO16,0),2))</f>
        <v/>
      </c>
      <c r="AQ16">
        <f>IF(OR($A16="",AB16="",MEMORIA_RESULTADOS!$I$258=""),"",ROUND(AB16*$C16*(MEMORIA_RESULTADOS!$I$258-1),2))</f>
        <v/>
      </c>
      <c r="AR16">
        <f>IF(OR($A16="",AP16="",MEMORIA_RESULTADOS!$I$258=""),"",ROUND(AP16*$C16*(parametros!$F$2-MEMORIA_RESULTADOS!$I$258),2))</f>
        <v/>
      </c>
      <c r="AS16">
        <f>IF($A16="","",ROUND(SUMIFS(itens_Consumidos!$G$2:$G$200,itens_Consumidos!$A$2:$A$200,$A16),2))</f>
        <v/>
      </c>
      <c r="AT16">
        <f>IF(OR($A16="",M16=""),"",ROUND(MAX(M16-AS16,0),2))</f>
        <v/>
      </c>
      <c r="AU16">
        <f>IF(OR($A16="",M16="",MEMORIA_RESULTADOS!$I$259=""),"",ROUND(M16*$C16*(MEMORIA_RESULTADOS!$I$259-1),2))</f>
        <v/>
      </c>
      <c r="AV16">
        <f>IF(OR($A16="",AT16="",MEMORIA_RESULTADOS!$I$259=""),"",ROUND(AT16*$C16*(parametros!$F$3-MEMORIA_RESULTADOS!$I$259),2))</f>
        <v/>
      </c>
      <c r="AW16">
        <f>IF($A16="","",ROUND(SUMIFS(itens_Consumidos!$I$2:$I$200,itens_Consumidos!$A$2:$A$200,$A16),2))</f>
        <v/>
      </c>
      <c r="AX16">
        <f>IF(OR($A16="",O16=""),"",ROUND(MAX(O16-AW16,0),2))</f>
        <v/>
      </c>
      <c r="AY16">
        <f>IF(OR($A16="",O16="",MEMORIA_RESULTADOS!$I$260=""),"",ROUND(O16*$C16*(MEMORIA_RESULTADOS!$I$260-1),2))</f>
        <v/>
      </c>
      <c r="AZ16">
        <f>IF(OR($A16="",AX16="",MEMORIA_RESULTADOS!$I$260=""),"",ROUND(AX16*$C16*(parametros!$F$4-MEMORIA_RESULTADOS!$I$260),2))</f>
        <v/>
      </c>
      <c r="BA16">
        <f>IF($A16="","",ROUND(SUMIFS(itens_Consumidos!$K$2:$K$200,itens_Consumidos!$A$2:$A$200,$A16),2))</f>
        <v/>
      </c>
      <c r="BB16">
        <f>IF(OR($A16="",Q16=""),"",ROUND(MAX(Q16-BA16,0),2))</f>
        <v/>
      </c>
      <c r="BC16">
        <f>IF(OR($A16="",Q16="",MEMORIA_RESULTADOS!$I$261=""),"",ROUND(Q16*$C16*(MEMORIA_RESULTADOS!$I$261-1),2))</f>
        <v/>
      </c>
      <c r="BD16">
        <f>IF(OR($A16="",BB16="",MEMORIA_RESULTADOS!$I$261=""),"",ROUND(BB16*$C16*(parametros!$F$5-MEMORIA_RESULTADOS!$I$261),2))</f>
        <v/>
      </c>
      <c r="BE16">
        <f>IF($A16="","",ROUND(SUMIFS(itens_Consumidos!$M$2:$M$200,itens_Consumidos!$A$2:$A$200,$A16),2))</f>
        <v/>
      </c>
      <c r="BF16">
        <f>IF(OR($A16="",S16=""),"",ROUND(MAX(S16-BE16,0),2))</f>
        <v/>
      </c>
      <c r="BG16">
        <f>IF(OR($A16="",S16="",MEMORIA_RESULTADOS!$I$262=""),"",ROUND(S16*$C16*(MEMORIA_RESULTADOS!$I$262-1),2))</f>
        <v/>
      </c>
      <c r="BH16">
        <f>IF(OR($A16="",BF16="",MEMORIA_RESULTADOS!$I$262=""),"",ROUND(BF16*$C16*(parametros!$F$6-MEMORIA_RESULTADOS!$I$262),2))</f>
        <v/>
      </c>
    </row>
    <row r="17">
      <c r="A17" s="86" t="n"/>
      <c r="B17" s="87">
        <f>IF(AND(LEN(TRIM($A17))=4,LEFT(TRIM($A17),1)="N",ISNUMBER(--MID(TRIM($A17),2,3)),ISERROR(FIND(".",$A17)),ISERROR(FIND(",",$A17)),ISERROR(FIND("-",$A17)),ISERROR(FIND("+",$A17)),ISERROR(SEARCH("E",$A17,2)),ISERROR(FIND(" ",TRIM($A17)))),0,"")</f>
        <v/>
      </c>
      <c r="C17" s="339" t="n"/>
      <c r="D17" s="335">
        <f>IF(AND(A17="",A16&lt;&gt;"",COUNTIF(A18:$A$200,"&lt;&gt;")=0),ROUND(SUMIF($A$2:A16,"&lt;&gt;",$D$2:D16),2),IF(OR(A17="",B17="",C17=""),"",ROUND(B17*C17,2)))</f>
        <v/>
      </c>
      <c r="E17" s="89" t="n"/>
      <c r="F17" s="335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 t="n"/>
      <c r="H17" s="335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 t="n"/>
      <c r="J17" s="335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 t="n"/>
      <c r="L17" s="335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>
        <f>IF(OR(posicao_contratual!J17="",posicao_contratual!N17=""),"",ROUND(MAX(posicao_contratual!J17+posicao_contratual!H17-posicao_contratual!N17,0),2))</f>
        <v/>
      </c>
      <c r="N17" s="335">
        <f>IF(AND(A17="",A16&lt;&gt;"",COUNTIF(A18:$A$200,"&lt;&gt;")=0),ROUND(SUMIF($A$2:A16,"&lt;&gt;",$N$2:N16),2),IF(OR(M17="",C17="",NOT(ISNUMBER($Z$3))),"",ROUND(M17*C17*$Z$3,2)))</f>
        <v/>
      </c>
      <c r="O17" s="90">
        <f>IF(OR(posicao_contratual!N17="",posicao_contratual!R17=""),"",ROUND(MAX(posicao_contratual!N17+posicao_contratual!L17-posicao_contratual!R17,0),2))</f>
        <v/>
      </c>
      <c r="P17" s="335">
        <f>IF(AND(A17="",A16&lt;&gt;"",COUNTIF(A18:$A$200,"&lt;&gt;")=0),ROUND(SUMIF($A$2:A16,"&lt;&gt;",$P$2:P16),2),IF(OR(O17="",C17="",NOT(ISNUMBER($Z$4))),"",ROUND(O17*C17*$Z$4,2)))</f>
        <v/>
      </c>
      <c r="Q17" s="90">
        <f>IF(OR(posicao_contratual!R17="",posicao_contratual!V17=""),"",ROUND(MAX(posicao_contratual!R17+posicao_contratual!P17-posicao_contratual!V17,0),2))</f>
        <v/>
      </c>
      <c r="R17" s="335">
        <f>IF(AND(A17="",A16&lt;&gt;"",COUNTIF(A18:$A$200,"&lt;&gt;")=0),ROUND(SUMIF($A$2:A16,"&lt;&gt;",$R$2:R16),2),IF(OR(Q17="",C17="",NOT(ISNUMBER($Z$5))),"",ROUND(Q17*C17*$Z$5,2)))</f>
        <v/>
      </c>
      <c r="S17" s="22" t="n"/>
      <c r="T17" s="340" t="n"/>
      <c r="U17" s="91">
        <f>IF(AND(A17="",A16&lt;&gt;"",COUNTIF(A18:$A$200,"&lt;&gt;")=0),"TOTAL",IF(A17="","",posicao_contratual!X17))</f>
        <v/>
      </c>
      <c r="V17" s="91">
        <f>IF(A17="","",posicao_contratual!X17)</f>
        <v/>
      </c>
      <c r="W17" s="14" t="n"/>
      <c r="X17" s="14" t="n"/>
      <c r="Y17" s="14" t="n"/>
      <c r="Z17" s="13" t="n"/>
      <c r="AA17" s="13" t="n"/>
      <c r="AB17" s="90">
        <f>IF(OR(A17="",posicao_contratual!E17="",posicao_contratual!J17=""),"",ROUND(MAX(posicao_contratual!E17-posicao_contratual!J17,0),2))</f>
        <v/>
      </c>
      <c r="AC17" s="335">
        <f>IF(AND(A17="",A16&lt;&gt;"",COUNTIF(A18:$A$200,"&lt;&gt;")=0),ROUND(SUMIF($A$2:A16,"&lt;&gt;",$AC$2:AC16),2),IF(OR(AB17="",C17="",NOT(ISNUMBER($Z$2))),"",ROUND(AB17*C17*$Z$2,2)))</f>
        <v/>
      </c>
      <c r="AD17" s="155">
        <f>IF(A17="","",posicao_contratual!E17)</f>
        <v/>
      </c>
      <c r="AE17" s="155">
        <f>IF(A17="","",posicao_contratual!I17)</f>
        <v/>
      </c>
      <c r="AF17" s="155">
        <f>IF(A17="","",posicao_contratual!M17)</f>
        <v/>
      </c>
      <c r="AG17" s="155">
        <f>IF(A17="","",posicao_contratual!Q17)</f>
        <v/>
      </c>
      <c r="AH17" s="155">
        <f>IF(A17="","",posicao_contratual!U17)</f>
        <v/>
      </c>
      <c r="AI17" s="155">
        <f>IF(A17="","",posicao_contratual!G17)</f>
        <v/>
      </c>
      <c r="AJ17" s="155">
        <f>IF(A17="","",posicao_contratual!K17)</f>
        <v/>
      </c>
      <c r="AK17" s="155">
        <f>IF(A17="","",posicao_contratual!O17)</f>
        <v/>
      </c>
      <c r="AL17" s="155">
        <f>IF(A17="","",posicao_contratual!S17)</f>
        <v/>
      </c>
      <c r="AM17" s="155">
        <f>IF(A17="","",posicao_contratual!W17)</f>
        <v/>
      </c>
      <c r="AN17" s="156">
        <f>IF(A17="","",posicao_contratual!X17)</f>
        <v/>
      </c>
      <c r="AO17">
        <f>IF($A17="","",ROUND(SUMIFS(itens_Consumidos!$E$2:$E$200,itens_Consumidos!$A$2:$A$200,$A17),2))</f>
        <v/>
      </c>
      <c r="AP17">
        <f>IF(OR($A17="",AB17=""),"",ROUND(MAX(AB17-AO17,0),2))</f>
        <v/>
      </c>
      <c r="AQ17">
        <f>IF(OR($A17="",AB17="",MEMORIA_RESULTADOS!$I$258=""),"",ROUND(AB17*$C17*(MEMORIA_RESULTADOS!$I$258-1),2))</f>
        <v/>
      </c>
      <c r="AR17">
        <f>IF(OR($A17="",AP17="",MEMORIA_RESULTADOS!$I$258=""),"",ROUND(AP17*$C17*(parametros!$F$2-MEMORIA_RESULTADOS!$I$258),2))</f>
        <v/>
      </c>
      <c r="AS17">
        <f>IF($A17="","",ROUND(SUMIFS(itens_Consumidos!$G$2:$G$200,itens_Consumidos!$A$2:$A$200,$A17),2))</f>
        <v/>
      </c>
      <c r="AT17">
        <f>IF(OR($A17="",M17=""),"",ROUND(MAX(M17-AS17,0),2))</f>
        <v/>
      </c>
      <c r="AU17">
        <f>IF(OR($A17="",M17="",MEMORIA_RESULTADOS!$I$259=""),"",ROUND(M17*$C17*(MEMORIA_RESULTADOS!$I$259-1),2))</f>
        <v/>
      </c>
      <c r="AV17">
        <f>IF(OR($A17="",AT17="",MEMORIA_RESULTADOS!$I$259=""),"",ROUND(AT17*$C17*(parametros!$F$3-MEMORIA_RESULTADOS!$I$259),2))</f>
        <v/>
      </c>
      <c r="AW17">
        <f>IF($A17="","",ROUND(SUMIFS(itens_Consumidos!$I$2:$I$200,itens_Consumidos!$A$2:$A$200,$A17),2))</f>
        <v/>
      </c>
      <c r="AX17">
        <f>IF(OR($A17="",O17=""),"",ROUND(MAX(O17-AW17,0),2))</f>
        <v/>
      </c>
      <c r="AY17">
        <f>IF(OR($A17="",O17="",MEMORIA_RESULTADOS!$I$260=""),"",ROUND(O17*$C17*(MEMORIA_RESULTADOS!$I$260-1),2))</f>
        <v/>
      </c>
      <c r="AZ17">
        <f>IF(OR($A17="",AX17="",MEMORIA_RESULTADOS!$I$260=""),"",ROUND(AX17*$C17*(parametros!$F$4-MEMORIA_RESULTADOS!$I$260),2))</f>
        <v/>
      </c>
      <c r="BA17">
        <f>IF($A17="","",ROUND(SUMIFS(itens_Consumidos!$K$2:$K$200,itens_Consumidos!$A$2:$A$200,$A17),2))</f>
        <v/>
      </c>
      <c r="BB17">
        <f>IF(OR($A17="",Q17=""),"",ROUND(MAX(Q17-BA17,0),2))</f>
        <v/>
      </c>
      <c r="BC17">
        <f>IF(OR($A17="",Q17="",MEMORIA_RESULTADOS!$I$261=""),"",ROUND(Q17*$C17*(MEMORIA_RESULTADOS!$I$261-1),2))</f>
        <v/>
      </c>
      <c r="BD17">
        <f>IF(OR($A17="",BB17="",MEMORIA_RESULTADOS!$I$261=""),"",ROUND(BB17*$C17*(parametros!$F$5-MEMORIA_RESULTADOS!$I$261),2))</f>
        <v/>
      </c>
      <c r="BE17">
        <f>IF($A17="","",ROUND(SUMIFS(itens_Consumidos!$M$2:$M$200,itens_Consumidos!$A$2:$A$200,$A17),2))</f>
        <v/>
      </c>
      <c r="BF17">
        <f>IF(OR($A17="",S17=""),"",ROUND(MAX(S17-BE17,0),2))</f>
        <v/>
      </c>
      <c r="BG17">
        <f>IF(OR($A17="",S17="",MEMORIA_RESULTADOS!$I$262=""),"",ROUND(S17*$C17*(MEMORIA_RESULTADOS!$I$262-1),2))</f>
        <v/>
      </c>
      <c r="BH17">
        <f>IF(OR($A17="",BF17="",MEMORIA_RESULTADOS!$I$262=""),"",ROUND(BF17*$C17*(parametros!$F$6-MEMORIA_RESULTADOS!$I$262),2))</f>
        <v/>
      </c>
    </row>
    <row r="18">
      <c r="A18" s="86" t="n"/>
      <c r="B18" s="87">
        <f>IF(AND(LEN(TRIM($A18))=4,LEFT(TRIM($A18),1)="N",ISNUMBER(--MID(TRIM($A18),2,3)),ISERROR(FIND(".",$A18)),ISERROR(FIND(",",$A18)),ISERROR(FIND("-",$A18)),ISERROR(FIND("+",$A18)),ISERROR(SEARCH("E",$A18,2)),ISERROR(FIND(" ",TRIM($A18)))),0,"")</f>
        <v/>
      </c>
      <c r="C18" s="339" t="n"/>
      <c r="D18" s="335">
        <f>IF(AND(A18="",A17&lt;&gt;"",COUNTIF(A19:$A$200,"&lt;&gt;")=0),ROUND(SUMIF($A$2:A17,"&lt;&gt;",$D$2:D17),2),IF(OR(A18="",B18="",C18=""),"",ROUND(B18*C18,2)))</f>
        <v/>
      </c>
      <c r="E18" s="89" t="n"/>
      <c r="F18" s="335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 t="n"/>
      <c r="H18" s="335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 t="n"/>
      <c r="J18" s="335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 t="n"/>
      <c r="L18" s="335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>
        <f>IF(OR(posicao_contratual!J18="",posicao_contratual!N18=""),"",ROUND(MAX(posicao_contratual!J18+posicao_contratual!H18-posicao_contratual!N18,0),2))</f>
        <v/>
      </c>
      <c r="N18" s="335">
        <f>IF(AND(A18="",A17&lt;&gt;"",COUNTIF(A19:$A$200,"&lt;&gt;")=0),ROUND(SUMIF($A$2:A17,"&lt;&gt;",$N$2:N17),2),IF(OR(M18="",C18="",NOT(ISNUMBER($Z$3))),"",ROUND(M18*C18*$Z$3,2)))</f>
        <v/>
      </c>
      <c r="O18" s="90">
        <f>IF(OR(posicao_contratual!N18="",posicao_contratual!R18=""),"",ROUND(MAX(posicao_contratual!N18+posicao_contratual!L18-posicao_contratual!R18,0),2))</f>
        <v/>
      </c>
      <c r="P18" s="335">
        <f>IF(AND(A18="",A17&lt;&gt;"",COUNTIF(A19:$A$200,"&lt;&gt;")=0),ROUND(SUMIF($A$2:A17,"&lt;&gt;",$P$2:P17),2),IF(OR(O18="",C18="",NOT(ISNUMBER($Z$4))),"",ROUND(O18*C18*$Z$4,2)))</f>
        <v/>
      </c>
      <c r="Q18" s="90">
        <f>IF(OR(posicao_contratual!R18="",posicao_contratual!V18=""),"",ROUND(MAX(posicao_contratual!R18+posicao_contratual!P18-posicao_contratual!V18,0),2))</f>
        <v/>
      </c>
      <c r="R18" s="335">
        <f>IF(AND(A18="",A17&lt;&gt;"",COUNTIF(A19:$A$200,"&lt;&gt;")=0),ROUND(SUMIF($A$2:A17,"&lt;&gt;",$R$2:R17),2),IF(OR(Q18="",C18="",NOT(ISNUMBER($Z$5))),"",ROUND(Q18*C18*$Z$5,2)))</f>
        <v/>
      </c>
      <c r="S18" s="22" t="n"/>
      <c r="T18" s="340" t="n"/>
      <c r="U18" s="91">
        <f>IF(AND(A18="",A17&lt;&gt;"",COUNTIF(A19:$A$200,"&lt;&gt;")=0),"TOTAL",IF(A18="","",posicao_contratual!X18))</f>
        <v/>
      </c>
      <c r="V18" s="91">
        <f>IF(A18="","",posicao_contratual!X18)</f>
        <v/>
      </c>
      <c r="W18" s="14" t="n"/>
      <c r="X18" s="14" t="n"/>
      <c r="Y18" s="14" t="n"/>
      <c r="Z18" s="13" t="n"/>
      <c r="AA18" s="13" t="n"/>
      <c r="AB18" s="90">
        <f>IF(OR(A18="",posicao_contratual!E18="",posicao_contratual!J18=""),"",ROUND(MAX(posicao_contratual!E18-posicao_contratual!J18,0),2))</f>
        <v/>
      </c>
      <c r="AC18" s="335">
        <f>IF(AND(A18="",A17&lt;&gt;"",COUNTIF(A19:$A$200,"&lt;&gt;")=0),ROUND(SUMIF($A$2:A17,"&lt;&gt;",$AC$2:AC17),2),IF(OR(AB18="",C18="",NOT(ISNUMBER($Z$2))),"",ROUND(AB18*C18*$Z$2,2)))</f>
        <v/>
      </c>
      <c r="AD18" s="155">
        <f>IF(A18="","",posicao_contratual!E18)</f>
        <v/>
      </c>
      <c r="AE18" s="155">
        <f>IF(A18="","",posicao_contratual!I18)</f>
        <v/>
      </c>
      <c r="AF18" s="155">
        <f>IF(A18="","",posicao_contratual!M18)</f>
        <v/>
      </c>
      <c r="AG18" s="155">
        <f>IF(A18="","",posicao_contratual!Q18)</f>
        <v/>
      </c>
      <c r="AH18" s="155">
        <f>IF(A18="","",posicao_contratual!U18)</f>
        <v/>
      </c>
      <c r="AI18" s="155">
        <f>IF(A18="","",posicao_contratual!G18)</f>
        <v/>
      </c>
      <c r="AJ18" s="155">
        <f>IF(A18="","",posicao_contratual!K18)</f>
        <v/>
      </c>
      <c r="AK18" s="155">
        <f>IF(A18="","",posicao_contratual!O18)</f>
        <v/>
      </c>
      <c r="AL18" s="155">
        <f>IF(A18="","",posicao_contratual!S18)</f>
        <v/>
      </c>
      <c r="AM18" s="155">
        <f>IF(A18="","",posicao_contratual!W18)</f>
        <v/>
      </c>
      <c r="AN18" s="156">
        <f>IF(A18="","",posicao_contratual!X18)</f>
        <v/>
      </c>
      <c r="AO18">
        <f>IF($A18="","",ROUND(SUMIFS(itens_Consumidos!$E$2:$E$200,itens_Consumidos!$A$2:$A$200,$A18),2))</f>
        <v/>
      </c>
      <c r="AP18">
        <f>IF(OR($A18="",AB18=""),"",ROUND(MAX(AB18-AO18,0),2))</f>
        <v/>
      </c>
      <c r="AQ18">
        <f>IF(OR($A18="",AB18="",MEMORIA_RESULTADOS!$I$258=""),"",ROUND(AB18*$C18*(MEMORIA_RESULTADOS!$I$258-1),2))</f>
        <v/>
      </c>
      <c r="AR18">
        <f>IF(OR($A18="",AP18="",MEMORIA_RESULTADOS!$I$258=""),"",ROUND(AP18*$C18*(parametros!$F$2-MEMORIA_RESULTADOS!$I$258),2))</f>
        <v/>
      </c>
      <c r="AS18">
        <f>IF($A18="","",ROUND(SUMIFS(itens_Consumidos!$G$2:$G$200,itens_Consumidos!$A$2:$A$200,$A18),2))</f>
        <v/>
      </c>
      <c r="AT18">
        <f>IF(OR($A18="",M18=""),"",ROUND(MAX(M18-AS18,0),2))</f>
        <v/>
      </c>
      <c r="AU18">
        <f>IF(OR($A18="",M18="",MEMORIA_RESULTADOS!$I$259=""),"",ROUND(M18*$C18*(MEMORIA_RESULTADOS!$I$259-1),2))</f>
        <v/>
      </c>
      <c r="AV18">
        <f>IF(OR($A18="",AT18="",MEMORIA_RESULTADOS!$I$259=""),"",ROUND(AT18*$C18*(parametros!$F$3-MEMORIA_RESULTADOS!$I$259),2))</f>
        <v/>
      </c>
      <c r="AW18">
        <f>IF($A18="","",ROUND(SUMIFS(itens_Consumidos!$I$2:$I$200,itens_Consumidos!$A$2:$A$200,$A18),2))</f>
        <v/>
      </c>
      <c r="AX18">
        <f>IF(OR($A18="",O18=""),"",ROUND(MAX(O18-AW18,0),2))</f>
        <v/>
      </c>
      <c r="AY18">
        <f>IF(OR($A18="",O18="",MEMORIA_RESULTADOS!$I$260=""),"",ROUND(O18*$C18*(MEMORIA_RESULTADOS!$I$260-1),2))</f>
        <v/>
      </c>
      <c r="AZ18">
        <f>IF(OR($A18="",AX18="",MEMORIA_RESULTADOS!$I$260=""),"",ROUND(AX18*$C18*(parametros!$F$4-MEMORIA_RESULTADOS!$I$260),2))</f>
        <v/>
      </c>
      <c r="BA18">
        <f>IF($A18="","",ROUND(SUMIFS(itens_Consumidos!$K$2:$K$200,itens_Consumidos!$A$2:$A$200,$A18),2))</f>
        <v/>
      </c>
      <c r="BB18">
        <f>IF(OR($A18="",Q18=""),"",ROUND(MAX(Q18-BA18,0),2))</f>
        <v/>
      </c>
      <c r="BC18">
        <f>IF(OR($A18="",Q18="",MEMORIA_RESULTADOS!$I$261=""),"",ROUND(Q18*$C18*(MEMORIA_RESULTADOS!$I$261-1),2))</f>
        <v/>
      </c>
      <c r="BD18">
        <f>IF(OR($A18="",BB18="",MEMORIA_RESULTADOS!$I$261=""),"",ROUND(BB18*$C18*(parametros!$F$5-MEMORIA_RESULTADOS!$I$261),2))</f>
        <v/>
      </c>
      <c r="BE18">
        <f>IF($A18="","",ROUND(SUMIFS(itens_Consumidos!$M$2:$M$200,itens_Consumidos!$A$2:$A$200,$A18),2))</f>
        <v/>
      </c>
      <c r="BF18">
        <f>IF(OR($A18="",S18=""),"",ROUND(MAX(S18-BE18,0),2))</f>
        <v/>
      </c>
      <c r="BG18">
        <f>IF(OR($A18="",S18="",MEMORIA_RESULTADOS!$I$262=""),"",ROUND(S18*$C18*(MEMORIA_RESULTADOS!$I$262-1),2))</f>
        <v/>
      </c>
      <c r="BH18">
        <f>IF(OR($A18="",BF18="",MEMORIA_RESULTADOS!$I$262=""),"",ROUND(BF18*$C18*(parametros!$F$6-MEMORIA_RESULTADOS!$I$262),2))</f>
        <v/>
      </c>
    </row>
    <row r="19">
      <c r="A19" s="86" t="n"/>
      <c r="B19" s="87">
        <f>IF(AND(LEN(TRIM($A19))=4,LEFT(TRIM($A19),1)="N",ISNUMBER(--MID(TRIM($A19),2,3)),ISERROR(FIND(".",$A19)),ISERROR(FIND(",",$A19)),ISERROR(FIND("-",$A19)),ISERROR(FIND("+",$A19)),ISERROR(SEARCH("E",$A19,2)),ISERROR(FIND(" ",TRIM($A19)))),0,"")</f>
        <v/>
      </c>
      <c r="C19" s="339" t="n"/>
      <c r="D19" s="335">
        <f>IF(AND(A19="",A18&lt;&gt;"",COUNTIF(A20:$A$200,"&lt;&gt;")=0),ROUND(SUMIF($A$2:A18,"&lt;&gt;",$D$2:D18),2),IF(OR(A19="",B19="",C19=""),"",ROUND(B19*C19,2)))</f>
        <v/>
      </c>
      <c r="E19" s="89" t="n"/>
      <c r="F19" s="335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 t="n"/>
      <c r="H19" s="335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 t="n"/>
      <c r="J19" s="335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 t="n"/>
      <c r="L19" s="335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>
        <f>IF(OR(posicao_contratual!J19="",posicao_contratual!N19=""),"",ROUND(MAX(posicao_contratual!J19+posicao_contratual!H19-posicao_contratual!N19,0),2))</f>
        <v/>
      </c>
      <c r="N19" s="335">
        <f>IF(AND(A19="",A18&lt;&gt;"",COUNTIF(A20:$A$200,"&lt;&gt;")=0),ROUND(SUMIF($A$2:A18,"&lt;&gt;",$N$2:N18),2),IF(OR(M19="",C19="",NOT(ISNUMBER($Z$3))),"",ROUND(M19*C19*$Z$3,2)))</f>
        <v/>
      </c>
      <c r="O19" s="90">
        <f>IF(OR(posicao_contratual!N19="",posicao_contratual!R19=""),"",ROUND(MAX(posicao_contratual!N19+posicao_contratual!L19-posicao_contratual!R19,0),2))</f>
        <v/>
      </c>
      <c r="P19" s="335">
        <f>IF(AND(A19="",A18&lt;&gt;"",COUNTIF(A20:$A$200,"&lt;&gt;")=0),ROUND(SUMIF($A$2:A18,"&lt;&gt;",$P$2:P18),2),IF(OR(O19="",C19="",NOT(ISNUMBER($Z$4))),"",ROUND(O19*C19*$Z$4,2)))</f>
        <v/>
      </c>
      <c r="Q19" s="90">
        <f>IF(OR(posicao_contratual!R19="",posicao_contratual!V19=""),"",ROUND(MAX(posicao_contratual!R19+posicao_contratual!P19-posicao_contratual!V19,0),2))</f>
        <v/>
      </c>
      <c r="R19" s="335">
        <f>IF(AND(A19="",A18&lt;&gt;"",COUNTIF(A20:$A$200,"&lt;&gt;")=0),ROUND(SUMIF($A$2:A18,"&lt;&gt;",$R$2:R18),2),IF(OR(Q19="",C19="",NOT(ISNUMBER($Z$5))),"",ROUND(Q19*C19*$Z$5,2)))</f>
        <v/>
      </c>
      <c r="S19" s="22" t="n"/>
      <c r="T19" s="340" t="n"/>
      <c r="U19" s="91">
        <f>IF(AND(A19="",A18&lt;&gt;"",COUNTIF(A20:$A$200,"&lt;&gt;")=0),"TOTAL",IF(A19="","",posicao_contratual!X19))</f>
        <v/>
      </c>
      <c r="V19" s="91">
        <f>IF(A19="","",posicao_contratual!X19)</f>
        <v/>
      </c>
      <c r="W19" s="14" t="n"/>
      <c r="X19" s="14" t="n"/>
      <c r="Y19" s="14" t="n"/>
      <c r="Z19" s="13" t="n"/>
      <c r="AA19" s="13" t="n"/>
      <c r="AB19" s="90">
        <f>IF(OR(A19="",posicao_contratual!E19="",posicao_contratual!J19=""),"",ROUND(MAX(posicao_contratual!E19-posicao_contratual!J19,0),2))</f>
        <v/>
      </c>
      <c r="AC19" s="335">
        <f>IF(AND(A19="",A18&lt;&gt;"",COUNTIF(A20:$A$200,"&lt;&gt;")=0),ROUND(SUMIF($A$2:A18,"&lt;&gt;",$AC$2:AC18),2),IF(OR(AB19="",C19="",NOT(ISNUMBER($Z$2))),"",ROUND(AB19*C19*$Z$2,2)))</f>
        <v/>
      </c>
      <c r="AD19" s="155">
        <f>IF(A19="","",posicao_contratual!E19)</f>
        <v/>
      </c>
      <c r="AE19" s="155">
        <f>IF(A19="","",posicao_contratual!I19)</f>
        <v/>
      </c>
      <c r="AF19" s="155">
        <f>IF(A19="","",posicao_contratual!M19)</f>
        <v/>
      </c>
      <c r="AG19" s="155">
        <f>IF(A19="","",posicao_contratual!Q19)</f>
        <v/>
      </c>
      <c r="AH19" s="155">
        <f>IF(A19="","",posicao_contratual!U19)</f>
        <v/>
      </c>
      <c r="AI19" s="155">
        <f>IF(A19="","",posicao_contratual!G19)</f>
        <v/>
      </c>
      <c r="AJ19" s="155">
        <f>IF(A19="","",posicao_contratual!K19)</f>
        <v/>
      </c>
      <c r="AK19" s="155">
        <f>IF(A19="","",posicao_contratual!O19)</f>
        <v/>
      </c>
      <c r="AL19" s="155">
        <f>IF(A19="","",posicao_contratual!S19)</f>
        <v/>
      </c>
      <c r="AM19" s="155">
        <f>IF(A19="","",posicao_contratual!W19)</f>
        <v/>
      </c>
      <c r="AN19" s="156">
        <f>IF(A19="","",posicao_contratual!X19)</f>
        <v/>
      </c>
      <c r="AO19">
        <f>IF($A19="","",ROUND(SUMIFS(itens_Consumidos!$E$2:$E$200,itens_Consumidos!$A$2:$A$200,$A19),2))</f>
        <v/>
      </c>
      <c r="AP19">
        <f>IF(OR($A19="",AB19=""),"",ROUND(MAX(AB19-AO19,0),2))</f>
        <v/>
      </c>
      <c r="AQ19">
        <f>IF(OR($A19="",AB19="",MEMORIA_RESULTADOS!$I$258=""),"",ROUND(AB19*$C19*(MEMORIA_RESULTADOS!$I$258-1),2))</f>
        <v/>
      </c>
      <c r="AR19">
        <f>IF(OR($A19="",AP19="",MEMORIA_RESULTADOS!$I$258=""),"",ROUND(AP19*$C19*(parametros!$F$2-MEMORIA_RESULTADOS!$I$258),2))</f>
        <v/>
      </c>
      <c r="AS19">
        <f>IF($A19="","",ROUND(SUMIFS(itens_Consumidos!$G$2:$G$200,itens_Consumidos!$A$2:$A$200,$A19),2))</f>
        <v/>
      </c>
      <c r="AT19">
        <f>IF(OR($A19="",M19=""),"",ROUND(MAX(M19-AS19,0),2))</f>
        <v/>
      </c>
      <c r="AU19">
        <f>IF(OR($A19="",M19="",MEMORIA_RESULTADOS!$I$259=""),"",ROUND(M19*$C19*(MEMORIA_RESULTADOS!$I$259-1),2))</f>
        <v/>
      </c>
      <c r="AV19">
        <f>IF(OR($A19="",AT19="",MEMORIA_RESULTADOS!$I$259=""),"",ROUND(AT19*$C19*(parametros!$F$3-MEMORIA_RESULTADOS!$I$259),2))</f>
        <v/>
      </c>
      <c r="AW19">
        <f>IF($A19="","",ROUND(SUMIFS(itens_Consumidos!$I$2:$I$200,itens_Consumidos!$A$2:$A$200,$A19),2))</f>
        <v/>
      </c>
      <c r="AX19">
        <f>IF(OR($A19="",O19=""),"",ROUND(MAX(O19-AW19,0),2))</f>
        <v/>
      </c>
      <c r="AY19">
        <f>IF(OR($A19="",O19="",MEMORIA_RESULTADOS!$I$260=""),"",ROUND(O19*$C19*(MEMORIA_RESULTADOS!$I$260-1),2))</f>
        <v/>
      </c>
      <c r="AZ19">
        <f>IF(OR($A19="",AX19="",MEMORIA_RESULTADOS!$I$260=""),"",ROUND(AX19*$C19*(parametros!$F$4-MEMORIA_RESULTADOS!$I$260),2))</f>
        <v/>
      </c>
      <c r="BA19">
        <f>IF($A19="","",ROUND(SUMIFS(itens_Consumidos!$K$2:$K$200,itens_Consumidos!$A$2:$A$200,$A19),2))</f>
        <v/>
      </c>
      <c r="BB19">
        <f>IF(OR($A19="",Q19=""),"",ROUND(MAX(Q19-BA19,0),2))</f>
        <v/>
      </c>
      <c r="BC19">
        <f>IF(OR($A19="",Q19="",MEMORIA_RESULTADOS!$I$261=""),"",ROUND(Q19*$C19*(MEMORIA_RESULTADOS!$I$261-1),2))</f>
        <v/>
      </c>
      <c r="BD19">
        <f>IF(OR($A19="",BB19="",MEMORIA_RESULTADOS!$I$261=""),"",ROUND(BB19*$C19*(parametros!$F$5-MEMORIA_RESULTADOS!$I$261),2))</f>
        <v/>
      </c>
      <c r="BE19">
        <f>IF($A19="","",ROUND(SUMIFS(itens_Consumidos!$M$2:$M$200,itens_Consumidos!$A$2:$A$200,$A19),2))</f>
        <v/>
      </c>
      <c r="BF19">
        <f>IF(OR($A19="",S19=""),"",ROUND(MAX(S19-BE19,0),2))</f>
        <v/>
      </c>
      <c r="BG19">
        <f>IF(OR($A19="",S19="",MEMORIA_RESULTADOS!$I$262=""),"",ROUND(S19*$C19*(MEMORIA_RESULTADOS!$I$262-1),2))</f>
        <v/>
      </c>
      <c r="BH19">
        <f>IF(OR($A19="",BF19="",MEMORIA_RESULTADOS!$I$262=""),"",ROUND(BF19*$C19*(parametros!$F$6-MEMORIA_RESULTADOS!$I$262),2))</f>
        <v/>
      </c>
    </row>
    <row r="20">
      <c r="A20" s="86" t="n"/>
      <c r="B20" s="87">
        <f>IF(AND(LEN(TRIM($A20))=4,LEFT(TRIM($A20),1)="N",ISNUMBER(--MID(TRIM($A20),2,3)),ISERROR(FIND(".",$A20)),ISERROR(FIND(",",$A20)),ISERROR(FIND("-",$A20)),ISERROR(FIND("+",$A20)),ISERROR(SEARCH("E",$A20,2)),ISERROR(FIND(" ",TRIM($A20)))),0,"")</f>
        <v/>
      </c>
      <c r="C20" s="339" t="n"/>
      <c r="D20" s="335">
        <f>IF(AND(A20="",A19&lt;&gt;"",COUNTIF(A21:$A$200,"&lt;&gt;")=0),ROUND(SUMIF($A$2:A19,"&lt;&gt;",$D$2:D19),2),IF(OR(A20="",B20="",C20=""),"",ROUND(B20*C20,2)))</f>
        <v/>
      </c>
      <c r="E20" s="89" t="n"/>
      <c r="F20" s="335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 t="n"/>
      <c r="H20" s="335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 t="n"/>
      <c r="J20" s="335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 t="n"/>
      <c r="L20" s="335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>
        <f>IF(OR(posicao_contratual!J20="",posicao_contratual!N20=""),"",ROUND(MAX(posicao_contratual!J20+posicao_contratual!H20-posicao_contratual!N20,0),2))</f>
        <v/>
      </c>
      <c r="N20" s="335">
        <f>IF(AND(A20="",A19&lt;&gt;"",COUNTIF(A21:$A$200,"&lt;&gt;")=0),ROUND(SUMIF($A$2:A19,"&lt;&gt;",$N$2:N19),2),IF(OR(M20="",C20="",NOT(ISNUMBER($Z$3))),"",ROUND(M20*C20*$Z$3,2)))</f>
        <v/>
      </c>
      <c r="O20" s="90">
        <f>IF(OR(posicao_contratual!N20="",posicao_contratual!R20=""),"",ROUND(MAX(posicao_contratual!N20+posicao_contratual!L20-posicao_contratual!R20,0),2))</f>
        <v/>
      </c>
      <c r="P20" s="335">
        <f>IF(AND(A20="",A19&lt;&gt;"",COUNTIF(A21:$A$200,"&lt;&gt;")=0),ROUND(SUMIF($A$2:A19,"&lt;&gt;",$P$2:P19),2),IF(OR(O20="",C20="",NOT(ISNUMBER($Z$4))),"",ROUND(O20*C20*$Z$4,2)))</f>
        <v/>
      </c>
      <c r="Q20" s="90">
        <f>IF(OR(posicao_contratual!R20="",posicao_contratual!V20=""),"",ROUND(MAX(posicao_contratual!R20+posicao_contratual!P20-posicao_contratual!V20,0),2))</f>
        <v/>
      </c>
      <c r="R20" s="335">
        <f>IF(AND(A20="",A19&lt;&gt;"",COUNTIF(A21:$A$200,"&lt;&gt;")=0),ROUND(SUMIF($A$2:A19,"&lt;&gt;",$R$2:R19),2),IF(OR(Q20="",C20="",NOT(ISNUMBER($Z$5))),"",ROUND(Q20*C20*$Z$5,2)))</f>
        <v/>
      </c>
      <c r="S20" s="22" t="n"/>
      <c r="T20" s="340" t="n"/>
      <c r="U20" s="91">
        <f>IF(AND(A20="",A19&lt;&gt;"",COUNTIF(A21:$A$200,"&lt;&gt;")=0),"TOTAL",IF(A20="","",posicao_contratual!X20))</f>
        <v/>
      </c>
      <c r="V20" s="91">
        <f>IF(A20="","",posicao_contratual!X20)</f>
        <v/>
      </c>
      <c r="W20" s="14" t="n"/>
      <c r="X20" s="14" t="n"/>
      <c r="Y20" s="14" t="n"/>
      <c r="Z20" s="13" t="n"/>
      <c r="AA20" s="13" t="n"/>
      <c r="AB20" s="90">
        <f>IF(OR(A20="",posicao_contratual!E20="",posicao_contratual!J20=""),"",ROUND(MAX(posicao_contratual!E20-posicao_contratual!J20,0),2))</f>
        <v/>
      </c>
      <c r="AC20" s="335">
        <f>IF(AND(A20="",A19&lt;&gt;"",COUNTIF(A21:$A$200,"&lt;&gt;")=0),ROUND(SUMIF($A$2:A19,"&lt;&gt;",$AC$2:AC19),2),IF(OR(AB20="",C20="",NOT(ISNUMBER($Z$2))),"",ROUND(AB20*C20*$Z$2,2)))</f>
        <v/>
      </c>
      <c r="AD20" s="155">
        <f>IF(A20="","",posicao_contratual!E20)</f>
        <v/>
      </c>
      <c r="AE20" s="155">
        <f>IF(A20="","",posicao_contratual!I20)</f>
        <v/>
      </c>
      <c r="AF20" s="155">
        <f>IF(A20="","",posicao_contratual!M20)</f>
        <v/>
      </c>
      <c r="AG20" s="155">
        <f>IF(A20="","",posicao_contratual!Q20)</f>
        <v/>
      </c>
      <c r="AH20" s="155">
        <f>IF(A20="","",posicao_contratual!U20)</f>
        <v/>
      </c>
      <c r="AI20" s="155">
        <f>IF(A20="","",posicao_contratual!G20)</f>
        <v/>
      </c>
      <c r="AJ20" s="155">
        <f>IF(A20="","",posicao_contratual!K20)</f>
        <v/>
      </c>
      <c r="AK20" s="155">
        <f>IF(A20="","",posicao_contratual!O20)</f>
        <v/>
      </c>
      <c r="AL20" s="155">
        <f>IF(A20="","",posicao_contratual!S20)</f>
        <v/>
      </c>
      <c r="AM20" s="155">
        <f>IF(A20="","",posicao_contratual!W20)</f>
        <v/>
      </c>
      <c r="AN20" s="156">
        <f>IF(A20="","",posicao_contratual!X20)</f>
        <v/>
      </c>
      <c r="AO20">
        <f>IF($A20="","",ROUND(SUMIFS(itens_Consumidos!$E$2:$E$200,itens_Consumidos!$A$2:$A$200,$A20),2))</f>
        <v/>
      </c>
      <c r="AP20">
        <f>IF(OR($A20="",AB20=""),"",ROUND(MAX(AB20-AO20,0),2))</f>
        <v/>
      </c>
      <c r="AQ20">
        <f>IF(OR($A20="",AB20="",MEMORIA_RESULTADOS!$I$258=""),"",ROUND(AB20*$C20*(MEMORIA_RESULTADOS!$I$258-1),2))</f>
        <v/>
      </c>
      <c r="AR20">
        <f>IF(OR($A20="",AP20="",MEMORIA_RESULTADOS!$I$258=""),"",ROUND(AP20*$C20*(parametros!$F$2-MEMORIA_RESULTADOS!$I$258),2))</f>
        <v/>
      </c>
      <c r="AS20">
        <f>IF($A20="","",ROUND(SUMIFS(itens_Consumidos!$G$2:$G$200,itens_Consumidos!$A$2:$A$200,$A20),2))</f>
        <v/>
      </c>
      <c r="AT20">
        <f>IF(OR($A20="",M20=""),"",ROUND(MAX(M20-AS20,0),2))</f>
        <v/>
      </c>
      <c r="AU20">
        <f>IF(OR($A20="",M20="",MEMORIA_RESULTADOS!$I$259=""),"",ROUND(M20*$C20*(MEMORIA_RESULTADOS!$I$259-1),2))</f>
        <v/>
      </c>
      <c r="AV20">
        <f>IF(OR($A20="",AT20="",MEMORIA_RESULTADOS!$I$259=""),"",ROUND(AT20*$C20*(parametros!$F$3-MEMORIA_RESULTADOS!$I$259),2))</f>
        <v/>
      </c>
      <c r="AW20">
        <f>IF($A20="","",ROUND(SUMIFS(itens_Consumidos!$I$2:$I$200,itens_Consumidos!$A$2:$A$200,$A20),2))</f>
        <v/>
      </c>
      <c r="AX20">
        <f>IF(OR($A20="",O20=""),"",ROUND(MAX(O20-AW20,0),2))</f>
        <v/>
      </c>
      <c r="AY20">
        <f>IF(OR($A20="",O20="",MEMORIA_RESULTADOS!$I$260=""),"",ROUND(O20*$C20*(MEMORIA_RESULTADOS!$I$260-1),2))</f>
        <v/>
      </c>
      <c r="AZ20">
        <f>IF(OR($A20="",AX20="",MEMORIA_RESULTADOS!$I$260=""),"",ROUND(AX20*$C20*(parametros!$F$4-MEMORIA_RESULTADOS!$I$260),2))</f>
        <v/>
      </c>
      <c r="BA20">
        <f>IF($A20="","",ROUND(SUMIFS(itens_Consumidos!$K$2:$K$200,itens_Consumidos!$A$2:$A$200,$A20),2))</f>
        <v/>
      </c>
      <c r="BB20">
        <f>IF(OR($A20="",Q20=""),"",ROUND(MAX(Q20-BA20,0),2))</f>
        <v/>
      </c>
      <c r="BC20">
        <f>IF(OR($A20="",Q20="",MEMORIA_RESULTADOS!$I$261=""),"",ROUND(Q20*$C20*(MEMORIA_RESULTADOS!$I$261-1),2))</f>
        <v/>
      </c>
      <c r="BD20">
        <f>IF(OR($A20="",BB20="",MEMORIA_RESULTADOS!$I$261=""),"",ROUND(BB20*$C20*(parametros!$F$5-MEMORIA_RESULTADOS!$I$261),2))</f>
        <v/>
      </c>
      <c r="BE20">
        <f>IF($A20="","",ROUND(SUMIFS(itens_Consumidos!$M$2:$M$200,itens_Consumidos!$A$2:$A$200,$A20),2))</f>
        <v/>
      </c>
      <c r="BF20">
        <f>IF(OR($A20="",S20=""),"",ROUND(MAX(S20-BE20,0),2))</f>
        <v/>
      </c>
      <c r="BG20">
        <f>IF(OR($A20="",S20="",MEMORIA_RESULTADOS!$I$262=""),"",ROUND(S20*$C20*(MEMORIA_RESULTADOS!$I$262-1),2))</f>
        <v/>
      </c>
      <c r="BH20">
        <f>IF(OR($A20="",BF20="",MEMORIA_RESULTADOS!$I$262=""),"",ROUND(BF20*$C20*(parametros!$F$6-MEMORIA_RESULTADOS!$I$262),2))</f>
        <v/>
      </c>
    </row>
    <row r="21">
      <c r="A21" s="86" t="n"/>
      <c r="B21" s="87">
        <f>IF(AND(LEN(TRIM($A21))=4,LEFT(TRIM($A21),1)="N",ISNUMBER(--MID(TRIM($A21),2,3)),ISERROR(FIND(".",$A21)),ISERROR(FIND(",",$A21)),ISERROR(FIND("-",$A21)),ISERROR(FIND("+",$A21)),ISERROR(SEARCH("E",$A21,2)),ISERROR(FIND(" ",TRIM($A21)))),0,"")</f>
        <v/>
      </c>
      <c r="C21" s="339" t="n"/>
      <c r="D21" s="335">
        <f>IF(AND(A21="",A20&lt;&gt;"",COUNTIF(A22:$A$200,"&lt;&gt;")=0),ROUND(SUMIF($A$2:A20,"&lt;&gt;",$D$2:D20),2),IF(OR(A21="",B21="",C21=""),"",ROUND(B21*C21,2)))</f>
        <v/>
      </c>
      <c r="E21" s="89" t="n"/>
      <c r="F21" s="335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 t="n"/>
      <c r="H21" s="335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 t="n"/>
      <c r="J21" s="335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 t="n"/>
      <c r="L21" s="335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>
        <f>IF(OR(posicao_contratual!J21="",posicao_contratual!N21=""),"",ROUND(MAX(posicao_contratual!J21+posicao_contratual!H21-posicao_contratual!N21,0),2))</f>
        <v/>
      </c>
      <c r="N21" s="335">
        <f>IF(AND(A21="",A20&lt;&gt;"",COUNTIF(A22:$A$200,"&lt;&gt;")=0),ROUND(SUMIF($A$2:A20,"&lt;&gt;",$N$2:N20),2),IF(OR(M21="",C21="",NOT(ISNUMBER($Z$3))),"",ROUND(M21*C21*$Z$3,2)))</f>
        <v/>
      </c>
      <c r="O21" s="90">
        <f>IF(OR(posicao_contratual!N21="",posicao_contratual!R21=""),"",ROUND(MAX(posicao_contratual!N21+posicao_contratual!L21-posicao_contratual!R21,0),2))</f>
        <v/>
      </c>
      <c r="P21" s="335">
        <f>IF(AND(A21="",A20&lt;&gt;"",COUNTIF(A22:$A$200,"&lt;&gt;")=0),ROUND(SUMIF($A$2:A20,"&lt;&gt;",$P$2:P20),2),IF(OR(O21="",C21="",NOT(ISNUMBER($Z$4))),"",ROUND(O21*C21*$Z$4,2)))</f>
        <v/>
      </c>
      <c r="Q21" s="90">
        <f>IF(OR(posicao_contratual!R21="",posicao_contratual!V21=""),"",ROUND(MAX(posicao_contratual!R21+posicao_contratual!P21-posicao_contratual!V21,0),2))</f>
        <v/>
      </c>
      <c r="R21" s="335">
        <f>IF(AND(A21="",A20&lt;&gt;"",COUNTIF(A22:$A$200,"&lt;&gt;")=0),ROUND(SUMIF($A$2:A20,"&lt;&gt;",$R$2:R20),2),IF(OR(Q21="",C21="",NOT(ISNUMBER($Z$5))),"",ROUND(Q21*C21*$Z$5,2)))</f>
        <v/>
      </c>
      <c r="S21" s="22" t="n"/>
      <c r="T21" s="340" t="n"/>
      <c r="U21" s="91">
        <f>IF(AND(A21="",A20&lt;&gt;"",COUNTIF(A22:$A$200,"&lt;&gt;")=0),"TOTAL",IF(A21="","",posicao_contratual!X21))</f>
        <v/>
      </c>
      <c r="V21" s="91">
        <f>IF(A21="","",posicao_contratual!X21)</f>
        <v/>
      </c>
      <c r="W21" s="14" t="n"/>
      <c r="X21" s="14" t="n"/>
      <c r="Y21" s="14" t="n"/>
      <c r="Z21" s="13" t="n"/>
      <c r="AA21" s="13" t="n"/>
      <c r="AB21" s="90">
        <f>IF(OR(A21="",posicao_contratual!E21="",posicao_contratual!J21=""),"",ROUND(MAX(posicao_contratual!E21-posicao_contratual!J21,0),2))</f>
        <v/>
      </c>
      <c r="AC21" s="335">
        <f>IF(AND(A21="",A20&lt;&gt;"",COUNTIF(A22:$A$200,"&lt;&gt;")=0),ROUND(SUMIF($A$2:A20,"&lt;&gt;",$AC$2:AC20),2),IF(OR(AB21="",C21="",NOT(ISNUMBER($Z$2))),"",ROUND(AB21*C21*$Z$2,2)))</f>
        <v/>
      </c>
      <c r="AD21" s="155">
        <f>IF(A21="","",posicao_contratual!E21)</f>
        <v/>
      </c>
      <c r="AE21" s="155">
        <f>IF(A21="","",posicao_contratual!I21)</f>
        <v/>
      </c>
      <c r="AF21" s="155">
        <f>IF(A21="","",posicao_contratual!M21)</f>
        <v/>
      </c>
      <c r="AG21" s="155">
        <f>IF(A21="","",posicao_contratual!Q21)</f>
        <v/>
      </c>
      <c r="AH21" s="155">
        <f>IF(A21="","",posicao_contratual!U21)</f>
        <v/>
      </c>
      <c r="AI21" s="155">
        <f>IF(A21="","",posicao_contratual!G21)</f>
        <v/>
      </c>
      <c r="AJ21" s="155">
        <f>IF(A21="","",posicao_contratual!K21)</f>
        <v/>
      </c>
      <c r="AK21" s="155">
        <f>IF(A21="","",posicao_contratual!O21)</f>
        <v/>
      </c>
      <c r="AL21" s="155">
        <f>IF(A21="","",posicao_contratual!S21)</f>
        <v/>
      </c>
      <c r="AM21" s="155">
        <f>IF(A21="","",posicao_contratual!W21)</f>
        <v/>
      </c>
      <c r="AN21" s="156">
        <f>IF(A21="","",posicao_contratual!X21)</f>
        <v/>
      </c>
      <c r="AO21">
        <f>IF($A21="","",ROUND(SUMIFS(itens_Consumidos!$E$2:$E$200,itens_Consumidos!$A$2:$A$200,$A21),2))</f>
        <v/>
      </c>
      <c r="AP21">
        <f>IF(OR($A21="",AB21=""),"",ROUND(MAX(AB21-AO21,0),2))</f>
        <v/>
      </c>
      <c r="AQ21">
        <f>IF(OR($A21="",AB21="",MEMORIA_RESULTADOS!$I$258=""),"",ROUND(AB21*$C21*(MEMORIA_RESULTADOS!$I$258-1),2))</f>
        <v/>
      </c>
      <c r="AR21">
        <f>IF(OR($A21="",AP21="",MEMORIA_RESULTADOS!$I$258=""),"",ROUND(AP21*$C21*(parametros!$F$2-MEMORIA_RESULTADOS!$I$258),2))</f>
        <v/>
      </c>
      <c r="AS21">
        <f>IF($A21="","",ROUND(SUMIFS(itens_Consumidos!$G$2:$G$200,itens_Consumidos!$A$2:$A$200,$A21),2))</f>
        <v/>
      </c>
      <c r="AT21">
        <f>IF(OR($A21="",M21=""),"",ROUND(MAX(M21-AS21,0),2))</f>
        <v/>
      </c>
      <c r="AU21">
        <f>IF(OR($A21="",M21="",MEMORIA_RESULTADOS!$I$259=""),"",ROUND(M21*$C21*(MEMORIA_RESULTADOS!$I$259-1),2))</f>
        <v/>
      </c>
      <c r="AV21">
        <f>IF(OR($A21="",AT21="",MEMORIA_RESULTADOS!$I$259=""),"",ROUND(AT21*$C21*(parametros!$F$3-MEMORIA_RESULTADOS!$I$259),2))</f>
        <v/>
      </c>
      <c r="AW21">
        <f>IF($A21="","",ROUND(SUMIFS(itens_Consumidos!$I$2:$I$200,itens_Consumidos!$A$2:$A$200,$A21),2))</f>
        <v/>
      </c>
      <c r="AX21">
        <f>IF(OR($A21="",O21=""),"",ROUND(MAX(O21-AW21,0),2))</f>
        <v/>
      </c>
      <c r="AY21">
        <f>IF(OR($A21="",O21="",MEMORIA_RESULTADOS!$I$260=""),"",ROUND(O21*$C21*(MEMORIA_RESULTADOS!$I$260-1),2))</f>
        <v/>
      </c>
      <c r="AZ21">
        <f>IF(OR($A21="",AX21="",MEMORIA_RESULTADOS!$I$260=""),"",ROUND(AX21*$C21*(parametros!$F$4-MEMORIA_RESULTADOS!$I$260),2))</f>
        <v/>
      </c>
      <c r="BA21">
        <f>IF($A21="","",ROUND(SUMIFS(itens_Consumidos!$K$2:$K$200,itens_Consumidos!$A$2:$A$200,$A21),2))</f>
        <v/>
      </c>
      <c r="BB21">
        <f>IF(OR($A21="",Q21=""),"",ROUND(MAX(Q21-BA21,0),2))</f>
        <v/>
      </c>
      <c r="BC21">
        <f>IF(OR($A21="",Q21="",MEMORIA_RESULTADOS!$I$261=""),"",ROUND(Q21*$C21*(MEMORIA_RESULTADOS!$I$261-1),2))</f>
        <v/>
      </c>
      <c r="BD21">
        <f>IF(OR($A21="",BB21="",MEMORIA_RESULTADOS!$I$261=""),"",ROUND(BB21*$C21*(parametros!$F$5-MEMORIA_RESULTADOS!$I$261),2))</f>
        <v/>
      </c>
      <c r="BE21">
        <f>IF($A21="","",ROUND(SUMIFS(itens_Consumidos!$M$2:$M$200,itens_Consumidos!$A$2:$A$200,$A21),2))</f>
        <v/>
      </c>
      <c r="BF21">
        <f>IF(OR($A21="",S21=""),"",ROUND(MAX(S21-BE21,0),2))</f>
        <v/>
      </c>
      <c r="BG21">
        <f>IF(OR($A21="",S21="",MEMORIA_RESULTADOS!$I$262=""),"",ROUND(S21*$C21*(MEMORIA_RESULTADOS!$I$262-1),2))</f>
        <v/>
      </c>
      <c r="BH21">
        <f>IF(OR($A21="",BF21="",MEMORIA_RESULTADOS!$I$262=""),"",ROUND(BF21*$C21*(parametros!$F$6-MEMORIA_RESULTADOS!$I$262),2))</f>
        <v/>
      </c>
    </row>
    <row r="22">
      <c r="A22" s="86" t="n"/>
      <c r="B22" s="87">
        <f>IF(AND(LEN(TRIM($A22))=4,LEFT(TRIM($A22),1)="N",ISNUMBER(--MID(TRIM($A22),2,3)),ISERROR(FIND(".",$A22)),ISERROR(FIND(",",$A22)),ISERROR(FIND("-",$A22)),ISERROR(FIND("+",$A22)),ISERROR(SEARCH("E",$A22,2)),ISERROR(FIND(" ",TRIM($A22)))),0,"")</f>
        <v/>
      </c>
      <c r="C22" s="339" t="n"/>
      <c r="D22" s="335">
        <f>IF(AND(A22="",A21&lt;&gt;"",COUNTIF(A23:$A$200,"&lt;&gt;")=0),ROUND(SUMIF($A$2:A21,"&lt;&gt;",$D$2:D21),2),IF(OR(A22="",B22="",C22=""),"",ROUND(B22*C22,2)))</f>
        <v/>
      </c>
      <c r="E22" s="89" t="n"/>
      <c r="F22" s="335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 t="n"/>
      <c r="H22" s="335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 t="n"/>
      <c r="J22" s="335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 t="n"/>
      <c r="L22" s="335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>
        <f>IF(OR(posicao_contratual!J22="",posicao_contratual!N22=""),"",ROUND(MAX(posicao_contratual!J22+posicao_contratual!H22-posicao_contratual!N22,0),2))</f>
        <v/>
      </c>
      <c r="N22" s="335">
        <f>IF(AND(A22="",A21&lt;&gt;"",COUNTIF(A23:$A$200,"&lt;&gt;")=0),ROUND(SUMIF($A$2:A21,"&lt;&gt;",$N$2:N21),2),IF(OR(M22="",C22="",NOT(ISNUMBER($Z$3))),"",ROUND(M22*C22*$Z$3,2)))</f>
        <v/>
      </c>
      <c r="O22" s="90">
        <f>IF(OR(posicao_contratual!N22="",posicao_contratual!R22=""),"",ROUND(MAX(posicao_contratual!N22+posicao_contratual!L22-posicao_contratual!R22,0),2))</f>
        <v/>
      </c>
      <c r="P22" s="335">
        <f>IF(AND(A22="",A21&lt;&gt;"",COUNTIF(A23:$A$200,"&lt;&gt;")=0),ROUND(SUMIF($A$2:A21,"&lt;&gt;",$P$2:P21),2),IF(OR(O22="",C22="",NOT(ISNUMBER($Z$4))),"",ROUND(O22*C22*$Z$4,2)))</f>
        <v/>
      </c>
      <c r="Q22" s="90">
        <f>IF(OR(posicao_contratual!R22="",posicao_contratual!V22=""),"",ROUND(MAX(posicao_contratual!R22+posicao_contratual!P22-posicao_contratual!V22,0),2))</f>
        <v/>
      </c>
      <c r="R22" s="335">
        <f>IF(AND(A22="",A21&lt;&gt;"",COUNTIF(A23:$A$200,"&lt;&gt;")=0),ROUND(SUMIF($A$2:A21,"&lt;&gt;",$R$2:R21),2),IF(OR(Q22="",C22="",NOT(ISNUMBER($Z$5))),"",ROUND(Q22*C22*$Z$5,2)))</f>
        <v/>
      </c>
      <c r="S22" s="22" t="n"/>
      <c r="T22" s="340" t="n"/>
      <c r="U22" s="91">
        <f>IF(AND(A22="",A21&lt;&gt;"",COUNTIF(A23:$A$200,"&lt;&gt;")=0),"TOTAL",IF(A22="","",posicao_contratual!X22))</f>
        <v/>
      </c>
      <c r="V22" s="91">
        <f>IF(A22="","",posicao_contratual!X22)</f>
        <v/>
      </c>
      <c r="W22" s="14" t="n"/>
      <c r="X22" s="14" t="n"/>
      <c r="Y22" s="14" t="n"/>
      <c r="Z22" s="13" t="n"/>
      <c r="AA22" s="13" t="n"/>
      <c r="AB22" s="90">
        <f>IF(OR(A22="",posicao_contratual!E22="",posicao_contratual!J22=""),"",ROUND(MAX(posicao_contratual!E22-posicao_contratual!J22,0),2))</f>
        <v/>
      </c>
      <c r="AC22" s="335">
        <f>IF(AND(A22="",A21&lt;&gt;"",COUNTIF(A23:$A$200,"&lt;&gt;")=0),ROUND(SUMIF($A$2:A21,"&lt;&gt;",$AC$2:AC21),2),IF(OR(AB22="",C22="",NOT(ISNUMBER($Z$2))),"",ROUND(AB22*C22*$Z$2,2)))</f>
        <v/>
      </c>
      <c r="AD22" s="155">
        <f>IF(A22="","",posicao_contratual!E22)</f>
        <v/>
      </c>
      <c r="AE22" s="155">
        <f>IF(A22="","",posicao_contratual!I22)</f>
        <v/>
      </c>
      <c r="AF22" s="155">
        <f>IF(A22="","",posicao_contratual!M22)</f>
        <v/>
      </c>
      <c r="AG22" s="155">
        <f>IF(A22="","",posicao_contratual!Q22)</f>
        <v/>
      </c>
      <c r="AH22" s="155">
        <f>IF(A22="","",posicao_contratual!U22)</f>
        <v/>
      </c>
      <c r="AI22" s="155">
        <f>IF(A22="","",posicao_contratual!G22)</f>
        <v/>
      </c>
      <c r="AJ22" s="155">
        <f>IF(A22="","",posicao_contratual!K22)</f>
        <v/>
      </c>
      <c r="AK22" s="155">
        <f>IF(A22="","",posicao_contratual!O22)</f>
        <v/>
      </c>
      <c r="AL22" s="155">
        <f>IF(A22="","",posicao_contratual!S22)</f>
        <v/>
      </c>
      <c r="AM22" s="155">
        <f>IF(A22="","",posicao_contratual!W22)</f>
        <v/>
      </c>
      <c r="AN22" s="156">
        <f>IF(A22="","",posicao_contratual!X22)</f>
        <v/>
      </c>
      <c r="AO22">
        <f>IF($A22="","",ROUND(SUMIFS(itens_Consumidos!$E$2:$E$200,itens_Consumidos!$A$2:$A$200,$A22),2))</f>
        <v/>
      </c>
      <c r="AP22">
        <f>IF(OR($A22="",AB22=""),"",ROUND(MAX(AB22-AO22,0),2))</f>
        <v/>
      </c>
      <c r="AQ22">
        <f>IF(OR($A22="",AB22="",MEMORIA_RESULTADOS!$I$258=""),"",ROUND(AB22*$C22*(MEMORIA_RESULTADOS!$I$258-1),2))</f>
        <v/>
      </c>
      <c r="AR22">
        <f>IF(OR($A22="",AP22="",MEMORIA_RESULTADOS!$I$258=""),"",ROUND(AP22*$C22*(parametros!$F$2-MEMORIA_RESULTADOS!$I$258),2))</f>
        <v/>
      </c>
      <c r="AS22">
        <f>IF($A22="","",ROUND(SUMIFS(itens_Consumidos!$G$2:$G$200,itens_Consumidos!$A$2:$A$200,$A22),2))</f>
        <v/>
      </c>
      <c r="AT22">
        <f>IF(OR($A22="",M22=""),"",ROUND(MAX(M22-AS22,0),2))</f>
        <v/>
      </c>
      <c r="AU22">
        <f>IF(OR($A22="",M22="",MEMORIA_RESULTADOS!$I$259=""),"",ROUND(M22*$C22*(MEMORIA_RESULTADOS!$I$259-1),2))</f>
        <v/>
      </c>
      <c r="AV22">
        <f>IF(OR($A22="",AT22="",MEMORIA_RESULTADOS!$I$259=""),"",ROUND(AT22*$C22*(parametros!$F$3-MEMORIA_RESULTADOS!$I$259),2))</f>
        <v/>
      </c>
      <c r="AW22">
        <f>IF($A22="","",ROUND(SUMIFS(itens_Consumidos!$I$2:$I$200,itens_Consumidos!$A$2:$A$200,$A22),2))</f>
        <v/>
      </c>
      <c r="AX22">
        <f>IF(OR($A22="",O22=""),"",ROUND(MAX(O22-AW22,0),2))</f>
        <v/>
      </c>
      <c r="AY22">
        <f>IF(OR($A22="",O22="",MEMORIA_RESULTADOS!$I$260=""),"",ROUND(O22*$C22*(MEMORIA_RESULTADOS!$I$260-1),2))</f>
        <v/>
      </c>
      <c r="AZ22">
        <f>IF(OR($A22="",AX22="",MEMORIA_RESULTADOS!$I$260=""),"",ROUND(AX22*$C22*(parametros!$F$4-MEMORIA_RESULTADOS!$I$260),2))</f>
        <v/>
      </c>
      <c r="BA22">
        <f>IF($A22="","",ROUND(SUMIFS(itens_Consumidos!$K$2:$K$200,itens_Consumidos!$A$2:$A$200,$A22),2))</f>
        <v/>
      </c>
      <c r="BB22">
        <f>IF(OR($A22="",Q22=""),"",ROUND(MAX(Q22-BA22,0),2))</f>
        <v/>
      </c>
      <c r="BC22">
        <f>IF(OR($A22="",Q22="",MEMORIA_RESULTADOS!$I$261=""),"",ROUND(Q22*$C22*(MEMORIA_RESULTADOS!$I$261-1),2))</f>
        <v/>
      </c>
      <c r="BD22">
        <f>IF(OR($A22="",BB22="",MEMORIA_RESULTADOS!$I$261=""),"",ROUND(BB22*$C22*(parametros!$F$5-MEMORIA_RESULTADOS!$I$261),2))</f>
        <v/>
      </c>
      <c r="BE22">
        <f>IF($A22="","",ROUND(SUMIFS(itens_Consumidos!$M$2:$M$200,itens_Consumidos!$A$2:$A$200,$A22),2))</f>
        <v/>
      </c>
      <c r="BF22">
        <f>IF(OR($A22="",S22=""),"",ROUND(MAX(S22-BE22,0),2))</f>
        <v/>
      </c>
      <c r="BG22">
        <f>IF(OR($A22="",S22="",MEMORIA_RESULTADOS!$I$262=""),"",ROUND(S22*$C22*(MEMORIA_RESULTADOS!$I$262-1),2))</f>
        <v/>
      </c>
      <c r="BH22">
        <f>IF(OR($A22="",BF22="",MEMORIA_RESULTADOS!$I$262=""),"",ROUND(BF22*$C22*(parametros!$F$6-MEMORIA_RESULTADOS!$I$262),2))</f>
        <v/>
      </c>
    </row>
    <row r="23">
      <c r="A23" s="86" t="n"/>
      <c r="B23" s="87">
        <f>IF(AND(LEN(TRIM($A23))=4,LEFT(TRIM($A23),1)="N",ISNUMBER(--MID(TRIM($A23),2,3)),ISERROR(FIND(".",$A23)),ISERROR(FIND(",",$A23)),ISERROR(FIND("-",$A23)),ISERROR(FIND("+",$A23)),ISERROR(SEARCH("E",$A23,2)),ISERROR(FIND(" ",TRIM($A23)))),0,"")</f>
        <v/>
      </c>
      <c r="C23" s="339" t="n"/>
      <c r="D23" s="335">
        <f>IF(AND(A23="",A22&lt;&gt;"",COUNTIF(A24:$A$200,"&lt;&gt;")=0),ROUND(SUMIF($A$2:A22,"&lt;&gt;",$D$2:D22),2),IF(OR(A23="",B23="",C23=""),"",ROUND(B23*C23,2)))</f>
        <v/>
      </c>
      <c r="E23" s="89" t="n"/>
      <c r="F23" s="335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 t="n"/>
      <c r="H23" s="335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 t="n"/>
      <c r="J23" s="335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 t="n"/>
      <c r="L23" s="335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>
        <f>IF(OR(posicao_contratual!J23="",posicao_contratual!N23=""),"",ROUND(MAX(posicao_contratual!J23+posicao_contratual!H23-posicao_contratual!N23,0),2))</f>
        <v/>
      </c>
      <c r="N23" s="335">
        <f>IF(AND(A23="",A22&lt;&gt;"",COUNTIF(A24:$A$200,"&lt;&gt;")=0),ROUND(SUMIF($A$2:A22,"&lt;&gt;",$N$2:N22),2),IF(OR(M23="",C23="",NOT(ISNUMBER($Z$3))),"",ROUND(M23*C23*$Z$3,2)))</f>
        <v/>
      </c>
      <c r="O23" s="90">
        <f>IF(OR(posicao_contratual!N23="",posicao_contratual!R23=""),"",ROUND(MAX(posicao_contratual!N23+posicao_contratual!L23-posicao_contratual!R23,0),2))</f>
        <v/>
      </c>
      <c r="P23" s="335">
        <f>IF(AND(A23="",A22&lt;&gt;"",COUNTIF(A24:$A$200,"&lt;&gt;")=0),ROUND(SUMIF($A$2:A22,"&lt;&gt;",$P$2:P22),2),IF(OR(O23="",C23="",NOT(ISNUMBER($Z$4))),"",ROUND(O23*C23*$Z$4,2)))</f>
        <v/>
      </c>
      <c r="Q23" s="90">
        <f>IF(OR(posicao_contratual!R23="",posicao_contratual!V23=""),"",ROUND(MAX(posicao_contratual!R23+posicao_contratual!P23-posicao_contratual!V23,0),2))</f>
        <v/>
      </c>
      <c r="R23" s="335">
        <f>IF(AND(A23="",A22&lt;&gt;"",COUNTIF(A24:$A$200,"&lt;&gt;")=0),ROUND(SUMIF($A$2:A22,"&lt;&gt;",$R$2:R22),2),IF(OR(Q23="",C23="",NOT(ISNUMBER($Z$5))),"",ROUND(Q23*C23*$Z$5,2)))</f>
        <v/>
      </c>
      <c r="S23" s="22" t="n"/>
      <c r="T23" s="340" t="n"/>
      <c r="U23" s="91">
        <f>IF(AND(A23="",A22&lt;&gt;"",COUNTIF(A24:$A$200,"&lt;&gt;")=0),"TOTAL",IF(A23="","",posicao_contratual!X23))</f>
        <v/>
      </c>
      <c r="V23" s="91">
        <f>IF(A23="","",posicao_contratual!X23)</f>
        <v/>
      </c>
      <c r="W23" s="14" t="n"/>
      <c r="X23" s="14" t="n"/>
      <c r="Y23" s="14" t="n"/>
      <c r="Z23" s="13" t="n"/>
      <c r="AA23" s="13" t="n"/>
      <c r="AB23" s="90">
        <f>IF(OR(A23="",posicao_contratual!E23="",posicao_contratual!J23=""),"",ROUND(MAX(posicao_contratual!E23-posicao_contratual!J23,0),2))</f>
        <v/>
      </c>
      <c r="AC23" s="335">
        <f>IF(AND(A23="",A22&lt;&gt;"",COUNTIF(A24:$A$200,"&lt;&gt;")=0),ROUND(SUMIF($A$2:A22,"&lt;&gt;",$AC$2:AC22),2),IF(OR(AB23="",C23="",NOT(ISNUMBER($Z$2))),"",ROUND(AB23*C23*$Z$2,2)))</f>
        <v/>
      </c>
      <c r="AD23" s="155">
        <f>IF(A23="","",posicao_contratual!E23)</f>
        <v/>
      </c>
      <c r="AE23" s="155">
        <f>IF(A23="","",posicao_contratual!I23)</f>
        <v/>
      </c>
      <c r="AF23" s="155">
        <f>IF(A23="","",posicao_contratual!M23)</f>
        <v/>
      </c>
      <c r="AG23" s="155">
        <f>IF(A23="","",posicao_contratual!Q23)</f>
        <v/>
      </c>
      <c r="AH23" s="155">
        <f>IF(A23="","",posicao_contratual!U23)</f>
        <v/>
      </c>
      <c r="AI23" s="155">
        <f>IF(A23="","",posicao_contratual!G23)</f>
        <v/>
      </c>
      <c r="AJ23" s="155">
        <f>IF(A23="","",posicao_contratual!K23)</f>
        <v/>
      </c>
      <c r="AK23" s="155">
        <f>IF(A23="","",posicao_contratual!O23)</f>
        <v/>
      </c>
      <c r="AL23" s="155">
        <f>IF(A23="","",posicao_contratual!S23)</f>
        <v/>
      </c>
      <c r="AM23" s="155">
        <f>IF(A23="","",posicao_contratual!W23)</f>
        <v/>
      </c>
      <c r="AN23" s="156">
        <f>IF(A23="","",posicao_contratual!X23)</f>
        <v/>
      </c>
      <c r="AO23">
        <f>IF($A23="","",ROUND(SUMIFS(itens_Consumidos!$E$2:$E$200,itens_Consumidos!$A$2:$A$200,$A23),2))</f>
        <v/>
      </c>
      <c r="AP23">
        <f>IF(OR($A23="",AB23=""),"",ROUND(MAX(AB23-AO23,0),2))</f>
        <v/>
      </c>
      <c r="AQ23">
        <f>IF(OR($A23="",AB23="",MEMORIA_RESULTADOS!$I$258=""),"",ROUND(AB23*$C23*(MEMORIA_RESULTADOS!$I$258-1),2))</f>
        <v/>
      </c>
      <c r="AR23">
        <f>IF(OR($A23="",AP23="",MEMORIA_RESULTADOS!$I$258=""),"",ROUND(AP23*$C23*(parametros!$F$2-MEMORIA_RESULTADOS!$I$258),2))</f>
        <v/>
      </c>
      <c r="AS23">
        <f>IF($A23="","",ROUND(SUMIFS(itens_Consumidos!$G$2:$G$200,itens_Consumidos!$A$2:$A$200,$A23),2))</f>
        <v/>
      </c>
      <c r="AT23">
        <f>IF(OR($A23="",M23=""),"",ROUND(MAX(M23-AS23,0),2))</f>
        <v/>
      </c>
      <c r="AU23">
        <f>IF(OR($A23="",M23="",MEMORIA_RESULTADOS!$I$259=""),"",ROUND(M23*$C23*(MEMORIA_RESULTADOS!$I$259-1),2))</f>
        <v/>
      </c>
      <c r="AV23">
        <f>IF(OR($A23="",AT23="",MEMORIA_RESULTADOS!$I$259=""),"",ROUND(AT23*$C23*(parametros!$F$3-MEMORIA_RESULTADOS!$I$259),2))</f>
        <v/>
      </c>
      <c r="AW23">
        <f>IF($A23="","",ROUND(SUMIFS(itens_Consumidos!$I$2:$I$200,itens_Consumidos!$A$2:$A$200,$A23),2))</f>
        <v/>
      </c>
      <c r="AX23">
        <f>IF(OR($A23="",O23=""),"",ROUND(MAX(O23-AW23,0),2))</f>
        <v/>
      </c>
      <c r="AY23">
        <f>IF(OR($A23="",O23="",MEMORIA_RESULTADOS!$I$260=""),"",ROUND(O23*$C23*(MEMORIA_RESULTADOS!$I$260-1),2))</f>
        <v/>
      </c>
      <c r="AZ23">
        <f>IF(OR($A23="",AX23="",MEMORIA_RESULTADOS!$I$260=""),"",ROUND(AX23*$C23*(parametros!$F$4-MEMORIA_RESULTADOS!$I$260),2))</f>
        <v/>
      </c>
      <c r="BA23">
        <f>IF($A23="","",ROUND(SUMIFS(itens_Consumidos!$K$2:$K$200,itens_Consumidos!$A$2:$A$200,$A23),2))</f>
        <v/>
      </c>
      <c r="BB23">
        <f>IF(OR($A23="",Q23=""),"",ROUND(MAX(Q23-BA23,0),2))</f>
        <v/>
      </c>
      <c r="BC23">
        <f>IF(OR($A23="",Q23="",MEMORIA_RESULTADOS!$I$261=""),"",ROUND(Q23*$C23*(MEMORIA_RESULTADOS!$I$261-1),2))</f>
        <v/>
      </c>
      <c r="BD23">
        <f>IF(OR($A23="",BB23="",MEMORIA_RESULTADOS!$I$261=""),"",ROUND(BB23*$C23*(parametros!$F$5-MEMORIA_RESULTADOS!$I$261),2))</f>
        <v/>
      </c>
      <c r="BE23">
        <f>IF($A23="","",ROUND(SUMIFS(itens_Consumidos!$M$2:$M$200,itens_Consumidos!$A$2:$A$200,$A23),2))</f>
        <v/>
      </c>
      <c r="BF23">
        <f>IF(OR($A23="",S23=""),"",ROUND(MAX(S23-BE23,0),2))</f>
        <v/>
      </c>
      <c r="BG23">
        <f>IF(OR($A23="",S23="",MEMORIA_RESULTADOS!$I$262=""),"",ROUND(S23*$C23*(MEMORIA_RESULTADOS!$I$262-1),2))</f>
        <v/>
      </c>
      <c r="BH23">
        <f>IF(OR($A23="",BF23="",MEMORIA_RESULTADOS!$I$262=""),"",ROUND(BF23*$C23*(parametros!$F$6-MEMORIA_RESULTADOS!$I$262),2))</f>
        <v/>
      </c>
    </row>
    <row r="24">
      <c r="A24" s="86" t="n"/>
      <c r="B24" s="87">
        <f>IF(AND(LEN(TRIM($A24))=4,LEFT(TRIM($A24),1)="N",ISNUMBER(--MID(TRIM($A24),2,3)),ISERROR(FIND(".",$A24)),ISERROR(FIND(",",$A24)),ISERROR(FIND("-",$A24)),ISERROR(FIND("+",$A24)),ISERROR(SEARCH("E",$A24,2)),ISERROR(FIND(" ",TRIM($A24)))),0,"")</f>
        <v/>
      </c>
      <c r="C24" s="339" t="n"/>
      <c r="D24" s="335">
        <f>IF(AND(A24="",A23&lt;&gt;"",COUNTIF(A25:$A$200,"&lt;&gt;")=0),ROUND(SUMIF($A$2:A23,"&lt;&gt;",$D$2:D23),2),IF(OR(A24="",B24="",C24=""),"",ROUND(B24*C24,2)))</f>
        <v/>
      </c>
      <c r="E24" s="89" t="n"/>
      <c r="F24" s="335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 t="n"/>
      <c r="H24" s="335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 t="n"/>
      <c r="J24" s="335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 t="n"/>
      <c r="L24" s="335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>
        <f>IF(OR(posicao_contratual!J24="",posicao_contratual!N24=""),"",ROUND(MAX(posicao_contratual!J24+posicao_contratual!H24-posicao_contratual!N24,0),2))</f>
        <v/>
      </c>
      <c r="N24" s="335">
        <f>IF(AND(A24="",A23&lt;&gt;"",COUNTIF(A25:$A$200,"&lt;&gt;")=0),ROUND(SUMIF($A$2:A23,"&lt;&gt;",$N$2:N23),2),IF(OR(M24="",C24="",NOT(ISNUMBER($Z$3))),"",ROUND(M24*C24*$Z$3,2)))</f>
        <v/>
      </c>
      <c r="O24" s="90">
        <f>IF(OR(posicao_contratual!N24="",posicao_contratual!R24=""),"",ROUND(MAX(posicao_contratual!N24+posicao_contratual!L24-posicao_contratual!R24,0),2))</f>
        <v/>
      </c>
      <c r="P24" s="335">
        <f>IF(AND(A24="",A23&lt;&gt;"",COUNTIF(A25:$A$200,"&lt;&gt;")=0),ROUND(SUMIF($A$2:A23,"&lt;&gt;",$P$2:P23),2),IF(OR(O24="",C24="",NOT(ISNUMBER($Z$4))),"",ROUND(O24*C24*$Z$4,2)))</f>
        <v/>
      </c>
      <c r="Q24" s="90">
        <f>IF(OR(posicao_contratual!R24="",posicao_contratual!V24=""),"",ROUND(MAX(posicao_contratual!R24+posicao_contratual!P24-posicao_contratual!V24,0),2))</f>
        <v/>
      </c>
      <c r="R24" s="335">
        <f>IF(AND(A24="",A23&lt;&gt;"",COUNTIF(A25:$A$200,"&lt;&gt;")=0),ROUND(SUMIF($A$2:A23,"&lt;&gt;",$R$2:R23),2),IF(OR(Q24="",C24="",NOT(ISNUMBER($Z$5))),"",ROUND(Q24*C24*$Z$5,2)))</f>
        <v/>
      </c>
      <c r="S24" s="22" t="n"/>
      <c r="T24" s="340" t="n"/>
      <c r="U24" s="91">
        <f>IF(AND(A24="",A23&lt;&gt;"",COUNTIF(A25:$A$200,"&lt;&gt;")=0),"TOTAL",IF(A24="","",posicao_contratual!X24))</f>
        <v/>
      </c>
      <c r="V24" s="91">
        <f>IF(A24="","",posicao_contratual!X24)</f>
        <v/>
      </c>
      <c r="W24" s="14" t="n"/>
      <c r="X24" s="14" t="n"/>
      <c r="Y24" s="14" t="n"/>
      <c r="Z24" s="13" t="n"/>
      <c r="AA24" s="13" t="n"/>
      <c r="AB24" s="90">
        <f>IF(OR(A24="",posicao_contratual!E24="",posicao_contratual!J24=""),"",ROUND(MAX(posicao_contratual!E24-posicao_contratual!J24,0),2))</f>
        <v/>
      </c>
      <c r="AC24" s="335">
        <f>IF(AND(A24="",A23&lt;&gt;"",COUNTIF(A25:$A$200,"&lt;&gt;")=0),ROUND(SUMIF($A$2:A23,"&lt;&gt;",$AC$2:AC23),2),IF(OR(AB24="",C24="",NOT(ISNUMBER($Z$2))),"",ROUND(AB24*C24*$Z$2,2)))</f>
        <v/>
      </c>
      <c r="AD24" s="155">
        <f>IF(A24="","",posicao_contratual!E24)</f>
        <v/>
      </c>
      <c r="AE24" s="155">
        <f>IF(A24="","",posicao_contratual!I24)</f>
        <v/>
      </c>
      <c r="AF24" s="155">
        <f>IF(A24="","",posicao_contratual!M24)</f>
        <v/>
      </c>
      <c r="AG24" s="155">
        <f>IF(A24="","",posicao_contratual!Q24)</f>
        <v/>
      </c>
      <c r="AH24" s="155">
        <f>IF(A24="","",posicao_contratual!U24)</f>
        <v/>
      </c>
      <c r="AI24" s="155">
        <f>IF(A24="","",posicao_contratual!G24)</f>
        <v/>
      </c>
      <c r="AJ24" s="155">
        <f>IF(A24="","",posicao_contratual!K24)</f>
        <v/>
      </c>
      <c r="AK24" s="155">
        <f>IF(A24="","",posicao_contratual!O24)</f>
        <v/>
      </c>
      <c r="AL24" s="155">
        <f>IF(A24="","",posicao_contratual!S24)</f>
        <v/>
      </c>
      <c r="AM24" s="155">
        <f>IF(A24="","",posicao_contratual!W24)</f>
        <v/>
      </c>
      <c r="AN24" s="156">
        <f>IF(A24="","",posicao_contratual!X24)</f>
        <v/>
      </c>
      <c r="AO24">
        <f>IF($A24="","",ROUND(SUMIFS(itens_Consumidos!$E$2:$E$200,itens_Consumidos!$A$2:$A$200,$A24),2))</f>
        <v/>
      </c>
      <c r="AP24">
        <f>IF(OR($A24="",AB24=""),"",ROUND(MAX(AB24-AO24,0),2))</f>
        <v/>
      </c>
      <c r="AQ24">
        <f>IF(OR($A24="",AB24="",MEMORIA_RESULTADOS!$I$258=""),"",ROUND(AB24*$C24*(MEMORIA_RESULTADOS!$I$258-1),2))</f>
        <v/>
      </c>
      <c r="AR24">
        <f>IF(OR($A24="",AP24="",MEMORIA_RESULTADOS!$I$258=""),"",ROUND(AP24*$C24*(parametros!$F$2-MEMORIA_RESULTADOS!$I$258),2))</f>
        <v/>
      </c>
      <c r="AS24">
        <f>IF($A24="","",ROUND(SUMIFS(itens_Consumidos!$G$2:$G$200,itens_Consumidos!$A$2:$A$200,$A24),2))</f>
        <v/>
      </c>
      <c r="AT24">
        <f>IF(OR($A24="",M24=""),"",ROUND(MAX(M24-AS24,0),2))</f>
        <v/>
      </c>
      <c r="AU24">
        <f>IF(OR($A24="",M24="",MEMORIA_RESULTADOS!$I$259=""),"",ROUND(M24*$C24*(MEMORIA_RESULTADOS!$I$259-1),2))</f>
        <v/>
      </c>
      <c r="AV24">
        <f>IF(OR($A24="",AT24="",MEMORIA_RESULTADOS!$I$259=""),"",ROUND(AT24*$C24*(parametros!$F$3-MEMORIA_RESULTADOS!$I$259),2))</f>
        <v/>
      </c>
      <c r="AW24">
        <f>IF($A24="","",ROUND(SUMIFS(itens_Consumidos!$I$2:$I$200,itens_Consumidos!$A$2:$A$200,$A24),2))</f>
        <v/>
      </c>
      <c r="AX24">
        <f>IF(OR($A24="",O24=""),"",ROUND(MAX(O24-AW24,0),2))</f>
        <v/>
      </c>
      <c r="AY24">
        <f>IF(OR($A24="",O24="",MEMORIA_RESULTADOS!$I$260=""),"",ROUND(O24*$C24*(MEMORIA_RESULTADOS!$I$260-1),2))</f>
        <v/>
      </c>
      <c r="AZ24">
        <f>IF(OR($A24="",AX24="",MEMORIA_RESULTADOS!$I$260=""),"",ROUND(AX24*$C24*(parametros!$F$4-MEMORIA_RESULTADOS!$I$260),2))</f>
        <v/>
      </c>
      <c r="BA24">
        <f>IF($A24="","",ROUND(SUMIFS(itens_Consumidos!$K$2:$K$200,itens_Consumidos!$A$2:$A$200,$A24),2))</f>
        <v/>
      </c>
      <c r="BB24">
        <f>IF(OR($A24="",Q24=""),"",ROUND(MAX(Q24-BA24,0),2))</f>
        <v/>
      </c>
      <c r="BC24">
        <f>IF(OR($A24="",Q24="",MEMORIA_RESULTADOS!$I$261=""),"",ROUND(Q24*$C24*(MEMORIA_RESULTADOS!$I$261-1),2))</f>
        <v/>
      </c>
      <c r="BD24">
        <f>IF(OR($A24="",BB24="",MEMORIA_RESULTADOS!$I$261=""),"",ROUND(BB24*$C24*(parametros!$F$5-MEMORIA_RESULTADOS!$I$261),2))</f>
        <v/>
      </c>
      <c r="BE24">
        <f>IF($A24="","",ROUND(SUMIFS(itens_Consumidos!$M$2:$M$200,itens_Consumidos!$A$2:$A$200,$A24),2))</f>
        <v/>
      </c>
      <c r="BF24">
        <f>IF(OR($A24="",S24=""),"",ROUND(MAX(S24-BE24,0),2))</f>
        <v/>
      </c>
      <c r="BG24">
        <f>IF(OR($A24="",S24="",MEMORIA_RESULTADOS!$I$262=""),"",ROUND(S24*$C24*(MEMORIA_RESULTADOS!$I$262-1),2))</f>
        <v/>
      </c>
      <c r="BH24">
        <f>IF(OR($A24="",BF24="",MEMORIA_RESULTADOS!$I$262=""),"",ROUND(BF24*$C24*(parametros!$F$6-MEMORIA_RESULTADOS!$I$262),2))</f>
        <v/>
      </c>
    </row>
    <row r="25">
      <c r="A25" s="86" t="n"/>
      <c r="B25" s="87">
        <f>IF(AND(LEN(TRIM($A25))=4,LEFT(TRIM($A25),1)="N",ISNUMBER(--MID(TRIM($A25),2,3)),ISERROR(FIND(".",$A25)),ISERROR(FIND(",",$A25)),ISERROR(FIND("-",$A25)),ISERROR(FIND("+",$A25)),ISERROR(SEARCH("E",$A25,2)),ISERROR(FIND(" ",TRIM($A25)))),0,"")</f>
        <v/>
      </c>
      <c r="C25" s="339" t="n"/>
      <c r="D25" s="335">
        <f>IF(AND(A25="",A24&lt;&gt;"",COUNTIF(A26:$A$200,"&lt;&gt;")=0),ROUND(SUMIF($A$2:A24,"&lt;&gt;",$D$2:D24),2),IF(OR(A25="",B25="",C25=""),"",ROUND(B25*C25,2)))</f>
        <v/>
      </c>
      <c r="E25" s="89" t="n"/>
      <c r="F25" s="335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 t="n"/>
      <c r="H25" s="335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 t="n"/>
      <c r="J25" s="335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 t="n"/>
      <c r="L25" s="335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>
        <f>IF(OR(posicao_contratual!J25="",posicao_contratual!N25=""),"",ROUND(MAX(posicao_contratual!J25+posicao_contratual!H25-posicao_contratual!N25,0),2))</f>
        <v/>
      </c>
      <c r="N25" s="335">
        <f>IF(AND(A25="",A24&lt;&gt;"",COUNTIF(A26:$A$200,"&lt;&gt;")=0),ROUND(SUMIF($A$2:A24,"&lt;&gt;",$N$2:N24),2),IF(OR(M25="",C25="",NOT(ISNUMBER($Z$3))),"",ROUND(M25*C25*$Z$3,2)))</f>
        <v/>
      </c>
      <c r="O25" s="90">
        <f>IF(OR(posicao_contratual!N25="",posicao_contratual!R25=""),"",ROUND(MAX(posicao_contratual!N25+posicao_contratual!L25-posicao_contratual!R25,0),2))</f>
        <v/>
      </c>
      <c r="P25" s="335">
        <f>IF(AND(A25="",A24&lt;&gt;"",COUNTIF(A26:$A$200,"&lt;&gt;")=0),ROUND(SUMIF($A$2:A24,"&lt;&gt;",$P$2:P24),2),IF(OR(O25="",C25="",NOT(ISNUMBER($Z$4))),"",ROUND(O25*C25*$Z$4,2)))</f>
        <v/>
      </c>
      <c r="Q25" s="90">
        <f>IF(OR(posicao_contratual!R25="",posicao_contratual!V25=""),"",ROUND(MAX(posicao_contratual!R25+posicao_contratual!P25-posicao_contratual!V25,0),2))</f>
        <v/>
      </c>
      <c r="R25" s="335">
        <f>IF(AND(A25="",A24&lt;&gt;"",COUNTIF(A26:$A$200,"&lt;&gt;")=0),ROUND(SUMIF($A$2:A24,"&lt;&gt;",$R$2:R24),2),IF(OR(Q25="",C25="",NOT(ISNUMBER($Z$5))),"",ROUND(Q25*C25*$Z$5,2)))</f>
        <v/>
      </c>
      <c r="S25" s="22" t="n"/>
      <c r="T25" s="340" t="n"/>
      <c r="U25" s="91">
        <f>IF(AND(A25="",A24&lt;&gt;"",COUNTIF(A26:$A$200,"&lt;&gt;")=0),"TOTAL",IF(A25="","",posicao_contratual!X25))</f>
        <v/>
      </c>
      <c r="V25" s="91">
        <f>IF(A25="","",posicao_contratual!X25)</f>
        <v/>
      </c>
      <c r="W25" s="14" t="n"/>
      <c r="X25" s="14" t="n"/>
      <c r="Y25" s="14" t="n"/>
      <c r="Z25" s="13" t="n"/>
      <c r="AA25" s="13" t="n"/>
      <c r="AB25" s="90">
        <f>IF(OR(A25="",posicao_contratual!E25="",posicao_contratual!J25=""),"",ROUND(MAX(posicao_contratual!E25-posicao_contratual!J25,0),2))</f>
        <v/>
      </c>
      <c r="AC25" s="335">
        <f>IF(AND(A25="",A24&lt;&gt;"",COUNTIF(A26:$A$200,"&lt;&gt;")=0),ROUND(SUMIF($A$2:A24,"&lt;&gt;",$AC$2:AC24),2),IF(OR(AB25="",C25="",NOT(ISNUMBER($Z$2))),"",ROUND(AB25*C25*$Z$2,2)))</f>
        <v/>
      </c>
      <c r="AD25" s="155">
        <f>IF(A25="","",posicao_contratual!E25)</f>
        <v/>
      </c>
      <c r="AE25" s="155">
        <f>IF(A25="","",posicao_contratual!I25)</f>
        <v/>
      </c>
      <c r="AF25" s="155">
        <f>IF(A25="","",posicao_contratual!M25)</f>
        <v/>
      </c>
      <c r="AG25" s="155">
        <f>IF(A25="","",posicao_contratual!Q25)</f>
        <v/>
      </c>
      <c r="AH25" s="155">
        <f>IF(A25="","",posicao_contratual!U25)</f>
        <v/>
      </c>
      <c r="AI25" s="155">
        <f>IF(A25="","",posicao_contratual!G25)</f>
        <v/>
      </c>
      <c r="AJ25" s="155">
        <f>IF(A25="","",posicao_contratual!K25)</f>
        <v/>
      </c>
      <c r="AK25" s="155">
        <f>IF(A25="","",posicao_contratual!O25)</f>
        <v/>
      </c>
      <c r="AL25" s="155">
        <f>IF(A25="","",posicao_contratual!S25)</f>
        <v/>
      </c>
      <c r="AM25" s="155">
        <f>IF(A25="","",posicao_contratual!W25)</f>
        <v/>
      </c>
      <c r="AN25" s="156">
        <f>IF(A25="","",posicao_contratual!X25)</f>
        <v/>
      </c>
      <c r="AO25">
        <f>IF($A25="","",ROUND(SUMIFS(itens_Consumidos!$E$2:$E$200,itens_Consumidos!$A$2:$A$200,$A25),2))</f>
        <v/>
      </c>
      <c r="AP25">
        <f>IF(OR($A25="",AB25=""),"",ROUND(MAX(AB25-AO25,0),2))</f>
        <v/>
      </c>
      <c r="AQ25">
        <f>IF(OR($A25="",AB25="",MEMORIA_RESULTADOS!$I$258=""),"",ROUND(AB25*$C25*(MEMORIA_RESULTADOS!$I$258-1),2))</f>
        <v/>
      </c>
      <c r="AR25">
        <f>IF(OR($A25="",AP25="",MEMORIA_RESULTADOS!$I$258=""),"",ROUND(AP25*$C25*(parametros!$F$2-MEMORIA_RESULTADOS!$I$258),2))</f>
        <v/>
      </c>
      <c r="AS25">
        <f>IF($A25="","",ROUND(SUMIFS(itens_Consumidos!$G$2:$G$200,itens_Consumidos!$A$2:$A$200,$A25),2))</f>
        <v/>
      </c>
      <c r="AT25">
        <f>IF(OR($A25="",M25=""),"",ROUND(MAX(M25-AS25,0),2))</f>
        <v/>
      </c>
      <c r="AU25">
        <f>IF(OR($A25="",M25="",MEMORIA_RESULTADOS!$I$259=""),"",ROUND(M25*$C25*(MEMORIA_RESULTADOS!$I$259-1),2))</f>
        <v/>
      </c>
      <c r="AV25">
        <f>IF(OR($A25="",AT25="",MEMORIA_RESULTADOS!$I$259=""),"",ROUND(AT25*$C25*(parametros!$F$3-MEMORIA_RESULTADOS!$I$259),2))</f>
        <v/>
      </c>
      <c r="AW25">
        <f>IF($A25="","",ROUND(SUMIFS(itens_Consumidos!$I$2:$I$200,itens_Consumidos!$A$2:$A$200,$A25),2))</f>
        <v/>
      </c>
      <c r="AX25">
        <f>IF(OR($A25="",O25=""),"",ROUND(MAX(O25-AW25,0),2))</f>
        <v/>
      </c>
      <c r="AY25">
        <f>IF(OR($A25="",O25="",MEMORIA_RESULTADOS!$I$260=""),"",ROUND(O25*$C25*(MEMORIA_RESULTADOS!$I$260-1),2))</f>
        <v/>
      </c>
      <c r="AZ25">
        <f>IF(OR($A25="",AX25="",MEMORIA_RESULTADOS!$I$260=""),"",ROUND(AX25*$C25*(parametros!$F$4-MEMORIA_RESULTADOS!$I$260),2))</f>
        <v/>
      </c>
      <c r="BA25">
        <f>IF($A25="","",ROUND(SUMIFS(itens_Consumidos!$K$2:$K$200,itens_Consumidos!$A$2:$A$200,$A25),2))</f>
        <v/>
      </c>
      <c r="BB25">
        <f>IF(OR($A25="",Q25=""),"",ROUND(MAX(Q25-BA25,0),2))</f>
        <v/>
      </c>
      <c r="BC25">
        <f>IF(OR($A25="",Q25="",MEMORIA_RESULTADOS!$I$261=""),"",ROUND(Q25*$C25*(MEMORIA_RESULTADOS!$I$261-1),2))</f>
        <v/>
      </c>
      <c r="BD25">
        <f>IF(OR($A25="",BB25="",MEMORIA_RESULTADOS!$I$261=""),"",ROUND(BB25*$C25*(parametros!$F$5-MEMORIA_RESULTADOS!$I$261),2))</f>
        <v/>
      </c>
      <c r="BE25">
        <f>IF($A25="","",ROUND(SUMIFS(itens_Consumidos!$M$2:$M$200,itens_Consumidos!$A$2:$A$200,$A25),2))</f>
        <v/>
      </c>
      <c r="BF25">
        <f>IF(OR($A25="",S25=""),"",ROUND(MAX(S25-BE25,0),2))</f>
        <v/>
      </c>
      <c r="BG25">
        <f>IF(OR($A25="",S25="",MEMORIA_RESULTADOS!$I$262=""),"",ROUND(S25*$C25*(MEMORIA_RESULTADOS!$I$262-1),2))</f>
        <v/>
      </c>
      <c r="BH25">
        <f>IF(OR($A25="",BF25="",MEMORIA_RESULTADOS!$I$262=""),"",ROUND(BF25*$C25*(parametros!$F$6-MEMORIA_RESULTADOS!$I$262),2))</f>
        <v/>
      </c>
    </row>
    <row r="26">
      <c r="A26" s="86" t="n"/>
      <c r="B26" s="87">
        <f>IF(AND(LEN(TRIM($A26))=4,LEFT(TRIM($A26),1)="N",ISNUMBER(--MID(TRIM($A26),2,3)),ISERROR(FIND(".",$A26)),ISERROR(FIND(",",$A26)),ISERROR(FIND("-",$A26)),ISERROR(FIND("+",$A26)),ISERROR(SEARCH("E",$A26,2)),ISERROR(FIND(" ",TRIM($A26)))),0,"")</f>
        <v/>
      </c>
      <c r="C26" s="339" t="n"/>
      <c r="D26" s="335">
        <f>IF(AND(A26="",A25&lt;&gt;"",COUNTIF(A27:$A$200,"&lt;&gt;")=0),ROUND(SUMIF($A$2:A25,"&lt;&gt;",$D$2:D25),2),IF(OR(A26="",B26="",C26=""),"",ROUND(B26*C26,2)))</f>
        <v/>
      </c>
      <c r="E26" s="89" t="n"/>
      <c r="F26" s="335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 t="n"/>
      <c r="H26" s="335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 t="n"/>
      <c r="J26" s="335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 t="n"/>
      <c r="L26" s="335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>
        <f>IF(OR(posicao_contratual!J26="",posicao_contratual!N26=""),"",ROUND(MAX(posicao_contratual!J26+posicao_contratual!H26-posicao_contratual!N26,0),2))</f>
        <v/>
      </c>
      <c r="N26" s="335">
        <f>IF(AND(A26="",A25&lt;&gt;"",COUNTIF(A27:$A$200,"&lt;&gt;")=0),ROUND(SUMIF($A$2:A25,"&lt;&gt;",$N$2:N25),2),IF(OR(M26="",C26="",NOT(ISNUMBER($Z$3))),"",ROUND(M26*C26*$Z$3,2)))</f>
        <v/>
      </c>
      <c r="O26" s="90">
        <f>IF(OR(posicao_contratual!N26="",posicao_contratual!R26=""),"",ROUND(MAX(posicao_contratual!N26+posicao_contratual!L26-posicao_contratual!R26,0),2))</f>
        <v/>
      </c>
      <c r="P26" s="335">
        <f>IF(AND(A26="",A25&lt;&gt;"",COUNTIF(A27:$A$200,"&lt;&gt;")=0),ROUND(SUMIF($A$2:A25,"&lt;&gt;",$P$2:P25),2),IF(OR(O26="",C26="",NOT(ISNUMBER($Z$4))),"",ROUND(O26*C26*$Z$4,2)))</f>
        <v/>
      </c>
      <c r="Q26" s="90">
        <f>IF(OR(posicao_contratual!R26="",posicao_contratual!V26=""),"",ROUND(MAX(posicao_contratual!R26+posicao_contratual!P26-posicao_contratual!V26,0),2))</f>
        <v/>
      </c>
      <c r="R26" s="335">
        <f>IF(AND(A26="",A25&lt;&gt;"",COUNTIF(A27:$A$200,"&lt;&gt;")=0),ROUND(SUMIF($A$2:A25,"&lt;&gt;",$R$2:R25),2),IF(OR(Q26="",C26="",NOT(ISNUMBER($Z$5))),"",ROUND(Q26*C26*$Z$5,2)))</f>
        <v/>
      </c>
      <c r="S26" s="22" t="n"/>
      <c r="T26" s="340" t="n"/>
      <c r="U26" s="91">
        <f>IF(AND(A26="",A25&lt;&gt;"",COUNTIF(A27:$A$200,"&lt;&gt;")=0),"TOTAL",IF(A26="","",posicao_contratual!X26))</f>
        <v/>
      </c>
      <c r="V26" s="91">
        <f>IF(A26="","",posicao_contratual!X26)</f>
        <v/>
      </c>
      <c r="W26" s="14" t="n"/>
      <c r="X26" s="14" t="n"/>
      <c r="Y26" s="14" t="n"/>
      <c r="Z26" s="13" t="n"/>
      <c r="AA26" s="13" t="n"/>
      <c r="AB26" s="90">
        <f>IF(OR(A26="",posicao_contratual!E26="",posicao_contratual!J26=""),"",ROUND(MAX(posicao_contratual!E26-posicao_contratual!J26,0),2))</f>
        <v/>
      </c>
      <c r="AC26" s="335">
        <f>IF(AND(A26="",A25&lt;&gt;"",COUNTIF(A27:$A$200,"&lt;&gt;")=0),ROUND(SUMIF($A$2:A25,"&lt;&gt;",$AC$2:AC25),2),IF(OR(AB26="",C26="",NOT(ISNUMBER($Z$2))),"",ROUND(AB26*C26*$Z$2,2)))</f>
        <v/>
      </c>
      <c r="AD26" s="155">
        <f>IF(A26="","",posicao_contratual!E26)</f>
        <v/>
      </c>
      <c r="AE26" s="155">
        <f>IF(A26="","",posicao_contratual!I26)</f>
        <v/>
      </c>
      <c r="AF26" s="155">
        <f>IF(A26="","",posicao_contratual!M26)</f>
        <v/>
      </c>
      <c r="AG26" s="155">
        <f>IF(A26="","",posicao_contratual!Q26)</f>
        <v/>
      </c>
      <c r="AH26" s="155">
        <f>IF(A26="","",posicao_contratual!U26)</f>
        <v/>
      </c>
      <c r="AI26" s="155">
        <f>IF(A26="","",posicao_contratual!G26)</f>
        <v/>
      </c>
      <c r="AJ26" s="155">
        <f>IF(A26="","",posicao_contratual!K26)</f>
        <v/>
      </c>
      <c r="AK26" s="155">
        <f>IF(A26="","",posicao_contratual!O26)</f>
        <v/>
      </c>
      <c r="AL26" s="155">
        <f>IF(A26="","",posicao_contratual!S26)</f>
        <v/>
      </c>
      <c r="AM26" s="155">
        <f>IF(A26="","",posicao_contratual!W26)</f>
        <v/>
      </c>
      <c r="AN26" s="156">
        <f>IF(A26="","",posicao_contratual!X26)</f>
        <v/>
      </c>
      <c r="AO26">
        <f>IF($A26="","",ROUND(SUMIFS(itens_Consumidos!$E$2:$E$200,itens_Consumidos!$A$2:$A$200,$A26),2))</f>
        <v/>
      </c>
      <c r="AP26">
        <f>IF(OR($A26="",AB26=""),"",ROUND(MAX(AB26-AO26,0),2))</f>
        <v/>
      </c>
      <c r="AQ26">
        <f>IF(OR($A26="",AB26="",MEMORIA_RESULTADOS!$I$258=""),"",ROUND(AB26*$C26*(MEMORIA_RESULTADOS!$I$258-1),2))</f>
        <v/>
      </c>
      <c r="AR26">
        <f>IF(OR($A26="",AP26="",MEMORIA_RESULTADOS!$I$258=""),"",ROUND(AP26*$C26*(parametros!$F$2-MEMORIA_RESULTADOS!$I$258),2))</f>
        <v/>
      </c>
      <c r="AS26">
        <f>IF($A26="","",ROUND(SUMIFS(itens_Consumidos!$G$2:$G$200,itens_Consumidos!$A$2:$A$200,$A26),2))</f>
        <v/>
      </c>
      <c r="AT26">
        <f>IF(OR($A26="",M26=""),"",ROUND(MAX(M26-AS26,0),2))</f>
        <v/>
      </c>
      <c r="AU26">
        <f>IF(OR($A26="",M26="",MEMORIA_RESULTADOS!$I$259=""),"",ROUND(M26*$C26*(MEMORIA_RESULTADOS!$I$259-1),2))</f>
        <v/>
      </c>
      <c r="AV26">
        <f>IF(OR($A26="",AT26="",MEMORIA_RESULTADOS!$I$259=""),"",ROUND(AT26*$C26*(parametros!$F$3-MEMORIA_RESULTADOS!$I$259),2))</f>
        <v/>
      </c>
      <c r="AW26">
        <f>IF($A26="","",ROUND(SUMIFS(itens_Consumidos!$I$2:$I$200,itens_Consumidos!$A$2:$A$200,$A26),2))</f>
        <v/>
      </c>
      <c r="AX26">
        <f>IF(OR($A26="",O26=""),"",ROUND(MAX(O26-AW26,0),2))</f>
        <v/>
      </c>
      <c r="AY26">
        <f>IF(OR($A26="",O26="",MEMORIA_RESULTADOS!$I$260=""),"",ROUND(O26*$C26*(MEMORIA_RESULTADOS!$I$260-1),2))</f>
        <v/>
      </c>
      <c r="AZ26">
        <f>IF(OR($A26="",AX26="",MEMORIA_RESULTADOS!$I$260=""),"",ROUND(AX26*$C26*(parametros!$F$4-MEMORIA_RESULTADOS!$I$260),2))</f>
        <v/>
      </c>
      <c r="BA26">
        <f>IF($A26="","",ROUND(SUMIFS(itens_Consumidos!$K$2:$K$200,itens_Consumidos!$A$2:$A$200,$A26),2))</f>
        <v/>
      </c>
      <c r="BB26">
        <f>IF(OR($A26="",Q26=""),"",ROUND(MAX(Q26-BA26,0),2))</f>
        <v/>
      </c>
      <c r="BC26">
        <f>IF(OR($A26="",Q26="",MEMORIA_RESULTADOS!$I$261=""),"",ROUND(Q26*$C26*(MEMORIA_RESULTADOS!$I$261-1),2))</f>
        <v/>
      </c>
      <c r="BD26">
        <f>IF(OR($A26="",BB26="",MEMORIA_RESULTADOS!$I$261=""),"",ROUND(BB26*$C26*(parametros!$F$5-MEMORIA_RESULTADOS!$I$261),2))</f>
        <v/>
      </c>
      <c r="BE26">
        <f>IF($A26="","",ROUND(SUMIFS(itens_Consumidos!$M$2:$M$200,itens_Consumidos!$A$2:$A$200,$A26),2))</f>
        <v/>
      </c>
      <c r="BF26">
        <f>IF(OR($A26="",S26=""),"",ROUND(MAX(S26-BE26,0),2))</f>
        <v/>
      </c>
      <c r="BG26">
        <f>IF(OR($A26="",S26="",MEMORIA_RESULTADOS!$I$262=""),"",ROUND(S26*$C26*(MEMORIA_RESULTADOS!$I$262-1),2))</f>
        <v/>
      </c>
      <c r="BH26">
        <f>IF(OR($A26="",BF26="",MEMORIA_RESULTADOS!$I$262=""),"",ROUND(BF26*$C26*(parametros!$F$6-MEMORIA_RESULTADOS!$I$262),2))</f>
        <v/>
      </c>
    </row>
    <row r="27">
      <c r="A27" s="86" t="n"/>
      <c r="B27" s="87">
        <f>IF(AND(LEN(TRIM($A27))=4,LEFT(TRIM($A27),1)="N",ISNUMBER(--MID(TRIM($A27),2,3)),ISERROR(FIND(".",$A27)),ISERROR(FIND(",",$A27)),ISERROR(FIND("-",$A27)),ISERROR(FIND("+",$A27)),ISERROR(SEARCH("E",$A27,2)),ISERROR(FIND(" ",TRIM($A27)))),0,"")</f>
        <v/>
      </c>
      <c r="C27" s="339" t="n"/>
      <c r="D27" s="335">
        <f>IF(AND(A27="",A26&lt;&gt;"",COUNTIF(A28:$A$200,"&lt;&gt;")=0),ROUND(SUMIF($A$2:A26,"&lt;&gt;",$D$2:D26),2),IF(OR(A27="",B27="",C27=""),"",ROUND(B27*C27,2)))</f>
        <v/>
      </c>
      <c r="E27" s="89" t="n"/>
      <c r="F27" s="335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 t="n"/>
      <c r="H27" s="335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 t="n"/>
      <c r="J27" s="335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 t="n"/>
      <c r="L27" s="335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>
        <f>IF(OR(posicao_contratual!J27="",posicao_contratual!N27=""),"",ROUND(MAX(posicao_contratual!J27+posicao_contratual!H27-posicao_contratual!N27,0),2))</f>
        <v/>
      </c>
      <c r="N27" s="335">
        <f>IF(AND(A27="",A26&lt;&gt;"",COUNTIF(A28:$A$200,"&lt;&gt;")=0),ROUND(SUMIF($A$2:A26,"&lt;&gt;",$N$2:N26),2),IF(OR(M27="",C27="",NOT(ISNUMBER($Z$3))),"",ROUND(M27*C27*$Z$3,2)))</f>
        <v/>
      </c>
      <c r="O27" s="90">
        <f>IF(OR(posicao_contratual!N27="",posicao_contratual!R27=""),"",ROUND(MAX(posicao_contratual!N27+posicao_contratual!L27-posicao_contratual!R27,0),2))</f>
        <v/>
      </c>
      <c r="P27" s="335">
        <f>IF(AND(A27="",A26&lt;&gt;"",COUNTIF(A28:$A$200,"&lt;&gt;")=0),ROUND(SUMIF($A$2:A26,"&lt;&gt;",$P$2:P26),2),IF(OR(O27="",C27="",NOT(ISNUMBER($Z$4))),"",ROUND(O27*C27*$Z$4,2)))</f>
        <v/>
      </c>
      <c r="Q27" s="90">
        <f>IF(OR(posicao_contratual!R27="",posicao_contratual!V27=""),"",ROUND(MAX(posicao_contratual!R27+posicao_contratual!P27-posicao_contratual!V27,0),2))</f>
        <v/>
      </c>
      <c r="R27" s="335">
        <f>IF(AND(A27="",A26&lt;&gt;"",COUNTIF(A28:$A$200,"&lt;&gt;")=0),ROUND(SUMIF($A$2:A26,"&lt;&gt;",$R$2:R26),2),IF(OR(Q27="",C27="",NOT(ISNUMBER($Z$5))),"",ROUND(Q27*C27*$Z$5,2)))</f>
        <v/>
      </c>
      <c r="S27" s="22" t="n"/>
      <c r="T27" s="340" t="n"/>
      <c r="U27" s="91">
        <f>IF(AND(A27="",A26&lt;&gt;"",COUNTIF(A28:$A$200,"&lt;&gt;")=0),"TOTAL",IF(A27="","",posicao_contratual!X27))</f>
        <v/>
      </c>
      <c r="V27" s="91">
        <f>IF(A27="","",posicao_contratual!X27)</f>
        <v/>
      </c>
      <c r="W27" s="14" t="n"/>
      <c r="X27" s="14" t="n"/>
      <c r="Y27" s="14" t="n"/>
      <c r="Z27" s="13" t="n"/>
      <c r="AA27" s="13" t="n"/>
      <c r="AB27" s="90">
        <f>IF(OR(A27="",posicao_contratual!E27="",posicao_contratual!J27=""),"",ROUND(MAX(posicao_contratual!E27-posicao_contratual!J27,0),2))</f>
        <v/>
      </c>
      <c r="AC27" s="335">
        <f>IF(AND(A27="",A26&lt;&gt;"",COUNTIF(A28:$A$200,"&lt;&gt;")=0),ROUND(SUMIF($A$2:A26,"&lt;&gt;",$AC$2:AC26),2),IF(OR(AB27="",C27="",NOT(ISNUMBER($Z$2))),"",ROUND(AB27*C27*$Z$2,2)))</f>
        <v/>
      </c>
      <c r="AD27" s="155">
        <f>IF(A27="","",posicao_contratual!E27)</f>
        <v/>
      </c>
      <c r="AE27" s="155">
        <f>IF(A27="","",posicao_contratual!I27)</f>
        <v/>
      </c>
      <c r="AF27" s="155">
        <f>IF(A27="","",posicao_contratual!M27)</f>
        <v/>
      </c>
      <c r="AG27" s="155">
        <f>IF(A27="","",posicao_contratual!Q27)</f>
        <v/>
      </c>
      <c r="AH27" s="155">
        <f>IF(A27="","",posicao_contratual!U27)</f>
        <v/>
      </c>
      <c r="AI27" s="155">
        <f>IF(A27="","",posicao_contratual!G27)</f>
        <v/>
      </c>
      <c r="AJ27" s="155">
        <f>IF(A27="","",posicao_contratual!K27)</f>
        <v/>
      </c>
      <c r="AK27" s="155">
        <f>IF(A27="","",posicao_contratual!O27)</f>
        <v/>
      </c>
      <c r="AL27" s="155">
        <f>IF(A27="","",posicao_contratual!S27)</f>
        <v/>
      </c>
      <c r="AM27" s="155">
        <f>IF(A27="","",posicao_contratual!W27)</f>
        <v/>
      </c>
      <c r="AN27" s="156">
        <f>IF(A27="","",posicao_contratual!X27)</f>
        <v/>
      </c>
      <c r="AO27">
        <f>IF($A27="","",ROUND(SUMIFS(itens_Consumidos!$E$2:$E$200,itens_Consumidos!$A$2:$A$200,$A27),2))</f>
        <v/>
      </c>
      <c r="AP27">
        <f>IF(OR($A27="",AB27=""),"",ROUND(MAX(AB27-AO27,0),2))</f>
        <v/>
      </c>
      <c r="AQ27">
        <f>IF(OR($A27="",AB27="",MEMORIA_RESULTADOS!$I$258=""),"",ROUND(AB27*$C27*(MEMORIA_RESULTADOS!$I$258-1),2))</f>
        <v/>
      </c>
      <c r="AR27">
        <f>IF(OR($A27="",AP27="",MEMORIA_RESULTADOS!$I$258=""),"",ROUND(AP27*$C27*(parametros!$F$2-MEMORIA_RESULTADOS!$I$258),2))</f>
        <v/>
      </c>
      <c r="AS27">
        <f>IF($A27="","",ROUND(SUMIFS(itens_Consumidos!$G$2:$G$200,itens_Consumidos!$A$2:$A$200,$A27),2))</f>
        <v/>
      </c>
      <c r="AT27">
        <f>IF(OR($A27="",M27=""),"",ROUND(MAX(M27-AS27,0),2))</f>
        <v/>
      </c>
      <c r="AU27">
        <f>IF(OR($A27="",M27="",MEMORIA_RESULTADOS!$I$259=""),"",ROUND(M27*$C27*(MEMORIA_RESULTADOS!$I$259-1),2))</f>
        <v/>
      </c>
      <c r="AV27">
        <f>IF(OR($A27="",AT27="",MEMORIA_RESULTADOS!$I$259=""),"",ROUND(AT27*$C27*(parametros!$F$3-MEMORIA_RESULTADOS!$I$259),2))</f>
        <v/>
      </c>
      <c r="AW27">
        <f>IF($A27="","",ROUND(SUMIFS(itens_Consumidos!$I$2:$I$200,itens_Consumidos!$A$2:$A$200,$A27),2))</f>
        <v/>
      </c>
      <c r="AX27">
        <f>IF(OR($A27="",O27=""),"",ROUND(MAX(O27-AW27,0),2))</f>
        <v/>
      </c>
      <c r="AY27">
        <f>IF(OR($A27="",O27="",MEMORIA_RESULTADOS!$I$260=""),"",ROUND(O27*$C27*(MEMORIA_RESULTADOS!$I$260-1),2))</f>
        <v/>
      </c>
      <c r="AZ27">
        <f>IF(OR($A27="",AX27="",MEMORIA_RESULTADOS!$I$260=""),"",ROUND(AX27*$C27*(parametros!$F$4-MEMORIA_RESULTADOS!$I$260),2))</f>
        <v/>
      </c>
      <c r="BA27">
        <f>IF($A27="","",ROUND(SUMIFS(itens_Consumidos!$K$2:$K$200,itens_Consumidos!$A$2:$A$200,$A27),2))</f>
        <v/>
      </c>
      <c r="BB27">
        <f>IF(OR($A27="",Q27=""),"",ROUND(MAX(Q27-BA27,0),2))</f>
        <v/>
      </c>
      <c r="BC27">
        <f>IF(OR($A27="",Q27="",MEMORIA_RESULTADOS!$I$261=""),"",ROUND(Q27*$C27*(MEMORIA_RESULTADOS!$I$261-1),2))</f>
        <v/>
      </c>
      <c r="BD27">
        <f>IF(OR($A27="",BB27="",MEMORIA_RESULTADOS!$I$261=""),"",ROUND(BB27*$C27*(parametros!$F$5-MEMORIA_RESULTADOS!$I$261),2))</f>
        <v/>
      </c>
      <c r="BE27">
        <f>IF($A27="","",ROUND(SUMIFS(itens_Consumidos!$M$2:$M$200,itens_Consumidos!$A$2:$A$200,$A27),2))</f>
        <v/>
      </c>
      <c r="BF27">
        <f>IF(OR($A27="",S27=""),"",ROUND(MAX(S27-BE27,0),2))</f>
        <v/>
      </c>
      <c r="BG27">
        <f>IF(OR($A27="",S27="",MEMORIA_RESULTADOS!$I$262=""),"",ROUND(S27*$C27*(MEMORIA_RESULTADOS!$I$262-1),2))</f>
        <v/>
      </c>
      <c r="BH27">
        <f>IF(OR($A27="",BF27="",MEMORIA_RESULTADOS!$I$262=""),"",ROUND(BF27*$C27*(parametros!$F$6-MEMORIA_RESULTADOS!$I$262),2))</f>
        <v/>
      </c>
    </row>
    <row r="28">
      <c r="A28" s="86" t="n"/>
      <c r="B28" s="87">
        <f>IF(AND(LEN(TRIM($A28))=4,LEFT(TRIM($A28),1)="N",ISNUMBER(--MID(TRIM($A28),2,3)),ISERROR(FIND(".",$A28)),ISERROR(FIND(",",$A28)),ISERROR(FIND("-",$A28)),ISERROR(FIND("+",$A28)),ISERROR(SEARCH("E",$A28,2)),ISERROR(FIND(" ",TRIM($A28)))),0,"")</f>
        <v/>
      </c>
      <c r="C28" s="339" t="n"/>
      <c r="D28" s="335">
        <f>IF(AND(A28="",A27&lt;&gt;"",COUNTIF(A29:$A$200,"&lt;&gt;")=0),ROUND(SUMIF($A$2:A27,"&lt;&gt;",$D$2:D27),2),IF(OR(A28="",B28="",C28=""),"",ROUND(B28*C28,2)))</f>
        <v/>
      </c>
      <c r="E28" s="89" t="n"/>
      <c r="F28" s="335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 t="n"/>
      <c r="H28" s="335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 t="n"/>
      <c r="J28" s="335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 t="n"/>
      <c r="L28" s="335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>
        <f>IF(OR(posicao_contratual!J28="",posicao_contratual!N28=""),"",ROUND(MAX(posicao_contratual!J28+posicao_contratual!H28-posicao_contratual!N28,0),2))</f>
        <v/>
      </c>
      <c r="N28" s="335">
        <f>IF(AND(A28="",A27&lt;&gt;"",COUNTIF(A29:$A$200,"&lt;&gt;")=0),ROUND(SUMIF($A$2:A27,"&lt;&gt;",$N$2:N27),2),IF(OR(M28="",C28="",NOT(ISNUMBER($Z$3))),"",ROUND(M28*C28*$Z$3,2)))</f>
        <v/>
      </c>
      <c r="O28" s="90">
        <f>IF(OR(posicao_contratual!N28="",posicao_contratual!R28=""),"",ROUND(MAX(posicao_contratual!N28+posicao_contratual!L28-posicao_contratual!R28,0),2))</f>
        <v/>
      </c>
      <c r="P28" s="335">
        <f>IF(AND(A28="",A27&lt;&gt;"",COUNTIF(A29:$A$200,"&lt;&gt;")=0),ROUND(SUMIF($A$2:A27,"&lt;&gt;",$P$2:P27),2),IF(OR(O28="",C28="",NOT(ISNUMBER($Z$4))),"",ROUND(O28*C28*$Z$4,2)))</f>
        <v/>
      </c>
      <c r="Q28" s="90">
        <f>IF(OR(posicao_contratual!R28="",posicao_contratual!V28=""),"",ROUND(MAX(posicao_contratual!R28+posicao_contratual!P28-posicao_contratual!V28,0),2))</f>
        <v/>
      </c>
      <c r="R28" s="335">
        <f>IF(AND(A28="",A27&lt;&gt;"",COUNTIF(A29:$A$200,"&lt;&gt;")=0),ROUND(SUMIF($A$2:A27,"&lt;&gt;",$R$2:R27),2),IF(OR(Q28="",C28="",NOT(ISNUMBER($Z$5))),"",ROUND(Q28*C28*$Z$5,2)))</f>
        <v/>
      </c>
      <c r="S28" s="22" t="n"/>
      <c r="T28" s="340" t="n"/>
      <c r="U28" s="91">
        <f>IF(AND(A28="",A27&lt;&gt;"",COUNTIF(A29:$A$200,"&lt;&gt;")=0),"TOTAL",IF(A28="","",posicao_contratual!X28))</f>
        <v/>
      </c>
      <c r="V28" s="91">
        <f>IF(A28="","",posicao_contratual!X28)</f>
        <v/>
      </c>
      <c r="W28" s="14" t="n"/>
      <c r="X28" s="14" t="n"/>
      <c r="Y28" s="14" t="n"/>
      <c r="Z28" s="13" t="n"/>
      <c r="AA28" s="13" t="n"/>
      <c r="AB28" s="90">
        <f>IF(OR(A28="",posicao_contratual!E28="",posicao_contratual!J28=""),"",ROUND(MAX(posicao_contratual!E28-posicao_contratual!J28,0),2))</f>
        <v/>
      </c>
      <c r="AC28" s="335">
        <f>IF(AND(A28="",A27&lt;&gt;"",COUNTIF(A29:$A$200,"&lt;&gt;")=0),ROUND(SUMIF($A$2:A27,"&lt;&gt;",$AC$2:AC27),2),IF(OR(AB28="",C28="",NOT(ISNUMBER($Z$2))),"",ROUND(AB28*C28*$Z$2,2)))</f>
        <v/>
      </c>
      <c r="AD28" s="155">
        <f>IF(A28="","",posicao_contratual!E28)</f>
        <v/>
      </c>
      <c r="AE28" s="155">
        <f>IF(A28="","",posicao_contratual!I28)</f>
        <v/>
      </c>
      <c r="AF28" s="155">
        <f>IF(A28="","",posicao_contratual!M28)</f>
        <v/>
      </c>
      <c r="AG28" s="155">
        <f>IF(A28="","",posicao_contratual!Q28)</f>
        <v/>
      </c>
      <c r="AH28" s="155">
        <f>IF(A28="","",posicao_contratual!U28)</f>
        <v/>
      </c>
      <c r="AI28" s="155">
        <f>IF(A28="","",posicao_contratual!G28)</f>
        <v/>
      </c>
      <c r="AJ28" s="155">
        <f>IF(A28="","",posicao_contratual!K28)</f>
        <v/>
      </c>
      <c r="AK28" s="155">
        <f>IF(A28="","",posicao_contratual!O28)</f>
        <v/>
      </c>
      <c r="AL28" s="155">
        <f>IF(A28="","",posicao_contratual!S28)</f>
        <v/>
      </c>
      <c r="AM28" s="155">
        <f>IF(A28="","",posicao_contratual!W28)</f>
        <v/>
      </c>
      <c r="AN28" s="156">
        <f>IF(A28="","",posicao_contratual!X28)</f>
        <v/>
      </c>
      <c r="AO28">
        <f>IF($A28="","",ROUND(SUMIFS(itens_Consumidos!$E$2:$E$200,itens_Consumidos!$A$2:$A$200,$A28),2))</f>
        <v/>
      </c>
      <c r="AP28">
        <f>IF(OR($A28="",AB28=""),"",ROUND(MAX(AB28-AO28,0),2))</f>
        <v/>
      </c>
      <c r="AQ28">
        <f>IF(OR($A28="",AB28="",MEMORIA_RESULTADOS!$I$258=""),"",ROUND(AB28*$C28*(MEMORIA_RESULTADOS!$I$258-1),2))</f>
        <v/>
      </c>
      <c r="AR28">
        <f>IF(OR($A28="",AP28="",MEMORIA_RESULTADOS!$I$258=""),"",ROUND(AP28*$C28*(parametros!$F$2-MEMORIA_RESULTADOS!$I$258),2))</f>
        <v/>
      </c>
      <c r="AS28">
        <f>IF($A28="","",ROUND(SUMIFS(itens_Consumidos!$G$2:$G$200,itens_Consumidos!$A$2:$A$200,$A28),2))</f>
        <v/>
      </c>
      <c r="AT28">
        <f>IF(OR($A28="",M28=""),"",ROUND(MAX(M28-AS28,0),2))</f>
        <v/>
      </c>
      <c r="AU28">
        <f>IF(OR($A28="",M28="",MEMORIA_RESULTADOS!$I$259=""),"",ROUND(M28*$C28*(MEMORIA_RESULTADOS!$I$259-1),2))</f>
        <v/>
      </c>
      <c r="AV28">
        <f>IF(OR($A28="",AT28="",MEMORIA_RESULTADOS!$I$259=""),"",ROUND(AT28*$C28*(parametros!$F$3-MEMORIA_RESULTADOS!$I$259),2))</f>
        <v/>
      </c>
      <c r="AW28">
        <f>IF($A28="","",ROUND(SUMIFS(itens_Consumidos!$I$2:$I$200,itens_Consumidos!$A$2:$A$200,$A28),2))</f>
        <v/>
      </c>
      <c r="AX28">
        <f>IF(OR($A28="",O28=""),"",ROUND(MAX(O28-AW28,0),2))</f>
        <v/>
      </c>
      <c r="AY28">
        <f>IF(OR($A28="",O28="",MEMORIA_RESULTADOS!$I$260=""),"",ROUND(O28*$C28*(MEMORIA_RESULTADOS!$I$260-1),2))</f>
        <v/>
      </c>
      <c r="AZ28">
        <f>IF(OR($A28="",AX28="",MEMORIA_RESULTADOS!$I$260=""),"",ROUND(AX28*$C28*(parametros!$F$4-MEMORIA_RESULTADOS!$I$260),2))</f>
        <v/>
      </c>
      <c r="BA28">
        <f>IF($A28="","",ROUND(SUMIFS(itens_Consumidos!$K$2:$K$200,itens_Consumidos!$A$2:$A$200,$A28),2))</f>
        <v/>
      </c>
      <c r="BB28">
        <f>IF(OR($A28="",Q28=""),"",ROUND(MAX(Q28-BA28,0),2))</f>
        <v/>
      </c>
      <c r="BC28">
        <f>IF(OR($A28="",Q28="",MEMORIA_RESULTADOS!$I$261=""),"",ROUND(Q28*$C28*(MEMORIA_RESULTADOS!$I$261-1),2))</f>
        <v/>
      </c>
      <c r="BD28">
        <f>IF(OR($A28="",BB28="",MEMORIA_RESULTADOS!$I$261=""),"",ROUND(BB28*$C28*(parametros!$F$5-MEMORIA_RESULTADOS!$I$261),2))</f>
        <v/>
      </c>
      <c r="BE28">
        <f>IF($A28="","",ROUND(SUMIFS(itens_Consumidos!$M$2:$M$200,itens_Consumidos!$A$2:$A$200,$A28),2))</f>
        <v/>
      </c>
      <c r="BF28">
        <f>IF(OR($A28="",S28=""),"",ROUND(MAX(S28-BE28,0),2))</f>
        <v/>
      </c>
      <c r="BG28">
        <f>IF(OR($A28="",S28="",MEMORIA_RESULTADOS!$I$262=""),"",ROUND(S28*$C28*(MEMORIA_RESULTADOS!$I$262-1),2))</f>
        <v/>
      </c>
      <c r="BH28">
        <f>IF(OR($A28="",BF28="",MEMORIA_RESULTADOS!$I$262=""),"",ROUND(BF28*$C28*(parametros!$F$6-MEMORIA_RESULTADOS!$I$262),2))</f>
        <v/>
      </c>
    </row>
    <row r="29">
      <c r="A29" s="86" t="n"/>
      <c r="B29" s="87">
        <f>IF(AND(LEN(TRIM($A29))=4,LEFT(TRIM($A29),1)="N",ISNUMBER(--MID(TRIM($A29),2,3)),ISERROR(FIND(".",$A29)),ISERROR(FIND(",",$A29)),ISERROR(FIND("-",$A29)),ISERROR(FIND("+",$A29)),ISERROR(SEARCH("E",$A29,2)),ISERROR(FIND(" ",TRIM($A29)))),0,"")</f>
        <v/>
      </c>
      <c r="C29" s="339" t="n"/>
      <c r="D29" s="335">
        <f>IF(AND(A29="",A28&lt;&gt;"",COUNTIF(A30:$A$200,"&lt;&gt;")=0),ROUND(SUMIF($A$2:A28,"&lt;&gt;",$D$2:D28),2),IF(OR(A29="",B29="",C29=""),"",ROUND(B29*C29,2)))</f>
        <v/>
      </c>
      <c r="E29" s="89" t="n"/>
      <c r="F29" s="335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 t="n"/>
      <c r="H29" s="335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 t="n"/>
      <c r="J29" s="335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 t="n"/>
      <c r="L29" s="335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>
        <f>IF(OR(posicao_contratual!J29="",posicao_contratual!N29=""),"",ROUND(MAX(posicao_contratual!J29+posicao_contratual!H29-posicao_contratual!N29,0),2))</f>
        <v/>
      </c>
      <c r="N29" s="335">
        <f>IF(AND(A29="",A28&lt;&gt;"",COUNTIF(A30:$A$200,"&lt;&gt;")=0),ROUND(SUMIF($A$2:A28,"&lt;&gt;",$N$2:N28),2),IF(OR(M29="",C29="",NOT(ISNUMBER($Z$3))),"",ROUND(M29*C29*$Z$3,2)))</f>
        <v/>
      </c>
      <c r="O29" s="90">
        <f>IF(OR(posicao_contratual!N29="",posicao_contratual!R29=""),"",ROUND(MAX(posicao_contratual!N29+posicao_contratual!L29-posicao_contratual!R29,0),2))</f>
        <v/>
      </c>
      <c r="P29" s="335">
        <f>IF(AND(A29="",A28&lt;&gt;"",COUNTIF(A30:$A$200,"&lt;&gt;")=0),ROUND(SUMIF($A$2:A28,"&lt;&gt;",$P$2:P28),2),IF(OR(O29="",C29="",NOT(ISNUMBER($Z$4))),"",ROUND(O29*C29*$Z$4,2)))</f>
        <v/>
      </c>
      <c r="Q29" s="90">
        <f>IF(OR(posicao_contratual!R29="",posicao_contratual!V29=""),"",ROUND(MAX(posicao_contratual!R29+posicao_contratual!P29-posicao_contratual!V29,0),2))</f>
        <v/>
      </c>
      <c r="R29" s="335">
        <f>IF(AND(A29="",A28&lt;&gt;"",COUNTIF(A30:$A$200,"&lt;&gt;")=0),ROUND(SUMIF($A$2:A28,"&lt;&gt;",$R$2:R28),2),IF(OR(Q29="",C29="",NOT(ISNUMBER($Z$5))),"",ROUND(Q29*C29*$Z$5,2)))</f>
        <v/>
      </c>
      <c r="S29" s="22" t="n"/>
      <c r="T29" s="340" t="n"/>
      <c r="U29" s="91">
        <f>IF(AND(A29="",A28&lt;&gt;"",COUNTIF(A30:$A$200,"&lt;&gt;")=0),"TOTAL",IF(A29="","",posicao_contratual!X29))</f>
        <v/>
      </c>
      <c r="V29" s="91">
        <f>IF(A29="","",posicao_contratual!X29)</f>
        <v/>
      </c>
      <c r="W29" s="14" t="n"/>
      <c r="X29" s="14" t="n"/>
      <c r="Y29" s="14" t="n"/>
      <c r="Z29" s="13" t="n"/>
      <c r="AA29" s="13" t="n"/>
      <c r="AB29" s="90">
        <f>IF(OR(A29="",posicao_contratual!E29="",posicao_contratual!J29=""),"",ROUND(MAX(posicao_contratual!E29-posicao_contratual!J29,0),2))</f>
        <v/>
      </c>
      <c r="AC29" s="335">
        <f>IF(AND(A29="",A28&lt;&gt;"",COUNTIF(A30:$A$200,"&lt;&gt;")=0),ROUND(SUMIF($A$2:A28,"&lt;&gt;",$AC$2:AC28),2),IF(OR(AB29="",C29="",NOT(ISNUMBER($Z$2))),"",ROUND(AB29*C29*$Z$2,2)))</f>
        <v/>
      </c>
      <c r="AD29" s="155">
        <f>IF(A29="","",posicao_contratual!E29)</f>
        <v/>
      </c>
      <c r="AE29" s="155">
        <f>IF(A29="","",posicao_contratual!I29)</f>
        <v/>
      </c>
      <c r="AF29" s="155">
        <f>IF(A29="","",posicao_contratual!M29)</f>
        <v/>
      </c>
      <c r="AG29" s="155">
        <f>IF(A29="","",posicao_contratual!Q29)</f>
        <v/>
      </c>
      <c r="AH29" s="155">
        <f>IF(A29="","",posicao_contratual!U29)</f>
        <v/>
      </c>
      <c r="AI29" s="155">
        <f>IF(A29="","",posicao_contratual!G29)</f>
        <v/>
      </c>
      <c r="AJ29" s="155">
        <f>IF(A29="","",posicao_contratual!K29)</f>
        <v/>
      </c>
      <c r="AK29" s="155">
        <f>IF(A29="","",posicao_contratual!O29)</f>
        <v/>
      </c>
      <c r="AL29" s="155">
        <f>IF(A29="","",posicao_contratual!S29)</f>
        <v/>
      </c>
      <c r="AM29" s="155">
        <f>IF(A29="","",posicao_contratual!W29)</f>
        <v/>
      </c>
      <c r="AN29" s="156">
        <f>IF(A29="","",posicao_contratual!X29)</f>
        <v/>
      </c>
      <c r="AO29">
        <f>IF($A29="","",ROUND(SUMIFS(itens_Consumidos!$E$2:$E$200,itens_Consumidos!$A$2:$A$200,$A29),2))</f>
        <v/>
      </c>
      <c r="AP29">
        <f>IF(OR($A29="",AB29=""),"",ROUND(MAX(AB29-AO29,0),2))</f>
        <v/>
      </c>
      <c r="AQ29">
        <f>IF(OR($A29="",AB29="",MEMORIA_RESULTADOS!$I$258=""),"",ROUND(AB29*$C29*(MEMORIA_RESULTADOS!$I$258-1),2))</f>
        <v/>
      </c>
      <c r="AR29">
        <f>IF(OR($A29="",AP29="",MEMORIA_RESULTADOS!$I$258=""),"",ROUND(AP29*$C29*(parametros!$F$2-MEMORIA_RESULTADOS!$I$258),2))</f>
        <v/>
      </c>
      <c r="AS29">
        <f>IF($A29="","",ROUND(SUMIFS(itens_Consumidos!$G$2:$G$200,itens_Consumidos!$A$2:$A$200,$A29),2))</f>
        <v/>
      </c>
      <c r="AT29">
        <f>IF(OR($A29="",M29=""),"",ROUND(MAX(M29-AS29,0),2))</f>
        <v/>
      </c>
      <c r="AU29">
        <f>IF(OR($A29="",M29="",MEMORIA_RESULTADOS!$I$259=""),"",ROUND(M29*$C29*(MEMORIA_RESULTADOS!$I$259-1),2))</f>
        <v/>
      </c>
      <c r="AV29">
        <f>IF(OR($A29="",AT29="",MEMORIA_RESULTADOS!$I$259=""),"",ROUND(AT29*$C29*(parametros!$F$3-MEMORIA_RESULTADOS!$I$259),2))</f>
        <v/>
      </c>
      <c r="AW29">
        <f>IF($A29="","",ROUND(SUMIFS(itens_Consumidos!$I$2:$I$200,itens_Consumidos!$A$2:$A$200,$A29),2))</f>
        <v/>
      </c>
      <c r="AX29">
        <f>IF(OR($A29="",O29=""),"",ROUND(MAX(O29-AW29,0),2))</f>
        <v/>
      </c>
      <c r="AY29">
        <f>IF(OR($A29="",O29="",MEMORIA_RESULTADOS!$I$260=""),"",ROUND(O29*$C29*(MEMORIA_RESULTADOS!$I$260-1),2))</f>
        <v/>
      </c>
      <c r="AZ29">
        <f>IF(OR($A29="",AX29="",MEMORIA_RESULTADOS!$I$260=""),"",ROUND(AX29*$C29*(parametros!$F$4-MEMORIA_RESULTADOS!$I$260),2))</f>
        <v/>
      </c>
      <c r="BA29">
        <f>IF($A29="","",ROUND(SUMIFS(itens_Consumidos!$K$2:$K$200,itens_Consumidos!$A$2:$A$200,$A29),2))</f>
        <v/>
      </c>
      <c r="BB29">
        <f>IF(OR($A29="",Q29=""),"",ROUND(MAX(Q29-BA29,0),2))</f>
        <v/>
      </c>
      <c r="BC29">
        <f>IF(OR($A29="",Q29="",MEMORIA_RESULTADOS!$I$261=""),"",ROUND(Q29*$C29*(MEMORIA_RESULTADOS!$I$261-1),2))</f>
        <v/>
      </c>
      <c r="BD29">
        <f>IF(OR($A29="",BB29="",MEMORIA_RESULTADOS!$I$261=""),"",ROUND(BB29*$C29*(parametros!$F$5-MEMORIA_RESULTADOS!$I$261),2))</f>
        <v/>
      </c>
      <c r="BE29">
        <f>IF($A29="","",ROUND(SUMIFS(itens_Consumidos!$M$2:$M$200,itens_Consumidos!$A$2:$A$200,$A29),2))</f>
        <v/>
      </c>
      <c r="BF29">
        <f>IF(OR($A29="",S29=""),"",ROUND(MAX(S29-BE29,0),2))</f>
        <v/>
      </c>
      <c r="BG29">
        <f>IF(OR($A29="",S29="",MEMORIA_RESULTADOS!$I$262=""),"",ROUND(S29*$C29*(MEMORIA_RESULTADOS!$I$262-1),2))</f>
        <v/>
      </c>
      <c r="BH29">
        <f>IF(OR($A29="",BF29="",MEMORIA_RESULTADOS!$I$262=""),"",ROUND(BF29*$C29*(parametros!$F$6-MEMORIA_RESULTADOS!$I$262),2))</f>
        <v/>
      </c>
    </row>
    <row r="30">
      <c r="A30" s="86" t="n"/>
      <c r="B30" s="87">
        <f>IF(AND(LEN(TRIM($A30))=4,LEFT(TRIM($A30),1)="N",ISNUMBER(--MID(TRIM($A30),2,3)),ISERROR(FIND(".",$A30)),ISERROR(FIND(",",$A30)),ISERROR(FIND("-",$A30)),ISERROR(FIND("+",$A30)),ISERROR(SEARCH("E",$A30,2)),ISERROR(FIND(" ",TRIM($A30)))),0,"")</f>
        <v/>
      </c>
      <c r="C30" s="339" t="n"/>
      <c r="D30" s="335">
        <f>IF(AND(A30="",A29&lt;&gt;"",COUNTIF(A31:$A$200,"&lt;&gt;")=0),ROUND(SUMIF($A$2:A29,"&lt;&gt;",$D$2:D29),2),IF(OR(A30="",B30="",C30=""),"",ROUND(B30*C30,2)))</f>
        <v/>
      </c>
      <c r="E30" s="89" t="n"/>
      <c r="F30" s="335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 t="n"/>
      <c r="H30" s="335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 t="n"/>
      <c r="J30" s="335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 t="n"/>
      <c r="L30" s="335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>
        <f>IF(OR(posicao_contratual!J30="",posicao_contratual!N30=""),"",ROUND(MAX(posicao_contratual!J30+posicao_contratual!H30-posicao_contratual!N30,0),2))</f>
        <v/>
      </c>
      <c r="N30" s="335">
        <f>IF(AND(A30="",A29&lt;&gt;"",COUNTIF(A31:$A$200,"&lt;&gt;")=0),ROUND(SUMIF($A$2:A29,"&lt;&gt;",$N$2:N29),2),IF(OR(M30="",C30="",NOT(ISNUMBER($Z$3))),"",ROUND(M30*C30*$Z$3,2)))</f>
        <v/>
      </c>
      <c r="O30" s="90">
        <f>IF(OR(posicao_contratual!N30="",posicao_contratual!R30=""),"",ROUND(MAX(posicao_contratual!N30+posicao_contratual!L30-posicao_contratual!R30,0),2))</f>
        <v/>
      </c>
      <c r="P30" s="335">
        <f>IF(AND(A30="",A29&lt;&gt;"",COUNTIF(A31:$A$200,"&lt;&gt;")=0),ROUND(SUMIF($A$2:A29,"&lt;&gt;",$P$2:P29),2),IF(OR(O30="",C30="",NOT(ISNUMBER($Z$4))),"",ROUND(O30*C30*$Z$4,2)))</f>
        <v/>
      </c>
      <c r="Q30" s="90">
        <f>IF(OR(posicao_contratual!R30="",posicao_contratual!V30=""),"",ROUND(MAX(posicao_contratual!R30+posicao_contratual!P30-posicao_contratual!V30,0),2))</f>
        <v/>
      </c>
      <c r="R30" s="335">
        <f>IF(AND(A30="",A29&lt;&gt;"",COUNTIF(A31:$A$200,"&lt;&gt;")=0),ROUND(SUMIF($A$2:A29,"&lt;&gt;",$R$2:R29),2),IF(OR(Q30="",C30="",NOT(ISNUMBER($Z$5))),"",ROUND(Q30*C30*$Z$5,2)))</f>
        <v/>
      </c>
      <c r="S30" s="22" t="n"/>
      <c r="T30" s="340" t="n"/>
      <c r="U30" s="91">
        <f>IF(AND(A30="",A29&lt;&gt;"",COUNTIF(A31:$A$200,"&lt;&gt;")=0),"TOTAL",IF(A30="","",posicao_contratual!X30))</f>
        <v/>
      </c>
      <c r="V30" s="91">
        <f>IF(A30="","",posicao_contratual!X30)</f>
        <v/>
      </c>
      <c r="W30" s="14" t="n"/>
      <c r="X30" s="14" t="n"/>
      <c r="Y30" s="14" t="n"/>
      <c r="Z30" s="13" t="n"/>
      <c r="AA30" s="13" t="n"/>
      <c r="AB30" s="90">
        <f>IF(OR(A30="",posicao_contratual!E30="",posicao_contratual!J30=""),"",ROUND(MAX(posicao_contratual!E30-posicao_contratual!J30,0),2))</f>
        <v/>
      </c>
      <c r="AC30" s="335">
        <f>IF(AND(A30="",A29&lt;&gt;"",COUNTIF(A31:$A$200,"&lt;&gt;")=0),ROUND(SUMIF($A$2:A29,"&lt;&gt;",$AC$2:AC29),2),IF(OR(AB30="",C30="",NOT(ISNUMBER($Z$2))),"",ROUND(AB30*C30*$Z$2,2)))</f>
        <v/>
      </c>
      <c r="AD30" s="155">
        <f>IF(A30="","",posicao_contratual!E30)</f>
        <v/>
      </c>
      <c r="AE30" s="155">
        <f>IF(A30="","",posicao_contratual!I30)</f>
        <v/>
      </c>
      <c r="AF30" s="155">
        <f>IF(A30="","",posicao_contratual!M30)</f>
        <v/>
      </c>
      <c r="AG30" s="155">
        <f>IF(A30="","",posicao_contratual!Q30)</f>
        <v/>
      </c>
      <c r="AH30" s="155">
        <f>IF(A30="","",posicao_contratual!U30)</f>
        <v/>
      </c>
      <c r="AI30" s="155">
        <f>IF(A30="","",posicao_contratual!G30)</f>
        <v/>
      </c>
      <c r="AJ30" s="155">
        <f>IF(A30="","",posicao_contratual!K30)</f>
        <v/>
      </c>
      <c r="AK30" s="155">
        <f>IF(A30="","",posicao_contratual!O30)</f>
        <v/>
      </c>
      <c r="AL30" s="155">
        <f>IF(A30="","",posicao_contratual!S30)</f>
        <v/>
      </c>
      <c r="AM30" s="155">
        <f>IF(A30="","",posicao_contratual!W30)</f>
        <v/>
      </c>
      <c r="AN30" s="156">
        <f>IF(A30="","",posicao_contratual!X30)</f>
        <v/>
      </c>
      <c r="AO30">
        <f>IF($A30="","",ROUND(SUMIFS(itens_Consumidos!$E$2:$E$200,itens_Consumidos!$A$2:$A$200,$A30),2))</f>
        <v/>
      </c>
      <c r="AP30">
        <f>IF(OR($A30="",AB30=""),"",ROUND(MAX(AB30-AO30,0),2))</f>
        <v/>
      </c>
      <c r="AQ30">
        <f>IF(OR($A30="",AB30="",MEMORIA_RESULTADOS!$I$258=""),"",ROUND(AB30*$C30*(MEMORIA_RESULTADOS!$I$258-1),2))</f>
        <v/>
      </c>
      <c r="AR30">
        <f>IF(OR($A30="",AP30="",MEMORIA_RESULTADOS!$I$258=""),"",ROUND(AP30*$C30*(parametros!$F$2-MEMORIA_RESULTADOS!$I$258),2))</f>
        <v/>
      </c>
      <c r="AS30">
        <f>IF($A30="","",ROUND(SUMIFS(itens_Consumidos!$G$2:$G$200,itens_Consumidos!$A$2:$A$200,$A30),2))</f>
        <v/>
      </c>
      <c r="AT30">
        <f>IF(OR($A30="",M30=""),"",ROUND(MAX(M30-AS30,0),2))</f>
        <v/>
      </c>
      <c r="AU30">
        <f>IF(OR($A30="",M30="",MEMORIA_RESULTADOS!$I$259=""),"",ROUND(M30*$C30*(MEMORIA_RESULTADOS!$I$259-1),2))</f>
        <v/>
      </c>
      <c r="AV30">
        <f>IF(OR($A30="",AT30="",MEMORIA_RESULTADOS!$I$259=""),"",ROUND(AT30*$C30*(parametros!$F$3-MEMORIA_RESULTADOS!$I$259),2))</f>
        <v/>
      </c>
      <c r="AW30">
        <f>IF($A30="","",ROUND(SUMIFS(itens_Consumidos!$I$2:$I$200,itens_Consumidos!$A$2:$A$200,$A30),2))</f>
        <v/>
      </c>
      <c r="AX30">
        <f>IF(OR($A30="",O30=""),"",ROUND(MAX(O30-AW30,0),2))</f>
        <v/>
      </c>
      <c r="AY30">
        <f>IF(OR($A30="",O30="",MEMORIA_RESULTADOS!$I$260=""),"",ROUND(O30*$C30*(MEMORIA_RESULTADOS!$I$260-1),2))</f>
        <v/>
      </c>
      <c r="AZ30">
        <f>IF(OR($A30="",AX30="",MEMORIA_RESULTADOS!$I$260=""),"",ROUND(AX30*$C30*(parametros!$F$4-MEMORIA_RESULTADOS!$I$260),2))</f>
        <v/>
      </c>
      <c r="BA30">
        <f>IF($A30="","",ROUND(SUMIFS(itens_Consumidos!$K$2:$K$200,itens_Consumidos!$A$2:$A$200,$A30),2))</f>
        <v/>
      </c>
      <c r="BB30">
        <f>IF(OR($A30="",Q30=""),"",ROUND(MAX(Q30-BA30,0),2))</f>
        <v/>
      </c>
      <c r="BC30">
        <f>IF(OR($A30="",Q30="",MEMORIA_RESULTADOS!$I$261=""),"",ROUND(Q30*$C30*(MEMORIA_RESULTADOS!$I$261-1),2))</f>
        <v/>
      </c>
      <c r="BD30">
        <f>IF(OR($A30="",BB30="",MEMORIA_RESULTADOS!$I$261=""),"",ROUND(BB30*$C30*(parametros!$F$5-MEMORIA_RESULTADOS!$I$261),2))</f>
        <v/>
      </c>
      <c r="BE30">
        <f>IF($A30="","",ROUND(SUMIFS(itens_Consumidos!$M$2:$M$200,itens_Consumidos!$A$2:$A$200,$A30),2))</f>
        <v/>
      </c>
      <c r="BF30">
        <f>IF(OR($A30="",S30=""),"",ROUND(MAX(S30-BE30,0),2))</f>
        <v/>
      </c>
      <c r="BG30">
        <f>IF(OR($A30="",S30="",MEMORIA_RESULTADOS!$I$262=""),"",ROUND(S30*$C30*(MEMORIA_RESULTADOS!$I$262-1),2))</f>
        <v/>
      </c>
      <c r="BH30">
        <f>IF(OR($A30="",BF30="",MEMORIA_RESULTADOS!$I$262=""),"",ROUND(BF30*$C30*(parametros!$F$6-MEMORIA_RESULTADOS!$I$262),2))</f>
        <v/>
      </c>
    </row>
    <row r="31">
      <c r="A31" s="86" t="n"/>
      <c r="B31" s="87">
        <f>IF(AND(LEN(TRIM($A31))=4,LEFT(TRIM($A31),1)="N",ISNUMBER(--MID(TRIM($A31),2,3)),ISERROR(FIND(".",$A31)),ISERROR(FIND(",",$A31)),ISERROR(FIND("-",$A31)),ISERROR(FIND("+",$A31)),ISERROR(SEARCH("E",$A31,2)),ISERROR(FIND(" ",TRIM($A31)))),0,"")</f>
        <v/>
      </c>
      <c r="C31" s="339" t="n"/>
      <c r="D31" s="335">
        <f>IF(AND(A31="",A30&lt;&gt;"",COUNTIF(A32:$A$200,"&lt;&gt;")=0),ROUND(SUMIF($A$2:A30,"&lt;&gt;",$D$2:D30),2),IF(OR(A31="",B31="",C31=""),"",ROUND(B31*C31,2)))</f>
        <v/>
      </c>
      <c r="E31" s="89" t="n"/>
      <c r="F31" s="335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 t="n"/>
      <c r="H31" s="335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 t="n"/>
      <c r="J31" s="335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 t="n"/>
      <c r="L31" s="335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>
        <f>IF(OR(posicao_contratual!J31="",posicao_contratual!N31=""),"",ROUND(MAX(posicao_contratual!J31+posicao_contratual!H31-posicao_contratual!N31,0),2))</f>
        <v/>
      </c>
      <c r="N31" s="335">
        <f>IF(AND(A31="",A30&lt;&gt;"",COUNTIF(A32:$A$200,"&lt;&gt;")=0),ROUND(SUMIF($A$2:A30,"&lt;&gt;",$N$2:N30),2),IF(OR(M31="",C31="",NOT(ISNUMBER($Z$3))),"",ROUND(M31*C31*$Z$3,2)))</f>
        <v/>
      </c>
      <c r="O31" s="90">
        <f>IF(OR(posicao_contratual!N31="",posicao_contratual!R31=""),"",ROUND(MAX(posicao_contratual!N31+posicao_contratual!L31-posicao_contratual!R31,0),2))</f>
        <v/>
      </c>
      <c r="P31" s="335">
        <f>IF(AND(A31="",A30&lt;&gt;"",COUNTIF(A32:$A$200,"&lt;&gt;")=0),ROUND(SUMIF($A$2:A30,"&lt;&gt;",$P$2:P30),2),IF(OR(O31="",C31="",NOT(ISNUMBER($Z$4))),"",ROUND(O31*C31*$Z$4,2)))</f>
        <v/>
      </c>
      <c r="Q31" s="90">
        <f>IF(OR(posicao_contratual!R31="",posicao_contratual!V31=""),"",ROUND(MAX(posicao_contratual!R31+posicao_contratual!P31-posicao_contratual!V31,0),2))</f>
        <v/>
      </c>
      <c r="R31" s="335">
        <f>IF(AND(A31="",A30&lt;&gt;"",COUNTIF(A32:$A$200,"&lt;&gt;")=0),ROUND(SUMIF($A$2:A30,"&lt;&gt;",$R$2:R30),2),IF(OR(Q31="",C31="",NOT(ISNUMBER($Z$5))),"",ROUND(Q31*C31*$Z$5,2)))</f>
        <v/>
      </c>
      <c r="S31" s="22" t="n"/>
      <c r="T31" s="340" t="n"/>
      <c r="U31" s="91">
        <f>IF(AND(A31="",A30&lt;&gt;"",COUNTIF(A32:$A$200,"&lt;&gt;")=0),"TOTAL",IF(A31="","",posicao_contratual!X31))</f>
        <v/>
      </c>
      <c r="V31" s="91">
        <f>IF(A31="","",posicao_contratual!X31)</f>
        <v/>
      </c>
      <c r="W31" s="14" t="n"/>
      <c r="X31" s="14" t="n"/>
      <c r="Y31" s="14" t="n"/>
      <c r="Z31" s="13" t="n"/>
      <c r="AA31" s="13" t="n"/>
      <c r="AB31" s="90">
        <f>IF(OR(A31="",posicao_contratual!E31="",posicao_contratual!J31=""),"",ROUND(MAX(posicao_contratual!E31-posicao_contratual!J31,0),2))</f>
        <v/>
      </c>
      <c r="AC31" s="335">
        <f>IF(AND(A31="",A30&lt;&gt;"",COUNTIF(A32:$A$200,"&lt;&gt;")=0),ROUND(SUMIF($A$2:A30,"&lt;&gt;",$AC$2:AC30),2),IF(OR(AB31="",C31="",NOT(ISNUMBER($Z$2))),"",ROUND(AB31*C31*$Z$2,2)))</f>
        <v/>
      </c>
      <c r="AD31" s="155">
        <f>IF(A31="","",posicao_contratual!E31)</f>
        <v/>
      </c>
      <c r="AE31" s="155">
        <f>IF(A31="","",posicao_contratual!I31)</f>
        <v/>
      </c>
      <c r="AF31" s="155">
        <f>IF(A31="","",posicao_contratual!M31)</f>
        <v/>
      </c>
      <c r="AG31" s="155">
        <f>IF(A31="","",posicao_contratual!Q31)</f>
        <v/>
      </c>
      <c r="AH31" s="155">
        <f>IF(A31="","",posicao_contratual!U31)</f>
        <v/>
      </c>
      <c r="AI31" s="155">
        <f>IF(A31="","",posicao_contratual!G31)</f>
        <v/>
      </c>
      <c r="AJ31" s="155">
        <f>IF(A31="","",posicao_contratual!K31)</f>
        <v/>
      </c>
      <c r="AK31" s="155">
        <f>IF(A31="","",posicao_contratual!O31)</f>
        <v/>
      </c>
      <c r="AL31" s="155">
        <f>IF(A31="","",posicao_contratual!S31)</f>
        <v/>
      </c>
      <c r="AM31" s="155">
        <f>IF(A31="","",posicao_contratual!W31)</f>
        <v/>
      </c>
      <c r="AN31" s="156">
        <f>IF(A31="","",posicao_contratual!X31)</f>
        <v/>
      </c>
      <c r="AO31">
        <f>IF($A31="","",ROUND(SUMIFS(itens_Consumidos!$E$2:$E$200,itens_Consumidos!$A$2:$A$200,$A31),2))</f>
        <v/>
      </c>
      <c r="AP31">
        <f>IF(OR($A31="",AB31=""),"",ROUND(MAX(AB31-AO31,0),2))</f>
        <v/>
      </c>
      <c r="AQ31">
        <f>IF(OR($A31="",AB31="",MEMORIA_RESULTADOS!$I$258=""),"",ROUND(AB31*$C31*(MEMORIA_RESULTADOS!$I$258-1),2))</f>
        <v/>
      </c>
      <c r="AR31">
        <f>IF(OR($A31="",AP31="",MEMORIA_RESULTADOS!$I$258=""),"",ROUND(AP31*$C31*(parametros!$F$2-MEMORIA_RESULTADOS!$I$258),2))</f>
        <v/>
      </c>
      <c r="AS31">
        <f>IF($A31="","",ROUND(SUMIFS(itens_Consumidos!$G$2:$G$200,itens_Consumidos!$A$2:$A$200,$A31),2))</f>
        <v/>
      </c>
      <c r="AT31">
        <f>IF(OR($A31="",M31=""),"",ROUND(MAX(M31-AS31,0),2))</f>
        <v/>
      </c>
      <c r="AU31">
        <f>IF(OR($A31="",M31="",MEMORIA_RESULTADOS!$I$259=""),"",ROUND(M31*$C31*(MEMORIA_RESULTADOS!$I$259-1),2))</f>
        <v/>
      </c>
      <c r="AV31">
        <f>IF(OR($A31="",AT31="",MEMORIA_RESULTADOS!$I$259=""),"",ROUND(AT31*$C31*(parametros!$F$3-MEMORIA_RESULTADOS!$I$259),2))</f>
        <v/>
      </c>
      <c r="AW31">
        <f>IF($A31="","",ROUND(SUMIFS(itens_Consumidos!$I$2:$I$200,itens_Consumidos!$A$2:$A$200,$A31),2))</f>
        <v/>
      </c>
      <c r="AX31">
        <f>IF(OR($A31="",O31=""),"",ROUND(MAX(O31-AW31,0),2))</f>
        <v/>
      </c>
      <c r="AY31">
        <f>IF(OR($A31="",O31="",MEMORIA_RESULTADOS!$I$260=""),"",ROUND(O31*$C31*(MEMORIA_RESULTADOS!$I$260-1),2))</f>
        <v/>
      </c>
      <c r="AZ31">
        <f>IF(OR($A31="",AX31="",MEMORIA_RESULTADOS!$I$260=""),"",ROUND(AX31*$C31*(parametros!$F$4-MEMORIA_RESULTADOS!$I$260),2))</f>
        <v/>
      </c>
      <c r="BA31">
        <f>IF($A31="","",ROUND(SUMIFS(itens_Consumidos!$K$2:$K$200,itens_Consumidos!$A$2:$A$200,$A31),2))</f>
        <v/>
      </c>
      <c r="BB31">
        <f>IF(OR($A31="",Q31=""),"",ROUND(MAX(Q31-BA31,0),2))</f>
        <v/>
      </c>
      <c r="BC31">
        <f>IF(OR($A31="",Q31="",MEMORIA_RESULTADOS!$I$261=""),"",ROUND(Q31*$C31*(MEMORIA_RESULTADOS!$I$261-1),2))</f>
        <v/>
      </c>
      <c r="BD31">
        <f>IF(OR($A31="",BB31="",MEMORIA_RESULTADOS!$I$261=""),"",ROUND(BB31*$C31*(parametros!$F$5-MEMORIA_RESULTADOS!$I$261),2))</f>
        <v/>
      </c>
      <c r="BE31">
        <f>IF($A31="","",ROUND(SUMIFS(itens_Consumidos!$M$2:$M$200,itens_Consumidos!$A$2:$A$200,$A31),2))</f>
        <v/>
      </c>
      <c r="BF31">
        <f>IF(OR($A31="",S31=""),"",ROUND(MAX(S31-BE31,0),2))</f>
        <v/>
      </c>
      <c r="BG31">
        <f>IF(OR($A31="",S31="",MEMORIA_RESULTADOS!$I$262=""),"",ROUND(S31*$C31*(MEMORIA_RESULTADOS!$I$262-1),2))</f>
        <v/>
      </c>
      <c r="BH31">
        <f>IF(OR($A31="",BF31="",MEMORIA_RESULTADOS!$I$262=""),"",ROUND(BF31*$C31*(parametros!$F$6-MEMORIA_RESULTADOS!$I$262),2))</f>
        <v/>
      </c>
    </row>
    <row r="32">
      <c r="A32" s="86" t="n"/>
      <c r="B32" s="87">
        <f>IF(AND(LEN(TRIM($A32))=4,LEFT(TRIM($A32),1)="N",ISNUMBER(--MID(TRIM($A32),2,3)),ISERROR(FIND(".",$A32)),ISERROR(FIND(",",$A32)),ISERROR(FIND("-",$A32)),ISERROR(FIND("+",$A32)),ISERROR(SEARCH("E",$A32,2)),ISERROR(FIND(" ",TRIM($A32)))),0,"")</f>
        <v/>
      </c>
      <c r="C32" s="339" t="n"/>
      <c r="D32" s="335">
        <f>IF(AND(A32="",A31&lt;&gt;"",COUNTIF(A33:$A$200,"&lt;&gt;")=0),ROUND(SUMIF($A$2:A31,"&lt;&gt;",$D$2:D31),2),IF(OR(A32="",B32="",C32=""),"",ROUND(B32*C32,2)))</f>
        <v/>
      </c>
      <c r="E32" s="89" t="n"/>
      <c r="F32" s="335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 t="n"/>
      <c r="H32" s="335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 t="n"/>
      <c r="J32" s="335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 t="n"/>
      <c r="L32" s="335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>
        <f>IF(OR(posicao_contratual!J32="",posicao_contratual!N32=""),"",ROUND(MAX(posicao_contratual!J32+posicao_contratual!H32-posicao_contratual!N32,0),2))</f>
        <v/>
      </c>
      <c r="N32" s="335">
        <f>IF(AND(A32="",A31&lt;&gt;"",COUNTIF(A33:$A$200,"&lt;&gt;")=0),ROUND(SUMIF($A$2:A31,"&lt;&gt;",$N$2:N31),2),IF(OR(M32="",C32="",NOT(ISNUMBER($Z$3))),"",ROUND(M32*C32*$Z$3,2)))</f>
        <v/>
      </c>
      <c r="O32" s="90">
        <f>IF(OR(posicao_contratual!N32="",posicao_contratual!R32=""),"",ROUND(MAX(posicao_contratual!N32+posicao_contratual!L32-posicao_contratual!R32,0),2))</f>
        <v/>
      </c>
      <c r="P32" s="335">
        <f>IF(AND(A32="",A31&lt;&gt;"",COUNTIF(A33:$A$200,"&lt;&gt;")=0),ROUND(SUMIF($A$2:A31,"&lt;&gt;",$P$2:P31),2),IF(OR(O32="",C32="",NOT(ISNUMBER($Z$4))),"",ROUND(O32*C32*$Z$4,2)))</f>
        <v/>
      </c>
      <c r="Q32" s="90">
        <f>IF(OR(posicao_contratual!R32="",posicao_contratual!V32=""),"",ROUND(MAX(posicao_contratual!R32+posicao_contratual!P32-posicao_contratual!V32,0),2))</f>
        <v/>
      </c>
      <c r="R32" s="335">
        <f>IF(AND(A32="",A31&lt;&gt;"",COUNTIF(A33:$A$200,"&lt;&gt;")=0),ROUND(SUMIF($A$2:A31,"&lt;&gt;",$R$2:R31),2),IF(OR(Q32="",C32="",NOT(ISNUMBER($Z$5))),"",ROUND(Q32*C32*$Z$5,2)))</f>
        <v/>
      </c>
      <c r="S32" s="22" t="n"/>
      <c r="T32" s="340" t="n"/>
      <c r="U32" s="91">
        <f>IF(AND(A32="",A31&lt;&gt;"",COUNTIF(A33:$A$200,"&lt;&gt;")=0),"TOTAL",IF(A32="","",posicao_contratual!X32))</f>
        <v/>
      </c>
      <c r="V32" s="91">
        <f>IF(A32="","",posicao_contratual!X32)</f>
        <v/>
      </c>
      <c r="W32" s="14" t="n"/>
      <c r="X32" s="14" t="n"/>
      <c r="Y32" s="14" t="n"/>
      <c r="Z32" s="13" t="n"/>
      <c r="AA32" s="13" t="n"/>
      <c r="AB32" s="90">
        <f>IF(OR(A32="",posicao_contratual!E32="",posicao_contratual!J32=""),"",ROUND(MAX(posicao_contratual!E32-posicao_contratual!J32,0),2))</f>
        <v/>
      </c>
      <c r="AC32" s="335">
        <f>IF(AND(A32="",A31&lt;&gt;"",COUNTIF(A33:$A$200,"&lt;&gt;")=0),ROUND(SUMIF($A$2:A31,"&lt;&gt;",$AC$2:AC31),2),IF(OR(AB32="",C32="",NOT(ISNUMBER($Z$2))),"",ROUND(AB32*C32*$Z$2,2)))</f>
        <v/>
      </c>
      <c r="AD32" s="155">
        <f>IF(A32="","",posicao_contratual!E32)</f>
        <v/>
      </c>
      <c r="AE32" s="155">
        <f>IF(A32="","",posicao_contratual!I32)</f>
        <v/>
      </c>
      <c r="AF32" s="155">
        <f>IF(A32="","",posicao_contratual!M32)</f>
        <v/>
      </c>
      <c r="AG32" s="155">
        <f>IF(A32="","",posicao_contratual!Q32)</f>
        <v/>
      </c>
      <c r="AH32" s="155">
        <f>IF(A32="","",posicao_contratual!U32)</f>
        <v/>
      </c>
      <c r="AI32" s="155">
        <f>IF(A32="","",posicao_contratual!G32)</f>
        <v/>
      </c>
      <c r="AJ32" s="155">
        <f>IF(A32="","",posicao_contratual!K32)</f>
        <v/>
      </c>
      <c r="AK32" s="155">
        <f>IF(A32="","",posicao_contratual!O32)</f>
        <v/>
      </c>
      <c r="AL32" s="155">
        <f>IF(A32="","",posicao_contratual!S32)</f>
        <v/>
      </c>
      <c r="AM32" s="155">
        <f>IF(A32="","",posicao_contratual!W32)</f>
        <v/>
      </c>
      <c r="AN32" s="156">
        <f>IF(A32="","",posicao_contratual!X32)</f>
        <v/>
      </c>
      <c r="AO32">
        <f>IF($A32="","",ROUND(SUMIFS(itens_Consumidos!$E$2:$E$200,itens_Consumidos!$A$2:$A$200,$A32),2))</f>
        <v/>
      </c>
      <c r="AP32">
        <f>IF(OR($A32="",AB32=""),"",ROUND(MAX(AB32-AO32,0),2))</f>
        <v/>
      </c>
      <c r="AQ32">
        <f>IF(OR($A32="",AB32="",MEMORIA_RESULTADOS!$I$258=""),"",ROUND(AB32*$C32*(MEMORIA_RESULTADOS!$I$258-1),2))</f>
        <v/>
      </c>
      <c r="AR32">
        <f>IF(OR($A32="",AP32="",MEMORIA_RESULTADOS!$I$258=""),"",ROUND(AP32*$C32*(parametros!$F$2-MEMORIA_RESULTADOS!$I$258),2))</f>
        <v/>
      </c>
      <c r="AS32">
        <f>IF($A32="","",ROUND(SUMIFS(itens_Consumidos!$G$2:$G$200,itens_Consumidos!$A$2:$A$200,$A32),2))</f>
        <v/>
      </c>
      <c r="AT32">
        <f>IF(OR($A32="",M32=""),"",ROUND(MAX(M32-AS32,0),2))</f>
        <v/>
      </c>
      <c r="AU32">
        <f>IF(OR($A32="",M32="",MEMORIA_RESULTADOS!$I$259=""),"",ROUND(M32*$C32*(MEMORIA_RESULTADOS!$I$259-1),2))</f>
        <v/>
      </c>
      <c r="AV32">
        <f>IF(OR($A32="",AT32="",MEMORIA_RESULTADOS!$I$259=""),"",ROUND(AT32*$C32*(parametros!$F$3-MEMORIA_RESULTADOS!$I$259),2))</f>
        <v/>
      </c>
      <c r="AW32">
        <f>IF($A32="","",ROUND(SUMIFS(itens_Consumidos!$I$2:$I$200,itens_Consumidos!$A$2:$A$200,$A32),2))</f>
        <v/>
      </c>
      <c r="AX32">
        <f>IF(OR($A32="",O32=""),"",ROUND(MAX(O32-AW32,0),2))</f>
        <v/>
      </c>
      <c r="AY32">
        <f>IF(OR($A32="",O32="",MEMORIA_RESULTADOS!$I$260=""),"",ROUND(O32*$C32*(MEMORIA_RESULTADOS!$I$260-1),2))</f>
        <v/>
      </c>
      <c r="AZ32">
        <f>IF(OR($A32="",AX32="",MEMORIA_RESULTADOS!$I$260=""),"",ROUND(AX32*$C32*(parametros!$F$4-MEMORIA_RESULTADOS!$I$260),2))</f>
        <v/>
      </c>
      <c r="BA32">
        <f>IF($A32="","",ROUND(SUMIFS(itens_Consumidos!$K$2:$K$200,itens_Consumidos!$A$2:$A$200,$A32),2))</f>
        <v/>
      </c>
      <c r="BB32">
        <f>IF(OR($A32="",Q32=""),"",ROUND(MAX(Q32-BA32,0),2))</f>
        <v/>
      </c>
      <c r="BC32">
        <f>IF(OR($A32="",Q32="",MEMORIA_RESULTADOS!$I$261=""),"",ROUND(Q32*$C32*(MEMORIA_RESULTADOS!$I$261-1),2))</f>
        <v/>
      </c>
      <c r="BD32">
        <f>IF(OR($A32="",BB32="",MEMORIA_RESULTADOS!$I$261=""),"",ROUND(BB32*$C32*(parametros!$F$5-MEMORIA_RESULTADOS!$I$261),2))</f>
        <v/>
      </c>
      <c r="BE32">
        <f>IF($A32="","",ROUND(SUMIFS(itens_Consumidos!$M$2:$M$200,itens_Consumidos!$A$2:$A$200,$A32),2))</f>
        <v/>
      </c>
      <c r="BF32">
        <f>IF(OR($A32="",S32=""),"",ROUND(MAX(S32-BE32,0),2))</f>
        <v/>
      </c>
      <c r="BG32">
        <f>IF(OR($A32="",S32="",MEMORIA_RESULTADOS!$I$262=""),"",ROUND(S32*$C32*(MEMORIA_RESULTADOS!$I$262-1),2))</f>
        <v/>
      </c>
      <c r="BH32">
        <f>IF(OR($A32="",BF32="",MEMORIA_RESULTADOS!$I$262=""),"",ROUND(BF32*$C32*(parametros!$F$6-MEMORIA_RESULTADOS!$I$262),2))</f>
        <v/>
      </c>
    </row>
    <row r="33">
      <c r="A33" s="86" t="n"/>
      <c r="B33" s="87">
        <f>IF(AND(LEN(TRIM($A33))=4,LEFT(TRIM($A33),1)="N",ISNUMBER(--MID(TRIM($A33),2,3)),ISERROR(FIND(".",$A33)),ISERROR(FIND(",",$A33)),ISERROR(FIND("-",$A33)),ISERROR(FIND("+",$A33)),ISERROR(SEARCH("E",$A33,2)),ISERROR(FIND(" ",TRIM($A33)))),0,"")</f>
        <v/>
      </c>
      <c r="C33" s="339" t="n"/>
      <c r="D33" s="335">
        <f>IF(AND(A33="",A32&lt;&gt;"",COUNTIF(A34:$A$200,"&lt;&gt;")=0),ROUND(SUMIF($A$2:A32,"&lt;&gt;",$D$2:D32),2),IF(OR(A33="",B33="",C33=""),"",ROUND(B33*C33,2)))</f>
        <v/>
      </c>
      <c r="E33" s="89" t="n"/>
      <c r="F33" s="335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 t="n"/>
      <c r="H33" s="335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 t="n"/>
      <c r="J33" s="335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 t="n"/>
      <c r="L33" s="335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>
        <f>IF(OR(posicao_contratual!J33="",posicao_contratual!N33=""),"",ROUND(MAX(posicao_contratual!J33+posicao_contratual!H33-posicao_contratual!N33,0),2))</f>
        <v/>
      </c>
      <c r="N33" s="335">
        <f>IF(AND(A33="",A32&lt;&gt;"",COUNTIF(A34:$A$200,"&lt;&gt;")=0),ROUND(SUMIF($A$2:A32,"&lt;&gt;",$N$2:N32),2),IF(OR(M33="",C33="",NOT(ISNUMBER($Z$3))),"",ROUND(M33*C33*$Z$3,2)))</f>
        <v/>
      </c>
      <c r="O33" s="90">
        <f>IF(OR(posicao_contratual!N33="",posicao_contratual!R33=""),"",ROUND(MAX(posicao_contratual!N33+posicao_contratual!L33-posicao_contratual!R33,0),2))</f>
        <v/>
      </c>
      <c r="P33" s="335">
        <f>IF(AND(A33="",A32&lt;&gt;"",COUNTIF(A34:$A$200,"&lt;&gt;")=0),ROUND(SUMIF($A$2:A32,"&lt;&gt;",$P$2:P32),2),IF(OR(O33="",C33="",NOT(ISNUMBER($Z$4))),"",ROUND(O33*C33*$Z$4,2)))</f>
        <v/>
      </c>
      <c r="Q33" s="90">
        <f>IF(OR(posicao_contratual!R33="",posicao_contratual!V33=""),"",ROUND(MAX(posicao_contratual!R33+posicao_contratual!P33-posicao_contratual!V33,0),2))</f>
        <v/>
      </c>
      <c r="R33" s="335">
        <f>IF(AND(A33="",A32&lt;&gt;"",COUNTIF(A34:$A$200,"&lt;&gt;")=0),ROUND(SUMIF($A$2:A32,"&lt;&gt;",$R$2:R32),2),IF(OR(Q33="",C33="",NOT(ISNUMBER($Z$5))),"",ROUND(Q33*C33*$Z$5,2)))</f>
        <v/>
      </c>
      <c r="S33" s="22" t="n"/>
      <c r="T33" s="340" t="n"/>
      <c r="U33" s="91">
        <f>IF(AND(A33="",A32&lt;&gt;"",COUNTIF(A34:$A$200,"&lt;&gt;")=0),"TOTAL",IF(A33="","",posicao_contratual!X33))</f>
        <v/>
      </c>
      <c r="V33" s="91">
        <f>IF(A33="","",posicao_contratual!X33)</f>
        <v/>
      </c>
      <c r="W33" s="14" t="n"/>
      <c r="X33" s="14" t="n"/>
      <c r="Y33" s="14" t="n"/>
      <c r="Z33" s="13" t="n"/>
      <c r="AA33" s="13" t="n"/>
      <c r="AB33" s="90">
        <f>IF(OR(A33="",posicao_contratual!E33="",posicao_contratual!J33=""),"",ROUND(MAX(posicao_contratual!E33-posicao_contratual!J33,0),2))</f>
        <v/>
      </c>
      <c r="AC33" s="335">
        <f>IF(AND(A33="",A32&lt;&gt;"",COUNTIF(A34:$A$200,"&lt;&gt;")=0),ROUND(SUMIF($A$2:A32,"&lt;&gt;",$AC$2:AC32),2),IF(OR(AB33="",C33="",NOT(ISNUMBER($Z$2))),"",ROUND(AB33*C33*$Z$2,2)))</f>
        <v/>
      </c>
      <c r="AD33" s="155">
        <f>IF(A33="","",posicao_contratual!E33)</f>
        <v/>
      </c>
      <c r="AE33" s="155">
        <f>IF(A33="","",posicao_contratual!I33)</f>
        <v/>
      </c>
      <c r="AF33" s="155">
        <f>IF(A33="","",posicao_contratual!M33)</f>
        <v/>
      </c>
      <c r="AG33" s="155">
        <f>IF(A33="","",posicao_contratual!Q33)</f>
        <v/>
      </c>
      <c r="AH33" s="155">
        <f>IF(A33="","",posicao_contratual!U33)</f>
        <v/>
      </c>
      <c r="AI33" s="155">
        <f>IF(A33="","",posicao_contratual!G33)</f>
        <v/>
      </c>
      <c r="AJ33" s="155">
        <f>IF(A33="","",posicao_contratual!K33)</f>
        <v/>
      </c>
      <c r="AK33" s="155">
        <f>IF(A33="","",posicao_contratual!O33)</f>
        <v/>
      </c>
      <c r="AL33" s="155">
        <f>IF(A33="","",posicao_contratual!S33)</f>
        <v/>
      </c>
      <c r="AM33" s="155">
        <f>IF(A33="","",posicao_contratual!W33)</f>
        <v/>
      </c>
      <c r="AN33" s="156">
        <f>IF(A33="","",posicao_contratual!X33)</f>
        <v/>
      </c>
      <c r="AO33">
        <f>IF($A33="","",ROUND(SUMIFS(itens_Consumidos!$E$2:$E$200,itens_Consumidos!$A$2:$A$200,$A33),2))</f>
        <v/>
      </c>
      <c r="AP33">
        <f>IF(OR($A33="",AB33=""),"",ROUND(MAX(AB33-AO33,0),2))</f>
        <v/>
      </c>
      <c r="AQ33">
        <f>IF(OR($A33="",AB33="",MEMORIA_RESULTADOS!$I$258=""),"",ROUND(AB33*$C33*(MEMORIA_RESULTADOS!$I$258-1),2))</f>
        <v/>
      </c>
      <c r="AR33">
        <f>IF(OR($A33="",AP33="",MEMORIA_RESULTADOS!$I$258=""),"",ROUND(AP33*$C33*(parametros!$F$2-MEMORIA_RESULTADOS!$I$258),2))</f>
        <v/>
      </c>
      <c r="AS33">
        <f>IF($A33="","",ROUND(SUMIFS(itens_Consumidos!$G$2:$G$200,itens_Consumidos!$A$2:$A$200,$A33),2))</f>
        <v/>
      </c>
      <c r="AT33">
        <f>IF(OR($A33="",M33=""),"",ROUND(MAX(M33-AS33,0),2))</f>
        <v/>
      </c>
      <c r="AU33">
        <f>IF(OR($A33="",M33="",MEMORIA_RESULTADOS!$I$259=""),"",ROUND(M33*$C33*(MEMORIA_RESULTADOS!$I$259-1),2))</f>
        <v/>
      </c>
      <c r="AV33">
        <f>IF(OR($A33="",AT33="",MEMORIA_RESULTADOS!$I$259=""),"",ROUND(AT33*$C33*(parametros!$F$3-MEMORIA_RESULTADOS!$I$259),2))</f>
        <v/>
      </c>
      <c r="AW33">
        <f>IF($A33="","",ROUND(SUMIFS(itens_Consumidos!$I$2:$I$200,itens_Consumidos!$A$2:$A$200,$A33),2))</f>
        <v/>
      </c>
      <c r="AX33">
        <f>IF(OR($A33="",O33=""),"",ROUND(MAX(O33-AW33,0),2))</f>
        <v/>
      </c>
      <c r="AY33">
        <f>IF(OR($A33="",O33="",MEMORIA_RESULTADOS!$I$260=""),"",ROUND(O33*$C33*(MEMORIA_RESULTADOS!$I$260-1),2))</f>
        <v/>
      </c>
      <c r="AZ33">
        <f>IF(OR($A33="",AX33="",MEMORIA_RESULTADOS!$I$260=""),"",ROUND(AX33*$C33*(parametros!$F$4-MEMORIA_RESULTADOS!$I$260),2))</f>
        <v/>
      </c>
      <c r="BA33">
        <f>IF($A33="","",ROUND(SUMIFS(itens_Consumidos!$K$2:$K$200,itens_Consumidos!$A$2:$A$200,$A33),2))</f>
        <v/>
      </c>
      <c r="BB33">
        <f>IF(OR($A33="",Q33=""),"",ROUND(MAX(Q33-BA33,0),2))</f>
        <v/>
      </c>
      <c r="BC33">
        <f>IF(OR($A33="",Q33="",MEMORIA_RESULTADOS!$I$261=""),"",ROUND(Q33*$C33*(MEMORIA_RESULTADOS!$I$261-1),2))</f>
        <v/>
      </c>
      <c r="BD33">
        <f>IF(OR($A33="",BB33="",MEMORIA_RESULTADOS!$I$261=""),"",ROUND(BB33*$C33*(parametros!$F$5-MEMORIA_RESULTADOS!$I$261),2))</f>
        <v/>
      </c>
      <c r="BE33">
        <f>IF($A33="","",ROUND(SUMIFS(itens_Consumidos!$M$2:$M$200,itens_Consumidos!$A$2:$A$200,$A33),2))</f>
        <v/>
      </c>
      <c r="BF33">
        <f>IF(OR($A33="",S33=""),"",ROUND(MAX(S33-BE33,0),2))</f>
        <v/>
      </c>
      <c r="BG33">
        <f>IF(OR($A33="",S33="",MEMORIA_RESULTADOS!$I$262=""),"",ROUND(S33*$C33*(MEMORIA_RESULTADOS!$I$262-1),2))</f>
        <v/>
      </c>
      <c r="BH33">
        <f>IF(OR($A33="",BF33="",MEMORIA_RESULTADOS!$I$262=""),"",ROUND(BF33*$C33*(parametros!$F$6-MEMORIA_RESULTADOS!$I$262),2))</f>
        <v/>
      </c>
    </row>
    <row r="34">
      <c r="A34" s="86" t="n"/>
      <c r="B34" s="87">
        <f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339" t="n"/>
      <c r="D34" s="335">
        <f>IF(AND(A34="",A33&lt;&gt;"",COUNTIF(A35:$A$200,"&lt;&gt;")=0),ROUND(SUMIF($A$2:A33,"&lt;&gt;",$D$2:D33),2),IF(OR(A34="",B34="",C34=""),"",ROUND(B34*C34,2)))</f>
        <v/>
      </c>
      <c r="E34" s="89" t="n"/>
      <c r="F34" s="335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 t="n"/>
      <c r="H34" s="335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 t="n"/>
      <c r="J34" s="335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 t="n"/>
      <c r="L34" s="335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>
        <f>IF(OR(posicao_contratual!J34="",posicao_contratual!N34=""),"",ROUND(MAX(posicao_contratual!J34+posicao_contratual!H34-posicao_contratual!N34,0),2))</f>
        <v/>
      </c>
      <c r="N34" s="335">
        <f>IF(AND(A34="",A33&lt;&gt;"",COUNTIF(A35:$A$200,"&lt;&gt;")=0),ROUND(SUMIF($A$2:A33,"&lt;&gt;",$N$2:N33),2),IF(OR(M34="",C34="",NOT(ISNUMBER($Z$3))),"",ROUND(M34*C34*$Z$3,2)))</f>
        <v/>
      </c>
      <c r="O34" s="90">
        <f>IF(OR(posicao_contratual!N34="",posicao_contratual!R34=""),"",ROUND(MAX(posicao_contratual!N34+posicao_contratual!L34-posicao_contratual!R34,0),2))</f>
        <v/>
      </c>
      <c r="P34" s="335">
        <f>IF(AND(A34="",A33&lt;&gt;"",COUNTIF(A35:$A$200,"&lt;&gt;")=0),ROUND(SUMIF($A$2:A33,"&lt;&gt;",$P$2:P33),2),IF(OR(O34="",C34="",NOT(ISNUMBER($Z$4))),"",ROUND(O34*C34*$Z$4,2)))</f>
        <v/>
      </c>
      <c r="Q34" s="90">
        <f>IF(OR(posicao_contratual!R34="",posicao_contratual!V34=""),"",ROUND(MAX(posicao_contratual!R34+posicao_contratual!P34-posicao_contratual!V34,0),2))</f>
        <v/>
      </c>
      <c r="R34" s="335">
        <f>IF(AND(A34="",A33&lt;&gt;"",COUNTIF(A35:$A$200,"&lt;&gt;")=0),ROUND(SUMIF($A$2:A33,"&lt;&gt;",$R$2:R33),2),IF(OR(Q34="",C34="",NOT(ISNUMBER($Z$5))),"",ROUND(Q34*C34*$Z$5,2)))</f>
        <v/>
      </c>
      <c r="S34" s="22" t="n"/>
      <c r="T34" s="340" t="n"/>
      <c r="U34" s="91">
        <f>IF(AND(A34="",A33&lt;&gt;"",COUNTIF(A35:$A$200,"&lt;&gt;")=0),"TOTAL",IF(A34="","",posicao_contratual!X34))</f>
        <v/>
      </c>
      <c r="V34" s="91">
        <f>IF(A34="","",posicao_contratual!X34)</f>
        <v/>
      </c>
      <c r="W34" s="14" t="n"/>
      <c r="X34" s="14" t="n"/>
      <c r="Y34" s="14" t="n"/>
      <c r="Z34" s="13" t="n"/>
      <c r="AA34" s="13" t="n"/>
      <c r="AB34" s="90">
        <f>IF(OR(A34="",posicao_contratual!E34="",posicao_contratual!J34=""),"",ROUND(MAX(posicao_contratual!E34-posicao_contratual!J34,0),2))</f>
        <v/>
      </c>
      <c r="AC34" s="335">
        <f>IF(AND(A34="",A33&lt;&gt;"",COUNTIF(A35:$A$200,"&lt;&gt;")=0),ROUND(SUMIF($A$2:A33,"&lt;&gt;",$AC$2:AC33),2),IF(OR(AB34="",C34="",NOT(ISNUMBER($Z$2))),"",ROUND(AB34*C34*$Z$2,2)))</f>
        <v/>
      </c>
      <c r="AD34" s="155">
        <f>IF(A34="","",posicao_contratual!E34)</f>
        <v/>
      </c>
      <c r="AE34" s="155">
        <f>IF(A34="","",posicao_contratual!I34)</f>
        <v/>
      </c>
      <c r="AF34" s="155">
        <f>IF(A34="","",posicao_contratual!M34)</f>
        <v/>
      </c>
      <c r="AG34" s="155">
        <f>IF(A34="","",posicao_contratual!Q34)</f>
        <v/>
      </c>
      <c r="AH34" s="155">
        <f>IF(A34="","",posicao_contratual!U34)</f>
        <v/>
      </c>
      <c r="AI34" s="155">
        <f>IF(A34="","",posicao_contratual!G34)</f>
        <v/>
      </c>
      <c r="AJ34" s="155">
        <f>IF(A34="","",posicao_contratual!K34)</f>
        <v/>
      </c>
      <c r="AK34" s="155">
        <f>IF(A34="","",posicao_contratual!O34)</f>
        <v/>
      </c>
      <c r="AL34" s="155">
        <f>IF(A34="","",posicao_contratual!S34)</f>
        <v/>
      </c>
      <c r="AM34" s="155">
        <f>IF(A34="","",posicao_contratual!W34)</f>
        <v/>
      </c>
      <c r="AN34" s="156">
        <f>IF(A34="","",posicao_contratual!X34)</f>
        <v/>
      </c>
      <c r="AO34">
        <f>IF($A34="","",ROUND(SUMIFS(itens_Consumidos!$E$2:$E$200,itens_Consumidos!$A$2:$A$200,$A34),2))</f>
        <v/>
      </c>
      <c r="AP34">
        <f>IF(OR($A34="",AB34=""),"",ROUND(MAX(AB34-AO34,0),2))</f>
        <v/>
      </c>
      <c r="AQ34">
        <f>IF(OR($A34="",AB34="",MEMORIA_RESULTADOS!$I$258=""),"",ROUND(AB34*$C34*(MEMORIA_RESULTADOS!$I$258-1),2))</f>
        <v/>
      </c>
      <c r="AR34">
        <f>IF(OR($A34="",AP34="",MEMORIA_RESULTADOS!$I$258=""),"",ROUND(AP34*$C34*(parametros!$F$2-MEMORIA_RESULTADOS!$I$258),2))</f>
        <v/>
      </c>
      <c r="AS34">
        <f>IF($A34="","",ROUND(SUMIFS(itens_Consumidos!$G$2:$G$200,itens_Consumidos!$A$2:$A$200,$A34),2))</f>
        <v/>
      </c>
      <c r="AT34">
        <f>IF(OR($A34="",M34=""),"",ROUND(MAX(M34-AS34,0),2))</f>
        <v/>
      </c>
      <c r="AU34">
        <f>IF(OR($A34="",M34="",MEMORIA_RESULTADOS!$I$259=""),"",ROUND(M34*$C34*(MEMORIA_RESULTADOS!$I$259-1),2))</f>
        <v/>
      </c>
      <c r="AV34">
        <f>IF(OR($A34="",AT34="",MEMORIA_RESULTADOS!$I$259=""),"",ROUND(AT34*$C34*(parametros!$F$3-MEMORIA_RESULTADOS!$I$259),2))</f>
        <v/>
      </c>
      <c r="AW34">
        <f>IF($A34="","",ROUND(SUMIFS(itens_Consumidos!$I$2:$I$200,itens_Consumidos!$A$2:$A$200,$A34),2))</f>
        <v/>
      </c>
      <c r="AX34">
        <f>IF(OR($A34="",O34=""),"",ROUND(MAX(O34-AW34,0),2))</f>
        <v/>
      </c>
      <c r="AY34">
        <f>IF(OR($A34="",O34="",MEMORIA_RESULTADOS!$I$260=""),"",ROUND(O34*$C34*(MEMORIA_RESULTADOS!$I$260-1),2))</f>
        <v/>
      </c>
      <c r="AZ34">
        <f>IF(OR($A34="",AX34="",MEMORIA_RESULTADOS!$I$260=""),"",ROUND(AX34*$C34*(parametros!$F$4-MEMORIA_RESULTADOS!$I$260),2))</f>
        <v/>
      </c>
      <c r="BA34">
        <f>IF($A34="","",ROUND(SUMIFS(itens_Consumidos!$K$2:$K$200,itens_Consumidos!$A$2:$A$200,$A34),2))</f>
        <v/>
      </c>
      <c r="BB34">
        <f>IF(OR($A34="",Q34=""),"",ROUND(MAX(Q34-BA34,0),2))</f>
        <v/>
      </c>
      <c r="BC34">
        <f>IF(OR($A34="",Q34="",MEMORIA_RESULTADOS!$I$261=""),"",ROUND(Q34*$C34*(MEMORIA_RESULTADOS!$I$261-1),2))</f>
        <v/>
      </c>
      <c r="BD34">
        <f>IF(OR($A34="",BB34="",MEMORIA_RESULTADOS!$I$261=""),"",ROUND(BB34*$C34*(parametros!$F$5-MEMORIA_RESULTADOS!$I$261),2))</f>
        <v/>
      </c>
      <c r="BE34">
        <f>IF($A34="","",ROUND(SUMIFS(itens_Consumidos!$M$2:$M$200,itens_Consumidos!$A$2:$A$200,$A34),2))</f>
        <v/>
      </c>
      <c r="BF34">
        <f>IF(OR($A34="",S34=""),"",ROUND(MAX(S34-BE34,0),2))</f>
        <v/>
      </c>
      <c r="BG34">
        <f>IF(OR($A34="",S34="",MEMORIA_RESULTADOS!$I$262=""),"",ROUND(S34*$C34*(MEMORIA_RESULTADOS!$I$262-1),2))</f>
        <v/>
      </c>
      <c r="BH34">
        <f>IF(OR($A34="",BF34="",MEMORIA_RESULTADOS!$I$262=""),"",ROUND(BF34*$C34*(parametros!$F$6-MEMORIA_RESULTADOS!$I$262),2))</f>
        <v/>
      </c>
    </row>
    <row r="35">
      <c r="A35" s="86" t="n"/>
      <c r="B35" s="87">
        <f>IF(AND(LEN(TRIM($A35))=4,LEFT(TRIM($A35),1)="N",ISNUMBER(--MID(TRIM($A35),2,3)),ISERROR(FIND(".",$A35)),ISERROR(FIND(",",$A35)),ISERROR(FIND("-",$A35)),ISERROR(FIND("+",$A35)),ISERROR(SEARCH("E",$A35,2)),ISERROR(FIND(" ",TRIM($A35)))),0,"")</f>
        <v/>
      </c>
      <c r="C35" s="339" t="n"/>
      <c r="D35" s="335">
        <f>IF(AND(A35="",A34&lt;&gt;"",COUNTIF(A36:$A$200,"&lt;&gt;")=0),ROUND(SUMIF($A$2:A34,"&lt;&gt;",$D$2:D34),2),IF(OR(A35="",B35="",C35=""),"",ROUND(B35*C35,2)))</f>
        <v/>
      </c>
      <c r="E35" s="89" t="n"/>
      <c r="F35" s="335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 t="n"/>
      <c r="H35" s="335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 t="n"/>
      <c r="J35" s="335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 t="n"/>
      <c r="L35" s="335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>
        <f>IF(OR(posicao_contratual!J35="",posicao_contratual!N35=""),"",ROUND(MAX(posicao_contratual!J35+posicao_contratual!H35-posicao_contratual!N35,0),2))</f>
        <v/>
      </c>
      <c r="N35" s="335">
        <f>IF(AND(A35="",A34&lt;&gt;"",COUNTIF(A36:$A$200,"&lt;&gt;")=0),ROUND(SUMIF($A$2:A34,"&lt;&gt;",$N$2:N34),2),IF(OR(M35="",C35="",NOT(ISNUMBER($Z$3))),"",ROUND(M35*C35*$Z$3,2)))</f>
        <v/>
      </c>
      <c r="O35" s="90">
        <f>IF(OR(posicao_contratual!N35="",posicao_contratual!R35=""),"",ROUND(MAX(posicao_contratual!N35+posicao_contratual!L35-posicao_contratual!R35,0),2))</f>
        <v/>
      </c>
      <c r="P35" s="335">
        <f>IF(AND(A35="",A34&lt;&gt;"",COUNTIF(A36:$A$200,"&lt;&gt;")=0),ROUND(SUMIF($A$2:A34,"&lt;&gt;",$P$2:P34),2),IF(OR(O35="",C35="",NOT(ISNUMBER($Z$4))),"",ROUND(O35*C35*$Z$4,2)))</f>
        <v/>
      </c>
      <c r="Q35" s="90">
        <f>IF(OR(posicao_contratual!R35="",posicao_contratual!V35=""),"",ROUND(MAX(posicao_contratual!R35+posicao_contratual!P35-posicao_contratual!V35,0),2))</f>
        <v/>
      </c>
      <c r="R35" s="335">
        <f>IF(AND(A35="",A34&lt;&gt;"",COUNTIF(A36:$A$200,"&lt;&gt;")=0),ROUND(SUMIF($A$2:A34,"&lt;&gt;",$R$2:R34),2),IF(OR(Q35="",C35="",NOT(ISNUMBER($Z$5))),"",ROUND(Q35*C35*$Z$5,2)))</f>
        <v/>
      </c>
      <c r="S35" s="22" t="n"/>
      <c r="T35" s="340" t="n"/>
      <c r="U35" s="91">
        <f>IF(AND(A35="",A34&lt;&gt;"",COUNTIF(A36:$A$200,"&lt;&gt;")=0),"TOTAL",IF(A35="","",posicao_contratual!X35))</f>
        <v/>
      </c>
      <c r="V35" s="91">
        <f>IF(A35="","",posicao_contratual!X35)</f>
        <v/>
      </c>
      <c r="W35" s="14" t="n"/>
      <c r="X35" s="14" t="n"/>
      <c r="Y35" s="14" t="n"/>
      <c r="Z35" s="13" t="n"/>
      <c r="AA35" s="13" t="n"/>
      <c r="AB35" s="90">
        <f>IF(OR(A35="",posicao_contratual!E35="",posicao_contratual!J35=""),"",ROUND(MAX(posicao_contratual!E35-posicao_contratual!J35,0),2))</f>
        <v/>
      </c>
      <c r="AC35" s="335">
        <f>IF(AND(A35="",A34&lt;&gt;"",COUNTIF(A36:$A$200,"&lt;&gt;")=0),ROUND(SUMIF($A$2:A34,"&lt;&gt;",$AC$2:AC34),2),IF(OR(AB35="",C35="",NOT(ISNUMBER($Z$2))),"",ROUND(AB35*C35*$Z$2,2)))</f>
        <v/>
      </c>
      <c r="AD35" s="155">
        <f>IF(A35="","",posicao_contratual!E35)</f>
        <v/>
      </c>
      <c r="AE35" s="155">
        <f>IF(A35="","",posicao_contratual!I35)</f>
        <v/>
      </c>
      <c r="AF35" s="155">
        <f>IF(A35="","",posicao_contratual!M35)</f>
        <v/>
      </c>
      <c r="AG35" s="155">
        <f>IF(A35="","",posicao_contratual!Q35)</f>
        <v/>
      </c>
      <c r="AH35" s="155">
        <f>IF(A35="","",posicao_contratual!U35)</f>
        <v/>
      </c>
      <c r="AI35" s="155">
        <f>IF(A35="","",posicao_contratual!G35)</f>
        <v/>
      </c>
      <c r="AJ35" s="155">
        <f>IF(A35="","",posicao_contratual!K35)</f>
        <v/>
      </c>
      <c r="AK35" s="155">
        <f>IF(A35="","",posicao_contratual!O35)</f>
        <v/>
      </c>
      <c r="AL35" s="155">
        <f>IF(A35="","",posicao_contratual!S35)</f>
        <v/>
      </c>
      <c r="AM35" s="155">
        <f>IF(A35="","",posicao_contratual!W35)</f>
        <v/>
      </c>
      <c r="AN35" s="156">
        <f>IF(A35="","",posicao_contratual!X35)</f>
        <v/>
      </c>
      <c r="AO35">
        <f>IF($A35="","",ROUND(SUMIFS(itens_Consumidos!$E$2:$E$200,itens_Consumidos!$A$2:$A$200,$A35),2))</f>
        <v/>
      </c>
      <c r="AP35">
        <f>IF(OR($A35="",AB35=""),"",ROUND(MAX(AB35-AO35,0),2))</f>
        <v/>
      </c>
      <c r="AQ35">
        <f>IF(OR($A35="",AB35="",MEMORIA_RESULTADOS!$I$258=""),"",ROUND(AB35*$C35*(MEMORIA_RESULTADOS!$I$258-1),2))</f>
        <v/>
      </c>
      <c r="AR35">
        <f>IF(OR($A35="",AP35="",MEMORIA_RESULTADOS!$I$258=""),"",ROUND(AP35*$C35*(parametros!$F$2-MEMORIA_RESULTADOS!$I$258),2))</f>
        <v/>
      </c>
      <c r="AS35">
        <f>IF($A35="","",ROUND(SUMIFS(itens_Consumidos!$G$2:$G$200,itens_Consumidos!$A$2:$A$200,$A35),2))</f>
        <v/>
      </c>
      <c r="AT35">
        <f>IF(OR($A35="",M35=""),"",ROUND(MAX(M35-AS35,0),2))</f>
        <v/>
      </c>
      <c r="AU35">
        <f>IF(OR($A35="",M35="",MEMORIA_RESULTADOS!$I$259=""),"",ROUND(M35*$C35*(MEMORIA_RESULTADOS!$I$259-1),2))</f>
        <v/>
      </c>
      <c r="AV35">
        <f>IF(OR($A35="",AT35="",MEMORIA_RESULTADOS!$I$259=""),"",ROUND(AT35*$C35*(parametros!$F$3-MEMORIA_RESULTADOS!$I$259),2))</f>
        <v/>
      </c>
      <c r="AW35">
        <f>IF($A35="","",ROUND(SUMIFS(itens_Consumidos!$I$2:$I$200,itens_Consumidos!$A$2:$A$200,$A35),2))</f>
        <v/>
      </c>
      <c r="AX35">
        <f>IF(OR($A35="",O35=""),"",ROUND(MAX(O35-AW35,0),2))</f>
        <v/>
      </c>
      <c r="AY35">
        <f>IF(OR($A35="",O35="",MEMORIA_RESULTADOS!$I$260=""),"",ROUND(O35*$C35*(MEMORIA_RESULTADOS!$I$260-1),2))</f>
        <v/>
      </c>
      <c r="AZ35">
        <f>IF(OR($A35="",AX35="",MEMORIA_RESULTADOS!$I$260=""),"",ROUND(AX35*$C35*(parametros!$F$4-MEMORIA_RESULTADOS!$I$260),2))</f>
        <v/>
      </c>
      <c r="BA35">
        <f>IF($A35="","",ROUND(SUMIFS(itens_Consumidos!$K$2:$K$200,itens_Consumidos!$A$2:$A$200,$A35),2))</f>
        <v/>
      </c>
      <c r="BB35">
        <f>IF(OR($A35="",Q35=""),"",ROUND(MAX(Q35-BA35,0),2))</f>
        <v/>
      </c>
      <c r="BC35">
        <f>IF(OR($A35="",Q35="",MEMORIA_RESULTADOS!$I$261=""),"",ROUND(Q35*$C35*(MEMORIA_RESULTADOS!$I$261-1),2))</f>
        <v/>
      </c>
      <c r="BD35">
        <f>IF(OR($A35="",BB35="",MEMORIA_RESULTADOS!$I$261=""),"",ROUND(BB35*$C35*(parametros!$F$5-MEMORIA_RESULTADOS!$I$261),2))</f>
        <v/>
      </c>
      <c r="BE35">
        <f>IF($A35="","",ROUND(SUMIFS(itens_Consumidos!$M$2:$M$200,itens_Consumidos!$A$2:$A$200,$A35),2))</f>
        <v/>
      </c>
      <c r="BF35">
        <f>IF(OR($A35="",S35=""),"",ROUND(MAX(S35-BE35,0),2))</f>
        <v/>
      </c>
      <c r="BG35">
        <f>IF(OR($A35="",S35="",MEMORIA_RESULTADOS!$I$262=""),"",ROUND(S35*$C35*(MEMORIA_RESULTADOS!$I$262-1),2))</f>
        <v/>
      </c>
      <c r="BH35">
        <f>IF(OR($A35="",BF35="",MEMORIA_RESULTADOS!$I$262=""),"",ROUND(BF35*$C35*(parametros!$F$6-MEMORIA_RESULTADOS!$I$262),2))</f>
        <v/>
      </c>
    </row>
    <row r="36">
      <c r="A36" s="86" t="n"/>
      <c r="B36" s="87">
        <f>IF(AND(LEN(TRIM($A36))=4,LEFT(TRIM($A36),1)="N",ISNUMBER(--MID(TRIM($A36),2,3)),ISERROR(FIND(".",$A36)),ISERROR(FIND(",",$A36)),ISERROR(FIND("-",$A36)),ISERROR(FIND("+",$A36)),ISERROR(SEARCH("E",$A36,2)),ISERROR(FIND(" ",TRIM($A36)))),0,"")</f>
        <v/>
      </c>
      <c r="C36" s="339" t="n"/>
      <c r="D36" s="335">
        <f>IF(AND(A36="",A35&lt;&gt;"",COUNTIF(A37:$A$200,"&lt;&gt;")=0),ROUND(SUMIF($A$2:A35,"&lt;&gt;",$D$2:D35),2),IF(OR(A36="",B36="",C36=""),"",ROUND(B36*C36,2)))</f>
        <v/>
      </c>
      <c r="E36" s="89" t="n"/>
      <c r="F36" s="335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 t="n"/>
      <c r="H36" s="335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 t="n"/>
      <c r="J36" s="335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 t="n"/>
      <c r="L36" s="335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>
        <f>IF(OR(posicao_contratual!J36="",posicao_contratual!N36=""),"",ROUND(MAX(posicao_contratual!J36+posicao_contratual!H36-posicao_contratual!N36,0),2))</f>
        <v/>
      </c>
      <c r="N36" s="335">
        <f>IF(AND(A36="",A35&lt;&gt;"",COUNTIF(A37:$A$200,"&lt;&gt;")=0),ROUND(SUMIF($A$2:A35,"&lt;&gt;",$N$2:N35),2),IF(OR(M36="",C36="",NOT(ISNUMBER($Z$3))),"",ROUND(M36*C36*$Z$3,2)))</f>
        <v/>
      </c>
      <c r="O36" s="90">
        <f>IF(OR(posicao_contratual!N36="",posicao_contratual!R36=""),"",ROUND(MAX(posicao_contratual!N36+posicao_contratual!L36-posicao_contratual!R36,0),2))</f>
        <v/>
      </c>
      <c r="P36" s="335">
        <f>IF(AND(A36="",A35&lt;&gt;"",COUNTIF(A37:$A$200,"&lt;&gt;")=0),ROUND(SUMIF($A$2:A35,"&lt;&gt;",$P$2:P35),2),IF(OR(O36="",C36="",NOT(ISNUMBER($Z$4))),"",ROUND(O36*C36*$Z$4,2)))</f>
        <v/>
      </c>
      <c r="Q36" s="90">
        <f>IF(OR(posicao_contratual!R36="",posicao_contratual!V36=""),"",ROUND(MAX(posicao_contratual!R36+posicao_contratual!P36-posicao_contratual!V36,0),2))</f>
        <v/>
      </c>
      <c r="R36" s="335">
        <f>IF(AND(A36="",A35&lt;&gt;"",COUNTIF(A37:$A$200,"&lt;&gt;")=0),ROUND(SUMIF($A$2:A35,"&lt;&gt;",$R$2:R35),2),IF(OR(Q36="",C36="",NOT(ISNUMBER($Z$5))),"",ROUND(Q36*C36*$Z$5,2)))</f>
        <v/>
      </c>
      <c r="S36" s="22" t="n"/>
      <c r="T36" s="340" t="n"/>
      <c r="U36" s="91">
        <f>IF(AND(A36="",A35&lt;&gt;"",COUNTIF(A37:$A$200,"&lt;&gt;")=0),"TOTAL",IF(A36="","",posicao_contratual!X36))</f>
        <v/>
      </c>
      <c r="V36" s="91">
        <f>IF(A36="","",posicao_contratual!X36)</f>
        <v/>
      </c>
      <c r="W36" s="14" t="n"/>
      <c r="X36" s="14" t="n"/>
      <c r="Y36" s="14" t="n"/>
      <c r="Z36" s="13" t="n"/>
      <c r="AA36" s="13" t="n"/>
      <c r="AB36" s="90">
        <f>IF(OR(A36="",posicao_contratual!E36="",posicao_contratual!J36=""),"",ROUND(MAX(posicao_contratual!E36-posicao_contratual!J36,0),2))</f>
        <v/>
      </c>
      <c r="AC36" s="335">
        <f>IF(AND(A36="",A35&lt;&gt;"",COUNTIF(A37:$A$200,"&lt;&gt;")=0),ROUND(SUMIF($A$2:A35,"&lt;&gt;",$AC$2:AC35),2),IF(OR(AB36="",C36="",NOT(ISNUMBER($Z$2))),"",ROUND(AB36*C36*$Z$2,2)))</f>
        <v/>
      </c>
      <c r="AD36" s="155">
        <f>IF(A36="","",posicao_contratual!E36)</f>
        <v/>
      </c>
      <c r="AE36" s="155">
        <f>IF(A36="","",posicao_contratual!I36)</f>
        <v/>
      </c>
      <c r="AF36" s="155">
        <f>IF(A36="","",posicao_contratual!M36)</f>
        <v/>
      </c>
      <c r="AG36" s="155">
        <f>IF(A36="","",posicao_contratual!Q36)</f>
        <v/>
      </c>
      <c r="AH36" s="155">
        <f>IF(A36="","",posicao_contratual!U36)</f>
        <v/>
      </c>
      <c r="AI36" s="155">
        <f>IF(A36="","",posicao_contratual!G36)</f>
        <v/>
      </c>
      <c r="AJ36" s="155">
        <f>IF(A36="","",posicao_contratual!K36)</f>
        <v/>
      </c>
      <c r="AK36" s="155">
        <f>IF(A36="","",posicao_contratual!O36)</f>
        <v/>
      </c>
      <c r="AL36" s="155">
        <f>IF(A36="","",posicao_contratual!S36)</f>
        <v/>
      </c>
      <c r="AM36" s="155">
        <f>IF(A36="","",posicao_contratual!W36)</f>
        <v/>
      </c>
      <c r="AN36" s="156">
        <f>IF(A36="","",posicao_contratual!X36)</f>
        <v/>
      </c>
      <c r="AO36">
        <f>IF($A36="","",ROUND(SUMIFS(itens_Consumidos!$E$2:$E$200,itens_Consumidos!$A$2:$A$200,$A36),2))</f>
        <v/>
      </c>
      <c r="AP36">
        <f>IF(OR($A36="",AB36=""),"",ROUND(MAX(AB36-AO36,0),2))</f>
        <v/>
      </c>
      <c r="AQ36">
        <f>IF(OR($A36="",AB36="",MEMORIA_RESULTADOS!$I$258=""),"",ROUND(AB36*$C36*(MEMORIA_RESULTADOS!$I$258-1),2))</f>
        <v/>
      </c>
      <c r="AR36">
        <f>IF(OR($A36="",AP36="",MEMORIA_RESULTADOS!$I$258=""),"",ROUND(AP36*$C36*(parametros!$F$2-MEMORIA_RESULTADOS!$I$258),2))</f>
        <v/>
      </c>
      <c r="AS36">
        <f>IF($A36="","",ROUND(SUMIFS(itens_Consumidos!$G$2:$G$200,itens_Consumidos!$A$2:$A$200,$A36),2))</f>
        <v/>
      </c>
      <c r="AT36">
        <f>IF(OR($A36="",M36=""),"",ROUND(MAX(M36-AS36,0),2))</f>
        <v/>
      </c>
      <c r="AU36">
        <f>IF(OR($A36="",M36="",MEMORIA_RESULTADOS!$I$259=""),"",ROUND(M36*$C36*(MEMORIA_RESULTADOS!$I$259-1),2))</f>
        <v/>
      </c>
      <c r="AV36">
        <f>IF(OR($A36="",AT36="",MEMORIA_RESULTADOS!$I$259=""),"",ROUND(AT36*$C36*(parametros!$F$3-MEMORIA_RESULTADOS!$I$259),2))</f>
        <v/>
      </c>
      <c r="AW36">
        <f>IF($A36="","",ROUND(SUMIFS(itens_Consumidos!$I$2:$I$200,itens_Consumidos!$A$2:$A$200,$A36),2))</f>
        <v/>
      </c>
      <c r="AX36">
        <f>IF(OR($A36="",O36=""),"",ROUND(MAX(O36-AW36,0),2))</f>
        <v/>
      </c>
      <c r="AY36">
        <f>IF(OR($A36="",O36="",MEMORIA_RESULTADOS!$I$260=""),"",ROUND(O36*$C36*(MEMORIA_RESULTADOS!$I$260-1),2))</f>
        <v/>
      </c>
      <c r="AZ36">
        <f>IF(OR($A36="",AX36="",MEMORIA_RESULTADOS!$I$260=""),"",ROUND(AX36*$C36*(parametros!$F$4-MEMORIA_RESULTADOS!$I$260),2))</f>
        <v/>
      </c>
      <c r="BA36">
        <f>IF($A36="","",ROUND(SUMIFS(itens_Consumidos!$K$2:$K$200,itens_Consumidos!$A$2:$A$200,$A36),2))</f>
        <v/>
      </c>
      <c r="BB36">
        <f>IF(OR($A36="",Q36=""),"",ROUND(MAX(Q36-BA36,0),2))</f>
        <v/>
      </c>
      <c r="BC36">
        <f>IF(OR($A36="",Q36="",MEMORIA_RESULTADOS!$I$261=""),"",ROUND(Q36*$C36*(MEMORIA_RESULTADOS!$I$261-1),2))</f>
        <v/>
      </c>
      <c r="BD36">
        <f>IF(OR($A36="",BB36="",MEMORIA_RESULTADOS!$I$261=""),"",ROUND(BB36*$C36*(parametros!$F$5-MEMORIA_RESULTADOS!$I$261),2))</f>
        <v/>
      </c>
      <c r="BE36">
        <f>IF($A36="","",ROUND(SUMIFS(itens_Consumidos!$M$2:$M$200,itens_Consumidos!$A$2:$A$200,$A36),2))</f>
        <v/>
      </c>
      <c r="BF36">
        <f>IF(OR($A36="",S36=""),"",ROUND(MAX(S36-BE36,0),2))</f>
        <v/>
      </c>
      <c r="BG36">
        <f>IF(OR($A36="",S36="",MEMORIA_RESULTADOS!$I$262=""),"",ROUND(S36*$C36*(MEMORIA_RESULTADOS!$I$262-1),2))</f>
        <v/>
      </c>
      <c r="BH36">
        <f>IF(OR($A36="",BF36="",MEMORIA_RESULTADOS!$I$262=""),"",ROUND(BF36*$C36*(parametros!$F$6-MEMORIA_RESULTADOS!$I$262),2))</f>
        <v/>
      </c>
    </row>
    <row r="37">
      <c r="A37" s="86" t="n"/>
      <c r="B37" s="87">
        <f>IF(AND(LEN(TRIM($A37))=4,LEFT(TRIM($A37),1)="N",ISNUMBER(--MID(TRIM($A37),2,3)),ISERROR(FIND(".",$A37)),ISERROR(FIND(",",$A37)),ISERROR(FIND("-",$A37)),ISERROR(FIND("+",$A37)),ISERROR(SEARCH("E",$A37,2)),ISERROR(FIND(" ",TRIM($A37)))),0,"")</f>
        <v/>
      </c>
      <c r="C37" s="339" t="n"/>
      <c r="D37" s="335">
        <f>IF(AND(A37="",A36&lt;&gt;"",COUNTIF(A38:$A$200,"&lt;&gt;")=0),ROUND(SUMIF($A$2:A36,"&lt;&gt;",$D$2:D36),2),IF(OR(A37="",B37="",C37=""),"",ROUND(B37*C37,2)))</f>
        <v/>
      </c>
      <c r="E37" s="89" t="n"/>
      <c r="F37" s="335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 t="n"/>
      <c r="H37" s="335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 t="n"/>
      <c r="J37" s="335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 t="n"/>
      <c r="L37" s="335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>
        <f>IF(OR(posicao_contratual!J37="",posicao_contratual!N37=""),"",ROUND(MAX(posicao_contratual!J37+posicao_contratual!H37-posicao_contratual!N37,0),2))</f>
        <v/>
      </c>
      <c r="N37" s="335">
        <f>IF(AND(A37="",A36&lt;&gt;"",COUNTIF(A38:$A$200,"&lt;&gt;")=0),ROUND(SUMIF($A$2:A36,"&lt;&gt;",$N$2:N36),2),IF(OR(M37="",C37="",NOT(ISNUMBER($Z$3))),"",ROUND(M37*C37*$Z$3,2)))</f>
        <v/>
      </c>
      <c r="O37" s="90">
        <f>IF(OR(posicao_contratual!N37="",posicao_contratual!R37=""),"",ROUND(MAX(posicao_contratual!N37+posicao_contratual!L37-posicao_contratual!R37,0),2))</f>
        <v/>
      </c>
      <c r="P37" s="335">
        <f>IF(AND(A37="",A36&lt;&gt;"",COUNTIF(A38:$A$200,"&lt;&gt;")=0),ROUND(SUMIF($A$2:A36,"&lt;&gt;",$P$2:P36),2),IF(OR(O37="",C37="",NOT(ISNUMBER($Z$4))),"",ROUND(O37*C37*$Z$4,2)))</f>
        <v/>
      </c>
      <c r="Q37" s="90">
        <f>IF(OR(posicao_contratual!R37="",posicao_contratual!V37=""),"",ROUND(MAX(posicao_contratual!R37+posicao_contratual!P37-posicao_contratual!V37,0),2))</f>
        <v/>
      </c>
      <c r="R37" s="335">
        <f>IF(AND(A37="",A36&lt;&gt;"",COUNTIF(A38:$A$200,"&lt;&gt;")=0),ROUND(SUMIF($A$2:A36,"&lt;&gt;",$R$2:R36),2),IF(OR(Q37="",C37="",NOT(ISNUMBER($Z$5))),"",ROUND(Q37*C37*$Z$5,2)))</f>
        <v/>
      </c>
      <c r="S37" s="22" t="n"/>
      <c r="T37" s="340" t="n"/>
      <c r="U37" s="91">
        <f>IF(AND(A37="",A36&lt;&gt;"",COUNTIF(A38:$A$200,"&lt;&gt;")=0),"TOTAL",IF(A37="","",posicao_contratual!X37))</f>
        <v/>
      </c>
      <c r="V37" s="91">
        <f>IF(A37="","",posicao_contratual!X37)</f>
        <v/>
      </c>
      <c r="W37" s="14" t="n"/>
      <c r="X37" s="14" t="n"/>
      <c r="Y37" s="14" t="n"/>
      <c r="Z37" s="13" t="n"/>
      <c r="AA37" s="13" t="n"/>
      <c r="AB37" s="90">
        <f>IF(OR(A37="",posicao_contratual!E37="",posicao_contratual!J37=""),"",ROUND(MAX(posicao_contratual!E37-posicao_contratual!J37,0),2))</f>
        <v/>
      </c>
      <c r="AC37" s="335">
        <f>IF(AND(A37="",A36&lt;&gt;"",COUNTIF(A38:$A$200,"&lt;&gt;")=0),ROUND(SUMIF($A$2:A36,"&lt;&gt;",$AC$2:AC36),2),IF(OR(AB37="",C37="",NOT(ISNUMBER($Z$2))),"",ROUND(AB37*C37*$Z$2,2)))</f>
        <v/>
      </c>
      <c r="AD37" s="155">
        <f>IF(A37="","",posicao_contratual!E37)</f>
        <v/>
      </c>
      <c r="AE37" s="155">
        <f>IF(A37="","",posicao_contratual!I37)</f>
        <v/>
      </c>
      <c r="AF37" s="155">
        <f>IF(A37="","",posicao_contratual!M37)</f>
        <v/>
      </c>
      <c r="AG37" s="155">
        <f>IF(A37="","",posicao_contratual!Q37)</f>
        <v/>
      </c>
      <c r="AH37" s="155">
        <f>IF(A37="","",posicao_contratual!U37)</f>
        <v/>
      </c>
      <c r="AI37" s="155">
        <f>IF(A37="","",posicao_contratual!G37)</f>
        <v/>
      </c>
      <c r="AJ37" s="155">
        <f>IF(A37="","",posicao_contratual!K37)</f>
        <v/>
      </c>
      <c r="AK37" s="155">
        <f>IF(A37="","",posicao_contratual!O37)</f>
        <v/>
      </c>
      <c r="AL37" s="155">
        <f>IF(A37="","",posicao_contratual!S37)</f>
        <v/>
      </c>
      <c r="AM37" s="155">
        <f>IF(A37="","",posicao_contratual!W37)</f>
        <v/>
      </c>
      <c r="AN37" s="156">
        <f>IF(A37="","",posicao_contratual!X37)</f>
        <v/>
      </c>
      <c r="AO37">
        <f>IF($A37="","",ROUND(SUMIFS(itens_Consumidos!$E$2:$E$200,itens_Consumidos!$A$2:$A$200,$A37),2))</f>
        <v/>
      </c>
      <c r="AP37">
        <f>IF(OR($A37="",AB37=""),"",ROUND(MAX(AB37-AO37,0),2))</f>
        <v/>
      </c>
      <c r="AQ37">
        <f>IF(OR($A37="",AB37="",MEMORIA_RESULTADOS!$I$258=""),"",ROUND(AB37*$C37*(MEMORIA_RESULTADOS!$I$258-1),2))</f>
        <v/>
      </c>
      <c r="AR37">
        <f>IF(OR($A37="",AP37="",MEMORIA_RESULTADOS!$I$258=""),"",ROUND(AP37*$C37*(parametros!$F$2-MEMORIA_RESULTADOS!$I$258),2))</f>
        <v/>
      </c>
      <c r="AS37">
        <f>IF($A37="","",ROUND(SUMIFS(itens_Consumidos!$G$2:$G$200,itens_Consumidos!$A$2:$A$200,$A37),2))</f>
        <v/>
      </c>
      <c r="AT37">
        <f>IF(OR($A37="",M37=""),"",ROUND(MAX(M37-AS37,0),2))</f>
        <v/>
      </c>
      <c r="AU37">
        <f>IF(OR($A37="",M37="",MEMORIA_RESULTADOS!$I$259=""),"",ROUND(M37*$C37*(MEMORIA_RESULTADOS!$I$259-1),2))</f>
        <v/>
      </c>
      <c r="AV37">
        <f>IF(OR($A37="",AT37="",MEMORIA_RESULTADOS!$I$259=""),"",ROUND(AT37*$C37*(parametros!$F$3-MEMORIA_RESULTADOS!$I$259),2))</f>
        <v/>
      </c>
      <c r="AW37">
        <f>IF($A37="","",ROUND(SUMIFS(itens_Consumidos!$I$2:$I$200,itens_Consumidos!$A$2:$A$200,$A37),2))</f>
        <v/>
      </c>
      <c r="AX37">
        <f>IF(OR($A37="",O37=""),"",ROUND(MAX(O37-AW37,0),2))</f>
        <v/>
      </c>
      <c r="AY37">
        <f>IF(OR($A37="",O37="",MEMORIA_RESULTADOS!$I$260=""),"",ROUND(O37*$C37*(MEMORIA_RESULTADOS!$I$260-1),2))</f>
        <v/>
      </c>
      <c r="AZ37">
        <f>IF(OR($A37="",AX37="",MEMORIA_RESULTADOS!$I$260=""),"",ROUND(AX37*$C37*(parametros!$F$4-MEMORIA_RESULTADOS!$I$260),2))</f>
        <v/>
      </c>
      <c r="BA37">
        <f>IF($A37="","",ROUND(SUMIFS(itens_Consumidos!$K$2:$K$200,itens_Consumidos!$A$2:$A$200,$A37),2))</f>
        <v/>
      </c>
      <c r="BB37">
        <f>IF(OR($A37="",Q37=""),"",ROUND(MAX(Q37-BA37,0),2))</f>
        <v/>
      </c>
      <c r="BC37">
        <f>IF(OR($A37="",Q37="",MEMORIA_RESULTADOS!$I$261=""),"",ROUND(Q37*$C37*(MEMORIA_RESULTADOS!$I$261-1),2))</f>
        <v/>
      </c>
      <c r="BD37">
        <f>IF(OR($A37="",BB37="",MEMORIA_RESULTADOS!$I$261=""),"",ROUND(BB37*$C37*(parametros!$F$5-MEMORIA_RESULTADOS!$I$261),2))</f>
        <v/>
      </c>
      <c r="BE37">
        <f>IF($A37="","",ROUND(SUMIFS(itens_Consumidos!$M$2:$M$200,itens_Consumidos!$A$2:$A$200,$A37),2))</f>
        <v/>
      </c>
      <c r="BF37">
        <f>IF(OR($A37="",S37=""),"",ROUND(MAX(S37-BE37,0),2))</f>
        <v/>
      </c>
      <c r="BG37">
        <f>IF(OR($A37="",S37="",MEMORIA_RESULTADOS!$I$262=""),"",ROUND(S37*$C37*(MEMORIA_RESULTADOS!$I$262-1),2))</f>
        <v/>
      </c>
      <c r="BH37">
        <f>IF(OR($A37="",BF37="",MEMORIA_RESULTADOS!$I$262=""),"",ROUND(BF37*$C37*(parametros!$F$6-MEMORIA_RESULTADOS!$I$262),2))</f>
        <v/>
      </c>
    </row>
    <row r="38">
      <c r="A38" s="86" t="n"/>
      <c r="B38" s="87">
        <f>IF(AND(LEN(TRIM($A38))=4,LEFT(TRIM($A38),1)="N",ISNUMBER(--MID(TRIM($A38),2,3)),ISERROR(FIND(".",$A38)),ISERROR(FIND(",",$A38)),ISERROR(FIND("-",$A38)),ISERROR(FIND("+",$A38)),ISERROR(SEARCH("E",$A38,2)),ISERROR(FIND(" ",TRIM($A38)))),0,"")</f>
        <v/>
      </c>
      <c r="C38" s="339" t="n"/>
      <c r="D38" s="335">
        <f>IF(AND(A38="",A37&lt;&gt;"",COUNTIF(A39:$A$200,"&lt;&gt;")=0),ROUND(SUMIF($A$2:A37,"&lt;&gt;",$D$2:D37),2),IF(OR(A38="",B38="",C38=""),"",ROUND(B38*C38,2)))</f>
        <v/>
      </c>
      <c r="E38" s="89" t="n"/>
      <c r="F38" s="335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 t="n"/>
      <c r="H38" s="335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 t="n"/>
      <c r="J38" s="335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 t="n"/>
      <c r="L38" s="335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>
        <f>IF(OR(posicao_contratual!J38="",posicao_contratual!N38=""),"",ROUND(MAX(posicao_contratual!J38+posicao_contratual!H38-posicao_contratual!N38,0),2))</f>
        <v/>
      </c>
      <c r="N38" s="335">
        <f>IF(AND(A38="",A37&lt;&gt;"",COUNTIF(A39:$A$200,"&lt;&gt;")=0),ROUND(SUMIF($A$2:A37,"&lt;&gt;",$N$2:N37),2),IF(OR(M38="",C38="",NOT(ISNUMBER($Z$3))),"",ROUND(M38*C38*$Z$3,2)))</f>
        <v/>
      </c>
      <c r="O38" s="90">
        <f>IF(OR(posicao_contratual!N38="",posicao_contratual!R38=""),"",ROUND(MAX(posicao_contratual!N38+posicao_contratual!L38-posicao_contratual!R38,0),2))</f>
        <v/>
      </c>
      <c r="P38" s="335">
        <f>IF(AND(A38="",A37&lt;&gt;"",COUNTIF(A39:$A$200,"&lt;&gt;")=0),ROUND(SUMIF($A$2:A37,"&lt;&gt;",$P$2:P37),2),IF(OR(O38="",C38="",NOT(ISNUMBER($Z$4))),"",ROUND(O38*C38*$Z$4,2)))</f>
        <v/>
      </c>
      <c r="Q38" s="90">
        <f>IF(OR(posicao_contratual!R38="",posicao_contratual!V38=""),"",ROUND(MAX(posicao_contratual!R38+posicao_contratual!P38-posicao_contratual!V38,0),2))</f>
        <v/>
      </c>
      <c r="R38" s="335">
        <f>IF(AND(A38="",A37&lt;&gt;"",COUNTIF(A39:$A$200,"&lt;&gt;")=0),ROUND(SUMIF($A$2:A37,"&lt;&gt;",$R$2:R37),2),IF(OR(Q38="",C38="",NOT(ISNUMBER($Z$5))),"",ROUND(Q38*C38*$Z$5,2)))</f>
        <v/>
      </c>
      <c r="S38" s="22" t="n"/>
      <c r="T38" s="340" t="n"/>
      <c r="U38" s="91">
        <f>IF(AND(A38="",A37&lt;&gt;"",COUNTIF(A39:$A$200,"&lt;&gt;")=0),"TOTAL",IF(A38="","",posicao_contratual!X38))</f>
        <v/>
      </c>
      <c r="V38" s="91">
        <f>IF(A38="","",posicao_contratual!X38)</f>
        <v/>
      </c>
      <c r="W38" s="14" t="n"/>
      <c r="X38" s="14" t="n"/>
      <c r="Y38" s="14" t="n"/>
      <c r="Z38" s="13" t="n"/>
      <c r="AA38" s="13" t="n"/>
      <c r="AB38" s="90">
        <f>IF(OR(A38="",posicao_contratual!E38="",posicao_contratual!J38=""),"",ROUND(MAX(posicao_contratual!E38-posicao_contratual!J38,0),2))</f>
        <v/>
      </c>
      <c r="AC38" s="335">
        <f>IF(AND(A38="",A37&lt;&gt;"",COUNTIF(A39:$A$200,"&lt;&gt;")=0),ROUND(SUMIF($A$2:A37,"&lt;&gt;",$AC$2:AC37),2),IF(OR(AB38="",C38="",NOT(ISNUMBER($Z$2))),"",ROUND(AB38*C38*$Z$2,2)))</f>
        <v/>
      </c>
      <c r="AD38" s="155">
        <f>IF(A38="","",posicao_contratual!E38)</f>
        <v/>
      </c>
      <c r="AE38" s="155">
        <f>IF(A38="","",posicao_contratual!I38)</f>
        <v/>
      </c>
      <c r="AF38" s="155">
        <f>IF(A38="","",posicao_contratual!M38)</f>
        <v/>
      </c>
      <c r="AG38" s="155">
        <f>IF(A38="","",posicao_contratual!Q38)</f>
        <v/>
      </c>
      <c r="AH38" s="155">
        <f>IF(A38="","",posicao_contratual!U38)</f>
        <v/>
      </c>
      <c r="AI38" s="155">
        <f>IF(A38="","",posicao_contratual!G38)</f>
        <v/>
      </c>
      <c r="AJ38" s="155">
        <f>IF(A38="","",posicao_contratual!K38)</f>
        <v/>
      </c>
      <c r="AK38" s="155">
        <f>IF(A38="","",posicao_contratual!O38)</f>
        <v/>
      </c>
      <c r="AL38" s="155">
        <f>IF(A38="","",posicao_contratual!S38)</f>
        <v/>
      </c>
      <c r="AM38" s="155">
        <f>IF(A38="","",posicao_contratual!W38)</f>
        <v/>
      </c>
      <c r="AN38" s="156">
        <f>IF(A38="","",posicao_contratual!X38)</f>
        <v/>
      </c>
      <c r="AO38">
        <f>IF($A38="","",ROUND(SUMIFS(itens_Consumidos!$E$2:$E$200,itens_Consumidos!$A$2:$A$200,$A38),2))</f>
        <v/>
      </c>
      <c r="AP38">
        <f>IF(OR($A38="",AB38=""),"",ROUND(MAX(AB38-AO38,0),2))</f>
        <v/>
      </c>
      <c r="AQ38">
        <f>IF(OR($A38="",AB38="",MEMORIA_RESULTADOS!$I$258=""),"",ROUND(AB38*$C38*(MEMORIA_RESULTADOS!$I$258-1),2))</f>
        <v/>
      </c>
      <c r="AR38">
        <f>IF(OR($A38="",AP38="",MEMORIA_RESULTADOS!$I$258=""),"",ROUND(AP38*$C38*(parametros!$F$2-MEMORIA_RESULTADOS!$I$258),2))</f>
        <v/>
      </c>
      <c r="AS38">
        <f>IF($A38="","",ROUND(SUMIFS(itens_Consumidos!$G$2:$G$200,itens_Consumidos!$A$2:$A$200,$A38),2))</f>
        <v/>
      </c>
      <c r="AT38">
        <f>IF(OR($A38="",M38=""),"",ROUND(MAX(M38-AS38,0),2))</f>
        <v/>
      </c>
      <c r="AU38">
        <f>IF(OR($A38="",M38="",MEMORIA_RESULTADOS!$I$259=""),"",ROUND(M38*$C38*(MEMORIA_RESULTADOS!$I$259-1),2))</f>
        <v/>
      </c>
      <c r="AV38">
        <f>IF(OR($A38="",AT38="",MEMORIA_RESULTADOS!$I$259=""),"",ROUND(AT38*$C38*(parametros!$F$3-MEMORIA_RESULTADOS!$I$259),2))</f>
        <v/>
      </c>
      <c r="AW38">
        <f>IF($A38="","",ROUND(SUMIFS(itens_Consumidos!$I$2:$I$200,itens_Consumidos!$A$2:$A$200,$A38),2))</f>
        <v/>
      </c>
      <c r="AX38">
        <f>IF(OR($A38="",O38=""),"",ROUND(MAX(O38-AW38,0),2))</f>
        <v/>
      </c>
      <c r="AY38">
        <f>IF(OR($A38="",O38="",MEMORIA_RESULTADOS!$I$260=""),"",ROUND(O38*$C38*(MEMORIA_RESULTADOS!$I$260-1),2))</f>
        <v/>
      </c>
      <c r="AZ38">
        <f>IF(OR($A38="",AX38="",MEMORIA_RESULTADOS!$I$260=""),"",ROUND(AX38*$C38*(parametros!$F$4-MEMORIA_RESULTADOS!$I$260),2))</f>
        <v/>
      </c>
      <c r="BA38">
        <f>IF($A38="","",ROUND(SUMIFS(itens_Consumidos!$K$2:$K$200,itens_Consumidos!$A$2:$A$200,$A38),2))</f>
        <v/>
      </c>
      <c r="BB38">
        <f>IF(OR($A38="",Q38=""),"",ROUND(MAX(Q38-BA38,0),2))</f>
        <v/>
      </c>
      <c r="BC38">
        <f>IF(OR($A38="",Q38="",MEMORIA_RESULTADOS!$I$261=""),"",ROUND(Q38*$C38*(MEMORIA_RESULTADOS!$I$261-1),2))</f>
        <v/>
      </c>
      <c r="BD38">
        <f>IF(OR($A38="",BB38="",MEMORIA_RESULTADOS!$I$261=""),"",ROUND(BB38*$C38*(parametros!$F$5-MEMORIA_RESULTADOS!$I$261),2))</f>
        <v/>
      </c>
      <c r="BE38">
        <f>IF($A38="","",ROUND(SUMIFS(itens_Consumidos!$M$2:$M$200,itens_Consumidos!$A$2:$A$200,$A38),2))</f>
        <v/>
      </c>
      <c r="BF38">
        <f>IF(OR($A38="",S38=""),"",ROUND(MAX(S38-BE38,0),2))</f>
        <v/>
      </c>
      <c r="BG38">
        <f>IF(OR($A38="",S38="",MEMORIA_RESULTADOS!$I$262=""),"",ROUND(S38*$C38*(MEMORIA_RESULTADOS!$I$262-1),2))</f>
        <v/>
      </c>
      <c r="BH38">
        <f>IF(OR($A38="",BF38="",MEMORIA_RESULTADOS!$I$262=""),"",ROUND(BF38*$C38*(parametros!$F$6-MEMORIA_RESULTADOS!$I$262),2))</f>
        <v/>
      </c>
    </row>
    <row r="39">
      <c r="A39" s="86" t="n"/>
      <c r="B39" s="87">
        <f>IF(AND(LEN(TRIM($A39))=4,LEFT(TRIM($A39),1)="N",ISNUMBER(--MID(TRIM($A39),2,3)),ISERROR(FIND(".",$A39)),ISERROR(FIND(",",$A39)),ISERROR(FIND("-",$A39)),ISERROR(FIND("+",$A39)),ISERROR(SEARCH("E",$A39,2)),ISERROR(FIND(" ",TRIM($A39)))),0,"")</f>
        <v/>
      </c>
      <c r="C39" s="339" t="n"/>
      <c r="D39" s="335">
        <f>IF(AND(A39="",A38&lt;&gt;"",COUNTIF(A40:$A$200,"&lt;&gt;")=0),ROUND(SUMIF($A$2:A38,"&lt;&gt;",$D$2:D38),2),IF(OR(A39="",B39="",C39=""),"",ROUND(B39*C39,2)))</f>
        <v/>
      </c>
      <c r="E39" s="89" t="n"/>
      <c r="F39" s="335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 t="n"/>
      <c r="H39" s="335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 t="n"/>
      <c r="J39" s="335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 t="n"/>
      <c r="L39" s="335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>
        <f>IF(OR(posicao_contratual!J39="",posicao_contratual!N39=""),"",ROUND(MAX(posicao_contratual!J39+posicao_contratual!H39-posicao_contratual!N39,0),2))</f>
        <v/>
      </c>
      <c r="N39" s="335">
        <f>IF(AND(A39="",A38&lt;&gt;"",COUNTIF(A40:$A$200,"&lt;&gt;")=0),ROUND(SUMIF($A$2:A38,"&lt;&gt;",$N$2:N38),2),IF(OR(M39="",C39="",NOT(ISNUMBER($Z$3))),"",ROUND(M39*C39*$Z$3,2)))</f>
        <v/>
      </c>
      <c r="O39" s="90">
        <f>IF(OR(posicao_contratual!N39="",posicao_contratual!R39=""),"",ROUND(MAX(posicao_contratual!N39+posicao_contratual!L39-posicao_contratual!R39,0),2))</f>
        <v/>
      </c>
      <c r="P39" s="335">
        <f>IF(AND(A39="",A38&lt;&gt;"",COUNTIF(A40:$A$200,"&lt;&gt;")=0),ROUND(SUMIF($A$2:A38,"&lt;&gt;",$P$2:P38),2),IF(OR(O39="",C39="",NOT(ISNUMBER($Z$4))),"",ROUND(O39*C39*$Z$4,2)))</f>
        <v/>
      </c>
      <c r="Q39" s="90">
        <f>IF(OR(posicao_contratual!R39="",posicao_contratual!V39=""),"",ROUND(MAX(posicao_contratual!R39+posicao_contratual!P39-posicao_contratual!V39,0),2))</f>
        <v/>
      </c>
      <c r="R39" s="335">
        <f>IF(AND(A39="",A38&lt;&gt;"",COUNTIF(A40:$A$200,"&lt;&gt;")=0),ROUND(SUMIF($A$2:A38,"&lt;&gt;",$R$2:R38),2),IF(OR(Q39="",C39="",NOT(ISNUMBER($Z$5))),"",ROUND(Q39*C39*$Z$5,2)))</f>
        <v/>
      </c>
      <c r="S39" s="22" t="n"/>
      <c r="T39" s="340" t="n"/>
      <c r="U39" s="91">
        <f>IF(AND(A39="",A38&lt;&gt;"",COUNTIF(A40:$A$200,"&lt;&gt;")=0),"TOTAL",IF(A39="","",posicao_contratual!X39))</f>
        <v/>
      </c>
      <c r="V39" s="91">
        <f>IF(A39="","",posicao_contratual!X39)</f>
        <v/>
      </c>
      <c r="W39" s="14" t="n"/>
      <c r="X39" s="14" t="n"/>
      <c r="Y39" s="14" t="n"/>
      <c r="Z39" s="13" t="n"/>
      <c r="AA39" s="13" t="n"/>
      <c r="AB39" s="90">
        <f>IF(OR(A39="",posicao_contratual!E39="",posicao_contratual!J39=""),"",ROUND(MAX(posicao_contratual!E39-posicao_contratual!J39,0),2))</f>
        <v/>
      </c>
      <c r="AC39" s="335">
        <f>IF(AND(A39="",A38&lt;&gt;"",COUNTIF(A40:$A$200,"&lt;&gt;")=0),ROUND(SUMIF($A$2:A38,"&lt;&gt;",$AC$2:AC38),2),IF(OR(AB39="",C39="",NOT(ISNUMBER($Z$2))),"",ROUND(AB39*C39*$Z$2,2)))</f>
        <v/>
      </c>
      <c r="AD39" s="155">
        <f>IF(A39="","",posicao_contratual!E39)</f>
        <v/>
      </c>
      <c r="AE39" s="155">
        <f>IF(A39="","",posicao_contratual!I39)</f>
        <v/>
      </c>
      <c r="AF39" s="155">
        <f>IF(A39="","",posicao_contratual!M39)</f>
        <v/>
      </c>
      <c r="AG39" s="155">
        <f>IF(A39="","",posicao_contratual!Q39)</f>
        <v/>
      </c>
      <c r="AH39" s="155">
        <f>IF(A39="","",posicao_contratual!U39)</f>
        <v/>
      </c>
      <c r="AI39" s="155">
        <f>IF(A39="","",posicao_contratual!G39)</f>
        <v/>
      </c>
      <c r="AJ39" s="155">
        <f>IF(A39="","",posicao_contratual!K39)</f>
        <v/>
      </c>
      <c r="AK39" s="155">
        <f>IF(A39="","",posicao_contratual!O39)</f>
        <v/>
      </c>
      <c r="AL39" s="155">
        <f>IF(A39="","",posicao_contratual!S39)</f>
        <v/>
      </c>
      <c r="AM39" s="155">
        <f>IF(A39="","",posicao_contratual!W39)</f>
        <v/>
      </c>
      <c r="AN39" s="156">
        <f>IF(A39="","",posicao_contratual!X39)</f>
        <v/>
      </c>
      <c r="AO39">
        <f>IF($A39="","",ROUND(SUMIFS(itens_Consumidos!$E$2:$E$200,itens_Consumidos!$A$2:$A$200,$A39),2))</f>
        <v/>
      </c>
      <c r="AP39">
        <f>IF(OR($A39="",AB39=""),"",ROUND(MAX(AB39-AO39,0),2))</f>
        <v/>
      </c>
      <c r="AQ39">
        <f>IF(OR($A39="",AB39="",MEMORIA_RESULTADOS!$I$258=""),"",ROUND(AB39*$C39*(MEMORIA_RESULTADOS!$I$258-1),2))</f>
        <v/>
      </c>
      <c r="AR39">
        <f>IF(OR($A39="",AP39="",MEMORIA_RESULTADOS!$I$258=""),"",ROUND(AP39*$C39*(parametros!$F$2-MEMORIA_RESULTADOS!$I$258),2))</f>
        <v/>
      </c>
      <c r="AS39">
        <f>IF($A39="","",ROUND(SUMIFS(itens_Consumidos!$G$2:$G$200,itens_Consumidos!$A$2:$A$200,$A39),2))</f>
        <v/>
      </c>
      <c r="AT39">
        <f>IF(OR($A39="",M39=""),"",ROUND(MAX(M39-AS39,0),2))</f>
        <v/>
      </c>
      <c r="AU39">
        <f>IF(OR($A39="",M39="",MEMORIA_RESULTADOS!$I$259=""),"",ROUND(M39*$C39*(MEMORIA_RESULTADOS!$I$259-1),2))</f>
        <v/>
      </c>
      <c r="AV39">
        <f>IF(OR($A39="",AT39="",MEMORIA_RESULTADOS!$I$259=""),"",ROUND(AT39*$C39*(parametros!$F$3-MEMORIA_RESULTADOS!$I$259),2))</f>
        <v/>
      </c>
      <c r="AW39">
        <f>IF($A39="","",ROUND(SUMIFS(itens_Consumidos!$I$2:$I$200,itens_Consumidos!$A$2:$A$200,$A39),2))</f>
        <v/>
      </c>
      <c r="AX39">
        <f>IF(OR($A39="",O39=""),"",ROUND(MAX(O39-AW39,0),2))</f>
        <v/>
      </c>
      <c r="AY39">
        <f>IF(OR($A39="",O39="",MEMORIA_RESULTADOS!$I$260=""),"",ROUND(O39*$C39*(MEMORIA_RESULTADOS!$I$260-1),2))</f>
        <v/>
      </c>
      <c r="AZ39">
        <f>IF(OR($A39="",AX39="",MEMORIA_RESULTADOS!$I$260=""),"",ROUND(AX39*$C39*(parametros!$F$4-MEMORIA_RESULTADOS!$I$260),2))</f>
        <v/>
      </c>
      <c r="BA39">
        <f>IF($A39="","",ROUND(SUMIFS(itens_Consumidos!$K$2:$K$200,itens_Consumidos!$A$2:$A$200,$A39),2))</f>
        <v/>
      </c>
      <c r="BB39">
        <f>IF(OR($A39="",Q39=""),"",ROUND(MAX(Q39-BA39,0),2))</f>
        <v/>
      </c>
      <c r="BC39">
        <f>IF(OR($A39="",Q39="",MEMORIA_RESULTADOS!$I$261=""),"",ROUND(Q39*$C39*(MEMORIA_RESULTADOS!$I$261-1),2))</f>
        <v/>
      </c>
      <c r="BD39">
        <f>IF(OR($A39="",BB39="",MEMORIA_RESULTADOS!$I$261=""),"",ROUND(BB39*$C39*(parametros!$F$5-MEMORIA_RESULTADOS!$I$261),2))</f>
        <v/>
      </c>
      <c r="BE39">
        <f>IF($A39="","",ROUND(SUMIFS(itens_Consumidos!$M$2:$M$200,itens_Consumidos!$A$2:$A$200,$A39),2))</f>
        <v/>
      </c>
      <c r="BF39">
        <f>IF(OR($A39="",S39=""),"",ROUND(MAX(S39-BE39,0),2))</f>
        <v/>
      </c>
      <c r="BG39">
        <f>IF(OR($A39="",S39="",MEMORIA_RESULTADOS!$I$262=""),"",ROUND(S39*$C39*(MEMORIA_RESULTADOS!$I$262-1),2))</f>
        <v/>
      </c>
      <c r="BH39">
        <f>IF(OR($A39="",BF39="",MEMORIA_RESULTADOS!$I$262=""),"",ROUND(BF39*$C39*(parametros!$F$6-MEMORIA_RESULTADOS!$I$262),2))</f>
        <v/>
      </c>
    </row>
    <row r="40">
      <c r="A40" s="86" t="n"/>
      <c r="B40" s="87">
        <f>IF(AND(LEN(TRIM($A40))=4,LEFT(TRIM($A40),1)="N",ISNUMBER(--MID(TRIM($A40),2,3)),ISERROR(FIND(".",$A40)),ISERROR(FIND(",",$A40)),ISERROR(FIND("-",$A40)),ISERROR(FIND("+",$A40)),ISERROR(SEARCH("E",$A40,2)),ISERROR(FIND(" ",TRIM($A40)))),0,"")</f>
        <v/>
      </c>
      <c r="C40" s="339" t="n"/>
      <c r="D40" s="335">
        <f>IF(AND(A40="",A39&lt;&gt;"",COUNTIF(A41:$A$200,"&lt;&gt;")=0),ROUND(SUMIF($A$2:A39,"&lt;&gt;",$D$2:D39),2),IF(OR(A40="",B40="",C40=""),"",ROUND(B40*C40,2)))</f>
        <v/>
      </c>
      <c r="E40" s="89" t="n"/>
      <c r="F40" s="335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 t="n"/>
      <c r="H40" s="335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 t="n"/>
      <c r="J40" s="335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 t="n"/>
      <c r="L40" s="335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>
        <f>IF(OR(posicao_contratual!J40="",posicao_contratual!N40=""),"",ROUND(MAX(posicao_contratual!J40+posicao_contratual!H40-posicao_contratual!N40,0),2))</f>
        <v/>
      </c>
      <c r="N40" s="335">
        <f>IF(AND(A40="",A39&lt;&gt;"",COUNTIF(A41:$A$200,"&lt;&gt;")=0),ROUND(SUMIF($A$2:A39,"&lt;&gt;",$N$2:N39),2),IF(OR(M40="",C40="",NOT(ISNUMBER($Z$3))),"",ROUND(M40*C40*$Z$3,2)))</f>
        <v/>
      </c>
      <c r="O40" s="90">
        <f>IF(OR(posicao_contratual!N40="",posicao_contratual!R40=""),"",ROUND(MAX(posicao_contratual!N40+posicao_contratual!L40-posicao_contratual!R40,0),2))</f>
        <v/>
      </c>
      <c r="P40" s="335">
        <f>IF(AND(A40="",A39&lt;&gt;"",COUNTIF(A41:$A$200,"&lt;&gt;")=0),ROUND(SUMIF($A$2:A39,"&lt;&gt;",$P$2:P39),2),IF(OR(O40="",C40="",NOT(ISNUMBER($Z$4))),"",ROUND(O40*C40*$Z$4,2)))</f>
        <v/>
      </c>
      <c r="Q40" s="90">
        <f>IF(OR(posicao_contratual!R40="",posicao_contratual!V40=""),"",ROUND(MAX(posicao_contratual!R40+posicao_contratual!P40-posicao_contratual!V40,0),2))</f>
        <v/>
      </c>
      <c r="R40" s="335">
        <f>IF(AND(A40="",A39&lt;&gt;"",COUNTIF(A41:$A$200,"&lt;&gt;")=0),ROUND(SUMIF($A$2:A39,"&lt;&gt;",$R$2:R39),2),IF(OR(Q40="",C40="",NOT(ISNUMBER($Z$5))),"",ROUND(Q40*C40*$Z$5,2)))</f>
        <v/>
      </c>
      <c r="S40" s="22" t="n"/>
      <c r="T40" s="340" t="n"/>
      <c r="U40" s="91">
        <f>IF(AND(A40="",A39&lt;&gt;"",COUNTIF(A41:$A$200,"&lt;&gt;")=0),"TOTAL",IF(A40="","",posicao_contratual!X40))</f>
        <v/>
      </c>
      <c r="V40" s="91">
        <f>IF(A40="","",posicao_contratual!X40)</f>
        <v/>
      </c>
      <c r="W40" s="14" t="n"/>
      <c r="X40" s="14" t="n"/>
      <c r="Y40" s="14" t="n"/>
      <c r="Z40" s="13" t="n"/>
      <c r="AA40" s="13" t="n"/>
      <c r="AB40" s="90">
        <f>IF(OR(A40="",posicao_contratual!E40="",posicao_contratual!J40=""),"",ROUND(MAX(posicao_contratual!E40-posicao_contratual!J40,0),2))</f>
        <v/>
      </c>
      <c r="AC40" s="335">
        <f>IF(AND(A40="",A39&lt;&gt;"",COUNTIF(A41:$A$200,"&lt;&gt;")=0),ROUND(SUMIF($A$2:A39,"&lt;&gt;",$AC$2:AC39),2),IF(OR(AB40="",C40="",NOT(ISNUMBER($Z$2))),"",ROUND(AB40*C40*$Z$2,2)))</f>
        <v/>
      </c>
      <c r="AD40" s="155">
        <f>IF(A40="","",posicao_contratual!E40)</f>
        <v/>
      </c>
      <c r="AE40" s="155">
        <f>IF(A40="","",posicao_contratual!I40)</f>
        <v/>
      </c>
      <c r="AF40" s="155">
        <f>IF(A40="","",posicao_contratual!M40)</f>
        <v/>
      </c>
      <c r="AG40" s="155">
        <f>IF(A40="","",posicao_contratual!Q40)</f>
        <v/>
      </c>
      <c r="AH40" s="155">
        <f>IF(A40="","",posicao_contratual!U40)</f>
        <v/>
      </c>
      <c r="AI40" s="155">
        <f>IF(A40="","",posicao_contratual!G40)</f>
        <v/>
      </c>
      <c r="AJ40" s="155">
        <f>IF(A40="","",posicao_contratual!K40)</f>
        <v/>
      </c>
      <c r="AK40" s="155">
        <f>IF(A40="","",posicao_contratual!O40)</f>
        <v/>
      </c>
      <c r="AL40" s="155">
        <f>IF(A40="","",posicao_contratual!S40)</f>
        <v/>
      </c>
      <c r="AM40" s="155">
        <f>IF(A40="","",posicao_contratual!W40)</f>
        <v/>
      </c>
      <c r="AN40" s="156">
        <f>IF(A40="","",posicao_contratual!X40)</f>
        <v/>
      </c>
      <c r="AO40">
        <f>IF($A40="","",ROUND(SUMIFS(itens_Consumidos!$E$2:$E$200,itens_Consumidos!$A$2:$A$200,$A40),2))</f>
        <v/>
      </c>
      <c r="AP40">
        <f>IF(OR($A40="",AB40=""),"",ROUND(MAX(AB40-AO40,0),2))</f>
        <v/>
      </c>
      <c r="AQ40">
        <f>IF(OR($A40="",AB40="",MEMORIA_RESULTADOS!$I$258=""),"",ROUND(AB40*$C40*(MEMORIA_RESULTADOS!$I$258-1),2))</f>
        <v/>
      </c>
      <c r="AR40">
        <f>IF(OR($A40="",AP40="",MEMORIA_RESULTADOS!$I$258=""),"",ROUND(AP40*$C40*(parametros!$F$2-MEMORIA_RESULTADOS!$I$258),2))</f>
        <v/>
      </c>
      <c r="AS40">
        <f>IF($A40="","",ROUND(SUMIFS(itens_Consumidos!$G$2:$G$200,itens_Consumidos!$A$2:$A$200,$A40),2))</f>
        <v/>
      </c>
      <c r="AT40">
        <f>IF(OR($A40="",M40=""),"",ROUND(MAX(M40-AS40,0),2))</f>
        <v/>
      </c>
      <c r="AU40">
        <f>IF(OR($A40="",M40="",MEMORIA_RESULTADOS!$I$259=""),"",ROUND(M40*$C40*(MEMORIA_RESULTADOS!$I$259-1),2))</f>
        <v/>
      </c>
      <c r="AV40">
        <f>IF(OR($A40="",AT40="",MEMORIA_RESULTADOS!$I$259=""),"",ROUND(AT40*$C40*(parametros!$F$3-MEMORIA_RESULTADOS!$I$259),2))</f>
        <v/>
      </c>
      <c r="AW40">
        <f>IF($A40="","",ROUND(SUMIFS(itens_Consumidos!$I$2:$I$200,itens_Consumidos!$A$2:$A$200,$A40),2))</f>
        <v/>
      </c>
      <c r="AX40">
        <f>IF(OR($A40="",O40=""),"",ROUND(MAX(O40-AW40,0),2))</f>
        <v/>
      </c>
      <c r="AY40">
        <f>IF(OR($A40="",O40="",MEMORIA_RESULTADOS!$I$260=""),"",ROUND(O40*$C40*(MEMORIA_RESULTADOS!$I$260-1),2))</f>
        <v/>
      </c>
      <c r="AZ40">
        <f>IF(OR($A40="",AX40="",MEMORIA_RESULTADOS!$I$260=""),"",ROUND(AX40*$C40*(parametros!$F$4-MEMORIA_RESULTADOS!$I$260),2))</f>
        <v/>
      </c>
      <c r="BA40">
        <f>IF($A40="","",ROUND(SUMIFS(itens_Consumidos!$K$2:$K$200,itens_Consumidos!$A$2:$A$200,$A40),2))</f>
        <v/>
      </c>
      <c r="BB40">
        <f>IF(OR($A40="",Q40=""),"",ROUND(MAX(Q40-BA40,0),2))</f>
        <v/>
      </c>
      <c r="BC40">
        <f>IF(OR($A40="",Q40="",MEMORIA_RESULTADOS!$I$261=""),"",ROUND(Q40*$C40*(MEMORIA_RESULTADOS!$I$261-1),2))</f>
        <v/>
      </c>
      <c r="BD40">
        <f>IF(OR($A40="",BB40="",MEMORIA_RESULTADOS!$I$261=""),"",ROUND(BB40*$C40*(parametros!$F$5-MEMORIA_RESULTADOS!$I$261),2))</f>
        <v/>
      </c>
      <c r="BE40">
        <f>IF($A40="","",ROUND(SUMIFS(itens_Consumidos!$M$2:$M$200,itens_Consumidos!$A$2:$A$200,$A40),2))</f>
        <v/>
      </c>
      <c r="BF40">
        <f>IF(OR($A40="",S40=""),"",ROUND(MAX(S40-BE40,0),2))</f>
        <v/>
      </c>
      <c r="BG40">
        <f>IF(OR($A40="",S40="",MEMORIA_RESULTADOS!$I$262=""),"",ROUND(S40*$C40*(MEMORIA_RESULTADOS!$I$262-1),2))</f>
        <v/>
      </c>
      <c r="BH40">
        <f>IF(OR($A40="",BF40="",MEMORIA_RESULTADOS!$I$262=""),"",ROUND(BF40*$C40*(parametros!$F$6-MEMORIA_RESULTADOS!$I$262),2))</f>
        <v/>
      </c>
    </row>
    <row r="41">
      <c r="A41" s="86" t="n"/>
      <c r="B41" s="87">
        <f>IF(AND(LEN(TRIM($A41))=4,LEFT(TRIM($A41),1)="N",ISNUMBER(--MID(TRIM($A41),2,3)),ISERROR(FIND(".",$A41)),ISERROR(FIND(",",$A41)),ISERROR(FIND("-",$A41)),ISERROR(FIND("+",$A41)),ISERROR(SEARCH("E",$A41,2)),ISERROR(FIND(" ",TRIM($A41)))),0,"")</f>
        <v/>
      </c>
      <c r="C41" s="339" t="n"/>
      <c r="D41" s="335">
        <f>IF(AND(A41="",A40&lt;&gt;"",COUNTIF(A42:$A$200,"&lt;&gt;")=0),ROUND(SUMIF($A$2:A40,"&lt;&gt;",$D$2:D40),2),IF(OR(A41="",B41="",C41=""),"",ROUND(B41*C41,2)))</f>
        <v/>
      </c>
      <c r="E41" s="89" t="n"/>
      <c r="F41" s="335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 t="n"/>
      <c r="H41" s="335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 t="n"/>
      <c r="J41" s="335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 t="n"/>
      <c r="L41" s="335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>
        <f>IF(OR(posicao_contratual!J41="",posicao_contratual!N41=""),"",ROUND(MAX(posicao_contratual!J41+posicao_contratual!H41-posicao_contratual!N41,0),2))</f>
        <v/>
      </c>
      <c r="N41" s="335">
        <f>IF(AND(A41="",A40&lt;&gt;"",COUNTIF(A42:$A$200,"&lt;&gt;")=0),ROUND(SUMIF($A$2:A40,"&lt;&gt;",$N$2:N40),2),IF(OR(M41="",C41="",NOT(ISNUMBER($Z$3))),"",ROUND(M41*C41*$Z$3,2)))</f>
        <v/>
      </c>
      <c r="O41" s="90">
        <f>IF(OR(posicao_contratual!N41="",posicao_contratual!R41=""),"",ROUND(MAX(posicao_contratual!N41+posicao_contratual!L41-posicao_contratual!R41,0),2))</f>
        <v/>
      </c>
      <c r="P41" s="335">
        <f>IF(AND(A41="",A40&lt;&gt;"",COUNTIF(A42:$A$200,"&lt;&gt;")=0),ROUND(SUMIF($A$2:A40,"&lt;&gt;",$P$2:P40),2),IF(OR(O41="",C41="",NOT(ISNUMBER($Z$4))),"",ROUND(O41*C41*$Z$4,2)))</f>
        <v/>
      </c>
      <c r="Q41" s="90">
        <f>IF(OR(posicao_contratual!R41="",posicao_contratual!V41=""),"",ROUND(MAX(posicao_contratual!R41+posicao_contratual!P41-posicao_contratual!V41,0),2))</f>
        <v/>
      </c>
      <c r="R41" s="335">
        <f>IF(AND(A41="",A40&lt;&gt;"",COUNTIF(A42:$A$200,"&lt;&gt;")=0),ROUND(SUMIF($A$2:A40,"&lt;&gt;",$R$2:R40),2),IF(OR(Q41="",C41="",NOT(ISNUMBER($Z$5))),"",ROUND(Q41*C41*$Z$5,2)))</f>
        <v/>
      </c>
      <c r="S41" s="22" t="n"/>
      <c r="T41" s="340" t="n"/>
      <c r="U41" s="91">
        <f>IF(AND(A41="",A40&lt;&gt;"",COUNTIF(A42:$A$200,"&lt;&gt;")=0),"TOTAL",IF(A41="","",posicao_contratual!X41))</f>
        <v/>
      </c>
      <c r="V41" s="91">
        <f>IF(A41="","",posicao_contratual!X41)</f>
        <v/>
      </c>
      <c r="W41" s="14" t="n"/>
      <c r="X41" s="14" t="n"/>
      <c r="Y41" s="14" t="n"/>
      <c r="Z41" s="13" t="n"/>
      <c r="AA41" s="13" t="n"/>
      <c r="AB41" s="90">
        <f>IF(OR(A41="",posicao_contratual!E41="",posicao_contratual!J41=""),"",ROUND(MAX(posicao_contratual!E41-posicao_contratual!J41,0),2))</f>
        <v/>
      </c>
      <c r="AC41" s="335">
        <f>IF(AND(A41="",A40&lt;&gt;"",COUNTIF(A42:$A$200,"&lt;&gt;")=0),ROUND(SUMIF($A$2:A40,"&lt;&gt;",$AC$2:AC40),2),IF(OR(AB41="",C41="",NOT(ISNUMBER($Z$2))),"",ROUND(AB41*C41*$Z$2,2)))</f>
        <v/>
      </c>
      <c r="AD41" s="155">
        <f>IF(A41="","",posicao_contratual!E41)</f>
        <v/>
      </c>
      <c r="AE41" s="155">
        <f>IF(A41="","",posicao_contratual!I41)</f>
        <v/>
      </c>
      <c r="AF41" s="155">
        <f>IF(A41="","",posicao_contratual!M41)</f>
        <v/>
      </c>
      <c r="AG41" s="155">
        <f>IF(A41="","",posicao_contratual!Q41)</f>
        <v/>
      </c>
      <c r="AH41" s="155">
        <f>IF(A41="","",posicao_contratual!U41)</f>
        <v/>
      </c>
      <c r="AI41" s="155">
        <f>IF(A41="","",posicao_contratual!G41)</f>
        <v/>
      </c>
      <c r="AJ41" s="155">
        <f>IF(A41="","",posicao_contratual!K41)</f>
        <v/>
      </c>
      <c r="AK41" s="155">
        <f>IF(A41="","",posicao_contratual!O41)</f>
        <v/>
      </c>
      <c r="AL41" s="155">
        <f>IF(A41="","",posicao_contratual!S41)</f>
        <v/>
      </c>
      <c r="AM41" s="155">
        <f>IF(A41="","",posicao_contratual!W41)</f>
        <v/>
      </c>
      <c r="AN41" s="156">
        <f>IF(A41="","",posicao_contratual!X41)</f>
        <v/>
      </c>
      <c r="AO41">
        <f>IF($A41="","",ROUND(SUMIFS(itens_Consumidos!$E$2:$E$200,itens_Consumidos!$A$2:$A$200,$A41),2))</f>
        <v/>
      </c>
      <c r="AP41">
        <f>IF(OR($A41="",AB41=""),"",ROUND(MAX(AB41-AO41,0),2))</f>
        <v/>
      </c>
      <c r="AQ41">
        <f>IF(OR($A41="",AB41="",MEMORIA_RESULTADOS!$I$258=""),"",ROUND(AB41*$C41*(MEMORIA_RESULTADOS!$I$258-1),2))</f>
        <v/>
      </c>
      <c r="AR41">
        <f>IF(OR($A41="",AP41="",MEMORIA_RESULTADOS!$I$258=""),"",ROUND(AP41*$C41*(parametros!$F$2-MEMORIA_RESULTADOS!$I$258),2))</f>
        <v/>
      </c>
      <c r="AS41">
        <f>IF($A41="","",ROUND(SUMIFS(itens_Consumidos!$G$2:$G$200,itens_Consumidos!$A$2:$A$200,$A41),2))</f>
        <v/>
      </c>
      <c r="AT41">
        <f>IF(OR($A41="",M41=""),"",ROUND(MAX(M41-AS41,0),2))</f>
        <v/>
      </c>
      <c r="AU41">
        <f>IF(OR($A41="",M41="",MEMORIA_RESULTADOS!$I$259=""),"",ROUND(M41*$C41*(MEMORIA_RESULTADOS!$I$259-1),2))</f>
        <v/>
      </c>
      <c r="AV41">
        <f>IF(OR($A41="",AT41="",MEMORIA_RESULTADOS!$I$259=""),"",ROUND(AT41*$C41*(parametros!$F$3-MEMORIA_RESULTADOS!$I$259),2))</f>
        <v/>
      </c>
      <c r="AW41">
        <f>IF($A41="","",ROUND(SUMIFS(itens_Consumidos!$I$2:$I$200,itens_Consumidos!$A$2:$A$200,$A41),2))</f>
        <v/>
      </c>
      <c r="AX41">
        <f>IF(OR($A41="",O41=""),"",ROUND(MAX(O41-AW41,0),2))</f>
        <v/>
      </c>
      <c r="AY41">
        <f>IF(OR($A41="",O41="",MEMORIA_RESULTADOS!$I$260=""),"",ROUND(O41*$C41*(MEMORIA_RESULTADOS!$I$260-1),2))</f>
        <v/>
      </c>
      <c r="AZ41">
        <f>IF(OR($A41="",AX41="",MEMORIA_RESULTADOS!$I$260=""),"",ROUND(AX41*$C41*(parametros!$F$4-MEMORIA_RESULTADOS!$I$260),2))</f>
        <v/>
      </c>
      <c r="BA41">
        <f>IF($A41="","",ROUND(SUMIFS(itens_Consumidos!$K$2:$K$200,itens_Consumidos!$A$2:$A$200,$A41),2))</f>
        <v/>
      </c>
      <c r="BB41">
        <f>IF(OR($A41="",Q41=""),"",ROUND(MAX(Q41-BA41,0),2))</f>
        <v/>
      </c>
      <c r="BC41">
        <f>IF(OR($A41="",Q41="",MEMORIA_RESULTADOS!$I$261=""),"",ROUND(Q41*$C41*(MEMORIA_RESULTADOS!$I$261-1),2))</f>
        <v/>
      </c>
      <c r="BD41">
        <f>IF(OR($A41="",BB41="",MEMORIA_RESULTADOS!$I$261=""),"",ROUND(BB41*$C41*(parametros!$F$5-MEMORIA_RESULTADOS!$I$261),2))</f>
        <v/>
      </c>
      <c r="BE41">
        <f>IF($A41="","",ROUND(SUMIFS(itens_Consumidos!$M$2:$M$200,itens_Consumidos!$A$2:$A$200,$A41),2))</f>
        <v/>
      </c>
      <c r="BF41">
        <f>IF(OR($A41="",S41=""),"",ROUND(MAX(S41-BE41,0),2))</f>
        <v/>
      </c>
      <c r="BG41">
        <f>IF(OR($A41="",S41="",MEMORIA_RESULTADOS!$I$262=""),"",ROUND(S41*$C41*(MEMORIA_RESULTADOS!$I$262-1),2))</f>
        <v/>
      </c>
      <c r="BH41">
        <f>IF(OR($A41="",BF41="",MEMORIA_RESULTADOS!$I$262=""),"",ROUND(BF41*$C41*(parametros!$F$6-MEMORIA_RESULTADOS!$I$262),2))</f>
        <v/>
      </c>
    </row>
    <row r="42">
      <c r="A42" s="86" t="n"/>
      <c r="B42" s="87">
        <f>IF(AND(LEN(TRIM($A42))=4,LEFT(TRIM($A42),1)="N",ISNUMBER(--MID(TRIM($A42),2,3)),ISERROR(FIND(".",$A42)),ISERROR(FIND(",",$A42)),ISERROR(FIND("-",$A42)),ISERROR(FIND("+",$A42)),ISERROR(SEARCH("E",$A42,2)),ISERROR(FIND(" ",TRIM($A42)))),0,"")</f>
        <v/>
      </c>
      <c r="C42" s="339" t="n"/>
      <c r="D42" s="335">
        <f>IF(AND(A42="",A41&lt;&gt;"",COUNTIF(A43:$A$200,"&lt;&gt;")=0),ROUND(SUMIF($A$2:A41,"&lt;&gt;",$D$2:D41),2),IF(OR(A42="",B42="",C42=""),"",ROUND(B42*C42,2)))</f>
        <v/>
      </c>
      <c r="E42" s="89" t="n"/>
      <c r="F42" s="335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 t="n"/>
      <c r="H42" s="335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 t="n"/>
      <c r="J42" s="335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 t="n"/>
      <c r="L42" s="335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>
        <f>IF(OR(posicao_contratual!J42="",posicao_contratual!N42=""),"",ROUND(MAX(posicao_contratual!J42+posicao_contratual!H42-posicao_contratual!N42,0),2))</f>
        <v/>
      </c>
      <c r="N42" s="335">
        <f>IF(AND(A42="",A41&lt;&gt;"",COUNTIF(A43:$A$200,"&lt;&gt;")=0),ROUND(SUMIF($A$2:A41,"&lt;&gt;",$N$2:N41),2),IF(OR(M42="",C42="",NOT(ISNUMBER($Z$3))),"",ROUND(M42*C42*$Z$3,2)))</f>
        <v/>
      </c>
      <c r="O42" s="90">
        <f>IF(OR(posicao_contratual!N42="",posicao_contratual!R42=""),"",ROUND(MAX(posicao_contratual!N42+posicao_contratual!L42-posicao_contratual!R42,0),2))</f>
        <v/>
      </c>
      <c r="P42" s="335">
        <f>IF(AND(A42="",A41&lt;&gt;"",COUNTIF(A43:$A$200,"&lt;&gt;")=0),ROUND(SUMIF($A$2:A41,"&lt;&gt;",$P$2:P41),2),IF(OR(O42="",C42="",NOT(ISNUMBER($Z$4))),"",ROUND(O42*C42*$Z$4,2)))</f>
        <v/>
      </c>
      <c r="Q42" s="90">
        <f>IF(OR(posicao_contratual!R42="",posicao_contratual!V42=""),"",ROUND(MAX(posicao_contratual!R42+posicao_contratual!P42-posicao_contratual!V42,0),2))</f>
        <v/>
      </c>
      <c r="R42" s="335">
        <f>IF(AND(A42="",A41&lt;&gt;"",COUNTIF(A43:$A$200,"&lt;&gt;")=0),ROUND(SUMIF($A$2:A41,"&lt;&gt;",$R$2:R41),2),IF(OR(Q42="",C42="",NOT(ISNUMBER($Z$5))),"",ROUND(Q42*C42*$Z$5,2)))</f>
        <v/>
      </c>
      <c r="S42" s="22" t="n"/>
      <c r="T42" s="340" t="n"/>
      <c r="U42" s="91">
        <f>IF(AND(A42="",A41&lt;&gt;"",COUNTIF(A43:$A$200,"&lt;&gt;")=0),"TOTAL",IF(A42="","",posicao_contratual!X42))</f>
        <v/>
      </c>
      <c r="V42" s="91">
        <f>IF(A42="","",posicao_contratual!X42)</f>
        <v/>
      </c>
      <c r="W42" s="14" t="n"/>
      <c r="X42" s="14" t="n"/>
      <c r="Y42" s="14" t="n"/>
      <c r="Z42" s="13" t="n"/>
      <c r="AA42" s="13" t="n"/>
      <c r="AB42" s="90">
        <f>IF(OR(A42="",posicao_contratual!E42="",posicao_contratual!J42=""),"",ROUND(MAX(posicao_contratual!E42-posicao_contratual!J42,0),2))</f>
        <v/>
      </c>
      <c r="AC42" s="335">
        <f>IF(AND(A42="",A41&lt;&gt;"",COUNTIF(A43:$A$200,"&lt;&gt;")=0),ROUND(SUMIF($A$2:A41,"&lt;&gt;",$AC$2:AC41),2),IF(OR(AB42="",C42="",NOT(ISNUMBER($Z$2))),"",ROUND(AB42*C42*$Z$2,2)))</f>
        <v/>
      </c>
      <c r="AD42" s="155">
        <f>IF(A42="","",posicao_contratual!E42)</f>
        <v/>
      </c>
      <c r="AE42" s="155">
        <f>IF(A42="","",posicao_contratual!I42)</f>
        <v/>
      </c>
      <c r="AF42" s="155">
        <f>IF(A42="","",posicao_contratual!M42)</f>
        <v/>
      </c>
      <c r="AG42" s="155">
        <f>IF(A42="","",posicao_contratual!Q42)</f>
        <v/>
      </c>
      <c r="AH42" s="155">
        <f>IF(A42="","",posicao_contratual!U42)</f>
        <v/>
      </c>
      <c r="AI42" s="155">
        <f>IF(A42="","",posicao_contratual!G42)</f>
        <v/>
      </c>
      <c r="AJ42" s="155">
        <f>IF(A42="","",posicao_contratual!K42)</f>
        <v/>
      </c>
      <c r="AK42" s="155">
        <f>IF(A42="","",posicao_contratual!O42)</f>
        <v/>
      </c>
      <c r="AL42" s="155">
        <f>IF(A42="","",posicao_contratual!S42)</f>
        <v/>
      </c>
      <c r="AM42" s="155">
        <f>IF(A42="","",posicao_contratual!W42)</f>
        <v/>
      </c>
      <c r="AN42" s="156">
        <f>IF(A42="","",posicao_contratual!X42)</f>
        <v/>
      </c>
      <c r="AO42">
        <f>IF($A42="","",ROUND(SUMIFS(itens_Consumidos!$E$2:$E$200,itens_Consumidos!$A$2:$A$200,$A42),2))</f>
        <v/>
      </c>
      <c r="AP42">
        <f>IF(OR($A42="",AB42=""),"",ROUND(MAX(AB42-AO42,0),2))</f>
        <v/>
      </c>
      <c r="AQ42">
        <f>IF(OR($A42="",AB42="",MEMORIA_RESULTADOS!$I$258=""),"",ROUND(AB42*$C42*(MEMORIA_RESULTADOS!$I$258-1),2))</f>
        <v/>
      </c>
      <c r="AR42">
        <f>IF(OR($A42="",AP42="",MEMORIA_RESULTADOS!$I$258=""),"",ROUND(AP42*$C42*(parametros!$F$2-MEMORIA_RESULTADOS!$I$258),2))</f>
        <v/>
      </c>
      <c r="AS42">
        <f>IF($A42="","",ROUND(SUMIFS(itens_Consumidos!$G$2:$G$200,itens_Consumidos!$A$2:$A$200,$A42),2))</f>
        <v/>
      </c>
      <c r="AT42">
        <f>IF(OR($A42="",M42=""),"",ROUND(MAX(M42-AS42,0),2))</f>
        <v/>
      </c>
      <c r="AU42">
        <f>IF(OR($A42="",M42="",MEMORIA_RESULTADOS!$I$259=""),"",ROUND(M42*$C42*(MEMORIA_RESULTADOS!$I$259-1),2))</f>
        <v/>
      </c>
      <c r="AV42">
        <f>IF(OR($A42="",AT42="",MEMORIA_RESULTADOS!$I$259=""),"",ROUND(AT42*$C42*(parametros!$F$3-MEMORIA_RESULTADOS!$I$259),2))</f>
        <v/>
      </c>
      <c r="AW42">
        <f>IF($A42="","",ROUND(SUMIFS(itens_Consumidos!$I$2:$I$200,itens_Consumidos!$A$2:$A$200,$A42),2))</f>
        <v/>
      </c>
      <c r="AX42">
        <f>IF(OR($A42="",O42=""),"",ROUND(MAX(O42-AW42,0),2))</f>
        <v/>
      </c>
      <c r="AY42">
        <f>IF(OR($A42="",O42="",MEMORIA_RESULTADOS!$I$260=""),"",ROUND(O42*$C42*(MEMORIA_RESULTADOS!$I$260-1),2))</f>
        <v/>
      </c>
      <c r="AZ42">
        <f>IF(OR($A42="",AX42="",MEMORIA_RESULTADOS!$I$260=""),"",ROUND(AX42*$C42*(parametros!$F$4-MEMORIA_RESULTADOS!$I$260),2))</f>
        <v/>
      </c>
      <c r="BA42">
        <f>IF($A42="","",ROUND(SUMIFS(itens_Consumidos!$K$2:$K$200,itens_Consumidos!$A$2:$A$200,$A42),2))</f>
        <v/>
      </c>
      <c r="BB42">
        <f>IF(OR($A42="",Q42=""),"",ROUND(MAX(Q42-BA42,0),2))</f>
        <v/>
      </c>
      <c r="BC42">
        <f>IF(OR($A42="",Q42="",MEMORIA_RESULTADOS!$I$261=""),"",ROUND(Q42*$C42*(MEMORIA_RESULTADOS!$I$261-1),2))</f>
        <v/>
      </c>
      <c r="BD42">
        <f>IF(OR($A42="",BB42="",MEMORIA_RESULTADOS!$I$261=""),"",ROUND(BB42*$C42*(parametros!$F$5-MEMORIA_RESULTADOS!$I$261),2))</f>
        <v/>
      </c>
      <c r="BE42">
        <f>IF($A42="","",ROUND(SUMIFS(itens_Consumidos!$M$2:$M$200,itens_Consumidos!$A$2:$A$200,$A42),2))</f>
        <v/>
      </c>
      <c r="BF42">
        <f>IF(OR($A42="",S42=""),"",ROUND(MAX(S42-BE42,0),2))</f>
        <v/>
      </c>
      <c r="BG42">
        <f>IF(OR($A42="",S42="",MEMORIA_RESULTADOS!$I$262=""),"",ROUND(S42*$C42*(MEMORIA_RESULTADOS!$I$262-1),2))</f>
        <v/>
      </c>
      <c r="BH42">
        <f>IF(OR($A42="",BF42="",MEMORIA_RESULTADOS!$I$262=""),"",ROUND(BF42*$C42*(parametros!$F$6-MEMORIA_RESULTADOS!$I$262),2))</f>
        <v/>
      </c>
    </row>
    <row r="43">
      <c r="A43" s="86" t="n"/>
      <c r="B43" s="87">
        <f>IF(AND(LEN(TRIM($A43))=4,LEFT(TRIM($A43),1)="N",ISNUMBER(--MID(TRIM($A43),2,3)),ISERROR(FIND(".",$A43)),ISERROR(FIND(",",$A43)),ISERROR(FIND("-",$A43)),ISERROR(FIND("+",$A43)),ISERROR(SEARCH("E",$A43,2)),ISERROR(FIND(" ",TRIM($A43)))),0,"")</f>
        <v/>
      </c>
      <c r="C43" s="339" t="n"/>
      <c r="D43" s="335">
        <f>IF(AND(A43="",A42&lt;&gt;"",COUNTIF(A44:$A$200,"&lt;&gt;")=0),ROUND(SUMIF($A$2:A42,"&lt;&gt;",$D$2:D42),2),IF(OR(A43="",B43="",C43=""),"",ROUND(B43*C43,2)))</f>
        <v/>
      </c>
      <c r="E43" s="89" t="n"/>
      <c r="F43" s="335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 t="n"/>
      <c r="H43" s="335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 t="n"/>
      <c r="J43" s="335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 t="n"/>
      <c r="L43" s="335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>
        <f>IF(OR(posicao_contratual!J43="",posicao_contratual!N43=""),"",ROUND(MAX(posicao_contratual!J43+posicao_contratual!H43-posicao_contratual!N43,0),2))</f>
        <v/>
      </c>
      <c r="N43" s="335">
        <f>IF(AND(A43="",A42&lt;&gt;"",COUNTIF(A44:$A$200,"&lt;&gt;")=0),ROUND(SUMIF($A$2:A42,"&lt;&gt;",$N$2:N42),2),IF(OR(M43="",C43="",NOT(ISNUMBER($Z$3))),"",ROUND(M43*C43*$Z$3,2)))</f>
        <v/>
      </c>
      <c r="O43" s="90">
        <f>IF(OR(posicao_contratual!N43="",posicao_contratual!R43=""),"",ROUND(MAX(posicao_contratual!N43+posicao_contratual!L43-posicao_contratual!R43,0),2))</f>
        <v/>
      </c>
      <c r="P43" s="335">
        <f>IF(AND(A43="",A42&lt;&gt;"",COUNTIF(A44:$A$200,"&lt;&gt;")=0),ROUND(SUMIF($A$2:A42,"&lt;&gt;",$P$2:P42),2),IF(OR(O43="",C43="",NOT(ISNUMBER($Z$4))),"",ROUND(O43*C43*$Z$4,2)))</f>
        <v/>
      </c>
      <c r="Q43" s="90">
        <f>IF(OR(posicao_contratual!R43="",posicao_contratual!V43=""),"",ROUND(MAX(posicao_contratual!R43+posicao_contratual!P43-posicao_contratual!V43,0),2))</f>
        <v/>
      </c>
      <c r="R43" s="335">
        <f>IF(AND(A43="",A42&lt;&gt;"",COUNTIF(A44:$A$200,"&lt;&gt;")=0),ROUND(SUMIF($A$2:A42,"&lt;&gt;",$R$2:R42),2),IF(OR(Q43="",C43="",NOT(ISNUMBER($Z$5))),"",ROUND(Q43*C43*$Z$5,2)))</f>
        <v/>
      </c>
      <c r="S43" s="22" t="n"/>
      <c r="T43" s="340" t="n"/>
      <c r="U43" s="91">
        <f>IF(AND(A43="",A42&lt;&gt;"",COUNTIF(A44:$A$200,"&lt;&gt;")=0),"TOTAL",IF(A43="","",posicao_contratual!X43))</f>
        <v/>
      </c>
      <c r="V43" s="91">
        <f>IF(A43="","",posicao_contratual!X43)</f>
        <v/>
      </c>
      <c r="W43" s="14" t="n"/>
      <c r="X43" s="14" t="n"/>
      <c r="Y43" s="14" t="n"/>
      <c r="Z43" s="13" t="n"/>
      <c r="AA43" s="13" t="n"/>
      <c r="AB43" s="90">
        <f>IF(OR(A43="",posicao_contratual!E43="",posicao_contratual!J43=""),"",ROUND(MAX(posicao_contratual!E43-posicao_contratual!J43,0),2))</f>
        <v/>
      </c>
      <c r="AC43" s="335">
        <f>IF(AND(A43="",A42&lt;&gt;"",COUNTIF(A44:$A$200,"&lt;&gt;")=0),ROUND(SUMIF($A$2:A42,"&lt;&gt;",$AC$2:AC42),2),IF(OR(AB43="",C43="",NOT(ISNUMBER($Z$2))),"",ROUND(AB43*C43*$Z$2,2)))</f>
        <v/>
      </c>
      <c r="AD43" s="155">
        <f>IF(A43="","",posicao_contratual!E43)</f>
        <v/>
      </c>
      <c r="AE43" s="155">
        <f>IF(A43="","",posicao_contratual!I43)</f>
        <v/>
      </c>
      <c r="AF43" s="155">
        <f>IF(A43="","",posicao_contratual!M43)</f>
        <v/>
      </c>
      <c r="AG43" s="155">
        <f>IF(A43="","",posicao_contratual!Q43)</f>
        <v/>
      </c>
      <c r="AH43" s="155">
        <f>IF(A43="","",posicao_contratual!U43)</f>
        <v/>
      </c>
      <c r="AI43" s="155">
        <f>IF(A43="","",posicao_contratual!G43)</f>
        <v/>
      </c>
      <c r="AJ43" s="155">
        <f>IF(A43="","",posicao_contratual!K43)</f>
        <v/>
      </c>
      <c r="AK43" s="155">
        <f>IF(A43="","",posicao_contratual!O43)</f>
        <v/>
      </c>
      <c r="AL43" s="155">
        <f>IF(A43="","",posicao_contratual!S43)</f>
        <v/>
      </c>
      <c r="AM43" s="155">
        <f>IF(A43="","",posicao_contratual!W43)</f>
        <v/>
      </c>
      <c r="AN43" s="156">
        <f>IF(A43="","",posicao_contratual!X43)</f>
        <v/>
      </c>
      <c r="AO43">
        <f>IF($A43="","",ROUND(SUMIFS(itens_Consumidos!$E$2:$E$200,itens_Consumidos!$A$2:$A$200,$A43),2))</f>
        <v/>
      </c>
      <c r="AP43">
        <f>IF(OR($A43="",AB43=""),"",ROUND(MAX(AB43-AO43,0),2))</f>
        <v/>
      </c>
      <c r="AQ43">
        <f>IF(OR($A43="",AB43="",MEMORIA_RESULTADOS!$I$258=""),"",ROUND(AB43*$C43*(MEMORIA_RESULTADOS!$I$258-1),2))</f>
        <v/>
      </c>
      <c r="AR43">
        <f>IF(OR($A43="",AP43="",MEMORIA_RESULTADOS!$I$258=""),"",ROUND(AP43*$C43*(parametros!$F$2-MEMORIA_RESULTADOS!$I$258),2))</f>
        <v/>
      </c>
      <c r="AS43">
        <f>IF($A43="","",ROUND(SUMIFS(itens_Consumidos!$G$2:$G$200,itens_Consumidos!$A$2:$A$200,$A43),2))</f>
        <v/>
      </c>
      <c r="AT43">
        <f>IF(OR($A43="",M43=""),"",ROUND(MAX(M43-AS43,0),2))</f>
        <v/>
      </c>
      <c r="AU43">
        <f>IF(OR($A43="",M43="",MEMORIA_RESULTADOS!$I$259=""),"",ROUND(M43*$C43*(MEMORIA_RESULTADOS!$I$259-1),2))</f>
        <v/>
      </c>
      <c r="AV43">
        <f>IF(OR($A43="",AT43="",MEMORIA_RESULTADOS!$I$259=""),"",ROUND(AT43*$C43*(parametros!$F$3-MEMORIA_RESULTADOS!$I$259),2))</f>
        <v/>
      </c>
      <c r="AW43">
        <f>IF($A43="","",ROUND(SUMIFS(itens_Consumidos!$I$2:$I$200,itens_Consumidos!$A$2:$A$200,$A43),2))</f>
        <v/>
      </c>
      <c r="AX43">
        <f>IF(OR($A43="",O43=""),"",ROUND(MAX(O43-AW43,0),2))</f>
        <v/>
      </c>
      <c r="AY43">
        <f>IF(OR($A43="",O43="",MEMORIA_RESULTADOS!$I$260=""),"",ROUND(O43*$C43*(MEMORIA_RESULTADOS!$I$260-1),2))</f>
        <v/>
      </c>
      <c r="AZ43">
        <f>IF(OR($A43="",AX43="",MEMORIA_RESULTADOS!$I$260=""),"",ROUND(AX43*$C43*(parametros!$F$4-MEMORIA_RESULTADOS!$I$260),2))</f>
        <v/>
      </c>
      <c r="BA43">
        <f>IF($A43="","",ROUND(SUMIFS(itens_Consumidos!$K$2:$K$200,itens_Consumidos!$A$2:$A$200,$A43),2))</f>
        <v/>
      </c>
      <c r="BB43">
        <f>IF(OR($A43="",Q43=""),"",ROUND(MAX(Q43-BA43,0),2))</f>
        <v/>
      </c>
      <c r="BC43">
        <f>IF(OR($A43="",Q43="",MEMORIA_RESULTADOS!$I$261=""),"",ROUND(Q43*$C43*(MEMORIA_RESULTADOS!$I$261-1),2))</f>
        <v/>
      </c>
      <c r="BD43">
        <f>IF(OR($A43="",BB43="",MEMORIA_RESULTADOS!$I$261=""),"",ROUND(BB43*$C43*(parametros!$F$5-MEMORIA_RESULTADOS!$I$261),2))</f>
        <v/>
      </c>
      <c r="BE43">
        <f>IF($A43="","",ROUND(SUMIFS(itens_Consumidos!$M$2:$M$200,itens_Consumidos!$A$2:$A$200,$A43),2))</f>
        <v/>
      </c>
      <c r="BF43">
        <f>IF(OR($A43="",S43=""),"",ROUND(MAX(S43-BE43,0),2))</f>
        <v/>
      </c>
      <c r="BG43">
        <f>IF(OR($A43="",S43="",MEMORIA_RESULTADOS!$I$262=""),"",ROUND(S43*$C43*(MEMORIA_RESULTADOS!$I$262-1),2))</f>
        <v/>
      </c>
      <c r="BH43">
        <f>IF(OR($A43="",BF43="",MEMORIA_RESULTADOS!$I$262=""),"",ROUND(BF43*$C43*(parametros!$F$6-MEMORIA_RESULTADOS!$I$262),2))</f>
        <v/>
      </c>
    </row>
    <row r="44">
      <c r="A44" s="86" t="n"/>
      <c r="B44" s="87">
        <f>IF(AND(LEN(TRIM($A44))=4,LEFT(TRIM($A44),1)="N",ISNUMBER(--MID(TRIM($A44),2,3)),ISERROR(FIND(".",$A44)),ISERROR(FIND(",",$A44)),ISERROR(FIND("-",$A44)),ISERROR(FIND("+",$A44)),ISERROR(SEARCH("E",$A44,2)),ISERROR(FIND(" ",TRIM($A44)))),0,"")</f>
        <v/>
      </c>
      <c r="C44" s="339" t="n"/>
      <c r="D44" s="335">
        <f>IF(AND(A44="",A43&lt;&gt;"",COUNTIF(A45:$A$200,"&lt;&gt;")=0),ROUND(SUMIF($A$2:A43,"&lt;&gt;",$D$2:D43),2),IF(OR(A44="",B44="",C44=""),"",ROUND(B44*C44,2)))</f>
        <v/>
      </c>
      <c r="E44" s="89" t="n"/>
      <c r="F44" s="335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 t="n"/>
      <c r="H44" s="335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 t="n"/>
      <c r="J44" s="335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 t="n"/>
      <c r="L44" s="335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>
        <f>IF(OR(posicao_contratual!J44="",posicao_contratual!N44=""),"",ROUND(MAX(posicao_contratual!J44+posicao_contratual!H44-posicao_contratual!N44,0),2))</f>
        <v/>
      </c>
      <c r="N44" s="335">
        <f>IF(AND(A44="",A43&lt;&gt;"",COUNTIF(A45:$A$200,"&lt;&gt;")=0),ROUND(SUMIF($A$2:A43,"&lt;&gt;",$N$2:N43),2),IF(OR(M44="",C44="",NOT(ISNUMBER($Z$3))),"",ROUND(M44*C44*$Z$3,2)))</f>
        <v/>
      </c>
      <c r="O44" s="90">
        <f>IF(OR(posicao_contratual!N44="",posicao_contratual!R44=""),"",ROUND(MAX(posicao_contratual!N44+posicao_contratual!L44-posicao_contratual!R44,0),2))</f>
        <v/>
      </c>
      <c r="P44" s="335">
        <f>IF(AND(A44="",A43&lt;&gt;"",COUNTIF(A45:$A$200,"&lt;&gt;")=0),ROUND(SUMIF($A$2:A43,"&lt;&gt;",$P$2:P43),2),IF(OR(O44="",C44="",NOT(ISNUMBER($Z$4))),"",ROUND(O44*C44*$Z$4,2)))</f>
        <v/>
      </c>
      <c r="Q44" s="90">
        <f>IF(OR(posicao_contratual!R44="",posicao_contratual!V44=""),"",ROUND(MAX(posicao_contratual!R44+posicao_contratual!P44-posicao_contratual!V44,0),2))</f>
        <v/>
      </c>
      <c r="R44" s="335">
        <f>IF(AND(A44="",A43&lt;&gt;"",COUNTIF(A45:$A$200,"&lt;&gt;")=0),ROUND(SUMIF($A$2:A43,"&lt;&gt;",$R$2:R43),2),IF(OR(Q44="",C44="",NOT(ISNUMBER($Z$5))),"",ROUND(Q44*C44*$Z$5,2)))</f>
        <v/>
      </c>
      <c r="S44" s="22" t="n"/>
      <c r="T44" s="340" t="n"/>
      <c r="U44" s="91">
        <f>IF(AND(A44="",A43&lt;&gt;"",COUNTIF(A45:$A$200,"&lt;&gt;")=0),"TOTAL",IF(A44="","",posicao_contratual!X44))</f>
        <v/>
      </c>
      <c r="V44" s="91">
        <f>IF(A44="","",posicao_contratual!X44)</f>
        <v/>
      </c>
      <c r="W44" s="14" t="n"/>
      <c r="X44" s="14" t="n"/>
      <c r="Y44" s="14" t="n"/>
      <c r="Z44" s="13" t="n"/>
      <c r="AA44" s="13" t="n"/>
      <c r="AB44" s="90">
        <f>IF(OR(A44="",posicao_contratual!E44="",posicao_contratual!J44=""),"",ROUND(MAX(posicao_contratual!E44-posicao_contratual!J44,0),2))</f>
        <v/>
      </c>
      <c r="AC44" s="335">
        <f>IF(AND(A44="",A43&lt;&gt;"",COUNTIF(A45:$A$200,"&lt;&gt;")=0),ROUND(SUMIF($A$2:A43,"&lt;&gt;",$AC$2:AC43),2),IF(OR(AB44="",C44="",NOT(ISNUMBER($Z$2))),"",ROUND(AB44*C44*$Z$2,2)))</f>
        <v/>
      </c>
      <c r="AD44" s="155">
        <f>IF(A44="","",posicao_contratual!E44)</f>
        <v/>
      </c>
      <c r="AE44" s="155">
        <f>IF(A44="","",posicao_contratual!I44)</f>
        <v/>
      </c>
      <c r="AF44" s="155">
        <f>IF(A44="","",posicao_contratual!M44)</f>
        <v/>
      </c>
      <c r="AG44" s="155">
        <f>IF(A44="","",posicao_contratual!Q44)</f>
        <v/>
      </c>
      <c r="AH44" s="155">
        <f>IF(A44="","",posicao_contratual!U44)</f>
        <v/>
      </c>
      <c r="AI44" s="155">
        <f>IF(A44="","",posicao_contratual!G44)</f>
        <v/>
      </c>
      <c r="AJ44" s="155">
        <f>IF(A44="","",posicao_contratual!K44)</f>
        <v/>
      </c>
      <c r="AK44" s="155">
        <f>IF(A44="","",posicao_contratual!O44)</f>
        <v/>
      </c>
      <c r="AL44" s="155">
        <f>IF(A44="","",posicao_contratual!S44)</f>
        <v/>
      </c>
      <c r="AM44" s="155">
        <f>IF(A44="","",posicao_contratual!W44)</f>
        <v/>
      </c>
      <c r="AN44" s="156">
        <f>IF(A44="","",posicao_contratual!X44)</f>
        <v/>
      </c>
      <c r="AO44">
        <f>IF($A44="","",ROUND(SUMIFS(itens_Consumidos!$E$2:$E$200,itens_Consumidos!$A$2:$A$200,$A44),2))</f>
        <v/>
      </c>
      <c r="AP44">
        <f>IF(OR($A44="",AB44=""),"",ROUND(MAX(AB44-AO44,0),2))</f>
        <v/>
      </c>
      <c r="AQ44">
        <f>IF(OR($A44="",AB44="",MEMORIA_RESULTADOS!$I$258=""),"",ROUND(AB44*$C44*(MEMORIA_RESULTADOS!$I$258-1),2))</f>
        <v/>
      </c>
      <c r="AR44">
        <f>IF(OR($A44="",AP44="",MEMORIA_RESULTADOS!$I$258=""),"",ROUND(AP44*$C44*(parametros!$F$2-MEMORIA_RESULTADOS!$I$258),2))</f>
        <v/>
      </c>
      <c r="AS44">
        <f>IF($A44="","",ROUND(SUMIFS(itens_Consumidos!$G$2:$G$200,itens_Consumidos!$A$2:$A$200,$A44),2))</f>
        <v/>
      </c>
      <c r="AT44">
        <f>IF(OR($A44="",M44=""),"",ROUND(MAX(M44-AS44,0),2))</f>
        <v/>
      </c>
      <c r="AU44">
        <f>IF(OR($A44="",M44="",MEMORIA_RESULTADOS!$I$259=""),"",ROUND(M44*$C44*(MEMORIA_RESULTADOS!$I$259-1),2))</f>
        <v/>
      </c>
      <c r="AV44">
        <f>IF(OR($A44="",AT44="",MEMORIA_RESULTADOS!$I$259=""),"",ROUND(AT44*$C44*(parametros!$F$3-MEMORIA_RESULTADOS!$I$259),2))</f>
        <v/>
      </c>
      <c r="AW44">
        <f>IF($A44="","",ROUND(SUMIFS(itens_Consumidos!$I$2:$I$200,itens_Consumidos!$A$2:$A$200,$A44),2))</f>
        <v/>
      </c>
      <c r="AX44">
        <f>IF(OR($A44="",O44=""),"",ROUND(MAX(O44-AW44,0),2))</f>
        <v/>
      </c>
      <c r="AY44">
        <f>IF(OR($A44="",O44="",MEMORIA_RESULTADOS!$I$260=""),"",ROUND(O44*$C44*(MEMORIA_RESULTADOS!$I$260-1),2))</f>
        <v/>
      </c>
      <c r="AZ44">
        <f>IF(OR($A44="",AX44="",MEMORIA_RESULTADOS!$I$260=""),"",ROUND(AX44*$C44*(parametros!$F$4-MEMORIA_RESULTADOS!$I$260),2))</f>
        <v/>
      </c>
      <c r="BA44">
        <f>IF($A44="","",ROUND(SUMIFS(itens_Consumidos!$K$2:$K$200,itens_Consumidos!$A$2:$A$200,$A44),2))</f>
        <v/>
      </c>
      <c r="BB44">
        <f>IF(OR($A44="",Q44=""),"",ROUND(MAX(Q44-BA44,0),2))</f>
        <v/>
      </c>
      <c r="BC44">
        <f>IF(OR($A44="",Q44="",MEMORIA_RESULTADOS!$I$261=""),"",ROUND(Q44*$C44*(MEMORIA_RESULTADOS!$I$261-1),2))</f>
        <v/>
      </c>
      <c r="BD44">
        <f>IF(OR($A44="",BB44="",MEMORIA_RESULTADOS!$I$261=""),"",ROUND(BB44*$C44*(parametros!$F$5-MEMORIA_RESULTADOS!$I$261),2))</f>
        <v/>
      </c>
      <c r="BE44">
        <f>IF($A44="","",ROUND(SUMIFS(itens_Consumidos!$M$2:$M$200,itens_Consumidos!$A$2:$A$200,$A44),2))</f>
        <v/>
      </c>
      <c r="BF44">
        <f>IF(OR($A44="",S44=""),"",ROUND(MAX(S44-BE44,0),2))</f>
        <v/>
      </c>
      <c r="BG44">
        <f>IF(OR($A44="",S44="",MEMORIA_RESULTADOS!$I$262=""),"",ROUND(S44*$C44*(MEMORIA_RESULTADOS!$I$262-1),2))</f>
        <v/>
      </c>
      <c r="BH44">
        <f>IF(OR($A44="",BF44="",MEMORIA_RESULTADOS!$I$262=""),"",ROUND(BF44*$C44*(parametros!$F$6-MEMORIA_RESULTADOS!$I$262),2))</f>
        <v/>
      </c>
    </row>
    <row r="45">
      <c r="A45" s="86" t="n"/>
      <c r="B45" s="87">
        <f>IF(AND(LEN(TRIM($A45))=4,LEFT(TRIM($A45),1)="N",ISNUMBER(--MID(TRIM($A45),2,3)),ISERROR(FIND(".",$A45)),ISERROR(FIND(",",$A45)),ISERROR(FIND("-",$A45)),ISERROR(FIND("+",$A45)),ISERROR(SEARCH("E",$A45,2)),ISERROR(FIND(" ",TRIM($A45)))),0,"")</f>
        <v/>
      </c>
      <c r="C45" s="339" t="n"/>
      <c r="D45" s="335">
        <f>IF(AND(A45="",A44&lt;&gt;"",COUNTIF(A46:$A$200,"&lt;&gt;")=0),ROUND(SUMIF($A$2:A44,"&lt;&gt;",$D$2:D44),2),IF(OR(A45="",B45="",C45=""),"",ROUND(B45*C45,2)))</f>
        <v/>
      </c>
      <c r="E45" s="89" t="n"/>
      <c r="F45" s="335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 t="n"/>
      <c r="H45" s="335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 t="n"/>
      <c r="J45" s="335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 t="n"/>
      <c r="L45" s="335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>
        <f>IF(OR(posicao_contratual!J45="",posicao_contratual!N45=""),"",ROUND(MAX(posicao_contratual!J45+posicao_contratual!H45-posicao_contratual!N45,0),2))</f>
        <v/>
      </c>
      <c r="N45" s="335">
        <f>IF(AND(A45="",A44&lt;&gt;"",COUNTIF(A46:$A$200,"&lt;&gt;")=0),ROUND(SUMIF($A$2:A44,"&lt;&gt;",$N$2:N44),2),IF(OR(M45="",C45="",NOT(ISNUMBER($Z$3))),"",ROUND(M45*C45*$Z$3,2)))</f>
        <v/>
      </c>
      <c r="O45" s="90">
        <f>IF(OR(posicao_contratual!N45="",posicao_contratual!R45=""),"",ROUND(MAX(posicao_contratual!N45+posicao_contratual!L45-posicao_contratual!R45,0),2))</f>
        <v/>
      </c>
      <c r="P45" s="335">
        <f>IF(AND(A45="",A44&lt;&gt;"",COUNTIF(A46:$A$200,"&lt;&gt;")=0),ROUND(SUMIF($A$2:A44,"&lt;&gt;",$P$2:P44),2),IF(OR(O45="",C45="",NOT(ISNUMBER($Z$4))),"",ROUND(O45*C45*$Z$4,2)))</f>
        <v/>
      </c>
      <c r="Q45" s="90">
        <f>IF(OR(posicao_contratual!R45="",posicao_contratual!V45=""),"",ROUND(MAX(posicao_contratual!R45+posicao_contratual!P45-posicao_contratual!V45,0),2))</f>
        <v/>
      </c>
      <c r="R45" s="335">
        <f>IF(AND(A45="",A44&lt;&gt;"",COUNTIF(A46:$A$200,"&lt;&gt;")=0),ROUND(SUMIF($A$2:A44,"&lt;&gt;",$R$2:R44),2),IF(OR(Q45="",C45="",NOT(ISNUMBER($Z$5))),"",ROUND(Q45*C45*$Z$5,2)))</f>
        <v/>
      </c>
      <c r="S45" s="22" t="n"/>
      <c r="T45" s="340" t="n"/>
      <c r="U45" s="91">
        <f>IF(AND(A45="",A44&lt;&gt;"",COUNTIF(A46:$A$200,"&lt;&gt;")=0),"TOTAL",IF(A45="","",posicao_contratual!X45))</f>
        <v/>
      </c>
      <c r="V45" s="91">
        <f>IF(A45="","",posicao_contratual!X45)</f>
        <v/>
      </c>
      <c r="W45" s="14" t="n"/>
      <c r="X45" s="14" t="n"/>
      <c r="Y45" s="14" t="n"/>
      <c r="Z45" s="13" t="n"/>
      <c r="AA45" s="13" t="n"/>
      <c r="AB45" s="90">
        <f>IF(OR(A45="",posicao_contratual!E45="",posicao_contratual!J45=""),"",ROUND(MAX(posicao_contratual!E45-posicao_contratual!J45,0),2))</f>
        <v/>
      </c>
      <c r="AC45" s="335">
        <f>IF(AND(A45="",A44&lt;&gt;"",COUNTIF(A46:$A$200,"&lt;&gt;")=0),ROUND(SUMIF($A$2:A44,"&lt;&gt;",$AC$2:AC44),2),IF(OR(AB45="",C45="",NOT(ISNUMBER($Z$2))),"",ROUND(AB45*C45*$Z$2,2)))</f>
        <v/>
      </c>
      <c r="AD45" s="155">
        <f>IF(A45="","",posicao_contratual!E45)</f>
        <v/>
      </c>
      <c r="AE45" s="155">
        <f>IF(A45="","",posicao_contratual!I45)</f>
        <v/>
      </c>
      <c r="AF45" s="155">
        <f>IF(A45="","",posicao_contratual!M45)</f>
        <v/>
      </c>
      <c r="AG45" s="155">
        <f>IF(A45="","",posicao_contratual!Q45)</f>
        <v/>
      </c>
      <c r="AH45" s="155">
        <f>IF(A45="","",posicao_contratual!U45)</f>
        <v/>
      </c>
      <c r="AI45" s="155">
        <f>IF(A45="","",posicao_contratual!G45)</f>
        <v/>
      </c>
      <c r="AJ45" s="155">
        <f>IF(A45="","",posicao_contratual!K45)</f>
        <v/>
      </c>
      <c r="AK45" s="155">
        <f>IF(A45="","",posicao_contratual!O45)</f>
        <v/>
      </c>
      <c r="AL45" s="155">
        <f>IF(A45="","",posicao_contratual!S45)</f>
        <v/>
      </c>
      <c r="AM45" s="155">
        <f>IF(A45="","",posicao_contratual!W45)</f>
        <v/>
      </c>
      <c r="AN45" s="156">
        <f>IF(A45="","",posicao_contratual!X45)</f>
        <v/>
      </c>
      <c r="AO45">
        <f>IF($A45="","",ROUND(SUMIFS(itens_Consumidos!$E$2:$E$200,itens_Consumidos!$A$2:$A$200,$A45),2))</f>
        <v/>
      </c>
      <c r="AP45">
        <f>IF(OR($A45="",AB45=""),"",ROUND(MAX(AB45-AO45,0),2))</f>
        <v/>
      </c>
      <c r="AQ45">
        <f>IF(OR($A45="",AB45="",MEMORIA_RESULTADOS!$I$258=""),"",ROUND(AB45*$C45*(MEMORIA_RESULTADOS!$I$258-1),2))</f>
        <v/>
      </c>
      <c r="AR45">
        <f>IF(OR($A45="",AP45="",MEMORIA_RESULTADOS!$I$258=""),"",ROUND(AP45*$C45*(parametros!$F$2-MEMORIA_RESULTADOS!$I$258),2))</f>
        <v/>
      </c>
      <c r="AS45">
        <f>IF($A45="","",ROUND(SUMIFS(itens_Consumidos!$G$2:$G$200,itens_Consumidos!$A$2:$A$200,$A45),2))</f>
        <v/>
      </c>
      <c r="AT45">
        <f>IF(OR($A45="",M45=""),"",ROUND(MAX(M45-AS45,0),2))</f>
        <v/>
      </c>
      <c r="AU45">
        <f>IF(OR($A45="",M45="",MEMORIA_RESULTADOS!$I$259=""),"",ROUND(M45*$C45*(MEMORIA_RESULTADOS!$I$259-1),2))</f>
        <v/>
      </c>
      <c r="AV45">
        <f>IF(OR($A45="",AT45="",MEMORIA_RESULTADOS!$I$259=""),"",ROUND(AT45*$C45*(parametros!$F$3-MEMORIA_RESULTADOS!$I$259),2))</f>
        <v/>
      </c>
      <c r="AW45">
        <f>IF($A45="","",ROUND(SUMIFS(itens_Consumidos!$I$2:$I$200,itens_Consumidos!$A$2:$A$200,$A45),2))</f>
        <v/>
      </c>
      <c r="AX45">
        <f>IF(OR($A45="",O45=""),"",ROUND(MAX(O45-AW45,0),2))</f>
        <v/>
      </c>
      <c r="AY45">
        <f>IF(OR($A45="",O45="",MEMORIA_RESULTADOS!$I$260=""),"",ROUND(O45*$C45*(MEMORIA_RESULTADOS!$I$260-1),2))</f>
        <v/>
      </c>
      <c r="AZ45">
        <f>IF(OR($A45="",AX45="",MEMORIA_RESULTADOS!$I$260=""),"",ROUND(AX45*$C45*(parametros!$F$4-MEMORIA_RESULTADOS!$I$260),2))</f>
        <v/>
      </c>
      <c r="BA45">
        <f>IF($A45="","",ROUND(SUMIFS(itens_Consumidos!$K$2:$K$200,itens_Consumidos!$A$2:$A$200,$A45),2))</f>
        <v/>
      </c>
      <c r="BB45">
        <f>IF(OR($A45="",Q45=""),"",ROUND(MAX(Q45-BA45,0),2))</f>
        <v/>
      </c>
      <c r="BC45">
        <f>IF(OR($A45="",Q45="",MEMORIA_RESULTADOS!$I$261=""),"",ROUND(Q45*$C45*(MEMORIA_RESULTADOS!$I$261-1),2))</f>
        <v/>
      </c>
      <c r="BD45">
        <f>IF(OR($A45="",BB45="",MEMORIA_RESULTADOS!$I$261=""),"",ROUND(BB45*$C45*(parametros!$F$5-MEMORIA_RESULTADOS!$I$261),2))</f>
        <v/>
      </c>
      <c r="BE45">
        <f>IF($A45="","",ROUND(SUMIFS(itens_Consumidos!$M$2:$M$200,itens_Consumidos!$A$2:$A$200,$A45),2))</f>
        <v/>
      </c>
      <c r="BF45">
        <f>IF(OR($A45="",S45=""),"",ROUND(MAX(S45-BE45,0),2))</f>
        <v/>
      </c>
      <c r="BG45">
        <f>IF(OR($A45="",S45="",MEMORIA_RESULTADOS!$I$262=""),"",ROUND(S45*$C45*(MEMORIA_RESULTADOS!$I$262-1),2))</f>
        <v/>
      </c>
      <c r="BH45">
        <f>IF(OR($A45="",BF45="",MEMORIA_RESULTADOS!$I$262=""),"",ROUND(BF45*$C45*(parametros!$F$6-MEMORIA_RESULTADOS!$I$262),2))</f>
        <v/>
      </c>
    </row>
    <row r="46">
      <c r="A46" s="86" t="n"/>
      <c r="B46" s="87">
        <f>IF(AND(LEN(TRIM($A46))=4,LEFT(TRIM($A46),1)="N",ISNUMBER(--MID(TRIM($A46),2,3)),ISERROR(FIND(".",$A46)),ISERROR(FIND(",",$A46)),ISERROR(FIND("-",$A46)),ISERROR(FIND("+",$A46)),ISERROR(SEARCH("E",$A46,2)),ISERROR(FIND(" ",TRIM($A46)))),0,"")</f>
        <v/>
      </c>
      <c r="C46" s="339" t="n"/>
      <c r="D46" s="335">
        <f>IF(AND(A46="",A45&lt;&gt;"",COUNTIF(A47:$A$200,"&lt;&gt;")=0),ROUND(SUMIF($A$2:A45,"&lt;&gt;",$D$2:D45),2),IF(OR(A46="",B46="",C46=""),"",ROUND(B46*C46,2)))</f>
        <v/>
      </c>
      <c r="E46" s="89" t="n"/>
      <c r="F46" s="335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 t="n"/>
      <c r="H46" s="335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 t="n"/>
      <c r="J46" s="335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 t="n"/>
      <c r="L46" s="335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>
        <f>IF(OR(posicao_contratual!J46="",posicao_contratual!N46=""),"",ROUND(MAX(posicao_contratual!J46+posicao_contratual!H46-posicao_contratual!N46,0),2))</f>
        <v/>
      </c>
      <c r="N46" s="335">
        <f>IF(AND(A46="",A45&lt;&gt;"",COUNTIF(A47:$A$200,"&lt;&gt;")=0),ROUND(SUMIF($A$2:A45,"&lt;&gt;",$N$2:N45),2),IF(OR(M46="",C46="",NOT(ISNUMBER($Z$3))),"",ROUND(M46*C46*$Z$3,2)))</f>
        <v/>
      </c>
      <c r="O46" s="90">
        <f>IF(OR(posicao_contratual!N46="",posicao_contratual!R46=""),"",ROUND(MAX(posicao_contratual!N46+posicao_contratual!L46-posicao_contratual!R46,0),2))</f>
        <v/>
      </c>
      <c r="P46" s="335">
        <f>IF(AND(A46="",A45&lt;&gt;"",COUNTIF(A47:$A$200,"&lt;&gt;")=0),ROUND(SUMIF($A$2:A45,"&lt;&gt;",$P$2:P45),2),IF(OR(O46="",C46="",NOT(ISNUMBER($Z$4))),"",ROUND(O46*C46*$Z$4,2)))</f>
        <v/>
      </c>
      <c r="Q46" s="90">
        <f>IF(OR(posicao_contratual!R46="",posicao_contratual!V46=""),"",ROUND(MAX(posicao_contratual!R46+posicao_contratual!P46-posicao_contratual!V46,0),2))</f>
        <v/>
      </c>
      <c r="R46" s="335">
        <f>IF(AND(A46="",A45&lt;&gt;"",COUNTIF(A47:$A$200,"&lt;&gt;")=0),ROUND(SUMIF($A$2:A45,"&lt;&gt;",$R$2:R45),2),IF(OR(Q46="",C46="",NOT(ISNUMBER($Z$5))),"",ROUND(Q46*C46*$Z$5,2)))</f>
        <v/>
      </c>
      <c r="S46" s="22" t="n"/>
      <c r="T46" s="340" t="n"/>
      <c r="U46" s="91">
        <f>IF(AND(A46="",A45&lt;&gt;"",COUNTIF(A47:$A$200,"&lt;&gt;")=0),"TOTAL",IF(A46="","",posicao_contratual!X46))</f>
        <v/>
      </c>
      <c r="V46" s="91">
        <f>IF(A46="","",posicao_contratual!X46)</f>
        <v/>
      </c>
      <c r="W46" s="14" t="n"/>
      <c r="X46" s="14" t="n"/>
      <c r="Y46" s="14" t="n"/>
      <c r="Z46" s="13" t="n"/>
      <c r="AA46" s="13" t="n"/>
      <c r="AB46" s="90">
        <f>IF(OR(A46="",posicao_contratual!E46="",posicao_contratual!J46=""),"",ROUND(MAX(posicao_contratual!E46-posicao_contratual!J46,0),2))</f>
        <v/>
      </c>
      <c r="AC46" s="335">
        <f>IF(AND(A46="",A45&lt;&gt;"",COUNTIF(A47:$A$200,"&lt;&gt;")=0),ROUND(SUMIF($A$2:A45,"&lt;&gt;",$AC$2:AC45),2),IF(OR(AB46="",C46="",NOT(ISNUMBER($Z$2))),"",ROUND(AB46*C46*$Z$2,2)))</f>
        <v/>
      </c>
      <c r="AD46" s="155">
        <f>IF(A46="","",posicao_contratual!E46)</f>
        <v/>
      </c>
      <c r="AE46" s="155">
        <f>IF(A46="","",posicao_contratual!I46)</f>
        <v/>
      </c>
      <c r="AF46" s="155">
        <f>IF(A46="","",posicao_contratual!M46)</f>
        <v/>
      </c>
      <c r="AG46" s="155">
        <f>IF(A46="","",posicao_contratual!Q46)</f>
        <v/>
      </c>
      <c r="AH46" s="155">
        <f>IF(A46="","",posicao_contratual!U46)</f>
        <v/>
      </c>
      <c r="AI46" s="155">
        <f>IF(A46="","",posicao_contratual!G46)</f>
        <v/>
      </c>
      <c r="AJ46" s="155">
        <f>IF(A46="","",posicao_contratual!K46)</f>
        <v/>
      </c>
      <c r="AK46" s="155">
        <f>IF(A46="","",posicao_contratual!O46)</f>
        <v/>
      </c>
      <c r="AL46" s="155">
        <f>IF(A46="","",posicao_contratual!S46)</f>
        <v/>
      </c>
      <c r="AM46" s="155">
        <f>IF(A46="","",posicao_contratual!W46)</f>
        <v/>
      </c>
      <c r="AN46" s="156">
        <f>IF(A46="","",posicao_contratual!X46)</f>
        <v/>
      </c>
      <c r="AO46">
        <f>IF($A46="","",ROUND(SUMIFS(itens_Consumidos!$E$2:$E$200,itens_Consumidos!$A$2:$A$200,$A46),2))</f>
        <v/>
      </c>
      <c r="AP46">
        <f>IF(OR($A46="",AB46=""),"",ROUND(MAX(AB46-AO46,0),2))</f>
        <v/>
      </c>
      <c r="AQ46">
        <f>IF(OR($A46="",AB46="",MEMORIA_RESULTADOS!$I$258=""),"",ROUND(AB46*$C46*(MEMORIA_RESULTADOS!$I$258-1),2))</f>
        <v/>
      </c>
      <c r="AR46">
        <f>IF(OR($A46="",AP46="",MEMORIA_RESULTADOS!$I$258=""),"",ROUND(AP46*$C46*(parametros!$F$2-MEMORIA_RESULTADOS!$I$258),2))</f>
        <v/>
      </c>
      <c r="AS46">
        <f>IF($A46="","",ROUND(SUMIFS(itens_Consumidos!$G$2:$G$200,itens_Consumidos!$A$2:$A$200,$A46),2))</f>
        <v/>
      </c>
      <c r="AT46">
        <f>IF(OR($A46="",M46=""),"",ROUND(MAX(M46-AS46,0),2))</f>
        <v/>
      </c>
      <c r="AU46">
        <f>IF(OR($A46="",M46="",MEMORIA_RESULTADOS!$I$259=""),"",ROUND(M46*$C46*(MEMORIA_RESULTADOS!$I$259-1),2))</f>
        <v/>
      </c>
      <c r="AV46">
        <f>IF(OR($A46="",AT46="",MEMORIA_RESULTADOS!$I$259=""),"",ROUND(AT46*$C46*(parametros!$F$3-MEMORIA_RESULTADOS!$I$259),2))</f>
        <v/>
      </c>
      <c r="AW46">
        <f>IF($A46="","",ROUND(SUMIFS(itens_Consumidos!$I$2:$I$200,itens_Consumidos!$A$2:$A$200,$A46),2))</f>
        <v/>
      </c>
      <c r="AX46">
        <f>IF(OR($A46="",O46=""),"",ROUND(MAX(O46-AW46,0),2))</f>
        <v/>
      </c>
      <c r="AY46">
        <f>IF(OR($A46="",O46="",MEMORIA_RESULTADOS!$I$260=""),"",ROUND(O46*$C46*(MEMORIA_RESULTADOS!$I$260-1),2))</f>
        <v/>
      </c>
      <c r="AZ46">
        <f>IF(OR($A46="",AX46="",MEMORIA_RESULTADOS!$I$260=""),"",ROUND(AX46*$C46*(parametros!$F$4-MEMORIA_RESULTADOS!$I$260),2))</f>
        <v/>
      </c>
      <c r="BA46">
        <f>IF($A46="","",ROUND(SUMIFS(itens_Consumidos!$K$2:$K$200,itens_Consumidos!$A$2:$A$200,$A46),2))</f>
        <v/>
      </c>
      <c r="BB46">
        <f>IF(OR($A46="",Q46=""),"",ROUND(MAX(Q46-BA46,0),2))</f>
        <v/>
      </c>
      <c r="BC46">
        <f>IF(OR($A46="",Q46="",MEMORIA_RESULTADOS!$I$261=""),"",ROUND(Q46*$C46*(MEMORIA_RESULTADOS!$I$261-1),2))</f>
        <v/>
      </c>
      <c r="BD46">
        <f>IF(OR($A46="",BB46="",MEMORIA_RESULTADOS!$I$261=""),"",ROUND(BB46*$C46*(parametros!$F$5-MEMORIA_RESULTADOS!$I$261),2))</f>
        <v/>
      </c>
      <c r="BE46">
        <f>IF($A46="","",ROUND(SUMIFS(itens_Consumidos!$M$2:$M$200,itens_Consumidos!$A$2:$A$200,$A46),2))</f>
        <v/>
      </c>
      <c r="BF46">
        <f>IF(OR($A46="",S46=""),"",ROUND(MAX(S46-BE46,0),2))</f>
        <v/>
      </c>
      <c r="BG46">
        <f>IF(OR($A46="",S46="",MEMORIA_RESULTADOS!$I$262=""),"",ROUND(S46*$C46*(MEMORIA_RESULTADOS!$I$262-1),2))</f>
        <v/>
      </c>
      <c r="BH46">
        <f>IF(OR($A46="",BF46="",MEMORIA_RESULTADOS!$I$262=""),"",ROUND(BF46*$C46*(parametros!$F$6-MEMORIA_RESULTADOS!$I$262),2))</f>
        <v/>
      </c>
    </row>
    <row r="47">
      <c r="A47" s="86" t="n"/>
      <c r="B47" s="87">
        <f>IF(AND(LEN(TRIM($A47))=4,LEFT(TRIM($A47),1)="N",ISNUMBER(--MID(TRIM($A47),2,3)),ISERROR(FIND(".",$A47)),ISERROR(FIND(",",$A47)),ISERROR(FIND("-",$A47)),ISERROR(FIND("+",$A47)),ISERROR(SEARCH("E",$A47,2)),ISERROR(FIND(" ",TRIM($A47)))),0,"")</f>
        <v/>
      </c>
      <c r="C47" s="339" t="n"/>
      <c r="D47" s="335">
        <f>IF(AND(A47="",A46&lt;&gt;"",COUNTIF(A48:$A$200,"&lt;&gt;")=0),ROUND(SUMIF($A$2:A46,"&lt;&gt;",$D$2:D46),2),IF(OR(A47="",B47="",C47=""),"",ROUND(B47*C47,2)))</f>
        <v/>
      </c>
      <c r="E47" s="89" t="n"/>
      <c r="F47" s="335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 t="n"/>
      <c r="H47" s="335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 t="n"/>
      <c r="J47" s="335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 t="n"/>
      <c r="L47" s="335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>
        <f>IF(OR(posicao_contratual!J47="",posicao_contratual!N47=""),"",ROUND(MAX(posicao_contratual!J47+posicao_contratual!H47-posicao_contratual!N47,0),2))</f>
        <v/>
      </c>
      <c r="N47" s="335">
        <f>IF(AND(A47="",A46&lt;&gt;"",COUNTIF(A48:$A$200,"&lt;&gt;")=0),ROUND(SUMIF($A$2:A46,"&lt;&gt;",$N$2:N46),2),IF(OR(M47="",C47="",NOT(ISNUMBER($Z$3))),"",ROUND(M47*C47*$Z$3,2)))</f>
        <v/>
      </c>
      <c r="O47" s="90">
        <f>IF(OR(posicao_contratual!N47="",posicao_contratual!R47=""),"",ROUND(MAX(posicao_contratual!N47+posicao_contratual!L47-posicao_contratual!R47,0),2))</f>
        <v/>
      </c>
      <c r="P47" s="335">
        <f>IF(AND(A47="",A46&lt;&gt;"",COUNTIF(A48:$A$200,"&lt;&gt;")=0),ROUND(SUMIF($A$2:A46,"&lt;&gt;",$P$2:P46),2),IF(OR(O47="",C47="",NOT(ISNUMBER($Z$4))),"",ROUND(O47*C47*$Z$4,2)))</f>
        <v/>
      </c>
      <c r="Q47" s="90">
        <f>IF(OR(posicao_contratual!R47="",posicao_contratual!V47=""),"",ROUND(MAX(posicao_contratual!R47+posicao_contratual!P47-posicao_contratual!V47,0),2))</f>
        <v/>
      </c>
      <c r="R47" s="335">
        <f>IF(AND(A47="",A46&lt;&gt;"",COUNTIF(A48:$A$200,"&lt;&gt;")=0),ROUND(SUMIF($A$2:A46,"&lt;&gt;",$R$2:R46),2),IF(OR(Q47="",C47="",NOT(ISNUMBER($Z$5))),"",ROUND(Q47*C47*$Z$5,2)))</f>
        <v/>
      </c>
      <c r="S47" s="22" t="n"/>
      <c r="T47" s="340" t="n"/>
      <c r="U47" s="91">
        <f>IF(AND(A47="",A46&lt;&gt;"",COUNTIF(A48:$A$200,"&lt;&gt;")=0),"TOTAL",IF(A47="","",posicao_contratual!X47))</f>
        <v/>
      </c>
      <c r="V47" s="91">
        <f>IF(A47="","",posicao_contratual!X47)</f>
        <v/>
      </c>
      <c r="W47" s="14" t="n"/>
      <c r="X47" s="14" t="n"/>
      <c r="Y47" s="14" t="n"/>
      <c r="Z47" s="13" t="n"/>
      <c r="AA47" s="13" t="n"/>
      <c r="AB47" s="90">
        <f>IF(OR(A47="",posicao_contratual!E47="",posicao_contratual!J47=""),"",ROUND(MAX(posicao_contratual!E47-posicao_contratual!J47,0),2))</f>
        <v/>
      </c>
      <c r="AC47" s="335">
        <f>IF(AND(A47="",A46&lt;&gt;"",COUNTIF(A48:$A$200,"&lt;&gt;")=0),ROUND(SUMIF($A$2:A46,"&lt;&gt;",$AC$2:AC46),2),IF(OR(AB47="",C47="",NOT(ISNUMBER($Z$2))),"",ROUND(AB47*C47*$Z$2,2)))</f>
        <v/>
      </c>
      <c r="AD47" s="155">
        <f>IF(A47="","",posicao_contratual!E47)</f>
        <v/>
      </c>
      <c r="AE47" s="155">
        <f>IF(A47="","",posicao_contratual!I47)</f>
        <v/>
      </c>
      <c r="AF47" s="155">
        <f>IF(A47="","",posicao_contratual!M47)</f>
        <v/>
      </c>
      <c r="AG47" s="155">
        <f>IF(A47="","",posicao_contratual!Q47)</f>
        <v/>
      </c>
      <c r="AH47" s="155">
        <f>IF(A47="","",posicao_contratual!U47)</f>
        <v/>
      </c>
      <c r="AI47" s="155">
        <f>IF(A47="","",posicao_contratual!G47)</f>
        <v/>
      </c>
      <c r="AJ47" s="155">
        <f>IF(A47="","",posicao_contratual!K47)</f>
        <v/>
      </c>
      <c r="AK47" s="155">
        <f>IF(A47="","",posicao_contratual!O47)</f>
        <v/>
      </c>
      <c r="AL47" s="155">
        <f>IF(A47="","",posicao_contratual!S47)</f>
        <v/>
      </c>
      <c r="AM47" s="155">
        <f>IF(A47="","",posicao_contratual!W47)</f>
        <v/>
      </c>
      <c r="AN47" s="156">
        <f>IF(A47="","",posicao_contratual!X47)</f>
        <v/>
      </c>
      <c r="AO47">
        <f>IF($A47="","",ROUND(SUMIFS(itens_Consumidos!$E$2:$E$200,itens_Consumidos!$A$2:$A$200,$A47),2))</f>
        <v/>
      </c>
      <c r="AP47">
        <f>IF(OR($A47="",AB47=""),"",ROUND(MAX(AB47-AO47,0),2))</f>
        <v/>
      </c>
      <c r="AQ47">
        <f>IF(OR($A47="",AB47="",MEMORIA_RESULTADOS!$I$258=""),"",ROUND(AB47*$C47*(MEMORIA_RESULTADOS!$I$258-1),2))</f>
        <v/>
      </c>
      <c r="AR47">
        <f>IF(OR($A47="",AP47="",MEMORIA_RESULTADOS!$I$258=""),"",ROUND(AP47*$C47*(parametros!$F$2-MEMORIA_RESULTADOS!$I$258),2))</f>
        <v/>
      </c>
      <c r="AS47">
        <f>IF($A47="","",ROUND(SUMIFS(itens_Consumidos!$G$2:$G$200,itens_Consumidos!$A$2:$A$200,$A47),2))</f>
        <v/>
      </c>
      <c r="AT47">
        <f>IF(OR($A47="",M47=""),"",ROUND(MAX(M47-AS47,0),2))</f>
        <v/>
      </c>
      <c r="AU47">
        <f>IF(OR($A47="",M47="",MEMORIA_RESULTADOS!$I$259=""),"",ROUND(M47*$C47*(MEMORIA_RESULTADOS!$I$259-1),2))</f>
        <v/>
      </c>
      <c r="AV47">
        <f>IF(OR($A47="",AT47="",MEMORIA_RESULTADOS!$I$259=""),"",ROUND(AT47*$C47*(parametros!$F$3-MEMORIA_RESULTADOS!$I$259),2))</f>
        <v/>
      </c>
      <c r="AW47">
        <f>IF($A47="","",ROUND(SUMIFS(itens_Consumidos!$I$2:$I$200,itens_Consumidos!$A$2:$A$200,$A47),2))</f>
        <v/>
      </c>
      <c r="AX47">
        <f>IF(OR($A47="",O47=""),"",ROUND(MAX(O47-AW47,0),2))</f>
        <v/>
      </c>
      <c r="AY47">
        <f>IF(OR($A47="",O47="",MEMORIA_RESULTADOS!$I$260=""),"",ROUND(O47*$C47*(MEMORIA_RESULTADOS!$I$260-1),2))</f>
        <v/>
      </c>
      <c r="AZ47">
        <f>IF(OR($A47="",AX47="",MEMORIA_RESULTADOS!$I$260=""),"",ROUND(AX47*$C47*(parametros!$F$4-MEMORIA_RESULTADOS!$I$260),2))</f>
        <v/>
      </c>
      <c r="BA47">
        <f>IF($A47="","",ROUND(SUMIFS(itens_Consumidos!$K$2:$K$200,itens_Consumidos!$A$2:$A$200,$A47),2))</f>
        <v/>
      </c>
      <c r="BB47">
        <f>IF(OR($A47="",Q47=""),"",ROUND(MAX(Q47-BA47,0),2))</f>
        <v/>
      </c>
      <c r="BC47">
        <f>IF(OR($A47="",Q47="",MEMORIA_RESULTADOS!$I$261=""),"",ROUND(Q47*$C47*(MEMORIA_RESULTADOS!$I$261-1),2))</f>
        <v/>
      </c>
      <c r="BD47">
        <f>IF(OR($A47="",BB47="",MEMORIA_RESULTADOS!$I$261=""),"",ROUND(BB47*$C47*(parametros!$F$5-MEMORIA_RESULTADOS!$I$261),2))</f>
        <v/>
      </c>
      <c r="BE47">
        <f>IF($A47="","",ROUND(SUMIFS(itens_Consumidos!$M$2:$M$200,itens_Consumidos!$A$2:$A$200,$A47),2))</f>
        <v/>
      </c>
      <c r="BF47">
        <f>IF(OR($A47="",S47=""),"",ROUND(MAX(S47-BE47,0),2))</f>
        <v/>
      </c>
      <c r="BG47">
        <f>IF(OR($A47="",S47="",MEMORIA_RESULTADOS!$I$262=""),"",ROUND(S47*$C47*(MEMORIA_RESULTADOS!$I$262-1),2))</f>
        <v/>
      </c>
      <c r="BH47">
        <f>IF(OR($A47="",BF47="",MEMORIA_RESULTADOS!$I$262=""),"",ROUND(BF47*$C47*(parametros!$F$6-MEMORIA_RESULTADOS!$I$262),2))</f>
        <v/>
      </c>
    </row>
    <row r="48">
      <c r="A48" s="86" t="n"/>
      <c r="B48" s="87">
        <f>IF(AND(LEN(TRIM($A48))=4,LEFT(TRIM($A48),1)="N",ISNUMBER(--MID(TRIM($A48),2,3)),ISERROR(FIND(".",$A48)),ISERROR(FIND(",",$A48)),ISERROR(FIND("-",$A48)),ISERROR(FIND("+",$A48)),ISERROR(SEARCH("E",$A48,2)),ISERROR(FIND(" ",TRIM($A48)))),0,"")</f>
        <v/>
      </c>
      <c r="C48" s="339" t="n"/>
      <c r="D48" s="335">
        <f>IF(AND(A48="",A47&lt;&gt;"",COUNTIF(A49:$A$200,"&lt;&gt;")=0),ROUND(SUMIF($A$2:A47,"&lt;&gt;",$D$2:D47),2),IF(OR(A48="",B48="",C48=""),"",ROUND(B48*C48,2)))</f>
        <v/>
      </c>
      <c r="E48" s="89" t="n"/>
      <c r="F48" s="335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 t="n"/>
      <c r="H48" s="335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 t="n"/>
      <c r="J48" s="335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 t="n"/>
      <c r="L48" s="335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>
        <f>IF(OR(posicao_contratual!J48="",posicao_contratual!N48=""),"",ROUND(MAX(posicao_contratual!J48+posicao_contratual!H48-posicao_contratual!N48,0),2))</f>
        <v/>
      </c>
      <c r="N48" s="335">
        <f>IF(AND(A48="",A47&lt;&gt;"",COUNTIF(A49:$A$200,"&lt;&gt;")=0),ROUND(SUMIF($A$2:A47,"&lt;&gt;",$N$2:N47),2),IF(OR(M48="",C48="",NOT(ISNUMBER($Z$3))),"",ROUND(M48*C48*$Z$3,2)))</f>
        <v/>
      </c>
      <c r="O48" s="90">
        <f>IF(OR(posicao_contratual!N48="",posicao_contratual!R48=""),"",ROUND(MAX(posicao_contratual!N48+posicao_contratual!L48-posicao_contratual!R48,0),2))</f>
        <v/>
      </c>
      <c r="P48" s="335">
        <f>IF(AND(A48="",A47&lt;&gt;"",COUNTIF(A49:$A$200,"&lt;&gt;")=0),ROUND(SUMIF($A$2:A47,"&lt;&gt;",$P$2:P47),2),IF(OR(O48="",C48="",NOT(ISNUMBER($Z$4))),"",ROUND(O48*C48*$Z$4,2)))</f>
        <v/>
      </c>
      <c r="Q48" s="90">
        <f>IF(OR(posicao_contratual!R48="",posicao_contratual!V48=""),"",ROUND(MAX(posicao_contratual!R48+posicao_contratual!P48-posicao_contratual!V48,0),2))</f>
        <v/>
      </c>
      <c r="R48" s="335">
        <f>IF(AND(A48="",A47&lt;&gt;"",COUNTIF(A49:$A$200,"&lt;&gt;")=0),ROUND(SUMIF($A$2:A47,"&lt;&gt;",$R$2:R47),2),IF(OR(Q48="",C48="",NOT(ISNUMBER($Z$5))),"",ROUND(Q48*C48*$Z$5,2)))</f>
        <v/>
      </c>
      <c r="S48" s="22" t="n"/>
      <c r="T48" s="340" t="n"/>
      <c r="U48" s="91">
        <f>IF(AND(A48="",A47&lt;&gt;"",COUNTIF(A49:$A$200,"&lt;&gt;")=0),"TOTAL",IF(A48="","",posicao_contratual!X48))</f>
        <v/>
      </c>
      <c r="V48" s="91">
        <f>IF(A48="","",posicao_contratual!X48)</f>
        <v/>
      </c>
      <c r="W48" s="14" t="n"/>
      <c r="X48" s="14" t="n"/>
      <c r="Y48" s="14" t="n"/>
      <c r="Z48" s="13" t="n"/>
      <c r="AA48" s="13" t="n"/>
      <c r="AB48" s="90">
        <f>IF(OR(A48="",posicao_contratual!E48="",posicao_contratual!J48=""),"",ROUND(MAX(posicao_contratual!E48-posicao_contratual!J48,0),2))</f>
        <v/>
      </c>
      <c r="AC48" s="335">
        <f>IF(AND(A48="",A47&lt;&gt;"",COUNTIF(A49:$A$200,"&lt;&gt;")=0),ROUND(SUMIF($A$2:A47,"&lt;&gt;",$AC$2:AC47),2),IF(OR(AB48="",C48="",NOT(ISNUMBER($Z$2))),"",ROUND(AB48*C48*$Z$2,2)))</f>
        <v/>
      </c>
      <c r="AD48" s="155">
        <f>IF(A48="","",posicao_contratual!E48)</f>
        <v/>
      </c>
      <c r="AE48" s="155">
        <f>IF(A48="","",posicao_contratual!I48)</f>
        <v/>
      </c>
      <c r="AF48" s="155">
        <f>IF(A48="","",posicao_contratual!M48)</f>
        <v/>
      </c>
      <c r="AG48" s="155">
        <f>IF(A48="","",posicao_contratual!Q48)</f>
        <v/>
      </c>
      <c r="AH48" s="155">
        <f>IF(A48="","",posicao_contratual!U48)</f>
        <v/>
      </c>
      <c r="AI48" s="155">
        <f>IF(A48="","",posicao_contratual!G48)</f>
        <v/>
      </c>
      <c r="AJ48" s="155">
        <f>IF(A48="","",posicao_contratual!K48)</f>
        <v/>
      </c>
      <c r="AK48" s="155">
        <f>IF(A48="","",posicao_contratual!O48)</f>
        <v/>
      </c>
      <c r="AL48" s="155">
        <f>IF(A48="","",posicao_contratual!S48)</f>
        <v/>
      </c>
      <c r="AM48" s="155">
        <f>IF(A48="","",posicao_contratual!W48)</f>
        <v/>
      </c>
      <c r="AN48" s="156">
        <f>IF(A48="","",posicao_contratual!X48)</f>
        <v/>
      </c>
      <c r="AO48">
        <f>IF($A48="","",ROUND(SUMIFS(itens_Consumidos!$E$2:$E$200,itens_Consumidos!$A$2:$A$200,$A48),2))</f>
        <v/>
      </c>
      <c r="AP48">
        <f>IF(OR($A48="",AB48=""),"",ROUND(MAX(AB48-AO48,0),2))</f>
        <v/>
      </c>
      <c r="AQ48">
        <f>IF(OR($A48="",AB48="",MEMORIA_RESULTADOS!$I$258=""),"",ROUND(AB48*$C48*(MEMORIA_RESULTADOS!$I$258-1),2))</f>
        <v/>
      </c>
      <c r="AR48">
        <f>IF(OR($A48="",AP48="",MEMORIA_RESULTADOS!$I$258=""),"",ROUND(AP48*$C48*(parametros!$F$2-MEMORIA_RESULTADOS!$I$258),2))</f>
        <v/>
      </c>
      <c r="AS48">
        <f>IF($A48="","",ROUND(SUMIFS(itens_Consumidos!$G$2:$G$200,itens_Consumidos!$A$2:$A$200,$A48),2))</f>
        <v/>
      </c>
      <c r="AT48">
        <f>IF(OR($A48="",M48=""),"",ROUND(MAX(M48-AS48,0),2))</f>
        <v/>
      </c>
      <c r="AU48">
        <f>IF(OR($A48="",M48="",MEMORIA_RESULTADOS!$I$259=""),"",ROUND(M48*$C48*(MEMORIA_RESULTADOS!$I$259-1),2))</f>
        <v/>
      </c>
      <c r="AV48">
        <f>IF(OR($A48="",AT48="",MEMORIA_RESULTADOS!$I$259=""),"",ROUND(AT48*$C48*(parametros!$F$3-MEMORIA_RESULTADOS!$I$259),2))</f>
        <v/>
      </c>
      <c r="AW48">
        <f>IF($A48="","",ROUND(SUMIFS(itens_Consumidos!$I$2:$I$200,itens_Consumidos!$A$2:$A$200,$A48),2))</f>
        <v/>
      </c>
      <c r="AX48">
        <f>IF(OR($A48="",O48=""),"",ROUND(MAX(O48-AW48,0),2))</f>
        <v/>
      </c>
      <c r="AY48">
        <f>IF(OR($A48="",O48="",MEMORIA_RESULTADOS!$I$260=""),"",ROUND(O48*$C48*(MEMORIA_RESULTADOS!$I$260-1),2))</f>
        <v/>
      </c>
      <c r="AZ48">
        <f>IF(OR($A48="",AX48="",MEMORIA_RESULTADOS!$I$260=""),"",ROUND(AX48*$C48*(parametros!$F$4-MEMORIA_RESULTADOS!$I$260),2))</f>
        <v/>
      </c>
      <c r="BA48">
        <f>IF($A48="","",ROUND(SUMIFS(itens_Consumidos!$K$2:$K$200,itens_Consumidos!$A$2:$A$200,$A48),2))</f>
        <v/>
      </c>
      <c r="BB48">
        <f>IF(OR($A48="",Q48=""),"",ROUND(MAX(Q48-BA48,0),2))</f>
        <v/>
      </c>
      <c r="BC48">
        <f>IF(OR($A48="",Q48="",MEMORIA_RESULTADOS!$I$261=""),"",ROUND(Q48*$C48*(MEMORIA_RESULTADOS!$I$261-1),2))</f>
        <v/>
      </c>
      <c r="BD48">
        <f>IF(OR($A48="",BB48="",MEMORIA_RESULTADOS!$I$261=""),"",ROUND(BB48*$C48*(parametros!$F$5-MEMORIA_RESULTADOS!$I$261),2))</f>
        <v/>
      </c>
      <c r="BE48">
        <f>IF($A48="","",ROUND(SUMIFS(itens_Consumidos!$M$2:$M$200,itens_Consumidos!$A$2:$A$200,$A48),2))</f>
        <v/>
      </c>
      <c r="BF48">
        <f>IF(OR($A48="",S48=""),"",ROUND(MAX(S48-BE48,0),2))</f>
        <v/>
      </c>
      <c r="BG48">
        <f>IF(OR($A48="",S48="",MEMORIA_RESULTADOS!$I$262=""),"",ROUND(S48*$C48*(MEMORIA_RESULTADOS!$I$262-1),2))</f>
        <v/>
      </c>
      <c r="BH48">
        <f>IF(OR($A48="",BF48="",MEMORIA_RESULTADOS!$I$262=""),"",ROUND(BF48*$C48*(parametros!$F$6-MEMORIA_RESULTADOS!$I$262),2))</f>
        <v/>
      </c>
    </row>
    <row r="49">
      <c r="A49" s="86" t="n"/>
      <c r="B49" s="87">
        <f>IF(AND(LEN(TRIM($A49))=4,LEFT(TRIM($A49),1)="N",ISNUMBER(--MID(TRIM($A49),2,3)),ISERROR(FIND(".",$A49)),ISERROR(FIND(",",$A49)),ISERROR(FIND("-",$A49)),ISERROR(FIND("+",$A49)),ISERROR(SEARCH("E",$A49,2)),ISERROR(FIND(" ",TRIM($A49)))),0,"")</f>
        <v/>
      </c>
      <c r="C49" s="339" t="n"/>
      <c r="D49" s="335">
        <f>IF(AND(A49="",A48&lt;&gt;"",COUNTIF(A50:$A$200,"&lt;&gt;")=0),ROUND(SUMIF($A$2:A48,"&lt;&gt;",$D$2:D48),2),IF(OR(A49="",B49="",C49=""),"",ROUND(B49*C49,2)))</f>
        <v/>
      </c>
      <c r="E49" s="89" t="n"/>
      <c r="F49" s="335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 t="n"/>
      <c r="H49" s="335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 t="n"/>
      <c r="J49" s="335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 t="n"/>
      <c r="L49" s="335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>
        <f>IF(OR(posicao_contratual!J49="",posicao_contratual!N49=""),"",ROUND(MAX(posicao_contratual!J49+posicao_contratual!H49-posicao_contratual!N49,0),2))</f>
        <v/>
      </c>
      <c r="N49" s="335">
        <f>IF(AND(A49="",A48&lt;&gt;"",COUNTIF(A50:$A$200,"&lt;&gt;")=0),ROUND(SUMIF($A$2:A48,"&lt;&gt;",$N$2:N48),2),IF(OR(M49="",C49="",NOT(ISNUMBER($Z$3))),"",ROUND(M49*C49*$Z$3,2)))</f>
        <v/>
      </c>
      <c r="O49" s="90">
        <f>IF(OR(posicao_contratual!N49="",posicao_contratual!R49=""),"",ROUND(MAX(posicao_contratual!N49+posicao_contratual!L49-posicao_contratual!R49,0),2))</f>
        <v/>
      </c>
      <c r="P49" s="335">
        <f>IF(AND(A49="",A48&lt;&gt;"",COUNTIF(A50:$A$200,"&lt;&gt;")=0),ROUND(SUMIF($A$2:A48,"&lt;&gt;",$P$2:P48),2),IF(OR(O49="",C49="",NOT(ISNUMBER($Z$4))),"",ROUND(O49*C49*$Z$4,2)))</f>
        <v/>
      </c>
      <c r="Q49" s="90">
        <f>IF(OR(posicao_contratual!R49="",posicao_contratual!V49=""),"",ROUND(MAX(posicao_contratual!R49+posicao_contratual!P49-posicao_contratual!V49,0),2))</f>
        <v/>
      </c>
      <c r="R49" s="335">
        <f>IF(AND(A49="",A48&lt;&gt;"",COUNTIF(A50:$A$200,"&lt;&gt;")=0),ROUND(SUMIF($A$2:A48,"&lt;&gt;",$R$2:R48),2),IF(OR(Q49="",C49="",NOT(ISNUMBER($Z$5))),"",ROUND(Q49*C49*$Z$5,2)))</f>
        <v/>
      </c>
      <c r="S49" s="22" t="n"/>
      <c r="T49" s="340" t="n"/>
      <c r="U49" s="91">
        <f>IF(AND(A49="",A48&lt;&gt;"",COUNTIF(A50:$A$200,"&lt;&gt;")=0),"TOTAL",IF(A49="","",posicao_contratual!X49))</f>
        <v/>
      </c>
      <c r="V49" s="91">
        <f>IF(A49="","",posicao_contratual!X49)</f>
        <v/>
      </c>
      <c r="W49" s="14" t="n"/>
      <c r="X49" s="14" t="n"/>
      <c r="Y49" s="14" t="n"/>
      <c r="Z49" s="13" t="n"/>
      <c r="AA49" s="13" t="n"/>
      <c r="AB49" s="90">
        <f>IF(OR(A49="",posicao_contratual!E49="",posicao_contratual!J49=""),"",ROUND(MAX(posicao_contratual!E49-posicao_contratual!J49,0),2))</f>
        <v/>
      </c>
      <c r="AC49" s="335">
        <f>IF(AND(A49="",A48&lt;&gt;"",COUNTIF(A50:$A$200,"&lt;&gt;")=0),ROUND(SUMIF($A$2:A48,"&lt;&gt;",$AC$2:AC48),2),IF(OR(AB49="",C49="",NOT(ISNUMBER($Z$2))),"",ROUND(AB49*C49*$Z$2,2)))</f>
        <v/>
      </c>
      <c r="AD49" s="155">
        <f>IF(A49="","",posicao_contratual!E49)</f>
        <v/>
      </c>
      <c r="AE49" s="155">
        <f>IF(A49="","",posicao_contratual!I49)</f>
        <v/>
      </c>
      <c r="AF49" s="155">
        <f>IF(A49="","",posicao_contratual!M49)</f>
        <v/>
      </c>
      <c r="AG49" s="155">
        <f>IF(A49="","",posicao_contratual!Q49)</f>
        <v/>
      </c>
      <c r="AH49" s="155">
        <f>IF(A49="","",posicao_contratual!U49)</f>
        <v/>
      </c>
      <c r="AI49" s="155">
        <f>IF(A49="","",posicao_contratual!G49)</f>
        <v/>
      </c>
      <c r="AJ49" s="155">
        <f>IF(A49="","",posicao_contratual!K49)</f>
        <v/>
      </c>
      <c r="AK49" s="155">
        <f>IF(A49="","",posicao_contratual!O49)</f>
        <v/>
      </c>
      <c r="AL49" s="155">
        <f>IF(A49="","",posicao_contratual!S49)</f>
        <v/>
      </c>
      <c r="AM49" s="155">
        <f>IF(A49="","",posicao_contratual!W49)</f>
        <v/>
      </c>
      <c r="AN49" s="156">
        <f>IF(A49="","",posicao_contratual!X49)</f>
        <v/>
      </c>
      <c r="AO49">
        <f>IF($A49="","",ROUND(SUMIFS(itens_Consumidos!$E$2:$E$200,itens_Consumidos!$A$2:$A$200,$A49),2))</f>
        <v/>
      </c>
      <c r="AP49">
        <f>IF(OR($A49="",AB49=""),"",ROUND(MAX(AB49-AO49,0),2))</f>
        <v/>
      </c>
      <c r="AQ49">
        <f>IF(OR($A49="",AB49="",MEMORIA_RESULTADOS!$I$258=""),"",ROUND(AB49*$C49*(MEMORIA_RESULTADOS!$I$258-1),2))</f>
        <v/>
      </c>
      <c r="AR49">
        <f>IF(OR($A49="",AP49="",MEMORIA_RESULTADOS!$I$258=""),"",ROUND(AP49*$C49*(parametros!$F$2-MEMORIA_RESULTADOS!$I$258),2))</f>
        <v/>
      </c>
      <c r="AS49">
        <f>IF($A49="","",ROUND(SUMIFS(itens_Consumidos!$G$2:$G$200,itens_Consumidos!$A$2:$A$200,$A49),2))</f>
        <v/>
      </c>
      <c r="AT49">
        <f>IF(OR($A49="",M49=""),"",ROUND(MAX(M49-AS49,0),2))</f>
        <v/>
      </c>
      <c r="AU49">
        <f>IF(OR($A49="",M49="",MEMORIA_RESULTADOS!$I$259=""),"",ROUND(M49*$C49*(MEMORIA_RESULTADOS!$I$259-1),2))</f>
        <v/>
      </c>
      <c r="AV49">
        <f>IF(OR($A49="",AT49="",MEMORIA_RESULTADOS!$I$259=""),"",ROUND(AT49*$C49*(parametros!$F$3-MEMORIA_RESULTADOS!$I$259),2))</f>
        <v/>
      </c>
      <c r="AW49">
        <f>IF($A49="","",ROUND(SUMIFS(itens_Consumidos!$I$2:$I$200,itens_Consumidos!$A$2:$A$200,$A49),2))</f>
        <v/>
      </c>
      <c r="AX49">
        <f>IF(OR($A49="",O49=""),"",ROUND(MAX(O49-AW49,0),2))</f>
        <v/>
      </c>
      <c r="AY49">
        <f>IF(OR($A49="",O49="",MEMORIA_RESULTADOS!$I$260=""),"",ROUND(O49*$C49*(MEMORIA_RESULTADOS!$I$260-1),2))</f>
        <v/>
      </c>
      <c r="AZ49">
        <f>IF(OR($A49="",AX49="",MEMORIA_RESULTADOS!$I$260=""),"",ROUND(AX49*$C49*(parametros!$F$4-MEMORIA_RESULTADOS!$I$260),2))</f>
        <v/>
      </c>
      <c r="BA49">
        <f>IF($A49="","",ROUND(SUMIFS(itens_Consumidos!$K$2:$K$200,itens_Consumidos!$A$2:$A$200,$A49),2))</f>
        <v/>
      </c>
      <c r="BB49">
        <f>IF(OR($A49="",Q49=""),"",ROUND(MAX(Q49-BA49,0),2))</f>
        <v/>
      </c>
      <c r="BC49">
        <f>IF(OR($A49="",Q49="",MEMORIA_RESULTADOS!$I$261=""),"",ROUND(Q49*$C49*(MEMORIA_RESULTADOS!$I$261-1),2))</f>
        <v/>
      </c>
      <c r="BD49">
        <f>IF(OR($A49="",BB49="",MEMORIA_RESULTADOS!$I$261=""),"",ROUND(BB49*$C49*(parametros!$F$5-MEMORIA_RESULTADOS!$I$261),2))</f>
        <v/>
      </c>
      <c r="BE49">
        <f>IF($A49="","",ROUND(SUMIFS(itens_Consumidos!$M$2:$M$200,itens_Consumidos!$A$2:$A$200,$A49),2))</f>
        <v/>
      </c>
      <c r="BF49">
        <f>IF(OR($A49="",S49=""),"",ROUND(MAX(S49-BE49,0),2))</f>
        <v/>
      </c>
      <c r="BG49">
        <f>IF(OR($A49="",S49="",MEMORIA_RESULTADOS!$I$262=""),"",ROUND(S49*$C49*(MEMORIA_RESULTADOS!$I$262-1),2))</f>
        <v/>
      </c>
      <c r="BH49">
        <f>IF(OR($A49="",BF49="",MEMORIA_RESULTADOS!$I$262=""),"",ROUND(BF49*$C49*(parametros!$F$6-MEMORIA_RESULTADOS!$I$262),2))</f>
        <v/>
      </c>
    </row>
    <row r="50">
      <c r="A50" s="86" t="n"/>
      <c r="B50" s="87">
        <f>IF(AND(LEN(TRIM($A50))=4,LEFT(TRIM($A50),1)="N",ISNUMBER(--MID(TRIM($A50),2,3)),ISERROR(FIND(".",$A50)),ISERROR(FIND(",",$A50)),ISERROR(FIND("-",$A50)),ISERROR(FIND("+",$A50)),ISERROR(SEARCH("E",$A50,2)),ISERROR(FIND(" ",TRIM($A50)))),0,"")</f>
        <v/>
      </c>
      <c r="C50" s="339" t="n"/>
      <c r="D50" s="335">
        <f>IF(AND(A50="",A49&lt;&gt;"",COUNTIF(A51:$A$200,"&lt;&gt;")=0),ROUND(SUMIF($A$2:A49,"&lt;&gt;",$D$2:D49),2),IF(OR(A50="",B50="",C50=""),"",ROUND(B50*C50,2)))</f>
        <v/>
      </c>
      <c r="E50" s="89" t="n"/>
      <c r="F50" s="335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 t="n"/>
      <c r="H50" s="335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 t="n"/>
      <c r="J50" s="335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 t="n"/>
      <c r="L50" s="335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>
        <f>IF(OR(posicao_contratual!J50="",posicao_contratual!N50=""),"",ROUND(MAX(posicao_contratual!J50+posicao_contratual!H50-posicao_contratual!N50,0),2))</f>
        <v/>
      </c>
      <c r="N50" s="335">
        <f>IF(AND(A50="",A49&lt;&gt;"",COUNTIF(A51:$A$200,"&lt;&gt;")=0),ROUND(SUMIF($A$2:A49,"&lt;&gt;",$N$2:N49),2),IF(OR(M50="",C50="",NOT(ISNUMBER($Z$3))),"",ROUND(M50*C50*$Z$3,2)))</f>
        <v/>
      </c>
      <c r="O50" s="90">
        <f>IF(OR(posicao_contratual!N50="",posicao_contratual!R50=""),"",ROUND(MAX(posicao_contratual!N50+posicao_contratual!L50-posicao_contratual!R50,0),2))</f>
        <v/>
      </c>
      <c r="P50" s="335">
        <f>IF(AND(A50="",A49&lt;&gt;"",COUNTIF(A51:$A$200,"&lt;&gt;")=0),ROUND(SUMIF($A$2:A49,"&lt;&gt;",$P$2:P49),2),IF(OR(O50="",C50="",NOT(ISNUMBER($Z$4))),"",ROUND(O50*C50*$Z$4,2)))</f>
        <v/>
      </c>
      <c r="Q50" s="90">
        <f>IF(OR(posicao_contratual!R50="",posicao_contratual!V50=""),"",ROUND(MAX(posicao_contratual!R50+posicao_contratual!P50-posicao_contratual!V50,0),2))</f>
        <v/>
      </c>
      <c r="R50" s="335">
        <f>IF(AND(A50="",A49&lt;&gt;"",COUNTIF(A51:$A$200,"&lt;&gt;")=0),ROUND(SUMIF($A$2:A49,"&lt;&gt;",$R$2:R49),2),IF(OR(Q50="",C50="",NOT(ISNUMBER($Z$5))),"",ROUND(Q50*C50*$Z$5,2)))</f>
        <v/>
      </c>
      <c r="S50" s="22" t="n"/>
      <c r="T50" s="340" t="n"/>
      <c r="U50" s="91">
        <f>IF(AND(A50="",A49&lt;&gt;"",COUNTIF(A51:$A$200,"&lt;&gt;")=0),"TOTAL",IF(A50="","",posicao_contratual!X50))</f>
        <v/>
      </c>
      <c r="V50" s="91">
        <f>IF(A50="","",posicao_contratual!X50)</f>
        <v/>
      </c>
      <c r="W50" s="14" t="n"/>
      <c r="X50" s="14" t="n"/>
      <c r="Y50" s="14" t="n"/>
      <c r="Z50" s="13" t="n"/>
      <c r="AA50" s="13" t="n"/>
      <c r="AB50" s="90">
        <f>IF(OR(A50="",posicao_contratual!E50="",posicao_contratual!J50=""),"",ROUND(MAX(posicao_contratual!E50-posicao_contratual!J50,0),2))</f>
        <v/>
      </c>
      <c r="AC50" s="335">
        <f>IF(AND(A50="",A49&lt;&gt;"",COUNTIF(A51:$A$200,"&lt;&gt;")=0),ROUND(SUMIF($A$2:A49,"&lt;&gt;",$AC$2:AC49),2),IF(OR(AB50="",C50="",NOT(ISNUMBER($Z$2))),"",ROUND(AB50*C50*$Z$2,2)))</f>
        <v/>
      </c>
      <c r="AD50" s="155">
        <f>IF(A50="","",posicao_contratual!E50)</f>
        <v/>
      </c>
      <c r="AE50" s="155">
        <f>IF(A50="","",posicao_contratual!I50)</f>
        <v/>
      </c>
      <c r="AF50" s="155">
        <f>IF(A50="","",posicao_contratual!M50)</f>
        <v/>
      </c>
      <c r="AG50" s="155">
        <f>IF(A50="","",posicao_contratual!Q50)</f>
        <v/>
      </c>
      <c r="AH50" s="155">
        <f>IF(A50="","",posicao_contratual!U50)</f>
        <v/>
      </c>
      <c r="AI50" s="155">
        <f>IF(A50="","",posicao_contratual!G50)</f>
        <v/>
      </c>
      <c r="AJ50" s="155">
        <f>IF(A50="","",posicao_contratual!K50)</f>
        <v/>
      </c>
      <c r="AK50" s="155">
        <f>IF(A50="","",posicao_contratual!O50)</f>
        <v/>
      </c>
      <c r="AL50" s="155">
        <f>IF(A50="","",posicao_contratual!S50)</f>
        <v/>
      </c>
      <c r="AM50" s="155">
        <f>IF(A50="","",posicao_contratual!W50)</f>
        <v/>
      </c>
      <c r="AN50" s="156">
        <f>IF(A50="","",posicao_contratual!X50)</f>
        <v/>
      </c>
      <c r="AO50">
        <f>IF($A50="","",ROUND(SUMIFS(itens_Consumidos!$E$2:$E$200,itens_Consumidos!$A$2:$A$200,$A50),2))</f>
        <v/>
      </c>
      <c r="AP50">
        <f>IF(OR($A50="",AB50=""),"",ROUND(MAX(AB50-AO50,0),2))</f>
        <v/>
      </c>
      <c r="AQ50">
        <f>IF(OR($A50="",AB50="",MEMORIA_RESULTADOS!$I$258=""),"",ROUND(AB50*$C50*(MEMORIA_RESULTADOS!$I$258-1),2))</f>
        <v/>
      </c>
      <c r="AR50">
        <f>IF(OR($A50="",AP50="",MEMORIA_RESULTADOS!$I$258=""),"",ROUND(AP50*$C50*(parametros!$F$2-MEMORIA_RESULTADOS!$I$258),2))</f>
        <v/>
      </c>
      <c r="AS50">
        <f>IF($A50="","",ROUND(SUMIFS(itens_Consumidos!$G$2:$G$200,itens_Consumidos!$A$2:$A$200,$A50),2))</f>
        <v/>
      </c>
      <c r="AT50">
        <f>IF(OR($A50="",M50=""),"",ROUND(MAX(M50-AS50,0),2))</f>
        <v/>
      </c>
      <c r="AU50">
        <f>IF(OR($A50="",M50="",MEMORIA_RESULTADOS!$I$259=""),"",ROUND(M50*$C50*(MEMORIA_RESULTADOS!$I$259-1),2))</f>
        <v/>
      </c>
      <c r="AV50">
        <f>IF(OR($A50="",AT50="",MEMORIA_RESULTADOS!$I$259=""),"",ROUND(AT50*$C50*(parametros!$F$3-MEMORIA_RESULTADOS!$I$259),2))</f>
        <v/>
      </c>
      <c r="AW50">
        <f>IF($A50="","",ROUND(SUMIFS(itens_Consumidos!$I$2:$I$200,itens_Consumidos!$A$2:$A$200,$A50),2))</f>
        <v/>
      </c>
      <c r="AX50">
        <f>IF(OR($A50="",O50=""),"",ROUND(MAX(O50-AW50,0),2))</f>
        <v/>
      </c>
      <c r="AY50">
        <f>IF(OR($A50="",O50="",MEMORIA_RESULTADOS!$I$260=""),"",ROUND(O50*$C50*(MEMORIA_RESULTADOS!$I$260-1),2))</f>
        <v/>
      </c>
      <c r="AZ50">
        <f>IF(OR($A50="",AX50="",MEMORIA_RESULTADOS!$I$260=""),"",ROUND(AX50*$C50*(parametros!$F$4-MEMORIA_RESULTADOS!$I$260),2))</f>
        <v/>
      </c>
      <c r="BA50">
        <f>IF($A50="","",ROUND(SUMIFS(itens_Consumidos!$K$2:$K$200,itens_Consumidos!$A$2:$A$200,$A50),2))</f>
        <v/>
      </c>
      <c r="BB50">
        <f>IF(OR($A50="",Q50=""),"",ROUND(MAX(Q50-BA50,0),2))</f>
        <v/>
      </c>
      <c r="BC50">
        <f>IF(OR($A50="",Q50="",MEMORIA_RESULTADOS!$I$261=""),"",ROUND(Q50*$C50*(MEMORIA_RESULTADOS!$I$261-1),2))</f>
        <v/>
      </c>
      <c r="BD50">
        <f>IF(OR($A50="",BB50="",MEMORIA_RESULTADOS!$I$261=""),"",ROUND(BB50*$C50*(parametros!$F$5-MEMORIA_RESULTADOS!$I$261),2))</f>
        <v/>
      </c>
      <c r="BE50">
        <f>IF($A50="","",ROUND(SUMIFS(itens_Consumidos!$M$2:$M$200,itens_Consumidos!$A$2:$A$200,$A50),2))</f>
        <v/>
      </c>
      <c r="BF50">
        <f>IF(OR($A50="",S50=""),"",ROUND(MAX(S50-BE50,0),2))</f>
        <v/>
      </c>
      <c r="BG50">
        <f>IF(OR($A50="",S50="",MEMORIA_RESULTADOS!$I$262=""),"",ROUND(S50*$C50*(MEMORIA_RESULTADOS!$I$262-1),2))</f>
        <v/>
      </c>
      <c r="BH50">
        <f>IF(OR($A50="",BF50="",MEMORIA_RESULTADOS!$I$262=""),"",ROUND(BF50*$C50*(parametros!$F$6-MEMORIA_RESULTADOS!$I$262),2))</f>
        <v/>
      </c>
    </row>
    <row r="51">
      <c r="A51" s="86" t="n"/>
      <c r="B51" s="87">
        <f>IF(AND(LEN(TRIM($A51))=4,LEFT(TRIM($A51),1)="N",ISNUMBER(--MID(TRIM($A51),2,3)),ISERROR(FIND(".",$A51)),ISERROR(FIND(",",$A51)),ISERROR(FIND("-",$A51)),ISERROR(FIND("+",$A51)),ISERROR(SEARCH("E",$A51,2)),ISERROR(FIND(" ",TRIM($A51)))),0,"")</f>
        <v/>
      </c>
      <c r="C51" s="339" t="n"/>
      <c r="D51" s="335">
        <f>IF(AND(A51="",A50&lt;&gt;"",COUNTIF(A52:$A$200,"&lt;&gt;")=0),ROUND(SUMIF($A$2:A50,"&lt;&gt;",$D$2:D50),2),IF(OR(A51="",B51="",C51=""),"",ROUND(B51*C51,2)))</f>
        <v/>
      </c>
      <c r="E51" s="89" t="n"/>
      <c r="F51" s="335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 t="n"/>
      <c r="H51" s="335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 t="n"/>
      <c r="J51" s="335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 t="n"/>
      <c r="L51" s="335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>
        <f>IF(OR(posicao_contratual!J51="",posicao_contratual!N51=""),"",ROUND(MAX(posicao_contratual!J51+posicao_contratual!H51-posicao_contratual!N51,0),2))</f>
        <v/>
      </c>
      <c r="N51" s="335">
        <f>IF(AND(A51="",A50&lt;&gt;"",COUNTIF(A52:$A$200,"&lt;&gt;")=0),ROUND(SUMIF($A$2:A50,"&lt;&gt;",$N$2:N50),2),IF(OR(M51="",C51="",NOT(ISNUMBER($Z$3))),"",ROUND(M51*C51*$Z$3,2)))</f>
        <v/>
      </c>
      <c r="O51" s="90">
        <f>IF(OR(posicao_contratual!N51="",posicao_contratual!R51=""),"",ROUND(MAX(posicao_contratual!N51+posicao_contratual!L51-posicao_contratual!R51,0),2))</f>
        <v/>
      </c>
      <c r="P51" s="335">
        <f>IF(AND(A51="",A50&lt;&gt;"",COUNTIF(A52:$A$200,"&lt;&gt;")=0),ROUND(SUMIF($A$2:A50,"&lt;&gt;",$P$2:P50),2),IF(OR(O51="",C51="",NOT(ISNUMBER($Z$4))),"",ROUND(O51*C51*$Z$4,2)))</f>
        <v/>
      </c>
      <c r="Q51" s="90">
        <f>IF(OR(posicao_contratual!R51="",posicao_contratual!V51=""),"",ROUND(MAX(posicao_contratual!R51+posicao_contratual!P51-posicao_contratual!V51,0),2))</f>
        <v/>
      </c>
      <c r="R51" s="335">
        <f>IF(AND(A51="",A50&lt;&gt;"",COUNTIF(A52:$A$200,"&lt;&gt;")=0),ROUND(SUMIF($A$2:A50,"&lt;&gt;",$R$2:R50),2),IF(OR(Q51="",C51="",NOT(ISNUMBER($Z$5))),"",ROUND(Q51*C51*$Z$5,2)))</f>
        <v/>
      </c>
      <c r="S51" s="22" t="n"/>
      <c r="T51" s="340" t="n"/>
      <c r="U51" s="91">
        <f>IF(AND(A51="",A50&lt;&gt;"",COUNTIF(A52:$A$200,"&lt;&gt;")=0),"TOTAL",IF(A51="","",posicao_contratual!X51))</f>
        <v/>
      </c>
      <c r="V51" s="91">
        <f>IF(A51="","",posicao_contratual!X51)</f>
        <v/>
      </c>
      <c r="W51" s="14" t="n"/>
      <c r="X51" s="14" t="n"/>
      <c r="Y51" s="14" t="n"/>
      <c r="Z51" s="13" t="n"/>
      <c r="AA51" s="13" t="n"/>
      <c r="AB51" s="90">
        <f>IF(OR(A51="",posicao_contratual!E51="",posicao_contratual!J51=""),"",ROUND(MAX(posicao_contratual!E51-posicao_contratual!J51,0),2))</f>
        <v/>
      </c>
      <c r="AC51" s="335">
        <f>IF(AND(A51="",A50&lt;&gt;"",COUNTIF(A52:$A$200,"&lt;&gt;")=0),ROUND(SUMIF($A$2:A50,"&lt;&gt;",$AC$2:AC50),2),IF(OR(AB51="",C51="",NOT(ISNUMBER($Z$2))),"",ROUND(AB51*C51*$Z$2,2)))</f>
        <v/>
      </c>
      <c r="AD51" s="155">
        <f>IF(A51="","",posicao_contratual!E51)</f>
        <v/>
      </c>
      <c r="AE51" s="155">
        <f>IF(A51="","",posicao_contratual!I51)</f>
        <v/>
      </c>
      <c r="AF51" s="155">
        <f>IF(A51="","",posicao_contratual!M51)</f>
        <v/>
      </c>
      <c r="AG51" s="155">
        <f>IF(A51="","",posicao_contratual!Q51)</f>
        <v/>
      </c>
      <c r="AH51" s="155">
        <f>IF(A51="","",posicao_contratual!U51)</f>
        <v/>
      </c>
      <c r="AI51" s="155">
        <f>IF(A51="","",posicao_contratual!G51)</f>
        <v/>
      </c>
      <c r="AJ51" s="155">
        <f>IF(A51="","",posicao_contratual!K51)</f>
        <v/>
      </c>
      <c r="AK51" s="155">
        <f>IF(A51="","",posicao_contratual!O51)</f>
        <v/>
      </c>
      <c r="AL51" s="155">
        <f>IF(A51="","",posicao_contratual!S51)</f>
        <v/>
      </c>
      <c r="AM51" s="155">
        <f>IF(A51="","",posicao_contratual!W51)</f>
        <v/>
      </c>
      <c r="AN51" s="156">
        <f>IF(A51="","",posicao_contratual!X51)</f>
        <v/>
      </c>
      <c r="AO51">
        <f>IF($A51="","",ROUND(SUMIFS(itens_Consumidos!$E$2:$E$200,itens_Consumidos!$A$2:$A$200,$A51),2))</f>
        <v/>
      </c>
      <c r="AP51">
        <f>IF(OR($A51="",AB51=""),"",ROUND(MAX(AB51-AO51,0),2))</f>
        <v/>
      </c>
      <c r="AQ51">
        <f>IF(OR($A51="",AB51="",MEMORIA_RESULTADOS!$I$258=""),"",ROUND(AB51*$C51*(MEMORIA_RESULTADOS!$I$258-1),2))</f>
        <v/>
      </c>
      <c r="AR51">
        <f>IF(OR($A51="",AP51="",MEMORIA_RESULTADOS!$I$258=""),"",ROUND(AP51*$C51*(parametros!$F$2-MEMORIA_RESULTADOS!$I$258),2))</f>
        <v/>
      </c>
      <c r="AS51">
        <f>IF($A51="","",ROUND(SUMIFS(itens_Consumidos!$G$2:$G$200,itens_Consumidos!$A$2:$A$200,$A51),2))</f>
        <v/>
      </c>
      <c r="AT51">
        <f>IF(OR($A51="",M51=""),"",ROUND(MAX(M51-AS51,0),2))</f>
        <v/>
      </c>
      <c r="AU51">
        <f>IF(OR($A51="",M51="",MEMORIA_RESULTADOS!$I$259=""),"",ROUND(M51*$C51*(MEMORIA_RESULTADOS!$I$259-1),2))</f>
        <v/>
      </c>
      <c r="AV51">
        <f>IF(OR($A51="",AT51="",MEMORIA_RESULTADOS!$I$259=""),"",ROUND(AT51*$C51*(parametros!$F$3-MEMORIA_RESULTADOS!$I$259),2))</f>
        <v/>
      </c>
      <c r="AW51">
        <f>IF($A51="","",ROUND(SUMIFS(itens_Consumidos!$I$2:$I$200,itens_Consumidos!$A$2:$A$200,$A51),2))</f>
        <v/>
      </c>
      <c r="AX51">
        <f>IF(OR($A51="",O51=""),"",ROUND(MAX(O51-AW51,0),2))</f>
        <v/>
      </c>
      <c r="AY51">
        <f>IF(OR($A51="",O51="",MEMORIA_RESULTADOS!$I$260=""),"",ROUND(O51*$C51*(MEMORIA_RESULTADOS!$I$260-1),2))</f>
        <v/>
      </c>
      <c r="AZ51">
        <f>IF(OR($A51="",AX51="",MEMORIA_RESULTADOS!$I$260=""),"",ROUND(AX51*$C51*(parametros!$F$4-MEMORIA_RESULTADOS!$I$260),2))</f>
        <v/>
      </c>
      <c r="BA51">
        <f>IF($A51="","",ROUND(SUMIFS(itens_Consumidos!$K$2:$K$200,itens_Consumidos!$A$2:$A$200,$A51),2))</f>
        <v/>
      </c>
      <c r="BB51">
        <f>IF(OR($A51="",Q51=""),"",ROUND(MAX(Q51-BA51,0),2))</f>
        <v/>
      </c>
      <c r="BC51">
        <f>IF(OR($A51="",Q51="",MEMORIA_RESULTADOS!$I$261=""),"",ROUND(Q51*$C51*(MEMORIA_RESULTADOS!$I$261-1),2))</f>
        <v/>
      </c>
      <c r="BD51">
        <f>IF(OR($A51="",BB51="",MEMORIA_RESULTADOS!$I$261=""),"",ROUND(BB51*$C51*(parametros!$F$5-MEMORIA_RESULTADOS!$I$261),2))</f>
        <v/>
      </c>
      <c r="BE51">
        <f>IF($A51="","",ROUND(SUMIFS(itens_Consumidos!$M$2:$M$200,itens_Consumidos!$A$2:$A$200,$A51),2))</f>
        <v/>
      </c>
      <c r="BF51">
        <f>IF(OR($A51="",S51=""),"",ROUND(MAX(S51-BE51,0),2))</f>
        <v/>
      </c>
      <c r="BG51">
        <f>IF(OR($A51="",S51="",MEMORIA_RESULTADOS!$I$262=""),"",ROUND(S51*$C51*(MEMORIA_RESULTADOS!$I$262-1),2))</f>
        <v/>
      </c>
      <c r="BH51">
        <f>IF(OR($A51="",BF51="",MEMORIA_RESULTADOS!$I$262=""),"",ROUND(BF51*$C51*(parametros!$F$6-MEMORIA_RESULTADOS!$I$262),2))</f>
        <v/>
      </c>
    </row>
    <row r="52">
      <c r="A52" s="86" t="n"/>
      <c r="B52" s="87">
        <f>IF(AND(LEN(TRIM($A52))=4,LEFT(TRIM($A52),1)="N",ISNUMBER(--MID(TRIM($A52),2,3)),ISERROR(FIND(".",$A52)),ISERROR(FIND(",",$A52)),ISERROR(FIND("-",$A52)),ISERROR(FIND("+",$A52)),ISERROR(SEARCH("E",$A52,2)),ISERROR(FIND(" ",TRIM($A52)))),0,"")</f>
        <v/>
      </c>
      <c r="C52" s="339" t="n"/>
      <c r="D52" s="335">
        <f>IF(AND(A52="",A51&lt;&gt;"",COUNTIF(A53:$A$200,"&lt;&gt;")=0),ROUND(SUMIF($A$2:A51,"&lt;&gt;",$D$2:D51),2),IF(OR(A52="",B52="",C52=""),"",ROUND(B52*C52,2)))</f>
        <v/>
      </c>
      <c r="E52" s="89" t="n"/>
      <c r="F52" s="335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 t="n"/>
      <c r="H52" s="335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 t="n"/>
      <c r="J52" s="335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 t="n"/>
      <c r="L52" s="335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>
        <f>IF(OR(posicao_contratual!J52="",posicao_contratual!N52=""),"",ROUND(MAX(posicao_contratual!J52+posicao_contratual!H52-posicao_contratual!N52,0),2))</f>
        <v/>
      </c>
      <c r="N52" s="335">
        <f>IF(AND(A52="",A51&lt;&gt;"",COUNTIF(A53:$A$200,"&lt;&gt;")=0),ROUND(SUMIF($A$2:A51,"&lt;&gt;",$N$2:N51),2),IF(OR(M52="",C52="",NOT(ISNUMBER($Z$3))),"",ROUND(M52*C52*$Z$3,2)))</f>
        <v/>
      </c>
      <c r="O52" s="90">
        <f>IF(OR(posicao_contratual!N52="",posicao_contratual!R52=""),"",ROUND(MAX(posicao_contratual!N52+posicao_contratual!L52-posicao_contratual!R52,0),2))</f>
        <v/>
      </c>
      <c r="P52" s="335">
        <f>IF(AND(A52="",A51&lt;&gt;"",COUNTIF(A53:$A$200,"&lt;&gt;")=0),ROUND(SUMIF($A$2:A51,"&lt;&gt;",$P$2:P51),2),IF(OR(O52="",C52="",NOT(ISNUMBER($Z$4))),"",ROUND(O52*C52*$Z$4,2)))</f>
        <v/>
      </c>
      <c r="Q52" s="90">
        <f>IF(OR(posicao_contratual!R52="",posicao_contratual!V52=""),"",ROUND(MAX(posicao_contratual!R52+posicao_contratual!P52-posicao_contratual!V52,0),2))</f>
        <v/>
      </c>
      <c r="R52" s="335">
        <f>IF(AND(A52="",A51&lt;&gt;"",COUNTIF(A53:$A$200,"&lt;&gt;")=0),ROUND(SUMIF($A$2:A51,"&lt;&gt;",$R$2:R51),2),IF(OR(Q52="",C52="",NOT(ISNUMBER($Z$5))),"",ROUND(Q52*C52*$Z$5,2)))</f>
        <v/>
      </c>
      <c r="S52" s="22" t="n"/>
      <c r="T52" s="340" t="n"/>
      <c r="U52" s="91">
        <f>IF(AND(A52="",A51&lt;&gt;"",COUNTIF(A53:$A$200,"&lt;&gt;")=0),"TOTAL",IF(A52="","",posicao_contratual!X52))</f>
        <v/>
      </c>
      <c r="V52" s="91">
        <f>IF(A52="","",posicao_contratual!X52)</f>
        <v/>
      </c>
      <c r="W52" s="14" t="n"/>
      <c r="X52" s="14" t="n"/>
      <c r="Y52" s="14" t="n"/>
      <c r="Z52" s="13" t="n"/>
      <c r="AA52" s="13" t="n"/>
      <c r="AB52" s="90">
        <f>IF(OR(A52="",posicao_contratual!E52="",posicao_contratual!J52=""),"",ROUND(MAX(posicao_contratual!E52-posicao_contratual!J52,0),2))</f>
        <v/>
      </c>
      <c r="AC52" s="335">
        <f>IF(AND(A52="",A51&lt;&gt;"",COUNTIF(A53:$A$200,"&lt;&gt;")=0),ROUND(SUMIF($A$2:A51,"&lt;&gt;",$AC$2:AC51),2),IF(OR(AB52="",C52="",NOT(ISNUMBER($Z$2))),"",ROUND(AB52*C52*$Z$2,2)))</f>
        <v/>
      </c>
      <c r="AD52" s="155">
        <f>IF(A52="","",posicao_contratual!E52)</f>
        <v/>
      </c>
      <c r="AE52" s="155">
        <f>IF(A52="","",posicao_contratual!I52)</f>
        <v/>
      </c>
      <c r="AF52" s="155">
        <f>IF(A52="","",posicao_contratual!M52)</f>
        <v/>
      </c>
      <c r="AG52" s="155">
        <f>IF(A52="","",posicao_contratual!Q52)</f>
        <v/>
      </c>
      <c r="AH52" s="155">
        <f>IF(A52="","",posicao_contratual!U52)</f>
        <v/>
      </c>
      <c r="AI52" s="155">
        <f>IF(A52="","",posicao_contratual!G52)</f>
        <v/>
      </c>
      <c r="AJ52" s="155">
        <f>IF(A52="","",posicao_contratual!K52)</f>
        <v/>
      </c>
      <c r="AK52" s="155">
        <f>IF(A52="","",posicao_contratual!O52)</f>
        <v/>
      </c>
      <c r="AL52" s="155">
        <f>IF(A52="","",posicao_contratual!S52)</f>
        <v/>
      </c>
      <c r="AM52" s="155">
        <f>IF(A52="","",posicao_contratual!W52)</f>
        <v/>
      </c>
      <c r="AN52" s="156">
        <f>IF(A52="","",posicao_contratual!X52)</f>
        <v/>
      </c>
      <c r="AO52">
        <f>IF($A52="","",ROUND(SUMIFS(itens_Consumidos!$E$2:$E$200,itens_Consumidos!$A$2:$A$200,$A52),2))</f>
        <v/>
      </c>
      <c r="AP52">
        <f>IF(OR($A52="",AB52=""),"",ROUND(MAX(AB52-AO52,0),2))</f>
        <v/>
      </c>
      <c r="AQ52">
        <f>IF(OR($A52="",AB52="",MEMORIA_RESULTADOS!$I$258=""),"",ROUND(AB52*$C52*(MEMORIA_RESULTADOS!$I$258-1),2))</f>
        <v/>
      </c>
      <c r="AR52">
        <f>IF(OR($A52="",AP52="",MEMORIA_RESULTADOS!$I$258=""),"",ROUND(AP52*$C52*(parametros!$F$2-MEMORIA_RESULTADOS!$I$258),2))</f>
        <v/>
      </c>
      <c r="AS52">
        <f>IF($A52="","",ROUND(SUMIFS(itens_Consumidos!$G$2:$G$200,itens_Consumidos!$A$2:$A$200,$A52),2))</f>
        <v/>
      </c>
      <c r="AT52">
        <f>IF(OR($A52="",M52=""),"",ROUND(MAX(M52-AS52,0),2))</f>
        <v/>
      </c>
      <c r="AU52">
        <f>IF(OR($A52="",M52="",MEMORIA_RESULTADOS!$I$259=""),"",ROUND(M52*$C52*(MEMORIA_RESULTADOS!$I$259-1),2))</f>
        <v/>
      </c>
      <c r="AV52">
        <f>IF(OR($A52="",AT52="",MEMORIA_RESULTADOS!$I$259=""),"",ROUND(AT52*$C52*(parametros!$F$3-MEMORIA_RESULTADOS!$I$259),2))</f>
        <v/>
      </c>
      <c r="AW52">
        <f>IF($A52="","",ROUND(SUMIFS(itens_Consumidos!$I$2:$I$200,itens_Consumidos!$A$2:$A$200,$A52),2))</f>
        <v/>
      </c>
      <c r="AX52">
        <f>IF(OR($A52="",O52=""),"",ROUND(MAX(O52-AW52,0),2))</f>
        <v/>
      </c>
      <c r="AY52">
        <f>IF(OR($A52="",O52="",MEMORIA_RESULTADOS!$I$260=""),"",ROUND(O52*$C52*(MEMORIA_RESULTADOS!$I$260-1),2))</f>
        <v/>
      </c>
      <c r="AZ52">
        <f>IF(OR($A52="",AX52="",MEMORIA_RESULTADOS!$I$260=""),"",ROUND(AX52*$C52*(parametros!$F$4-MEMORIA_RESULTADOS!$I$260),2))</f>
        <v/>
      </c>
      <c r="BA52">
        <f>IF($A52="","",ROUND(SUMIFS(itens_Consumidos!$K$2:$K$200,itens_Consumidos!$A$2:$A$200,$A52),2))</f>
        <v/>
      </c>
      <c r="BB52">
        <f>IF(OR($A52="",Q52=""),"",ROUND(MAX(Q52-BA52,0),2))</f>
        <v/>
      </c>
      <c r="BC52">
        <f>IF(OR($A52="",Q52="",MEMORIA_RESULTADOS!$I$261=""),"",ROUND(Q52*$C52*(MEMORIA_RESULTADOS!$I$261-1),2))</f>
        <v/>
      </c>
      <c r="BD52">
        <f>IF(OR($A52="",BB52="",MEMORIA_RESULTADOS!$I$261=""),"",ROUND(BB52*$C52*(parametros!$F$5-MEMORIA_RESULTADOS!$I$261),2))</f>
        <v/>
      </c>
      <c r="BE52">
        <f>IF($A52="","",ROUND(SUMIFS(itens_Consumidos!$M$2:$M$200,itens_Consumidos!$A$2:$A$200,$A52),2))</f>
        <v/>
      </c>
      <c r="BF52">
        <f>IF(OR($A52="",S52=""),"",ROUND(MAX(S52-BE52,0),2))</f>
        <v/>
      </c>
      <c r="BG52">
        <f>IF(OR($A52="",S52="",MEMORIA_RESULTADOS!$I$262=""),"",ROUND(S52*$C52*(MEMORIA_RESULTADOS!$I$262-1),2))</f>
        <v/>
      </c>
      <c r="BH52">
        <f>IF(OR($A52="",BF52="",MEMORIA_RESULTADOS!$I$262=""),"",ROUND(BF52*$C52*(parametros!$F$6-MEMORIA_RESULTADOS!$I$262),2))</f>
        <v/>
      </c>
    </row>
    <row r="53">
      <c r="A53" s="86" t="n"/>
      <c r="B53" s="87">
        <f>IF(AND(LEN(TRIM($A53))=4,LEFT(TRIM($A53),1)="N",ISNUMBER(--MID(TRIM($A53),2,3)),ISERROR(FIND(".",$A53)),ISERROR(FIND(",",$A53)),ISERROR(FIND("-",$A53)),ISERROR(FIND("+",$A53)),ISERROR(SEARCH("E",$A53,2)),ISERROR(FIND(" ",TRIM($A53)))),0,"")</f>
        <v/>
      </c>
      <c r="C53" s="339" t="n"/>
      <c r="D53" s="335">
        <f>IF(AND(A53="",A52&lt;&gt;"",COUNTIF(A54:$A$200,"&lt;&gt;")=0),ROUND(SUMIF($A$2:A52,"&lt;&gt;",$D$2:D52),2),IF(OR(A53="",B53="",C53=""),"",ROUND(B53*C53,2)))</f>
        <v/>
      </c>
      <c r="E53" s="89" t="n"/>
      <c r="F53" s="335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 t="n"/>
      <c r="H53" s="335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 t="n"/>
      <c r="J53" s="335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 t="n"/>
      <c r="L53" s="335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>
        <f>IF(OR(posicao_contratual!J53="",posicao_contratual!N53=""),"",ROUND(MAX(posicao_contratual!J53+posicao_contratual!H53-posicao_contratual!N53,0),2))</f>
        <v/>
      </c>
      <c r="N53" s="335">
        <f>IF(AND(A53="",A52&lt;&gt;"",COUNTIF(A54:$A$200,"&lt;&gt;")=0),ROUND(SUMIF($A$2:A52,"&lt;&gt;",$N$2:N52),2),IF(OR(M53="",C53="",NOT(ISNUMBER($Z$3))),"",ROUND(M53*C53*$Z$3,2)))</f>
        <v/>
      </c>
      <c r="O53" s="90">
        <f>IF(OR(posicao_contratual!N53="",posicao_contratual!R53=""),"",ROUND(MAX(posicao_contratual!N53+posicao_contratual!L53-posicao_contratual!R53,0),2))</f>
        <v/>
      </c>
      <c r="P53" s="335">
        <f>IF(AND(A53="",A52&lt;&gt;"",COUNTIF(A54:$A$200,"&lt;&gt;")=0),ROUND(SUMIF($A$2:A52,"&lt;&gt;",$P$2:P52),2),IF(OR(O53="",C53="",NOT(ISNUMBER($Z$4))),"",ROUND(O53*C53*$Z$4,2)))</f>
        <v/>
      </c>
      <c r="Q53" s="90">
        <f>IF(OR(posicao_contratual!R53="",posicao_contratual!V53=""),"",ROUND(MAX(posicao_contratual!R53+posicao_contratual!P53-posicao_contratual!V53,0),2))</f>
        <v/>
      </c>
      <c r="R53" s="335">
        <f>IF(AND(A53="",A52&lt;&gt;"",COUNTIF(A54:$A$200,"&lt;&gt;")=0),ROUND(SUMIF($A$2:A52,"&lt;&gt;",$R$2:R52),2),IF(OR(Q53="",C53="",NOT(ISNUMBER($Z$5))),"",ROUND(Q53*C53*$Z$5,2)))</f>
        <v/>
      </c>
      <c r="S53" s="22" t="n"/>
      <c r="T53" s="340" t="n"/>
      <c r="U53" s="91">
        <f>IF(AND(A53="",A52&lt;&gt;"",COUNTIF(A54:$A$200,"&lt;&gt;")=0),"TOTAL",IF(A53="","",posicao_contratual!X53))</f>
        <v/>
      </c>
      <c r="V53" s="91">
        <f>IF(A53="","",posicao_contratual!X53)</f>
        <v/>
      </c>
      <c r="W53" s="14" t="n"/>
      <c r="X53" s="14" t="n"/>
      <c r="Y53" s="14" t="n"/>
      <c r="Z53" s="13" t="n"/>
      <c r="AA53" s="13" t="n"/>
      <c r="AB53" s="90">
        <f>IF(OR(A53="",posicao_contratual!E53="",posicao_contratual!J53=""),"",ROUND(MAX(posicao_contratual!E53-posicao_contratual!J53,0),2))</f>
        <v/>
      </c>
      <c r="AC53" s="335">
        <f>IF(AND(A53="",A52&lt;&gt;"",COUNTIF(A54:$A$200,"&lt;&gt;")=0),ROUND(SUMIF($A$2:A52,"&lt;&gt;",$AC$2:AC52),2),IF(OR(AB53="",C53="",NOT(ISNUMBER($Z$2))),"",ROUND(AB53*C53*$Z$2,2)))</f>
        <v/>
      </c>
      <c r="AD53" s="155">
        <f>IF(A53="","",posicao_contratual!E53)</f>
        <v/>
      </c>
      <c r="AE53" s="155">
        <f>IF(A53="","",posicao_contratual!I53)</f>
        <v/>
      </c>
      <c r="AF53" s="155">
        <f>IF(A53="","",posicao_contratual!M53)</f>
        <v/>
      </c>
      <c r="AG53" s="155">
        <f>IF(A53="","",posicao_contratual!Q53)</f>
        <v/>
      </c>
      <c r="AH53" s="155">
        <f>IF(A53="","",posicao_contratual!U53)</f>
        <v/>
      </c>
      <c r="AI53" s="155">
        <f>IF(A53="","",posicao_contratual!G53)</f>
        <v/>
      </c>
      <c r="AJ53" s="155">
        <f>IF(A53="","",posicao_contratual!K53)</f>
        <v/>
      </c>
      <c r="AK53" s="155">
        <f>IF(A53="","",posicao_contratual!O53)</f>
        <v/>
      </c>
      <c r="AL53" s="155">
        <f>IF(A53="","",posicao_contratual!S53)</f>
        <v/>
      </c>
      <c r="AM53" s="155">
        <f>IF(A53="","",posicao_contratual!W53)</f>
        <v/>
      </c>
      <c r="AN53" s="156">
        <f>IF(A53="","",posicao_contratual!X53)</f>
        <v/>
      </c>
      <c r="AO53">
        <f>IF($A53="","",ROUND(SUMIFS(itens_Consumidos!$E$2:$E$200,itens_Consumidos!$A$2:$A$200,$A53),2))</f>
        <v/>
      </c>
      <c r="AP53">
        <f>IF(OR($A53="",AB53=""),"",ROUND(MAX(AB53-AO53,0),2))</f>
        <v/>
      </c>
      <c r="AQ53">
        <f>IF(OR($A53="",AB53="",MEMORIA_RESULTADOS!$I$258=""),"",ROUND(AB53*$C53*(MEMORIA_RESULTADOS!$I$258-1),2))</f>
        <v/>
      </c>
      <c r="AR53">
        <f>IF(OR($A53="",AP53="",MEMORIA_RESULTADOS!$I$258=""),"",ROUND(AP53*$C53*(parametros!$F$2-MEMORIA_RESULTADOS!$I$258),2))</f>
        <v/>
      </c>
      <c r="AS53">
        <f>IF($A53="","",ROUND(SUMIFS(itens_Consumidos!$G$2:$G$200,itens_Consumidos!$A$2:$A$200,$A53),2))</f>
        <v/>
      </c>
      <c r="AT53">
        <f>IF(OR($A53="",M53=""),"",ROUND(MAX(M53-AS53,0),2))</f>
        <v/>
      </c>
      <c r="AU53">
        <f>IF(OR($A53="",M53="",MEMORIA_RESULTADOS!$I$259=""),"",ROUND(M53*$C53*(MEMORIA_RESULTADOS!$I$259-1),2))</f>
        <v/>
      </c>
      <c r="AV53">
        <f>IF(OR($A53="",AT53="",MEMORIA_RESULTADOS!$I$259=""),"",ROUND(AT53*$C53*(parametros!$F$3-MEMORIA_RESULTADOS!$I$259),2))</f>
        <v/>
      </c>
      <c r="AW53">
        <f>IF($A53="","",ROUND(SUMIFS(itens_Consumidos!$I$2:$I$200,itens_Consumidos!$A$2:$A$200,$A53),2))</f>
        <v/>
      </c>
      <c r="AX53">
        <f>IF(OR($A53="",O53=""),"",ROUND(MAX(O53-AW53,0),2))</f>
        <v/>
      </c>
      <c r="AY53">
        <f>IF(OR($A53="",O53="",MEMORIA_RESULTADOS!$I$260=""),"",ROUND(O53*$C53*(MEMORIA_RESULTADOS!$I$260-1),2))</f>
        <v/>
      </c>
      <c r="AZ53">
        <f>IF(OR($A53="",AX53="",MEMORIA_RESULTADOS!$I$260=""),"",ROUND(AX53*$C53*(parametros!$F$4-MEMORIA_RESULTADOS!$I$260),2))</f>
        <v/>
      </c>
      <c r="BA53">
        <f>IF($A53="","",ROUND(SUMIFS(itens_Consumidos!$K$2:$K$200,itens_Consumidos!$A$2:$A$200,$A53),2))</f>
        <v/>
      </c>
      <c r="BB53">
        <f>IF(OR($A53="",Q53=""),"",ROUND(MAX(Q53-BA53,0),2))</f>
        <v/>
      </c>
      <c r="BC53">
        <f>IF(OR($A53="",Q53="",MEMORIA_RESULTADOS!$I$261=""),"",ROUND(Q53*$C53*(MEMORIA_RESULTADOS!$I$261-1),2))</f>
        <v/>
      </c>
      <c r="BD53">
        <f>IF(OR($A53="",BB53="",MEMORIA_RESULTADOS!$I$261=""),"",ROUND(BB53*$C53*(parametros!$F$5-MEMORIA_RESULTADOS!$I$261),2))</f>
        <v/>
      </c>
      <c r="BE53">
        <f>IF($A53="","",ROUND(SUMIFS(itens_Consumidos!$M$2:$M$200,itens_Consumidos!$A$2:$A$200,$A53),2))</f>
        <v/>
      </c>
      <c r="BF53">
        <f>IF(OR($A53="",S53=""),"",ROUND(MAX(S53-BE53,0),2))</f>
        <v/>
      </c>
      <c r="BG53">
        <f>IF(OR($A53="",S53="",MEMORIA_RESULTADOS!$I$262=""),"",ROUND(S53*$C53*(MEMORIA_RESULTADOS!$I$262-1),2))</f>
        <v/>
      </c>
      <c r="BH53">
        <f>IF(OR($A53="",BF53="",MEMORIA_RESULTADOS!$I$262=""),"",ROUND(BF53*$C53*(parametros!$F$6-MEMORIA_RESULTADOS!$I$262),2))</f>
        <v/>
      </c>
    </row>
    <row r="54">
      <c r="A54" s="86" t="n"/>
      <c r="B54" s="87">
        <f>IF(AND(LEN(TRIM($A54))=4,LEFT(TRIM($A54),1)="N",ISNUMBER(--MID(TRIM($A54),2,3)),ISERROR(FIND(".",$A54)),ISERROR(FIND(",",$A54)),ISERROR(FIND("-",$A54)),ISERROR(FIND("+",$A54)),ISERROR(SEARCH("E",$A54,2)),ISERROR(FIND(" ",TRIM($A54)))),0,"")</f>
        <v/>
      </c>
      <c r="C54" s="339" t="n"/>
      <c r="D54" s="335">
        <f>IF(AND(A54="",A53&lt;&gt;"",COUNTIF(A55:$A$200,"&lt;&gt;")=0),ROUND(SUMIF($A$2:A53,"&lt;&gt;",$D$2:D53),2),IF(OR(A54="",B54="",C54=""),"",ROUND(B54*C54,2)))</f>
        <v/>
      </c>
      <c r="E54" s="89" t="n"/>
      <c r="F54" s="335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 t="n"/>
      <c r="H54" s="335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 t="n"/>
      <c r="J54" s="335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 t="n"/>
      <c r="L54" s="335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>
        <f>IF(OR(posicao_contratual!J54="",posicao_contratual!N54=""),"",ROUND(MAX(posicao_contratual!J54+posicao_contratual!H54-posicao_contratual!N54,0),2))</f>
        <v/>
      </c>
      <c r="N54" s="335">
        <f>IF(AND(A54="",A53&lt;&gt;"",COUNTIF(A55:$A$200,"&lt;&gt;")=0),ROUND(SUMIF($A$2:A53,"&lt;&gt;",$N$2:N53),2),IF(OR(M54="",C54="",NOT(ISNUMBER($Z$3))),"",ROUND(M54*C54*$Z$3,2)))</f>
        <v/>
      </c>
      <c r="O54" s="90">
        <f>IF(OR(posicao_contratual!N54="",posicao_contratual!R54=""),"",ROUND(MAX(posicao_contratual!N54+posicao_contratual!L54-posicao_contratual!R54,0),2))</f>
        <v/>
      </c>
      <c r="P54" s="335">
        <f>IF(AND(A54="",A53&lt;&gt;"",COUNTIF(A55:$A$200,"&lt;&gt;")=0),ROUND(SUMIF($A$2:A53,"&lt;&gt;",$P$2:P53),2),IF(OR(O54="",C54="",NOT(ISNUMBER($Z$4))),"",ROUND(O54*C54*$Z$4,2)))</f>
        <v/>
      </c>
      <c r="Q54" s="90">
        <f>IF(OR(posicao_contratual!R54="",posicao_contratual!V54=""),"",ROUND(MAX(posicao_contratual!R54+posicao_contratual!P54-posicao_contratual!V54,0),2))</f>
        <v/>
      </c>
      <c r="R54" s="335">
        <f>IF(AND(A54="",A53&lt;&gt;"",COUNTIF(A55:$A$200,"&lt;&gt;")=0),ROUND(SUMIF($A$2:A53,"&lt;&gt;",$R$2:R53),2),IF(OR(Q54="",C54="",NOT(ISNUMBER($Z$5))),"",ROUND(Q54*C54*$Z$5,2)))</f>
        <v/>
      </c>
      <c r="S54" s="22" t="n"/>
      <c r="T54" s="340" t="n"/>
      <c r="U54" s="91">
        <f>IF(AND(A54="",A53&lt;&gt;"",COUNTIF(A55:$A$200,"&lt;&gt;")=0),"TOTAL",IF(A54="","",posicao_contratual!X54))</f>
        <v/>
      </c>
      <c r="V54" s="91">
        <f>IF(A54="","",posicao_contratual!X54)</f>
        <v/>
      </c>
      <c r="W54" s="14" t="n"/>
      <c r="X54" s="14" t="n"/>
      <c r="Y54" s="14" t="n"/>
      <c r="Z54" s="13" t="n"/>
      <c r="AA54" s="13" t="n"/>
      <c r="AB54" s="90">
        <f>IF(OR(A54="",posicao_contratual!E54="",posicao_contratual!J54=""),"",ROUND(MAX(posicao_contratual!E54-posicao_contratual!J54,0),2))</f>
        <v/>
      </c>
      <c r="AC54" s="335">
        <f>IF(AND(A54="",A53&lt;&gt;"",COUNTIF(A55:$A$200,"&lt;&gt;")=0),ROUND(SUMIF($A$2:A53,"&lt;&gt;",$AC$2:AC53),2),IF(OR(AB54="",C54="",NOT(ISNUMBER($Z$2))),"",ROUND(AB54*C54*$Z$2,2)))</f>
        <v/>
      </c>
      <c r="AD54" s="155">
        <f>IF(A54="","",posicao_contratual!E54)</f>
        <v/>
      </c>
      <c r="AE54" s="155">
        <f>IF(A54="","",posicao_contratual!I54)</f>
        <v/>
      </c>
      <c r="AF54" s="155">
        <f>IF(A54="","",posicao_contratual!M54)</f>
        <v/>
      </c>
      <c r="AG54" s="155">
        <f>IF(A54="","",posicao_contratual!Q54)</f>
        <v/>
      </c>
      <c r="AH54" s="155">
        <f>IF(A54="","",posicao_contratual!U54)</f>
        <v/>
      </c>
      <c r="AI54" s="155">
        <f>IF(A54="","",posicao_contratual!G54)</f>
        <v/>
      </c>
      <c r="AJ54" s="155">
        <f>IF(A54="","",posicao_contratual!K54)</f>
        <v/>
      </c>
      <c r="AK54" s="155">
        <f>IF(A54="","",posicao_contratual!O54)</f>
        <v/>
      </c>
      <c r="AL54" s="155">
        <f>IF(A54="","",posicao_contratual!S54)</f>
        <v/>
      </c>
      <c r="AM54" s="155">
        <f>IF(A54="","",posicao_contratual!W54)</f>
        <v/>
      </c>
      <c r="AN54" s="156">
        <f>IF(A54="","",posicao_contratual!X54)</f>
        <v/>
      </c>
      <c r="AO54">
        <f>IF($A54="","",ROUND(SUMIFS(itens_Consumidos!$E$2:$E$200,itens_Consumidos!$A$2:$A$200,$A54),2))</f>
        <v/>
      </c>
      <c r="AP54">
        <f>IF(OR($A54="",AB54=""),"",ROUND(MAX(AB54-AO54,0),2))</f>
        <v/>
      </c>
      <c r="AQ54">
        <f>IF(OR($A54="",AB54="",MEMORIA_RESULTADOS!$I$258=""),"",ROUND(AB54*$C54*(MEMORIA_RESULTADOS!$I$258-1),2))</f>
        <v/>
      </c>
      <c r="AR54">
        <f>IF(OR($A54="",AP54="",MEMORIA_RESULTADOS!$I$258=""),"",ROUND(AP54*$C54*(parametros!$F$2-MEMORIA_RESULTADOS!$I$258),2))</f>
        <v/>
      </c>
      <c r="AS54">
        <f>IF($A54="","",ROUND(SUMIFS(itens_Consumidos!$G$2:$G$200,itens_Consumidos!$A$2:$A$200,$A54),2))</f>
        <v/>
      </c>
      <c r="AT54">
        <f>IF(OR($A54="",M54=""),"",ROUND(MAX(M54-AS54,0),2))</f>
        <v/>
      </c>
      <c r="AU54">
        <f>IF(OR($A54="",M54="",MEMORIA_RESULTADOS!$I$259=""),"",ROUND(M54*$C54*(MEMORIA_RESULTADOS!$I$259-1),2))</f>
        <v/>
      </c>
      <c r="AV54">
        <f>IF(OR($A54="",AT54="",MEMORIA_RESULTADOS!$I$259=""),"",ROUND(AT54*$C54*(parametros!$F$3-MEMORIA_RESULTADOS!$I$259),2))</f>
        <v/>
      </c>
      <c r="AW54">
        <f>IF($A54="","",ROUND(SUMIFS(itens_Consumidos!$I$2:$I$200,itens_Consumidos!$A$2:$A$200,$A54),2))</f>
        <v/>
      </c>
      <c r="AX54">
        <f>IF(OR($A54="",O54=""),"",ROUND(MAX(O54-AW54,0),2))</f>
        <v/>
      </c>
      <c r="AY54">
        <f>IF(OR($A54="",O54="",MEMORIA_RESULTADOS!$I$260=""),"",ROUND(O54*$C54*(MEMORIA_RESULTADOS!$I$260-1),2))</f>
        <v/>
      </c>
      <c r="AZ54">
        <f>IF(OR($A54="",AX54="",MEMORIA_RESULTADOS!$I$260=""),"",ROUND(AX54*$C54*(parametros!$F$4-MEMORIA_RESULTADOS!$I$260),2))</f>
        <v/>
      </c>
      <c r="BA54">
        <f>IF($A54="","",ROUND(SUMIFS(itens_Consumidos!$K$2:$K$200,itens_Consumidos!$A$2:$A$200,$A54),2))</f>
        <v/>
      </c>
      <c r="BB54">
        <f>IF(OR($A54="",Q54=""),"",ROUND(MAX(Q54-BA54,0),2))</f>
        <v/>
      </c>
      <c r="BC54">
        <f>IF(OR($A54="",Q54="",MEMORIA_RESULTADOS!$I$261=""),"",ROUND(Q54*$C54*(MEMORIA_RESULTADOS!$I$261-1),2))</f>
        <v/>
      </c>
      <c r="BD54">
        <f>IF(OR($A54="",BB54="",MEMORIA_RESULTADOS!$I$261=""),"",ROUND(BB54*$C54*(parametros!$F$5-MEMORIA_RESULTADOS!$I$261),2))</f>
        <v/>
      </c>
      <c r="BE54">
        <f>IF($A54="","",ROUND(SUMIFS(itens_Consumidos!$M$2:$M$200,itens_Consumidos!$A$2:$A$200,$A54),2))</f>
        <v/>
      </c>
      <c r="BF54">
        <f>IF(OR($A54="",S54=""),"",ROUND(MAX(S54-BE54,0),2))</f>
        <v/>
      </c>
      <c r="BG54">
        <f>IF(OR($A54="",S54="",MEMORIA_RESULTADOS!$I$262=""),"",ROUND(S54*$C54*(MEMORIA_RESULTADOS!$I$262-1),2))</f>
        <v/>
      </c>
      <c r="BH54">
        <f>IF(OR($A54="",BF54="",MEMORIA_RESULTADOS!$I$262=""),"",ROUND(BF54*$C54*(parametros!$F$6-MEMORIA_RESULTADOS!$I$262),2))</f>
        <v/>
      </c>
    </row>
    <row r="55">
      <c r="A55" s="86" t="n"/>
      <c r="B55" s="87">
        <f>IF(AND(LEN(TRIM($A55))=4,LEFT(TRIM($A55),1)="N",ISNUMBER(--MID(TRIM($A55),2,3)),ISERROR(FIND(".",$A55)),ISERROR(FIND(",",$A55)),ISERROR(FIND("-",$A55)),ISERROR(FIND("+",$A55)),ISERROR(SEARCH("E",$A55,2)),ISERROR(FIND(" ",TRIM($A55)))),0,"")</f>
        <v/>
      </c>
      <c r="C55" s="339" t="n"/>
      <c r="D55" s="335">
        <f>IF(AND(A55="",A54&lt;&gt;"",COUNTIF(A56:$A$200,"&lt;&gt;")=0),ROUND(SUMIF($A$2:A54,"&lt;&gt;",$D$2:D54),2),IF(OR(A55="",B55="",C55=""),"",ROUND(B55*C55,2)))</f>
        <v/>
      </c>
      <c r="E55" s="89" t="n"/>
      <c r="F55" s="335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 t="n"/>
      <c r="H55" s="335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 t="n"/>
      <c r="J55" s="335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 t="n"/>
      <c r="L55" s="335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>
        <f>IF(OR(posicao_contratual!J55="",posicao_contratual!N55=""),"",ROUND(MAX(posicao_contratual!J55+posicao_contratual!H55-posicao_contratual!N55,0),2))</f>
        <v/>
      </c>
      <c r="N55" s="335">
        <f>IF(AND(A55="",A54&lt;&gt;"",COUNTIF(A56:$A$200,"&lt;&gt;")=0),ROUND(SUMIF($A$2:A54,"&lt;&gt;",$N$2:N54),2),IF(OR(M55="",C55="",NOT(ISNUMBER($Z$3))),"",ROUND(M55*C55*$Z$3,2)))</f>
        <v/>
      </c>
      <c r="O55" s="90">
        <f>IF(OR(posicao_contratual!N55="",posicao_contratual!R55=""),"",ROUND(MAX(posicao_contratual!N55+posicao_contratual!L55-posicao_contratual!R55,0),2))</f>
        <v/>
      </c>
      <c r="P55" s="335">
        <f>IF(AND(A55="",A54&lt;&gt;"",COUNTIF(A56:$A$200,"&lt;&gt;")=0),ROUND(SUMIF($A$2:A54,"&lt;&gt;",$P$2:P54),2),IF(OR(O55="",C55="",NOT(ISNUMBER($Z$4))),"",ROUND(O55*C55*$Z$4,2)))</f>
        <v/>
      </c>
      <c r="Q55" s="90">
        <f>IF(OR(posicao_contratual!R55="",posicao_contratual!V55=""),"",ROUND(MAX(posicao_contratual!R55+posicao_contratual!P55-posicao_contratual!V55,0),2))</f>
        <v/>
      </c>
      <c r="R55" s="335">
        <f>IF(AND(A55="",A54&lt;&gt;"",COUNTIF(A56:$A$200,"&lt;&gt;")=0),ROUND(SUMIF($A$2:A54,"&lt;&gt;",$R$2:R54),2),IF(OR(Q55="",C55="",NOT(ISNUMBER($Z$5))),"",ROUND(Q55*C55*$Z$5,2)))</f>
        <v/>
      </c>
      <c r="S55" s="22" t="n"/>
      <c r="T55" s="340" t="n"/>
      <c r="U55" s="91">
        <f>IF(AND(A55="",A54&lt;&gt;"",COUNTIF(A56:$A$200,"&lt;&gt;")=0),"TOTAL",IF(A55="","",posicao_contratual!X55))</f>
        <v/>
      </c>
      <c r="V55" s="91">
        <f>IF(A55="","",posicao_contratual!X55)</f>
        <v/>
      </c>
      <c r="W55" s="14" t="n"/>
      <c r="X55" s="14" t="n"/>
      <c r="Y55" s="14" t="n"/>
      <c r="Z55" s="13" t="n"/>
      <c r="AA55" s="13" t="n"/>
      <c r="AB55" s="90">
        <f>IF(OR(A55="",posicao_contratual!E55="",posicao_contratual!J55=""),"",ROUND(MAX(posicao_contratual!E55-posicao_contratual!J55,0),2))</f>
        <v/>
      </c>
      <c r="AC55" s="335">
        <f>IF(AND(A55="",A54&lt;&gt;"",COUNTIF(A56:$A$200,"&lt;&gt;")=0),ROUND(SUMIF($A$2:A54,"&lt;&gt;",$AC$2:AC54),2),IF(OR(AB55="",C55="",NOT(ISNUMBER($Z$2))),"",ROUND(AB55*C55*$Z$2,2)))</f>
        <v/>
      </c>
      <c r="AD55" s="155">
        <f>IF(A55="","",posicao_contratual!E55)</f>
        <v/>
      </c>
      <c r="AE55" s="155">
        <f>IF(A55="","",posicao_contratual!I55)</f>
        <v/>
      </c>
      <c r="AF55" s="155">
        <f>IF(A55="","",posicao_contratual!M55)</f>
        <v/>
      </c>
      <c r="AG55" s="155">
        <f>IF(A55="","",posicao_contratual!Q55)</f>
        <v/>
      </c>
      <c r="AH55" s="155">
        <f>IF(A55="","",posicao_contratual!U55)</f>
        <v/>
      </c>
      <c r="AI55" s="155">
        <f>IF(A55="","",posicao_contratual!G55)</f>
        <v/>
      </c>
      <c r="AJ55" s="155">
        <f>IF(A55="","",posicao_contratual!K55)</f>
        <v/>
      </c>
      <c r="AK55" s="155">
        <f>IF(A55="","",posicao_contratual!O55)</f>
        <v/>
      </c>
      <c r="AL55" s="155">
        <f>IF(A55="","",posicao_contratual!S55)</f>
        <v/>
      </c>
      <c r="AM55" s="155">
        <f>IF(A55="","",posicao_contratual!W55)</f>
        <v/>
      </c>
      <c r="AN55" s="156">
        <f>IF(A55="","",posicao_contratual!X55)</f>
        <v/>
      </c>
      <c r="AO55">
        <f>IF($A55="","",ROUND(SUMIFS(itens_Consumidos!$E$2:$E$200,itens_Consumidos!$A$2:$A$200,$A55),2))</f>
        <v/>
      </c>
      <c r="AP55">
        <f>IF(OR($A55="",AB55=""),"",ROUND(MAX(AB55-AO55,0),2))</f>
        <v/>
      </c>
      <c r="AQ55">
        <f>IF(OR($A55="",AB55="",MEMORIA_RESULTADOS!$I$258=""),"",ROUND(AB55*$C55*(MEMORIA_RESULTADOS!$I$258-1),2))</f>
        <v/>
      </c>
      <c r="AR55">
        <f>IF(OR($A55="",AP55="",MEMORIA_RESULTADOS!$I$258=""),"",ROUND(AP55*$C55*(parametros!$F$2-MEMORIA_RESULTADOS!$I$258),2))</f>
        <v/>
      </c>
      <c r="AS55">
        <f>IF($A55="","",ROUND(SUMIFS(itens_Consumidos!$G$2:$G$200,itens_Consumidos!$A$2:$A$200,$A55),2))</f>
        <v/>
      </c>
      <c r="AT55">
        <f>IF(OR($A55="",M55=""),"",ROUND(MAX(M55-AS55,0),2))</f>
        <v/>
      </c>
      <c r="AU55">
        <f>IF(OR($A55="",M55="",MEMORIA_RESULTADOS!$I$259=""),"",ROUND(M55*$C55*(MEMORIA_RESULTADOS!$I$259-1),2))</f>
        <v/>
      </c>
      <c r="AV55">
        <f>IF(OR($A55="",AT55="",MEMORIA_RESULTADOS!$I$259=""),"",ROUND(AT55*$C55*(parametros!$F$3-MEMORIA_RESULTADOS!$I$259),2))</f>
        <v/>
      </c>
      <c r="AW55">
        <f>IF($A55="","",ROUND(SUMIFS(itens_Consumidos!$I$2:$I$200,itens_Consumidos!$A$2:$A$200,$A55),2))</f>
        <v/>
      </c>
      <c r="AX55">
        <f>IF(OR($A55="",O55=""),"",ROUND(MAX(O55-AW55,0),2))</f>
        <v/>
      </c>
      <c r="AY55">
        <f>IF(OR($A55="",O55="",MEMORIA_RESULTADOS!$I$260=""),"",ROUND(O55*$C55*(MEMORIA_RESULTADOS!$I$260-1),2))</f>
        <v/>
      </c>
      <c r="AZ55">
        <f>IF(OR($A55="",AX55="",MEMORIA_RESULTADOS!$I$260=""),"",ROUND(AX55*$C55*(parametros!$F$4-MEMORIA_RESULTADOS!$I$260),2))</f>
        <v/>
      </c>
      <c r="BA55">
        <f>IF($A55="","",ROUND(SUMIFS(itens_Consumidos!$K$2:$K$200,itens_Consumidos!$A$2:$A$200,$A55),2))</f>
        <v/>
      </c>
      <c r="BB55">
        <f>IF(OR($A55="",Q55=""),"",ROUND(MAX(Q55-BA55,0),2))</f>
        <v/>
      </c>
      <c r="BC55">
        <f>IF(OR($A55="",Q55="",MEMORIA_RESULTADOS!$I$261=""),"",ROUND(Q55*$C55*(MEMORIA_RESULTADOS!$I$261-1),2))</f>
        <v/>
      </c>
      <c r="BD55">
        <f>IF(OR($A55="",BB55="",MEMORIA_RESULTADOS!$I$261=""),"",ROUND(BB55*$C55*(parametros!$F$5-MEMORIA_RESULTADOS!$I$261),2))</f>
        <v/>
      </c>
      <c r="BE55">
        <f>IF($A55="","",ROUND(SUMIFS(itens_Consumidos!$M$2:$M$200,itens_Consumidos!$A$2:$A$200,$A55),2))</f>
        <v/>
      </c>
      <c r="BF55">
        <f>IF(OR($A55="",S55=""),"",ROUND(MAX(S55-BE55,0),2))</f>
        <v/>
      </c>
      <c r="BG55">
        <f>IF(OR($A55="",S55="",MEMORIA_RESULTADOS!$I$262=""),"",ROUND(S55*$C55*(MEMORIA_RESULTADOS!$I$262-1),2))</f>
        <v/>
      </c>
      <c r="BH55">
        <f>IF(OR($A55="",BF55="",MEMORIA_RESULTADOS!$I$262=""),"",ROUND(BF55*$C55*(parametros!$F$6-MEMORIA_RESULTADOS!$I$262),2))</f>
        <v/>
      </c>
    </row>
    <row r="56">
      <c r="A56" s="86" t="n"/>
      <c r="B56" s="87">
        <f>IF(AND(LEN(TRIM($A56))=4,LEFT(TRIM($A56),1)="N",ISNUMBER(--MID(TRIM($A56),2,3)),ISERROR(FIND(".",$A56)),ISERROR(FIND(",",$A56)),ISERROR(FIND("-",$A56)),ISERROR(FIND("+",$A56)),ISERROR(SEARCH("E",$A56,2)),ISERROR(FIND(" ",TRIM($A56)))),0,"")</f>
        <v/>
      </c>
      <c r="C56" s="339" t="n"/>
      <c r="D56" s="335">
        <f>IF(AND(A56="",A55&lt;&gt;"",COUNTIF(A57:$A$200,"&lt;&gt;")=0),ROUND(SUMIF($A$2:A55,"&lt;&gt;",$D$2:D55),2),IF(OR(A56="",B56="",C56=""),"",ROUND(B56*C56,2)))</f>
        <v/>
      </c>
      <c r="E56" s="89" t="n"/>
      <c r="F56" s="335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 t="n"/>
      <c r="H56" s="335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 t="n"/>
      <c r="J56" s="335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 t="n"/>
      <c r="L56" s="335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>
        <f>IF(OR(posicao_contratual!J56="",posicao_contratual!N56=""),"",ROUND(MAX(posicao_contratual!J56+posicao_contratual!H56-posicao_contratual!N56,0),2))</f>
        <v/>
      </c>
      <c r="N56" s="335">
        <f>IF(AND(A56="",A55&lt;&gt;"",COUNTIF(A57:$A$200,"&lt;&gt;")=0),ROUND(SUMIF($A$2:A55,"&lt;&gt;",$N$2:N55),2),IF(OR(M56="",C56="",NOT(ISNUMBER($Z$3))),"",ROUND(M56*C56*$Z$3,2)))</f>
        <v/>
      </c>
      <c r="O56" s="90">
        <f>IF(OR(posicao_contratual!N56="",posicao_contratual!R56=""),"",ROUND(MAX(posicao_contratual!N56+posicao_contratual!L56-posicao_contratual!R56,0),2))</f>
        <v/>
      </c>
      <c r="P56" s="335">
        <f>IF(AND(A56="",A55&lt;&gt;"",COUNTIF(A57:$A$200,"&lt;&gt;")=0),ROUND(SUMIF($A$2:A55,"&lt;&gt;",$P$2:P55),2),IF(OR(O56="",C56="",NOT(ISNUMBER($Z$4))),"",ROUND(O56*C56*$Z$4,2)))</f>
        <v/>
      </c>
      <c r="Q56" s="90">
        <f>IF(OR(posicao_contratual!R56="",posicao_contratual!V56=""),"",ROUND(MAX(posicao_contratual!R56+posicao_contratual!P56-posicao_contratual!V56,0),2))</f>
        <v/>
      </c>
      <c r="R56" s="335">
        <f>IF(AND(A56="",A55&lt;&gt;"",COUNTIF(A57:$A$200,"&lt;&gt;")=0),ROUND(SUMIF($A$2:A55,"&lt;&gt;",$R$2:R55),2),IF(OR(Q56="",C56="",NOT(ISNUMBER($Z$5))),"",ROUND(Q56*C56*$Z$5,2)))</f>
        <v/>
      </c>
      <c r="S56" s="22" t="n"/>
      <c r="T56" s="340" t="n"/>
      <c r="U56" s="91">
        <f>IF(AND(A56="",A55&lt;&gt;"",COUNTIF(A57:$A$200,"&lt;&gt;")=0),"TOTAL",IF(A56="","",posicao_contratual!X56))</f>
        <v/>
      </c>
      <c r="V56" s="91">
        <f>IF(A56="","",posicao_contratual!X56)</f>
        <v/>
      </c>
      <c r="W56" s="14" t="n"/>
      <c r="X56" s="14" t="n"/>
      <c r="Y56" s="14" t="n"/>
      <c r="Z56" s="13" t="n"/>
      <c r="AA56" s="13" t="n"/>
      <c r="AB56" s="90">
        <f>IF(OR(A56="",posicao_contratual!E56="",posicao_contratual!J56=""),"",ROUND(MAX(posicao_contratual!E56-posicao_contratual!J56,0),2))</f>
        <v/>
      </c>
      <c r="AC56" s="335">
        <f>IF(AND(A56="",A55&lt;&gt;"",COUNTIF(A57:$A$200,"&lt;&gt;")=0),ROUND(SUMIF($A$2:A55,"&lt;&gt;",$AC$2:AC55),2),IF(OR(AB56="",C56="",NOT(ISNUMBER($Z$2))),"",ROUND(AB56*C56*$Z$2,2)))</f>
        <v/>
      </c>
      <c r="AD56" s="155">
        <f>IF(A56="","",posicao_contratual!E56)</f>
        <v/>
      </c>
      <c r="AE56" s="155">
        <f>IF(A56="","",posicao_contratual!I56)</f>
        <v/>
      </c>
      <c r="AF56" s="155">
        <f>IF(A56="","",posicao_contratual!M56)</f>
        <v/>
      </c>
      <c r="AG56" s="155">
        <f>IF(A56="","",posicao_contratual!Q56)</f>
        <v/>
      </c>
      <c r="AH56" s="155">
        <f>IF(A56="","",posicao_contratual!U56)</f>
        <v/>
      </c>
      <c r="AI56" s="155">
        <f>IF(A56="","",posicao_contratual!G56)</f>
        <v/>
      </c>
      <c r="AJ56" s="155">
        <f>IF(A56="","",posicao_contratual!K56)</f>
        <v/>
      </c>
      <c r="AK56" s="155">
        <f>IF(A56="","",posicao_contratual!O56)</f>
        <v/>
      </c>
      <c r="AL56" s="155">
        <f>IF(A56="","",posicao_contratual!S56)</f>
        <v/>
      </c>
      <c r="AM56" s="155">
        <f>IF(A56="","",posicao_contratual!W56)</f>
        <v/>
      </c>
      <c r="AN56" s="156">
        <f>IF(A56="","",posicao_contratual!X56)</f>
        <v/>
      </c>
      <c r="AO56">
        <f>IF($A56="","",ROUND(SUMIFS(itens_Consumidos!$E$2:$E$200,itens_Consumidos!$A$2:$A$200,$A56),2))</f>
        <v/>
      </c>
      <c r="AP56">
        <f>IF(OR($A56="",AB56=""),"",ROUND(MAX(AB56-AO56,0),2))</f>
        <v/>
      </c>
      <c r="AQ56">
        <f>IF(OR($A56="",AB56="",MEMORIA_RESULTADOS!$I$258=""),"",ROUND(AB56*$C56*(MEMORIA_RESULTADOS!$I$258-1),2))</f>
        <v/>
      </c>
      <c r="AR56">
        <f>IF(OR($A56="",AP56="",MEMORIA_RESULTADOS!$I$258=""),"",ROUND(AP56*$C56*(parametros!$F$2-MEMORIA_RESULTADOS!$I$258),2))</f>
        <v/>
      </c>
      <c r="AS56">
        <f>IF($A56="","",ROUND(SUMIFS(itens_Consumidos!$G$2:$G$200,itens_Consumidos!$A$2:$A$200,$A56),2))</f>
        <v/>
      </c>
      <c r="AT56">
        <f>IF(OR($A56="",M56=""),"",ROUND(MAX(M56-AS56,0),2))</f>
        <v/>
      </c>
      <c r="AU56">
        <f>IF(OR($A56="",M56="",MEMORIA_RESULTADOS!$I$259=""),"",ROUND(M56*$C56*(MEMORIA_RESULTADOS!$I$259-1),2))</f>
        <v/>
      </c>
      <c r="AV56">
        <f>IF(OR($A56="",AT56="",MEMORIA_RESULTADOS!$I$259=""),"",ROUND(AT56*$C56*(parametros!$F$3-MEMORIA_RESULTADOS!$I$259),2))</f>
        <v/>
      </c>
      <c r="AW56">
        <f>IF($A56="","",ROUND(SUMIFS(itens_Consumidos!$I$2:$I$200,itens_Consumidos!$A$2:$A$200,$A56),2))</f>
        <v/>
      </c>
      <c r="AX56">
        <f>IF(OR($A56="",O56=""),"",ROUND(MAX(O56-AW56,0),2))</f>
        <v/>
      </c>
      <c r="AY56">
        <f>IF(OR($A56="",O56="",MEMORIA_RESULTADOS!$I$260=""),"",ROUND(O56*$C56*(MEMORIA_RESULTADOS!$I$260-1),2))</f>
        <v/>
      </c>
      <c r="AZ56">
        <f>IF(OR($A56="",AX56="",MEMORIA_RESULTADOS!$I$260=""),"",ROUND(AX56*$C56*(parametros!$F$4-MEMORIA_RESULTADOS!$I$260),2))</f>
        <v/>
      </c>
      <c r="BA56">
        <f>IF($A56="","",ROUND(SUMIFS(itens_Consumidos!$K$2:$K$200,itens_Consumidos!$A$2:$A$200,$A56),2))</f>
        <v/>
      </c>
      <c r="BB56">
        <f>IF(OR($A56="",Q56=""),"",ROUND(MAX(Q56-BA56,0),2))</f>
        <v/>
      </c>
      <c r="BC56">
        <f>IF(OR($A56="",Q56="",MEMORIA_RESULTADOS!$I$261=""),"",ROUND(Q56*$C56*(MEMORIA_RESULTADOS!$I$261-1),2))</f>
        <v/>
      </c>
      <c r="BD56">
        <f>IF(OR($A56="",BB56="",MEMORIA_RESULTADOS!$I$261=""),"",ROUND(BB56*$C56*(parametros!$F$5-MEMORIA_RESULTADOS!$I$261),2))</f>
        <v/>
      </c>
      <c r="BE56">
        <f>IF($A56="","",ROUND(SUMIFS(itens_Consumidos!$M$2:$M$200,itens_Consumidos!$A$2:$A$200,$A56),2))</f>
        <v/>
      </c>
      <c r="BF56">
        <f>IF(OR($A56="",S56=""),"",ROUND(MAX(S56-BE56,0),2))</f>
        <v/>
      </c>
      <c r="BG56">
        <f>IF(OR($A56="",S56="",MEMORIA_RESULTADOS!$I$262=""),"",ROUND(S56*$C56*(MEMORIA_RESULTADOS!$I$262-1),2))</f>
        <v/>
      </c>
      <c r="BH56">
        <f>IF(OR($A56="",BF56="",MEMORIA_RESULTADOS!$I$262=""),"",ROUND(BF56*$C56*(parametros!$F$6-MEMORIA_RESULTADOS!$I$262),2))</f>
        <v/>
      </c>
    </row>
    <row r="57">
      <c r="A57" s="86" t="n"/>
      <c r="B57" s="87">
        <f>IF(AND(LEN(TRIM($A57))=4,LEFT(TRIM($A57),1)="N",ISNUMBER(--MID(TRIM($A57),2,3)),ISERROR(FIND(".",$A57)),ISERROR(FIND(",",$A57)),ISERROR(FIND("-",$A57)),ISERROR(FIND("+",$A57)),ISERROR(SEARCH("E",$A57,2)),ISERROR(FIND(" ",TRIM($A57)))),0,"")</f>
        <v/>
      </c>
      <c r="C57" s="339" t="n"/>
      <c r="D57" s="335">
        <f>IF(AND(A57="",A56&lt;&gt;"",COUNTIF(A58:$A$200,"&lt;&gt;")=0),ROUND(SUMIF($A$2:A56,"&lt;&gt;",$D$2:D56),2),IF(OR(A57="",B57="",C57=""),"",ROUND(B57*C57,2)))</f>
        <v/>
      </c>
      <c r="E57" s="89" t="n"/>
      <c r="F57" s="335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 t="n"/>
      <c r="H57" s="335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 t="n"/>
      <c r="J57" s="335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 t="n"/>
      <c r="L57" s="335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>
        <f>IF(OR(posicao_contratual!J57="",posicao_contratual!N57=""),"",ROUND(MAX(posicao_contratual!J57+posicao_contratual!H57-posicao_contratual!N57,0),2))</f>
        <v/>
      </c>
      <c r="N57" s="335">
        <f>IF(AND(A57="",A56&lt;&gt;"",COUNTIF(A58:$A$200,"&lt;&gt;")=0),ROUND(SUMIF($A$2:A56,"&lt;&gt;",$N$2:N56),2),IF(OR(M57="",C57="",NOT(ISNUMBER($Z$3))),"",ROUND(M57*C57*$Z$3,2)))</f>
        <v/>
      </c>
      <c r="O57" s="90">
        <f>IF(OR(posicao_contratual!N57="",posicao_contratual!R57=""),"",ROUND(MAX(posicao_contratual!N57+posicao_contratual!L57-posicao_contratual!R57,0),2))</f>
        <v/>
      </c>
      <c r="P57" s="335">
        <f>IF(AND(A57="",A56&lt;&gt;"",COUNTIF(A58:$A$200,"&lt;&gt;")=0),ROUND(SUMIF($A$2:A56,"&lt;&gt;",$P$2:P56),2),IF(OR(O57="",C57="",NOT(ISNUMBER($Z$4))),"",ROUND(O57*C57*$Z$4,2)))</f>
        <v/>
      </c>
      <c r="Q57" s="90">
        <f>IF(OR(posicao_contratual!R57="",posicao_contratual!V57=""),"",ROUND(MAX(posicao_contratual!R57+posicao_contratual!P57-posicao_contratual!V57,0),2))</f>
        <v/>
      </c>
      <c r="R57" s="335">
        <f>IF(AND(A57="",A56&lt;&gt;"",COUNTIF(A58:$A$200,"&lt;&gt;")=0),ROUND(SUMIF($A$2:A56,"&lt;&gt;",$R$2:R56),2),IF(OR(Q57="",C57="",NOT(ISNUMBER($Z$5))),"",ROUND(Q57*C57*$Z$5,2)))</f>
        <v/>
      </c>
      <c r="S57" s="22" t="n"/>
      <c r="T57" s="340" t="n"/>
      <c r="U57" s="91">
        <f>IF(AND(A57="",A56&lt;&gt;"",COUNTIF(A58:$A$200,"&lt;&gt;")=0),"TOTAL",IF(A57="","",posicao_contratual!X57))</f>
        <v/>
      </c>
      <c r="V57" s="91">
        <f>IF(A57="","",posicao_contratual!X57)</f>
        <v/>
      </c>
      <c r="W57" s="14" t="n"/>
      <c r="X57" s="14" t="n"/>
      <c r="Y57" s="14" t="n"/>
      <c r="Z57" s="13" t="n"/>
      <c r="AA57" s="13" t="n"/>
      <c r="AB57" s="90">
        <f>IF(OR(A57="",posicao_contratual!E57="",posicao_contratual!J57=""),"",ROUND(MAX(posicao_contratual!E57-posicao_contratual!J57,0),2))</f>
        <v/>
      </c>
      <c r="AC57" s="335">
        <f>IF(AND(A57="",A56&lt;&gt;"",COUNTIF(A58:$A$200,"&lt;&gt;")=0),ROUND(SUMIF($A$2:A56,"&lt;&gt;",$AC$2:AC56),2),IF(OR(AB57="",C57="",NOT(ISNUMBER($Z$2))),"",ROUND(AB57*C57*$Z$2,2)))</f>
        <v/>
      </c>
      <c r="AD57" s="155">
        <f>IF(A57="","",posicao_contratual!E57)</f>
        <v/>
      </c>
      <c r="AE57" s="155">
        <f>IF(A57="","",posicao_contratual!I57)</f>
        <v/>
      </c>
      <c r="AF57" s="155">
        <f>IF(A57="","",posicao_contratual!M57)</f>
        <v/>
      </c>
      <c r="AG57" s="155">
        <f>IF(A57="","",posicao_contratual!Q57)</f>
        <v/>
      </c>
      <c r="AH57" s="155">
        <f>IF(A57="","",posicao_contratual!U57)</f>
        <v/>
      </c>
      <c r="AI57" s="155">
        <f>IF(A57="","",posicao_contratual!G57)</f>
        <v/>
      </c>
      <c r="AJ57" s="155">
        <f>IF(A57="","",posicao_contratual!K57)</f>
        <v/>
      </c>
      <c r="AK57" s="155">
        <f>IF(A57="","",posicao_contratual!O57)</f>
        <v/>
      </c>
      <c r="AL57" s="155">
        <f>IF(A57="","",posicao_contratual!S57)</f>
        <v/>
      </c>
      <c r="AM57" s="155">
        <f>IF(A57="","",posicao_contratual!W57)</f>
        <v/>
      </c>
      <c r="AN57" s="156">
        <f>IF(A57="","",posicao_contratual!X57)</f>
        <v/>
      </c>
      <c r="AO57">
        <f>IF($A57="","",ROUND(SUMIFS(itens_Consumidos!$E$2:$E$200,itens_Consumidos!$A$2:$A$200,$A57),2))</f>
        <v/>
      </c>
      <c r="AP57">
        <f>IF(OR($A57="",AB57=""),"",ROUND(MAX(AB57-AO57,0),2))</f>
        <v/>
      </c>
      <c r="AQ57">
        <f>IF(OR($A57="",AB57="",MEMORIA_RESULTADOS!$I$258=""),"",ROUND(AB57*$C57*(MEMORIA_RESULTADOS!$I$258-1),2))</f>
        <v/>
      </c>
      <c r="AR57">
        <f>IF(OR($A57="",AP57="",MEMORIA_RESULTADOS!$I$258=""),"",ROUND(AP57*$C57*(parametros!$F$2-MEMORIA_RESULTADOS!$I$258),2))</f>
        <v/>
      </c>
      <c r="AS57">
        <f>IF($A57="","",ROUND(SUMIFS(itens_Consumidos!$G$2:$G$200,itens_Consumidos!$A$2:$A$200,$A57),2))</f>
        <v/>
      </c>
      <c r="AT57">
        <f>IF(OR($A57="",M57=""),"",ROUND(MAX(M57-AS57,0),2))</f>
        <v/>
      </c>
      <c r="AU57">
        <f>IF(OR($A57="",M57="",MEMORIA_RESULTADOS!$I$259=""),"",ROUND(M57*$C57*(MEMORIA_RESULTADOS!$I$259-1),2))</f>
        <v/>
      </c>
      <c r="AV57">
        <f>IF(OR($A57="",AT57="",MEMORIA_RESULTADOS!$I$259=""),"",ROUND(AT57*$C57*(parametros!$F$3-MEMORIA_RESULTADOS!$I$259),2))</f>
        <v/>
      </c>
      <c r="AW57">
        <f>IF($A57="","",ROUND(SUMIFS(itens_Consumidos!$I$2:$I$200,itens_Consumidos!$A$2:$A$200,$A57),2))</f>
        <v/>
      </c>
      <c r="AX57">
        <f>IF(OR($A57="",O57=""),"",ROUND(MAX(O57-AW57,0),2))</f>
        <v/>
      </c>
      <c r="AY57">
        <f>IF(OR($A57="",O57="",MEMORIA_RESULTADOS!$I$260=""),"",ROUND(O57*$C57*(MEMORIA_RESULTADOS!$I$260-1),2))</f>
        <v/>
      </c>
      <c r="AZ57">
        <f>IF(OR($A57="",AX57="",MEMORIA_RESULTADOS!$I$260=""),"",ROUND(AX57*$C57*(parametros!$F$4-MEMORIA_RESULTADOS!$I$260),2))</f>
        <v/>
      </c>
      <c r="BA57">
        <f>IF($A57="","",ROUND(SUMIFS(itens_Consumidos!$K$2:$K$200,itens_Consumidos!$A$2:$A$200,$A57),2))</f>
        <v/>
      </c>
      <c r="BB57">
        <f>IF(OR($A57="",Q57=""),"",ROUND(MAX(Q57-BA57,0),2))</f>
        <v/>
      </c>
      <c r="BC57">
        <f>IF(OR($A57="",Q57="",MEMORIA_RESULTADOS!$I$261=""),"",ROUND(Q57*$C57*(MEMORIA_RESULTADOS!$I$261-1),2))</f>
        <v/>
      </c>
      <c r="BD57">
        <f>IF(OR($A57="",BB57="",MEMORIA_RESULTADOS!$I$261=""),"",ROUND(BB57*$C57*(parametros!$F$5-MEMORIA_RESULTADOS!$I$261),2))</f>
        <v/>
      </c>
      <c r="BE57">
        <f>IF($A57="","",ROUND(SUMIFS(itens_Consumidos!$M$2:$M$200,itens_Consumidos!$A$2:$A$200,$A57),2))</f>
        <v/>
      </c>
      <c r="BF57">
        <f>IF(OR($A57="",S57=""),"",ROUND(MAX(S57-BE57,0),2))</f>
        <v/>
      </c>
      <c r="BG57">
        <f>IF(OR($A57="",S57="",MEMORIA_RESULTADOS!$I$262=""),"",ROUND(S57*$C57*(MEMORIA_RESULTADOS!$I$262-1),2))</f>
        <v/>
      </c>
      <c r="BH57">
        <f>IF(OR($A57="",BF57="",MEMORIA_RESULTADOS!$I$262=""),"",ROUND(BF57*$C57*(parametros!$F$6-MEMORIA_RESULTADOS!$I$262),2))</f>
        <v/>
      </c>
    </row>
    <row r="58">
      <c r="A58" s="86" t="n"/>
      <c r="B58" s="87">
        <f>IF(AND(LEN(TRIM($A58))=4,LEFT(TRIM($A58),1)="N",ISNUMBER(--MID(TRIM($A58),2,3)),ISERROR(FIND(".",$A58)),ISERROR(FIND(",",$A58)),ISERROR(FIND("-",$A58)),ISERROR(FIND("+",$A58)),ISERROR(SEARCH("E",$A58,2)),ISERROR(FIND(" ",TRIM($A58)))),0,"")</f>
        <v/>
      </c>
      <c r="C58" s="339" t="n"/>
      <c r="D58" s="335">
        <f>IF(AND(A58="",A57&lt;&gt;"",COUNTIF(A59:$A$200,"&lt;&gt;")=0),ROUND(SUMIF($A$2:A57,"&lt;&gt;",$D$2:D57),2),IF(OR(A58="",B58="",C58=""),"",ROUND(B58*C58,2)))</f>
        <v/>
      </c>
      <c r="E58" s="89" t="n"/>
      <c r="F58" s="335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 t="n"/>
      <c r="H58" s="335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 t="n"/>
      <c r="J58" s="335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 t="n"/>
      <c r="L58" s="335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>
        <f>IF(OR(posicao_contratual!J58="",posicao_contratual!N58=""),"",ROUND(MAX(posicao_contratual!J58+posicao_contratual!H58-posicao_contratual!N58,0),2))</f>
        <v/>
      </c>
      <c r="N58" s="335">
        <f>IF(AND(A58="",A57&lt;&gt;"",COUNTIF(A59:$A$200,"&lt;&gt;")=0),ROUND(SUMIF($A$2:A57,"&lt;&gt;",$N$2:N57),2),IF(OR(M58="",C58="",NOT(ISNUMBER($Z$3))),"",ROUND(M58*C58*$Z$3,2)))</f>
        <v/>
      </c>
      <c r="O58" s="90">
        <f>IF(OR(posicao_contratual!N58="",posicao_contratual!R58=""),"",ROUND(MAX(posicao_contratual!N58+posicao_contratual!L58-posicao_contratual!R58,0),2))</f>
        <v/>
      </c>
      <c r="P58" s="335">
        <f>IF(AND(A58="",A57&lt;&gt;"",COUNTIF(A59:$A$200,"&lt;&gt;")=0),ROUND(SUMIF($A$2:A57,"&lt;&gt;",$P$2:P57),2),IF(OR(O58="",C58="",NOT(ISNUMBER($Z$4))),"",ROUND(O58*C58*$Z$4,2)))</f>
        <v/>
      </c>
      <c r="Q58" s="90">
        <f>IF(OR(posicao_contratual!R58="",posicao_contratual!V58=""),"",ROUND(MAX(posicao_contratual!R58+posicao_contratual!P58-posicao_contratual!V58,0),2))</f>
        <v/>
      </c>
      <c r="R58" s="335">
        <f>IF(AND(A58="",A57&lt;&gt;"",COUNTIF(A59:$A$200,"&lt;&gt;")=0),ROUND(SUMIF($A$2:A57,"&lt;&gt;",$R$2:R57),2),IF(OR(Q58="",C58="",NOT(ISNUMBER($Z$5))),"",ROUND(Q58*C58*$Z$5,2)))</f>
        <v/>
      </c>
      <c r="S58" s="22" t="n"/>
      <c r="T58" s="340" t="n"/>
      <c r="U58" s="91">
        <f>IF(AND(A58="",A57&lt;&gt;"",COUNTIF(A59:$A$200,"&lt;&gt;")=0),"TOTAL",IF(A58="","",posicao_contratual!X58))</f>
        <v/>
      </c>
      <c r="V58" s="91">
        <f>IF(A58="","",posicao_contratual!X58)</f>
        <v/>
      </c>
      <c r="W58" s="14" t="n"/>
      <c r="X58" s="14" t="n"/>
      <c r="Y58" s="14" t="n"/>
      <c r="Z58" s="13" t="n"/>
      <c r="AA58" s="13" t="n"/>
      <c r="AB58" s="90">
        <f>IF(OR(A58="",posicao_contratual!E58="",posicao_contratual!J58=""),"",ROUND(MAX(posicao_contratual!E58-posicao_contratual!J58,0),2))</f>
        <v/>
      </c>
      <c r="AC58" s="335">
        <f>IF(AND(A58="",A57&lt;&gt;"",COUNTIF(A59:$A$200,"&lt;&gt;")=0),ROUND(SUMIF($A$2:A57,"&lt;&gt;",$AC$2:AC57),2),IF(OR(AB58="",C58="",NOT(ISNUMBER($Z$2))),"",ROUND(AB58*C58*$Z$2,2)))</f>
        <v/>
      </c>
      <c r="AD58" s="155">
        <f>IF(A58="","",posicao_contratual!E58)</f>
        <v/>
      </c>
      <c r="AE58" s="155">
        <f>IF(A58="","",posicao_contratual!I58)</f>
        <v/>
      </c>
      <c r="AF58" s="155">
        <f>IF(A58="","",posicao_contratual!M58)</f>
        <v/>
      </c>
      <c r="AG58" s="155">
        <f>IF(A58="","",posicao_contratual!Q58)</f>
        <v/>
      </c>
      <c r="AH58" s="155">
        <f>IF(A58="","",posicao_contratual!U58)</f>
        <v/>
      </c>
      <c r="AI58" s="155">
        <f>IF(A58="","",posicao_contratual!G58)</f>
        <v/>
      </c>
      <c r="AJ58" s="155">
        <f>IF(A58="","",posicao_contratual!K58)</f>
        <v/>
      </c>
      <c r="AK58" s="155">
        <f>IF(A58="","",posicao_contratual!O58)</f>
        <v/>
      </c>
      <c r="AL58" s="155">
        <f>IF(A58="","",posicao_contratual!S58)</f>
        <v/>
      </c>
      <c r="AM58" s="155">
        <f>IF(A58="","",posicao_contratual!W58)</f>
        <v/>
      </c>
      <c r="AN58" s="156">
        <f>IF(A58="","",posicao_contratual!X58)</f>
        <v/>
      </c>
      <c r="AO58">
        <f>IF($A58="","",ROUND(SUMIFS(itens_Consumidos!$E$2:$E$200,itens_Consumidos!$A$2:$A$200,$A58),2))</f>
        <v/>
      </c>
      <c r="AP58">
        <f>IF(OR($A58="",AB58=""),"",ROUND(MAX(AB58-AO58,0),2))</f>
        <v/>
      </c>
      <c r="AQ58">
        <f>IF(OR($A58="",AB58="",MEMORIA_RESULTADOS!$I$258=""),"",ROUND(AB58*$C58*(MEMORIA_RESULTADOS!$I$258-1),2))</f>
        <v/>
      </c>
      <c r="AR58">
        <f>IF(OR($A58="",AP58="",MEMORIA_RESULTADOS!$I$258=""),"",ROUND(AP58*$C58*(parametros!$F$2-MEMORIA_RESULTADOS!$I$258),2))</f>
        <v/>
      </c>
      <c r="AS58">
        <f>IF($A58="","",ROUND(SUMIFS(itens_Consumidos!$G$2:$G$200,itens_Consumidos!$A$2:$A$200,$A58),2))</f>
        <v/>
      </c>
      <c r="AT58">
        <f>IF(OR($A58="",M58=""),"",ROUND(MAX(M58-AS58,0),2))</f>
        <v/>
      </c>
      <c r="AU58">
        <f>IF(OR($A58="",M58="",MEMORIA_RESULTADOS!$I$259=""),"",ROUND(M58*$C58*(MEMORIA_RESULTADOS!$I$259-1),2))</f>
        <v/>
      </c>
      <c r="AV58">
        <f>IF(OR($A58="",AT58="",MEMORIA_RESULTADOS!$I$259=""),"",ROUND(AT58*$C58*(parametros!$F$3-MEMORIA_RESULTADOS!$I$259),2))</f>
        <v/>
      </c>
      <c r="AW58">
        <f>IF($A58="","",ROUND(SUMIFS(itens_Consumidos!$I$2:$I$200,itens_Consumidos!$A$2:$A$200,$A58),2))</f>
        <v/>
      </c>
      <c r="AX58">
        <f>IF(OR($A58="",O58=""),"",ROUND(MAX(O58-AW58,0),2))</f>
        <v/>
      </c>
      <c r="AY58">
        <f>IF(OR($A58="",O58="",MEMORIA_RESULTADOS!$I$260=""),"",ROUND(O58*$C58*(MEMORIA_RESULTADOS!$I$260-1),2))</f>
        <v/>
      </c>
      <c r="AZ58">
        <f>IF(OR($A58="",AX58="",MEMORIA_RESULTADOS!$I$260=""),"",ROUND(AX58*$C58*(parametros!$F$4-MEMORIA_RESULTADOS!$I$260),2))</f>
        <v/>
      </c>
      <c r="BA58">
        <f>IF($A58="","",ROUND(SUMIFS(itens_Consumidos!$K$2:$K$200,itens_Consumidos!$A$2:$A$200,$A58),2))</f>
        <v/>
      </c>
      <c r="BB58">
        <f>IF(OR($A58="",Q58=""),"",ROUND(MAX(Q58-BA58,0),2))</f>
        <v/>
      </c>
      <c r="BC58">
        <f>IF(OR($A58="",Q58="",MEMORIA_RESULTADOS!$I$261=""),"",ROUND(Q58*$C58*(MEMORIA_RESULTADOS!$I$261-1),2))</f>
        <v/>
      </c>
      <c r="BD58">
        <f>IF(OR($A58="",BB58="",MEMORIA_RESULTADOS!$I$261=""),"",ROUND(BB58*$C58*(parametros!$F$5-MEMORIA_RESULTADOS!$I$261),2))</f>
        <v/>
      </c>
      <c r="BE58">
        <f>IF($A58="","",ROUND(SUMIFS(itens_Consumidos!$M$2:$M$200,itens_Consumidos!$A$2:$A$200,$A58),2))</f>
        <v/>
      </c>
      <c r="BF58">
        <f>IF(OR($A58="",S58=""),"",ROUND(MAX(S58-BE58,0),2))</f>
        <v/>
      </c>
      <c r="BG58">
        <f>IF(OR($A58="",S58="",MEMORIA_RESULTADOS!$I$262=""),"",ROUND(S58*$C58*(MEMORIA_RESULTADOS!$I$262-1),2))</f>
        <v/>
      </c>
      <c r="BH58">
        <f>IF(OR($A58="",BF58="",MEMORIA_RESULTADOS!$I$262=""),"",ROUND(BF58*$C58*(parametros!$F$6-MEMORIA_RESULTADOS!$I$262),2))</f>
        <v/>
      </c>
    </row>
    <row r="59">
      <c r="A59" s="86" t="n"/>
      <c r="B59" s="87">
        <f>IF(AND(LEN(TRIM($A59))=4,LEFT(TRIM($A59),1)="N",ISNUMBER(--MID(TRIM($A59),2,3)),ISERROR(FIND(".",$A59)),ISERROR(FIND(",",$A59)),ISERROR(FIND("-",$A59)),ISERROR(FIND("+",$A59)),ISERROR(SEARCH("E",$A59,2)),ISERROR(FIND(" ",TRIM($A59)))),0,"")</f>
        <v/>
      </c>
      <c r="C59" s="339" t="n"/>
      <c r="D59" s="335">
        <f>IF(AND(A59="",A58&lt;&gt;"",COUNTIF(A60:$A$200,"&lt;&gt;")=0),ROUND(SUMIF($A$2:A58,"&lt;&gt;",$D$2:D58),2),IF(OR(A59="",B59="",C59=""),"",ROUND(B59*C59,2)))</f>
        <v/>
      </c>
      <c r="E59" s="89" t="n"/>
      <c r="F59" s="335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 t="n"/>
      <c r="H59" s="335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 t="n"/>
      <c r="J59" s="335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 t="n"/>
      <c r="L59" s="335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>
        <f>IF(OR(posicao_contratual!J59="",posicao_contratual!N59=""),"",ROUND(MAX(posicao_contratual!J59+posicao_contratual!H59-posicao_contratual!N59,0),2))</f>
        <v/>
      </c>
      <c r="N59" s="335">
        <f>IF(AND(A59="",A58&lt;&gt;"",COUNTIF(A60:$A$200,"&lt;&gt;")=0),ROUND(SUMIF($A$2:A58,"&lt;&gt;",$N$2:N58),2),IF(OR(M59="",C59="",NOT(ISNUMBER($Z$3))),"",ROUND(M59*C59*$Z$3,2)))</f>
        <v/>
      </c>
      <c r="O59" s="90">
        <f>IF(OR(posicao_contratual!N59="",posicao_contratual!R59=""),"",ROUND(MAX(posicao_contratual!N59+posicao_contratual!L59-posicao_contratual!R59,0),2))</f>
        <v/>
      </c>
      <c r="P59" s="335">
        <f>IF(AND(A59="",A58&lt;&gt;"",COUNTIF(A60:$A$200,"&lt;&gt;")=0),ROUND(SUMIF($A$2:A58,"&lt;&gt;",$P$2:P58),2),IF(OR(O59="",C59="",NOT(ISNUMBER($Z$4))),"",ROUND(O59*C59*$Z$4,2)))</f>
        <v/>
      </c>
      <c r="Q59" s="90">
        <f>IF(OR(posicao_contratual!R59="",posicao_contratual!V59=""),"",ROUND(MAX(posicao_contratual!R59+posicao_contratual!P59-posicao_contratual!V59,0),2))</f>
        <v/>
      </c>
      <c r="R59" s="335">
        <f>IF(AND(A59="",A58&lt;&gt;"",COUNTIF(A60:$A$200,"&lt;&gt;")=0),ROUND(SUMIF($A$2:A58,"&lt;&gt;",$R$2:R58),2),IF(OR(Q59="",C59="",NOT(ISNUMBER($Z$5))),"",ROUND(Q59*C59*$Z$5,2)))</f>
        <v/>
      </c>
      <c r="S59" s="22" t="n"/>
      <c r="T59" s="340" t="n"/>
      <c r="U59" s="91">
        <f>IF(AND(A59="",A58&lt;&gt;"",COUNTIF(A60:$A$200,"&lt;&gt;")=0),"TOTAL",IF(A59="","",posicao_contratual!X59))</f>
        <v/>
      </c>
      <c r="V59" s="91">
        <f>IF(A59="","",posicao_contratual!X59)</f>
        <v/>
      </c>
      <c r="W59" s="14" t="n"/>
      <c r="X59" s="14" t="n"/>
      <c r="Y59" s="14" t="n"/>
      <c r="Z59" s="13" t="n"/>
      <c r="AA59" s="13" t="n"/>
      <c r="AB59" s="90">
        <f>IF(OR(A59="",posicao_contratual!E59="",posicao_contratual!J59=""),"",ROUND(MAX(posicao_contratual!E59-posicao_contratual!J59,0),2))</f>
        <v/>
      </c>
      <c r="AC59" s="335">
        <f>IF(AND(A59="",A58&lt;&gt;"",COUNTIF(A60:$A$200,"&lt;&gt;")=0),ROUND(SUMIF($A$2:A58,"&lt;&gt;",$AC$2:AC58),2),IF(OR(AB59="",C59="",NOT(ISNUMBER($Z$2))),"",ROUND(AB59*C59*$Z$2,2)))</f>
        <v/>
      </c>
      <c r="AD59" s="155">
        <f>IF(A59="","",posicao_contratual!E59)</f>
        <v/>
      </c>
      <c r="AE59" s="155">
        <f>IF(A59="","",posicao_contratual!I59)</f>
        <v/>
      </c>
      <c r="AF59" s="155">
        <f>IF(A59="","",posicao_contratual!M59)</f>
        <v/>
      </c>
      <c r="AG59" s="155">
        <f>IF(A59="","",posicao_contratual!Q59)</f>
        <v/>
      </c>
      <c r="AH59" s="155">
        <f>IF(A59="","",posicao_contratual!U59)</f>
        <v/>
      </c>
      <c r="AI59" s="155">
        <f>IF(A59="","",posicao_contratual!G59)</f>
        <v/>
      </c>
      <c r="AJ59" s="155">
        <f>IF(A59="","",posicao_contratual!K59)</f>
        <v/>
      </c>
      <c r="AK59" s="155">
        <f>IF(A59="","",posicao_contratual!O59)</f>
        <v/>
      </c>
      <c r="AL59" s="155">
        <f>IF(A59="","",posicao_contratual!S59)</f>
        <v/>
      </c>
      <c r="AM59" s="155">
        <f>IF(A59="","",posicao_contratual!W59)</f>
        <v/>
      </c>
      <c r="AN59" s="156">
        <f>IF(A59="","",posicao_contratual!X59)</f>
        <v/>
      </c>
      <c r="AO59">
        <f>IF($A59="","",ROUND(SUMIFS(itens_Consumidos!$E$2:$E$200,itens_Consumidos!$A$2:$A$200,$A59),2))</f>
        <v/>
      </c>
      <c r="AP59">
        <f>IF(OR($A59="",AB59=""),"",ROUND(MAX(AB59-AO59,0),2))</f>
        <v/>
      </c>
      <c r="AQ59">
        <f>IF(OR($A59="",AB59="",MEMORIA_RESULTADOS!$I$258=""),"",ROUND(AB59*$C59*(MEMORIA_RESULTADOS!$I$258-1),2))</f>
        <v/>
      </c>
      <c r="AR59">
        <f>IF(OR($A59="",AP59="",MEMORIA_RESULTADOS!$I$258=""),"",ROUND(AP59*$C59*(parametros!$F$2-MEMORIA_RESULTADOS!$I$258),2))</f>
        <v/>
      </c>
      <c r="AS59">
        <f>IF($A59="","",ROUND(SUMIFS(itens_Consumidos!$G$2:$G$200,itens_Consumidos!$A$2:$A$200,$A59),2))</f>
        <v/>
      </c>
      <c r="AT59">
        <f>IF(OR($A59="",M59=""),"",ROUND(MAX(M59-AS59,0),2))</f>
        <v/>
      </c>
      <c r="AU59">
        <f>IF(OR($A59="",M59="",MEMORIA_RESULTADOS!$I$259=""),"",ROUND(M59*$C59*(MEMORIA_RESULTADOS!$I$259-1),2))</f>
        <v/>
      </c>
      <c r="AV59">
        <f>IF(OR($A59="",AT59="",MEMORIA_RESULTADOS!$I$259=""),"",ROUND(AT59*$C59*(parametros!$F$3-MEMORIA_RESULTADOS!$I$259),2))</f>
        <v/>
      </c>
      <c r="AW59">
        <f>IF($A59="","",ROUND(SUMIFS(itens_Consumidos!$I$2:$I$200,itens_Consumidos!$A$2:$A$200,$A59),2))</f>
        <v/>
      </c>
      <c r="AX59">
        <f>IF(OR($A59="",O59=""),"",ROUND(MAX(O59-AW59,0),2))</f>
        <v/>
      </c>
      <c r="AY59">
        <f>IF(OR($A59="",O59="",MEMORIA_RESULTADOS!$I$260=""),"",ROUND(O59*$C59*(MEMORIA_RESULTADOS!$I$260-1),2))</f>
        <v/>
      </c>
      <c r="AZ59">
        <f>IF(OR($A59="",AX59="",MEMORIA_RESULTADOS!$I$260=""),"",ROUND(AX59*$C59*(parametros!$F$4-MEMORIA_RESULTADOS!$I$260),2))</f>
        <v/>
      </c>
      <c r="BA59">
        <f>IF($A59="","",ROUND(SUMIFS(itens_Consumidos!$K$2:$K$200,itens_Consumidos!$A$2:$A$200,$A59),2))</f>
        <v/>
      </c>
      <c r="BB59">
        <f>IF(OR($A59="",Q59=""),"",ROUND(MAX(Q59-BA59,0),2))</f>
        <v/>
      </c>
      <c r="BC59">
        <f>IF(OR($A59="",Q59="",MEMORIA_RESULTADOS!$I$261=""),"",ROUND(Q59*$C59*(MEMORIA_RESULTADOS!$I$261-1),2))</f>
        <v/>
      </c>
      <c r="BD59">
        <f>IF(OR($A59="",BB59="",MEMORIA_RESULTADOS!$I$261=""),"",ROUND(BB59*$C59*(parametros!$F$5-MEMORIA_RESULTADOS!$I$261),2))</f>
        <v/>
      </c>
      <c r="BE59">
        <f>IF($A59="","",ROUND(SUMIFS(itens_Consumidos!$M$2:$M$200,itens_Consumidos!$A$2:$A$200,$A59),2))</f>
        <v/>
      </c>
      <c r="BF59">
        <f>IF(OR($A59="",S59=""),"",ROUND(MAX(S59-BE59,0),2))</f>
        <v/>
      </c>
      <c r="BG59">
        <f>IF(OR($A59="",S59="",MEMORIA_RESULTADOS!$I$262=""),"",ROUND(S59*$C59*(MEMORIA_RESULTADOS!$I$262-1),2))</f>
        <v/>
      </c>
      <c r="BH59">
        <f>IF(OR($A59="",BF59="",MEMORIA_RESULTADOS!$I$262=""),"",ROUND(BF59*$C59*(parametros!$F$6-MEMORIA_RESULTADOS!$I$262),2))</f>
        <v/>
      </c>
    </row>
    <row r="60">
      <c r="A60" s="86" t="n"/>
      <c r="B60" s="87">
        <f>IF(AND(LEN(TRIM($A60))=4,LEFT(TRIM($A60),1)="N",ISNUMBER(--MID(TRIM($A60),2,3)),ISERROR(FIND(".",$A60)),ISERROR(FIND(",",$A60)),ISERROR(FIND("-",$A60)),ISERROR(FIND("+",$A60)),ISERROR(SEARCH("E",$A60,2)),ISERROR(FIND(" ",TRIM($A60)))),0,"")</f>
        <v/>
      </c>
      <c r="C60" s="339" t="n"/>
      <c r="D60" s="335">
        <f>IF(AND(A60="",A59&lt;&gt;"",COUNTIF(A61:$A$200,"&lt;&gt;")=0),ROUND(SUMIF($A$2:A59,"&lt;&gt;",$D$2:D59),2),IF(OR(A60="",B60="",C60=""),"",ROUND(B60*C60,2)))</f>
        <v/>
      </c>
      <c r="E60" s="89" t="n"/>
      <c r="F60" s="335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 t="n"/>
      <c r="H60" s="335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 t="n"/>
      <c r="J60" s="335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 t="n"/>
      <c r="L60" s="335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>
        <f>IF(OR(posicao_contratual!J60="",posicao_contratual!N60=""),"",ROUND(MAX(posicao_contratual!J60+posicao_contratual!H60-posicao_contratual!N60,0),2))</f>
        <v/>
      </c>
      <c r="N60" s="335">
        <f>IF(AND(A60="",A59&lt;&gt;"",COUNTIF(A61:$A$200,"&lt;&gt;")=0),ROUND(SUMIF($A$2:A59,"&lt;&gt;",$N$2:N59),2),IF(OR(M60="",C60="",NOT(ISNUMBER($Z$3))),"",ROUND(M60*C60*$Z$3,2)))</f>
        <v/>
      </c>
      <c r="O60" s="90">
        <f>IF(OR(posicao_contratual!N60="",posicao_contratual!R60=""),"",ROUND(MAX(posicao_contratual!N60+posicao_contratual!L60-posicao_contratual!R60,0),2))</f>
        <v/>
      </c>
      <c r="P60" s="335">
        <f>IF(AND(A60="",A59&lt;&gt;"",COUNTIF(A61:$A$200,"&lt;&gt;")=0),ROUND(SUMIF($A$2:A59,"&lt;&gt;",$P$2:P59),2),IF(OR(O60="",C60="",NOT(ISNUMBER($Z$4))),"",ROUND(O60*C60*$Z$4,2)))</f>
        <v/>
      </c>
      <c r="Q60" s="90">
        <f>IF(OR(posicao_contratual!R60="",posicao_contratual!V60=""),"",ROUND(MAX(posicao_contratual!R60+posicao_contratual!P60-posicao_contratual!V60,0),2))</f>
        <v/>
      </c>
      <c r="R60" s="335">
        <f>IF(AND(A60="",A59&lt;&gt;"",COUNTIF(A61:$A$200,"&lt;&gt;")=0),ROUND(SUMIF($A$2:A59,"&lt;&gt;",$R$2:R59),2),IF(OR(Q60="",C60="",NOT(ISNUMBER($Z$5))),"",ROUND(Q60*C60*$Z$5,2)))</f>
        <v/>
      </c>
      <c r="S60" s="22" t="n"/>
      <c r="T60" s="340" t="n"/>
      <c r="U60" s="91">
        <f>IF(AND(A60="",A59&lt;&gt;"",COUNTIF(A61:$A$200,"&lt;&gt;")=0),"TOTAL",IF(A60="","",posicao_contratual!X60))</f>
        <v/>
      </c>
      <c r="V60" s="91">
        <f>IF(A60="","",posicao_contratual!X60)</f>
        <v/>
      </c>
      <c r="W60" s="14" t="n"/>
      <c r="X60" s="14" t="n"/>
      <c r="Y60" s="14" t="n"/>
      <c r="Z60" s="13" t="n"/>
      <c r="AA60" s="13" t="n"/>
      <c r="AB60" s="90">
        <f>IF(OR(A60="",posicao_contratual!E60="",posicao_contratual!J60=""),"",ROUND(MAX(posicao_contratual!E60-posicao_contratual!J60,0),2))</f>
        <v/>
      </c>
      <c r="AC60" s="335">
        <f>IF(AND(A60="",A59&lt;&gt;"",COUNTIF(A61:$A$200,"&lt;&gt;")=0),ROUND(SUMIF($A$2:A59,"&lt;&gt;",$AC$2:AC59),2),IF(OR(AB60="",C60="",NOT(ISNUMBER($Z$2))),"",ROUND(AB60*C60*$Z$2,2)))</f>
        <v/>
      </c>
      <c r="AD60" s="155">
        <f>IF(A60="","",posicao_contratual!E60)</f>
        <v/>
      </c>
      <c r="AE60" s="155">
        <f>IF(A60="","",posicao_contratual!I60)</f>
        <v/>
      </c>
      <c r="AF60" s="155">
        <f>IF(A60="","",posicao_contratual!M60)</f>
        <v/>
      </c>
      <c r="AG60" s="155">
        <f>IF(A60="","",posicao_contratual!Q60)</f>
        <v/>
      </c>
      <c r="AH60" s="155">
        <f>IF(A60="","",posicao_contratual!U60)</f>
        <v/>
      </c>
      <c r="AI60" s="155">
        <f>IF(A60="","",posicao_contratual!G60)</f>
        <v/>
      </c>
      <c r="AJ60" s="155">
        <f>IF(A60="","",posicao_contratual!K60)</f>
        <v/>
      </c>
      <c r="AK60" s="155">
        <f>IF(A60="","",posicao_contratual!O60)</f>
        <v/>
      </c>
      <c r="AL60" s="155">
        <f>IF(A60="","",posicao_contratual!S60)</f>
        <v/>
      </c>
      <c r="AM60" s="155">
        <f>IF(A60="","",posicao_contratual!W60)</f>
        <v/>
      </c>
      <c r="AN60" s="156">
        <f>IF(A60="","",posicao_contratual!X60)</f>
        <v/>
      </c>
      <c r="AO60">
        <f>IF($A60="","",ROUND(SUMIFS(itens_Consumidos!$E$2:$E$200,itens_Consumidos!$A$2:$A$200,$A60),2))</f>
        <v/>
      </c>
      <c r="AP60">
        <f>IF(OR($A60="",AB60=""),"",ROUND(MAX(AB60-AO60,0),2))</f>
        <v/>
      </c>
      <c r="AQ60">
        <f>IF(OR($A60="",AB60="",MEMORIA_RESULTADOS!$I$258=""),"",ROUND(AB60*$C60*(MEMORIA_RESULTADOS!$I$258-1),2))</f>
        <v/>
      </c>
      <c r="AR60">
        <f>IF(OR($A60="",AP60="",MEMORIA_RESULTADOS!$I$258=""),"",ROUND(AP60*$C60*(parametros!$F$2-MEMORIA_RESULTADOS!$I$258),2))</f>
        <v/>
      </c>
      <c r="AS60">
        <f>IF($A60="","",ROUND(SUMIFS(itens_Consumidos!$G$2:$G$200,itens_Consumidos!$A$2:$A$200,$A60),2))</f>
        <v/>
      </c>
      <c r="AT60">
        <f>IF(OR($A60="",M60=""),"",ROUND(MAX(M60-AS60,0),2))</f>
        <v/>
      </c>
      <c r="AU60">
        <f>IF(OR($A60="",M60="",MEMORIA_RESULTADOS!$I$259=""),"",ROUND(M60*$C60*(MEMORIA_RESULTADOS!$I$259-1),2))</f>
        <v/>
      </c>
      <c r="AV60">
        <f>IF(OR($A60="",AT60="",MEMORIA_RESULTADOS!$I$259=""),"",ROUND(AT60*$C60*(parametros!$F$3-MEMORIA_RESULTADOS!$I$259),2))</f>
        <v/>
      </c>
      <c r="AW60">
        <f>IF($A60="","",ROUND(SUMIFS(itens_Consumidos!$I$2:$I$200,itens_Consumidos!$A$2:$A$200,$A60),2))</f>
        <v/>
      </c>
      <c r="AX60">
        <f>IF(OR($A60="",O60=""),"",ROUND(MAX(O60-AW60,0),2))</f>
        <v/>
      </c>
      <c r="AY60">
        <f>IF(OR($A60="",O60="",MEMORIA_RESULTADOS!$I$260=""),"",ROUND(O60*$C60*(MEMORIA_RESULTADOS!$I$260-1),2))</f>
        <v/>
      </c>
      <c r="AZ60">
        <f>IF(OR($A60="",AX60="",MEMORIA_RESULTADOS!$I$260=""),"",ROUND(AX60*$C60*(parametros!$F$4-MEMORIA_RESULTADOS!$I$260),2))</f>
        <v/>
      </c>
      <c r="BA60">
        <f>IF($A60="","",ROUND(SUMIFS(itens_Consumidos!$K$2:$K$200,itens_Consumidos!$A$2:$A$200,$A60),2))</f>
        <v/>
      </c>
      <c r="BB60">
        <f>IF(OR($A60="",Q60=""),"",ROUND(MAX(Q60-BA60,0),2))</f>
        <v/>
      </c>
      <c r="BC60">
        <f>IF(OR($A60="",Q60="",MEMORIA_RESULTADOS!$I$261=""),"",ROUND(Q60*$C60*(MEMORIA_RESULTADOS!$I$261-1),2))</f>
        <v/>
      </c>
      <c r="BD60">
        <f>IF(OR($A60="",BB60="",MEMORIA_RESULTADOS!$I$261=""),"",ROUND(BB60*$C60*(parametros!$F$5-MEMORIA_RESULTADOS!$I$261),2))</f>
        <v/>
      </c>
      <c r="BE60">
        <f>IF($A60="","",ROUND(SUMIFS(itens_Consumidos!$M$2:$M$200,itens_Consumidos!$A$2:$A$200,$A60),2))</f>
        <v/>
      </c>
      <c r="BF60">
        <f>IF(OR($A60="",S60=""),"",ROUND(MAX(S60-BE60,0),2))</f>
        <v/>
      </c>
      <c r="BG60">
        <f>IF(OR($A60="",S60="",MEMORIA_RESULTADOS!$I$262=""),"",ROUND(S60*$C60*(MEMORIA_RESULTADOS!$I$262-1),2))</f>
        <v/>
      </c>
      <c r="BH60">
        <f>IF(OR($A60="",BF60="",MEMORIA_RESULTADOS!$I$262=""),"",ROUND(BF60*$C60*(parametros!$F$6-MEMORIA_RESULTADOS!$I$262),2))</f>
        <v/>
      </c>
    </row>
    <row r="61">
      <c r="A61" s="86" t="n"/>
      <c r="B61" s="87">
        <f>IF(AND(LEN(TRIM($A61))=4,LEFT(TRIM($A61),1)="N",ISNUMBER(--MID(TRIM($A61),2,3)),ISERROR(FIND(".",$A61)),ISERROR(FIND(",",$A61)),ISERROR(FIND("-",$A61)),ISERROR(FIND("+",$A61)),ISERROR(SEARCH("E",$A61,2)),ISERROR(FIND(" ",TRIM($A61)))),0,"")</f>
        <v/>
      </c>
      <c r="C61" s="339" t="n"/>
      <c r="D61" s="335">
        <f>IF(AND(A61="",A60&lt;&gt;"",COUNTIF(A62:$A$200,"&lt;&gt;")=0),ROUND(SUMIF($A$2:A60,"&lt;&gt;",$D$2:D60),2),IF(OR(A61="",B61="",C61=""),"",ROUND(B61*C61,2)))</f>
        <v/>
      </c>
      <c r="E61" s="89" t="n"/>
      <c r="F61" s="335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 t="n"/>
      <c r="H61" s="335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 t="n"/>
      <c r="J61" s="335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 t="n"/>
      <c r="L61" s="335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>
        <f>IF(OR(posicao_contratual!J61="",posicao_contratual!N61=""),"",ROUND(MAX(posicao_contratual!J61+posicao_contratual!H61-posicao_contratual!N61,0),2))</f>
        <v/>
      </c>
      <c r="N61" s="335">
        <f>IF(AND(A61="",A60&lt;&gt;"",COUNTIF(A62:$A$200,"&lt;&gt;")=0),ROUND(SUMIF($A$2:A60,"&lt;&gt;",$N$2:N60),2),IF(OR(M61="",C61="",NOT(ISNUMBER($Z$3))),"",ROUND(M61*C61*$Z$3,2)))</f>
        <v/>
      </c>
      <c r="O61" s="90">
        <f>IF(OR(posicao_contratual!N61="",posicao_contratual!R61=""),"",ROUND(MAX(posicao_contratual!N61+posicao_contratual!L61-posicao_contratual!R61,0),2))</f>
        <v/>
      </c>
      <c r="P61" s="335">
        <f>IF(AND(A61="",A60&lt;&gt;"",COUNTIF(A62:$A$200,"&lt;&gt;")=0),ROUND(SUMIF($A$2:A60,"&lt;&gt;",$P$2:P60),2),IF(OR(O61="",C61="",NOT(ISNUMBER($Z$4))),"",ROUND(O61*C61*$Z$4,2)))</f>
        <v/>
      </c>
      <c r="Q61" s="90">
        <f>IF(OR(posicao_contratual!R61="",posicao_contratual!V61=""),"",ROUND(MAX(posicao_contratual!R61+posicao_contratual!P61-posicao_contratual!V61,0),2))</f>
        <v/>
      </c>
      <c r="R61" s="335">
        <f>IF(AND(A61="",A60&lt;&gt;"",COUNTIF(A62:$A$200,"&lt;&gt;")=0),ROUND(SUMIF($A$2:A60,"&lt;&gt;",$R$2:R60),2),IF(OR(Q61="",C61="",NOT(ISNUMBER($Z$5))),"",ROUND(Q61*C61*$Z$5,2)))</f>
        <v/>
      </c>
      <c r="S61" s="22" t="n"/>
      <c r="T61" s="340" t="n"/>
      <c r="U61" s="91">
        <f>IF(AND(A61="",A60&lt;&gt;"",COUNTIF(A62:$A$200,"&lt;&gt;")=0),"TOTAL",IF(A61="","",posicao_contratual!X61))</f>
        <v/>
      </c>
      <c r="V61" s="91">
        <f>IF(A61="","",posicao_contratual!X61)</f>
        <v/>
      </c>
      <c r="W61" s="14" t="n"/>
      <c r="X61" s="14" t="n"/>
      <c r="Y61" s="14" t="n"/>
      <c r="Z61" s="13" t="n"/>
      <c r="AA61" s="13" t="n"/>
      <c r="AB61" s="90">
        <f>IF(OR(A61="",posicao_contratual!E61="",posicao_contratual!J61=""),"",ROUND(MAX(posicao_contratual!E61-posicao_contratual!J61,0),2))</f>
        <v/>
      </c>
      <c r="AC61" s="335">
        <f>IF(AND(A61="",A60&lt;&gt;"",COUNTIF(A62:$A$200,"&lt;&gt;")=0),ROUND(SUMIF($A$2:A60,"&lt;&gt;",$AC$2:AC60),2),IF(OR(AB61="",C61="",NOT(ISNUMBER($Z$2))),"",ROUND(AB61*C61*$Z$2,2)))</f>
        <v/>
      </c>
      <c r="AD61" s="155">
        <f>IF(A61="","",posicao_contratual!E61)</f>
        <v/>
      </c>
      <c r="AE61" s="155">
        <f>IF(A61="","",posicao_contratual!I61)</f>
        <v/>
      </c>
      <c r="AF61" s="155">
        <f>IF(A61="","",posicao_contratual!M61)</f>
        <v/>
      </c>
      <c r="AG61" s="155">
        <f>IF(A61="","",posicao_contratual!Q61)</f>
        <v/>
      </c>
      <c r="AH61" s="155">
        <f>IF(A61="","",posicao_contratual!U61)</f>
        <v/>
      </c>
      <c r="AI61" s="155">
        <f>IF(A61="","",posicao_contratual!G61)</f>
        <v/>
      </c>
      <c r="AJ61" s="155">
        <f>IF(A61="","",posicao_contratual!K61)</f>
        <v/>
      </c>
      <c r="AK61" s="155">
        <f>IF(A61="","",posicao_contratual!O61)</f>
        <v/>
      </c>
      <c r="AL61" s="155">
        <f>IF(A61="","",posicao_contratual!S61)</f>
        <v/>
      </c>
      <c r="AM61" s="155">
        <f>IF(A61="","",posicao_contratual!W61)</f>
        <v/>
      </c>
      <c r="AN61" s="156">
        <f>IF(A61="","",posicao_contratual!X61)</f>
        <v/>
      </c>
      <c r="AO61">
        <f>IF($A61="","",ROUND(SUMIFS(itens_Consumidos!$E$2:$E$200,itens_Consumidos!$A$2:$A$200,$A61),2))</f>
        <v/>
      </c>
      <c r="AP61">
        <f>IF(OR($A61="",AB61=""),"",ROUND(MAX(AB61-AO61,0),2))</f>
        <v/>
      </c>
      <c r="AQ61">
        <f>IF(OR($A61="",AB61="",MEMORIA_RESULTADOS!$I$258=""),"",ROUND(AB61*$C61*(MEMORIA_RESULTADOS!$I$258-1),2))</f>
        <v/>
      </c>
      <c r="AR61">
        <f>IF(OR($A61="",AP61="",MEMORIA_RESULTADOS!$I$258=""),"",ROUND(AP61*$C61*(parametros!$F$2-MEMORIA_RESULTADOS!$I$258),2))</f>
        <v/>
      </c>
      <c r="AS61">
        <f>IF($A61="","",ROUND(SUMIFS(itens_Consumidos!$G$2:$G$200,itens_Consumidos!$A$2:$A$200,$A61),2))</f>
        <v/>
      </c>
      <c r="AT61">
        <f>IF(OR($A61="",M61=""),"",ROUND(MAX(M61-AS61,0),2))</f>
        <v/>
      </c>
      <c r="AU61">
        <f>IF(OR($A61="",M61="",MEMORIA_RESULTADOS!$I$259=""),"",ROUND(M61*$C61*(MEMORIA_RESULTADOS!$I$259-1),2))</f>
        <v/>
      </c>
      <c r="AV61">
        <f>IF(OR($A61="",AT61="",MEMORIA_RESULTADOS!$I$259=""),"",ROUND(AT61*$C61*(parametros!$F$3-MEMORIA_RESULTADOS!$I$259),2))</f>
        <v/>
      </c>
      <c r="AW61">
        <f>IF($A61="","",ROUND(SUMIFS(itens_Consumidos!$I$2:$I$200,itens_Consumidos!$A$2:$A$200,$A61),2))</f>
        <v/>
      </c>
      <c r="AX61">
        <f>IF(OR($A61="",O61=""),"",ROUND(MAX(O61-AW61,0),2))</f>
        <v/>
      </c>
      <c r="AY61">
        <f>IF(OR($A61="",O61="",MEMORIA_RESULTADOS!$I$260=""),"",ROUND(O61*$C61*(MEMORIA_RESULTADOS!$I$260-1),2))</f>
        <v/>
      </c>
      <c r="AZ61">
        <f>IF(OR($A61="",AX61="",MEMORIA_RESULTADOS!$I$260=""),"",ROUND(AX61*$C61*(parametros!$F$4-MEMORIA_RESULTADOS!$I$260),2))</f>
        <v/>
      </c>
      <c r="BA61">
        <f>IF($A61="","",ROUND(SUMIFS(itens_Consumidos!$K$2:$K$200,itens_Consumidos!$A$2:$A$200,$A61),2))</f>
        <v/>
      </c>
      <c r="BB61">
        <f>IF(OR($A61="",Q61=""),"",ROUND(MAX(Q61-BA61,0),2))</f>
        <v/>
      </c>
      <c r="BC61">
        <f>IF(OR($A61="",Q61="",MEMORIA_RESULTADOS!$I$261=""),"",ROUND(Q61*$C61*(MEMORIA_RESULTADOS!$I$261-1),2))</f>
        <v/>
      </c>
      <c r="BD61">
        <f>IF(OR($A61="",BB61="",MEMORIA_RESULTADOS!$I$261=""),"",ROUND(BB61*$C61*(parametros!$F$5-MEMORIA_RESULTADOS!$I$261),2))</f>
        <v/>
      </c>
      <c r="BE61">
        <f>IF($A61="","",ROUND(SUMIFS(itens_Consumidos!$M$2:$M$200,itens_Consumidos!$A$2:$A$200,$A61),2))</f>
        <v/>
      </c>
      <c r="BF61">
        <f>IF(OR($A61="",S61=""),"",ROUND(MAX(S61-BE61,0),2))</f>
        <v/>
      </c>
      <c r="BG61">
        <f>IF(OR($A61="",S61="",MEMORIA_RESULTADOS!$I$262=""),"",ROUND(S61*$C61*(MEMORIA_RESULTADOS!$I$262-1),2))</f>
        <v/>
      </c>
      <c r="BH61">
        <f>IF(OR($A61="",BF61="",MEMORIA_RESULTADOS!$I$262=""),"",ROUND(BF61*$C61*(parametros!$F$6-MEMORIA_RESULTADOS!$I$262),2))</f>
        <v/>
      </c>
    </row>
    <row r="62">
      <c r="A62" s="86" t="n"/>
      <c r="B62" s="87">
        <f>IF(AND(LEN(TRIM($A62))=4,LEFT(TRIM($A62),1)="N",ISNUMBER(--MID(TRIM($A62),2,3)),ISERROR(FIND(".",$A62)),ISERROR(FIND(",",$A62)),ISERROR(FIND("-",$A62)),ISERROR(FIND("+",$A62)),ISERROR(SEARCH("E",$A62,2)),ISERROR(FIND(" ",TRIM($A62)))),0,"")</f>
        <v/>
      </c>
      <c r="C62" s="339" t="n"/>
      <c r="D62" s="335">
        <f>IF(AND(A62="",A61&lt;&gt;"",COUNTIF(A63:$A$200,"&lt;&gt;")=0),ROUND(SUMIF($A$2:A61,"&lt;&gt;",$D$2:D61),2),IF(OR(A62="",B62="",C62=""),"",ROUND(B62*C62,2)))</f>
        <v/>
      </c>
      <c r="E62" s="89" t="n"/>
      <c r="F62" s="335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 t="n"/>
      <c r="H62" s="335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 t="n"/>
      <c r="J62" s="335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 t="n"/>
      <c r="L62" s="335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>
        <f>IF(OR(posicao_contratual!J62="",posicao_contratual!N62=""),"",ROUND(MAX(posicao_contratual!J62+posicao_contratual!H62-posicao_contratual!N62,0),2))</f>
        <v/>
      </c>
      <c r="N62" s="335">
        <f>IF(AND(A62="",A61&lt;&gt;"",COUNTIF(A63:$A$200,"&lt;&gt;")=0),ROUND(SUMIF($A$2:A61,"&lt;&gt;",$N$2:N61),2),IF(OR(M62="",C62="",NOT(ISNUMBER($Z$3))),"",ROUND(M62*C62*$Z$3,2)))</f>
        <v/>
      </c>
      <c r="O62" s="90">
        <f>IF(OR(posicao_contratual!N62="",posicao_contratual!R62=""),"",ROUND(MAX(posicao_contratual!N62+posicao_contratual!L62-posicao_contratual!R62,0),2))</f>
        <v/>
      </c>
      <c r="P62" s="335">
        <f>IF(AND(A62="",A61&lt;&gt;"",COUNTIF(A63:$A$200,"&lt;&gt;")=0),ROUND(SUMIF($A$2:A61,"&lt;&gt;",$P$2:P61),2),IF(OR(O62="",C62="",NOT(ISNUMBER($Z$4))),"",ROUND(O62*C62*$Z$4,2)))</f>
        <v/>
      </c>
      <c r="Q62" s="90">
        <f>IF(OR(posicao_contratual!R62="",posicao_contratual!V62=""),"",ROUND(MAX(posicao_contratual!R62+posicao_contratual!P62-posicao_contratual!V62,0),2))</f>
        <v/>
      </c>
      <c r="R62" s="335">
        <f>IF(AND(A62="",A61&lt;&gt;"",COUNTIF(A63:$A$200,"&lt;&gt;")=0),ROUND(SUMIF($A$2:A61,"&lt;&gt;",$R$2:R61),2),IF(OR(Q62="",C62="",NOT(ISNUMBER($Z$5))),"",ROUND(Q62*C62*$Z$5,2)))</f>
        <v/>
      </c>
      <c r="S62" s="22" t="n"/>
      <c r="T62" s="340" t="n"/>
      <c r="U62" s="91">
        <f>IF(AND(A62="",A61&lt;&gt;"",COUNTIF(A63:$A$200,"&lt;&gt;")=0),"TOTAL",IF(A62="","",posicao_contratual!X62))</f>
        <v/>
      </c>
      <c r="V62" s="91">
        <f>IF(A62="","",posicao_contratual!X62)</f>
        <v/>
      </c>
      <c r="W62" s="14" t="n"/>
      <c r="X62" s="14" t="n"/>
      <c r="Y62" s="14" t="n"/>
      <c r="Z62" s="13" t="n"/>
      <c r="AA62" s="13" t="n"/>
      <c r="AB62" s="90">
        <f>IF(OR(A62="",posicao_contratual!E62="",posicao_contratual!J62=""),"",ROUND(MAX(posicao_contratual!E62-posicao_contratual!J62,0),2))</f>
        <v/>
      </c>
      <c r="AC62" s="335">
        <f>IF(AND(A62="",A61&lt;&gt;"",COUNTIF(A63:$A$200,"&lt;&gt;")=0),ROUND(SUMIF($A$2:A61,"&lt;&gt;",$AC$2:AC61),2),IF(OR(AB62="",C62="",NOT(ISNUMBER($Z$2))),"",ROUND(AB62*C62*$Z$2,2)))</f>
        <v/>
      </c>
      <c r="AD62" s="155">
        <f>IF(A62="","",posicao_contratual!E62)</f>
        <v/>
      </c>
      <c r="AE62" s="155">
        <f>IF(A62="","",posicao_contratual!I62)</f>
        <v/>
      </c>
      <c r="AF62" s="155">
        <f>IF(A62="","",posicao_contratual!M62)</f>
        <v/>
      </c>
      <c r="AG62" s="155">
        <f>IF(A62="","",posicao_contratual!Q62)</f>
        <v/>
      </c>
      <c r="AH62" s="155">
        <f>IF(A62="","",posicao_contratual!U62)</f>
        <v/>
      </c>
      <c r="AI62" s="155">
        <f>IF(A62="","",posicao_contratual!G62)</f>
        <v/>
      </c>
      <c r="AJ62" s="155">
        <f>IF(A62="","",posicao_contratual!K62)</f>
        <v/>
      </c>
      <c r="AK62" s="155">
        <f>IF(A62="","",posicao_contratual!O62)</f>
        <v/>
      </c>
      <c r="AL62" s="155">
        <f>IF(A62="","",posicao_contratual!S62)</f>
        <v/>
      </c>
      <c r="AM62" s="155">
        <f>IF(A62="","",posicao_contratual!W62)</f>
        <v/>
      </c>
      <c r="AN62" s="156">
        <f>IF(A62="","",posicao_contratual!X62)</f>
        <v/>
      </c>
      <c r="AO62">
        <f>IF($A62="","",ROUND(SUMIFS(itens_Consumidos!$E$2:$E$200,itens_Consumidos!$A$2:$A$200,$A62),2))</f>
        <v/>
      </c>
      <c r="AP62">
        <f>IF(OR($A62="",AB62=""),"",ROUND(MAX(AB62-AO62,0),2))</f>
        <v/>
      </c>
      <c r="AQ62">
        <f>IF(OR($A62="",AB62="",MEMORIA_RESULTADOS!$I$258=""),"",ROUND(AB62*$C62*(MEMORIA_RESULTADOS!$I$258-1),2))</f>
        <v/>
      </c>
      <c r="AR62">
        <f>IF(OR($A62="",AP62="",MEMORIA_RESULTADOS!$I$258=""),"",ROUND(AP62*$C62*(parametros!$F$2-MEMORIA_RESULTADOS!$I$258),2))</f>
        <v/>
      </c>
      <c r="AS62">
        <f>IF($A62="","",ROUND(SUMIFS(itens_Consumidos!$G$2:$G$200,itens_Consumidos!$A$2:$A$200,$A62),2))</f>
        <v/>
      </c>
      <c r="AT62">
        <f>IF(OR($A62="",M62=""),"",ROUND(MAX(M62-AS62,0),2))</f>
        <v/>
      </c>
      <c r="AU62">
        <f>IF(OR($A62="",M62="",MEMORIA_RESULTADOS!$I$259=""),"",ROUND(M62*$C62*(MEMORIA_RESULTADOS!$I$259-1),2))</f>
        <v/>
      </c>
      <c r="AV62">
        <f>IF(OR($A62="",AT62="",MEMORIA_RESULTADOS!$I$259=""),"",ROUND(AT62*$C62*(parametros!$F$3-MEMORIA_RESULTADOS!$I$259),2))</f>
        <v/>
      </c>
      <c r="AW62">
        <f>IF($A62="","",ROUND(SUMIFS(itens_Consumidos!$I$2:$I$200,itens_Consumidos!$A$2:$A$200,$A62),2))</f>
        <v/>
      </c>
      <c r="AX62">
        <f>IF(OR($A62="",O62=""),"",ROUND(MAX(O62-AW62,0),2))</f>
        <v/>
      </c>
      <c r="AY62">
        <f>IF(OR($A62="",O62="",MEMORIA_RESULTADOS!$I$260=""),"",ROUND(O62*$C62*(MEMORIA_RESULTADOS!$I$260-1),2))</f>
        <v/>
      </c>
      <c r="AZ62">
        <f>IF(OR($A62="",AX62="",MEMORIA_RESULTADOS!$I$260=""),"",ROUND(AX62*$C62*(parametros!$F$4-MEMORIA_RESULTADOS!$I$260),2))</f>
        <v/>
      </c>
      <c r="BA62">
        <f>IF($A62="","",ROUND(SUMIFS(itens_Consumidos!$K$2:$K$200,itens_Consumidos!$A$2:$A$200,$A62),2))</f>
        <v/>
      </c>
      <c r="BB62">
        <f>IF(OR($A62="",Q62=""),"",ROUND(MAX(Q62-BA62,0),2))</f>
        <v/>
      </c>
      <c r="BC62">
        <f>IF(OR($A62="",Q62="",MEMORIA_RESULTADOS!$I$261=""),"",ROUND(Q62*$C62*(MEMORIA_RESULTADOS!$I$261-1),2))</f>
        <v/>
      </c>
      <c r="BD62">
        <f>IF(OR($A62="",BB62="",MEMORIA_RESULTADOS!$I$261=""),"",ROUND(BB62*$C62*(parametros!$F$5-MEMORIA_RESULTADOS!$I$261),2))</f>
        <v/>
      </c>
      <c r="BE62">
        <f>IF($A62="","",ROUND(SUMIFS(itens_Consumidos!$M$2:$M$200,itens_Consumidos!$A$2:$A$200,$A62),2))</f>
        <v/>
      </c>
      <c r="BF62">
        <f>IF(OR($A62="",S62=""),"",ROUND(MAX(S62-BE62,0),2))</f>
        <v/>
      </c>
      <c r="BG62">
        <f>IF(OR($A62="",S62="",MEMORIA_RESULTADOS!$I$262=""),"",ROUND(S62*$C62*(MEMORIA_RESULTADOS!$I$262-1),2))</f>
        <v/>
      </c>
      <c r="BH62">
        <f>IF(OR($A62="",BF62="",MEMORIA_RESULTADOS!$I$262=""),"",ROUND(BF62*$C62*(parametros!$F$6-MEMORIA_RESULTADOS!$I$262),2))</f>
        <v/>
      </c>
    </row>
    <row r="63">
      <c r="A63" s="86" t="n"/>
      <c r="B63" s="87">
        <f>IF(AND(LEN(TRIM($A63))=4,LEFT(TRIM($A63),1)="N",ISNUMBER(--MID(TRIM($A63),2,3)),ISERROR(FIND(".",$A63)),ISERROR(FIND(",",$A63)),ISERROR(FIND("-",$A63)),ISERROR(FIND("+",$A63)),ISERROR(SEARCH("E",$A63,2)),ISERROR(FIND(" ",TRIM($A63)))),0,"")</f>
        <v/>
      </c>
      <c r="C63" s="339" t="n"/>
      <c r="D63" s="335">
        <f>IF(AND(A63="",A62&lt;&gt;"",COUNTIF(A64:$A$200,"&lt;&gt;")=0),ROUND(SUMIF($A$2:A62,"&lt;&gt;",$D$2:D62),2),IF(OR(A63="",B63="",C63=""),"",ROUND(B63*C63,2)))</f>
        <v/>
      </c>
      <c r="E63" s="89" t="n"/>
      <c r="F63" s="335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 t="n"/>
      <c r="H63" s="335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 t="n"/>
      <c r="J63" s="335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 t="n"/>
      <c r="L63" s="335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>
        <f>IF(OR(posicao_contratual!J63="",posicao_contratual!N63=""),"",ROUND(MAX(posicao_contratual!J63+posicao_contratual!H63-posicao_contratual!N63,0),2))</f>
        <v/>
      </c>
      <c r="N63" s="335">
        <f>IF(AND(A63="",A62&lt;&gt;"",COUNTIF(A64:$A$200,"&lt;&gt;")=0),ROUND(SUMIF($A$2:A62,"&lt;&gt;",$N$2:N62),2),IF(OR(M63="",C63="",NOT(ISNUMBER($Z$3))),"",ROUND(M63*C63*$Z$3,2)))</f>
        <v/>
      </c>
      <c r="O63" s="90">
        <f>IF(OR(posicao_contratual!N63="",posicao_contratual!R63=""),"",ROUND(MAX(posicao_contratual!N63+posicao_contratual!L63-posicao_contratual!R63,0),2))</f>
        <v/>
      </c>
      <c r="P63" s="335">
        <f>IF(AND(A63="",A62&lt;&gt;"",COUNTIF(A64:$A$200,"&lt;&gt;")=0),ROUND(SUMIF($A$2:A62,"&lt;&gt;",$P$2:P62),2),IF(OR(O63="",C63="",NOT(ISNUMBER($Z$4))),"",ROUND(O63*C63*$Z$4,2)))</f>
        <v/>
      </c>
      <c r="Q63" s="90">
        <f>IF(OR(posicao_contratual!R63="",posicao_contratual!V63=""),"",ROUND(MAX(posicao_contratual!R63+posicao_contratual!P63-posicao_contratual!V63,0),2))</f>
        <v/>
      </c>
      <c r="R63" s="335">
        <f>IF(AND(A63="",A62&lt;&gt;"",COUNTIF(A64:$A$200,"&lt;&gt;")=0),ROUND(SUMIF($A$2:A62,"&lt;&gt;",$R$2:R62),2),IF(OR(Q63="",C63="",NOT(ISNUMBER($Z$5))),"",ROUND(Q63*C63*$Z$5,2)))</f>
        <v/>
      </c>
      <c r="S63" s="22" t="n"/>
      <c r="T63" s="340" t="n"/>
      <c r="U63" s="91">
        <f>IF(AND(A63="",A62&lt;&gt;"",COUNTIF(A64:$A$200,"&lt;&gt;")=0),"TOTAL",IF(A63="","",posicao_contratual!X63))</f>
        <v/>
      </c>
      <c r="V63" s="91">
        <f>IF(A63="","",posicao_contratual!X63)</f>
        <v/>
      </c>
      <c r="W63" s="14" t="n"/>
      <c r="X63" s="14" t="n"/>
      <c r="Y63" s="14" t="n"/>
      <c r="Z63" s="13" t="n"/>
      <c r="AA63" s="13" t="n"/>
      <c r="AB63" s="90">
        <f>IF(OR(A63="",posicao_contratual!E63="",posicao_contratual!J63=""),"",ROUND(MAX(posicao_contratual!E63-posicao_contratual!J63,0),2))</f>
        <v/>
      </c>
      <c r="AC63" s="335">
        <f>IF(AND(A63="",A62&lt;&gt;"",COUNTIF(A64:$A$200,"&lt;&gt;")=0),ROUND(SUMIF($A$2:A62,"&lt;&gt;",$AC$2:AC62),2),IF(OR(AB63="",C63="",NOT(ISNUMBER($Z$2))),"",ROUND(AB63*C63*$Z$2,2)))</f>
        <v/>
      </c>
      <c r="AD63" s="155">
        <f>IF(A63="","",posicao_contratual!E63)</f>
        <v/>
      </c>
      <c r="AE63" s="155">
        <f>IF(A63="","",posicao_contratual!I63)</f>
        <v/>
      </c>
      <c r="AF63" s="155">
        <f>IF(A63="","",posicao_contratual!M63)</f>
        <v/>
      </c>
      <c r="AG63" s="155">
        <f>IF(A63="","",posicao_contratual!Q63)</f>
        <v/>
      </c>
      <c r="AH63" s="155">
        <f>IF(A63="","",posicao_contratual!U63)</f>
        <v/>
      </c>
      <c r="AI63" s="155">
        <f>IF(A63="","",posicao_contratual!G63)</f>
        <v/>
      </c>
      <c r="AJ63" s="155">
        <f>IF(A63="","",posicao_contratual!K63)</f>
        <v/>
      </c>
      <c r="AK63" s="155">
        <f>IF(A63="","",posicao_contratual!O63)</f>
        <v/>
      </c>
      <c r="AL63" s="155">
        <f>IF(A63="","",posicao_contratual!S63)</f>
        <v/>
      </c>
      <c r="AM63" s="155">
        <f>IF(A63="","",posicao_contratual!W63)</f>
        <v/>
      </c>
      <c r="AN63" s="156">
        <f>IF(A63="","",posicao_contratual!X63)</f>
        <v/>
      </c>
      <c r="AO63">
        <f>IF($A63="","",ROUND(SUMIFS(itens_Consumidos!$E$2:$E$200,itens_Consumidos!$A$2:$A$200,$A63),2))</f>
        <v/>
      </c>
      <c r="AP63">
        <f>IF(OR($A63="",AB63=""),"",ROUND(MAX(AB63-AO63,0),2))</f>
        <v/>
      </c>
      <c r="AQ63">
        <f>IF(OR($A63="",AB63="",MEMORIA_RESULTADOS!$I$258=""),"",ROUND(AB63*$C63*(MEMORIA_RESULTADOS!$I$258-1),2))</f>
        <v/>
      </c>
      <c r="AR63">
        <f>IF(OR($A63="",AP63="",MEMORIA_RESULTADOS!$I$258=""),"",ROUND(AP63*$C63*(parametros!$F$2-MEMORIA_RESULTADOS!$I$258),2))</f>
        <v/>
      </c>
      <c r="AS63">
        <f>IF($A63="","",ROUND(SUMIFS(itens_Consumidos!$G$2:$G$200,itens_Consumidos!$A$2:$A$200,$A63),2))</f>
        <v/>
      </c>
      <c r="AT63">
        <f>IF(OR($A63="",M63=""),"",ROUND(MAX(M63-AS63,0),2))</f>
        <v/>
      </c>
      <c r="AU63">
        <f>IF(OR($A63="",M63="",MEMORIA_RESULTADOS!$I$259=""),"",ROUND(M63*$C63*(MEMORIA_RESULTADOS!$I$259-1),2))</f>
        <v/>
      </c>
      <c r="AV63">
        <f>IF(OR($A63="",AT63="",MEMORIA_RESULTADOS!$I$259=""),"",ROUND(AT63*$C63*(parametros!$F$3-MEMORIA_RESULTADOS!$I$259),2))</f>
        <v/>
      </c>
      <c r="AW63">
        <f>IF($A63="","",ROUND(SUMIFS(itens_Consumidos!$I$2:$I$200,itens_Consumidos!$A$2:$A$200,$A63),2))</f>
        <v/>
      </c>
      <c r="AX63">
        <f>IF(OR($A63="",O63=""),"",ROUND(MAX(O63-AW63,0),2))</f>
        <v/>
      </c>
      <c r="AY63">
        <f>IF(OR($A63="",O63="",MEMORIA_RESULTADOS!$I$260=""),"",ROUND(O63*$C63*(MEMORIA_RESULTADOS!$I$260-1),2))</f>
        <v/>
      </c>
      <c r="AZ63">
        <f>IF(OR($A63="",AX63="",MEMORIA_RESULTADOS!$I$260=""),"",ROUND(AX63*$C63*(parametros!$F$4-MEMORIA_RESULTADOS!$I$260),2))</f>
        <v/>
      </c>
      <c r="BA63">
        <f>IF($A63="","",ROUND(SUMIFS(itens_Consumidos!$K$2:$K$200,itens_Consumidos!$A$2:$A$200,$A63),2))</f>
        <v/>
      </c>
      <c r="BB63">
        <f>IF(OR($A63="",Q63=""),"",ROUND(MAX(Q63-BA63,0),2))</f>
        <v/>
      </c>
      <c r="BC63">
        <f>IF(OR($A63="",Q63="",MEMORIA_RESULTADOS!$I$261=""),"",ROUND(Q63*$C63*(MEMORIA_RESULTADOS!$I$261-1),2))</f>
        <v/>
      </c>
      <c r="BD63">
        <f>IF(OR($A63="",BB63="",MEMORIA_RESULTADOS!$I$261=""),"",ROUND(BB63*$C63*(parametros!$F$5-MEMORIA_RESULTADOS!$I$261),2))</f>
        <v/>
      </c>
      <c r="BE63">
        <f>IF($A63="","",ROUND(SUMIFS(itens_Consumidos!$M$2:$M$200,itens_Consumidos!$A$2:$A$200,$A63),2))</f>
        <v/>
      </c>
      <c r="BF63">
        <f>IF(OR($A63="",S63=""),"",ROUND(MAX(S63-BE63,0),2))</f>
        <v/>
      </c>
      <c r="BG63">
        <f>IF(OR($A63="",S63="",MEMORIA_RESULTADOS!$I$262=""),"",ROUND(S63*$C63*(MEMORIA_RESULTADOS!$I$262-1),2))</f>
        <v/>
      </c>
      <c r="BH63">
        <f>IF(OR($A63="",BF63="",MEMORIA_RESULTADOS!$I$262=""),"",ROUND(BF63*$C63*(parametros!$F$6-MEMORIA_RESULTADOS!$I$262),2))</f>
        <v/>
      </c>
    </row>
    <row r="64">
      <c r="A64" s="86" t="n"/>
      <c r="B64" s="87">
        <f>IF(AND(LEN(TRIM($A64))=4,LEFT(TRIM($A64),1)="N",ISNUMBER(--MID(TRIM($A64),2,3)),ISERROR(FIND(".",$A64)),ISERROR(FIND(",",$A64)),ISERROR(FIND("-",$A64)),ISERROR(FIND("+",$A64)),ISERROR(SEARCH("E",$A64,2)),ISERROR(FIND(" ",TRIM($A64)))),0,"")</f>
        <v/>
      </c>
      <c r="C64" s="339" t="n"/>
      <c r="D64" s="335">
        <f>IF(AND(A64="",A63&lt;&gt;"",COUNTIF(A65:$A$200,"&lt;&gt;")=0),ROUND(SUMIF($A$2:A63,"&lt;&gt;",$D$2:D63),2),IF(OR(A64="",B64="",C64=""),"",ROUND(B64*C64,2)))</f>
        <v/>
      </c>
      <c r="E64" s="89" t="n"/>
      <c r="F64" s="335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 t="n"/>
      <c r="H64" s="335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 t="n"/>
      <c r="J64" s="335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 t="n"/>
      <c r="L64" s="335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>
        <f>IF(OR(posicao_contratual!J64="",posicao_contratual!N64=""),"",ROUND(MAX(posicao_contratual!J64+posicao_contratual!H64-posicao_contratual!N64,0),2))</f>
        <v/>
      </c>
      <c r="N64" s="335">
        <f>IF(AND(A64="",A63&lt;&gt;"",COUNTIF(A65:$A$200,"&lt;&gt;")=0),ROUND(SUMIF($A$2:A63,"&lt;&gt;",$N$2:N63),2),IF(OR(M64="",C64="",NOT(ISNUMBER($Z$3))),"",ROUND(M64*C64*$Z$3,2)))</f>
        <v/>
      </c>
      <c r="O64" s="90">
        <f>IF(OR(posicao_contratual!N64="",posicao_contratual!R64=""),"",ROUND(MAX(posicao_contratual!N64+posicao_contratual!L64-posicao_contratual!R64,0),2))</f>
        <v/>
      </c>
      <c r="P64" s="335">
        <f>IF(AND(A64="",A63&lt;&gt;"",COUNTIF(A65:$A$200,"&lt;&gt;")=0),ROUND(SUMIF($A$2:A63,"&lt;&gt;",$P$2:P63),2),IF(OR(O64="",C64="",NOT(ISNUMBER($Z$4))),"",ROUND(O64*C64*$Z$4,2)))</f>
        <v/>
      </c>
      <c r="Q64" s="90">
        <f>IF(OR(posicao_contratual!R64="",posicao_contratual!V64=""),"",ROUND(MAX(posicao_contratual!R64+posicao_contratual!P64-posicao_contratual!V64,0),2))</f>
        <v/>
      </c>
      <c r="R64" s="335">
        <f>IF(AND(A64="",A63&lt;&gt;"",COUNTIF(A65:$A$200,"&lt;&gt;")=0),ROUND(SUMIF($A$2:A63,"&lt;&gt;",$R$2:R63),2),IF(OR(Q64="",C64="",NOT(ISNUMBER($Z$5))),"",ROUND(Q64*C64*$Z$5,2)))</f>
        <v/>
      </c>
      <c r="S64" s="22" t="n"/>
      <c r="T64" s="340" t="n"/>
      <c r="U64" s="91">
        <f>IF(AND(A64="",A63&lt;&gt;"",COUNTIF(A65:$A$200,"&lt;&gt;")=0),"TOTAL",IF(A64="","",posicao_contratual!X64))</f>
        <v/>
      </c>
      <c r="V64" s="91">
        <f>IF(A64="","",posicao_contratual!X64)</f>
        <v/>
      </c>
      <c r="W64" s="14" t="n"/>
      <c r="X64" s="14" t="n"/>
      <c r="Y64" s="14" t="n"/>
      <c r="Z64" s="13" t="n"/>
      <c r="AA64" s="13" t="n"/>
      <c r="AB64" s="90">
        <f>IF(OR(A64="",posicao_contratual!E64="",posicao_contratual!J64=""),"",ROUND(MAX(posicao_contratual!E64-posicao_contratual!J64,0),2))</f>
        <v/>
      </c>
      <c r="AC64" s="335">
        <f>IF(AND(A64="",A63&lt;&gt;"",COUNTIF(A65:$A$200,"&lt;&gt;")=0),ROUND(SUMIF($A$2:A63,"&lt;&gt;",$AC$2:AC63),2),IF(OR(AB64="",C64="",NOT(ISNUMBER($Z$2))),"",ROUND(AB64*C64*$Z$2,2)))</f>
        <v/>
      </c>
      <c r="AD64" s="155">
        <f>IF(A64="","",posicao_contratual!E64)</f>
        <v/>
      </c>
      <c r="AE64" s="155">
        <f>IF(A64="","",posicao_contratual!I64)</f>
        <v/>
      </c>
      <c r="AF64" s="155">
        <f>IF(A64="","",posicao_contratual!M64)</f>
        <v/>
      </c>
      <c r="AG64" s="155">
        <f>IF(A64="","",posicao_contratual!Q64)</f>
        <v/>
      </c>
      <c r="AH64" s="155">
        <f>IF(A64="","",posicao_contratual!U64)</f>
        <v/>
      </c>
      <c r="AI64" s="155">
        <f>IF(A64="","",posicao_contratual!G64)</f>
        <v/>
      </c>
      <c r="AJ64" s="155">
        <f>IF(A64="","",posicao_contratual!K64)</f>
        <v/>
      </c>
      <c r="AK64" s="155">
        <f>IF(A64="","",posicao_contratual!O64)</f>
        <v/>
      </c>
      <c r="AL64" s="155">
        <f>IF(A64="","",posicao_contratual!S64)</f>
        <v/>
      </c>
      <c r="AM64" s="155">
        <f>IF(A64="","",posicao_contratual!W64)</f>
        <v/>
      </c>
      <c r="AN64" s="156">
        <f>IF(A64="","",posicao_contratual!X64)</f>
        <v/>
      </c>
      <c r="AO64">
        <f>IF($A64="","",ROUND(SUMIFS(itens_Consumidos!$E$2:$E$200,itens_Consumidos!$A$2:$A$200,$A64),2))</f>
        <v/>
      </c>
      <c r="AP64">
        <f>IF(OR($A64="",AB64=""),"",ROUND(MAX(AB64-AO64,0),2))</f>
        <v/>
      </c>
      <c r="AQ64">
        <f>IF(OR($A64="",AB64="",MEMORIA_RESULTADOS!$I$258=""),"",ROUND(AB64*$C64*(MEMORIA_RESULTADOS!$I$258-1),2))</f>
        <v/>
      </c>
      <c r="AR64">
        <f>IF(OR($A64="",AP64="",MEMORIA_RESULTADOS!$I$258=""),"",ROUND(AP64*$C64*(parametros!$F$2-MEMORIA_RESULTADOS!$I$258),2))</f>
        <v/>
      </c>
      <c r="AS64">
        <f>IF($A64="","",ROUND(SUMIFS(itens_Consumidos!$G$2:$G$200,itens_Consumidos!$A$2:$A$200,$A64),2))</f>
        <v/>
      </c>
      <c r="AT64">
        <f>IF(OR($A64="",M64=""),"",ROUND(MAX(M64-AS64,0),2))</f>
        <v/>
      </c>
      <c r="AU64">
        <f>IF(OR($A64="",M64="",MEMORIA_RESULTADOS!$I$259=""),"",ROUND(M64*$C64*(MEMORIA_RESULTADOS!$I$259-1),2))</f>
        <v/>
      </c>
      <c r="AV64">
        <f>IF(OR($A64="",AT64="",MEMORIA_RESULTADOS!$I$259=""),"",ROUND(AT64*$C64*(parametros!$F$3-MEMORIA_RESULTADOS!$I$259),2))</f>
        <v/>
      </c>
      <c r="AW64">
        <f>IF($A64="","",ROUND(SUMIFS(itens_Consumidos!$I$2:$I$200,itens_Consumidos!$A$2:$A$200,$A64),2))</f>
        <v/>
      </c>
      <c r="AX64">
        <f>IF(OR($A64="",O64=""),"",ROUND(MAX(O64-AW64,0),2))</f>
        <v/>
      </c>
      <c r="AY64">
        <f>IF(OR($A64="",O64="",MEMORIA_RESULTADOS!$I$260=""),"",ROUND(O64*$C64*(MEMORIA_RESULTADOS!$I$260-1),2))</f>
        <v/>
      </c>
      <c r="AZ64">
        <f>IF(OR($A64="",AX64="",MEMORIA_RESULTADOS!$I$260=""),"",ROUND(AX64*$C64*(parametros!$F$4-MEMORIA_RESULTADOS!$I$260),2))</f>
        <v/>
      </c>
      <c r="BA64">
        <f>IF($A64="","",ROUND(SUMIFS(itens_Consumidos!$K$2:$K$200,itens_Consumidos!$A$2:$A$200,$A64),2))</f>
        <v/>
      </c>
      <c r="BB64">
        <f>IF(OR($A64="",Q64=""),"",ROUND(MAX(Q64-BA64,0),2))</f>
        <v/>
      </c>
      <c r="BC64">
        <f>IF(OR($A64="",Q64="",MEMORIA_RESULTADOS!$I$261=""),"",ROUND(Q64*$C64*(MEMORIA_RESULTADOS!$I$261-1),2))</f>
        <v/>
      </c>
      <c r="BD64">
        <f>IF(OR($A64="",BB64="",MEMORIA_RESULTADOS!$I$261=""),"",ROUND(BB64*$C64*(parametros!$F$5-MEMORIA_RESULTADOS!$I$261),2))</f>
        <v/>
      </c>
      <c r="BE64">
        <f>IF($A64="","",ROUND(SUMIFS(itens_Consumidos!$M$2:$M$200,itens_Consumidos!$A$2:$A$200,$A64),2))</f>
        <v/>
      </c>
      <c r="BF64">
        <f>IF(OR($A64="",S64=""),"",ROUND(MAX(S64-BE64,0),2))</f>
        <v/>
      </c>
      <c r="BG64">
        <f>IF(OR($A64="",S64="",MEMORIA_RESULTADOS!$I$262=""),"",ROUND(S64*$C64*(MEMORIA_RESULTADOS!$I$262-1),2))</f>
        <v/>
      </c>
      <c r="BH64">
        <f>IF(OR($A64="",BF64="",MEMORIA_RESULTADOS!$I$262=""),"",ROUND(BF64*$C64*(parametros!$F$6-MEMORIA_RESULTADOS!$I$262),2))</f>
        <v/>
      </c>
    </row>
    <row r="65">
      <c r="A65" s="86" t="n"/>
      <c r="B65" s="87">
        <f>IF(AND(LEN(TRIM($A65))=4,LEFT(TRIM($A65),1)="N",ISNUMBER(--MID(TRIM($A65),2,3)),ISERROR(FIND(".",$A65)),ISERROR(FIND(",",$A65)),ISERROR(FIND("-",$A65)),ISERROR(FIND("+",$A65)),ISERROR(SEARCH("E",$A65,2)),ISERROR(FIND(" ",TRIM($A65)))),0,"")</f>
        <v/>
      </c>
      <c r="C65" s="339" t="n"/>
      <c r="D65" s="335">
        <f>IF(AND(A65="",A64&lt;&gt;"",COUNTIF(A66:$A$200,"&lt;&gt;")=0),ROUND(SUMIF($A$2:A64,"&lt;&gt;",$D$2:D64),2),IF(OR(A65="",B65="",C65=""),"",ROUND(B65*C65,2)))</f>
        <v/>
      </c>
      <c r="E65" s="89" t="n"/>
      <c r="F65" s="335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 t="n"/>
      <c r="H65" s="335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 t="n"/>
      <c r="J65" s="335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 t="n"/>
      <c r="L65" s="335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>
        <f>IF(OR(posicao_contratual!J65="",posicao_contratual!N65=""),"",ROUND(MAX(posicao_contratual!J65+posicao_contratual!H65-posicao_contratual!N65,0),2))</f>
        <v/>
      </c>
      <c r="N65" s="335">
        <f>IF(AND(A65="",A64&lt;&gt;"",COUNTIF(A66:$A$200,"&lt;&gt;")=0),ROUND(SUMIF($A$2:A64,"&lt;&gt;",$N$2:N64),2),IF(OR(M65="",C65="",NOT(ISNUMBER($Z$3))),"",ROUND(M65*C65*$Z$3,2)))</f>
        <v/>
      </c>
      <c r="O65" s="90">
        <f>IF(OR(posicao_contratual!N65="",posicao_contratual!R65=""),"",ROUND(MAX(posicao_contratual!N65+posicao_contratual!L65-posicao_contratual!R65,0),2))</f>
        <v/>
      </c>
      <c r="P65" s="335">
        <f>IF(AND(A65="",A64&lt;&gt;"",COUNTIF(A66:$A$200,"&lt;&gt;")=0),ROUND(SUMIF($A$2:A64,"&lt;&gt;",$P$2:P64),2),IF(OR(O65="",C65="",NOT(ISNUMBER($Z$4))),"",ROUND(O65*C65*$Z$4,2)))</f>
        <v/>
      </c>
      <c r="Q65" s="90">
        <f>IF(OR(posicao_contratual!R65="",posicao_contratual!V65=""),"",ROUND(MAX(posicao_contratual!R65+posicao_contratual!P65-posicao_contratual!V65,0),2))</f>
        <v/>
      </c>
      <c r="R65" s="335">
        <f>IF(AND(A65="",A64&lt;&gt;"",COUNTIF(A66:$A$200,"&lt;&gt;")=0),ROUND(SUMIF($A$2:A64,"&lt;&gt;",$R$2:R64),2),IF(OR(Q65="",C65="",NOT(ISNUMBER($Z$5))),"",ROUND(Q65*C65*$Z$5,2)))</f>
        <v/>
      </c>
      <c r="S65" s="22" t="n"/>
      <c r="T65" s="340" t="n"/>
      <c r="U65" s="91">
        <f>IF(AND(A65="",A64&lt;&gt;"",COUNTIF(A66:$A$200,"&lt;&gt;")=0),"TOTAL",IF(A65="","",posicao_contratual!X65))</f>
        <v/>
      </c>
      <c r="V65" s="91">
        <f>IF(A65="","",posicao_contratual!X65)</f>
        <v/>
      </c>
      <c r="W65" s="14" t="n"/>
      <c r="X65" s="14" t="n"/>
      <c r="Y65" s="14" t="n"/>
      <c r="Z65" s="13" t="n"/>
      <c r="AA65" s="13" t="n"/>
      <c r="AB65" s="90">
        <f>IF(OR(A65="",posicao_contratual!E65="",posicao_contratual!J65=""),"",ROUND(MAX(posicao_contratual!E65-posicao_contratual!J65,0),2))</f>
        <v/>
      </c>
      <c r="AC65" s="335">
        <f>IF(AND(A65="",A64&lt;&gt;"",COUNTIF(A66:$A$200,"&lt;&gt;")=0),ROUND(SUMIF($A$2:A64,"&lt;&gt;",$AC$2:AC64),2),IF(OR(AB65="",C65="",NOT(ISNUMBER($Z$2))),"",ROUND(AB65*C65*$Z$2,2)))</f>
        <v/>
      </c>
      <c r="AD65" s="155">
        <f>IF(A65="","",posicao_contratual!E65)</f>
        <v/>
      </c>
      <c r="AE65" s="155">
        <f>IF(A65="","",posicao_contratual!I65)</f>
        <v/>
      </c>
      <c r="AF65" s="155">
        <f>IF(A65="","",posicao_contratual!M65)</f>
        <v/>
      </c>
      <c r="AG65" s="155">
        <f>IF(A65="","",posicao_contratual!Q65)</f>
        <v/>
      </c>
      <c r="AH65" s="155">
        <f>IF(A65="","",posicao_contratual!U65)</f>
        <v/>
      </c>
      <c r="AI65" s="155">
        <f>IF(A65="","",posicao_contratual!G65)</f>
        <v/>
      </c>
      <c r="AJ65" s="155">
        <f>IF(A65="","",posicao_contratual!K65)</f>
        <v/>
      </c>
      <c r="AK65" s="155">
        <f>IF(A65="","",posicao_contratual!O65)</f>
        <v/>
      </c>
      <c r="AL65" s="155">
        <f>IF(A65="","",posicao_contratual!S65)</f>
        <v/>
      </c>
      <c r="AM65" s="155">
        <f>IF(A65="","",posicao_contratual!W65)</f>
        <v/>
      </c>
      <c r="AN65" s="156">
        <f>IF(A65="","",posicao_contratual!X65)</f>
        <v/>
      </c>
      <c r="AO65">
        <f>IF($A65="","",ROUND(SUMIFS(itens_Consumidos!$E$2:$E$200,itens_Consumidos!$A$2:$A$200,$A65),2))</f>
        <v/>
      </c>
      <c r="AP65">
        <f>IF(OR($A65="",AB65=""),"",ROUND(MAX(AB65-AO65,0),2))</f>
        <v/>
      </c>
      <c r="AQ65">
        <f>IF(OR($A65="",AB65="",MEMORIA_RESULTADOS!$I$258=""),"",ROUND(AB65*$C65*(MEMORIA_RESULTADOS!$I$258-1),2))</f>
        <v/>
      </c>
      <c r="AR65">
        <f>IF(OR($A65="",AP65="",MEMORIA_RESULTADOS!$I$258=""),"",ROUND(AP65*$C65*(parametros!$F$2-MEMORIA_RESULTADOS!$I$258),2))</f>
        <v/>
      </c>
      <c r="AS65">
        <f>IF($A65="","",ROUND(SUMIFS(itens_Consumidos!$G$2:$G$200,itens_Consumidos!$A$2:$A$200,$A65),2))</f>
        <v/>
      </c>
      <c r="AT65">
        <f>IF(OR($A65="",M65=""),"",ROUND(MAX(M65-AS65,0),2))</f>
        <v/>
      </c>
      <c r="AU65">
        <f>IF(OR($A65="",M65="",MEMORIA_RESULTADOS!$I$259=""),"",ROUND(M65*$C65*(MEMORIA_RESULTADOS!$I$259-1),2))</f>
        <v/>
      </c>
      <c r="AV65">
        <f>IF(OR($A65="",AT65="",MEMORIA_RESULTADOS!$I$259=""),"",ROUND(AT65*$C65*(parametros!$F$3-MEMORIA_RESULTADOS!$I$259),2))</f>
        <v/>
      </c>
      <c r="AW65">
        <f>IF($A65="","",ROUND(SUMIFS(itens_Consumidos!$I$2:$I$200,itens_Consumidos!$A$2:$A$200,$A65),2))</f>
        <v/>
      </c>
      <c r="AX65">
        <f>IF(OR($A65="",O65=""),"",ROUND(MAX(O65-AW65,0),2))</f>
        <v/>
      </c>
      <c r="AY65">
        <f>IF(OR($A65="",O65="",MEMORIA_RESULTADOS!$I$260=""),"",ROUND(O65*$C65*(MEMORIA_RESULTADOS!$I$260-1),2))</f>
        <v/>
      </c>
      <c r="AZ65">
        <f>IF(OR($A65="",AX65="",MEMORIA_RESULTADOS!$I$260=""),"",ROUND(AX65*$C65*(parametros!$F$4-MEMORIA_RESULTADOS!$I$260),2))</f>
        <v/>
      </c>
      <c r="BA65">
        <f>IF($A65="","",ROUND(SUMIFS(itens_Consumidos!$K$2:$K$200,itens_Consumidos!$A$2:$A$200,$A65),2))</f>
        <v/>
      </c>
      <c r="BB65">
        <f>IF(OR($A65="",Q65=""),"",ROUND(MAX(Q65-BA65,0),2))</f>
        <v/>
      </c>
      <c r="BC65">
        <f>IF(OR($A65="",Q65="",MEMORIA_RESULTADOS!$I$261=""),"",ROUND(Q65*$C65*(MEMORIA_RESULTADOS!$I$261-1),2))</f>
        <v/>
      </c>
      <c r="BD65">
        <f>IF(OR($A65="",BB65="",MEMORIA_RESULTADOS!$I$261=""),"",ROUND(BB65*$C65*(parametros!$F$5-MEMORIA_RESULTADOS!$I$261),2))</f>
        <v/>
      </c>
      <c r="BE65">
        <f>IF($A65="","",ROUND(SUMIFS(itens_Consumidos!$M$2:$M$200,itens_Consumidos!$A$2:$A$200,$A65),2))</f>
        <v/>
      </c>
      <c r="BF65">
        <f>IF(OR($A65="",S65=""),"",ROUND(MAX(S65-BE65,0),2))</f>
        <v/>
      </c>
      <c r="BG65">
        <f>IF(OR($A65="",S65="",MEMORIA_RESULTADOS!$I$262=""),"",ROUND(S65*$C65*(MEMORIA_RESULTADOS!$I$262-1),2))</f>
        <v/>
      </c>
      <c r="BH65">
        <f>IF(OR($A65="",BF65="",MEMORIA_RESULTADOS!$I$262=""),"",ROUND(BF65*$C65*(parametros!$F$6-MEMORIA_RESULTADOS!$I$262),2))</f>
        <v/>
      </c>
    </row>
    <row r="66">
      <c r="A66" s="86" t="n"/>
      <c r="B66" s="87">
        <f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339" t="n"/>
      <c r="D66" s="335">
        <f>IF(AND(A66="",A65&lt;&gt;"",COUNTIF(A67:$A$200,"&lt;&gt;")=0),ROUND(SUMIF($A$2:A65,"&lt;&gt;",$D$2:D65),2),IF(OR(A66="",B66="",C66=""),"",ROUND(B66*C66,2)))</f>
        <v/>
      </c>
      <c r="E66" s="89" t="n"/>
      <c r="F66" s="335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 t="n"/>
      <c r="H66" s="335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 t="n"/>
      <c r="J66" s="335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 t="n"/>
      <c r="L66" s="335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>
        <f>IF(OR(posicao_contratual!J66="",posicao_contratual!N66=""),"",ROUND(MAX(posicao_contratual!J66+posicao_contratual!H66-posicao_contratual!N66,0),2))</f>
        <v/>
      </c>
      <c r="N66" s="335">
        <f>IF(AND(A66="",A65&lt;&gt;"",COUNTIF(A67:$A$200,"&lt;&gt;")=0),ROUND(SUMIF($A$2:A65,"&lt;&gt;",$N$2:N65),2),IF(OR(M66="",C66="",NOT(ISNUMBER($Z$3))),"",ROUND(M66*C66*$Z$3,2)))</f>
        <v/>
      </c>
      <c r="O66" s="90">
        <f>IF(OR(posicao_contratual!N66="",posicao_contratual!R66=""),"",ROUND(MAX(posicao_contratual!N66+posicao_contratual!L66-posicao_contratual!R66,0),2))</f>
        <v/>
      </c>
      <c r="P66" s="335">
        <f>IF(AND(A66="",A65&lt;&gt;"",COUNTIF(A67:$A$200,"&lt;&gt;")=0),ROUND(SUMIF($A$2:A65,"&lt;&gt;",$P$2:P65),2),IF(OR(O66="",C66="",NOT(ISNUMBER($Z$4))),"",ROUND(O66*C66*$Z$4,2)))</f>
        <v/>
      </c>
      <c r="Q66" s="90">
        <f>IF(OR(posicao_contratual!R66="",posicao_contratual!V66=""),"",ROUND(MAX(posicao_contratual!R66+posicao_contratual!P66-posicao_contratual!V66,0),2))</f>
        <v/>
      </c>
      <c r="R66" s="335">
        <f>IF(AND(A66="",A65&lt;&gt;"",COUNTIF(A67:$A$200,"&lt;&gt;")=0),ROUND(SUMIF($A$2:A65,"&lt;&gt;",$R$2:R65),2),IF(OR(Q66="",C66="",NOT(ISNUMBER($Z$5))),"",ROUND(Q66*C66*$Z$5,2)))</f>
        <v/>
      </c>
      <c r="S66" s="22" t="n"/>
      <c r="T66" s="340" t="n"/>
      <c r="U66" s="91">
        <f>IF(AND(A66="",A65&lt;&gt;"",COUNTIF(A67:$A$200,"&lt;&gt;")=0),"TOTAL",IF(A66="","",posicao_contratual!X66))</f>
        <v/>
      </c>
      <c r="V66" s="91">
        <f>IF(A66="","",posicao_contratual!X66)</f>
        <v/>
      </c>
      <c r="W66" s="14" t="n"/>
      <c r="X66" s="14" t="n"/>
      <c r="Y66" s="14" t="n"/>
      <c r="Z66" s="13" t="n"/>
      <c r="AA66" s="13" t="n"/>
      <c r="AB66" s="90">
        <f>IF(OR(A66="",posicao_contratual!E66="",posicao_contratual!J66=""),"",ROUND(MAX(posicao_contratual!E66-posicao_contratual!J66,0),2))</f>
        <v/>
      </c>
      <c r="AC66" s="335">
        <f>IF(AND(A66="",A65&lt;&gt;"",COUNTIF(A67:$A$200,"&lt;&gt;")=0),ROUND(SUMIF($A$2:A65,"&lt;&gt;",$AC$2:AC65),2),IF(OR(AB66="",C66="",NOT(ISNUMBER($Z$2))),"",ROUND(AB66*C66*$Z$2,2)))</f>
        <v/>
      </c>
      <c r="AD66" s="155">
        <f>IF(A66="","",posicao_contratual!E66)</f>
        <v/>
      </c>
      <c r="AE66" s="155">
        <f>IF(A66="","",posicao_contratual!I66)</f>
        <v/>
      </c>
      <c r="AF66" s="155">
        <f>IF(A66="","",posicao_contratual!M66)</f>
        <v/>
      </c>
      <c r="AG66" s="155">
        <f>IF(A66="","",posicao_contratual!Q66)</f>
        <v/>
      </c>
      <c r="AH66" s="155">
        <f>IF(A66="","",posicao_contratual!U66)</f>
        <v/>
      </c>
      <c r="AI66" s="155">
        <f>IF(A66="","",posicao_contratual!G66)</f>
        <v/>
      </c>
      <c r="AJ66" s="155">
        <f>IF(A66="","",posicao_contratual!K66)</f>
        <v/>
      </c>
      <c r="AK66" s="155">
        <f>IF(A66="","",posicao_contratual!O66)</f>
        <v/>
      </c>
      <c r="AL66" s="155">
        <f>IF(A66="","",posicao_contratual!S66)</f>
        <v/>
      </c>
      <c r="AM66" s="155">
        <f>IF(A66="","",posicao_contratual!W66)</f>
        <v/>
      </c>
      <c r="AN66" s="156">
        <f>IF(A66="","",posicao_contratual!X66)</f>
        <v/>
      </c>
      <c r="AO66">
        <f>IF($A66="","",ROUND(SUMIFS(itens_Consumidos!$E$2:$E$200,itens_Consumidos!$A$2:$A$200,$A66),2))</f>
        <v/>
      </c>
      <c r="AP66">
        <f>IF(OR($A66="",AB66=""),"",ROUND(MAX(AB66-AO66,0),2))</f>
        <v/>
      </c>
      <c r="AQ66">
        <f>IF(OR($A66="",AB66="",MEMORIA_RESULTADOS!$I$258=""),"",ROUND(AB66*$C66*(MEMORIA_RESULTADOS!$I$258-1),2))</f>
        <v/>
      </c>
      <c r="AR66">
        <f>IF(OR($A66="",AP66="",MEMORIA_RESULTADOS!$I$258=""),"",ROUND(AP66*$C66*(parametros!$F$2-MEMORIA_RESULTADOS!$I$258),2))</f>
        <v/>
      </c>
      <c r="AS66">
        <f>IF($A66="","",ROUND(SUMIFS(itens_Consumidos!$G$2:$G$200,itens_Consumidos!$A$2:$A$200,$A66),2))</f>
        <v/>
      </c>
      <c r="AT66">
        <f>IF(OR($A66="",M66=""),"",ROUND(MAX(M66-AS66,0),2))</f>
        <v/>
      </c>
      <c r="AU66">
        <f>IF(OR($A66="",M66="",MEMORIA_RESULTADOS!$I$259=""),"",ROUND(M66*$C66*(MEMORIA_RESULTADOS!$I$259-1),2))</f>
        <v/>
      </c>
      <c r="AV66">
        <f>IF(OR($A66="",AT66="",MEMORIA_RESULTADOS!$I$259=""),"",ROUND(AT66*$C66*(parametros!$F$3-MEMORIA_RESULTADOS!$I$259),2))</f>
        <v/>
      </c>
      <c r="AW66">
        <f>IF($A66="","",ROUND(SUMIFS(itens_Consumidos!$I$2:$I$200,itens_Consumidos!$A$2:$A$200,$A66),2))</f>
        <v/>
      </c>
      <c r="AX66">
        <f>IF(OR($A66="",O66=""),"",ROUND(MAX(O66-AW66,0),2))</f>
        <v/>
      </c>
      <c r="AY66">
        <f>IF(OR($A66="",O66="",MEMORIA_RESULTADOS!$I$260=""),"",ROUND(O66*$C66*(MEMORIA_RESULTADOS!$I$260-1),2))</f>
        <v/>
      </c>
      <c r="AZ66">
        <f>IF(OR($A66="",AX66="",MEMORIA_RESULTADOS!$I$260=""),"",ROUND(AX66*$C66*(parametros!$F$4-MEMORIA_RESULTADOS!$I$260),2))</f>
        <v/>
      </c>
      <c r="BA66">
        <f>IF($A66="","",ROUND(SUMIFS(itens_Consumidos!$K$2:$K$200,itens_Consumidos!$A$2:$A$200,$A66),2))</f>
        <v/>
      </c>
      <c r="BB66">
        <f>IF(OR($A66="",Q66=""),"",ROUND(MAX(Q66-BA66,0),2))</f>
        <v/>
      </c>
      <c r="BC66">
        <f>IF(OR($A66="",Q66="",MEMORIA_RESULTADOS!$I$261=""),"",ROUND(Q66*$C66*(MEMORIA_RESULTADOS!$I$261-1),2))</f>
        <v/>
      </c>
      <c r="BD66">
        <f>IF(OR($A66="",BB66="",MEMORIA_RESULTADOS!$I$261=""),"",ROUND(BB66*$C66*(parametros!$F$5-MEMORIA_RESULTADOS!$I$261),2))</f>
        <v/>
      </c>
      <c r="BE66">
        <f>IF($A66="","",ROUND(SUMIFS(itens_Consumidos!$M$2:$M$200,itens_Consumidos!$A$2:$A$200,$A66),2))</f>
        <v/>
      </c>
      <c r="BF66">
        <f>IF(OR($A66="",S66=""),"",ROUND(MAX(S66-BE66,0),2))</f>
        <v/>
      </c>
      <c r="BG66">
        <f>IF(OR($A66="",S66="",MEMORIA_RESULTADOS!$I$262=""),"",ROUND(S66*$C66*(MEMORIA_RESULTADOS!$I$262-1),2))</f>
        <v/>
      </c>
      <c r="BH66">
        <f>IF(OR($A66="",BF66="",MEMORIA_RESULTADOS!$I$262=""),"",ROUND(BF66*$C66*(parametros!$F$6-MEMORIA_RESULTADOS!$I$262),2))</f>
        <v/>
      </c>
    </row>
    <row r="67">
      <c r="A67" s="86" t="n"/>
      <c r="B67" s="87">
        <f>IF(AND(LEN(TRIM($A67))=4,LEFT(TRIM($A67),1)="N",ISNUMBER(--MID(TRIM($A67),2,3)),ISERROR(FIND(".",$A67)),ISERROR(FIND(",",$A67)),ISERROR(FIND("-",$A67)),ISERROR(FIND("+",$A67)),ISERROR(SEARCH("E",$A67,2)),ISERROR(FIND(" ",TRIM($A67)))),0,"")</f>
        <v/>
      </c>
      <c r="C67" s="339" t="n"/>
      <c r="D67" s="335">
        <f>IF(AND(A67="",A66&lt;&gt;"",COUNTIF(A68:$A$200,"&lt;&gt;")=0),ROUND(SUMIF($A$2:A66,"&lt;&gt;",$D$2:D66),2),IF(OR(A67="",B67="",C67=""),"",ROUND(B67*C67,2)))</f>
        <v/>
      </c>
      <c r="E67" s="89" t="n"/>
      <c r="F67" s="335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 t="n"/>
      <c r="H67" s="335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 t="n"/>
      <c r="J67" s="335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 t="n"/>
      <c r="L67" s="335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>
        <f>IF(OR(posicao_contratual!J67="",posicao_contratual!N67=""),"",ROUND(MAX(posicao_contratual!J67+posicao_contratual!H67-posicao_contratual!N67,0),2))</f>
        <v/>
      </c>
      <c r="N67" s="335">
        <f>IF(AND(A67="",A66&lt;&gt;"",COUNTIF(A68:$A$200,"&lt;&gt;")=0),ROUND(SUMIF($A$2:A66,"&lt;&gt;",$N$2:N66),2),IF(OR(M67="",C67="",NOT(ISNUMBER($Z$3))),"",ROUND(M67*C67*$Z$3,2)))</f>
        <v/>
      </c>
      <c r="O67" s="90">
        <f>IF(OR(posicao_contratual!N67="",posicao_contratual!R67=""),"",ROUND(MAX(posicao_contratual!N67+posicao_contratual!L67-posicao_contratual!R67,0),2))</f>
        <v/>
      </c>
      <c r="P67" s="335">
        <f>IF(AND(A67="",A66&lt;&gt;"",COUNTIF(A68:$A$200,"&lt;&gt;")=0),ROUND(SUMIF($A$2:A66,"&lt;&gt;",$P$2:P66),2),IF(OR(O67="",C67="",NOT(ISNUMBER($Z$4))),"",ROUND(O67*C67*$Z$4,2)))</f>
        <v/>
      </c>
      <c r="Q67" s="90">
        <f>IF(OR(posicao_contratual!R67="",posicao_contratual!V67=""),"",ROUND(MAX(posicao_contratual!R67+posicao_contratual!P67-posicao_contratual!V67,0),2))</f>
        <v/>
      </c>
      <c r="R67" s="335">
        <f>IF(AND(A67="",A66&lt;&gt;"",COUNTIF(A68:$A$200,"&lt;&gt;")=0),ROUND(SUMIF($A$2:A66,"&lt;&gt;",$R$2:R66),2),IF(OR(Q67="",C67="",NOT(ISNUMBER($Z$5))),"",ROUND(Q67*C67*$Z$5,2)))</f>
        <v/>
      </c>
      <c r="S67" s="22" t="n"/>
      <c r="T67" s="340" t="n"/>
      <c r="U67" s="91">
        <f>IF(AND(A67="",A66&lt;&gt;"",COUNTIF(A68:$A$200,"&lt;&gt;")=0),"TOTAL",IF(A67="","",posicao_contratual!X67))</f>
        <v/>
      </c>
      <c r="V67" s="91">
        <f>IF(A67="","",posicao_contratual!X67)</f>
        <v/>
      </c>
      <c r="W67" s="14" t="n"/>
      <c r="X67" s="14" t="n"/>
      <c r="Y67" s="14" t="n"/>
      <c r="Z67" s="13" t="n"/>
      <c r="AA67" s="13" t="n"/>
      <c r="AB67" s="90">
        <f>IF(OR(A67="",posicao_contratual!E67="",posicao_contratual!J67=""),"",ROUND(MAX(posicao_contratual!E67-posicao_contratual!J67,0),2))</f>
        <v/>
      </c>
      <c r="AC67" s="335">
        <f>IF(AND(A67="",A66&lt;&gt;"",COUNTIF(A68:$A$200,"&lt;&gt;")=0),ROUND(SUMIF($A$2:A66,"&lt;&gt;",$AC$2:AC66),2),IF(OR(AB67="",C67="",NOT(ISNUMBER($Z$2))),"",ROUND(AB67*C67*$Z$2,2)))</f>
        <v/>
      </c>
      <c r="AD67" s="155">
        <f>IF(A67="","",posicao_contratual!E67)</f>
        <v/>
      </c>
      <c r="AE67" s="155">
        <f>IF(A67="","",posicao_contratual!I67)</f>
        <v/>
      </c>
      <c r="AF67" s="155">
        <f>IF(A67="","",posicao_contratual!M67)</f>
        <v/>
      </c>
      <c r="AG67" s="155">
        <f>IF(A67="","",posicao_contratual!Q67)</f>
        <v/>
      </c>
      <c r="AH67" s="155">
        <f>IF(A67="","",posicao_contratual!U67)</f>
        <v/>
      </c>
      <c r="AI67" s="155">
        <f>IF(A67="","",posicao_contratual!G67)</f>
        <v/>
      </c>
      <c r="AJ67" s="155">
        <f>IF(A67="","",posicao_contratual!K67)</f>
        <v/>
      </c>
      <c r="AK67" s="155">
        <f>IF(A67="","",posicao_contratual!O67)</f>
        <v/>
      </c>
      <c r="AL67" s="155">
        <f>IF(A67="","",posicao_contratual!S67)</f>
        <v/>
      </c>
      <c r="AM67" s="155">
        <f>IF(A67="","",posicao_contratual!W67)</f>
        <v/>
      </c>
      <c r="AN67" s="156">
        <f>IF(A67="","",posicao_contratual!X67)</f>
        <v/>
      </c>
      <c r="AO67">
        <f>IF($A67="","",ROUND(SUMIFS(itens_Consumidos!$E$2:$E$200,itens_Consumidos!$A$2:$A$200,$A67),2))</f>
        <v/>
      </c>
      <c r="AP67">
        <f>IF(OR($A67="",AB67=""),"",ROUND(MAX(AB67-AO67,0),2))</f>
        <v/>
      </c>
      <c r="AQ67">
        <f>IF(OR($A67="",AB67="",MEMORIA_RESULTADOS!$I$258=""),"",ROUND(AB67*$C67*(MEMORIA_RESULTADOS!$I$258-1),2))</f>
        <v/>
      </c>
      <c r="AR67">
        <f>IF(OR($A67="",AP67="",MEMORIA_RESULTADOS!$I$258=""),"",ROUND(AP67*$C67*(parametros!$F$2-MEMORIA_RESULTADOS!$I$258),2))</f>
        <v/>
      </c>
      <c r="AS67">
        <f>IF($A67="","",ROUND(SUMIFS(itens_Consumidos!$G$2:$G$200,itens_Consumidos!$A$2:$A$200,$A67),2))</f>
        <v/>
      </c>
      <c r="AT67">
        <f>IF(OR($A67="",M67=""),"",ROUND(MAX(M67-AS67,0),2))</f>
        <v/>
      </c>
      <c r="AU67">
        <f>IF(OR($A67="",M67="",MEMORIA_RESULTADOS!$I$259=""),"",ROUND(M67*$C67*(MEMORIA_RESULTADOS!$I$259-1),2))</f>
        <v/>
      </c>
      <c r="AV67">
        <f>IF(OR($A67="",AT67="",MEMORIA_RESULTADOS!$I$259=""),"",ROUND(AT67*$C67*(parametros!$F$3-MEMORIA_RESULTADOS!$I$259),2))</f>
        <v/>
      </c>
      <c r="AW67">
        <f>IF($A67="","",ROUND(SUMIFS(itens_Consumidos!$I$2:$I$200,itens_Consumidos!$A$2:$A$200,$A67),2))</f>
        <v/>
      </c>
      <c r="AX67">
        <f>IF(OR($A67="",O67=""),"",ROUND(MAX(O67-AW67,0),2))</f>
        <v/>
      </c>
      <c r="AY67">
        <f>IF(OR($A67="",O67="",MEMORIA_RESULTADOS!$I$260=""),"",ROUND(O67*$C67*(MEMORIA_RESULTADOS!$I$260-1),2))</f>
        <v/>
      </c>
      <c r="AZ67">
        <f>IF(OR($A67="",AX67="",MEMORIA_RESULTADOS!$I$260=""),"",ROUND(AX67*$C67*(parametros!$F$4-MEMORIA_RESULTADOS!$I$260),2))</f>
        <v/>
      </c>
      <c r="BA67">
        <f>IF($A67="","",ROUND(SUMIFS(itens_Consumidos!$K$2:$K$200,itens_Consumidos!$A$2:$A$200,$A67),2))</f>
        <v/>
      </c>
      <c r="BB67">
        <f>IF(OR($A67="",Q67=""),"",ROUND(MAX(Q67-BA67,0),2))</f>
        <v/>
      </c>
      <c r="BC67">
        <f>IF(OR($A67="",Q67="",MEMORIA_RESULTADOS!$I$261=""),"",ROUND(Q67*$C67*(MEMORIA_RESULTADOS!$I$261-1),2))</f>
        <v/>
      </c>
      <c r="BD67">
        <f>IF(OR($A67="",BB67="",MEMORIA_RESULTADOS!$I$261=""),"",ROUND(BB67*$C67*(parametros!$F$5-MEMORIA_RESULTADOS!$I$261),2))</f>
        <v/>
      </c>
      <c r="BE67">
        <f>IF($A67="","",ROUND(SUMIFS(itens_Consumidos!$M$2:$M$200,itens_Consumidos!$A$2:$A$200,$A67),2))</f>
        <v/>
      </c>
      <c r="BF67">
        <f>IF(OR($A67="",S67=""),"",ROUND(MAX(S67-BE67,0),2))</f>
        <v/>
      </c>
      <c r="BG67">
        <f>IF(OR($A67="",S67="",MEMORIA_RESULTADOS!$I$262=""),"",ROUND(S67*$C67*(MEMORIA_RESULTADOS!$I$262-1),2))</f>
        <v/>
      </c>
      <c r="BH67">
        <f>IF(OR($A67="",BF67="",MEMORIA_RESULTADOS!$I$262=""),"",ROUND(BF67*$C67*(parametros!$F$6-MEMORIA_RESULTADOS!$I$262),2))</f>
        <v/>
      </c>
    </row>
    <row r="68">
      <c r="A68" s="86" t="n"/>
      <c r="B68" s="87">
        <f>IF(AND(LEN(TRIM($A68))=4,LEFT(TRIM($A68),1)="N",ISNUMBER(--MID(TRIM($A68),2,3)),ISERROR(FIND(".",$A68)),ISERROR(FIND(",",$A68)),ISERROR(FIND("-",$A68)),ISERROR(FIND("+",$A68)),ISERROR(SEARCH("E",$A68,2)),ISERROR(FIND(" ",TRIM($A68)))),0,"")</f>
        <v/>
      </c>
      <c r="C68" s="339" t="n"/>
      <c r="D68" s="335">
        <f>IF(AND(A68="",A67&lt;&gt;"",COUNTIF(A69:$A$200,"&lt;&gt;")=0),ROUND(SUMIF($A$2:A67,"&lt;&gt;",$D$2:D67),2),IF(OR(A68="",B68="",C68=""),"",ROUND(B68*C68,2)))</f>
        <v/>
      </c>
      <c r="E68" s="89" t="n"/>
      <c r="F68" s="335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 t="n"/>
      <c r="H68" s="335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 t="n"/>
      <c r="J68" s="335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 t="n"/>
      <c r="L68" s="335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>
        <f>IF(OR(posicao_contratual!J68="",posicao_contratual!N68=""),"",ROUND(MAX(posicao_contratual!J68+posicao_contratual!H68-posicao_contratual!N68,0),2))</f>
        <v/>
      </c>
      <c r="N68" s="335">
        <f>IF(AND(A68="",A67&lt;&gt;"",COUNTIF(A69:$A$200,"&lt;&gt;")=0),ROUND(SUMIF($A$2:A67,"&lt;&gt;",$N$2:N67),2),IF(OR(M68="",C68="",NOT(ISNUMBER($Z$3))),"",ROUND(M68*C68*$Z$3,2)))</f>
        <v/>
      </c>
      <c r="O68" s="90">
        <f>IF(OR(posicao_contratual!N68="",posicao_contratual!R68=""),"",ROUND(MAX(posicao_contratual!N68+posicao_contratual!L68-posicao_contratual!R68,0),2))</f>
        <v/>
      </c>
      <c r="P68" s="335">
        <f>IF(AND(A68="",A67&lt;&gt;"",COUNTIF(A69:$A$200,"&lt;&gt;")=0),ROUND(SUMIF($A$2:A67,"&lt;&gt;",$P$2:P67),2),IF(OR(O68="",C68="",NOT(ISNUMBER($Z$4))),"",ROUND(O68*C68*$Z$4,2)))</f>
        <v/>
      </c>
      <c r="Q68" s="90">
        <f>IF(OR(posicao_contratual!R68="",posicao_contratual!V68=""),"",ROUND(MAX(posicao_contratual!R68+posicao_contratual!P68-posicao_contratual!V68,0),2))</f>
        <v/>
      </c>
      <c r="R68" s="335">
        <f>IF(AND(A68="",A67&lt;&gt;"",COUNTIF(A69:$A$200,"&lt;&gt;")=0),ROUND(SUMIF($A$2:A67,"&lt;&gt;",$R$2:R67),2),IF(OR(Q68="",C68="",NOT(ISNUMBER($Z$5))),"",ROUND(Q68*C68*$Z$5,2)))</f>
        <v/>
      </c>
      <c r="S68" s="22" t="n"/>
      <c r="T68" s="340" t="n"/>
      <c r="U68" s="91">
        <f>IF(AND(A68="",A67&lt;&gt;"",COUNTIF(A69:$A$200,"&lt;&gt;")=0),"TOTAL",IF(A68="","",posicao_contratual!X68))</f>
        <v/>
      </c>
      <c r="V68" s="91">
        <f>IF(A68="","",posicao_contratual!X68)</f>
        <v/>
      </c>
      <c r="W68" s="14" t="n"/>
      <c r="X68" s="14" t="n"/>
      <c r="Y68" s="14" t="n"/>
      <c r="Z68" s="13" t="n"/>
      <c r="AA68" s="13" t="n"/>
      <c r="AB68" s="90">
        <f>IF(OR(A68="",posicao_contratual!E68="",posicao_contratual!J68=""),"",ROUND(MAX(posicao_contratual!E68-posicao_contratual!J68,0),2))</f>
        <v/>
      </c>
      <c r="AC68" s="335">
        <f>IF(AND(A68="",A67&lt;&gt;"",COUNTIF(A69:$A$200,"&lt;&gt;")=0),ROUND(SUMIF($A$2:A67,"&lt;&gt;",$AC$2:AC67),2),IF(OR(AB68="",C68="",NOT(ISNUMBER($Z$2))),"",ROUND(AB68*C68*$Z$2,2)))</f>
        <v/>
      </c>
      <c r="AD68" s="155">
        <f>IF(A68="","",posicao_contratual!E68)</f>
        <v/>
      </c>
      <c r="AE68" s="155">
        <f>IF(A68="","",posicao_contratual!I68)</f>
        <v/>
      </c>
      <c r="AF68" s="155">
        <f>IF(A68="","",posicao_contratual!M68)</f>
        <v/>
      </c>
      <c r="AG68" s="155">
        <f>IF(A68="","",posicao_contratual!Q68)</f>
        <v/>
      </c>
      <c r="AH68" s="155">
        <f>IF(A68="","",posicao_contratual!U68)</f>
        <v/>
      </c>
      <c r="AI68" s="155">
        <f>IF(A68="","",posicao_contratual!G68)</f>
        <v/>
      </c>
      <c r="AJ68" s="155">
        <f>IF(A68="","",posicao_contratual!K68)</f>
        <v/>
      </c>
      <c r="AK68" s="155">
        <f>IF(A68="","",posicao_contratual!O68)</f>
        <v/>
      </c>
      <c r="AL68" s="155">
        <f>IF(A68="","",posicao_contratual!S68)</f>
        <v/>
      </c>
      <c r="AM68" s="155">
        <f>IF(A68="","",posicao_contratual!W68)</f>
        <v/>
      </c>
      <c r="AN68" s="156">
        <f>IF(A68="","",posicao_contratual!X68)</f>
        <v/>
      </c>
      <c r="AO68">
        <f>IF($A68="","",ROUND(SUMIFS(itens_Consumidos!$E$2:$E$200,itens_Consumidos!$A$2:$A$200,$A68),2))</f>
        <v/>
      </c>
      <c r="AP68">
        <f>IF(OR($A68="",AB68=""),"",ROUND(MAX(AB68-AO68,0),2))</f>
        <v/>
      </c>
      <c r="AQ68">
        <f>IF(OR($A68="",AB68="",MEMORIA_RESULTADOS!$I$258=""),"",ROUND(AB68*$C68*(MEMORIA_RESULTADOS!$I$258-1),2))</f>
        <v/>
      </c>
      <c r="AR68">
        <f>IF(OR($A68="",AP68="",MEMORIA_RESULTADOS!$I$258=""),"",ROUND(AP68*$C68*(parametros!$F$2-MEMORIA_RESULTADOS!$I$258),2))</f>
        <v/>
      </c>
      <c r="AS68">
        <f>IF($A68="","",ROUND(SUMIFS(itens_Consumidos!$G$2:$G$200,itens_Consumidos!$A$2:$A$200,$A68),2))</f>
        <v/>
      </c>
      <c r="AT68">
        <f>IF(OR($A68="",M68=""),"",ROUND(MAX(M68-AS68,0),2))</f>
        <v/>
      </c>
      <c r="AU68">
        <f>IF(OR($A68="",M68="",MEMORIA_RESULTADOS!$I$259=""),"",ROUND(M68*$C68*(MEMORIA_RESULTADOS!$I$259-1),2))</f>
        <v/>
      </c>
      <c r="AV68">
        <f>IF(OR($A68="",AT68="",MEMORIA_RESULTADOS!$I$259=""),"",ROUND(AT68*$C68*(parametros!$F$3-MEMORIA_RESULTADOS!$I$259),2))</f>
        <v/>
      </c>
      <c r="AW68">
        <f>IF($A68="","",ROUND(SUMIFS(itens_Consumidos!$I$2:$I$200,itens_Consumidos!$A$2:$A$200,$A68),2))</f>
        <v/>
      </c>
      <c r="AX68">
        <f>IF(OR($A68="",O68=""),"",ROUND(MAX(O68-AW68,0),2))</f>
        <v/>
      </c>
      <c r="AY68">
        <f>IF(OR($A68="",O68="",MEMORIA_RESULTADOS!$I$260=""),"",ROUND(O68*$C68*(MEMORIA_RESULTADOS!$I$260-1),2))</f>
        <v/>
      </c>
      <c r="AZ68">
        <f>IF(OR($A68="",AX68="",MEMORIA_RESULTADOS!$I$260=""),"",ROUND(AX68*$C68*(parametros!$F$4-MEMORIA_RESULTADOS!$I$260),2))</f>
        <v/>
      </c>
      <c r="BA68">
        <f>IF($A68="","",ROUND(SUMIFS(itens_Consumidos!$K$2:$K$200,itens_Consumidos!$A$2:$A$200,$A68),2))</f>
        <v/>
      </c>
      <c r="BB68">
        <f>IF(OR($A68="",Q68=""),"",ROUND(MAX(Q68-BA68,0),2))</f>
        <v/>
      </c>
      <c r="BC68">
        <f>IF(OR($A68="",Q68="",MEMORIA_RESULTADOS!$I$261=""),"",ROUND(Q68*$C68*(MEMORIA_RESULTADOS!$I$261-1),2))</f>
        <v/>
      </c>
      <c r="BD68">
        <f>IF(OR($A68="",BB68="",MEMORIA_RESULTADOS!$I$261=""),"",ROUND(BB68*$C68*(parametros!$F$5-MEMORIA_RESULTADOS!$I$261),2))</f>
        <v/>
      </c>
      <c r="BE68">
        <f>IF($A68="","",ROUND(SUMIFS(itens_Consumidos!$M$2:$M$200,itens_Consumidos!$A$2:$A$200,$A68),2))</f>
        <v/>
      </c>
      <c r="BF68">
        <f>IF(OR($A68="",S68=""),"",ROUND(MAX(S68-BE68,0),2))</f>
        <v/>
      </c>
      <c r="BG68">
        <f>IF(OR($A68="",S68="",MEMORIA_RESULTADOS!$I$262=""),"",ROUND(S68*$C68*(MEMORIA_RESULTADOS!$I$262-1),2))</f>
        <v/>
      </c>
      <c r="BH68">
        <f>IF(OR($A68="",BF68="",MEMORIA_RESULTADOS!$I$262=""),"",ROUND(BF68*$C68*(parametros!$F$6-MEMORIA_RESULTADOS!$I$262),2))</f>
        <v/>
      </c>
    </row>
    <row r="69">
      <c r="A69" s="86" t="n"/>
      <c r="B69" s="87">
        <f>IF(AND(LEN(TRIM($A69))=4,LEFT(TRIM($A69),1)="N",ISNUMBER(--MID(TRIM($A69),2,3)),ISERROR(FIND(".",$A69)),ISERROR(FIND(",",$A69)),ISERROR(FIND("-",$A69)),ISERROR(FIND("+",$A69)),ISERROR(SEARCH("E",$A69,2)),ISERROR(FIND(" ",TRIM($A69)))),0,"")</f>
        <v/>
      </c>
      <c r="C69" s="339" t="n"/>
      <c r="D69" s="335">
        <f>IF(AND(A69="",A68&lt;&gt;"",COUNTIF(A70:$A$200,"&lt;&gt;")=0),ROUND(SUMIF($A$2:A68,"&lt;&gt;",$D$2:D68),2),IF(OR(A69="",B69="",C69=""),"",ROUND(B69*C69,2)))</f>
        <v/>
      </c>
      <c r="E69" s="89" t="n"/>
      <c r="F69" s="335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 t="n"/>
      <c r="H69" s="335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 t="n"/>
      <c r="J69" s="335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 t="n"/>
      <c r="L69" s="335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>
        <f>IF(OR(posicao_contratual!J69="",posicao_contratual!N69=""),"",ROUND(MAX(posicao_contratual!J69+posicao_contratual!H69-posicao_contratual!N69,0),2))</f>
        <v/>
      </c>
      <c r="N69" s="335">
        <f>IF(AND(A69="",A68&lt;&gt;"",COUNTIF(A70:$A$200,"&lt;&gt;")=0),ROUND(SUMIF($A$2:A68,"&lt;&gt;",$N$2:N68),2),IF(OR(M69="",C69="",NOT(ISNUMBER($Z$3))),"",ROUND(M69*C69*$Z$3,2)))</f>
        <v/>
      </c>
      <c r="O69" s="90">
        <f>IF(OR(posicao_contratual!N69="",posicao_contratual!R69=""),"",ROUND(MAX(posicao_contratual!N69+posicao_contratual!L69-posicao_contratual!R69,0),2))</f>
        <v/>
      </c>
      <c r="P69" s="335">
        <f>IF(AND(A69="",A68&lt;&gt;"",COUNTIF(A70:$A$200,"&lt;&gt;")=0),ROUND(SUMIF($A$2:A68,"&lt;&gt;",$P$2:P68),2),IF(OR(O69="",C69="",NOT(ISNUMBER($Z$4))),"",ROUND(O69*C69*$Z$4,2)))</f>
        <v/>
      </c>
      <c r="Q69" s="90">
        <f>IF(OR(posicao_contratual!R69="",posicao_contratual!V69=""),"",ROUND(MAX(posicao_contratual!R69+posicao_contratual!P69-posicao_contratual!V69,0),2))</f>
        <v/>
      </c>
      <c r="R69" s="335">
        <f>IF(AND(A69="",A68&lt;&gt;"",COUNTIF(A70:$A$200,"&lt;&gt;")=0),ROUND(SUMIF($A$2:A68,"&lt;&gt;",$R$2:R68),2),IF(OR(Q69="",C69="",NOT(ISNUMBER($Z$5))),"",ROUND(Q69*C69*$Z$5,2)))</f>
        <v/>
      </c>
      <c r="S69" s="22" t="n"/>
      <c r="T69" s="340" t="n"/>
      <c r="U69" s="91">
        <f>IF(AND(A69="",A68&lt;&gt;"",COUNTIF(A70:$A$200,"&lt;&gt;")=0),"TOTAL",IF(A69="","",posicao_contratual!X69))</f>
        <v/>
      </c>
      <c r="V69" s="91">
        <f>IF(A69="","",posicao_contratual!X69)</f>
        <v/>
      </c>
      <c r="W69" s="14" t="n"/>
      <c r="X69" s="14" t="n"/>
      <c r="Y69" s="14" t="n"/>
      <c r="Z69" s="13" t="n"/>
      <c r="AA69" s="13" t="n"/>
      <c r="AB69" s="90">
        <f>IF(OR(A69="",posicao_contratual!E69="",posicao_contratual!J69=""),"",ROUND(MAX(posicao_contratual!E69-posicao_contratual!J69,0),2))</f>
        <v/>
      </c>
      <c r="AC69" s="335">
        <f>IF(AND(A69="",A68&lt;&gt;"",COUNTIF(A70:$A$200,"&lt;&gt;")=0),ROUND(SUMIF($A$2:A68,"&lt;&gt;",$AC$2:AC68),2),IF(OR(AB69="",C69="",NOT(ISNUMBER($Z$2))),"",ROUND(AB69*C69*$Z$2,2)))</f>
        <v/>
      </c>
      <c r="AD69" s="155">
        <f>IF(A69="","",posicao_contratual!E69)</f>
        <v/>
      </c>
      <c r="AE69" s="155">
        <f>IF(A69="","",posicao_contratual!I69)</f>
        <v/>
      </c>
      <c r="AF69" s="155">
        <f>IF(A69="","",posicao_contratual!M69)</f>
        <v/>
      </c>
      <c r="AG69" s="155">
        <f>IF(A69="","",posicao_contratual!Q69)</f>
        <v/>
      </c>
      <c r="AH69" s="155">
        <f>IF(A69="","",posicao_contratual!U69)</f>
        <v/>
      </c>
      <c r="AI69" s="155">
        <f>IF(A69="","",posicao_contratual!G69)</f>
        <v/>
      </c>
      <c r="AJ69" s="155">
        <f>IF(A69="","",posicao_contratual!K69)</f>
        <v/>
      </c>
      <c r="AK69" s="155">
        <f>IF(A69="","",posicao_contratual!O69)</f>
        <v/>
      </c>
      <c r="AL69" s="155">
        <f>IF(A69="","",posicao_contratual!S69)</f>
        <v/>
      </c>
      <c r="AM69" s="155">
        <f>IF(A69="","",posicao_contratual!W69)</f>
        <v/>
      </c>
      <c r="AN69" s="156">
        <f>IF(A69="","",posicao_contratual!X69)</f>
        <v/>
      </c>
      <c r="AO69">
        <f>IF($A69="","",ROUND(SUMIFS(itens_Consumidos!$E$2:$E$200,itens_Consumidos!$A$2:$A$200,$A69),2))</f>
        <v/>
      </c>
      <c r="AP69">
        <f>IF(OR($A69="",AB69=""),"",ROUND(MAX(AB69-AO69,0),2))</f>
        <v/>
      </c>
      <c r="AQ69">
        <f>IF(OR($A69="",AB69="",MEMORIA_RESULTADOS!$I$258=""),"",ROUND(AB69*$C69*(MEMORIA_RESULTADOS!$I$258-1),2))</f>
        <v/>
      </c>
      <c r="AR69">
        <f>IF(OR($A69="",AP69="",MEMORIA_RESULTADOS!$I$258=""),"",ROUND(AP69*$C69*(parametros!$F$2-MEMORIA_RESULTADOS!$I$258),2))</f>
        <v/>
      </c>
      <c r="AS69">
        <f>IF($A69="","",ROUND(SUMIFS(itens_Consumidos!$G$2:$G$200,itens_Consumidos!$A$2:$A$200,$A69),2))</f>
        <v/>
      </c>
      <c r="AT69">
        <f>IF(OR($A69="",M69=""),"",ROUND(MAX(M69-AS69,0),2))</f>
        <v/>
      </c>
      <c r="AU69">
        <f>IF(OR($A69="",M69="",MEMORIA_RESULTADOS!$I$259=""),"",ROUND(M69*$C69*(MEMORIA_RESULTADOS!$I$259-1),2))</f>
        <v/>
      </c>
      <c r="AV69">
        <f>IF(OR($A69="",AT69="",MEMORIA_RESULTADOS!$I$259=""),"",ROUND(AT69*$C69*(parametros!$F$3-MEMORIA_RESULTADOS!$I$259),2))</f>
        <v/>
      </c>
      <c r="AW69">
        <f>IF($A69="","",ROUND(SUMIFS(itens_Consumidos!$I$2:$I$200,itens_Consumidos!$A$2:$A$200,$A69),2))</f>
        <v/>
      </c>
      <c r="AX69">
        <f>IF(OR($A69="",O69=""),"",ROUND(MAX(O69-AW69,0),2))</f>
        <v/>
      </c>
      <c r="AY69">
        <f>IF(OR($A69="",O69="",MEMORIA_RESULTADOS!$I$260=""),"",ROUND(O69*$C69*(MEMORIA_RESULTADOS!$I$260-1),2))</f>
        <v/>
      </c>
      <c r="AZ69">
        <f>IF(OR($A69="",AX69="",MEMORIA_RESULTADOS!$I$260=""),"",ROUND(AX69*$C69*(parametros!$F$4-MEMORIA_RESULTADOS!$I$260),2))</f>
        <v/>
      </c>
      <c r="BA69">
        <f>IF($A69="","",ROUND(SUMIFS(itens_Consumidos!$K$2:$K$200,itens_Consumidos!$A$2:$A$200,$A69),2))</f>
        <v/>
      </c>
      <c r="BB69">
        <f>IF(OR($A69="",Q69=""),"",ROUND(MAX(Q69-BA69,0),2))</f>
        <v/>
      </c>
      <c r="BC69">
        <f>IF(OR($A69="",Q69="",MEMORIA_RESULTADOS!$I$261=""),"",ROUND(Q69*$C69*(MEMORIA_RESULTADOS!$I$261-1),2))</f>
        <v/>
      </c>
      <c r="BD69">
        <f>IF(OR($A69="",BB69="",MEMORIA_RESULTADOS!$I$261=""),"",ROUND(BB69*$C69*(parametros!$F$5-MEMORIA_RESULTADOS!$I$261),2))</f>
        <v/>
      </c>
      <c r="BE69">
        <f>IF($A69="","",ROUND(SUMIFS(itens_Consumidos!$M$2:$M$200,itens_Consumidos!$A$2:$A$200,$A69),2))</f>
        <v/>
      </c>
      <c r="BF69">
        <f>IF(OR($A69="",S69=""),"",ROUND(MAX(S69-BE69,0),2))</f>
        <v/>
      </c>
      <c r="BG69">
        <f>IF(OR($A69="",S69="",MEMORIA_RESULTADOS!$I$262=""),"",ROUND(S69*$C69*(MEMORIA_RESULTADOS!$I$262-1),2))</f>
        <v/>
      </c>
      <c r="BH69">
        <f>IF(OR($A69="",BF69="",MEMORIA_RESULTADOS!$I$262=""),"",ROUND(BF69*$C69*(parametros!$F$6-MEMORIA_RESULTADOS!$I$262),2))</f>
        <v/>
      </c>
    </row>
    <row r="70">
      <c r="A70" s="86" t="n"/>
      <c r="B70" s="87">
        <f>IF(AND(LEN(TRIM($A70))=4,LEFT(TRIM($A70),1)="N",ISNUMBER(--MID(TRIM($A70),2,3)),ISERROR(FIND(".",$A70)),ISERROR(FIND(",",$A70)),ISERROR(FIND("-",$A70)),ISERROR(FIND("+",$A70)),ISERROR(SEARCH("E",$A70,2)),ISERROR(FIND(" ",TRIM($A70)))),0,"")</f>
        <v/>
      </c>
      <c r="C70" s="339" t="n"/>
      <c r="D70" s="335">
        <f>IF(AND(A70="",A69&lt;&gt;"",COUNTIF(A71:$A$200,"&lt;&gt;")=0),ROUND(SUMIF($A$2:A69,"&lt;&gt;",$D$2:D69),2),IF(OR(A70="",B70="",C70=""),"",ROUND(B70*C70,2)))</f>
        <v/>
      </c>
      <c r="E70" s="89" t="n"/>
      <c r="F70" s="335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 t="n"/>
      <c r="H70" s="335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 t="n"/>
      <c r="J70" s="335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 t="n"/>
      <c r="L70" s="335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>
        <f>IF(OR(posicao_contratual!J70="",posicao_contratual!N70=""),"",ROUND(MAX(posicao_contratual!J70+posicao_contratual!H70-posicao_contratual!N70,0),2))</f>
        <v/>
      </c>
      <c r="N70" s="335">
        <f>IF(AND(A70="",A69&lt;&gt;"",COUNTIF(A71:$A$200,"&lt;&gt;")=0),ROUND(SUMIF($A$2:A69,"&lt;&gt;",$N$2:N69),2),IF(OR(M70="",C70="",NOT(ISNUMBER($Z$3))),"",ROUND(M70*C70*$Z$3,2)))</f>
        <v/>
      </c>
      <c r="O70" s="90">
        <f>IF(OR(posicao_contratual!N70="",posicao_contratual!R70=""),"",ROUND(MAX(posicao_contratual!N70+posicao_contratual!L70-posicao_contratual!R70,0),2))</f>
        <v/>
      </c>
      <c r="P70" s="335">
        <f>IF(AND(A70="",A69&lt;&gt;"",COUNTIF(A71:$A$200,"&lt;&gt;")=0),ROUND(SUMIF($A$2:A69,"&lt;&gt;",$P$2:P69),2),IF(OR(O70="",C70="",NOT(ISNUMBER($Z$4))),"",ROUND(O70*C70*$Z$4,2)))</f>
        <v/>
      </c>
      <c r="Q70" s="90">
        <f>IF(OR(posicao_contratual!R70="",posicao_contratual!V70=""),"",ROUND(MAX(posicao_contratual!R70+posicao_contratual!P70-posicao_contratual!V70,0),2))</f>
        <v/>
      </c>
      <c r="R70" s="335">
        <f>IF(AND(A70="",A69&lt;&gt;"",COUNTIF(A71:$A$200,"&lt;&gt;")=0),ROUND(SUMIF($A$2:A69,"&lt;&gt;",$R$2:R69),2),IF(OR(Q70="",C70="",NOT(ISNUMBER($Z$5))),"",ROUND(Q70*C70*$Z$5,2)))</f>
        <v/>
      </c>
      <c r="S70" s="22" t="n"/>
      <c r="T70" s="340" t="n"/>
      <c r="U70" s="91">
        <f>IF(AND(A70="",A69&lt;&gt;"",COUNTIF(A71:$A$200,"&lt;&gt;")=0),"TOTAL",IF(A70="","",posicao_contratual!X70))</f>
        <v/>
      </c>
      <c r="V70" s="91">
        <f>IF(A70="","",posicao_contratual!X70)</f>
        <v/>
      </c>
      <c r="W70" s="14" t="n"/>
      <c r="X70" s="14" t="n"/>
      <c r="Y70" s="14" t="n"/>
      <c r="Z70" s="13" t="n"/>
      <c r="AA70" s="13" t="n"/>
      <c r="AB70" s="90">
        <f>IF(OR(A70="",posicao_contratual!E70="",posicao_contratual!J70=""),"",ROUND(MAX(posicao_contratual!E70-posicao_contratual!J70,0),2))</f>
        <v/>
      </c>
      <c r="AC70" s="335">
        <f>IF(AND(A70="",A69&lt;&gt;"",COUNTIF(A71:$A$200,"&lt;&gt;")=0),ROUND(SUMIF($A$2:A69,"&lt;&gt;",$AC$2:AC69),2),IF(OR(AB70="",C70="",NOT(ISNUMBER($Z$2))),"",ROUND(AB70*C70*$Z$2,2)))</f>
        <v/>
      </c>
      <c r="AD70" s="155">
        <f>IF(A70="","",posicao_contratual!E70)</f>
        <v/>
      </c>
      <c r="AE70" s="155">
        <f>IF(A70="","",posicao_contratual!I70)</f>
        <v/>
      </c>
      <c r="AF70" s="155">
        <f>IF(A70="","",posicao_contratual!M70)</f>
        <v/>
      </c>
      <c r="AG70" s="155">
        <f>IF(A70="","",posicao_contratual!Q70)</f>
        <v/>
      </c>
      <c r="AH70" s="155">
        <f>IF(A70="","",posicao_contratual!U70)</f>
        <v/>
      </c>
      <c r="AI70" s="155">
        <f>IF(A70="","",posicao_contratual!G70)</f>
        <v/>
      </c>
      <c r="AJ70" s="155">
        <f>IF(A70="","",posicao_contratual!K70)</f>
        <v/>
      </c>
      <c r="AK70" s="155">
        <f>IF(A70="","",posicao_contratual!O70)</f>
        <v/>
      </c>
      <c r="AL70" s="155">
        <f>IF(A70="","",posicao_contratual!S70)</f>
        <v/>
      </c>
      <c r="AM70" s="155">
        <f>IF(A70="","",posicao_contratual!W70)</f>
        <v/>
      </c>
      <c r="AN70" s="156">
        <f>IF(A70="","",posicao_contratual!X70)</f>
        <v/>
      </c>
      <c r="AO70">
        <f>IF($A70="","",ROUND(SUMIFS(itens_Consumidos!$E$2:$E$200,itens_Consumidos!$A$2:$A$200,$A70),2))</f>
        <v/>
      </c>
      <c r="AP70">
        <f>IF(OR($A70="",AB70=""),"",ROUND(MAX(AB70-AO70,0),2))</f>
        <v/>
      </c>
      <c r="AQ70">
        <f>IF(OR($A70="",AB70="",MEMORIA_RESULTADOS!$I$258=""),"",ROUND(AB70*$C70*(MEMORIA_RESULTADOS!$I$258-1),2))</f>
        <v/>
      </c>
      <c r="AR70">
        <f>IF(OR($A70="",AP70="",MEMORIA_RESULTADOS!$I$258=""),"",ROUND(AP70*$C70*(parametros!$F$2-MEMORIA_RESULTADOS!$I$258),2))</f>
        <v/>
      </c>
      <c r="AS70">
        <f>IF($A70="","",ROUND(SUMIFS(itens_Consumidos!$G$2:$G$200,itens_Consumidos!$A$2:$A$200,$A70),2))</f>
        <v/>
      </c>
      <c r="AT70">
        <f>IF(OR($A70="",M70=""),"",ROUND(MAX(M70-AS70,0),2))</f>
        <v/>
      </c>
      <c r="AU70">
        <f>IF(OR($A70="",M70="",MEMORIA_RESULTADOS!$I$259=""),"",ROUND(M70*$C70*(MEMORIA_RESULTADOS!$I$259-1),2))</f>
        <v/>
      </c>
      <c r="AV70">
        <f>IF(OR($A70="",AT70="",MEMORIA_RESULTADOS!$I$259=""),"",ROUND(AT70*$C70*(parametros!$F$3-MEMORIA_RESULTADOS!$I$259),2))</f>
        <v/>
      </c>
      <c r="AW70">
        <f>IF($A70="","",ROUND(SUMIFS(itens_Consumidos!$I$2:$I$200,itens_Consumidos!$A$2:$A$200,$A70),2))</f>
        <v/>
      </c>
      <c r="AX70">
        <f>IF(OR($A70="",O70=""),"",ROUND(MAX(O70-AW70,0),2))</f>
        <v/>
      </c>
      <c r="AY70">
        <f>IF(OR($A70="",O70="",MEMORIA_RESULTADOS!$I$260=""),"",ROUND(O70*$C70*(MEMORIA_RESULTADOS!$I$260-1),2))</f>
        <v/>
      </c>
      <c r="AZ70">
        <f>IF(OR($A70="",AX70="",MEMORIA_RESULTADOS!$I$260=""),"",ROUND(AX70*$C70*(parametros!$F$4-MEMORIA_RESULTADOS!$I$260),2))</f>
        <v/>
      </c>
      <c r="BA70">
        <f>IF($A70="","",ROUND(SUMIFS(itens_Consumidos!$K$2:$K$200,itens_Consumidos!$A$2:$A$200,$A70),2))</f>
        <v/>
      </c>
      <c r="BB70">
        <f>IF(OR($A70="",Q70=""),"",ROUND(MAX(Q70-BA70,0),2))</f>
        <v/>
      </c>
      <c r="BC70">
        <f>IF(OR($A70="",Q70="",MEMORIA_RESULTADOS!$I$261=""),"",ROUND(Q70*$C70*(MEMORIA_RESULTADOS!$I$261-1),2))</f>
        <v/>
      </c>
      <c r="BD70">
        <f>IF(OR($A70="",BB70="",MEMORIA_RESULTADOS!$I$261=""),"",ROUND(BB70*$C70*(parametros!$F$5-MEMORIA_RESULTADOS!$I$261),2))</f>
        <v/>
      </c>
      <c r="BE70">
        <f>IF($A70="","",ROUND(SUMIFS(itens_Consumidos!$M$2:$M$200,itens_Consumidos!$A$2:$A$200,$A70),2))</f>
        <v/>
      </c>
      <c r="BF70">
        <f>IF(OR($A70="",S70=""),"",ROUND(MAX(S70-BE70,0),2))</f>
        <v/>
      </c>
      <c r="BG70">
        <f>IF(OR($A70="",S70="",MEMORIA_RESULTADOS!$I$262=""),"",ROUND(S70*$C70*(MEMORIA_RESULTADOS!$I$262-1),2))</f>
        <v/>
      </c>
      <c r="BH70">
        <f>IF(OR($A70="",BF70="",MEMORIA_RESULTADOS!$I$262=""),"",ROUND(BF70*$C70*(parametros!$F$6-MEMORIA_RESULTADOS!$I$262),2))</f>
        <v/>
      </c>
    </row>
    <row r="71">
      <c r="A71" s="86" t="n"/>
      <c r="B71" s="87">
        <f>IF(AND(LEN(TRIM($A71))=4,LEFT(TRIM($A71),1)="N",ISNUMBER(--MID(TRIM($A71),2,3)),ISERROR(FIND(".",$A71)),ISERROR(FIND(",",$A71)),ISERROR(FIND("-",$A71)),ISERROR(FIND("+",$A71)),ISERROR(SEARCH("E",$A71,2)),ISERROR(FIND(" ",TRIM($A71)))),0,"")</f>
        <v/>
      </c>
      <c r="C71" s="339" t="n"/>
      <c r="D71" s="335">
        <f>IF(AND(A71="",A70&lt;&gt;"",COUNTIF(A72:$A$200,"&lt;&gt;")=0),ROUND(SUMIF($A$2:A70,"&lt;&gt;",$D$2:D70),2),IF(OR(A71="",B71="",C71=""),"",ROUND(B71*C71,2)))</f>
        <v/>
      </c>
      <c r="E71" s="89" t="n"/>
      <c r="F71" s="335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 t="n"/>
      <c r="H71" s="335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 t="n"/>
      <c r="J71" s="335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 t="n"/>
      <c r="L71" s="335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>
        <f>IF(OR(posicao_contratual!J71="",posicao_contratual!N71=""),"",ROUND(MAX(posicao_contratual!J71+posicao_contratual!H71-posicao_contratual!N71,0),2))</f>
        <v/>
      </c>
      <c r="N71" s="335">
        <f>IF(AND(A71="",A70&lt;&gt;"",COUNTIF(A72:$A$200,"&lt;&gt;")=0),ROUND(SUMIF($A$2:A70,"&lt;&gt;",$N$2:N70),2),IF(OR(M71="",C71="",NOT(ISNUMBER($Z$3))),"",ROUND(M71*C71*$Z$3,2)))</f>
        <v/>
      </c>
      <c r="O71" s="90">
        <f>IF(OR(posicao_contratual!N71="",posicao_contratual!R71=""),"",ROUND(MAX(posicao_contratual!N71+posicao_contratual!L71-posicao_contratual!R71,0),2))</f>
        <v/>
      </c>
      <c r="P71" s="335">
        <f>IF(AND(A71="",A70&lt;&gt;"",COUNTIF(A72:$A$200,"&lt;&gt;")=0),ROUND(SUMIF($A$2:A70,"&lt;&gt;",$P$2:P70),2),IF(OR(O71="",C71="",NOT(ISNUMBER($Z$4))),"",ROUND(O71*C71*$Z$4,2)))</f>
        <v/>
      </c>
      <c r="Q71" s="90">
        <f>IF(OR(posicao_contratual!R71="",posicao_contratual!V71=""),"",ROUND(MAX(posicao_contratual!R71+posicao_contratual!P71-posicao_contratual!V71,0),2))</f>
        <v/>
      </c>
      <c r="R71" s="335">
        <f>IF(AND(A71="",A70&lt;&gt;"",COUNTIF(A72:$A$200,"&lt;&gt;")=0),ROUND(SUMIF($A$2:A70,"&lt;&gt;",$R$2:R70),2),IF(OR(Q71="",C71="",NOT(ISNUMBER($Z$5))),"",ROUND(Q71*C71*$Z$5,2)))</f>
        <v/>
      </c>
      <c r="S71" s="22" t="n"/>
      <c r="T71" s="340" t="n"/>
      <c r="U71" s="91">
        <f>IF(AND(A71="",A70&lt;&gt;"",COUNTIF(A72:$A$200,"&lt;&gt;")=0),"TOTAL",IF(A71="","",posicao_contratual!X71))</f>
        <v/>
      </c>
      <c r="V71" s="91">
        <f>IF(A71="","",posicao_contratual!X71)</f>
        <v/>
      </c>
      <c r="W71" s="14" t="n"/>
      <c r="X71" s="14" t="n"/>
      <c r="Y71" s="14" t="n"/>
      <c r="Z71" s="13" t="n"/>
      <c r="AA71" s="13" t="n"/>
      <c r="AB71" s="90">
        <f>IF(OR(A71="",posicao_contratual!E71="",posicao_contratual!J71=""),"",ROUND(MAX(posicao_contratual!E71-posicao_contratual!J71,0),2))</f>
        <v/>
      </c>
      <c r="AC71" s="335">
        <f>IF(AND(A71="",A70&lt;&gt;"",COUNTIF(A72:$A$200,"&lt;&gt;")=0),ROUND(SUMIF($A$2:A70,"&lt;&gt;",$AC$2:AC70),2),IF(OR(AB71="",C71="",NOT(ISNUMBER($Z$2))),"",ROUND(AB71*C71*$Z$2,2)))</f>
        <v/>
      </c>
      <c r="AD71" s="155">
        <f>IF(A71="","",posicao_contratual!E71)</f>
        <v/>
      </c>
      <c r="AE71" s="155">
        <f>IF(A71="","",posicao_contratual!I71)</f>
        <v/>
      </c>
      <c r="AF71" s="155">
        <f>IF(A71="","",posicao_contratual!M71)</f>
        <v/>
      </c>
      <c r="AG71" s="155">
        <f>IF(A71="","",posicao_contratual!Q71)</f>
        <v/>
      </c>
      <c r="AH71" s="155">
        <f>IF(A71="","",posicao_contratual!U71)</f>
        <v/>
      </c>
      <c r="AI71" s="155">
        <f>IF(A71="","",posicao_contratual!G71)</f>
        <v/>
      </c>
      <c r="AJ71" s="155">
        <f>IF(A71="","",posicao_contratual!K71)</f>
        <v/>
      </c>
      <c r="AK71" s="155">
        <f>IF(A71="","",posicao_contratual!O71)</f>
        <v/>
      </c>
      <c r="AL71" s="155">
        <f>IF(A71="","",posicao_contratual!S71)</f>
        <v/>
      </c>
      <c r="AM71" s="155">
        <f>IF(A71="","",posicao_contratual!W71)</f>
        <v/>
      </c>
      <c r="AN71" s="156">
        <f>IF(A71="","",posicao_contratual!X71)</f>
        <v/>
      </c>
      <c r="AO71">
        <f>IF($A71="","",ROUND(SUMIFS(itens_Consumidos!$E$2:$E$200,itens_Consumidos!$A$2:$A$200,$A71),2))</f>
        <v/>
      </c>
      <c r="AP71">
        <f>IF(OR($A71="",AB71=""),"",ROUND(MAX(AB71-AO71,0),2))</f>
        <v/>
      </c>
      <c r="AQ71">
        <f>IF(OR($A71="",AB71="",MEMORIA_RESULTADOS!$I$258=""),"",ROUND(AB71*$C71*(MEMORIA_RESULTADOS!$I$258-1),2))</f>
        <v/>
      </c>
      <c r="AR71">
        <f>IF(OR($A71="",AP71="",MEMORIA_RESULTADOS!$I$258=""),"",ROUND(AP71*$C71*(parametros!$F$2-MEMORIA_RESULTADOS!$I$258),2))</f>
        <v/>
      </c>
      <c r="AS71">
        <f>IF($A71="","",ROUND(SUMIFS(itens_Consumidos!$G$2:$G$200,itens_Consumidos!$A$2:$A$200,$A71),2))</f>
        <v/>
      </c>
      <c r="AT71">
        <f>IF(OR($A71="",M71=""),"",ROUND(MAX(M71-AS71,0),2))</f>
        <v/>
      </c>
      <c r="AU71">
        <f>IF(OR($A71="",M71="",MEMORIA_RESULTADOS!$I$259=""),"",ROUND(M71*$C71*(MEMORIA_RESULTADOS!$I$259-1),2))</f>
        <v/>
      </c>
      <c r="AV71">
        <f>IF(OR($A71="",AT71="",MEMORIA_RESULTADOS!$I$259=""),"",ROUND(AT71*$C71*(parametros!$F$3-MEMORIA_RESULTADOS!$I$259),2))</f>
        <v/>
      </c>
      <c r="AW71">
        <f>IF($A71="","",ROUND(SUMIFS(itens_Consumidos!$I$2:$I$200,itens_Consumidos!$A$2:$A$200,$A71),2))</f>
        <v/>
      </c>
      <c r="AX71">
        <f>IF(OR($A71="",O71=""),"",ROUND(MAX(O71-AW71,0),2))</f>
        <v/>
      </c>
      <c r="AY71">
        <f>IF(OR($A71="",O71="",MEMORIA_RESULTADOS!$I$260=""),"",ROUND(O71*$C71*(MEMORIA_RESULTADOS!$I$260-1),2))</f>
        <v/>
      </c>
      <c r="AZ71">
        <f>IF(OR($A71="",AX71="",MEMORIA_RESULTADOS!$I$260=""),"",ROUND(AX71*$C71*(parametros!$F$4-MEMORIA_RESULTADOS!$I$260),2))</f>
        <v/>
      </c>
      <c r="BA71">
        <f>IF($A71="","",ROUND(SUMIFS(itens_Consumidos!$K$2:$K$200,itens_Consumidos!$A$2:$A$200,$A71),2))</f>
        <v/>
      </c>
      <c r="BB71">
        <f>IF(OR($A71="",Q71=""),"",ROUND(MAX(Q71-BA71,0),2))</f>
        <v/>
      </c>
      <c r="BC71">
        <f>IF(OR($A71="",Q71="",MEMORIA_RESULTADOS!$I$261=""),"",ROUND(Q71*$C71*(MEMORIA_RESULTADOS!$I$261-1),2))</f>
        <v/>
      </c>
      <c r="BD71">
        <f>IF(OR($A71="",BB71="",MEMORIA_RESULTADOS!$I$261=""),"",ROUND(BB71*$C71*(parametros!$F$5-MEMORIA_RESULTADOS!$I$261),2))</f>
        <v/>
      </c>
      <c r="BE71">
        <f>IF($A71="","",ROUND(SUMIFS(itens_Consumidos!$M$2:$M$200,itens_Consumidos!$A$2:$A$200,$A71),2))</f>
        <v/>
      </c>
      <c r="BF71">
        <f>IF(OR($A71="",S71=""),"",ROUND(MAX(S71-BE71,0),2))</f>
        <v/>
      </c>
      <c r="BG71">
        <f>IF(OR($A71="",S71="",MEMORIA_RESULTADOS!$I$262=""),"",ROUND(S71*$C71*(MEMORIA_RESULTADOS!$I$262-1),2))</f>
        <v/>
      </c>
      <c r="BH71">
        <f>IF(OR($A71="",BF71="",MEMORIA_RESULTADOS!$I$262=""),"",ROUND(BF71*$C71*(parametros!$F$6-MEMORIA_RESULTADOS!$I$262),2))</f>
        <v/>
      </c>
    </row>
    <row r="72">
      <c r="A72" s="86" t="n"/>
      <c r="B72" s="87">
        <f>IF(AND(LEN(TRIM($A72))=4,LEFT(TRIM($A72),1)="N",ISNUMBER(--MID(TRIM($A72),2,3)),ISERROR(FIND(".",$A72)),ISERROR(FIND(",",$A72)),ISERROR(FIND("-",$A72)),ISERROR(FIND("+",$A72)),ISERROR(SEARCH("E",$A72,2)),ISERROR(FIND(" ",TRIM($A72)))),0,"")</f>
        <v/>
      </c>
      <c r="C72" s="339" t="n"/>
      <c r="D72" s="335">
        <f>IF(AND(A72="",A71&lt;&gt;"",COUNTIF(A73:$A$200,"&lt;&gt;")=0),ROUND(SUMIF($A$2:A71,"&lt;&gt;",$D$2:D71),2),IF(OR(A72="",B72="",C72=""),"",ROUND(B72*C72,2)))</f>
        <v/>
      </c>
      <c r="E72" s="89" t="n"/>
      <c r="F72" s="335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 t="n"/>
      <c r="H72" s="335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 t="n"/>
      <c r="J72" s="335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 t="n"/>
      <c r="L72" s="335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>
        <f>IF(OR(posicao_contratual!J72="",posicao_contratual!N72=""),"",ROUND(MAX(posicao_contratual!J72+posicao_contratual!H72-posicao_contratual!N72,0),2))</f>
        <v/>
      </c>
      <c r="N72" s="335">
        <f>IF(AND(A72="",A71&lt;&gt;"",COUNTIF(A73:$A$200,"&lt;&gt;")=0),ROUND(SUMIF($A$2:A71,"&lt;&gt;",$N$2:N71),2),IF(OR(M72="",C72="",NOT(ISNUMBER($Z$3))),"",ROUND(M72*C72*$Z$3,2)))</f>
        <v/>
      </c>
      <c r="O72" s="90">
        <f>IF(OR(posicao_contratual!N72="",posicao_contratual!R72=""),"",ROUND(MAX(posicao_contratual!N72+posicao_contratual!L72-posicao_contratual!R72,0),2))</f>
        <v/>
      </c>
      <c r="P72" s="335">
        <f>IF(AND(A72="",A71&lt;&gt;"",COUNTIF(A73:$A$200,"&lt;&gt;")=0),ROUND(SUMIF($A$2:A71,"&lt;&gt;",$P$2:P71),2),IF(OR(O72="",C72="",NOT(ISNUMBER($Z$4))),"",ROUND(O72*C72*$Z$4,2)))</f>
        <v/>
      </c>
      <c r="Q72" s="90">
        <f>IF(OR(posicao_contratual!R72="",posicao_contratual!V72=""),"",ROUND(MAX(posicao_contratual!R72+posicao_contratual!P72-posicao_contratual!V72,0),2))</f>
        <v/>
      </c>
      <c r="R72" s="335">
        <f>IF(AND(A72="",A71&lt;&gt;"",COUNTIF(A73:$A$200,"&lt;&gt;")=0),ROUND(SUMIF($A$2:A71,"&lt;&gt;",$R$2:R71),2),IF(OR(Q72="",C72="",NOT(ISNUMBER($Z$5))),"",ROUND(Q72*C72*$Z$5,2)))</f>
        <v/>
      </c>
      <c r="S72" s="22" t="n"/>
      <c r="T72" s="340" t="n"/>
      <c r="U72" s="91">
        <f>IF(AND(A72="",A71&lt;&gt;"",COUNTIF(A73:$A$200,"&lt;&gt;")=0),"TOTAL",IF(A72="","",posicao_contratual!X72))</f>
        <v/>
      </c>
      <c r="V72" s="91">
        <f>IF(A72="","",posicao_contratual!X72)</f>
        <v/>
      </c>
      <c r="W72" s="14" t="n"/>
      <c r="X72" s="14" t="n"/>
      <c r="Y72" s="14" t="n"/>
      <c r="Z72" s="13" t="n"/>
      <c r="AA72" s="13" t="n"/>
      <c r="AB72" s="90">
        <f>IF(OR(A72="",posicao_contratual!E72="",posicao_contratual!J72=""),"",ROUND(MAX(posicao_contratual!E72-posicao_contratual!J72,0),2))</f>
        <v/>
      </c>
      <c r="AC72" s="335">
        <f>IF(AND(A72="",A71&lt;&gt;"",COUNTIF(A73:$A$200,"&lt;&gt;")=0),ROUND(SUMIF($A$2:A71,"&lt;&gt;",$AC$2:AC71),2),IF(OR(AB72="",C72="",NOT(ISNUMBER($Z$2))),"",ROUND(AB72*C72*$Z$2,2)))</f>
        <v/>
      </c>
      <c r="AD72" s="155">
        <f>IF(A72="","",posicao_contratual!E72)</f>
        <v/>
      </c>
      <c r="AE72" s="155">
        <f>IF(A72="","",posicao_contratual!I72)</f>
        <v/>
      </c>
      <c r="AF72" s="155">
        <f>IF(A72="","",posicao_contratual!M72)</f>
        <v/>
      </c>
      <c r="AG72" s="155">
        <f>IF(A72="","",posicao_contratual!Q72)</f>
        <v/>
      </c>
      <c r="AH72" s="155">
        <f>IF(A72="","",posicao_contratual!U72)</f>
        <v/>
      </c>
      <c r="AI72" s="155">
        <f>IF(A72="","",posicao_contratual!G72)</f>
        <v/>
      </c>
      <c r="AJ72" s="155">
        <f>IF(A72="","",posicao_contratual!K72)</f>
        <v/>
      </c>
      <c r="AK72" s="155">
        <f>IF(A72="","",posicao_contratual!O72)</f>
        <v/>
      </c>
      <c r="AL72" s="155">
        <f>IF(A72="","",posicao_contratual!S72)</f>
        <v/>
      </c>
      <c r="AM72" s="155">
        <f>IF(A72="","",posicao_contratual!W72)</f>
        <v/>
      </c>
      <c r="AN72" s="156">
        <f>IF(A72="","",posicao_contratual!X72)</f>
        <v/>
      </c>
      <c r="AO72">
        <f>IF($A72="","",ROUND(SUMIFS(itens_Consumidos!$E$2:$E$200,itens_Consumidos!$A$2:$A$200,$A72),2))</f>
        <v/>
      </c>
      <c r="AP72">
        <f>IF(OR($A72="",AB72=""),"",ROUND(MAX(AB72-AO72,0),2))</f>
        <v/>
      </c>
      <c r="AQ72">
        <f>IF(OR($A72="",AB72="",MEMORIA_RESULTADOS!$I$258=""),"",ROUND(AB72*$C72*(MEMORIA_RESULTADOS!$I$258-1),2))</f>
        <v/>
      </c>
      <c r="AR72">
        <f>IF(OR($A72="",AP72="",MEMORIA_RESULTADOS!$I$258=""),"",ROUND(AP72*$C72*(parametros!$F$2-MEMORIA_RESULTADOS!$I$258),2))</f>
        <v/>
      </c>
      <c r="AS72">
        <f>IF($A72="","",ROUND(SUMIFS(itens_Consumidos!$G$2:$G$200,itens_Consumidos!$A$2:$A$200,$A72),2))</f>
        <v/>
      </c>
      <c r="AT72">
        <f>IF(OR($A72="",M72=""),"",ROUND(MAX(M72-AS72,0),2))</f>
        <v/>
      </c>
      <c r="AU72">
        <f>IF(OR($A72="",M72="",MEMORIA_RESULTADOS!$I$259=""),"",ROUND(M72*$C72*(MEMORIA_RESULTADOS!$I$259-1),2))</f>
        <v/>
      </c>
      <c r="AV72">
        <f>IF(OR($A72="",AT72="",MEMORIA_RESULTADOS!$I$259=""),"",ROUND(AT72*$C72*(parametros!$F$3-MEMORIA_RESULTADOS!$I$259),2))</f>
        <v/>
      </c>
      <c r="AW72">
        <f>IF($A72="","",ROUND(SUMIFS(itens_Consumidos!$I$2:$I$200,itens_Consumidos!$A$2:$A$200,$A72),2))</f>
        <v/>
      </c>
      <c r="AX72">
        <f>IF(OR($A72="",O72=""),"",ROUND(MAX(O72-AW72,0),2))</f>
        <v/>
      </c>
      <c r="AY72">
        <f>IF(OR($A72="",O72="",MEMORIA_RESULTADOS!$I$260=""),"",ROUND(O72*$C72*(MEMORIA_RESULTADOS!$I$260-1),2))</f>
        <v/>
      </c>
      <c r="AZ72">
        <f>IF(OR($A72="",AX72="",MEMORIA_RESULTADOS!$I$260=""),"",ROUND(AX72*$C72*(parametros!$F$4-MEMORIA_RESULTADOS!$I$260),2))</f>
        <v/>
      </c>
      <c r="BA72">
        <f>IF($A72="","",ROUND(SUMIFS(itens_Consumidos!$K$2:$K$200,itens_Consumidos!$A$2:$A$200,$A72),2))</f>
        <v/>
      </c>
      <c r="BB72">
        <f>IF(OR($A72="",Q72=""),"",ROUND(MAX(Q72-BA72,0),2))</f>
        <v/>
      </c>
      <c r="BC72">
        <f>IF(OR($A72="",Q72="",MEMORIA_RESULTADOS!$I$261=""),"",ROUND(Q72*$C72*(MEMORIA_RESULTADOS!$I$261-1),2))</f>
        <v/>
      </c>
      <c r="BD72">
        <f>IF(OR($A72="",BB72="",MEMORIA_RESULTADOS!$I$261=""),"",ROUND(BB72*$C72*(parametros!$F$5-MEMORIA_RESULTADOS!$I$261),2))</f>
        <v/>
      </c>
      <c r="BE72">
        <f>IF($A72="","",ROUND(SUMIFS(itens_Consumidos!$M$2:$M$200,itens_Consumidos!$A$2:$A$200,$A72),2))</f>
        <v/>
      </c>
      <c r="BF72">
        <f>IF(OR($A72="",S72=""),"",ROUND(MAX(S72-BE72,0),2))</f>
        <v/>
      </c>
      <c r="BG72">
        <f>IF(OR($A72="",S72="",MEMORIA_RESULTADOS!$I$262=""),"",ROUND(S72*$C72*(MEMORIA_RESULTADOS!$I$262-1),2))</f>
        <v/>
      </c>
      <c r="BH72">
        <f>IF(OR($A72="",BF72="",MEMORIA_RESULTADOS!$I$262=""),"",ROUND(BF72*$C72*(parametros!$F$6-MEMORIA_RESULTADOS!$I$262),2))</f>
        <v/>
      </c>
    </row>
    <row r="73">
      <c r="A73" s="86" t="n"/>
      <c r="B73" s="87">
        <f>IF(AND(LEN(TRIM($A73))=4,LEFT(TRIM($A73),1)="N",ISNUMBER(--MID(TRIM($A73),2,3)),ISERROR(FIND(".",$A73)),ISERROR(FIND(",",$A73)),ISERROR(FIND("-",$A73)),ISERROR(FIND("+",$A73)),ISERROR(SEARCH("E",$A73,2)),ISERROR(FIND(" ",TRIM($A73)))),0,"")</f>
        <v/>
      </c>
      <c r="C73" s="339" t="n"/>
      <c r="D73" s="335">
        <f>IF(AND(A73="",A72&lt;&gt;"",COUNTIF(A74:$A$200,"&lt;&gt;")=0),ROUND(SUMIF($A$2:A72,"&lt;&gt;",$D$2:D72),2),IF(OR(A73="",B73="",C73=""),"",ROUND(B73*C73,2)))</f>
        <v/>
      </c>
      <c r="E73" s="89" t="n"/>
      <c r="F73" s="335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 t="n"/>
      <c r="H73" s="335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 t="n"/>
      <c r="J73" s="335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 t="n"/>
      <c r="L73" s="335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>
        <f>IF(OR(posicao_contratual!J73="",posicao_contratual!N73=""),"",ROUND(MAX(posicao_contratual!J73+posicao_contratual!H73-posicao_contratual!N73,0),2))</f>
        <v/>
      </c>
      <c r="N73" s="335">
        <f>IF(AND(A73="",A72&lt;&gt;"",COUNTIF(A74:$A$200,"&lt;&gt;")=0),ROUND(SUMIF($A$2:A72,"&lt;&gt;",$N$2:N72),2),IF(OR(M73="",C73="",NOT(ISNUMBER($Z$3))),"",ROUND(M73*C73*$Z$3,2)))</f>
        <v/>
      </c>
      <c r="O73" s="90">
        <f>IF(OR(posicao_contratual!N73="",posicao_contratual!R73=""),"",ROUND(MAX(posicao_contratual!N73+posicao_contratual!L73-posicao_contratual!R73,0),2))</f>
        <v/>
      </c>
      <c r="P73" s="335">
        <f>IF(AND(A73="",A72&lt;&gt;"",COUNTIF(A74:$A$200,"&lt;&gt;")=0),ROUND(SUMIF($A$2:A72,"&lt;&gt;",$P$2:P72),2),IF(OR(O73="",C73="",NOT(ISNUMBER($Z$4))),"",ROUND(O73*C73*$Z$4,2)))</f>
        <v/>
      </c>
      <c r="Q73" s="90">
        <f>IF(OR(posicao_contratual!R73="",posicao_contratual!V73=""),"",ROUND(MAX(posicao_contratual!R73+posicao_contratual!P73-posicao_contratual!V73,0),2))</f>
        <v/>
      </c>
      <c r="R73" s="335">
        <f>IF(AND(A73="",A72&lt;&gt;"",COUNTIF(A74:$A$200,"&lt;&gt;")=0),ROUND(SUMIF($A$2:A72,"&lt;&gt;",$R$2:R72),2),IF(OR(Q73="",C73="",NOT(ISNUMBER($Z$5))),"",ROUND(Q73*C73*$Z$5,2)))</f>
        <v/>
      </c>
      <c r="S73" s="22" t="n"/>
      <c r="T73" s="340" t="n"/>
      <c r="U73" s="91">
        <f>IF(AND(A73="",A72&lt;&gt;"",COUNTIF(A74:$A$200,"&lt;&gt;")=0),"TOTAL",IF(A73="","",posicao_contratual!X73))</f>
        <v/>
      </c>
      <c r="V73" s="91">
        <f>IF(A73="","",posicao_contratual!X73)</f>
        <v/>
      </c>
      <c r="W73" s="14" t="n"/>
      <c r="X73" s="14" t="n"/>
      <c r="Y73" s="14" t="n"/>
      <c r="Z73" s="13" t="n"/>
      <c r="AA73" s="13" t="n"/>
      <c r="AB73" s="90">
        <f>IF(OR(A73="",posicao_contratual!E73="",posicao_contratual!J73=""),"",ROUND(MAX(posicao_contratual!E73-posicao_contratual!J73,0),2))</f>
        <v/>
      </c>
      <c r="AC73" s="335">
        <f>IF(AND(A73="",A72&lt;&gt;"",COUNTIF(A74:$A$200,"&lt;&gt;")=0),ROUND(SUMIF($A$2:A72,"&lt;&gt;",$AC$2:AC72),2),IF(OR(AB73="",C73="",NOT(ISNUMBER($Z$2))),"",ROUND(AB73*C73*$Z$2,2)))</f>
        <v/>
      </c>
      <c r="AD73" s="155">
        <f>IF(A73="","",posicao_contratual!E73)</f>
        <v/>
      </c>
      <c r="AE73" s="155">
        <f>IF(A73="","",posicao_contratual!I73)</f>
        <v/>
      </c>
      <c r="AF73" s="155">
        <f>IF(A73="","",posicao_contratual!M73)</f>
        <v/>
      </c>
      <c r="AG73" s="155">
        <f>IF(A73="","",posicao_contratual!Q73)</f>
        <v/>
      </c>
      <c r="AH73" s="155">
        <f>IF(A73="","",posicao_contratual!U73)</f>
        <v/>
      </c>
      <c r="AI73" s="155">
        <f>IF(A73="","",posicao_contratual!G73)</f>
        <v/>
      </c>
      <c r="AJ73" s="155">
        <f>IF(A73="","",posicao_contratual!K73)</f>
        <v/>
      </c>
      <c r="AK73" s="155">
        <f>IF(A73="","",posicao_contratual!O73)</f>
        <v/>
      </c>
      <c r="AL73" s="155">
        <f>IF(A73="","",posicao_contratual!S73)</f>
        <v/>
      </c>
      <c r="AM73" s="155">
        <f>IF(A73="","",posicao_contratual!W73)</f>
        <v/>
      </c>
      <c r="AN73" s="156">
        <f>IF(A73="","",posicao_contratual!X73)</f>
        <v/>
      </c>
      <c r="AO73">
        <f>IF($A73="","",ROUND(SUMIFS(itens_Consumidos!$E$2:$E$200,itens_Consumidos!$A$2:$A$200,$A73),2))</f>
        <v/>
      </c>
      <c r="AP73">
        <f>IF(OR($A73="",AB73=""),"",ROUND(MAX(AB73-AO73,0),2))</f>
        <v/>
      </c>
      <c r="AQ73">
        <f>IF(OR($A73="",AB73="",MEMORIA_RESULTADOS!$I$258=""),"",ROUND(AB73*$C73*(MEMORIA_RESULTADOS!$I$258-1),2))</f>
        <v/>
      </c>
      <c r="AR73">
        <f>IF(OR($A73="",AP73="",MEMORIA_RESULTADOS!$I$258=""),"",ROUND(AP73*$C73*(parametros!$F$2-MEMORIA_RESULTADOS!$I$258),2))</f>
        <v/>
      </c>
      <c r="AS73">
        <f>IF($A73="","",ROUND(SUMIFS(itens_Consumidos!$G$2:$G$200,itens_Consumidos!$A$2:$A$200,$A73),2))</f>
        <v/>
      </c>
      <c r="AT73">
        <f>IF(OR($A73="",M73=""),"",ROUND(MAX(M73-AS73,0),2))</f>
        <v/>
      </c>
      <c r="AU73">
        <f>IF(OR($A73="",M73="",MEMORIA_RESULTADOS!$I$259=""),"",ROUND(M73*$C73*(MEMORIA_RESULTADOS!$I$259-1),2))</f>
        <v/>
      </c>
      <c r="AV73">
        <f>IF(OR($A73="",AT73="",MEMORIA_RESULTADOS!$I$259=""),"",ROUND(AT73*$C73*(parametros!$F$3-MEMORIA_RESULTADOS!$I$259),2))</f>
        <v/>
      </c>
      <c r="AW73">
        <f>IF($A73="","",ROUND(SUMIFS(itens_Consumidos!$I$2:$I$200,itens_Consumidos!$A$2:$A$200,$A73),2))</f>
        <v/>
      </c>
      <c r="AX73">
        <f>IF(OR($A73="",O73=""),"",ROUND(MAX(O73-AW73,0),2))</f>
        <v/>
      </c>
      <c r="AY73">
        <f>IF(OR($A73="",O73="",MEMORIA_RESULTADOS!$I$260=""),"",ROUND(O73*$C73*(MEMORIA_RESULTADOS!$I$260-1),2))</f>
        <v/>
      </c>
      <c r="AZ73">
        <f>IF(OR($A73="",AX73="",MEMORIA_RESULTADOS!$I$260=""),"",ROUND(AX73*$C73*(parametros!$F$4-MEMORIA_RESULTADOS!$I$260),2))</f>
        <v/>
      </c>
      <c r="BA73">
        <f>IF($A73="","",ROUND(SUMIFS(itens_Consumidos!$K$2:$K$200,itens_Consumidos!$A$2:$A$200,$A73),2))</f>
        <v/>
      </c>
      <c r="BB73">
        <f>IF(OR($A73="",Q73=""),"",ROUND(MAX(Q73-BA73,0),2))</f>
        <v/>
      </c>
      <c r="BC73">
        <f>IF(OR($A73="",Q73="",MEMORIA_RESULTADOS!$I$261=""),"",ROUND(Q73*$C73*(MEMORIA_RESULTADOS!$I$261-1),2))</f>
        <v/>
      </c>
      <c r="BD73">
        <f>IF(OR($A73="",BB73="",MEMORIA_RESULTADOS!$I$261=""),"",ROUND(BB73*$C73*(parametros!$F$5-MEMORIA_RESULTADOS!$I$261),2))</f>
        <v/>
      </c>
      <c r="BE73">
        <f>IF($A73="","",ROUND(SUMIFS(itens_Consumidos!$M$2:$M$200,itens_Consumidos!$A$2:$A$200,$A73),2))</f>
        <v/>
      </c>
      <c r="BF73">
        <f>IF(OR($A73="",S73=""),"",ROUND(MAX(S73-BE73,0),2))</f>
        <v/>
      </c>
      <c r="BG73">
        <f>IF(OR($A73="",S73="",MEMORIA_RESULTADOS!$I$262=""),"",ROUND(S73*$C73*(MEMORIA_RESULTADOS!$I$262-1),2))</f>
        <v/>
      </c>
      <c r="BH73">
        <f>IF(OR($A73="",BF73="",MEMORIA_RESULTADOS!$I$262=""),"",ROUND(BF73*$C73*(parametros!$F$6-MEMORIA_RESULTADOS!$I$262),2))</f>
        <v/>
      </c>
    </row>
    <row r="74">
      <c r="A74" s="86" t="n"/>
      <c r="B74" s="87">
        <f>IF(AND(LEN(TRIM($A74))=4,LEFT(TRIM($A74),1)="N",ISNUMBER(--MID(TRIM($A74),2,3)),ISERROR(FIND(".",$A74)),ISERROR(FIND(",",$A74)),ISERROR(FIND("-",$A74)),ISERROR(FIND("+",$A74)),ISERROR(SEARCH("E",$A74,2)),ISERROR(FIND(" ",TRIM($A74)))),0,"")</f>
        <v/>
      </c>
      <c r="C74" s="339" t="n"/>
      <c r="D74" s="335">
        <f>IF(AND(A74="",A73&lt;&gt;"",COUNTIF(A75:$A$200,"&lt;&gt;")=0),ROUND(SUMIF($A$2:A73,"&lt;&gt;",$D$2:D73),2),IF(OR(A74="",B74="",C74=""),"",ROUND(B74*C74,2)))</f>
        <v/>
      </c>
      <c r="E74" s="89" t="n"/>
      <c r="F74" s="335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 t="n"/>
      <c r="H74" s="335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 t="n"/>
      <c r="J74" s="335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 t="n"/>
      <c r="L74" s="335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>
        <f>IF(OR(posicao_contratual!J74="",posicao_contratual!N74=""),"",ROUND(MAX(posicao_contratual!J74+posicao_contratual!H74-posicao_contratual!N74,0),2))</f>
        <v/>
      </c>
      <c r="N74" s="335">
        <f>IF(AND(A74="",A73&lt;&gt;"",COUNTIF(A75:$A$200,"&lt;&gt;")=0),ROUND(SUMIF($A$2:A73,"&lt;&gt;",$N$2:N73),2),IF(OR(M74="",C74="",NOT(ISNUMBER($Z$3))),"",ROUND(M74*C74*$Z$3,2)))</f>
        <v/>
      </c>
      <c r="O74" s="90">
        <f>IF(OR(posicao_contratual!N74="",posicao_contratual!R74=""),"",ROUND(MAX(posicao_contratual!N74+posicao_contratual!L74-posicao_contratual!R74,0),2))</f>
        <v/>
      </c>
      <c r="P74" s="335">
        <f>IF(AND(A74="",A73&lt;&gt;"",COUNTIF(A75:$A$200,"&lt;&gt;")=0),ROUND(SUMIF($A$2:A73,"&lt;&gt;",$P$2:P73),2),IF(OR(O74="",C74="",NOT(ISNUMBER($Z$4))),"",ROUND(O74*C74*$Z$4,2)))</f>
        <v/>
      </c>
      <c r="Q74" s="90">
        <f>IF(OR(posicao_contratual!R74="",posicao_contratual!V74=""),"",ROUND(MAX(posicao_contratual!R74+posicao_contratual!P74-posicao_contratual!V74,0),2))</f>
        <v/>
      </c>
      <c r="R74" s="335">
        <f>IF(AND(A74="",A73&lt;&gt;"",COUNTIF(A75:$A$200,"&lt;&gt;")=0),ROUND(SUMIF($A$2:A73,"&lt;&gt;",$R$2:R73),2),IF(OR(Q74="",C74="",NOT(ISNUMBER($Z$5))),"",ROUND(Q74*C74*$Z$5,2)))</f>
        <v/>
      </c>
      <c r="S74" s="22" t="n"/>
      <c r="T74" s="340" t="n"/>
      <c r="U74" s="91">
        <f>IF(AND(A74="",A73&lt;&gt;"",COUNTIF(A75:$A$200,"&lt;&gt;")=0),"TOTAL",IF(A74="","",posicao_contratual!X74))</f>
        <v/>
      </c>
      <c r="V74" s="91">
        <f>IF(A74="","",posicao_contratual!X74)</f>
        <v/>
      </c>
      <c r="W74" s="14" t="n"/>
      <c r="X74" s="14" t="n"/>
      <c r="Y74" s="14" t="n"/>
      <c r="Z74" s="13" t="n"/>
      <c r="AA74" s="13" t="n"/>
      <c r="AB74" s="90">
        <f>IF(OR(A74="",posicao_contratual!E74="",posicao_contratual!J74=""),"",ROUND(MAX(posicao_contratual!E74-posicao_contratual!J74,0),2))</f>
        <v/>
      </c>
      <c r="AC74" s="335">
        <f>IF(AND(A74="",A73&lt;&gt;"",COUNTIF(A75:$A$200,"&lt;&gt;")=0),ROUND(SUMIF($A$2:A73,"&lt;&gt;",$AC$2:AC73),2),IF(OR(AB74="",C74="",NOT(ISNUMBER($Z$2))),"",ROUND(AB74*C74*$Z$2,2)))</f>
        <v/>
      </c>
      <c r="AD74" s="155">
        <f>IF(A74="","",posicao_contratual!E74)</f>
        <v/>
      </c>
      <c r="AE74" s="155">
        <f>IF(A74="","",posicao_contratual!I74)</f>
        <v/>
      </c>
      <c r="AF74" s="155">
        <f>IF(A74="","",posicao_contratual!M74)</f>
        <v/>
      </c>
      <c r="AG74" s="155">
        <f>IF(A74="","",posicao_contratual!Q74)</f>
        <v/>
      </c>
      <c r="AH74" s="155">
        <f>IF(A74="","",posicao_contratual!U74)</f>
        <v/>
      </c>
      <c r="AI74" s="155">
        <f>IF(A74="","",posicao_contratual!G74)</f>
        <v/>
      </c>
      <c r="AJ74" s="155">
        <f>IF(A74="","",posicao_contratual!K74)</f>
        <v/>
      </c>
      <c r="AK74" s="155">
        <f>IF(A74="","",posicao_contratual!O74)</f>
        <v/>
      </c>
      <c r="AL74" s="155">
        <f>IF(A74="","",posicao_contratual!S74)</f>
        <v/>
      </c>
      <c r="AM74" s="155">
        <f>IF(A74="","",posicao_contratual!W74)</f>
        <v/>
      </c>
      <c r="AN74" s="156">
        <f>IF(A74="","",posicao_contratual!X74)</f>
        <v/>
      </c>
      <c r="AO74">
        <f>IF($A74="","",ROUND(SUMIFS(itens_Consumidos!$E$2:$E$200,itens_Consumidos!$A$2:$A$200,$A74),2))</f>
        <v/>
      </c>
      <c r="AP74">
        <f>IF(OR($A74="",AB74=""),"",ROUND(MAX(AB74-AO74,0),2))</f>
        <v/>
      </c>
      <c r="AQ74">
        <f>IF(OR($A74="",AB74="",MEMORIA_RESULTADOS!$I$258=""),"",ROUND(AB74*$C74*(MEMORIA_RESULTADOS!$I$258-1),2))</f>
        <v/>
      </c>
      <c r="AR74">
        <f>IF(OR($A74="",AP74="",MEMORIA_RESULTADOS!$I$258=""),"",ROUND(AP74*$C74*(parametros!$F$2-MEMORIA_RESULTADOS!$I$258),2))</f>
        <v/>
      </c>
      <c r="AS74">
        <f>IF($A74="","",ROUND(SUMIFS(itens_Consumidos!$G$2:$G$200,itens_Consumidos!$A$2:$A$200,$A74),2))</f>
        <v/>
      </c>
      <c r="AT74">
        <f>IF(OR($A74="",M74=""),"",ROUND(MAX(M74-AS74,0),2))</f>
        <v/>
      </c>
      <c r="AU74">
        <f>IF(OR($A74="",M74="",MEMORIA_RESULTADOS!$I$259=""),"",ROUND(M74*$C74*(MEMORIA_RESULTADOS!$I$259-1),2))</f>
        <v/>
      </c>
      <c r="AV74">
        <f>IF(OR($A74="",AT74="",MEMORIA_RESULTADOS!$I$259=""),"",ROUND(AT74*$C74*(parametros!$F$3-MEMORIA_RESULTADOS!$I$259),2))</f>
        <v/>
      </c>
      <c r="AW74">
        <f>IF($A74="","",ROUND(SUMIFS(itens_Consumidos!$I$2:$I$200,itens_Consumidos!$A$2:$A$200,$A74),2))</f>
        <v/>
      </c>
      <c r="AX74">
        <f>IF(OR($A74="",O74=""),"",ROUND(MAX(O74-AW74,0),2))</f>
        <v/>
      </c>
      <c r="AY74">
        <f>IF(OR($A74="",O74="",MEMORIA_RESULTADOS!$I$260=""),"",ROUND(O74*$C74*(MEMORIA_RESULTADOS!$I$260-1),2))</f>
        <v/>
      </c>
      <c r="AZ74">
        <f>IF(OR($A74="",AX74="",MEMORIA_RESULTADOS!$I$260=""),"",ROUND(AX74*$C74*(parametros!$F$4-MEMORIA_RESULTADOS!$I$260),2))</f>
        <v/>
      </c>
      <c r="BA74">
        <f>IF($A74="","",ROUND(SUMIFS(itens_Consumidos!$K$2:$K$200,itens_Consumidos!$A$2:$A$200,$A74),2))</f>
        <v/>
      </c>
      <c r="BB74">
        <f>IF(OR($A74="",Q74=""),"",ROUND(MAX(Q74-BA74,0),2))</f>
        <v/>
      </c>
      <c r="BC74">
        <f>IF(OR($A74="",Q74="",MEMORIA_RESULTADOS!$I$261=""),"",ROUND(Q74*$C74*(MEMORIA_RESULTADOS!$I$261-1),2))</f>
        <v/>
      </c>
      <c r="BD74">
        <f>IF(OR($A74="",BB74="",MEMORIA_RESULTADOS!$I$261=""),"",ROUND(BB74*$C74*(parametros!$F$5-MEMORIA_RESULTADOS!$I$261),2))</f>
        <v/>
      </c>
      <c r="BE74">
        <f>IF($A74="","",ROUND(SUMIFS(itens_Consumidos!$M$2:$M$200,itens_Consumidos!$A$2:$A$200,$A74),2))</f>
        <v/>
      </c>
      <c r="BF74">
        <f>IF(OR($A74="",S74=""),"",ROUND(MAX(S74-BE74,0),2))</f>
        <v/>
      </c>
      <c r="BG74">
        <f>IF(OR($A74="",S74="",MEMORIA_RESULTADOS!$I$262=""),"",ROUND(S74*$C74*(MEMORIA_RESULTADOS!$I$262-1),2))</f>
        <v/>
      </c>
      <c r="BH74">
        <f>IF(OR($A74="",BF74="",MEMORIA_RESULTADOS!$I$262=""),"",ROUND(BF74*$C74*(parametros!$F$6-MEMORIA_RESULTADOS!$I$262),2))</f>
        <v/>
      </c>
    </row>
    <row r="75">
      <c r="A75" s="86" t="n"/>
      <c r="B75" s="87">
        <f>IF(AND(LEN(TRIM($A75))=4,LEFT(TRIM($A75),1)="N",ISNUMBER(--MID(TRIM($A75),2,3)),ISERROR(FIND(".",$A75)),ISERROR(FIND(",",$A75)),ISERROR(FIND("-",$A75)),ISERROR(FIND("+",$A75)),ISERROR(SEARCH("E",$A75,2)),ISERROR(FIND(" ",TRIM($A75)))),0,"")</f>
        <v/>
      </c>
      <c r="C75" s="339" t="n"/>
      <c r="D75" s="335">
        <f>IF(AND(A75="",A74&lt;&gt;"",COUNTIF(A76:$A$200,"&lt;&gt;")=0),ROUND(SUMIF($A$2:A74,"&lt;&gt;",$D$2:D74),2),IF(OR(A75="",B75="",C75=""),"",ROUND(B75*C75,2)))</f>
        <v/>
      </c>
      <c r="E75" s="89" t="n"/>
      <c r="F75" s="335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 t="n"/>
      <c r="H75" s="335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 t="n"/>
      <c r="J75" s="335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 t="n"/>
      <c r="L75" s="335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>
        <f>IF(OR(posicao_contratual!J75="",posicao_contratual!N75=""),"",ROUND(MAX(posicao_contratual!J75+posicao_contratual!H75-posicao_contratual!N75,0),2))</f>
        <v/>
      </c>
      <c r="N75" s="335">
        <f>IF(AND(A75="",A74&lt;&gt;"",COUNTIF(A76:$A$200,"&lt;&gt;")=0),ROUND(SUMIF($A$2:A74,"&lt;&gt;",$N$2:N74),2),IF(OR(M75="",C75="",NOT(ISNUMBER($Z$3))),"",ROUND(M75*C75*$Z$3,2)))</f>
        <v/>
      </c>
      <c r="O75" s="90">
        <f>IF(OR(posicao_contratual!N75="",posicao_contratual!R75=""),"",ROUND(MAX(posicao_contratual!N75+posicao_contratual!L75-posicao_contratual!R75,0),2))</f>
        <v/>
      </c>
      <c r="P75" s="335">
        <f>IF(AND(A75="",A74&lt;&gt;"",COUNTIF(A76:$A$200,"&lt;&gt;")=0),ROUND(SUMIF($A$2:A74,"&lt;&gt;",$P$2:P74),2),IF(OR(O75="",C75="",NOT(ISNUMBER($Z$4))),"",ROUND(O75*C75*$Z$4,2)))</f>
        <v/>
      </c>
      <c r="Q75" s="90">
        <f>IF(OR(posicao_contratual!R75="",posicao_contratual!V75=""),"",ROUND(MAX(posicao_contratual!R75+posicao_contratual!P75-posicao_contratual!V75,0),2))</f>
        <v/>
      </c>
      <c r="R75" s="335">
        <f>IF(AND(A75="",A74&lt;&gt;"",COUNTIF(A76:$A$200,"&lt;&gt;")=0),ROUND(SUMIF($A$2:A74,"&lt;&gt;",$R$2:R74),2),IF(OR(Q75="",C75="",NOT(ISNUMBER($Z$5))),"",ROUND(Q75*C75*$Z$5,2)))</f>
        <v/>
      </c>
      <c r="S75" s="22" t="n"/>
      <c r="T75" s="340" t="n"/>
      <c r="U75" s="91">
        <f>IF(AND(A75="",A74&lt;&gt;"",COUNTIF(A76:$A$200,"&lt;&gt;")=0),"TOTAL",IF(A75="","",posicao_contratual!X75))</f>
        <v/>
      </c>
      <c r="V75" s="91">
        <f>IF(A75="","",posicao_contratual!X75)</f>
        <v/>
      </c>
      <c r="W75" s="14" t="n"/>
      <c r="X75" s="14" t="n"/>
      <c r="Y75" s="14" t="n"/>
      <c r="Z75" s="13" t="n"/>
      <c r="AA75" s="13" t="n"/>
      <c r="AB75" s="90">
        <f>IF(OR(A75="",posicao_contratual!E75="",posicao_contratual!J75=""),"",ROUND(MAX(posicao_contratual!E75-posicao_contratual!J75,0),2))</f>
        <v/>
      </c>
      <c r="AC75" s="335">
        <f>IF(AND(A75="",A74&lt;&gt;"",COUNTIF(A76:$A$200,"&lt;&gt;")=0),ROUND(SUMIF($A$2:A74,"&lt;&gt;",$AC$2:AC74),2),IF(OR(AB75="",C75="",NOT(ISNUMBER($Z$2))),"",ROUND(AB75*C75*$Z$2,2)))</f>
        <v/>
      </c>
      <c r="AD75" s="155">
        <f>IF(A75="","",posicao_contratual!E75)</f>
        <v/>
      </c>
      <c r="AE75" s="155">
        <f>IF(A75="","",posicao_contratual!I75)</f>
        <v/>
      </c>
      <c r="AF75" s="155">
        <f>IF(A75="","",posicao_contratual!M75)</f>
        <v/>
      </c>
      <c r="AG75" s="155">
        <f>IF(A75="","",posicao_contratual!Q75)</f>
        <v/>
      </c>
      <c r="AH75" s="155">
        <f>IF(A75="","",posicao_contratual!U75)</f>
        <v/>
      </c>
      <c r="AI75" s="155">
        <f>IF(A75="","",posicao_contratual!G75)</f>
        <v/>
      </c>
      <c r="AJ75" s="155">
        <f>IF(A75="","",posicao_contratual!K75)</f>
        <v/>
      </c>
      <c r="AK75" s="155">
        <f>IF(A75="","",posicao_contratual!O75)</f>
        <v/>
      </c>
      <c r="AL75" s="155">
        <f>IF(A75="","",posicao_contratual!S75)</f>
        <v/>
      </c>
      <c r="AM75" s="155">
        <f>IF(A75="","",posicao_contratual!W75)</f>
        <v/>
      </c>
      <c r="AN75" s="156">
        <f>IF(A75="","",posicao_contratual!X75)</f>
        <v/>
      </c>
      <c r="AO75">
        <f>IF($A75="","",ROUND(SUMIFS(itens_Consumidos!$E$2:$E$200,itens_Consumidos!$A$2:$A$200,$A75),2))</f>
        <v/>
      </c>
      <c r="AP75">
        <f>IF(OR($A75="",AB75=""),"",ROUND(MAX(AB75-AO75,0),2))</f>
        <v/>
      </c>
      <c r="AQ75">
        <f>IF(OR($A75="",AB75="",MEMORIA_RESULTADOS!$I$258=""),"",ROUND(AB75*$C75*(MEMORIA_RESULTADOS!$I$258-1),2))</f>
        <v/>
      </c>
      <c r="AR75">
        <f>IF(OR($A75="",AP75="",MEMORIA_RESULTADOS!$I$258=""),"",ROUND(AP75*$C75*(parametros!$F$2-MEMORIA_RESULTADOS!$I$258),2))</f>
        <v/>
      </c>
      <c r="AS75">
        <f>IF($A75="","",ROUND(SUMIFS(itens_Consumidos!$G$2:$G$200,itens_Consumidos!$A$2:$A$200,$A75),2))</f>
        <v/>
      </c>
      <c r="AT75">
        <f>IF(OR($A75="",M75=""),"",ROUND(MAX(M75-AS75,0),2))</f>
        <v/>
      </c>
      <c r="AU75">
        <f>IF(OR($A75="",M75="",MEMORIA_RESULTADOS!$I$259=""),"",ROUND(M75*$C75*(MEMORIA_RESULTADOS!$I$259-1),2))</f>
        <v/>
      </c>
      <c r="AV75">
        <f>IF(OR($A75="",AT75="",MEMORIA_RESULTADOS!$I$259=""),"",ROUND(AT75*$C75*(parametros!$F$3-MEMORIA_RESULTADOS!$I$259),2))</f>
        <v/>
      </c>
      <c r="AW75">
        <f>IF($A75="","",ROUND(SUMIFS(itens_Consumidos!$I$2:$I$200,itens_Consumidos!$A$2:$A$200,$A75),2))</f>
        <v/>
      </c>
      <c r="AX75">
        <f>IF(OR($A75="",O75=""),"",ROUND(MAX(O75-AW75,0),2))</f>
        <v/>
      </c>
      <c r="AY75">
        <f>IF(OR($A75="",O75="",MEMORIA_RESULTADOS!$I$260=""),"",ROUND(O75*$C75*(MEMORIA_RESULTADOS!$I$260-1),2))</f>
        <v/>
      </c>
      <c r="AZ75">
        <f>IF(OR($A75="",AX75="",MEMORIA_RESULTADOS!$I$260=""),"",ROUND(AX75*$C75*(parametros!$F$4-MEMORIA_RESULTADOS!$I$260),2))</f>
        <v/>
      </c>
      <c r="BA75">
        <f>IF($A75="","",ROUND(SUMIFS(itens_Consumidos!$K$2:$K$200,itens_Consumidos!$A$2:$A$200,$A75),2))</f>
        <v/>
      </c>
      <c r="BB75">
        <f>IF(OR($A75="",Q75=""),"",ROUND(MAX(Q75-BA75,0),2))</f>
        <v/>
      </c>
      <c r="BC75">
        <f>IF(OR($A75="",Q75="",MEMORIA_RESULTADOS!$I$261=""),"",ROUND(Q75*$C75*(MEMORIA_RESULTADOS!$I$261-1),2))</f>
        <v/>
      </c>
      <c r="BD75">
        <f>IF(OR($A75="",BB75="",MEMORIA_RESULTADOS!$I$261=""),"",ROUND(BB75*$C75*(parametros!$F$5-MEMORIA_RESULTADOS!$I$261),2))</f>
        <v/>
      </c>
      <c r="BE75">
        <f>IF($A75="","",ROUND(SUMIFS(itens_Consumidos!$M$2:$M$200,itens_Consumidos!$A$2:$A$200,$A75),2))</f>
        <v/>
      </c>
      <c r="BF75">
        <f>IF(OR($A75="",S75=""),"",ROUND(MAX(S75-BE75,0),2))</f>
        <v/>
      </c>
      <c r="BG75">
        <f>IF(OR($A75="",S75="",MEMORIA_RESULTADOS!$I$262=""),"",ROUND(S75*$C75*(MEMORIA_RESULTADOS!$I$262-1),2))</f>
        <v/>
      </c>
      <c r="BH75">
        <f>IF(OR($A75="",BF75="",MEMORIA_RESULTADOS!$I$262=""),"",ROUND(BF75*$C75*(parametros!$F$6-MEMORIA_RESULTADOS!$I$262),2))</f>
        <v/>
      </c>
    </row>
    <row r="76">
      <c r="A76" s="86" t="n"/>
      <c r="B76" s="87">
        <f>IF(AND(LEN(TRIM($A76))=4,LEFT(TRIM($A76),1)="N",ISNUMBER(--MID(TRIM($A76),2,3)),ISERROR(FIND(".",$A76)),ISERROR(FIND(",",$A76)),ISERROR(FIND("-",$A76)),ISERROR(FIND("+",$A76)),ISERROR(SEARCH("E",$A76,2)),ISERROR(FIND(" ",TRIM($A76)))),0,"")</f>
        <v/>
      </c>
      <c r="C76" s="339" t="n"/>
      <c r="D76" s="335">
        <f>IF(AND(A76="",A75&lt;&gt;"",COUNTIF(A77:$A$200,"&lt;&gt;")=0),ROUND(SUMIF($A$2:A75,"&lt;&gt;",$D$2:D75),2),IF(OR(A76="",B76="",C76=""),"",ROUND(B76*C76,2)))</f>
        <v/>
      </c>
      <c r="E76" s="89" t="n"/>
      <c r="F76" s="335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 t="n"/>
      <c r="H76" s="335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 t="n"/>
      <c r="J76" s="335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 t="n"/>
      <c r="L76" s="335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>
        <f>IF(OR(posicao_contratual!J76="",posicao_contratual!N76=""),"",ROUND(MAX(posicao_contratual!J76+posicao_contratual!H76-posicao_contratual!N76,0),2))</f>
        <v/>
      </c>
      <c r="N76" s="335">
        <f>IF(AND(A76="",A75&lt;&gt;"",COUNTIF(A77:$A$200,"&lt;&gt;")=0),ROUND(SUMIF($A$2:A75,"&lt;&gt;",$N$2:N75),2),IF(OR(M76="",C76="",NOT(ISNUMBER($Z$3))),"",ROUND(M76*C76*$Z$3,2)))</f>
        <v/>
      </c>
      <c r="O76" s="90">
        <f>IF(OR(posicao_contratual!N76="",posicao_contratual!R76=""),"",ROUND(MAX(posicao_contratual!N76+posicao_contratual!L76-posicao_contratual!R76,0),2))</f>
        <v/>
      </c>
      <c r="P76" s="335">
        <f>IF(AND(A76="",A75&lt;&gt;"",COUNTIF(A77:$A$200,"&lt;&gt;")=0),ROUND(SUMIF($A$2:A75,"&lt;&gt;",$P$2:P75),2),IF(OR(O76="",C76="",NOT(ISNUMBER($Z$4))),"",ROUND(O76*C76*$Z$4,2)))</f>
        <v/>
      </c>
      <c r="Q76" s="90">
        <f>IF(OR(posicao_contratual!R76="",posicao_contratual!V76=""),"",ROUND(MAX(posicao_contratual!R76+posicao_contratual!P76-posicao_contratual!V76,0),2))</f>
        <v/>
      </c>
      <c r="R76" s="335">
        <f>IF(AND(A76="",A75&lt;&gt;"",COUNTIF(A77:$A$200,"&lt;&gt;")=0),ROUND(SUMIF($A$2:A75,"&lt;&gt;",$R$2:R75),2),IF(OR(Q76="",C76="",NOT(ISNUMBER($Z$5))),"",ROUND(Q76*C76*$Z$5,2)))</f>
        <v/>
      </c>
      <c r="S76" s="22" t="n"/>
      <c r="T76" s="340" t="n"/>
      <c r="U76" s="91">
        <f>IF(AND(A76="",A75&lt;&gt;"",COUNTIF(A77:$A$200,"&lt;&gt;")=0),"TOTAL",IF(A76="","",posicao_contratual!X76))</f>
        <v/>
      </c>
      <c r="V76" s="91">
        <f>IF(A76="","",posicao_contratual!X76)</f>
        <v/>
      </c>
      <c r="W76" s="14" t="n"/>
      <c r="X76" s="14" t="n"/>
      <c r="Y76" s="14" t="n"/>
      <c r="Z76" s="13" t="n"/>
      <c r="AA76" s="13" t="n"/>
      <c r="AB76" s="90">
        <f>IF(OR(A76="",posicao_contratual!E76="",posicao_contratual!J76=""),"",ROUND(MAX(posicao_contratual!E76-posicao_contratual!J76,0),2))</f>
        <v/>
      </c>
      <c r="AC76" s="335">
        <f>IF(AND(A76="",A75&lt;&gt;"",COUNTIF(A77:$A$200,"&lt;&gt;")=0),ROUND(SUMIF($A$2:A75,"&lt;&gt;",$AC$2:AC75),2),IF(OR(AB76="",C76="",NOT(ISNUMBER($Z$2))),"",ROUND(AB76*C76*$Z$2,2)))</f>
        <v/>
      </c>
      <c r="AD76" s="155">
        <f>IF(A76="","",posicao_contratual!E76)</f>
        <v/>
      </c>
      <c r="AE76" s="155">
        <f>IF(A76="","",posicao_contratual!I76)</f>
        <v/>
      </c>
      <c r="AF76" s="155">
        <f>IF(A76="","",posicao_contratual!M76)</f>
        <v/>
      </c>
      <c r="AG76" s="155">
        <f>IF(A76="","",posicao_contratual!Q76)</f>
        <v/>
      </c>
      <c r="AH76" s="155">
        <f>IF(A76="","",posicao_contratual!U76)</f>
        <v/>
      </c>
      <c r="AI76" s="155">
        <f>IF(A76="","",posicao_contratual!G76)</f>
        <v/>
      </c>
      <c r="AJ76" s="155">
        <f>IF(A76="","",posicao_contratual!K76)</f>
        <v/>
      </c>
      <c r="AK76" s="155">
        <f>IF(A76="","",posicao_contratual!O76)</f>
        <v/>
      </c>
      <c r="AL76" s="155">
        <f>IF(A76="","",posicao_contratual!S76)</f>
        <v/>
      </c>
      <c r="AM76" s="155">
        <f>IF(A76="","",posicao_contratual!W76)</f>
        <v/>
      </c>
      <c r="AN76" s="156">
        <f>IF(A76="","",posicao_contratual!X76)</f>
        <v/>
      </c>
      <c r="AO76">
        <f>IF($A76="","",ROUND(SUMIFS(itens_Consumidos!$E$2:$E$200,itens_Consumidos!$A$2:$A$200,$A76),2))</f>
        <v/>
      </c>
      <c r="AP76">
        <f>IF(OR($A76="",AB76=""),"",ROUND(MAX(AB76-AO76,0),2))</f>
        <v/>
      </c>
      <c r="AQ76">
        <f>IF(OR($A76="",AB76="",MEMORIA_RESULTADOS!$I$258=""),"",ROUND(AB76*$C76*(MEMORIA_RESULTADOS!$I$258-1),2))</f>
        <v/>
      </c>
      <c r="AR76">
        <f>IF(OR($A76="",AP76="",MEMORIA_RESULTADOS!$I$258=""),"",ROUND(AP76*$C76*(parametros!$F$2-MEMORIA_RESULTADOS!$I$258),2))</f>
        <v/>
      </c>
      <c r="AS76">
        <f>IF($A76="","",ROUND(SUMIFS(itens_Consumidos!$G$2:$G$200,itens_Consumidos!$A$2:$A$200,$A76),2))</f>
        <v/>
      </c>
      <c r="AT76">
        <f>IF(OR($A76="",M76=""),"",ROUND(MAX(M76-AS76,0),2))</f>
        <v/>
      </c>
      <c r="AU76">
        <f>IF(OR($A76="",M76="",MEMORIA_RESULTADOS!$I$259=""),"",ROUND(M76*$C76*(MEMORIA_RESULTADOS!$I$259-1),2))</f>
        <v/>
      </c>
      <c r="AV76">
        <f>IF(OR($A76="",AT76="",MEMORIA_RESULTADOS!$I$259=""),"",ROUND(AT76*$C76*(parametros!$F$3-MEMORIA_RESULTADOS!$I$259),2))</f>
        <v/>
      </c>
      <c r="AW76">
        <f>IF($A76="","",ROUND(SUMIFS(itens_Consumidos!$I$2:$I$200,itens_Consumidos!$A$2:$A$200,$A76),2))</f>
        <v/>
      </c>
      <c r="AX76">
        <f>IF(OR($A76="",O76=""),"",ROUND(MAX(O76-AW76,0),2))</f>
        <v/>
      </c>
      <c r="AY76">
        <f>IF(OR($A76="",O76="",MEMORIA_RESULTADOS!$I$260=""),"",ROUND(O76*$C76*(MEMORIA_RESULTADOS!$I$260-1),2))</f>
        <v/>
      </c>
      <c r="AZ76">
        <f>IF(OR($A76="",AX76="",MEMORIA_RESULTADOS!$I$260=""),"",ROUND(AX76*$C76*(parametros!$F$4-MEMORIA_RESULTADOS!$I$260),2))</f>
        <v/>
      </c>
      <c r="BA76">
        <f>IF($A76="","",ROUND(SUMIFS(itens_Consumidos!$K$2:$K$200,itens_Consumidos!$A$2:$A$200,$A76),2))</f>
        <v/>
      </c>
      <c r="BB76">
        <f>IF(OR($A76="",Q76=""),"",ROUND(MAX(Q76-BA76,0),2))</f>
        <v/>
      </c>
      <c r="BC76">
        <f>IF(OR($A76="",Q76="",MEMORIA_RESULTADOS!$I$261=""),"",ROUND(Q76*$C76*(MEMORIA_RESULTADOS!$I$261-1),2))</f>
        <v/>
      </c>
      <c r="BD76">
        <f>IF(OR($A76="",BB76="",MEMORIA_RESULTADOS!$I$261=""),"",ROUND(BB76*$C76*(parametros!$F$5-MEMORIA_RESULTADOS!$I$261),2))</f>
        <v/>
      </c>
      <c r="BE76">
        <f>IF($A76="","",ROUND(SUMIFS(itens_Consumidos!$M$2:$M$200,itens_Consumidos!$A$2:$A$200,$A76),2))</f>
        <v/>
      </c>
      <c r="BF76">
        <f>IF(OR($A76="",S76=""),"",ROUND(MAX(S76-BE76,0),2))</f>
        <v/>
      </c>
      <c r="BG76">
        <f>IF(OR($A76="",S76="",MEMORIA_RESULTADOS!$I$262=""),"",ROUND(S76*$C76*(MEMORIA_RESULTADOS!$I$262-1),2))</f>
        <v/>
      </c>
      <c r="BH76">
        <f>IF(OR($A76="",BF76="",MEMORIA_RESULTADOS!$I$262=""),"",ROUND(BF76*$C76*(parametros!$F$6-MEMORIA_RESULTADOS!$I$262),2))</f>
        <v/>
      </c>
    </row>
    <row r="77">
      <c r="A77" s="86" t="n"/>
      <c r="B77" s="87">
        <f>IF(AND(LEN(TRIM($A77))=4,LEFT(TRIM($A77),1)="N",ISNUMBER(--MID(TRIM($A77),2,3)),ISERROR(FIND(".",$A77)),ISERROR(FIND(",",$A77)),ISERROR(FIND("-",$A77)),ISERROR(FIND("+",$A77)),ISERROR(SEARCH("E",$A77,2)),ISERROR(FIND(" ",TRIM($A77)))),0,"")</f>
        <v/>
      </c>
      <c r="C77" s="339" t="n"/>
      <c r="D77" s="335">
        <f>IF(AND(A77="",A76&lt;&gt;"",COUNTIF(A78:$A$200,"&lt;&gt;")=0),ROUND(SUMIF($A$2:A76,"&lt;&gt;",$D$2:D76),2),IF(OR(A77="",B77="",C77=""),"",ROUND(B77*C77,2)))</f>
        <v/>
      </c>
      <c r="E77" s="89" t="n"/>
      <c r="F77" s="335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 t="n"/>
      <c r="H77" s="335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 t="n"/>
      <c r="J77" s="335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 t="n"/>
      <c r="L77" s="335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>
        <f>IF(OR(posicao_contratual!J77="",posicao_contratual!N77=""),"",ROUND(MAX(posicao_contratual!J77+posicao_contratual!H77-posicao_contratual!N77,0),2))</f>
        <v/>
      </c>
      <c r="N77" s="335">
        <f>IF(AND(A77="",A76&lt;&gt;"",COUNTIF(A78:$A$200,"&lt;&gt;")=0),ROUND(SUMIF($A$2:A76,"&lt;&gt;",$N$2:N76),2),IF(OR(M77="",C77="",NOT(ISNUMBER($Z$3))),"",ROUND(M77*C77*$Z$3,2)))</f>
        <v/>
      </c>
      <c r="O77" s="90">
        <f>IF(OR(posicao_contratual!N77="",posicao_contratual!R77=""),"",ROUND(MAX(posicao_contratual!N77+posicao_contratual!L77-posicao_contratual!R77,0),2))</f>
        <v/>
      </c>
      <c r="P77" s="335">
        <f>IF(AND(A77="",A76&lt;&gt;"",COUNTIF(A78:$A$200,"&lt;&gt;")=0),ROUND(SUMIF($A$2:A76,"&lt;&gt;",$P$2:P76),2),IF(OR(O77="",C77="",NOT(ISNUMBER($Z$4))),"",ROUND(O77*C77*$Z$4,2)))</f>
        <v/>
      </c>
      <c r="Q77" s="90">
        <f>IF(OR(posicao_contratual!R77="",posicao_contratual!V77=""),"",ROUND(MAX(posicao_contratual!R77+posicao_contratual!P77-posicao_contratual!V77,0),2))</f>
        <v/>
      </c>
      <c r="R77" s="335">
        <f>IF(AND(A77="",A76&lt;&gt;"",COUNTIF(A78:$A$200,"&lt;&gt;")=0),ROUND(SUMIF($A$2:A76,"&lt;&gt;",$R$2:R76),2),IF(OR(Q77="",C77="",NOT(ISNUMBER($Z$5))),"",ROUND(Q77*C77*$Z$5,2)))</f>
        <v/>
      </c>
      <c r="S77" s="22" t="n"/>
      <c r="T77" s="340" t="n"/>
      <c r="U77" s="91">
        <f>IF(AND(A77="",A76&lt;&gt;"",COUNTIF(A78:$A$200,"&lt;&gt;")=0),"TOTAL",IF(A77="","",posicao_contratual!X77))</f>
        <v/>
      </c>
      <c r="V77" s="91">
        <f>IF(A77="","",posicao_contratual!X77)</f>
        <v/>
      </c>
      <c r="W77" s="14" t="n"/>
      <c r="X77" s="14" t="n"/>
      <c r="Y77" s="14" t="n"/>
      <c r="Z77" s="13" t="n"/>
      <c r="AA77" s="13" t="n"/>
      <c r="AB77" s="90">
        <f>IF(OR(A77="",posicao_contratual!E77="",posicao_contratual!J77=""),"",ROUND(MAX(posicao_contratual!E77-posicao_contratual!J77,0),2))</f>
        <v/>
      </c>
      <c r="AC77" s="335">
        <f>IF(AND(A77="",A76&lt;&gt;"",COUNTIF(A78:$A$200,"&lt;&gt;")=0),ROUND(SUMIF($A$2:A76,"&lt;&gt;",$AC$2:AC76),2),IF(OR(AB77="",C77="",NOT(ISNUMBER($Z$2))),"",ROUND(AB77*C77*$Z$2,2)))</f>
        <v/>
      </c>
      <c r="AD77" s="155">
        <f>IF(A77="","",posicao_contratual!E77)</f>
        <v/>
      </c>
      <c r="AE77" s="155">
        <f>IF(A77="","",posicao_contratual!I77)</f>
        <v/>
      </c>
      <c r="AF77" s="155">
        <f>IF(A77="","",posicao_contratual!M77)</f>
        <v/>
      </c>
      <c r="AG77" s="155">
        <f>IF(A77="","",posicao_contratual!Q77)</f>
        <v/>
      </c>
      <c r="AH77" s="155">
        <f>IF(A77="","",posicao_contratual!U77)</f>
        <v/>
      </c>
      <c r="AI77" s="155">
        <f>IF(A77="","",posicao_contratual!G77)</f>
        <v/>
      </c>
      <c r="AJ77" s="155">
        <f>IF(A77="","",posicao_contratual!K77)</f>
        <v/>
      </c>
      <c r="AK77" s="155">
        <f>IF(A77="","",posicao_contratual!O77)</f>
        <v/>
      </c>
      <c r="AL77" s="155">
        <f>IF(A77="","",posicao_contratual!S77)</f>
        <v/>
      </c>
      <c r="AM77" s="155">
        <f>IF(A77="","",posicao_contratual!W77)</f>
        <v/>
      </c>
      <c r="AN77" s="156">
        <f>IF(A77="","",posicao_contratual!X77)</f>
        <v/>
      </c>
      <c r="AO77">
        <f>IF($A77="","",ROUND(SUMIFS(itens_Consumidos!$E$2:$E$200,itens_Consumidos!$A$2:$A$200,$A77),2))</f>
        <v/>
      </c>
      <c r="AP77">
        <f>IF(OR($A77="",AB77=""),"",ROUND(MAX(AB77-AO77,0),2))</f>
        <v/>
      </c>
      <c r="AQ77">
        <f>IF(OR($A77="",AB77="",MEMORIA_RESULTADOS!$I$258=""),"",ROUND(AB77*$C77*(MEMORIA_RESULTADOS!$I$258-1),2))</f>
        <v/>
      </c>
      <c r="AR77">
        <f>IF(OR($A77="",AP77="",MEMORIA_RESULTADOS!$I$258=""),"",ROUND(AP77*$C77*(parametros!$F$2-MEMORIA_RESULTADOS!$I$258),2))</f>
        <v/>
      </c>
      <c r="AS77">
        <f>IF($A77="","",ROUND(SUMIFS(itens_Consumidos!$G$2:$G$200,itens_Consumidos!$A$2:$A$200,$A77),2))</f>
        <v/>
      </c>
      <c r="AT77">
        <f>IF(OR($A77="",M77=""),"",ROUND(MAX(M77-AS77,0),2))</f>
        <v/>
      </c>
      <c r="AU77">
        <f>IF(OR($A77="",M77="",MEMORIA_RESULTADOS!$I$259=""),"",ROUND(M77*$C77*(MEMORIA_RESULTADOS!$I$259-1),2))</f>
        <v/>
      </c>
      <c r="AV77">
        <f>IF(OR($A77="",AT77="",MEMORIA_RESULTADOS!$I$259=""),"",ROUND(AT77*$C77*(parametros!$F$3-MEMORIA_RESULTADOS!$I$259),2))</f>
        <v/>
      </c>
      <c r="AW77">
        <f>IF($A77="","",ROUND(SUMIFS(itens_Consumidos!$I$2:$I$200,itens_Consumidos!$A$2:$A$200,$A77),2))</f>
        <v/>
      </c>
      <c r="AX77">
        <f>IF(OR($A77="",O77=""),"",ROUND(MAX(O77-AW77,0),2))</f>
        <v/>
      </c>
      <c r="AY77">
        <f>IF(OR($A77="",O77="",MEMORIA_RESULTADOS!$I$260=""),"",ROUND(O77*$C77*(MEMORIA_RESULTADOS!$I$260-1),2))</f>
        <v/>
      </c>
      <c r="AZ77">
        <f>IF(OR($A77="",AX77="",MEMORIA_RESULTADOS!$I$260=""),"",ROUND(AX77*$C77*(parametros!$F$4-MEMORIA_RESULTADOS!$I$260),2))</f>
        <v/>
      </c>
      <c r="BA77">
        <f>IF($A77="","",ROUND(SUMIFS(itens_Consumidos!$K$2:$K$200,itens_Consumidos!$A$2:$A$200,$A77),2))</f>
        <v/>
      </c>
      <c r="BB77">
        <f>IF(OR($A77="",Q77=""),"",ROUND(MAX(Q77-BA77,0),2))</f>
        <v/>
      </c>
      <c r="BC77">
        <f>IF(OR($A77="",Q77="",MEMORIA_RESULTADOS!$I$261=""),"",ROUND(Q77*$C77*(MEMORIA_RESULTADOS!$I$261-1),2))</f>
        <v/>
      </c>
      <c r="BD77">
        <f>IF(OR($A77="",BB77="",MEMORIA_RESULTADOS!$I$261=""),"",ROUND(BB77*$C77*(parametros!$F$5-MEMORIA_RESULTADOS!$I$261),2))</f>
        <v/>
      </c>
      <c r="BE77">
        <f>IF($A77="","",ROUND(SUMIFS(itens_Consumidos!$M$2:$M$200,itens_Consumidos!$A$2:$A$200,$A77),2))</f>
        <v/>
      </c>
      <c r="BF77">
        <f>IF(OR($A77="",S77=""),"",ROUND(MAX(S77-BE77,0),2))</f>
        <v/>
      </c>
      <c r="BG77">
        <f>IF(OR($A77="",S77="",MEMORIA_RESULTADOS!$I$262=""),"",ROUND(S77*$C77*(MEMORIA_RESULTADOS!$I$262-1),2))</f>
        <v/>
      </c>
      <c r="BH77">
        <f>IF(OR($A77="",BF77="",MEMORIA_RESULTADOS!$I$262=""),"",ROUND(BF77*$C77*(parametros!$F$6-MEMORIA_RESULTADOS!$I$262),2))</f>
        <v/>
      </c>
    </row>
    <row r="78">
      <c r="A78" s="86" t="n"/>
      <c r="B78" s="87">
        <f>IF(AND(LEN(TRIM($A78))=4,LEFT(TRIM($A78),1)="N",ISNUMBER(--MID(TRIM($A78),2,3)),ISERROR(FIND(".",$A78)),ISERROR(FIND(",",$A78)),ISERROR(FIND("-",$A78)),ISERROR(FIND("+",$A78)),ISERROR(SEARCH("E",$A78,2)),ISERROR(FIND(" ",TRIM($A78)))),0,"")</f>
        <v/>
      </c>
      <c r="C78" s="339" t="n"/>
      <c r="D78" s="335">
        <f>IF(AND(A78="",A77&lt;&gt;"",COUNTIF(A79:$A$200,"&lt;&gt;")=0),ROUND(SUMIF($A$2:A77,"&lt;&gt;",$D$2:D77),2),IF(OR(A78="",B78="",C78=""),"",ROUND(B78*C78,2)))</f>
        <v/>
      </c>
      <c r="E78" s="89" t="n"/>
      <c r="F78" s="335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 t="n"/>
      <c r="H78" s="335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 t="n"/>
      <c r="J78" s="335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 t="n"/>
      <c r="L78" s="335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>
        <f>IF(OR(posicao_contratual!J78="",posicao_contratual!N78=""),"",ROUND(MAX(posicao_contratual!J78+posicao_contratual!H78-posicao_contratual!N78,0),2))</f>
        <v/>
      </c>
      <c r="N78" s="335">
        <f>IF(AND(A78="",A77&lt;&gt;"",COUNTIF(A79:$A$200,"&lt;&gt;")=0),ROUND(SUMIF($A$2:A77,"&lt;&gt;",$N$2:N77),2),IF(OR(M78="",C78="",NOT(ISNUMBER($Z$3))),"",ROUND(M78*C78*$Z$3,2)))</f>
        <v/>
      </c>
      <c r="O78" s="90">
        <f>IF(OR(posicao_contratual!N78="",posicao_contratual!R78=""),"",ROUND(MAX(posicao_contratual!N78+posicao_contratual!L78-posicao_contratual!R78,0),2))</f>
        <v/>
      </c>
      <c r="P78" s="335">
        <f>IF(AND(A78="",A77&lt;&gt;"",COUNTIF(A79:$A$200,"&lt;&gt;")=0),ROUND(SUMIF($A$2:A77,"&lt;&gt;",$P$2:P77),2),IF(OR(O78="",C78="",NOT(ISNUMBER($Z$4))),"",ROUND(O78*C78*$Z$4,2)))</f>
        <v/>
      </c>
      <c r="Q78" s="90">
        <f>IF(OR(posicao_contratual!R78="",posicao_contratual!V78=""),"",ROUND(MAX(posicao_contratual!R78+posicao_contratual!P78-posicao_contratual!V78,0),2))</f>
        <v/>
      </c>
      <c r="R78" s="335">
        <f>IF(AND(A78="",A77&lt;&gt;"",COUNTIF(A79:$A$200,"&lt;&gt;")=0),ROUND(SUMIF($A$2:A77,"&lt;&gt;",$R$2:R77),2),IF(OR(Q78="",C78="",NOT(ISNUMBER($Z$5))),"",ROUND(Q78*C78*$Z$5,2)))</f>
        <v/>
      </c>
      <c r="S78" s="22" t="n"/>
      <c r="T78" s="340" t="n"/>
      <c r="U78" s="91">
        <f>IF(AND(A78="",A77&lt;&gt;"",COUNTIF(A79:$A$200,"&lt;&gt;")=0),"TOTAL",IF(A78="","",posicao_contratual!X78))</f>
        <v/>
      </c>
      <c r="V78" s="91">
        <f>IF(A78="","",posicao_contratual!X78)</f>
        <v/>
      </c>
      <c r="W78" s="14" t="n"/>
      <c r="X78" s="14" t="n"/>
      <c r="Y78" s="14" t="n"/>
      <c r="Z78" s="13" t="n"/>
      <c r="AA78" s="13" t="n"/>
      <c r="AB78" s="90">
        <f>IF(OR(A78="",posicao_contratual!E78="",posicao_contratual!J78=""),"",ROUND(MAX(posicao_contratual!E78-posicao_contratual!J78,0),2))</f>
        <v/>
      </c>
      <c r="AC78" s="335">
        <f>IF(AND(A78="",A77&lt;&gt;"",COUNTIF(A79:$A$200,"&lt;&gt;")=0),ROUND(SUMIF($A$2:A77,"&lt;&gt;",$AC$2:AC77),2),IF(OR(AB78="",C78="",NOT(ISNUMBER($Z$2))),"",ROUND(AB78*C78*$Z$2,2)))</f>
        <v/>
      </c>
      <c r="AD78" s="155">
        <f>IF(A78="","",posicao_contratual!E78)</f>
        <v/>
      </c>
      <c r="AE78" s="155">
        <f>IF(A78="","",posicao_contratual!I78)</f>
        <v/>
      </c>
      <c r="AF78" s="155">
        <f>IF(A78="","",posicao_contratual!M78)</f>
        <v/>
      </c>
      <c r="AG78" s="155">
        <f>IF(A78="","",posicao_contratual!Q78)</f>
        <v/>
      </c>
      <c r="AH78" s="155">
        <f>IF(A78="","",posicao_contratual!U78)</f>
        <v/>
      </c>
      <c r="AI78" s="155">
        <f>IF(A78="","",posicao_contratual!G78)</f>
        <v/>
      </c>
      <c r="AJ78" s="155">
        <f>IF(A78="","",posicao_contratual!K78)</f>
        <v/>
      </c>
      <c r="AK78" s="155">
        <f>IF(A78="","",posicao_contratual!O78)</f>
        <v/>
      </c>
      <c r="AL78" s="155">
        <f>IF(A78="","",posicao_contratual!S78)</f>
        <v/>
      </c>
      <c r="AM78" s="155">
        <f>IF(A78="","",posicao_contratual!W78)</f>
        <v/>
      </c>
      <c r="AN78" s="156">
        <f>IF(A78="","",posicao_contratual!X78)</f>
        <v/>
      </c>
      <c r="AO78">
        <f>IF($A78="","",ROUND(SUMIFS(itens_Consumidos!$E$2:$E$200,itens_Consumidos!$A$2:$A$200,$A78),2))</f>
        <v/>
      </c>
      <c r="AP78">
        <f>IF(OR($A78="",AB78=""),"",ROUND(MAX(AB78-AO78,0),2))</f>
        <v/>
      </c>
      <c r="AQ78">
        <f>IF(OR($A78="",AB78="",MEMORIA_RESULTADOS!$I$258=""),"",ROUND(AB78*$C78*(MEMORIA_RESULTADOS!$I$258-1),2))</f>
        <v/>
      </c>
      <c r="AR78">
        <f>IF(OR($A78="",AP78="",MEMORIA_RESULTADOS!$I$258=""),"",ROUND(AP78*$C78*(parametros!$F$2-MEMORIA_RESULTADOS!$I$258),2))</f>
        <v/>
      </c>
      <c r="AS78">
        <f>IF($A78="","",ROUND(SUMIFS(itens_Consumidos!$G$2:$G$200,itens_Consumidos!$A$2:$A$200,$A78),2))</f>
        <v/>
      </c>
      <c r="AT78">
        <f>IF(OR($A78="",M78=""),"",ROUND(MAX(M78-AS78,0),2))</f>
        <v/>
      </c>
      <c r="AU78">
        <f>IF(OR($A78="",M78="",MEMORIA_RESULTADOS!$I$259=""),"",ROUND(M78*$C78*(MEMORIA_RESULTADOS!$I$259-1),2))</f>
        <v/>
      </c>
      <c r="AV78">
        <f>IF(OR($A78="",AT78="",MEMORIA_RESULTADOS!$I$259=""),"",ROUND(AT78*$C78*(parametros!$F$3-MEMORIA_RESULTADOS!$I$259),2))</f>
        <v/>
      </c>
      <c r="AW78">
        <f>IF($A78="","",ROUND(SUMIFS(itens_Consumidos!$I$2:$I$200,itens_Consumidos!$A$2:$A$200,$A78),2))</f>
        <v/>
      </c>
      <c r="AX78">
        <f>IF(OR($A78="",O78=""),"",ROUND(MAX(O78-AW78,0),2))</f>
        <v/>
      </c>
      <c r="AY78">
        <f>IF(OR($A78="",O78="",MEMORIA_RESULTADOS!$I$260=""),"",ROUND(O78*$C78*(MEMORIA_RESULTADOS!$I$260-1),2))</f>
        <v/>
      </c>
      <c r="AZ78">
        <f>IF(OR($A78="",AX78="",MEMORIA_RESULTADOS!$I$260=""),"",ROUND(AX78*$C78*(parametros!$F$4-MEMORIA_RESULTADOS!$I$260),2))</f>
        <v/>
      </c>
      <c r="BA78">
        <f>IF($A78="","",ROUND(SUMIFS(itens_Consumidos!$K$2:$K$200,itens_Consumidos!$A$2:$A$200,$A78),2))</f>
        <v/>
      </c>
      <c r="BB78">
        <f>IF(OR($A78="",Q78=""),"",ROUND(MAX(Q78-BA78,0),2))</f>
        <v/>
      </c>
      <c r="BC78">
        <f>IF(OR($A78="",Q78="",MEMORIA_RESULTADOS!$I$261=""),"",ROUND(Q78*$C78*(MEMORIA_RESULTADOS!$I$261-1),2))</f>
        <v/>
      </c>
      <c r="BD78">
        <f>IF(OR($A78="",BB78="",MEMORIA_RESULTADOS!$I$261=""),"",ROUND(BB78*$C78*(parametros!$F$5-MEMORIA_RESULTADOS!$I$261),2))</f>
        <v/>
      </c>
      <c r="BE78">
        <f>IF($A78="","",ROUND(SUMIFS(itens_Consumidos!$M$2:$M$200,itens_Consumidos!$A$2:$A$200,$A78),2))</f>
        <v/>
      </c>
      <c r="BF78">
        <f>IF(OR($A78="",S78=""),"",ROUND(MAX(S78-BE78,0),2))</f>
        <v/>
      </c>
      <c r="BG78">
        <f>IF(OR($A78="",S78="",MEMORIA_RESULTADOS!$I$262=""),"",ROUND(S78*$C78*(MEMORIA_RESULTADOS!$I$262-1),2))</f>
        <v/>
      </c>
      <c r="BH78">
        <f>IF(OR($A78="",BF78="",MEMORIA_RESULTADOS!$I$262=""),"",ROUND(BF78*$C78*(parametros!$F$6-MEMORIA_RESULTADOS!$I$262),2))</f>
        <v/>
      </c>
    </row>
    <row r="79">
      <c r="A79" s="86" t="n"/>
      <c r="B79" s="87">
        <f>IF(AND(LEN(TRIM($A79))=4,LEFT(TRIM($A79),1)="N",ISNUMBER(--MID(TRIM($A79),2,3)),ISERROR(FIND(".",$A79)),ISERROR(FIND(",",$A79)),ISERROR(FIND("-",$A79)),ISERROR(FIND("+",$A79)),ISERROR(SEARCH("E",$A79,2)),ISERROR(FIND(" ",TRIM($A79)))),0,"")</f>
        <v/>
      </c>
      <c r="C79" s="339" t="n"/>
      <c r="D79" s="335">
        <f>IF(AND(A79="",A78&lt;&gt;"",COUNTIF(A80:$A$200,"&lt;&gt;")=0),ROUND(SUMIF($A$2:A78,"&lt;&gt;",$D$2:D78),2),IF(OR(A79="",B79="",C79=""),"",ROUND(B79*C79,2)))</f>
        <v/>
      </c>
      <c r="E79" s="89" t="n"/>
      <c r="F79" s="335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 t="n"/>
      <c r="H79" s="335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 t="n"/>
      <c r="J79" s="335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 t="n"/>
      <c r="L79" s="335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>
        <f>IF(OR(posicao_contratual!J79="",posicao_contratual!N79=""),"",ROUND(MAX(posicao_contratual!J79+posicao_contratual!H79-posicao_contratual!N79,0),2))</f>
        <v/>
      </c>
      <c r="N79" s="335">
        <f>IF(AND(A79="",A78&lt;&gt;"",COUNTIF(A80:$A$200,"&lt;&gt;")=0),ROUND(SUMIF($A$2:A78,"&lt;&gt;",$N$2:N78),2),IF(OR(M79="",C79="",NOT(ISNUMBER($Z$3))),"",ROUND(M79*C79*$Z$3,2)))</f>
        <v/>
      </c>
      <c r="O79" s="90">
        <f>IF(OR(posicao_contratual!N79="",posicao_contratual!R79=""),"",ROUND(MAX(posicao_contratual!N79+posicao_contratual!L79-posicao_contratual!R79,0),2))</f>
        <v/>
      </c>
      <c r="P79" s="335">
        <f>IF(AND(A79="",A78&lt;&gt;"",COUNTIF(A80:$A$200,"&lt;&gt;")=0),ROUND(SUMIF($A$2:A78,"&lt;&gt;",$P$2:P78),2),IF(OR(O79="",C79="",NOT(ISNUMBER($Z$4))),"",ROUND(O79*C79*$Z$4,2)))</f>
        <v/>
      </c>
      <c r="Q79" s="90">
        <f>IF(OR(posicao_contratual!R79="",posicao_contratual!V79=""),"",ROUND(MAX(posicao_contratual!R79+posicao_contratual!P79-posicao_contratual!V79,0),2))</f>
        <v/>
      </c>
      <c r="R79" s="335">
        <f>IF(AND(A79="",A78&lt;&gt;"",COUNTIF(A80:$A$200,"&lt;&gt;")=0),ROUND(SUMIF($A$2:A78,"&lt;&gt;",$R$2:R78),2),IF(OR(Q79="",C79="",NOT(ISNUMBER($Z$5))),"",ROUND(Q79*C79*$Z$5,2)))</f>
        <v/>
      </c>
      <c r="S79" s="22" t="n"/>
      <c r="T79" s="340" t="n"/>
      <c r="U79" s="91">
        <f>IF(AND(A79="",A78&lt;&gt;"",COUNTIF(A80:$A$200,"&lt;&gt;")=0),"TOTAL",IF(A79="","",posicao_contratual!X79))</f>
        <v/>
      </c>
      <c r="V79" s="91">
        <f>IF(A79="","",posicao_contratual!X79)</f>
        <v/>
      </c>
      <c r="W79" s="14" t="n"/>
      <c r="X79" s="14" t="n"/>
      <c r="Y79" s="14" t="n"/>
      <c r="Z79" s="13" t="n"/>
      <c r="AA79" s="13" t="n"/>
      <c r="AB79" s="90">
        <f>IF(OR(A79="",posicao_contratual!E79="",posicao_contratual!J79=""),"",ROUND(MAX(posicao_contratual!E79-posicao_contratual!J79,0),2))</f>
        <v/>
      </c>
      <c r="AC79" s="335">
        <f>IF(AND(A79="",A78&lt;&gt;"",COUNTIF(A80:$A$200,"&lt;&gt;")=0),ROUND(SUMIF($A$2:A78,"&lt;&gt;",$AC$2:AC78),2),IF(OR(AB79="",C79="",NOT(ISNUMBER($Z$2))),"",ROUND(AB79*C79*$Z$2,2)))</f>
        <v/>
      </c>
      <c r="AD79" s="155">
        <f>IF(A79="","",posicao_contratual!E79)</f>
        <v/>
      </c>
      <c r="AE79" s="155">
        <f>IF(A79="","",posicao_contratual!I79)</f>
        <v/>
      </c>
      <c r="AF79" s="155">
        <f>IF(A79="","",posicao_contratual!M79)</f>
        <v/>
      </c>
      <c r="AG79" s="155">
        <f>IF(A79="","",posicao_contratual!Q79)</f>
        <v/>
      </c>
      <c r="AH79" s="155">
        <f>IF(A79="","",posicao_contratual!U79)</f>
        <v/>
      </c>
      <c r="AI79" s="155">
        <f>IF(A79="","",posicao_contratual!G79)</f>
        <v/>
      </c>
      <c r="AJ79" s="155">
        <f>IF(A79="","",posicao_contratual!K79)</f>
        <v/>
      </c>
      <c r="AK79" s="155">
        <f>IF(A79="","",posicao_contratual!O79)</f>
        <v/>
      </c>
      <c r="AL79" s="155">
        <f>IF(A79="","",posicao_contratual!S79)</f>
        <v/>
      </c>
      <c r="AM79" s="155">
        <f>IF(A79="","",posicao_contratual!W79)</f>
        <v/>
      </c>
      <c r="AN79" s="156">
        <f>IF(A79="","",posicao_contratual!X79)</f>
        <v/>
      </c>
      <c r="AO79">
        <f>IF($A79="","",ROUND(SUMIFS(itens_Consumidos!$E$2:$E$200,itens_Consumidos!$A$2:$A$200,$A79),2))</f>
        <v/>
      </c>
      <c r="AP79">
        <f>IF(OR($A79="",AB79=""),"",ROUND(MAX(AB79-AO79,0),2))</f>
        <v/>
      </c>
      <c r="AQ79">
        <f>IF(OR($A79="",AB79="",MEMORIA_RESULTADOS!$I$258=""),"",ROUND(AB79*$C79*(MEMORIA_RESULTADOS!$I$258-1),2))</f>
        <v/>
      </c>
      <c r="AR79">
        <f>IF(OR($A79="",AP79="",MEMORIA_RESULTADOS!$I$258=""),"",ROUND(AP79*$C79*(parametros!$F$2-MEMORIA_RESULTADOS!$I$258),2))</f>
        <v/>
      </c>
      <c r="AS79">
        <f>IF($A79="","",ROUND(SUMIFS(itens_Consumidos!$G$2:$G$200,itens_Consumidos!$A$2:$A$200,$A79),2))</f>
        <v/>
      </c>
      <c r="AT79">
        <f>IF(OR($A79="",M79=""),"",ROUND(MAX(M79-AS79,0),2))</f>
        <v/>
      </c>
      <c r="AU79">
        <f>IF(OR($A79="",M79="",MEMORIA_RESULTADOS!$I$259=""),"",ROUND(M79*$C79*(MEMORIA_RESULTADOS!$I$259-1),2))</f>
        <v/>
      </c>
      <c r="AV79">
        <f>IF(OR($A79="",AT79="",MEMORIA_RESULTADOS!$I$259=""),"",ROUND(AT79*$C79*(parametros!$F$3-MEMORIA_RESULTADOS!$I$259),2))</f>
        <v/>
      </c>
      <c r="AW79">
        <f>IF($A79="","",ROUND(SUMIFS(itens_Consumidos!$I$2:$I$200,itens_Consumidos!$A$2:$A$200,$A79),2))</f>
        <v/>
      </c>
      <c r="AX79">
        <f>IF(OR($A79="",O79=""),"",ROUND(MAX(O79-AW79,0),2))</f>
        <v/>
      </c>
      <c r="AY79">
        <f>IF(OR($A79="",O79="",MEMORIA_RESULTADOS!$I$260=""),"",ROUND(O79*$C79*(MEMORIA_RESULTADOS!$I$260-1),2))</f>
        <v/>
      </c>
      <c r="AZ79">
        <f>IF(OR($A79="",AX79="",MEMORIA_RESULTADOS!$I$260=""),"",ROUND(AX79*$C79*(parametros!$F$4-MEMORIA_RESULTADOS!$I$260),2))</f>
        <v/>
      </c>
      <c r="BA79">
        <f>IF($A79="","",ROUND(SUMIFS(itens_Consumidos!$K$2:$K$200,itens_Consumidos!$A$2:$A$200,$A79),2))</f>
        <v/>
      </c>
      <c r="BB79">
        <f>IF(OR($A79="",Q79=""),"",ROUND(MAX(Q79-BA79,0),2))</f>
        <v/>
      </c>
      <c r="BC79">
        <f>IF(OR($A79="",Q79="",MEMORIA_RESULTADOS!$I$261=""),"",ROUND(Q79*$C79*(MEMORIA_RESULTADOS!$I$261-1),2))</f>
        <v/>
      </c>
      <c r="BD79">
        <f>IF(OR($A79="",BB79="",MEMORIA_RESULTADOS!$I$261=""),"",ROUND(BB79*$C79*(parametros!$F$5-MEMORIA_RESULTADOS!$I$261),2))</f>
        <v/>
      </c>
      <c r="BE79">
        <f>IF($A79="","",ROUND(SUMIFS(itens_Consumidos!$M$2:$M$200,itens_Consumidos!$A$2:$A$200,$A79),2))</f>
        <v/>
      </c>
      <c r="BF79">
        <f>IF(OR($A79="",S79=""),"",ROUND(MAX(S79-BE79,0),2))</f>
        <v/>
      </c>
      <c r="BG79">
        <f>IF(OR($A79="",S79="",MEMORIA_RESULTADOS!$I$262=""),"",ROUND(S79*$C79*(MEMORIA_RESULTADOS!$I$262-1),2))</f>
        <v/>
      </c>
      <c r="BH79">
        <f>IF(OR($A79="",BF79="",MEMORIA_RESULTADOS!$I$262=""),"",ROUND(BF79*$C79*(parametros!$F$6-MEMORIA_RESULTADOS!$I$262),2))</f>
        <v/>
      </c>
    </row>
    <row r="80">
      <c r="A80" s="86" t="n"/>
      <c r="B80" s="87">
        <f>IF(AND(LEN(TRIM($A80))=4,LEFT(TRIM($A80),1)="N",ISNUMBER(--MID(TRIM($A80),2,3)),ISERROR(FIND(".",$A80)),ISERROR(FIND(",",$A80)),ISERROR(FIND("-",$A80)),ISERROR(FIND("+",$A80)),ISERROR(SEARCH("E",$A80,2)),ISERROR(FIND(" ",TRIM($A80)))),0,"")</f>
        <v/>
      </c>
      <c r="C80" s="339" t="n"/>
      <c r="D80" s="335">
        <f>IF(AND(A80="",A79&lt;&gt;"",COUNTIF(A81:$A$200,"&lt;&gt;")=0),ROUND(SUMIF($A$2:A79,"&lt;&gt;",$D$2:D79),2),IF(OR(A80="",B80="",C80=""),"",ROUND(B80*C80,2)))</f>
        <v/>
      </c>
      <c r="E80" s="89" t="n"/>
      <c r="F80" s="335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 t="n"/>
      <c r="H80" s="335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 t="n"/>
      <c r="J80" s="335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 t="n"/>
      <c r="L80" s="335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>
        <f>IF(OR(posicao_contratual!J80="",posicao_contratual!N80=""),"",ROUND(MAX(posicao_contratual!J80+posicao_contratual!H80-posicao_contratual!N80,0),2))</f>
        <v/>
      </c>
      <c r="N80" s="335">
        <f>IF(AND(A80="",A79&lt;&gt;"",COUNTIF(A81:$A$200,"&lt;&gt;")=0),ROUND(SUMIF($A$2:A79,"&lt;&gt;",$N$2:N79),2),IF(OR(M80="",C80="",NOT(ISNUMBER($Z$3))),"",ROUND(M80*C80*$Z$3,2)))</f>
        <v/>
      </c>
      <c r="O80" s="90">
        <f>IF(OR(posicao_contratual!N80="",posicao_contratual!R80=""),"",ROUND(MAX(posicao_contratual!N80+posicao_contratual!L80-posicao_contratual!R80,0),2))</f>
        <v/>
      </c>
      <c r="P80" s="335">
        <f>IF(AND(A80="",A79&lt;&gt;"",COUNTIF(A81:$A$200,"&lt;&gt;")=0),ROUND(SUMIF($A$2:A79,"&lt;&gt;",$P$2:P79),2),IF(OR(O80="",C80="",NOT(ISNUMBER($Z$4))),"",ROUND(O80*C80*$Z$4,2)))</f>
        <v/>
      </c>
      <c r="Q80" s="90">
        <f>IF(OR(posicao_contratual!R80="",posicao_contratual!V80=""),"",ROUND(MAX(posicao_contratual!R80+posicao_contratual!P80-posicao_contratual!V80,0),2))</f>
        <v/>
      </c>
      <c r="R80" s="335">
        <f>IF(AND(A80="",A79&lt;&gt;"",COUNTIF(A81:$A$200,"&lt;&gt;")=0),ROUND(SUMIF($A$2:A79,"&lt;&gt;",$R$2:R79),2),IF(OR(Q80="",C80="",NOT(ISNUMBER($Z$5))),"",ROUND(Q80*C80*$Z$5,2)))</f>
        <v/>
      </c>
      <c r="S80" s="22" t="n"/>
      <c r="T80" s="340" t="n"/>
      <c r="U80" s="91">
        <f>IF(AND(A80="",A79&lt;&gt;"",COUNTIF(A81:$A$200,"&lt;&gt;")=0),"TOTAL",IF(A80="","",posicao_contratual!X80))</f>
        <v/>
      </c>
      <c r="V80" s="91">
        <f>IF(A80="","",posicao_contratual!X80)</f>
        <v/>
      </c>
      <c r="W80" s="14" t="n"/>
      <c r="X80" s="14" t="n"/>
      <c r="Y80" s="14" t="n"/>
      <c r="Z80" s="13" t="n"/>
      <c r="AA80" s="13" t="n"/>
      <c r="AB80" s="90">
        <f>IF(OR(A80="",posicao_contratual!E80="",posicao_contratual!J80=""),"",ROUND(MAX(posicao_contratual!E80-posicao_contratual!J80,0),2))</f>
        <v/>
      </c>
      <c r="AC80" s="335">
        <f>IF(AND(A80="",A79&lt;&gt;"",COUNTIF(A81:$A$200,"&lt;&gt;")=0),ROUND(SUMIF($A$2:A79,"&lt;&gt;",$AC$2:AC79),2),IF(OR(AB80="",C80="",NOT(ISNUMBER($Z$2))),"",ROUND(AB80*C80*$Z$2,2)))</f>
        <v/>
      </c>
      <c r="AD80" s="155">
        <f>IF(A80="","",posicao_contratual!E80)</f>
        <v/>
      </c>
      <c r="AE80" s="155">
        <f>IF(A80="","",posicao_contratual!I80)</f>
        <v/>
      </c>
      <c r="AF80" s="155">
        <f>IF(A80="","",posicao_contratual!M80)</f>
        <v/>
      </c>
      <c r="AG80" s="155">
        <f>IF(A80="","",posicao_contratual!Q80)</f>
        <v/>
      </c>
      <c r="AH80" s="155">
        <f>IF(A80="","",posicao_contratual!U80)</f>
        <v/>
      </c>
      <c r="AI80" s="155">
        <f>IF(A80="","",posicao_contratual!G80)</f>
        <v/>
      </c>
      <c r="AJ80" s="155">
        <f>IF(A80="","",posicao_contratual!K80)</f>
        <v/>
      </c>
      <c r="AK80" s="155">
        <f>IF(A80="","",posicao_contratual!O80)</f>
        <v/>
      </c>
      <c r="AL80" s="155">
        <f>IF(A80="","",posicao_contratual!S80)</f>
        <v/>
      </c>
      <c r="AM80" s="155">
        <f>IF(A80="","",posicao_contratual!W80)</f>
        <v/>
      </c>
      <c r="AN80" s="156">
        <f>IF(A80="","",posicao_contratual!X80)</f>
        <v/>
      </c>
      <c r="AO80">
        <f>IF($A80="","",ROUND(SUMIFS(itens_Consumidos!$E$2:$E$200,itens_Consumidos!$A$2:$A$200,$A80),2))</f>
        <v/>
      </c>
      <c r="AP80">
        <f>IF(OR($A80="",AB80=""),"",ROUND(MAX(AB80-AO80,0),2))</f>
        <v/>
      </c>
      <c r="AQ80">
        <f>IF(OR($A80="",AB80="",MEMORIA_RESULTADOS!$I$258=""),"",ROUND(AB80*$C80*(MEMORIA_RESULTADOS!$I$258-1),2))</f>
        <v/>
      </c>
      <c r="AR80">
        <f>IF(OR($A80="",AP80="",MEMORIA_RESULTADOS!$I$258=""),"",ROUND(AP80*$C80*(parametros!$F$2-MEMORIA_RESULTADOS!$I$258),2))</f>
        <v/>
      </c>
      <c r="AS80">
        <f>IF($A80="","",ROUND(SUMIFS(itens_Consumidos!$G$2:$G$200,itens_Consumidos!$A$2:$A$200,$A80),2))</f>
        <v/>
      </c>
      <c r="AT80">
        <f>IF(OR($A80="",M80=""),"",ROUND(MAX(M80-AS80,0),2))</f>
        <v/>
      </c>
      <c r="AU80">
        <f>IF(OR($A80="",M80="",MEMORIA_RESULTADOS!$I$259=""),"",ROUND(M80*$C80*(MEMORIA_RESULTADOS!$I$259-1),2))</f>
        <v/>
      </c>
      <c r="AV80">
        <f>IF(OR($A80="",AT80="",MEMORIA_RESULTADOS!$I$259=""),"",ROUND(AT80*$C80*(parametros!$F$3-MEMORIA_RESULTADOS!$I$259),2))</f>
        <v/>
      </c>
      <c r="AW80">
        <f>IF($A80="","",ROUND(SUMIFS(itens_Consumidos!$I$2:$I$200,itens_Consumidos!$A$2:$A$200,$A80),2))</f>
        <v/>
      </c>
      <c r="AX80">
        <f>IF(OR($A80="",O80=""),"",ROUND(MAX(O80-AW80,0),2))</f>
        <v/>
      </c>
      <c r="AY80">
        <f>IF(OR($A80="",O80="",MEMORIA_RESULTADOS!$I$260=""),"",ROUND(O80*$C80*(MEMORIA_RESULTADOS!$I$260-1),2))</f>
        <v/>
      </c>
      <c r="AZ80">
        <f>IF(OR($A80="",AX80="",MEMORIA_RESULTADOS!$I$260=""),"",ROUND(AX80*$C80*(parametros!$F$4-MEMORIA_RESULTADOS!$I$260),2))</f>
        <v/>
      </c>
      <c r="BA80">
        <f>IF($A80="","",ROUND(SUMIFS(itens_Consumidos!$K$2:$K$200,itens_Consumidos!$A$2:$A$200,$A80),2))</f>
        <v/>
      </c>
      <c r="BB80">
        <f>IF(OR($A80="",Q80=""),"",ROUND(MAX(Q80-BA80,0),2))</f>
        <v/>
      </c>
      <c r="BC80">
        <f>IF(OR($A80="",Q80="",MEMORIA_RESULTADOS!$I$261=""),"",ROUND(Q80*$C80*(MEMORIA_RESULTADOS!$I$261-1),2))</f>
        <v/>
      </c>
      <c r="BD80">
        <f>IF(OR($A80="",BB80="",MEMORIA_RESULTADOS!$I$261=""),"",ROUND(BB80*$C80*(parametros!$F$5-MEMORIA_RESULTADOS!$I$261),2))</f>
        <v/>
      </c>
      <c r="BE80">
        <f>IF($A80="","",ROUND(SUMIFS(itens_Consumidos!$M$2:$M$200,itens_Consumidos!$A$2:$A$200,$A80),2))</f>
        <v/>
      </c>
      <c r="BF80">
        <f>IF(OR($A80="",S80=""),"",ROUND(MAX(S80-BE80,0),2))</f>
        <v/>
      </c>
      <c r="BG80">
        <f>IF(OR($A80="",S80="",MEMORIA_RESULTADOS!$I$262=""),"",ROUND(S80*$C80*(MEMORIA_RESULTADOS!$I$262-1),2))</f>
        <v/>
      </c>
      <c r="BH80">
        <f>IF(OR($A80="",BF80="",MEMORIA_RESULTADOS!$I$262=""),"",ROUND(BF80*$C80*(parametros!$F$6-MEMORIA_RESULTADOS!$I$262),2))</f>
        <v/>
      </c>
    </row>
    <row r="81">
      <c r="A81" s="86" t="n"/>
      <c r="B81" s="87">
        <f>IF(AND(LEN(TRIM($A81))=4,LEFT(TRIM($A81),1)="N",ISNUMBER(--MID(TRIM($A81),2,3)),ISERROR(FIND(".",$A81)),ISERROR(FIND(",",$A81)),ISERROR(FIND("-",$A81)),ISERROR(FIND("+",$A81)),ISERROR(SEARCH("E",$A81,2)),ISERROR(FIND(" ",TRIM($A81)))),0,"")</f>
        <v/>
      </c>
      <c r="C81" s="339" t="n"/>
      <c r="D81" s="335">
        <f>IF(AND(A81="",A80&lt;&gt;"",COUNTIF(A82:$A$200,"&lt;&gt;")=0),ROUND(SUMIF($A$2:A80,"&lt;&gt;",$D$2:D80),2),IF(OR(A81="",B81="",C81=""),"",ROUND(B81*C81,2)))</f>
        <v/>
      </c>
      <c r="E81" s="89" t="n"/>
      <c r="F81" s="335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 t="n"/>
      <c r="H81" s="335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 t="n"/>
      <c r="J81" s="335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 t="n"/>
      <c r="L81" s="335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>
        <f>IF(OR(posicao_contratual!J81="",posicao_contratual!N81=""),"",ROUND(MAX(posicao_contratual!J81+posicao_contratual!H81-posicao_contratual!N81,0),2))</f>
        <v/>
      </c>
      <c r="N81" s="335">
        <f>IF(AND(A81="",A80&lt;&gt;"",COUNTIF(A82:$A$200,"&lt;&gt;")=0),ROUND(SUMIF($A$2:A80,"&lt;&gt;",$N$2:N80),2),IF(OR(M81="",C81="",NOT(ISNUMBER($Z$3))),"",ROUND(M81*C81*$Z$3,2)))</f>
        <v/>
      </c>
      <c r="O81" s="90">
        <f>IF(OR(posicao_contratual!N81="",posicao_contratual!R81=""),"",ROUND(MAX(posicao_contratual!N81+posicao_contratual!L81-posicao_contratual!R81,0),2))</f>
        <v/>
      </c>
      <c r="P81" s="335">
        <f>IF(AND(A81="",A80&lt;&gt;"",COUNTIF(A82:$A$200,"&lt;&gt;")=0),ROUND(SUMIF($A$2:A80,"&lt;&gt;",$P$2:P80),2),IF(OR(O81="",C81="",NOT(ISNUMBER($Z$4))),"",ROUND(O81*C81*$Z$4,2)))</f>
        <v/>
      </c>
      <c r="Q81" s="90">
        <f>IF(OR(posicao_contratual!R81="",posicao_contratual!V81=""),"",ROUND(MAX(posicao_contratual!R81+posicao_contratual!P81-posicao_contratual!V81,0),2))</f>
        <v/>
      </c>
      <c r="R81" s="335">
        <f>IF(AND(A81="",A80&lt;&gt;"",COUNTIF(A82:$A$200,"&lt;&gt;")=0),ROUND(SUMIF($A$2:A80,"&lt;&gt;",$R$2:R80),2),IF(OR(Q81="",C81="",NOT(ISNUMBER($Z$5))),"",ROUND(Q81*C81*$Z$5,2)))</f>
        <v/>
      </c>
      <c r="S81" s="22" t="n"/>
      <c r="T81" s="340" t="n"/>
      <c r="U81" s="91">
        <f>IF(AND(A81="",A80&lt;&gt;"",COUNTIF(A82:$A$200,"&lt;&gt;")=0),"TOTAL",IF(A81="","",posicao_contratual!X81))</f>
        <v/>
      </c>
      <c r="V81" s="91">
        <f>IF(A81="","",posicao_contratual!X81)</f>
        <v/>
      </c>
      <c r="W81" s="14" t="n"/>
      <c r="X81" s="14" t="n"/>
      <c r="Y81" s="14" t="n"/>
      <c r="Z81" s="13" t="n"/>
      <c r="AA81" s="13" t="n"/>
      <c r="AB81" s="90">
        <f>IF(OR(A81="",posicao_contratual!E81="",posicao_contratual!J81=""),"",ROUND(MAX(posicao_contratual!E81-posicao_contratual!J81,0),2))</f>
        <v/>
      </c>
      <c r="AC81" s="335">
        <f>IF(AND(A81="",A80&lt;&gt;"",COUNTIF(A82:$A$200,"&lt;&gt;")=0),ROUND(SUMIF($A$2:A80,"&lt;&gt;",$AC$2:AC80),2),IF(OR(AB81="",C81="",NOT(ISNUMBER($Z$2))),"",ROUND(AB81*C81*$Z$2,2)))</f>
        <v/>
      </c>
      <c r="AD81" s="155">
        <f>IF(A81="","",posicao_contratual!E81)</f>
        <v/>
      </c>
      <c r="AE81" s="155">
        <f>IF(A81="","",posicao_contratual!I81)</f>
        <v/>
      </c>
      <c r="AF81" s="155">
        <f>IF(A81="","",posicao_contratual!M81)</f>
        <v/>
      </c>
      <c r="AG81" s="155">
        <f>IF(A81="","",posicao_contratual!Q81)</f>
        <v/>
      </c>
      <c r="AH81" s="155">
        <f>IF(A81="","",posicao_contratual!U81)</f>
        <v/>
      </c>
      <c r="AI81" s="155">
        <f>IF(A81="","",posicao_contratual!G81)</f>
        <v/>
      </c>
      <c r="AJ81" s="155">
        <f>IF(A81="","",posicao_contratual!K81)</f>
        <v/>
      </c>
      <c r="AK81" s="155">
        <f>IF(A81="","",posicao_contratual!O81)</f>
        <v/>
      </c>
      <c r="AL81" s="155">
        <f>IF(A81="","",posicao_contratual!S81)</f>
        <v/>
      </c>
      <c r="AM81" s="155">
        <f>IF(A81="","",posicao_contratual!W81)</f>
        <v/>
      </c>
      <c r="AN81" s="156">
        <f>IF(A81="","",posicao_contratual!X81)</f>
        <v/>
      </c>
      <c r="AO81">
        <f>IF($A81="","",ROUND(SUMIFS(itens_Consumidos!$E$2:$E$200,itens_Consumidos!$A$2:$A$200,$A81),2))</f>
        <v/>
      </c>
      <c r="AP81">
        <f>IF(OR($A81="",AB81=""),"",ROUND(MAX(AB81-AO81,0),2))</f>
        <v/>
      </c>
      <c r="AQ81">
        <f>IF(OR($A81="",AB81="",MEMORIA_RESULTADOS!$I$258=""),"",ROUND(AB81*$C81*(MEMORIA_RESULTADOS!$I$258-1),2))</f>
        <v/>
      </c>
      <c r="AR81">
        <f>IF(OR($A81="",AP81="",MEMORIA_RESULTADOS!$I$258=""),"",ROUND(AP81*$C81*(parametros!$F$2-MEMORIA_RESULTADOS!$I$258),2))</f>
        <v/>
      </c>
      <c r="AS81">
        <f>IF($A81="","",ROUND(SUMIFS(itens_Consumidos!$G$2:$G$200,itens_Consumidos!$A$2:$A$200,$A81),2))</f>
        <v/>
      </c>
      <c r="AT81">
        <f>IF(OR($A81="",M81=""),"",ROUND(MAX(M81-AS81,0),2))</f>
        <v/>
      </c>
      <c r="AU81">
        <f>IF(OR($A81="",M81="",MEMORIA_RESULTADOS!$I$259=""),"",ROUND(M81*$C81*(MEMORIA_RESULTADOS!$I$259-1),2))</f>
        <v/>
      </c>
      <c r="AV81">
        <f>IF(OR($A81="",AT81="",MEMORIA_RESULTADOS!$I$259=""),"",ROUND(AT81*$C81*(parametros!$F$3-MEMORIA_RESULTADOS!$I$259),2))</f>
        <v/>
      </c>
      <c r="AW81">
        <f>IF($A81="","",ROUND(SUMIFS(itens_Consumidos!$I$2:$I$200,itens_Consumidos!$A$2:$A$200,$A81),2))</f>
        <v/>
      </c>
      <c r="AX81">
        <f>IF(OR($A81="",O81=""),"",ROUND(MAX(O81-AW81,0),2))</f>
        <v/>
      </c>
      <c r="AY81">
        <f>IF(OR($A81="",O81="",MEMORIA_RESULTADOS!$I$260=""),"",ROUND(O81*$C81*(MEMORIA_RESULTADOS!$I$260-1),2))</f>
        <v/>
      </c>
      <c r="AZ81">
        <f>IF(OR($A81="",AX81="",MEMORIA_RESULTADOS!$I$260=""),"",ROUND(AX81*$C81*(parametros!$F$4-MEMORIA_RESULTADOS!$I$260),2))</f>
        <v/>
      </c>
      <c r="BA81">
        <f>IF($A81="","",ROUND(SUMIFS(itens_Consumidos!$K$2:$K$200,itens_Consumidos!$A$2:$A$200,$A81),2))</f>
        <v/>
      </c>
      <c r="BB81">
        <f>IF(OR($A81="",Q81=""),"",ROUND(MAX(Q81-BA81,0),2))</f>
        <v/>
      </c>
      <c r="BC81">
        <f>IF(OR($A81="",Q81="",MEMORIA_RESULTADOS!$I$261=""),"",ROUND(Q81*$C81*(MEMORIA_RESULTADOS!$I$261-1),2))</f>
        <v/>
      </c>
      <c r="BD81">
        <f>IF(OR($A81="",BB81="",MEMORIA_RESULTADOS!$I$261=""),"",ROUND(BB81*$C81*(parametros!$F$5-MEMORIA_RESULTADOS!$I$261),2))</f>
        <v/>
      </c>
      <c r="BE81">
        <f>IF($A81="","",ROUND(SUMIFS(itens_Consumidos!$M$2:$M$200,itens_Consumidos!$A$2:$A$200,$A81),2))</f>
        <v/>
      </c>
      <c r="BF81">
        <f>IF(OR($A81="",S81=""),"",ROUND(MAX(S81-BE81,0),2))</f>
        <v/>
      </c>
      <c r="BG81">
        <f>IF(OR($A81="",S81="",MEMORIA_RESULTADOS!$I$262=""),"",ROUND(S81*$C81*(MEMORIA_RESULTADOS!$I$262-1),2))</f>
        <v/>
      </c>
      <c r="BH81">
        <f>IF(OR($A81="",BF81="",MEMORIA_RESULTADOS!$I$262=""),"",ROUND(BF81*$C81*(parametros!$F$6-MEMORIA_RESULTADOS!$I$262),2))</f>
        <v/>
      </c>
    </row>
    <row r="82">
      <c r="A82" s="86" t="n"/>
      <c r="B82" s="87">
        <f>IF(AND(LEN(TRIM($A82))=4,LEFT(TRIM($A82),1)="N",ISNUMBER(--MID(TRIM($A82),2,3)),ISERROR(FIND(".",$A82)),ISERROR(FIND(",",$A82)),ISERROR(FIND("-",$A82)),ISERROR(FIND("+",$A82)),ISERROR(SEARCH("E",$A82,2)),ISERROR(FIND(" ",TRIM($A82)))),0,"")</f>
        <v/>
      </c>
      <c r="C82" s="339" t="n"/>
      <c r="D82" s="335">
        <f>IF(AND(A82="",A81&lt;&gt;"",COUNTIF(A83:$A$200,"&lt;&gt;")=0),ROUND(SUMIF($A$2:A81,"&lt;&gt;",$D$2:D81),2),IF(OR(A82="",B82="",C82=""),"",ROUND(B82*C82,2)))</f>
        <v/>
      </c>
      <c r="E82" s="89" t="n"/>
      <c r="F82" s="335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 t="n"/>
      <c r="H82" s="335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 t="n"/>
      <c r="J82" s="335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 t="n"/>
      <c r="L82" s="335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>
        <f>IF(OR(posicao_contratual!J82="",posicao_contratual!N82=""),"",ROUND(MAX(posicao_contratual!J82+posicao_contratual!H82-posicao_contratual!N82,0),2))</f>
        <v/>
      </c>
      <c r="N82" s="335">
        <f>IF(AND(A82="",A81&lt;&gt;"",COUNTIF(A83:$A$200,"&lt;&gt;")=0),ROUND(SUMIF($A$2:A81,"&lt;&gt;",$N$2:N81),2),IF(OR(M82="",C82="",NOT(ISNUMBER($Z$3))),"",ROUND(M82*C82*$Z$3,2)))</f>
        <v/>
      </c>
      <c r="O82" s="90">
        <f>IF(OR(posicao_contratual!N82="",posicao_contratual!R82=""),"",ROUND(MAX(posicao_contratual!N82+posicao_contratual!L82-posicao_contratual!R82,0),2))</f>
        <v/>
      </c>
      <c r="P82" s="335">
        <f>IF(AND(A82="",A81&lt;&gt;"",COUNTIF(A83:$A$200,"&lt;&gt;")=0),ROUND(SUMIF($A$2:A81,"&lt;&gt;",$P$2:P81),2),IF(OR(O82="",C82="",NOT(ISNUMBER($Z$4))),"",ROUND(O82*C82*$Z$4,2)))</f>
        <v/>
      </c>
      <c r="Q82" s="90">
        <f>IF(OR(posicao_contratual!R82="",posicao_contratual!V82=""),"",ROUND(MAX(posicao_contratual!R82+posicao_contratual!P82-posicao_contratual!V82,0),2))</f>
        <v/>
      </c>
      <c r="R82" s="335">
        <f>IF(AND(A82="",A81&lt;&gt;"",COUNTIF(A83:$A$200,"&lt;&gt;")=0),ROUND(SUMIF($A$2:A81,"&lt;&gt;",$R$2:R81),2),IF(OR(Q82="",C82="",NOT(ISNUMBER($Z$5))),"",ROUND(Q82*C82*$Z$5,2)))</f>
        <v/>
      </c>
      <c r="S82" s="22" t="n"/>
      <c r="T82" s="340" t="n"/>
      <c r="U82" s="91">
        <f>IF(AND(A82="",A81&lt;&gt;"",COUNTIF(A83:$A$200,"&lt;&gt;")=0),"TOTAL",IF(A82="","",posicao_contratual!X82))</f>
        <v/>
      </c>
      <c r="V82" s="91">
        <f>IF(A82="","",posicao_contratual!X82)</f>
        <v/>
      </c>
      <c r="W82" s="14" t="n"/>
      <c r="X82" s="14" t="n"/>
      <c r="Y82" s="14" t="n"/>
      <c r="Z82" s="13" t="n"/>
      <c r="AA82" s="13" t="n"/>
      <c r="AB82" s="90">
        <f>IF(OR(A82="",posicao_contratual!E82="",posicao_contratual!J82=""),"",ROUND(MAX(posicao_contratual!E82-posicao_contratual!J82,0),2))</f>
        <v/>
      </c>
      <c r="AC82" s="335">
        <f>IF(AND(A82="",A81&lt;&gt;"",COUNTIF(A83:$A$200,"&lt;&gt;")=0),ROUND(SUMIF($A$2:A81,"&lt;&gt;",$AC$2:AC81),2),IF(OR(AB82="",C82="",NOT(ISNUMBER($Z$2))),"",ROUND(AB82*C82*$Z$2,2)))</f>
        <v/>
      </c>
      <c r="AD82" s="155">
        <f>IF(A82="","",posicao_contratual!E82)</f>
        <v/>
      </c>
      <c r="AE82" s="155">
        <f>IF(A82="","",posicao_contratual!I82)</f>
        <v/>
      </c>
      <c r="AF82" s="155">
        <f>IF(A82="","",posicao_contratual!M82)</f>
        <v/>
      </c>
      <c r="AG82" s="155">
        <f>IF(A82="","",posicao_contratual!Q82)</f>
        <v/>
      </c>
      <c r="AH82" s="155">
        <f>IF(A82="","",posicao_contratual!U82)</f>
        <v/>
      </c>
      <c r="AI82" s="155">
        <f>IF(A82="","",posicao_contratual!G82)</f>
        <v/>
      </c>
      <c r="AJ82" s="155">
        <f>IF(A82="","",posicao_contratual!K82)</f>
        <v/>
      </c>
      <c r="AK82" s="155">
        <f>IF(A82="","",posicao_contratual!O82)</f>
        <v/>
      </c>
      <c r="AL82" s="155">
        <f>IF(A82="","",posicao_contratual!S82)</f>
        <v/>
      </c>
      <c r="AM82" s="155">
        <f>IF(A82="","",posicao_contratual!W82)</f>
        <v/>
      </c>
      <c r="AN82" s="156">
        <f>IF(A82="","",posicao_contratual!X82)</f>
        <v/>
      </c>
      <c r="AO82">
        <f>IF($A82="","",ROUND(SUMIFS(itens_Consumidos!$E$2:$E$200,itens_Consumidos!$A$2:$A$200,$A82),2))</f>
        <v/>
      </c>
      <c r="AP82">
        <f>IF(OR($A82="",AB82=""),"",ROUND(MAX(AB82-AO82,0),2))</f>
        <v/>
      </c>
      <c r="AQ82">
        <f>IF(OR($A82="",AB82="",MEMORIA_RESULTADOS!$I$258=""),"",ROUND(AB82*$C82*(MEMORIA_RESULTADOS!$I$258-1),2))</f>
        <v/>
      </c>
      <c r="AR82">
        <f>IF(OR($A82="",AP82="",MEMORIA_RESULTADOS!$I$258=""),"",ROUND(AP82*$C82*(parametros!$F$2-MEMORIA_RESULTADOS!$I$258),2))</f>
        <v/>
      </c>
      <c r="AS82">
        <f>IF($A82="","",ROUND(SUMIFS(itens_Consumidos!$G$2:$G$200,itens_Consumidos!$A$2:$A$200,$A82),2))</f>
        <v/>
      </c>
      <c r="AT82">
        <f>IF(OR($A82="",M82=""),"",ROUND(MAX(M82-AS82,0),2))</f>
        <v/>
      </c>
      <c r="AU82">
        <f>IF(OR($A82="",M82="",MEMORIA_RESULTADOS!$I$259=""),"",ROUND(M82*$C82*(MEMORIA_RESULTADOS!$I$259-1),2))</f>
        <v/>
      </c>
      <c r="AV82">
        <f>IF(OR($A82="",AT82="",MEMORIA_RESULTADOS!$I$259=""),"",ROUND(AT82*$C82*(parametros!$F$3-MEMORIA_RESULTADOS!$I$259),2))</f>
        <v/>
      </c>
      <c r="AW82">
        <f>IF($A82="","",ROUND(SUMIFS(itens_Consumidos!$I$2:$I$200,itens_Consumidos!$A$2:$A$200,$A82),2))</f>
        <v/>
      </c>
      <c r="AX82">
        <f>IF(OR($A82="",O82=""),"",ROUND(MAX(O82-AW82,0),2))</f>
        <v/>
      </c>
      <c r="AY82">
        <f>IF(OR($A82="",O82="",MEMORIA_RESULTADOS!$I$260=""),"",ROUND(O82*$C82*(MEMORIA_RESULTADOS!$I$260-1),2))</f>
        <v/>
      </c>
      <c r="AZ82">
        <f>IF(OR($A82="",AX82="",MEMORIA_RESULTADOS!$I$260=""),"",ROUND(AX82*$C82*(parametros!$F$4-MEMORIA_RESULTADOS!$I$260),2))</f>
        <v/>
      </c>
      <c r="BA82">
        <f>IF($A82="","",ROUND(SUMIFS(itens_Consumidos!$K$2:$K$200,itens_Consumidos!$A$2:$A$200,$A82),2))</f>
        <v/>
      </c>
      <c r="BB82">
        <f>IF(OR($A82="",Q82=""),"",ROUND(MAX(Q82-BA82,0),2))</f>
        <v/>
      </c>
      <c r="BC82">
        <f>IF(OR($A82="",Q82="",MEMORIA_RESULTADOS!$I$261=""),"",ROUND(Q82*$C82*(MEMORIA_RESULTADOS!$I$261-1),2))</f>
        <v/>
      </c>
      <c r="BD82">
        <f>IF(OR($A82="",BB82="",MEMORIA_RESULTADOS!$I$261=""),"",ROUND(BB82*$C82*(parametros!$F$5-MEMORIA_RESULTADOS!$I$261),2))</f>
        <v/>
      </c>
      <c r="BE82">
        <f>IF($A82="","",ROUND(SUMIFS(itens_Consumidos!$M$2:$M$200,itens_Consumidos!$A$2:$A$200,$A82),2))</f>
        <v/>
      </c>
      <c r="BF82">
        <f>IF(OR($A82="",S82=""),"",ROUND(MAX(S82-BE82,0),2))</f>
        <v/>
      </c>
      <c r="BG82">
        <f>IF(OR($A82="",S82="",MEMORIA_RESULTADOS!$I$262=""),"",ROUND(S82*$C82*(MEMORIA_RESULTADOS!$I$262-1),2))</f>
        <v/>
      </c>
      <c r="BH82">
        <f>IF(OR($A82="",BF82="",MEMORIA_RESULTADOS!$I$262=""),"",ROUND(BF82*$C82*(parametros!$F$6-MEMORIA_RESULTADOS!$I$262),2))</f>
        <v/>
      </c>
    </row>
    <row r="83">
      <c r="A83" s="86" t="n"/>
      <c r="B83" s="87">
        <f>IF(AND(LEN(TRIM($A83))=4,LEFT(TRIM($A83),1)="N",ISNUMBER(--MID(TRIM($A83),2,3)),ISERROR(FIND(".",$A83)),ISERROR(FIND(",",$A83)),ISERROR(FIND("-",$A83)),ISERROR(FIND("+",$A83)),ISERROR(SEARCH("E",$A83,2)),ISERROR(FIND(" ",TRIM($A83)))),0,"")</f>
        <v/>
      </c>
      <c r="C83" s="339" t="n"/>
      <c r="D83" s="335">
        <f>IF(AND(A83="",A82&lt;&gt;"",COUNTIF(A84:$A$200,"&lt;&gt;")=0),ROUND(SUMIF($A$2:A82,"&lt;&gt;",$D$2:D82),2),IF(OR(A83="",B83="",C83=""),"",ROUND(B83*C83,2)))</f>
        <v/>
      </c>
      <c r="E83" s="89" t="n"/>
      <c r="F83" s="335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 t="n"/>
      <c r="H83" s="335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 t="n"/>
      <c r="J83" s="335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 t="n"/>
      <c r="L83" s="335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>
        <f>IF(OR(posicao_contratual!J83="",posicao_contratual!N83=""),"",ROUND(MAX(posicao_contratual!J83+posicao_contratual!H83-posicao_contratual!N83,0),2))</f>
        <v/>
      </c>
      <c r="N83" s="335">
        <f>IF(AND(A83="",A82&lt;&gt;"",COUNTIF(A84:$A$200,"&lt;&gt;")=0),ROUND(SUMIF($A$2:A82,"&lt;&gt;",$N$2:N82),2),IF(OR(M83="",C83="",NOT(ISNUMBER($Z$3))),"",ROUND(M83*C83*$Z$3,2)))</f>
        <v/>
      </c>
      <c r="O83" s="90">
        <f>IF(OR(posicao_contratual!N83="",posicao_contratual!R83=""),"",ROUND(MAX(posicao_contratual!N83+posicao_contratual!L83-posicao_contratual!R83,0),2))</f>
        <v/>
      </c>
      <c r="P83" s="335">
        <f>IF(AND(A83="",A82&lt;&gt;"",COUNTIF(A84:$A$200,"&lt;&gt;")=0),ROUND(SUMIF($A$2:A82,"&lt;&gt;",$P$2:P82),2),IF(OR(O83="",C83="",NOT(ISNUMBER($Z$4))),"",ROUND(O83*C83*$Z$4,2)))</f>
        <v/>
      </c>
      <c r="Q83" s="90">
        <f>IF(OR(posicao_contratual!R83="",posicao_contratual!V83=""),"",ROUND(MAX(posicao_contratual!R83+posicao_contratual!P83-posicao_contratual!V83,0),2))</f>
        <v/>
      </c>
      <c r="R83" s="335">
        <f>IF(AND(A83="",A82&lt;&gt;"",COUNTIF(A84:$A$200,"&lt;&gt;")=0),ROUND(SUMIF($A$2:A82,"&lt;&gt;",$R$2:R82),2),IF(OR(Q83="",C83="",NOT(ISNUMBER($Z$5))),"",ROUND(Q83*C83*$Z$5,2)))</f>
        <v/>
      </c>
      <c r="S83" s="22" t="n"/>
      <c r="T83" s="340" t="n"/>
      <c r="U83" s="91">
        <f>IF(AND(A83="",A82&lt;&gt;"",COUNTIF(A84:$A$200,"&lt;&gt;")=0),"TOTAL",IF(A83="","",posicao_contratual!X83))</f>
        <v/>
      </c>
      <c r="V83" s="91">
        <f>IF(A83="","",posicao_contratual!X83)</f>
        <v/>
      </c>
      <c r="W83" s="14" t="n"/>
      <c r="X83" s="14" t="n"/>
      <c r="Y83" s="14" t="n"/>
      <c r="Z83" s="13" t="n"/>
      <c r="AA83" s="13" t="n"/>
      <c r="AB83" s="90">
        <f>IF(OR(A83="",posicao_contratual!E83="",posicao_contratual!J83=""),"",ROUND(MAX(posicao_contratual!E83-posicao_contratual!J83,0),2))</f>
        <v/>
      </c>
      <c r="AC83" s="335">
        <f>IF(AND(A83="",A82&lt;&gt;"",COUNTIF(A84:$A$200,"&lt;&gt;")=0),ROUND(SUMIF($A$2:A82,"&lt;&gt;",$AC$2:AC82),2),IF(OR(AB83="",C83="",NOT(ISNUMBER($Z$2))),"",ROUND(AB83*C83*$Z$2,2)))</f>
        <v/>
      </c>
      <c r="AD83" s="155">
        <f>IF(A83="","",posicao_contratual!E83)</f>
        <v/>
      </c>
      <c r="AE83" s="155">
        <f>IF(A83="","",posicao_contratual!I83)</f>
        <v/>
      </c>
      <c r="AF83" s="155">
        <f>IF(A83="","",posicao_contratual!M83)</f>
        <v/>
      </c>
      <c r="AG83" s="155">
        <f>IF(A83="","",posicao_contratual!Q83)</f>
        <v/>
      </c>
      <c r="AH83" s="155">
        <f>IF(A83="","",posicao_contratual!U83)</f>
        <v/>
      </c>
      <c r="AI83" s="155">
        <f>IF(A83="","",posicao_contratual!G83)</f>
        <v/>
      </c>
      <c r="AJ83" s="155">
        <f>IF(A83="","",posicao_contratual!K83)</f>
        <v/>
      </c>
      <c r="AK83" s="155">
        <f>IF(A83="","",posicao_contratual!O83)</f>
        <v/>
      </c>
      <c r="AL83" s="155">
        <f>IF(A83="","",posicao_contratual!S83)</f>
        <v/>
      </c>
      <c r="AM83" s="155">
        <f>IF(A83="","",posicao_contratual!W83)</f>
        <v/>
      </c>
      <c r="AN83" s="156">
        <f>IF(A83="","",posicao_contratual!X83)</f>
        <v/>
      </c>
      <c r="AO83">
        <f>IF($A83="","",ROUND(SUMIFS(itens_Consumidos!$E$2:$E$200,itens_Consumidos!$A$2:$A$200,$A83),2))</f>
        <v/>
      </c>
      <c r="AP83">
        <f>IF(OR($A83="",AB83=""),"",ROUND(MAX(AB83-AO83,0),2))</f>
        <v/>
      </c>
      <c r="AQ83">
        <f>IF(OR($A83="",AB83="",MEMORIA_RESULTADOS!$I$258=""),"",ROUND(AB83*$C83*(MEMORIA_RESULTADOS!$I$258-1),2))</f>
        <v/>
      </c>
      <c r="AR83">
        <f>IF(OR($A83="",AP83="",MEMORIA_RESULTADOS!$I$258=""),"",ROUND(AP83*$C83*(parametros!$F$2-MEMORIA_RESULTADOS!$I$258),2))</f>
        <v/>
      </c>
      <c r="AS83">
        <f>IF($A83="","",ROUND(SUMIFS(itens_Consumidos!$G$2:$G$200,itens_Consumidos!$A$2:$A$200,$A83),2))</f>
        <v/>
      </c>
      <c r="AT83">
        <f>IF(OR($A83="",M83=""),"",ROUND(MAX(M83-AS83,0),2))</f>
        <v/>
      </c>
      <c r="AU83">
        <f>IF(OR($A83="",M83="",MEMORIA_RESULTADOS!$I$259=""),"",ROUND(M83*$C83*(MEMORIA_RESULTADOS!$I$259-1),2))</f>
        <v/>
      </c>
      <c r="AV83">
        <f>IF(OR($A83="",AT83="",MEMORIA_RESULTADOS!$I$259=""),"",ROUND(AT83*$C83*(parametros!$F$3-MEMORIA_RESULTADOS!$I$259),2))</f>
        <v/>
      </c>
      <c r="AW83">
        <f>IF($A83="","",ROUND(SUMIFS(itens_Consumidos!$I$2:$I$200,itens_Consumidos!$A$2:$A$200,$A83),2))</f>
        <v/>
      </c>
      <c r="AX83">
        <f>IF(OR($A83="",O83=""),"",ROUND(MAX(O83-AW83,0),2))</f>
        <v/>
      </c>
      <c r="AY83">
        <f>IF(OR($A83="",O83="",MEMORIA_RESULTADOS!$I$260=""),"",ROUND(O83*$C83*(MEMORIA_RESULTADOS!$I$260-1),2))</f>
        <v/>
      </c>
      <c r="AZ83">
        <f>IF(OR($A83="",AX83="",MEMORIA_RESULTADOS!$I$260=""),"",ROUND(AX83*$C83*(parametros!$F$4-MEMORIA_RESULTADOS!$I$260),2))</f>
        <v/>
      </c>
      <c r="BA83">
        <f>IF($A83="","",ROUND(SUMIFS(itens_Consumidos!$K$2:$K$200,itens_Consumidos!$A$2:$A$200,$A83),2))</f>
        <v/>
      </c>
      <c r="BB83">
        <f>IF(OR($A83="",Q83=""),"",ROUND(MAX(Q83-BA83,0),2))</f>
        <v/>
      </c>
      <c r="BC83">
        <f>IF(OR($A83="",Q83="",MEMORIA_RESULTADOS!$I$261=""),"",ROUND(Q83*$C83*(MEMORIA_RESULTADOS!$I$261-1),2))</f>
        <v/>
      </c>
      <c r="BD83">
        <f>IF(OR($A83="",BB83="",MEMORIA_RESULTADOS!$I$261=""),"",ROUND(BB83*$C83*(parametros!$F$5-MEMORIA_RESULTADOS!$I$261),2))</f>
        <v/>
      </c>
      <c r="BE83">
        <f>IF($A83="","",ROUND(SUMIFS(itens_Consumidos!$M$2:$M$200,itens_Consumidos!$A$2:$A$200,$A83),2))</f>
        <v/>
      </c>
      <c r="BF83">
        <f>IF(OR($A83="",S83=""),"",ROUND(MAX(S83-BE83,0),2))</f>
        <v/>
      </c>
      <c r="BG83">
        <f>IF(OR($A83="",S83="",MEMORIA_RESULTADOS!$I$262=""),"",ROUND(S83*$C83*(MEMORIA_RESULTADOS!$I$262-1),2))</f>
        <v/>
      </c>
      <c r="BH83">
        <f>IF(OR($A83="",BF83="",MEMORIA_RESULTADOS!$I$262=""),"",ROUND(BF83*$C83*(parametros!$F$6-MEMORIA_RESULTADOS!$I$262),2))</f>
        <v/>
      </c>
    </row>
    <row r="84">
      <c r="A84" s="86" t="n"/>
      <c r="B84" s="87">
        <f>IF(AND(LEN(TRIM($A84))=4,LEFT(TRIM($A84),1)="N",ISNUMBER(--MID(TRIM($A84),2,3)),ISERROR(FIND(".",$A84)),ISERROR(FIND(",",$A84)),ISERROR(FIND("-",$A84)),ISERROR(FIND("+",$A84)),ISERROR(SEARCH("E",$A84,2)),ISERROR(FIND(" ",TRIM($A84)))),0,"")</f>
        <v/>
      </c>
      <c r="C84" s="339" t="n"/>
      <c r="D84" s="335">
        <f>IF(AND(A84="",A83&lt;&gt;"",COUNTIF(A85:$A$200,"&lt;&gt;")=0),ROUND(SUMIF($A$2:A83,"&lt;&gt;",$D$2:D83),2),IF(OR(A84="",B84="",C84=""),"",ROUND(B84*C84,2)))</f>
        <v/>
      </c>
      <c r="E84" s="89" t="n"/>
      <c r="F84" s="335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 t="n"/>
      <c r="H84" s="335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 t="n"/>
      <c r="J84" s="335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 t="n"/>
      <c r="L84" s="335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>
        <f>IF(OR(posicao_contratual!J84="",posicao_contratual!N84=""),"",ROUND(MAX(posicao_contratual!J84+posicao_contratual!H84-posicao_contratual!N84,0),2))</f>
        <v/>
      </c>
      <c r="N84" s="335">
        <f>IF(AND(A84="",A83&lt;&gt;"",COUNTIF(A85:$A$200,"&lt;&gt;")=0),ROUND(SUMIF($A$2:A83,"&lt;&gt;",$N$2:N83),2),IF(OR(M84="",C84="",NOT(ISNUMBER($Z$3))),"",ROUND(M84*C84*$Z$3,2)))</f>
        <v/>
      </c>
      <c r="O84" s="90">
        <f>IF(OR(posicao_contratual!N84="",posicao_contratual!R84=""),"",ROUND(MAX(posicao_contratual!N84+posicao_contratual!L84-posicao_contratual!R84,0),2))</f>
        <v/>
      </c>
      <c r="P84" s="335">
        <f>IF(AND(A84="",A83&lt;&gt;"",COUNTIF(A85:$A$200,"&lt;&gt;")=0),ROUND(SUMIF($A$2:A83,"&lt;&gt;",$P$2:P83),2),IF(OR(O84="",C84="",NOT(ISNUMBER($Z$4))),"",ROUND(O84*C84*$Z$4,2)))</f>
        <v/>
      </c>
      <c r="Q84" s="90">
        <f>IF(OR(posicao_contratual!R84="",posicao_contratual!V84=""),"",ROUND(MAX(posicao_contratual!R84+posicao_contratual!P84-posicao_contratual!V84,0),2))</f>
        <v/>
      </c>
      <c r="R84" s="335">
        <f>IF(AND(A84="",A83&lt;&gt;"",COUNTIF(A85:$A$200,"&lt;&gt;")=0),ROUND(SUMIF($A$2:A83,"&lt;&gt;",$R$2:R83),2),IF(OR(Q84="",C84="",NOT(ISNUMBER($Z$5))),"",ROUND(Q84*C84*$Z$5,2)))</f>
        <v/>
      </c>
      <c r="S84" s="22" t="n"/>
      <c r="T84" s="340" t="n"/>
      <c r="U84" s="91">
        <f>IF(AND(A84="",A83&lt;&gt;"",COUNTIF(A85:$A$200,"&lt;&gt;")=0),"TOTAL",IF(A84="","",posicao_contratual!X84))</f>
        <v/>
      </c>
      <c r="V84" s="91">
        <f>IF(A84="","",posicao_contratual!X84)</f>
        <v/>
      </c>
      <c r="W84" s="14" t="n"/>
      <c r="X84" s="14" t="n"/>
      <c r="Y84" s="14" t="n"/>
      <c r="Z84" s="13" t="n"/>
      <c r="AA84" s="13" t="n"/>
      <c r="AB84" s="90">
        <f>IF(OR(A84="",posicao_contratual!E84="",posicao_contratual!J84=""),"",ROUND(MAX(posicao_contratual!E84-posicao_contratual!J84,0),2))</f>
        <v/>
      </c>
      <c r="AC84" s="335">
        <f>IF(AND(A84="",A83&lt;&gt;"",COUNTIF(A85:$A$200,"&lt;&gt;")=0),ROUND(SUMIF($A$2:A83,"&lt;&gt;",$AC$2:AC83),2),IF(OR(AB84="",C84="",NOT(ISNUMBER($Z$2))),"",ROUND(AB84*C84*$Z$2,2)))</f>
        <v/>
      </c>
      <c r="AD84" s="155">
        <f>IF(A84="","",posicao_contratual!E84)</f>
        <v/>
      </c>
      <c r="AE84" s="155">
        <f>IF(A84="","",posicao_contratual!I84)</f>
        <v/>
      </c>
      <c r="AF84" s="155">
        <f>IF(A84="","",posicao_contratual!M84)</f>
        <v/>
      </c>
      <c r="AG84" s="155">
        <f>IF(A84="","",posicao_contratual!Q84)</f>
        <v/>
      </c>
      <c r="AH84" s="155">
        <f>IF(A84="","",posicao_contratual!U84)</f>
        <v/>
      </c>
      <c r="AI84" s="155">
        <f>IF(A84="","",posicao_contratual!G84)</f>
        <v/>
      </c>
      <c r="AJ84" s="155">
        <f>IF(A84="","",posicao_contratual!K84)</f>
        <v/>
      </c>
      <c r="AK84" s="155">
        <f>IF(A84="","",posicao_contratual!O84)</f>
        <v/>
      </c>
      <c r="AL84" s="155">
        <f>IF(A84="","",posicao_contratual!S84)</f>
        <v/>
      </c>
      <c r="AM84" s="155">
        <f>IF(A84="","",posicao_contratual!W84)</f>
        <v/>
      </c>
      <c r="AN84" s="156">
        <f>IF(A84="","",posicao_contratual!X84)</f>
        <v/>
      </c>
      <c r="AO84">
        <f>IF($A84="","",ROUND(SUMIFS(itens_Consumidos!$E$2:$E$200,itens_Consumidos!$A$2:$A$200,$A84),2))</f>
        <v/>
      </c>
      <c r="AP84">
        <f>IF(OR($A84="",AB84=""),"",ROUND(MAX(AB84-AO84,0),2))</f>
        <v/>
      </c>
      <c r="AQ84">
        <f>IF(OR($A84="",AB84="",MEMORIA_RESULTADOS!$I$258=""),"",ROUND(AB84*$C84*(MEMORIA_RESULTADOS!$I$258-1),2))</f>
        <v/>
      </c>
      <c r="AR84">
        <f>IF(OR($A84="",AP84="",MEMORIA_RESULTADOS!$I$258=""),"",ROUND(AP84*$C84*(parametros!$F$2-MEMORIA_RESULTADOS!$I$258),2))</f>
        <v/>
      </c>
      <c r="AS84">
        <f>IF($A84="","",ROUND(SUMIFS(itens_Consumidos!$G$2:$G$200,itens_Consumidos!$A$2:$A$200,$A84),2))</f>
        <v/>
      </c>
      <c r="AT84">
        <f>IF(OR($A84="",M84=""),"",ROUND(MAX(M84-AS84,0),2))</f>
        <v/>
      </c>
      <c r="AU84">
        <f>IF(OR($A84="",M84="",MEMORIA_RESULTADOS!$I$259=""),"",ROUND(M84*$C84*(MEMORIA_RESULTADOS!$I$259-1),2))</f>
        <v/>
      </c>
      <c r="AV84">
        <f>IF(OR($A84="",AT84="",MEMORIA_RESULTADOS!$I$259=""),"",ROUND(AT84*$C84*(parametros!$F$3-MEMORIA_RESULTADOS!$I$259),2))</f>
        <v/>
      </c>
      <c r="AW84">
        <f>IF($A84="","",ROUND(SUMIFS(itens_Consumidos!$I$2:$I$200,itens_Consumidos!$A$2:$A$200,$A84),2))</f>
        <v/>
      </c>
      <c r="AX84">
        <f>IF(OR($A84="",O84=""),"",ROUND(MAX(O84-AW84,0),2))</f>
        <v/>
      </c>
      <c r="AY84">
        <f>IF(OR($A84="",O84="",MEMORIA_RESULTADOS!$I$260=""),"",ROUND(O84*$C84*(MEMORIA_RESULTADOS!$I$260-1),2))</f>
        <v/>
      </c>
      <c r="AZ84">
        <f>IF(OR($A84="",AX84="",MEMORIA_RESULTADOS!$I$260=""),"",ROUND(AX84*$C84*(parametros!$F$4-MEMORIA_RESULTADOS!$I$260),2))</f>
        <v/>
      </c>
      <c r="BA84">
        <f>IF($A84="","",ROUND(SUMIFS(itens_Consumidos!$K$2:$K$200,itens_Consumidos!$A$2:$A$200,$A84),2))</f>
        <v/>
      </c>
      <c r="BB84">
        <f>IF(OR($A84="",Q84=""),"",ROUND(MAX(Q84-BA84,0),2))</f>
        <v/>
      </c>
      <c r="BC84">
        <f>IF(OR($A84="",Q84="",MEMORIA_RESULTADOS!$I$261=""),"",ROUND(Q84*$C84*(MEMORIA_RESULTADOS!$I$261-1),2))</f>
        <v/>
      </c>
      <c r="BD84">
        <f>IF(OR($A84="",BB84="",MEMORIA_RESULTADOS!$I$261=""),"",ROUND(BB84*$C84*(parametros!$F$5-MEMORIA_RESULTADOS!$I$261),2))</f>
        <v/>
      </c>
      <c r="BE84">
        <f>IF($A84="","",ROUND(SUMIFS(itens_Consumidos!$M$2:$M$200,itens_Consumidos!$A$2:$A$200,$A84),2))</f>
        <v/>
      </c>
      <c r="BF84">
        <f>IF(OR($A84="",S84=""),"",ROUND(MAX(S84-BE84,0),2))</f>
        <v/>
      </c>
      <c r="BG84">
        <f>IF(OR($A84="",S84="",MEMORIA_RESULTADOS!$I$262=""),"",ROUND(S84*$C84*(MEMORIA_RESULTADOS!$I$262-1),2))</f>
        <v/>
      </c>
      <c r="BH84">
        <f>IF(OR($A84="",BF84="",MEMORIA_RESULTADOS!$I$262=""),"",ROUND(BF84*$C84*(parametros!$F$6-MEMORIA_RESULTADOS!$I$262),2))</f>
        <v/>
      </c>
    </row>
    <row r="85">
      <c r="A85" s="86" t="n"/>
      <c r="B85" s="87">
        <f>IF(AND(LEN(TRIM($A85))=4,LEFT(TRIM($A85),1)="N",ISNUMBER(--MID(TRIM($A85),2,3)),ISERROR(FIND(".",$A85)),ISERROR(FIND(",",$A85)),ISERROR(FIND("-",$A85)),ISERROR(FIND("+",$A85)),ISERROR(SEARCH("E",$A85,2)),ISERROR(FIND(" ",TRIM($A85)))),0,"")</f>
        <v/>
      </c>
      <c r="C85" s="339" t="n"/>
      <c r="D85" s="335">
        <f>IF(AND(A85="",A84&lt;&gt;"",COUNTIF(A86:$A$200,"&lt;&gt;")=0),ROUND(SUMIF($A$2:A84,"&lt;&gt;",$D$2:D84),2),IF(OR(A85="",B85="",C85=""),"",ROUND(B85*C85,2)))</f>
        <v/>
      </c>
      <c r="E85" s="89" t="n"/>
      <c r="F85" s="335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 t="n"/>
      <c r="H85" s="335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 t="n"/>
      <c r="J85" s="335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 t="n"/>
      <c r="L85" s="335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>
        <f>IF(OR(posicao_contratual!J85="",posicao_contratual!N85=""),"",ROUND(MAX(posicao_contratual!J85+posicao_contratual!H85-posicao_contratual!N85,0),2))</f>
        <v/>
      </c>
      <c r="N85" s="335">
        <f>IF(AND(A85="",A84&lt;&gt;"",COUNTIF(A86:$A$200,"&lt;&gt;")=0),ROUND(SUMIF($A$2:A84,"&lt;&gt;",$N$2:N84),2),IF(OR(M85="",C85="",NOT(ISNUMBER($Z$3))),"",ROUND(M85*C85*$Z$3,2)))</f>
        <v/>
      </c>
      <c r="O85" s="90">
        <f>IF(OR(posicao_contratual!N85="",posicao_contratual!R85=""),"",ROUND(MAX(posicao_contratual!N85+posicao_contratual!L85-posicao_contratual!R85,0),2))</f>
        <v/>
      </c>
      <c r="P85" s="335">
        <f>IF(AND(A85="",A84&lt;&gt;"",COUNTIF(A86:$A$200,"&lt;&gt;")=0),ROUND(SUMIF($A$2:A84,"&lt;&gt;",$P$2:P84),2),IF(OR(O85="",C85="",NOT(ISNUMBER($Z$4))),"",ROUND(O85*C85*$Z$4,2)))</f>
        <v/>
      </c>
      <c r="Q85" s="90">
        <f>IF(OR(posicao_contratual!R85="",posicao_contratual!V85=""),"",ROUND(MAX(posicao_contratual!R85+posicao_contratual!P85-posicao_contratual!V85,0),2))</f>
        <v/>
      </c>
      <c r="R85" s="335">
        <f>IF(AND(A85="",A84&lt;&gt;"",COUNTIF(A86:$A$200,"&lt;&gt;")=0),ROUND(SUMIF($A$2:A84,"&lt;&gt;",$R$2:R84),2),IF(OR(Q85="",C85="",NOT(ISNUMBER($Z$5))),"",ROUND(Q85*C85*$Z$5,2)))</f>
        <v/>
      </c>
      <c r="S85" s="22" t="n"/>
      <c r="T85" s="340" t="n"/>
      <c r="U85" s="91">
        <f>IF(AND(A85="",A84&lt;&gt;"",COUNTIF(A86:$A$200,"&lt;&gt;")=0),"TOTAL",IF(A85="","",posicao_contratual!X85))</f>
        <v/>
      </c>
      <c r="V85" s="91">
        <f>IF(A85="","",posicao_contratual!X85)</f>
        <v/>
      </c>
      <c r="W85" s="14" t="n"/>
      <c r="X85" s="14" t="n"/>
      <c r="Y85" s="14" t="n"/>
      <c r="Z85" s="13" t="n"/>
      <c r="AA85" s="13" t="n"/>
      <c r="AB85" s="90">
        <f>IF(OR(A85="",posicao_contratual!E85="",posicao_contratual!J85=""),"",ROUND(MAX(posicao_contratual!E85-posicao_contratual!J85,0),2))</f>
        <v/>
      </c>
      <c r="AC85" s="335">
        <f>IF(AND(A85="",A84&lt;&gt;"",COUNTIF(A86:$A$200,"&lt;&gt;")=0),ROUND(SUMIF($A$2:A84,"&lt;&gt;",$AC$2:AC84),2),IF(OR(AB85="",C85="",NOT(ISNUMBER($Z$2))),"",ROUND(AB85*C85*$Z$2,2)))</f>
        <v/>
      </c>
      <c r="AD85" s="155">
        <f>IF(A85="","",posicao_contratual!E85)</f>
        <v/>
      </c>
      <c r="AE85" s="155">
        <f>IF(A85="","",posicao_contratual!I85)</f>
        <v/>
      </c>
      <c r="AF85" s="155">
        <f>IF(A85="","",posicao_contratual!M85)</f>
        <v/>
      </c>
      <c r="AG85" s="155">
        <f>IF(A85="","",posicao_contratual!Q85)</f>
        <v/>
      </c>
      <c r="AH85" s="155">
        <f>IF(A85="","",posicao_contratual!U85)</f>
        <v/>
      </c>
      <c r="AI85" s="155">
        <f>IF(A85="","",posicao_contratual!G85)</f>
        <v/>
      </c>
      <c r="AJ85" s="155">
        <f>IF(A85="","",posicao_contratual!K85)</f>
        <v/>
      </c>
      <c r="AK85" s="155">
        <f>IF(A85="","",posicao_contratual!O85)</f>
        <v/>
      </c>
      <c r="AL85" s="155">
        <f>IF(A85="","",posicao_contratual!S85)</f>
        <v/>
      </c>
      <c r="AM85" s="155">
        <f>IF(A85="","",posicao_contratual!W85)</f>
        <v/>
      </c>
      <c r="AN85" s="156">
        <f>IF(A85="","",posicao_contratual!X85)</f>
        <v/>
      </c>
      <c r="AO85">
        <f>IF($A85="","",ROUND(SUMIFS(itens_Consumidos!$E$2:$E$200,itens_Consumidos!$A$2:$A$200,$A85),2))</f>
        <v/>
      </c>
      <c r="AP85">
        <f>IF(OR($A85="",AB85=""),"",ROUND(MAX(AB85-AO85,0),2))</f>
        <v/>
      </c>
      <c r="AQ85">
        <f>IF(OR($A85="",AB85="",MEMORIA_RESULTADOS!$I$258=""),"",ROUND(AB85*$C85*(MEMORIA_RESULTADOS!$I$258-1),2))</f>
        <v/>
      </c>
      <c r="AR85">
        <f>IF(OR($A85="",AP85="",MEMORIA_RESULTADOS!$I$258=""),"",ROUND(AP85*$C85*(parametros!$F$2-MEMORIA_RESULTADOS!$I$258),2))</f>
        <v/>
      </c>
      <c r="AS85">
        <f>IF($A85="","",ROUND(SUMIFS(itens_Consumidos!$G$2:$G$200,itens_Consumidos!$A$2:$A$200,$A85),2))</f>
        <v/>
      </c>
      <c r="AT85">
        <f>IF(OR($A85="",M85=""),"",ROUND(MAX(M85-AS85,0),2))</f>
        <v/>
      </c>
      <c r="AU85">
        <f>IF(OR($A85="",M85="",MEMORIA_RESULTADOS!$I$259=""),"",ROUND(M85*$C85*(MEMORIA_RESULTADOS!$I$259-1),2))</f>
        <v/>
      </c>
      <c r="AV85">
        <f>IF(OR($A85="",AT85="",MEMORIA_RESULTADOS!$I$259=""),"",ROUND(AT85*$C85*(parametros!$F$3-MEMORIA_RESULTADOS!$I$259),2))</f>
        <v/>
      </c>
      <c r="AW85">
        <f>IF($A85="","",ROUND(SUMIFS(itens_Consumidos!$I$2:$I$200,itens_Consumidos!$A$2:$A$200,$A85),2))</f>
        <v/>
      </c>
      <c r="AX85">
        <f>IF(OR($A85="",O85=""),"",ROUND(MAX(O85-AW85,0),2))</f>
        <v/>
      </c>
      <c r="AY85">
        <f>IF(OR($A85="",O85="",MEMORIA_RESULTADOS!$I$260=""),"",ROUND(O85*$C85*(MEMORIA_RESULTADOS!$I$260-1),2))</f>
        <v/>
      </c>
      <c r="AZ85">
        <f>IF(OR($A85="",AX85="",MEMORIA_RESULTADOS!$I$260=""),"",ROUND(AX85*$C85*(parametros!$F$4-MEMORIA_RESULTADOS!$I$260),2))</f>
        <v/>
      </c>
      <c r="BA85">
        <f>IF($A85="","",ROUND(SUMIFS(itens_Consumidos!$K$2:$K$200,itens_Consumidos!$A$2:$A$200,$A85),2))</f>
        <v/>
      </c>
      <c r="BB85">
        <f>IF(OR($A85="",Q85=""),"",ROUND(MAX(Q85-BA85,0),2))</f>
        <v/>
      </c>
      <c r="BC85">
        <f>IF(OR($A85="",Q85="",MEMORIA_RESULTADOS!$I$261=""),"",ROUND(Q85*$C85*(MEMORIA_RESULTADOS!$I$261-1),2))</f>
        <v/>
      </c>
      <c r="BD85">
        <f>IF(OR($A85="",BB85="",MEMORIA_RESULTADOS!$I$261=""),"",ROUND(BB85*$C85*(parametros!$F$5-MEMORIA_RESULTADOS!$I$261),2))</f>
        <v/>
      </c>
      <c r="BE85">
        <f>IF($A85="","",ROUND(SUMIFS(itens_Consumidos!$M$2:$M$200,itens_Consumidos!$A$2:$A$200,$A85),2))</f>
        <v/>
      </c>
      <c r="BF85">
        <f>IF(OR($A85="",S85=""),"",ROUND(MAX(S85-BE85,0),2))</f>
        <v/>
      </c>
      <c r="BG85">
        <f>IF(OR($A85="",S85="",MEMORIA_RESULTADOS!$I$262=""),"",ROUND(S85*$C85*(MEMORIA_RESULTADOS!$I$262-1),2))</f>
        <v/>
      </c>
      <c r="BH85">
        <f>IF(OR($A85="",BF85="",MEMORIA_RESULTADOS!$I$262=""),"",ROUND(BF85*$C85*(parametros!$F$6-MEMORIA_RESULTADOS!$I$262),2))</f>
        <v/>
      </c>
    </row>
    <row r="86">
      <c r="A86" s="86" t="n"/>
      <c r="B86" s="87">
        <f>IF(AND(LEN(TRIM($A86))=4,LEFT(TRIM($A86),1)="N",ISNUMBER(--MID(TRIM($A86),2,3)),ISERROR(FIND(".",$A86)),ISERROR(FIND(",",$A86)),ISERROR(FIND("-",$A86)),ISERROR(FIND("+",$A86)),ISERROR(SEARCH("E",$A86,2)),ISERROR(FIND(" ",TRIM($A86)))),0,"")</f>
        <v/>
      </c>
      <c r="C86" s="339" t="n"/>
      <c r="D86" s="335">
        <f>IF(AND(A86="",A85&lt;&gt;"",COUNTIF(A87:$A$200,"&lt;&gt;")=0),ROUND(SUMIF($A$2:A85,"&lt;&gt;",$D$2:D85),2),IF(OR(A86="",B86="",C86=""),"",ROUND(B86*C86,2)))</f>
        <v/>
      </c>
      <c r="E86" s="89" t="n"/>
      <c r="F86" s="335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 t="n"/>
      <c r="H86" s="335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 t="n"/>
      <c r="J86" s="335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 t="n"/>
      <c r="L86" s="335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>
        <f>IF(OR(posicao_contratual!J86="",posicao_contratual!N86=""),"",ROUND(MAX(posicao_contratual!J86+posicao_contratual!H86-posicao_contratual!N86,0),2))</f>
        <v/>
      </c>
      <c r="N86" s="335">
        <f>IF(AND(A86="",A85&lt;&gt;"",COUNTIF(A87:$A$200,"&lt;&gt;")=0),ROUND(SUMIF($A$2:A85,"&lt;&gt;",$N$2:N85),2),IF(OR(M86="",C86="",NOT(ISNUMBER($Z$3))),"",ROUND(M86*C86*$Z$3,2)))</f>
        <v/>
      </c>
      <c r="O86" s="90">
        <f>IF(OR(posicao_contratual!N86="",posicao_contratual!R86=""),"",ROUND(MAX(posicao_contratual!N86+posicao_contratual!L86-posicao_contratual!R86,0),2))</f>
        <v/>
      </c>
      <c r="P86" s="335">
        <f>IF(AND(A86="",A85&lt;&gt;"",COUNTIF(A87:$A$200,"&lt;&gt;")=0),ROUND(SUMIF($A$2:A85,"&lt;&gt;",$P$2:P85),2),IF(OR(O86="",C86="",NOT(ISNUMBER($Z$4))),"",ROUND(O86*C86*$Z$4,2)))</f>
        <v/>
      </c>
      <c r="Q86" s="90">
        <f>IF(OR(posicao_contratual!R86="",posicao_contratual!V86=""),"",ROUND(MAX(posicao_contratual!R86+posicao_contratual!P86-posicao_contratual!V86,0),2))</f>
        <v/>
      </c>
      <c r="R86" s="335">
        <f>IF(AND(A86="",A85&lt;&gt;"",COUNTIF(A87:$A$200,"&lt;&gt;")=0),ROUND(SUMIF($A$2:A85,"&lt;&gt;",$R$2:R85),2),IF(OR(Q86="",C86="",NOT(ISNUMBER($Z$5))),"",ROUND(Q86*C86*$Z$5,2)))</f>
        <v/>
      </c>
      <c r="S86" s="22" t="n"/>
      <c r="T86" s="340" t="n"/>
      <c r="U86" s="91">
        <f>IF(AND(A86="",A85&lt;&gt;"",COUNTIF(A87:$A$200,"&lt;&gt;")=0),"TOTAL",IF(A86="","",posicao_contratual!X86))</f>
        <v/>
      </c>
      <c r="V86" s="91">
        <f>IF(A86="","",posicao_contratual!X86)</f>
        <v/>
      </c>
      <c r="W86" s="14" t="n"/>
      <c r="X86" s="14" t="n"/>
      <c r="Y86" s="14" t="n"/>
      <c r="Z86" s="13" t="n"/>
      <c r="AA86" s="13" t="n"/>
      <c r="AB86" s="90">
        <f>IF(OR(A86="",posicao_contratual!E86="",posicao_contratual!J86=""),"",ROUND(MAX(posicao_contratual!E86-posicao_contratual!J86,0),2))</f>
        <v/>
      </c>
      <c r="AC86" s="335">
        <f>IF(AND(A86="",A85&lt;&gt;"",COUNTIF(A87:$A$200,"&lt;&gt;")=0),ROUND(SUMIF($A$2:A85,"&lt;&gt;",$AC$2:AC85),2),IF(OR(AB86="",C86="",NOT(ISNUMBER($Z$2))),"",ROUND(AB86*C86*$Z$2,2)))</f>
        <v/>
      </c>
      <c r="AD86" s="155">
        <f>IF(A86="","",posicao_contratual!E86)</f>
        <v/>
      </c>
      <c r="AE86" s="155">
        <f>IF(A86="","",posicao_contratual!I86)</f>
        <v/>
      </c>
      <c r="AF86" s="155">
        <f>IF(A86="","",posicao_contratual!M86)</f>
        <v/>
      </c>
      <c r="AG86" s="155">
        <f>IF(A86="","",posicao_contratual!Q86)</f>
        <v/>
      </c>
      <c r="AH86" s="155">
        <f>IF(A86="","",posicao_contratual!U86)</f>
        <v/>
      </c>
      <c r="AI86" s="155">
        <f>IF(A86="","",posicao_contratual!G86)</f>
        <v/>
      </c>
      <c r="AJ86" s="155">
        <f>IF(A86="","",posicao_contratual!K86)</f>
        <v/>
      </c>
      <c r="AK86" s="155">
        <f>IF(A86="","",posicao_contratual!O86)</f>
        <v/>
      </c>
      <c r="AL86" s="155">
        <f>IF(A86="","",posicao_contratual!S86)</f>
        <v/>
      </c>
      <c r="AM86" s="155">
        <f>IF(A86="","",posicao_contratual!W86)</f>
        <v/>
      </c>
      <c r="AN86" s="156">
        <f>IF(A86="","",posicao_contratual!X86)</f>
        <v/>
      </c>
      <c r="AO86">
        <f>IF($A86="","",ROUND(SUMIFS(itens_Consumidos!$E$2:$E$200,itens_Consumidos!$A$2:$A$200,$A86),2))</f>
        <v/>
      </c>
      <c r="AP86">
        <f>IF(OR($A86="",AB86=""),"",ROUND(MAX(AB86-AO86,0),2))</f>
        <v/>
      </c>
      <c r="AQ86">
        <f>IF(OR($A86="",AB86="",MEMORIA_RESULTADOS!$I$258=""),"",ROUND(AB86*$C86*(MEMORIA_RESULTADOS!$I$258-1),2))</f>
        <v/>
      </c>
      <c r="AR86">
        <f>IF(OR($A86="",AP86="",MEMORIA_RESULTADOS!$I$258=""),"",ROUND(AP86*$C86*(parametros!$F$2-MEMORIA_RESULTADOS!$I$258),2))</f>
        <v/>
      </c>
      <c r="AS86">
        <f>IF($A86="","",ROUND(SUMIFS(itens_Consumidos!$G$2:$G$200,itens_Consumidos!$A$2:$A$200,$A86),2))</f>
        <v/>
      </c>
      <c r="AT86">
        <f>IF(OR($A86="",M86=""),"",ROUND(MAX(M86-AS86,0),2))</f>
        <v/>
      </c>
      <c r="AU86">
        <f>IF(OR($A86="",M86="",MEMORIA_RESULTADOS!$I$259=""),"",ROUND(M86*$C86*(MEMORIA_RESULTADOS!$I$259-1),2))</f>
        <v/>
      </c>
      <c r="AV86">
        <f>IF(OR($A86="",AT86="",MEMORIA_RESULTADOS!$I$259=""),"",ROUND(AT86*$C86*(parametros!$F$3-MEMORIA_RESULTADOS!$I$259),2))</f>
        <v/>
      </c>
      <c r="AW86">
        <f>IF($A86="","",ROUND(SUMIFS(itens_Consumidos!$I$2:$I$200,itens_Consumidos!$A$2:$A$200,$A86),2))</f>
        <v/>
      </c>
      <c r="AX86">
        <f>IF(OR($A86="",O86=""),"",ROUND(MAX(O86-AW86,0),2))</f>
        <v/>
      </c>
      <c r="AY86">
        <f>IF(OR($A86="",O86="",MEMORIA_RESULTADOS!$I$260=""),"",ROUND(O86*$C86*(MEMORIA_RESULTADOS!$I$260-1),2))</f>
        <v/>
      </c>
      <c r="AZ86">
        <f>IF(OR($A86="",AX86="",MEMORIA_RESULTADOS!$I$260=""),"",ROUND(AX86*$C86*(parametros!$F$4-MEMORIA_RESULTADOS!$I$260),2))</f>
        <v/>
      </c>
      <c r="BA86">
        <f>IF($A86="","",ROUND(SUMIFS(itens_Consumidos!$K$2:$K$200,itens_Consumidos!$A$2:$A$200,$A86),2))</f>
        <v/>
      </c>
      <c r="BB86">
        <f>IF(OR($A86="",Q86=""),"",ROUND(MAX(Q86-BA86,0),2))</f>
        <v/>
      </c>
      <c r="BC86">
        <f>IF(OR($A86="",Q86="",MEMORIA_RESULTADOS!$I$261=""),"",ROUND(Q86*$C86*(MEMORIA_RESULTADOS!$I$261-1),2))</f>
        <v/>
      </c>
      <c r="BD86">
        <f>IF(OR($A86="",BB86="",MEMORIA_RESULTADOS!$I$261=""),"",ROUND(BB86*$C86*(parametros!$F$5-MEMORIA_RESULTADOS!$I$261),2))</f>
        <v/>
      </c>
      <c r="BE86">
        <f>IF($A86="","",ROUND(SUMIFS(itens_Consumidos!$M$2:$M$200,itens_Consumidos!$A$2:$A$200,$A86),2))</f>
        <v/>
      </c>
      <c r="BF86">
        <f>IF(OR($A86="",S86=""),"",ROUND(MAX(S86-BE86,0),2))</f>
        <v/>
      </c>
      <c r="BG86">
        <f>IF(OR($A86="",S86="",MEMORIA_RESULTADOS!$I$262=""),"",ROUND(S86*$C86*(MEMORIA_RESULTADOS!$I$262-1),2))</f>
        <v/>
      </c>
      <c r="BH86">
        <f>IF(OR($A86="",BF86="",MEMORIA_RESULTADOS!$I$262=""),"",ROUND(BF86*$C86*(parametros!$F$6-MEMORIA_RESULTADOS!$I$262),2))</f>
        <v/>
      </c>
    </row>
    <row r="87">
      <c r="A87" s="86" t="n"/>
      <c r="B87" s="87">
        <f>IF(AND(LEN(TRIM($A87))=4,LEFT(TRIM($A87),1)="N",ISNUMBER(--MID(TRIM($A87),2,3)),ISERROR(FIND(".",$A87)),ISERROR(FIND(",",$A87)),ISERROR(FIND("-",$A87)),ISERROR(FIND("+",$A87)),ISERROR(SEARCH("E",$A87,2)),ISERROR(FIND(" ",TRIM($A87)))),0,"")</f>
        <v/>
      </c>
      <c r="C87" s="339" t="n"/>
      <c r="D87" s="335">
        <f>IF(AND(A87="",A86&lt;&gt;"",COUNTIF(A88:$A$200,"&lt;&gt;")=0),ROUND(SUMIF($A$2:A86,"&lt;&gt;",$D$2:D86),2),IF(OR(A87="",B87="",C87=""),"",ROUND(B87*C87,2)))</f>
        <v/>
      </c>
      <c r="E87" s="89" t="n"/>
      <c r="F87" s="335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 t="n"/>
      <c r="H87" s="335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 t="n"/>
      <c r="J87" s="335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 t="n"/>
      <c r="L87" s="335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>
        <f>IF(OR(posicao_contratual!J87="",posicao_contratual!N87=""),"",ROUND(MAX(posicao_contratual!J87+posicao_contratual!H87-posicao_contratual!N87,0),2))</f>
        <v/>
      </c>
      <c r="N87" s="335">
        <f>IF(AND(A87="",A86&lt;&gt;"",COUNTIF(A88:$A$200,"&lt;&gt;")=0),ROUND(SUMIF($A$2:A86,"&lt;&gt;",$N$2:N86),2),IF(OR(M87="",C87="",NOT(ISNUMBER($Z$3))),"",ROUND(M87*C87*$Z$3,2)))</f>
        <v/>
      </c>
      <c r="O87" s="90">
        <f>IF(OR(posicao_contratual!N87="",posicao_contratual!R87=""),"",ROUND(MAX(posicao_contratual!N87+posicao_contratual!L87-posicao_contratual!R87,0),2))</f>
        <v/>
      </c>
      <c r="P87" s="335">
        <f>IF(AND(A87="",A86&lt;&gt;"",COUNTIF(A88:$A$200,"&lt;&gt;")=0),ROUND(SUMIF($A$2:A86,"&lt;&gt;",$P$2:P86),2),IF(OR(O87="",C87="",NOT(ISNUMBER($Z$4))),"",ROUND(O87*C87*$Z$4,2)))</f>
        <v/>
      </c>
      <c r="Q87" s="90">
        <f>IF(OR(posicao_contratual!R87="",posicao_contratual!V87=""),"",ROUND(MAX(posicao_contratual!R87+posicao_contratual!P87-posicao_contratual!V87,0),2))</f>
        <v/>
      </c>
      <c r="R87" s="335">
        <f>IF(AND(A87="",A86&lt;&gt;"",COUNTIF(A88:$A$200,"&lt;&gt;")=0),ROUND(SUMIF($A$2:A86,"&lt;&gt;",$R$2:R86),2),IF(OR(Q87="",C87="",NOT(ISNUMBER($Z$5))),"",ROUND(Q87*C87*$Z$5,2)))</f>
        <v/>
      </c>
      <c r="S87" s="22" t="n"/>
      <c r="T87" s="340" t="n"/>
      <c r="U87" s="91">
        <f>IF(AND(A87="",A86&lt;&gt;"",COUNTIF(A88:$A$200,"&lt;&gt;")=0),"TOTAL",IF(A87="","",posicao_contratual!X87))</f>
        <v/>
      </c>
      <c r="V87" s="91">
        <f>IF(A87="","",posicao_contratual!X87)</f>
        <v/>
      </c>
      <c r="W87" s="14" t="n"/>
      <c r="X87" s="14" t="n"/>
      <c r="Y87" s="14" t="n"/>
      <c r="Z87" s="13" t="n"/>
      <c r="AA87" s="13" t="n"/>
      <c r="AB87" s="90">
        <f>IF(OR(A87="",posicao_contratual!E87="",posicao_contratual!J87=""),"",ROUND(MAX(posicao_contratual!E87-posicao_contratual!J87,0),2))</f>
        <v/>
      </c>
      <c r="AC87" s="335">
        <f>IF(AND(A87="",A86&lt;&gt;"",COUNTIF(A88:$A$200,"&lt;&gt;")=0),ROUND(SUMIF($A$2:A86,"&lt;&gt;",$AC$2:AC86),2),IF(OR(AB87="",C87="",NOT(ISNUMBER($Z$2))),"",ROUND(AB87*C87*$Z$2,2)))</f>
        <v/>
      </c>
      <c r="AD87" s="155">
        <f>IF(A87="","",posicao_contratual!E87)</f>
        <v/>
      </c>
      <c r="AE87" s="155">
        <f>IF(A87="","",posicao_contratual!I87)</f>
        <v/>
      </c>
      <c r="AF87" s="155">
        <f>IF(A87="","",posicao_contratual!M87)</f>
        <v/>
      </c>
      <c r="AG87" s="155">
        <f>IF(A87="","",posicao_contratual!Q87)</f>
        <v/>
      </c>
      <c r="AH87" s="155">
        <f>IF(A87="","",posicao_contratual!U87)</f>
        <v/>
      </c>
      <c r="AI87" s="155">
        <f>IF(A87="","",posicao_contratual!G87)</f>
        <v/>
      </c>
      <c r="AJ87" s="155">
        <f>IF(A87="","",posicao_contratual!K87)</f>
        <v/>
      </c>
      <c r="AK87" s="155">
        <f>IF(A87="","",posicao_contratual!O87)</f>
        <v/>
      </c>
      <c r="AL87" s="155">
        <f>IF(A87="","",posicao_contratual!S87)</f>
        <v/>
      </c>
      <c r="AM87" s="155">
        <f>IF(A87="","",posicao_contratual!W87)</f>
        <v/>
      </c>
      <c r="AN87" s="156">
        <f>IF(A87="","",posicao_contratual!X87)</f>
        <v/>
      </c>
      <c r="AO87">
        <f>IF($A87="","",ROUND(SUMIFS(itens_Consumidos!$E$2:$E$200,itens_Consumidos!$A$2:$A$200,$A87),2))</f>
        <v/>
      </c>
      <c r="AP87">
        <f>IF(OR($A87="",AB87=""),"",ROUND(MAX(AB87-AO87,0),2))</f>
        <v/>
      </c>
      <c r="AQ87">
        <f>IF(OR($A87="",AB87="",MEMORIA_RESULTADOS!$I$258=""),"",ROUND(AB87*$C87*(MEMORIA_RESULTADOS!$I$258-1),2))</f>
        <v/>
      </c>
      <c r="AR87">
        <f>IF(OR($A87="",AP87="",MEMORIA_RESULTADOS!$I$258=""),"",ROUND(AP87*$C87*(parametros!$F$2-MEMORIA_RESULTADOS!$I$258),2))</f>
        <v/>
      </c>
      <c r="AS87">
        <f>IF($A87="","",ROUND(SUMIFS(itens_Consumidos!$G$2:$G$200,itens_Consumidos!$A$2:$A$200,$A87),2))</f>
        <v/>
      </c>
      <c r="AT87">
        <f>IF(OR($A87="",M87=""),"",ROUND(MAX(M87-AS87,0),2))</f>
        <v/>
      </c>
      <c r="AU87">
        <f>IF(OR($A87="",M87="",MEMORIA_RESULTADOS!$I$259=""),"",ROUND(M87*$C87*(MEMORIA_RESULTADOS!$I$259-1),2))</f>
        <v/>
      </c>
      <c r="AV87">
        <f>IF(OR($A87="",AT87="",MEMORIA_RESULTADOS!$I$259=""),"",ROUND(AT87*$C87*(parametros!$F$3-MEMORIA_RESULTADOS!$I$259),2))</f>
        <v/>
      </c>
      <c r="AW87">
        <f>IF($A87="","",ROUND(SUMIFS(itens_Consumidos!$I$2:$I$200,itens_Consumidos!$A$2:$A$200,$A87),2))</f>
        <v/>
      </c>
      <c r="AX87">
        <f>IF(OR($A87="",O87=""),"",ROUND(MAX(O87-AW87,0),2))</f>
        <v/>
      </c>
      <c r="AY87">
        <f>IF(OR($A87="",O87="",MEMORIA_RESULTADOS!$I$260=""),"",ROUND(O87*$C87*(MEMORIA_RESULTADOS!$I$260-1),2))</f>
        <v/>
      </c>
      <c r="AZ87">
        <f>IF(OR($A87="",AX87="",MEMORIA_RESULTADOS!$I$260=""),"",ROUND(AX87*$C87*(parametros!$F$4-MEMORIA_RESULTADOS!$I$260),2))</f>
        <v/>
      </c>
      <c r="BA87">
        <f>IF($A87="","",ROUND(SUMIFS(itens_Consumidos!$K$2:$K$200,itens_Consumidos!$A$2:$A$200,$A87),2))</f>
        <v/>
      </c>
      <c r="BB87">
        <f>IF(OR($A87="",Q87=""),"",ROUND(MAX(Q87-BA87,0),2))</f>
        <v/>
      </c>
      <c r="BC87">
        <f>IF(OR($A87="",Q87="",MEMORIA_RESULTADOS!$I$261=""),"",ROUND(Q87*$C87*(MEMORIA_RESULTADOS!$I$261-1),2))</f>
        <v/>
      </c>
      <c r="BD87">
        <f>IF(OR($A87="",BB87="",MEMORIA_RESULTADOS!$I$261=""),"",ROUND(BB87*$C87*(parametros!$F$5-MEMORIA_RESULTADOS!$I$261),2))</f>
        <v/>
      </c>
      <c r="BE87">
        <f>IF($A87="","",ROUND(SUMIFS(itens_Consumidos!$M$2:$M$200,itens_Consumidos!$A$2:$A$200,$A87),2))</f>
        <v/>
      </c>
      <c r="BF87">
        <f>IF(OR($A87="",S87=""),"",ROUND(MAX(S87-BE87,0),2))</f>
        <v/>
      </c>
      <c r="BG87">
        <f>IF(OR($A87="",S87="",MEMORIA_RESULTADOS!$I$262=""),"",ROUND(S87*$C87*(MEMORIA_RESULTADOS!$I$262-1),2))</f>
        <v/>
      </c>
      <c r="BH87">
        <f>IF(OR($A87="",BF87="",MEMORIA_RESULTADOS!$I$262=""),"",ROUND(BF87*$C87*(parametros!$F$6-MEMORIA_RESULTADOS!$I$262),2))</f>
        <v/>
      </c>
    </row>
    <row r="88">
      <c r="A88" s="86" t="n"/>
      <c r="B88" s="87">
        <f>IF(AND(LEN(TRIM($A88))=4,LEFT(TRIM($A88),1)="N",ISNUMBER(--MID(TRIM($A88),2,3)),ISERROR(FIND(".",$A88)),ISERROR(FIND(",",$A88)),ISERROR(FIND("-",$A88)),ISERROR(FIND("+",$A88)),ISERROR(SEARCH("E",$A88,2)),ISERROR(FIND(" ",TRIM($A88)))),0,"")</f>
        <v/>
      </c>
      <c r="C88" s="339" t="n"/>
      <c r="D88" s="335">
        <f>IF(AND(A88="",A87&lt;&gt;"",COUNTIF(A89:$A$200,"&lt;&gt;")=0),ROUND(SUMIF($A$2:A87,"&lt;&gt;",$D$2:D87),2),IF(OR(A88="",B88="",C88=""),"",ROUND(B88*C88,2)))</f>
        <v/>
      </c>
      <c r="E88" s="89" t="n"/>
      <c r="F88" s="335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 t="n"/>
      <c r="H88" s="335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 t="n"/>
      <c r="J88" s="335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 t="n"/>
      <c r="L88" s="335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>
        <f>IF(OR(posicao_contratual!J88="",posicao_contratual!N88=""),"",ROUND(MAX(posicao_contratual!J88+posicao_contratual!H88-posicao_contratual!N88,0),2))</f>
        <v/>
      </c>
      <c r="N88" s="335">
        <f>IF(AND(A88="",A87&lt;&gt;"",COUNTIF(A89:$A$200,"&lt;&gt;")=0),ROUND(SUMIF($A$2:A87,"&lt;&gt;",$N$2:N87),2),IF(OR(M88="",C88="",NOT(ISNUMBER($Z$3))),"",ROUND(M88*C88*$Z$3,2)))</f>
        <v/>
      </c>
      <c r="O88" s="90">
        <f>IF(OR(posicao_contratual!N88="",posicao_contratual!R88=""),"",ROUND(MAX(posicao_contratual!N88+posicao_contratual!L88-posicao_contratual!R88,0),2))</f>
        <v/>
      </c>
      <c r="P88" s="335">
        <f>IF(AND(A88="",A87&lt;&gt;"",COUNTIF(A89:$A$200,"&lt;&gt;")=0),ROUND(SUMIF($A$2:A87,"&lt;&gt;",$P$2:P87),2),IF(OR(O88="",C88="",NOT(ISNUMBER($Z$4))),"",ROUND(O88*C88*$Z$4,2)))</f>
        <v/>
      </c>
      <c r="Q88" s="90">
        <f>IF(OR(posicao_contratual!R88="",posicao_contratual!V88=""),"",ROUND(MAX(posicao_contratual!R88+posicao_contratual!P88-posicao_contratual!V88,0),2))</f>
        <v/>
      </c>
      <c r="R88" s="335">
        <f>IF(AND(A88="",A87&lt;&gt;"",COUNTIF(A89:$A$200,"&lt;&gt;")=0),ROUND(SUMIF($A$2:A87,"&lt;&gt;",$R$2:R87),2),IF(OR(Q88="",C88="",NOT(ISNUMBER($Z$5))),"",ROUND(Q88*C88*$Z$5,2)))</f>
        <v/>
      </c>
      <c r="S88" s="22" t="n"/>
      <c r="T88" s="340" t="n"/>
      <c r="U88" s="91">
        <f>IF(AND(A88="",A87&lt;&gt;"",COUNTIF(A89:$A$200,"&lt;&gt;")=0),"TOTAL",IF(A88="","",posicao_contratual!X88))</f>
        <v/>
      </c>
      <c r="V88" s="91">
        <f>IF(A88="","",posicao_contratual!X88)</f>
        <v/>
      </c>
      <c r="W88" s="14" t="n"/>
      <c r="X88" s="14" t="n"/>
      <c r="Y88" s="14" t="n"/>
      <c r="Z88" s="13" t="n"/>
      <c r="AA88" s="13" t="n"/>
      <c r="AB88" s="90">
        <f>IF(OR(A88="",posicao_contratual!E88="",posicao_contratual!J88=""),"",ROUND(MAX(posicao_contratual!E88-posicao_contratual!J88,0),2))</f>
        <v/>
      </c>
      <c r="AC88" s="335">
        <f>IF(AND(A88="",A87&lt;&gt;"",COUNTIF(A89:$A$200,"&lt;&gt;")=0),ROUND(SUMIF($A$2:A87,"&lt;&gt;",$AC$2:AC87),2),IF(OR(AB88="",C88="",NOT(ISNUMBER($Z$2))),"",ROUND(AB88*C88*$Z$2,2)))</f>
        <v/>
      </c>
      <c r="AD88" s="155">
        <f>IF(A88="","",posicao_contratual!E88)</f>
        <v/>
      </c>
      <c r="AE88" s="155">
        <f>IF(A88="","",posicao_contratual!I88)</f>
        <v/>
      </c>
      <c r="AF88" s="155">
        <f>IF(A88="","",posicao_contratual!M88)</f>
        <v/>
      </c>
      <c r="AG88" s="155">
        <f>IF(A88="","",posicao_contratual!Q88)</f>
        <v/>
      </c>
      <c r="AH88" s="155">
        <f>IF(A88="","",posicao_contratual!U88)</f>
        <v/>
      </c>
      <c r="AI88" s="155">
        <f>IF(A88="","",posicao_contratual!G88)</f>
        <v/>
      </c>
      <c r="AJ88" s="155">
        <f>IF(A88="","",posicao_contratual!K88)</f>
        <v/>
      </c>
      <c r="AK88" s="155">
        <f>IF(A88="","",posicao_contratual!O88)</f>
        <v/>
      </c>
      <c r="AL88" s="155">
        <f>IF(A88="","",posicao_contratual!S88)</f>
        <v/>
      </c>
      <c r="AM88" s="155">
        <f>IF(A88="","",posicao_contratual!W88)</f>
        <v/>
      </c>
      <c r="AN88" s="156">
        <f>IF(A88="","",posicao_contratual!X88)</f>
        <v/>
      </c>
      <c r="AO88">
        <f>IF($A88="","",ROUND(SUMIFS(itens_Consumidos!$E$2:$E$200,itens_Consumidos!$A$2:$A$200,$A88),2))</f>
        <v/>
      </c>
      <c r="AP88">
        <f>IF(OR($A88="",AB88=""),"",ROUND(MAX(AB88-AO88,0),2))</f>
        <v/>
      </c>
      <c r="AQ88">
        <f>IF(OR($A88="",AB88="",MEMORIA_RESULTADOS!$I$258=""),"",ROUND(AB88*$C88*(MEMORIA_RESULTADOS!$I$258-1),2))</f>
        <v/>
      </c>
      <c r="AR88">
        <f>IF(OR($A88="",AP88="",MEMORIA_RESULTADOS!$I$258=""),"",ROUND(AP88*$C88*(parametros!$F$2-MEMORIA_RESULTADOS!$I$258),2))</f>
        <v/>
      </c>
      <c r="AS88">
        <f>IF($A88="","",ROUND(SUMIFS(itens_Consumidos!$G$2:$G$200,itens_Consumidos!$A$2:$A$200,$A88),2))</f>
        <v/>
      </c>
      <c r="AT88">
        <f>IF(OR($A88="",M88=""),"",ROUND(MAX(M88-AS88,0),2))</f>
        <v/>
      </c>
      <c r="AU88">
        <f>IF(OR($A88="",M88="",MEMORIA_RESULTADOS!$I$259=""),"",ROUND(M88*$C88*(MEMORIA_RESULTADOS!$I$259-1),2))</f>
        <v/>
      </c>
      <c r="AV88">
        <f>IF(OR($A88="",AT88="",MEMORIA_RESULTADOS!$I$259=""),"",ROUND(AT88*$C88*(parametros!$F$3-MEMORIA_RESULTADOS!$I$259),2))</f>
        <v/>
      </c>
      <c r="AW88">
        <f>IF($A88="","",ROUND(SUMIFS(itens_Consumidos!$I$2:$I$200,itens_Consumidos!$A$2:$A$200,$A88),2))</f>
        <v/>
      </c>
      <c r="AX88">
        <f>IF(OR($A88="",O88=""),"",ROUND(MAX(O88-AW88,0),2))</f>
        <v/>
      </c>
      <c r="AY88">
        <f>IF(OR($A88="",O88="",MEMORIA_RESULTADOS!$I$260=""),"",ROUND(O88*$C88*(MEMORIA_RESULTADOS!$I$260-1),2))</f>
        <v/>
      </c>
      <c r="AZ88">
        <f>IF(OR($A88="",AX88="",MEMORIA_RESULTADOS!$I$260=""),"",ROUND(AX88*$C88*(parametros!$F$4-MEMORIA_RESULTADOS!$I$260),2))</f>
        <v/>
      </c>
      <c r="BA88">
        <f>IF($A88="","",ROUND(SUMIFS(itens_Consumidos!$K$2:$K$200,itens_Consumidos!$A$2:$A$200,$A88),2))</f>
        <v/>
      </c>
      <c r="BB88">
        <f>IF(OR($A88="",Q88=""),"",ROUND(MAX(Q88-BA88,0),2))</f>
        <v/>
      </c>
      <c r="BC88">
        <f>IF(OR($A88="",Q88="",MEMORIA_RESULTADOS!$I$261=""),"",ROUND(Q88*$C88*(MEMORIA_RESULTADOS!$I$261-1),2))</f>
        <v/>
      </c>
      <c r="BD88">
        <f>IF(OR($A88="",BB88="",MEMORIA_RESULTADOS!$I$261=""),"",ROUND(BB88*$C88*(parametros!$F$5-MEMORIA_RESULTADOS!$I$261),2))</f>
        <v/>
      </c>
      <c r="BE88">
        <f>IF($A88="","",ROUND(SUMIFS(itens_Consumidos!$M$2:$M$200,itens_Consumidos!$A$2:$A$200,$A88),2))</f>
        <v/>
      </c>
      <c r="BF88">
        <f>IF(OR($A88="",S88=""),"",ROUND(MAX(S88-BE88,0),2))</f>
        <v/>
      </c>
      <c r="BG88">
        <f>IF(OR($A88="",S88="",MEMORIA_RESULTADOS!$I$262=""),"",ROUND(S88*$C88*(MEMORIA_RESULTADOS!$I$262-1),2))</f>
        <v/>
      </c>
      <c r="BH88">
        <f>IF(OR($A88="",BF88="",MEMORIA_RESULTADOS!$I$262=""),"",ROUND(BF88*$C88*(parametros!$F$6-MEMORIA_RESULTADOS!$I$262),2))</f>
        <v/>
      </c>
    </row>
    <row r="89">
      <c r="A89" s="86" t="n"/>
      <c r="B89" s="87">
        <f>IF(AND(LEN(TRIM($A89))=4,LEFT(TRIM($A89),1)="N",ISNUMBER(--MID(TRIM($A89),2,3)),ISERROR(FIND(".",$A89)),ISERROR(FIND(",",$A89)),ISERROR(FIND("-",$A89)),ISERROR(FIND("+",$A89)),ISERROR(SEARCH("E",$A89,2)),ISERROR(FIND(" ",TRIM($A89)))),0,"")</f>
        <v/>
      </c>
      <c r="C89" s="339" t="n"/>
      <c r="D89" s="335">
        <f>IF(AND(A89="",A88&lt;&gt;"",COUNTIF(A90:$A$200,"&lt;&gt;")=0),ROUND(SUMIF($A$2:A88,"&lt;&gt;",$D$2:D88),2),IF(OR(A89="",B89="",C89=""),"",ROUND(B89*C89,2)))</f>
        <v/>
      </c>
      <c r="E89" s="89" t="n"/>
      <c r="F89" s="335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 t="n"/>
      <c r="H89" s="335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 t="n"/>
      <c r="J89" s="335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 t="n"/>
      <c r="L89" s="335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>
        <f>IF(OR(posicao_contratual!J89="",posicao_contratual!N89=""),"",ROUND(MAX(posicao_contratual!J89+posicao_contratual!H89-posicao_contratual!N89,0),2))</f>
        <v/>
      </c>
      <c r="N89" s="335">
        <f>IF(AND(A89="",A88&lt;&gt;"",COUNTIF(A90:$A$200,"&lt;&gt;")=0),ROUND(SUMIF($A$2:A88,"&lt;&gt;",$N$2:N88),2),IF(OR(M89="",C89="",NOT(ISNUMBER($Z$3))),"",ROUND(M89*C89*$Z$3,2)))</f>
        <v/>
      </c>
      <c r="O89" s="90">
        <f>IF(OR(posicao_contratual!N89="",posicao_contratual!R89=""),"",ROUND(MAX(posicao_contratual!N89+posicao_contratual!L89-posicao_contratual!R89,0),2))</f>
        <v/>
      </c>
      <c r="P89" s="335">
        <f>IF(AND(A89="",A88&lt;&gt;"",COUNTIF(A90:$A$200,"&lt;&gt;")=0),ROUND(SUMIF($A$2:A88,"&lt;&gt;",$P$2:P88),2),IF(OR(O89="",C89="",NOT(ISNUMBER($Z$4))),"",ROUND(O89*C89*$Z$4,2)))</f>
        <v/>
      </c>
      <c r="Q89" s="90">
        <f>IF(OR(posicao_contratual!R89="",posicao_contratual!V89=""),"",ROUND(MAX(posicao_contratual!R89+posicao_contratual!P89-posicao_contratual!V89,0),2))</f>
        <v/>
      </c>
      <c r="R89" s="335">
        <f>IF(AND(A89="",A88&lt;&gt;"",COUNTIF(A90:$A$200,"&lt;&gt;")=0),ROUND(SUMIF($A$2:A88,"&lt;&gt;",$R$2:R88),2),IF(OR(Q89="",C89="",NOT(ISNUMBER($Z$5))),"",ROUND(Q89*C89*$Z$5,2)))</f>
        <v/>
      </c>
      <c r="S89" s="22" t="n"/>
      <c r="T89" s="340" t="n"/>
      <c r="U89" s="91">
        <f>IF(AND(A89="",A88&lt;&gt;"",COUNTIF(A90:$A$200,"&lt;&gt;")=0),"TOTAL",IF(A89="","",posicao_contratual!X89))</f>
        <v/>
      </c>
      <c r="V89" s="91">
        <f>IF(A89="","",posicao_contratual!X89)</f>
        <v/>
      </c>
      <c r="W89" s="14" t="n"/>
      <c r="X89" s="14" t="n"/>
      <c r="Y89" s="14" t="n"/>
      <c r="Z89" s="13" t="n"/>
      <c r="AA89" s="13" t="n"/>
      <c r="AB89" s="90">
        <f>IF(OR(A89="",posicao_contratual!E89="",posicao_contratual!J89=""),"",ROUND(MAX(posicao_contratual!E89-posicao_contratual!J89,0),2))</f>
        <v/>
      </c>
      <c r="AC89" s="335">
        <f>IF(AND(A89="",A88&lt;&gt;"",COUNTIF(A90:$A$200,"&lt;&gt;")=0),ROUND(SUMIF($A$2:A88,"&lt;&gt;",$AC$2:AC88),2),IF(OR(AB89="",C89="",NOT(ISNUMBER($Z$2))),"",ROUND(AB89*C89*$Z$2,2)))</f>
        <v/>
      </c>
      <c r="AD89" s="155">
        <f>IF(A89="","",posicao_contratual!E89)</f>
        <v/>
      </c>
      <c r="AE89" s="155">
        <f>IF(A89="","",posicao_contratual!I89)</f>
        <v/>
      </c>
      <c r="AF89" s="155">
        <f>IF(A89="","",posicao_contratual!M89)</f>
        <v/>
      </c>
      <c r="AG89" s="155">
        <f>IF(A89="","",posicao_contratual!Q89)</f>
        <v/>
      </c>
      <c r="AH89" s="155">
        <f>IF(A89="","",posicao_contratual!U89)</f>
        <v/>
      </c>
      <c r="AI89" s="155">
        <f>IF(A89="","",posicao_contratual!G89)</f>
        <v/>
      </c>
      <c r="AJ89" s="155">
        <f>IF(A89="","",posicao_contratual!K89)</f>
        <v/>
      </c>
      <c r="AK89" s="155">
        <f>IF(A89="","",posicao_contratual!O89)</f>
        <v/>
      </c>
      <c r="AL89" s="155">
        <f>IF(A89="","",posicao_contratual!S89)</f>
        <v/>
      </c>
      <c r="AM89" s="155">
        <f>IF(A89="","",posicao_contratual!W89)</f>
        <v/>
      </c>
      <c r="AN89" s="156">
        <f>IF(A89="","",posicao_contratual!X89)</f>
        <v/>
      </c>
      <c r="AO89">
        <f>IF($A89="","",ROUND(SUMIFS(itens_Consumidos!$E$2:$E$200,itens_Consumidos!$A$2:$A$200,$A89),2))</f>
        <v/>
      </c>
      <c r="AP89">
        <f>IF(OR($A89="",AB89=""),"",ROUND(MAX(AB89-AO89,0),2))</f>
        <v/>
      </c>
      <c r="AQ89">
        <f>IF(OR($A89="",AB89="",MEMORIA_RESULTADOS!$I$258=""),"",ROUND(AB89*$C89*(MEMORIA_RESULTADOS!$I$258-1),2))</f>
        <v/>
      </c>
      <c r="AR89">
        <f>IF(OR($A89="",AP89="",MEMORIA_RESULTADOS!$I$258=""),"",ROUND(AP89*$C89*(parametros!$F$2-MEMORIA_RESULTADOS!$I$258),2))</f>
        <v/>
      </c>
      <c r="AS89">
        <f>IF($A89="","",ROUND(SUMIFS(itens_Consumidos!$G$2:$G$200,itens_Consumidos!$A$2:$A$200,$A89),2))</f>
        <v/>
      </c>
      <c r="AT89">
        <f>IF(OR($A89="",M89=""),"",ROUND(MAX(M89-AS89,0),2))</f>
        <v/>
      </c>
      <c r="AU89">
        <f>IF(OR($A89="",M89="",MEMORIA_RESULTADOS!$I$259=""),"",ROUND(M89*$C89*(MEMORIA_RESULTADOS!$I$259-1),2))</f>
        <v/>
      </c>
      <c r="AV89">
        <f>IF(OR($A89="",AT89="",MEMORIA_RESULTADOS!$I$259=""),"",ROUND(AT89*$C89*(parametros!$F$3-MEMORIA_RESULTADOS!$I$259),2))</f>
        <v/>
      </c>
      <c r="AW89">
        <f>IF($A89="","",ROUND(SUMIFS(itens_Consumidos!$I$2:$I$200,itens_Consumidos!$A$2:$A$200,$A89),2))</f>
        <v/>
      </c>
      <c r="AX89">
        <f>IF(OR($A89="",O89=""),"",ROUND(MAX(O89-AW89,0),2))</f>
        <v/>
      </c>
      <c r="AY89">
        <f>IF(OR($A89="",O89="",MEMORIA_RESULTADOS!$I$260=""),"",ROUND(O89*$C89*(MEMORIA_RESULTADOS!$I$260-1),2))</f>
        <v/>
      </c>
      <c r="AZ89">
        <f>IF(OR($A89="",AX89="",MEMORIA_RESULTADOS!$I$260=""),"",ROUND(AX89*$C89*(parametros!$F$4-MEMORIA_RESULTADOS!$I$260),2))</f>
        <v/>
      </c>
      <c r="BA89">
        <f>IF($A89="","",ROUND(SUMIFS(itens_Consumidos!$K$2:$K$200,itens_Consumidos!$A$2:$A$200,$A89),2))</f>
        <v/>
      </c>
      <c r="BB89">
        <f>IF(OR($A89="",Q89=""),"",ROUND(MAX(Q89-BA89,0),2))</f>
        <v/>
      </c>
      <c r="BC89">
        <f>IF(OR($A89="",Q89="",MEMORIA_RESULTADOS!$I$261=""),"",ROUND(Q89*$C89*(MEMORIA_RESULTADOS!$I$261-1),2))</f>
        <v/>
      </c>
      <c r="BD89">
        <f>IF(OR($A89="",BB89="",MEMORIA_RESULTADOS!$I$261=""),"",ROUND(BB89*$C89*(parametros!$F$5-MEMORIA_RESULTADOS!$I$261),2))</f>
        <v/>
      </c>
      <c r="BE89">
        <f>IF($A89="","",ROUND(SUMIFS(itens_Consumidos!$M$2:$M$200,itens_Consumidos!$A$2:$A$200,$A89),2))</f>
        <v/>
      </c>
      <c r="BF89">
        <f>IF(OR($A89="",S89=""),"",ROUND(MAX(S89-BE89,0),2))</f>
        <v/>
      </c>
      <c r="BG89">
        <f>IF(OR($A89="",S89="",MEMORIA_RESULTADOS!$I$262=""),"",ROUND(S89*$C89*(MEMORIA_RESULTADOS!$I$262-1),2))</f>
        <v/>
      </c>
      <c r="BH89">
        <f>IF(OR($A89="",BF89="",MEMORIA_RESULTADOS!$I$262=""),"",ROUND(BF89*$C89*(parametros!$F$6-MEMORIA_RESULTADOS!$I$262),2))</f>
        <v/>
      </c>
    </row>
    <row r="90">
      <c r="A90" s="86" t="n"/>
      <c r="B90" s="87">
        <f>IF(AND(LEN(TRIM($A90))=4,LEFT(TRIM($A90),1)="N",ISNUMBER(--MID(TRIM($A90),2,3)),ISERROR(FIND(".",$A90)),ISERROR(FIND(",",$A90)),ISERROR(FIND("-",$A90)),ISERROR(FIND("+",$A90)),ISERROR(SEARCH("E",$A90,2)),ISERROR(FIND(" ",TRIM($A90)))),0,"")</f>
        <v/>
      </c>
      <c r="C90" s="339" t="n"/>
      <c r="D90" s="335">
        <f>IF(AND(A90="",A89&lt;&gt;"",COUNTIF(A91:$A$200,"&lt;&gt;")=0),ROUND(SUMIF($A$2:A89,"&lt;&gt;",$D$2:D89),2),IF(OR(A90="",B90="",C90=""),"",ROUND(B90*C90,2)))</f>
        <v/>
      </c>
      <c r="E90" s="89" t="n"/>
      <c r="F90" s="335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 t="n"/>
      <c r="H90" s="335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 t="n"/>
      <c r="J90" s="335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 t="n"/>
      <c r="L90" s="335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>
        <f>IF(OR(posicao_contratual!J90="",posicao_contratual!N90=""),"",ROUND(MAX(posicao_contratual!J90+posicao_contratual!H90-posicao_contratual!N90,0),2))</f>
        <v/>
      </c>
      <c r="N90" s="335">
        <f>IF(AND(A90="",A89&lt;&gt;"",COUNTIF(A91:$A$200,"&lt;&gt;")=0),ROUND(SUMIF($A$2:A89,"&lt;&gt;",$N$2:N89),2),IF(OR(M90="",C90="",NOT(ISNUMBER($Z$3))),"",ROUND(M90*C90*$Z$3,2)))</f>
        <v/>
      </c>
      <c r="O90" s="90">
        <f>IF(OR(posicao_contratual!N90="",posicao_contratual!R90=""),"",ROUND(MAX(posicao_contratual!N90+posicao_contratual!L90-posicao_contratual!R90,0),2))</f>
        <v/>
      </c>
      <c r="P90" s="335">
        <f>IF(AND(A90="",A89&lt;&gt;"",COUNTIF(A91:$A$200,"&lt;&gt;")=0),ROUND(SUMIF($A$2:A89,"&lt;&gt;",$P$2:P89),2),IF(OR(O90="",C90="",NOT(ISNUMBER($Z$4))),"",ROUND(O90*C90*$Z$4,2)))</f>
        <v/>
      </c>
      <c r="Q90" s="90">
        <f>IF(OR(posicao_contratual!R90="",posicao_contratual!V90=""),"",ROUND(MAX(posicao_contratual!R90+posicao_contratual!P90-posicao_contratual!V90,0),2))</f>
        <v/>
      </c>
      <c r="R90" s="335">
        <f>IF(AND(A90="",A89&lt;&gt;"",COUNTIF(A91:$A$200,"&lt;&gt;")=0),ROUND(SUMIF($A$2:A89,"&lt;&gt;",$R$2:R89),2),IF(OR(Q90="",C90="",NOT(ISNUMBER($Z$5))),"",ROUND(Q90*C90*$Z$5,2)))</f>
        <v/>
      </c>
      <c r="S90" s="22" t="n"/>
      <c r="T90" s="340" t="n"/>
      <c r="U90" s="91">
        <f>IF(AND(A90="",A89&lt;&gt;"",COUNTIF(A91:$A$200,"&lt;&gt;")=0),"TOTAL",IF(A90="","",posicao_contratual!X90))</f>
        <v/>
      </c>
      <c r="V90" s="91">
        <f>IF(A90="","",posicao_contratual!X90)</f>
        <v/>
      </c>
      <c r="W90" s="14" t="n"/>
      <c r="X90" s="14" t="n"/>
      <c r="Y90" s="14" t="n"/>
      <c r="Z90" s="13" t="n"/>
      <c r="AA90" s="13" t="n"/>
      <c r="AB90" s="90">
        <f>IF(OR(A90="",posicao_contratual!E90="",posicao_contratual!J90=""),"",ROUND(MAX(posicao_contratual!E90-posicao_contratual!J90,0),2))</f>
        <v/>
      </c>
      <c r="AC90" s="335">
        <f>IF(AND(A90="",A89&lt;&gt;"",COUNTIF(A91:$A$200,"&lt;&gt;")=0),ROUND(SUMIF($A$2:A89,"&lt;&gt;",$AC$2:AC89),2),IF(OR(AB90="",C90="",NOT(ISNUMBER($Z$2))),"",ROUND(AB90*C90*$Z$2,2)))</f>
        <v/>
      </c>
      <c r="AD90" s="155">
        <f>IF(A90="","",posicao_contratual!E90)</f>
        <v/>
      </c>
      <c r="AE90" s="155">
        <f>IF(A90="","",posicao_contratual!I90)</f>
        <v/>
      </c>
      <c r="AF90" s="155">
        <f>IF(A90="","",posicao_contratual!M90)</f>
        <v/>
      </c>
      <c r="AG90" s="155">
        <f>IF(A90="","",posicao_contratual!Q90)</f>
        <v/>
      </c>
      <c r="AH90" s="155">
        <f>IF(A90="","",posicao_contratual!U90)</f>
        <v/>
      </c>
      <c r="AI90" s="155">
        <f>IF(A90="","",posicao_contratual!G90)</f>
        <v/>
      </c>
      <c r="AJ90" s="155">
        <f>IF(A90="","",posicao_contratual!K90)</f>
        <v/>
      </c>
      <c r="AK90" s="155">
        <f>IF(A90="","",posicao_contratual!O90)</f>
        <v/>
      </c>
      <c r="AL90" s="155">
        <f>IF(A90="","",posicao_contratual!S90)</f>
        <v/>
      </c>
      <c r="AM90" s="155">
        <f>IF(A90="","",posicao_contratual!W90)</f>
        <v/>
      </c>
      <c r="AN90" s="156">
        <f>IF(A90="","",posicao_contratual!X90)</f>
        <v/>
      </c>
      <c r="AO90">
        <f>IF($A90="","",ROUND(SUMIFS(itens_Consumidos!$E$2:$E$200,itens_Consumidos!$A$2:$A$200,$A90),2))</f>
        <v/>
      </c>
      <c r="AP90">
        <f>IF(OR($A90="",AB90=""),"",ROUND(MAX(AB90-AO90,0),2))</f>
        <v/>
      </c>
      <c r="AQ90">
        <f>IF(OR($A90="",AB90="",MEMORIA_RESULTADOS!$I$258=""),"",ROUND(AB90*$C90*(MEMORIA_RESULTADOS!$I$258-1),2))</f>
        <v/>
      </c>
      <c r="AR90">
        <f>IF(OR($A90="",AP90="",MEMORIA_RESULTADOS!$I$258=""),"",ROUND(AP90*$C90*(parametros!$F$2-MEMORIA_RESULTADOS!$I$258),2))</f>
        <v/>
      </c>
      <c r="AS90">
        <f>IF($A90="","",ROUND(SUMIFS(itens_Consumidos!$G$2:$G$200,itens_Consumidos!$A$2:$A$200,$A90),2))</f>
        <v/>
      </c>
      <c r="AT90">
        <f>IF(OR($A90="",M90=""),"",ROUND(MAX(M90-AS90,0),2))</f>
        <v/>
      </c>
      <c r="AU90">
        <f>IF(OR($A90="",M90="",MEMORIA_RESULTADOS!$I$259=""),"",ROUND(M90*$C90*(MEMORIA_RESULTADOS!$I$259-1),2))</f>
        <v/>
      </c>
      <c r="AV90">
        <f>IF(OR($A90="",AT90="",MEMORIA_RESULTADOS!$I$259=""),"",ROUND(AT90*$C90*(parametros!$F$3-MEMORIA_RESULTADOS!$I$259),2))</f>
        <v/>
      </c>
      <c r="AW90">
        <f>IF($A90="","",ROUND(SUMIFS(itens_Consumidos!$I$2:$I$200,itens_Consumidos!$A$2:$A$200,$A90),2))</f>
        <v/>
      </c>
      <c r="AX90">
        <f>IF(OR($A90="",O90=""),"",ROUND(MAX(O90-AW90,0),2))</f>
        <v/>
      </c>
      <c r="AY90">
        <f>IF(OR($A90="",O90="",MEMORIA_RESULTADOS!$I$260=""),"",ROUND(O90*$C90*(MEMORIA_RESULTADOS!$I$260-1),2))</f>
        <v/>
      </c>
      <c r="AZ90">
        <f>IF(OR($A90="",AX90="",MEMORIA_RESULTADOS!$I$260=""),"",ROUND(AX90*$C90*(parametros!$F$4-MEMORIA_RESULTADOS!$I$260),2))</f>
        <v/>
      </c>
      <c r="BA90">
        <f>IF($A90="","",ROUND(SUMIFS(itens_Consumidos!$K$2:$K$200,itens_Consumidos!$A$2:$A$200,$A90),2))</f>
        <v/>
      </c>
      <c r="BB90">
        <f>IF(OR($A90="",Q90=""),"",ROUND(MAX(Q90-BA90,0),2))</f>
        <v/>
      </c>
      <c r="BC90">
        <f>IF(OR($A90="",Q90="",MEMORIA_RESULTADOS!$I$261=""),"",ROUND(Q90*$C90*(MEMORIA_RESULTADOS!$I$261-1),2))</f>
        <v/>
      </c>
      <c r="BD90">
        <f>IF(OR($A90="",BB90="",MEMORIA_RESULTADOS!$I$261=""),"",ROUND(BB90*$C90*(parametros!$F$5-MEMORIA_RESULTADOS!$I$261),2))</f>
        <v/>
      </c>
      <c r="BE90">
        <f>IF($A90="","",ROUND(SUMIFS(itens_Consumidos!$M$2:$M$200,itens_Consumidos!$A$2:$A$200,$A90),2))</f>
        <v/>
      </c>
      <c r="BF90">
        <f>IF(OR($A90="",S90=""),"",ROUND(MAX(S90-BE90,0),2))</f>
        <v/>
      </c>
      <c r="BG90">
        <f>IF(OR($A90="",S90="",MEMORIA_RESULTADOS!$I$262=""),"",ROUND(S90*$C90*(MEMORIA_RESULTADOS!$I$262-1),2))</f>
        <v/>
      </c>
      <c r="BH90">
        <f>IF(OR($A90="",BF90="",MEMORIA_RESULTADOS!$I$262=""),"",ROUND(BF90*$C90*(parametros!$F$6-MEMORIA_RESULTADOS!$I$262),2))</f>
        <v/>
      </c>
    </row>
    <row r="91">
      <c r="A91" s="86" t="n"/>
      <c r="B91" s="87">
        <f>IF(AND(LEN(TRIM($A91))=4,LEFT(TRIM($A91),1)="N",ISNUMBER(--MID(TRIM($A91),2,3)),ISERROR(FIND(".",$A91)),ISERROR(FIND(",",$A91)),ISERROR(FIND("-",$A91)),ISERROR(FIND("+",$A91)),ISERROR(SEARCH("E",$A91,2)),ISERROR(FIND(" ",TRIM($A91)))),0,"")</f>
        <v/>
      </c>
      <c r="C91" s="339" t="n"/>
      <c r="D91" s="335">
        <f>IF(AND(A91="",A90&lt;&gt;"",COUNTIF(A92:$A$200,"&lt;&gt;")=0),ROUND(SUMIF($A$2:A90,"&lt;&gt;",$D$2:D90),2),IF(OR(A91="",B91="",C91=""),"",ROUND(B91*C91,2)))</f>
        <v/>
      </c>
      <c r="E91" s="89" t="n"/>
      <c r="F91" s="335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 t="n"/>
      <c r="H91" s="335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 t="n"/>
      <c r="J91" s="335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 t="n"/>
      <c r="L91" s="335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>
        <f>IF(OR(posicao_contratual!J91="",posicao_contratual!N91=""),"",ROUND(MAX(posicao_contratual!J91+posicao_contratual!H91-posicao_contratual!N91,0),2))</f>
        <v/>
      </c>
      <c r="N91" s="335">
        <f>IF(AND(A91="",A90&lt;&gt;"",COUNTIF(A92:$A$200,"&lt;&gt;")=0),ROUND(SUMIF($A$2:A90,"&lt;&gt;",$N$2:N90),2),IF(OR(M91="",C91="",NOT(ISNUMBER($Z$3))),"",ROUND(M91*C91*$Z$3,2)))</f>
        <v/>
      </c>
      <c r="O91" s="90">
        <f>IF(OR(posicao_contratual!N91="",posicao_contratual!R91=""),"",ROUND(MAX(posicao_contratual!N91+posicao_contratual!L91-posicao_contratual!R91,0),2))</f>
        <v/>
      </c>
      <c r="P91" s="335">
        <f>IF(AND(A91="",A90&lt;&gt;"",COUNTIF(A92:$A$200,"&lt;&gt;")=0),ROUND(SUMIF($A$2:A90,"&lt;&gt;",$P$2:P90),2),IF(OR(O91="",C91="",NOT(ISNUMBER($Z$4))),"",ROUND(O91*C91*$Z$4,2)))</f>
        <v/>
      </c>
      <c r="Q91" s="90">
        <f>IF(OR(posicao_contratual!R91="",posicao_contratual!V91=""),"",ROUND(MAX(posicao_contratual!R91+posicao_contratual!P91-posicao_contratual!V91,0),2))</f>
        <v/>
      </c>
      <c r="R91" s="335">
        <f>IF(AND(A91="",A90&lt;&gt;"",COUNTIF(A92:$A$200,"&lt;&gt;")=0),ROUND(SUMIF($A$2:A90,"&lt;&gt;",$R$2:R90),2),IF(OR(Q91="",C91="",NOT(ISNUMBER($Z$5))),"",ROUND(Q91*C91*$Z$5,2)))</f>
        <v/>
      </c>
      <c r="S91" s="22" t="n"/>
      <c r="T91" s="340" t="n"/>
      <c r="U91" s="91">
        <f>IF(AND(A91="",A90&lt;&gt;"",COUNTIF(A92:$A$200,"&lt;&gt;")=0),"TOTAL",IF(A91="","",posicao_contratual!X91))</f>
        <v/>
      </c>
      <c r="V91" s="91">
        <f>IF(A91="","",posicao_contratual!X91)</f>
        <v/>
      </c>
      <c r="W91" s="14" t="n"/>
      <c r="X91" s="14" t="n"/>
      <c r="Y91" s="14" t="n"/>
      <c r="Z91" s="13" t="n"/>
      <c r="AA91" s="13" t="n"/>
      <c r="AB91" s="90">
        <f>IF(OR(A91="",posicao_contratual!E91="",posicao_contratual!J91=""),"",ROUND(MAX(posicao_contratual!E91-posicao_contratual!J91,0),2))</f>
        <v/>
      </c>
      <c r="AC91" s="335">
        <f>IF(AND(A91="",A90&lt;&gt;"",COUNTIF(A92:$A$200,"&lt;&gt;")=0),ROUND(SUMIF($A$2:A90,"&lt;&gt;",$AC$2:AC90),2),IF(OR(AB91="",C91="",NOT(ISNUMBER($Z$2))),"",ROUND(AB91*C91*$Z$2,2)))</f>
        <v/>
      </c>
      <c r="AD91" s="155">
        <f>IF(A91="","",posicao_contratual!E91)</f>
        <v/>
      </c>
      <c r="AE91" s="155">
        <f>IF(A91="","",posicao_contratual!I91)</f>
        <v/>
      </c>
      <c r="AF91" s="155">
        <f>IF(A91="","",posicao_contratual!M91)</f>
        <v/>
      </c>
      <c r="AG91" s="155">
        <f>IF(A91="","",posicao_contratual!Q91)</f>
        <v/>
      </c>
      <c r="AH91" s="155">
        <f>IF(A91="","",posicao_contratual!U91)</f>
        <v/>
      </c>
      <c r="AI91" s="155">
        <f>IF(A91="","",posicao_contratual!G91)</f>
        <v/>
      </c>
      <c r="AJ91" s="155">
        <f>IF(A91="","",posicao_contratual!K91)</f>
        <v/>
      </c>
      <c r="AK91" s="155">
        <f>IF(A91="","",posicao_contratual!O91)</f>
        <v/>
      </c>
      <c r="AL91" s="155">
        <f>IF(A91="","",posicao_contratual!S91)</f>
        <v/>
      </c>
      <c r="AM91" s="155">
        <f>IF(A91="","",posicao_contratual!W91)</f>
        <v/>
      </c>
      <c r="AN91" s="156">
        <f>IF(A91="","",posicao_contratual!X91)</f>
        <v/>
      </c>
      <c r="AO91">
        <f>IF($A91="","",ROUND(SUMIFS(itens_Consumidos!$E$2:$E$200,itens_Consumidos!$A$2:$A$200,$A91),2))</f>
        <v/>
      </c>
      <c r="AP91">
        <f>IF(OR($A91="",AB91=""),"",ROUND(MAX(AB91-AO91,0),2))</f>
        <v/>
      </c>
      <c r="AQ91">
        <f>IF(OR($A91="",AB91="",MEMORIA_RESULTADOS!$I$258=""),"",ROUND(AB91*$C91*(MEMORIA_RESULTADOS!$I$258-1),2))</f>
        <v/>
      </c>
      <c r="AR91">
        <f>IF(OR($A91="",AP91="",MEMORIA_RESULTADOS!$I$258=""),"",ROUND(AP91*$C91*(parametros!$F$2-MEMORIA_RESULTADOS!$I$258),2))</f>
        <v/>
      </c>
      <c r="AS91">
        <f>IF($A91="","",ROUND(SUMIFS(itens_Consumidos!$G$2:$G$200,itens_Consumidos!$A$2:$A$200,$A91),2))</f>
        <v/>
      </c>
      <c r="AT91">
        <f>IF(OR($A91="",M91=""),"",ROUND(MAX(M91-AS91,0),2))</f>
        <v/>
      </c>
      <c r="AU91">
        <f>IF(OR($A91="",M91="",MEMORIA_RESULTADOS!$I$259=""),"",ROUND(M91*$C91*(MEMORIA_RESULTADOS!$I$259-1),2))</f>
        <v/>
      </c>
      <c r="AV91">
        <f>IF(OR($A91="",AT91="",MEMORIA_RESULTADOS!$I$259=""),"",ROUND(AT91*$C91*(parametros!$F$3-MEMORIA_RESULTADOS!$I$259),2))</f>
        <v/>
      </c>
      <c r="AW91">
        <f>IF($A91="","",ROUND(SUMIFS(itens_Consumidos!$I$2:$I$200,itens_Consumidos!$A$2:$A$200,$A91),2))</f>
        <v/>
      </c>
      <c r="AX91">
        <f>IF(OR($A91="",O91=""),"",ROUND(MAX(O91-AW91,0),2))</f>
        <v/>
      </c>
      <c r="AY91">
        <f>IF(OR($A91="",O91="",MEMORIA_RESULTADOS!$I$260=""),"",ROUND(O91*$C91*(MEMORIA_RESULTADOS!$I$260-1),2))</f>
        <v/>
      </c>
      <c r="AZ91">
        <f>IF(OR($A91="",AX91="",MEMORIA_RESULTADOS!$I$260=""),"",ROUND(AX91*$C91*(parametros!$F$4-MEMORIA_RESULTADOS!$I$260),2))</f>
        <v/>
      </c>
      <c r="BA91">
        <f>IF($A91="","",ROUND(SUMIFS(itens_Consumidos!$K$2:$K$200,itens_Consumidos!$A$2:$A$200,$A91),2))</f>
        <v/>
      </c>
      <c r="BB91">
        <f>IF(OR($A91="",Q91=""),"",ROUND(MAX(Q91-BA91,0),2))</f>
        <v/>
      </c>
      <c r="BC91">
        <f>IF(OR($A91="",Q91="",MEMORIA_RESULTADOS!$I$261=""),"",ROUND(Q91*$C91*(MEMORIA_RESULTADOS!$I$261-1),2))</f>
        <v/>
      </c>
      <c r="BD91">
        <f>IF(OR($A91="",BB91="",MEMORIA_RESULTADOS!$I$261=""),"",ROUND(BB91*$C91*(parametros!$F$5-MEMORIA_RESULTADOS!$I$261),2))</f>
        <v/>
      </c>
      <c r="BE91">
        <f>IF($A91="","",ROUND(SUMIFS(itens_Consumidos!$M$2:$M$200,itens_Consumidos!$A$2:$A$200,$A91),2))</f>
        <v/>
      </c>
      <c r="BF91">
        <f>IF(OR($A91="",S91=""),"",ROUND(MAX(S91-BE91,0),2))</f>
        <v/>
      </c>
      <c r="BG91">
        <f>IF(OR($A91="",S91="",MEMORIA_RESULTADOS!$I$262=""),"",ROUND(S91*$C91*(MEMORIA_RESULTADOS!$I$262-1),2))</f>
        <v/>
      </c>
      <c r="BH91">
        <f>IF(OR($A91="",BF91="",MEMORIA_RESULTADOS!$I$262=""),"",ROUND(BF91*$C91*(parametros!$F$6-MEMORIA_RESULTADOS!$I$262),2))</f>
        <v/>
      </c>
    </row>
    <row r="92">
      <c r="A92" s="86" t="n"/>
      <c r="B92" s="87">
        <f>IF(AND(LEN(TRIM($A92))=4,LEFT(TRIM($A92),1)="N",ISNUMBER(--MID(TRIM($A92),2,3)),ISERROR(FIND(".",$A92)),ISERROR(FIND(",",$A92)),ISERROR(FIND("-",$A92)),ISERROR(FIND("+",$A92)),ISERROR(SEARCH("E",$A92,2)),ISERROR(FIND(" ",TRIM($A92)))),0,"")</f>
        <v/>
      </c>
      <c r="C92" s="339" t="n"/>
      <c r="D92" s="335">
        <f>IF(AND(A92="",A91&lt;&gt;"",COUNTIF(A93:$A$200,"&lt;&gt;")=0),ROUND(SUMIF($A$2:A91,"&lt;&gt;",$D$2:D91),2),IF(OR(A92="",B92="",C92=""),"",ROUND(B92*C92,2)))</f>
        <v/>
      </c>
      <c r="E92" s="89" t="n"/>
      <c r="F92" s="335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 t="n"/>
      <c r="H92" s="335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 t="n"/>
      <c r="J92" s="335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 t="n"/>
      <c r="L92" s="335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>
        <f>IF(OR(posicao_contratual!J92="",posicao_contratual!N92=""),"",ROUND(MAX(posicao_contratual!J92+posicao_contratual!H92-posicao_contratual!N92,0),2))</f>
        <v/>
      </c>
      <c r="N92" s="335">
        <f>IF(AND(A92="",A91&lt;&gt;"",COUNTIF(A93:$A$200,"&lt;&gt;")=0),ROUND(SUMIF($A$2:A91,"&lt;&gt;",$N$2:N91),2),IF(OR(M92="",C92="",NOT(ISNUMBER($Z$3))),"",ROUND(M92*C92*$Z$3,2)))</f>
        <v/>
      </c>
      <c r="O92" s="90">
        <f>IF(OR(posicao_contratual!N92="",posicao_contratual!R92=""),"",ROUND(MAX(posicao_contratual!N92+posicao_contratual!L92-posicao_contratual!R92,0),2))</f>
        <v/>
      </c>
      <c r="P92" s="335">
        <f>IF(AND(A92="",A91&lt;&gt;"",COUNTIF(A93:$A$200,"&lt;&gt;")=0),ROUND(SUMIF($A$2:A91,"&lt;&gt;",$P$2:P91),2),IF(OR(O92="",C92="",NOT(ISNUMBER($Z$4))),"",ROUND(O92*C92*$Z$4,2)))</f>
        <v/>
      </c>
      <c r="Q92" s="90">
        <f>IF(OR(posicao_contratual!R92="",posicao_contratual!V92=""),"",ROUND(MAX(posicao_contratual!R92+posicao_contratual!P92-posicao_contratual!V92,0),2))</f>
        <v/>
      </c>
      <c r="R92" s="335">
        <f>IF(AND(A92="",A91&lt;&gt;"",COUNTIF(A93:$A$200,"&lt;&gt;")=0),ROUND(SUMIF($A$2:A91,"&lt;&gt;",$R$2:R91),2),IF(OR(Q92="",C92="",NOT(ISNUMBER($Z$5))),"",ROUND(Q92*C92*$Z$5,2)))</f>
        <v/>
      </c>
      <c r="S92" s="22" t="n"/>
      <c r="T92" s="340" t="n"/>
      <c r="U92" s="91">
        <f>IF(AND(A92="",A91&lt;&gt;"",COUNTIF(A93:$A$200,"&lt;&gt;")=0),"TOTAL",IF(A92="","",posicao_contratual!X92))</f>
        <v/>
      </c>
      <c r="V92" s="91">
        <f>IF(A92="","",posicao_contratual!X92)</f>
        <v/>
      </c>
      <c r="W92" s="14" t="n"/>
      <c r="X92" s="14" t="n"/>
      <c r="Y92" s="14" t="n"/>
      <c r="Z92" s="13" t="n"/>
      <c r="AA92" s="13" t="n"/>
      <c r="AB92" s="90">
        <f>IF(OR(A92="",posicao_contratual!E92="",posicao_contratual!J92=""),"",ROUND(MAX(posicao_contratual!E92-posicao_contratual!J92,0),2))</f>
        <v/>
      </c>
      <c r="AC92" s="335">
        <f>IF(AND(A92="",A91&lt;&gt;"",COUNTIF(A93:$A$200,"&lt;&gt;")=0),ROUND(SUMIF($A$2:A91,"&lt;&gt;",$AC$2:AC91),2),IF(OR(AB92="",C92="",NOT(ISNUMBER($Z$2))),"",ROUND(AB92*C92*$Z$2,2)))</f>
        <v/>
      </c>
      <c r="AD92" s="155">
        <f>IF(A92="","",posicao_contratual!E92)</f>
        <v/>
      </c>
      <c r="AE92" s="155">
        <f>IF(A92="","",posicao_contratual!I92)</f>
        <v/>
      </c>
      <c r="AF92" s="155">
        <f>IF(A92="","",posicao_contratual!M92)</f>
        <v/>
      </c>
      <c r="AG92" s="155">
        <f>IF(A92="","",posicao_contratual!Q92)</f>
        <v/>
      </c>
      <c r="AH92" s="155">
        <f>IF(A92="","",posicao_contratual!U92)</f>
        <v/>
      </c>
      <c r="AI92" s="155">
        <f>IF(A92="","",posicao_contratual!G92)</f>
        <v/>
      </c>
      <c r="AJ92" s="155">
        <f>IF(A92="","",posicao_contratual!K92)</f>
        <v/>
      </c>
      <c r="AK92" s="155">
        <f>IF(A92="","",posicao_contratual!O92)</f>
        <v/>
      </c>
      <c r="AL92" s="155">
        <f>IF(A92="","",posicao_contratual!S92)</f>
        <v/>
      </c>
      <c r="AM92" s="155">
        <f>IF(A92="","",posicao_contratual!W92)</f>
        <v/>
      </c>
      <c r="AN92" s="156">
        <f>IF(A92="","",posicao_contratual!X92)</f>
        <v/>
      </c>
      <c r="AO92">
        <f>IF($A92="","",ROUND(SUMIFS(itens_Consumidos!$E$2:$E$200,itens_Consumidos!$A$2:$A$200,$A92),2))</f>
        <v/>
      </c>
      <c r="AP92">
        <f>IF(OR($A92="",AB92=""),"",ROUND(MAX(AB92-AO92,0),2))</f>
        <v/>
      </c>
      <c r="AQ92">
        <f>IF(OR($A92="",AB92="",MEMORIA_RESULTADOS!$I$258=""),"",ROUND(AB92*$C92*(MEMORIA_RESULTADOS!$I$258-1),2))</f>
        <v/>
      </c>
      <c r="AR92">
        <f>IF(OR($A92="",AP92="",MEMORIA_RESULTADOS!$I$258=""),"",ROUND(AP92*$C92*(parametros!$F$2-MEMORIA_RESULTADOS!$I$258),2))</f>
        <v/>
      </c>
      <c r="AS92">
        <f>IF($A92="","",ROUND(SUMIFS(itens_Consumidos!$G$2:$G$200,itens_Consumidos!$A$2:$A$200,$A92),2))</f>
        <v/>
      </c>
      <c r="AT92">
        <f>IF(OR($A92="",M92=""),"",ROUND(MAX(M92-AS92,0),2))</f>
        <v/>
      </c>
      <c r="AU92">
        <f>IF(OR($A92="",M92="",MEMORIA_RESULTADOS!$I$259=""),"",ROUND(M92*$C92*(MEMORIA_RESULTADOS!$I$259-1),2))</f>
        <v/>
      </c>
      <c r="AV92">
        <f>IF(OR($A92="",AT92="",MEMORIA_RESULTADOS!$I$259=""),"",ROUND(AT92*$C92*(parametros!$F$3-MEMORIA_RESULTADOS!$I$259),2))</f>
        <v/>
      </c>
      <c r="AW92">
        <f>IF($A92="","",ROUND(SUMIFS(itens_Consumidos!$I$2:$I$200,itens_Consumidos!$A$2:$A$200,$A92),2))</f>
        <v/>
      </c>
      <c r="AX92">
        <f>IF(OR($A92="",O92=""),"",ROUND(MAX(O92-AW92,0),2))</f>
        <v/>
      </c>
      <c r="AY92">
        <f>IF(OR($A92="",O92="",MEMORIA_RESULTADOS!$I$260=""),"",ROUND(O92*$C92*(MEMORIA_RESULTADOS!$I$260-1),2))</f>
        <v/>
      </c>
      <c r="AZ92">
        <f>IF(OR($A92="",AX92="",MEMORIA_RESULTADOS!$I$260=""),"",ROUND(AX92*$C92*(parametros!$F$4-MEMORIA_RESULTADOS!$I$260),2))</f>
        <v/>
      </c>
      <c r="BA92">
        <f>IF($A92="","",ROUND(SUMIFS(itens_Consumidos!$K$2:$K$200,itens_Consumidos!$A$2:$A$200,$A92),2))</f>
        <v/>
      </c>
      <c r="BB92">
        <f>IF(OR($A92="",Q92=""),"",ROUND(MAX(Q92-BA92,0),2))</f>
        <v/>
      </c>
      <c r="BC92">
        <f>IF(OR($A92="",Q92="",MEMORIA_RESULTADOS!$I$261=""),"",ROUND(Q92*$C92*(MEMORIA_RESULTADOS!$I$261-1),2))</f>
        <v/>
      </c>
      <c r="BD92">
        <f>IF(OR($A92="",BB92="",MEMORIA_RESULTADOS!$I$261=""),"",ROUND(BB92*$C92*(parametros!$F$5-MEMORIA_RESULTADOS!$I$261),2))</f>
        <v/>
      </c>
      <c r="BE92">
        <f>IF($A92="","",ROUND(SUMIFS(itens_Consumidos!$M$2:$M$200,itens_Consumidos!$A$2:$A$200,$A92),2))</f>
        <v/>
      </c>
      <c r="BF92">
        <f>IF(OR($A92="",S92=""),"",ROUND(MAX(S92-BE92,0),2))</f>
        <v/>
      </c>
      <c r="BG92">
        <f>IF(OR($A92="",S92="",MEMORIA_RESULTADOS!$I$262=""),"",ROUND(S92*$C92*(MEMORIA_RESULTADOS!$I$262-1),2))</f>
        <v/>
      </c>
      <c r="BH92">
        <f>IF(OR($A92="",BF92="",MEMORIA_RESULTADOS!$I$262=""),"",ROUND(BF92*$C92*(parametros!$F$6-MEMORIA_RESULTADOS!$I$262),2))</f>
        <v/>
      </c>
    </row>
    <row r="93">
      <c r="A93" s="86" t="n"/>
      <c r="B93" s="87">
        <f>IF(AND(LEN(TRIM($A93))=4,LEFT(TRIM($A93),1)="N",ISNUMBER(--MID(TRIM($A93),2,3)),ISERROR(FIND(".",$A93)),ISERROR(FIND(",",$A93)),ISERROR(FIND("-",$A93)),ISERROR(FIND("+",$A93)),ISERROR(SEARCH("E",$A93,2)),ISERROR(FIND(" ",TRIM($A93)))),0,"")</f>
        <v/>
      </c>
      <c r="C93" s="339" t="n"/>
      <c r="D93" s="335">
        <f>IF(AND(A93="",A92&lt;&gt;"",COUNTIF(A94:$A$200,"&lt;&gt;")=0),ROUND(SUMIF($A$2:A92,"&lt;&gt;",$D$2:D92),2),IF(OR(A93="",B93="",C93=""),"",ROUND(B93*C93,2)))</f>
        <v/>
      </c>
      <c r="E93" s="89" t="n"/>
      <c r="F93" s="335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 t="n"/>
      <c r="H93" s="335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 t="n"/>
      <c r="J93" s="335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 t="n"/>
      <c r="L93" s="335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>
        <f>IF(OR(posicao_contratual!J93="",posicao_contratual!N93=""),"",ROUND(MAX(posicao_contratual!J93+posicao_contratual!H93-posicao_contratual!N93,0),2))</f>
        <v/>
      </c>
      <c r="N93" s="335">
        <f>IF(AND(A93="",A92&lt;&gt;"",COUNTIF(A94:$A$200,"&lt;&gt;")=0),ROUND(SUMIF($A$2:A92,"&lt;&gt;",$N$2:N92),2),IF(OR(M93="",C93="",NOT(ISNUMBER($Z$3))),"",ROUND(M93*C93*$Z$3,2)))</f>
        <v/>
      </c>
      <c r="O93" s="90">
        <f>IF(OR(posicao_contratual!N93="",posicao_contratual!R93=""),"",ROUND(MAX(posicao_contratual!N93+posicao_contratual!L93-posicao_contratual!R93,0),2))</f>
        <v/>
      </c>
      <c r="P93" s="335">
        <f>IF(AND(A93="",A92&lt;&gt;"",COUNTIF(A94:$A$200,"&lt;&gt;")=0),ROUND(SUMIF($A$2:A92,"&lt;&gt;",$P$2:P92),2),IF(OR(O93="",C93="",NOT(ISNUMBER($Z$4))),"",ROUND(O93*C93*$Z$4,2)))</f>
        <v/>
      </c>
      <c r="Q93" s="90">
        <f>IF(OR(posicao_contratual!R93="",posicao_contratual!V93=""),"",ROUND(MAX(posicao_contratual!R93+posicao_contratual!P93-posicao_contratual!V93,0),2))</f>
        <v/>
      </c>
      <c r="R93" s="335">
        <f>IF(AND(A93="",A92&lt;&gt;"",COUNTIF(A94:$A$200,"&lt;&gt;")=0),ROUND(SUMIF($A$2:A92,"&lt;&gt;",$R$2:R92),2),IF(OR(Q93="",C93="",NOT(ISNUMBER($Z$5))),"",ROUND(Q93*C93*$Z$5,2)))</f>
        <v/>
      </c>
      <c r="S93" s="22" t="n"/>
      <c r="T93" s="340" t="n"/>
      <c r="U93" s="91">
        <f>IF(AND(A93="",A92&lt;&gt;"",COUNTIF(A94:$A$200,"&lt;&gt;")=0),"TOTAL",IF(A93="","",posicao_contratual!X93))</f>
        <v/>
      </c>
      <c r="V93" s="91">
        <f>IF(A93="","",posicao_contratual!X93)</f>
        <v/>
      </c>
      <c r="W93" s="14" t="n"/>
      <c r="X93" s="14" t="n"/>
      <c r="Y93" s="14" t="n"/>
      <c r="Z93" s="13" t="n"/>
      <c r="AA93" s="13" t="n"/>
      <c r="AB93" s="90">
        <f>IF(OR(A93="",posicao_contratual!E93="",posicao_contratual!J93=""),"",ROUND(MAX(posicao_contratual!E93-posicao_contratual!J93,0),2))</f>
        <v/>
      </c>
      <c r="AC93" s="335">
        <f>IF(AND(A93="",A92&lt;&gt;"",COUNTIF(A94:$A$200,"&lt;&gt;")=0),ROUND(SUMIF($A$2:A92,"&lt;&gt;",$AC$2:AC92),2),IF(OR(AB93="",C93="",NOT(ISNUMBER($Z$2))),"",ROUND(AB93*C93*$Z$2,2)))</f>
        <v/>
      </c>
      <c r="AD93" s="155">
        <f>IF(A93="","",posicao_contratual!E93)</f>
        <v/>
      </c>
      <c r="AE93" s="155">
        <f>IF(A93="","",posicao_contratual!I93)</f>
        <v/>
      </c>
      <c r="AF93" s="155">
        <f>IF(A93="","",posicao_contratual!M93)</f>
        <v/>
      </c>
      <c r="AG93" s="155">
        <f>IF(A93="","",posicao_contratual!Q93)</f>
        <v/>
      </c>
      <c r="AH93" s="155">
        <f>IF(A93="","",posicao_contratual!U93)</f>
        <v/>
      </c>
      <c r="AI93" s="155">
        <f>IF(A93="","",posicao_contratual!G93)</f>
        <v/>
      </c>
      <c r="AJ93" s="155">
        <f>IF(A93="","",posicao_contratual!K93)</f>
        <v/>
      </c>
      <c r="AK93" s="155">
        <f>IF(A93="","",posicao_contratual!O93)</f>
        <v/>
      </c>
      <c r="AL93" s="155">
        <f>IF(A93="","",posicao_contratual!S93)</f>
        <v/>
      </c>
      <c r="AM93" s="155">
        <f>IF(A93="","",posicao_contratual!W93)</f>
        <v/>
      </c>
      <c r="AN93" s="156">
        <f>IF(A93="","",posicao_contratual!X93)</f>
        <v/>
      </c>
      <c r="AO93">
        <f>IF($A93="","",ROUND(SUMIFS(itens_Consumidos!$E$2:$E$200,itens_Consumidos!$A$2:$A$200,$A93),2))</f>
        <v/>
      </c>
      <c r="AP93">
        <f>IF(OR($A93="",AB93=""),"",ROUND(MAX(AB93-AO93,0),2))</f>
        <v/>
      </c>
      <c r="AQ93">
        <f>IF(OR($A93="",AB93="",MEMORIA_RESULTADOS!$I$258=""),"",ROUND(AB93*$C93*(MEMORIA_RESULTADOS!$I$258-1),2))</f>
        <v/>
      </c>
      <c r="AR93">
        <f>IF(OR($A93="",AP93="",MEMORIA_RESULTADOS!$I$258=""),"",ROUND(AP93*$C93*(parametros!$F$2-MEMORIA_RESULTADOS!$I$258),2))</f>
        <v/>
      </c>
      <c r="AS93">
        <f>IF($A93="","",ROUND(SUMIFS(itens_Consumidos!$G$2:$G$200,itens_Consumidos!$A$2:$A$200,$A93),2))</f>
        <v/>
      </c>
      <c r="AT93">
        <f>IF(OR($A93="",M93=""),"",ROUND(MAX(M93-AS93,0),2))</f>
        <v/>
      </c>
      <c r="AU93">
        <f>IF(OR($A93="",M93="",MEMORIA_RESULTADOS!$I$259=""),"",ROUND(M93*$C93*(MEMORIA_RESULTADOS!$I$259-1),2))</f>
        <v/>
      </c>
      <c r="AV93">
        <f>IF(OR($A93="",AT93="",MEMORIA_RESULTADOS!$I$259=""),"",ROUND(AT93*$C93*(parametros!$F$3-MEMORIA_RESULTADOS!$I$259),2))</f>
        <v/>
      </c>
      <c r="AW93">
        <f>IF($A93="","",ROUND(SUMIFS(itens_Consumidos!$I$2:$I$200,itens_Consumidos!$A$2:$A$200,$A93),2))</f>
        <v/>
      </c>
      <c r="AX93">
        <f>IF(OR($A93="",O93=""),"",ROUND(MAX(O93-AW93,0),2))</f>
        <v/>
      </c>
      <c r="AY93">
        <f>IF(OR($A93="",O93="",MEMORIA_RESULTADOS!$I$260=""),"",ROUND(O93*$C93*(MEMORIA_RESULTADOS!$I$260-1),2))</f>
        <v/>
      </c>
      <c r="AZ93">
        <f>IF(OR($A93="",AX93="",MEMORIA_RESULTADOS!$I$260=""),"",ROUND(AX93*$C93*(parametros!$F$4-MEMORIA_RESULTADOS!$I$260),2))</f>
        <v/>
      </c>
      <c r="BA93">
        <f>IF($A93="","",ROUND(SUMIFS(itens_Consumidos!$K$2:$K$200,itens_Consumidos!$A$2:$A$200,$A93),2))</f>
        <v/>
      </c>
      <c r="BB93">
        <f>IF(OR($A93="",Q93=""),"",ROUND(MAX(Q93-BA93,0),2))</f>
        <v/>
      </c>
      <c r="BC93">
        <f>IF(OR($A93="",Q93="",MEMORIA_RESULTADOS!$I$261=""),"",ROUND(Q93*$C93*(MEMORIA_RESULTADOS!$I$261-1),2))</f>
        <v/>
      </c>
      <c r="BD93">
        <f>IF(OR($A93="",BB93="",MEMORIA_RESULTADOS!$I$261=""),"",ROUND(BB93*$C93*(parametros!$F$5-MEMORIA_RESULTADOS!$I$261),2))</f>
        <v/>
      </c>
      <c r="BE93">
        <f>IF($A93="","",ROUND(SUMIFS(itens_Consumidos!$M$2:$M$200,itens_Consumidos!$A$2:$A$200,$A93),2))</f>
        <v/>
      </c>
      <c r="BF93">
        <f>IF(OR($A93="",S93=""),"",ROUND(MAX(S93-BE93,0),2))</f>
        <v/>
      </c>
      <c r="BG93">
        <f>IF(OR($A93="",S93="",MEMORIA_RESULTADOS!$I$262=""),"",ROUND(S93*$C93*(MEMORIA_RESULTADOS!$I$262-1),2))</f>
        <v/>
      </c>
      <c r="BH93">
        <f>IF(OR($A93="",BF93="",MEMORIA_RESULTADOS!$I$262=""),"",ROUND(BF93*$C93*(parametros!$F$6-MEMORIA_RESULTADOS!$I$262),2))</f>
        <v/>
      </c>
    </row>
    <row r="94">
      <c r="A94" s="86" t="n"/>
      <c r="B94" s="87">
        <f>IF(AND(LEN(TRIM($A94))=4,LEFT(TRIM($A94),1)="N",ISNUMBER(--MID(TRIM($A94),2,3)),ISERROR(FIND(".",$A94)),ISERROR(FIND(",",$A94)),ISERROR(FIND("-",$A94)),ISERROR(FIND("+",$A94)),ISERROR(SEARCH("E",$A94,2)),ISERROR(FIND(" ",TRIM($A94)))),0,"")</f>
        <v/>
      </c>
      <c r="C94" s="339" t="n"/>
      <c r="D94" s="335">
        <f>IF(AND(A94="",A93&lt;&gt;"",COUNTIF(A95:$A$200,"&lt;&gt;")=0),ROUND(SUMIF($A$2:A93,"&lt;&gt;",$D$2:D93),2),IF(OR(A94="",B94="",C94=""),"",ROUND(B94*C94,2)))</f>
        <v/>
      </c>
      <c r="E94" s="89" t="n"/>
      <c r="F94" s="335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 t="n"/>
      <c r="H94" s="335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 t="n"/>
      <c r="J94" s="335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 t="n"/>
      <c r="L94" s="335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>
        <f>IF(OR(posicao_contratual!J94="",posicao_contratual!N94=""),"",ROUND(MAX(posicao_contratual!J94+posicao_contratual!H94-posicao_contratual!N94,0),2))</f>
        <v/>
      </c>
      <c r="N94" s="335">
        <f>IF(AND(A94="",A93&lt;&gt;"",COUNTIF(A95:$A$200,"&lt;&gt;")=0),ROUND(SUMIF($A$2:A93,"&lt;&gt;",$N$2:N93),2),IF(OR(M94="",C94="",NOT(ISNUMBER($Z$3))),"",ROUND(M94*C94*$Z$3,2)))</f>
        <v/>
      </c>
      <c r="O94" s="90">
        <f>IF(OR(posicao_contratual!N94="",posicao_contratual!R94=""),"",ROUND(MAX(posicao_contratual!N94+posicao_contratual!L94-posicao_contratual!R94,0),2))</f>
        <v/>
      </c>
      <c r="P94" s="335">
        <f>IF(AND(A94="",A93&lt;&gt;"",COUNTIF(A95:$A$200,"&lt;&gt;")=0),ROUND(SUMIF($A$2:A93,"&lt;&gt;",$P$2:P93),2),IF(OR(O94="",C94="",NOT(ISNUMBER($Z$4))),"",ROUND(O94*C94*$Z$4,2)))</f>
        <v/>
      </c>
      <c r="Q94" s="90">
        <f>IF(OR(posicao_contratual!R94="",posicao_contratual!V94=""),"",ROUND(MAX(posicao_contratual!R94+posicao_contratual!P94-posicao_contratual!V94,0),2))</f>
        <v/>
      </c>
      <c r="R94" s="335">
        <f>IF(AND(A94="",A93&lt;&gt;"",COUNTIF(A95:$A$200,"&lt;&gt;")=0),ROUND(SUMIF($A$2:A93,"&lt;&gt;",$R$2:R93),2),IF(OR(Q94="",C94="",NOT(ISNUMBER($Z$5))),"",ROUND(Q94*C94*$Z$5,2)))</f>
        <v/>
      </c>
      <c r="S94" s="22" t="n"/>
      <c r="T94" s="340" t="n"/>
      <c r="U94" s="91">
        <f>IF(AND(A94="",A93&lt;&gt;"",COUNTIF(A95:$A$200,"&lt;&gt;")=0),"TOTAL",IF(A94="","",posicao_contratual!X94))</f>
        <v/>
      </c>
      <c r="V94" s="91">
        <f>IF(A94="","",posicao_contratual!X94)</f>
        <v/>
      </c>
      <c r="W94" s="14" t="n"/>
      <c r="X94" s="14" t="n"/>
      <c r="Y94" s="14" t="n"/>
      <c r="Z94" s="13" t="n"/>
      <c r="AA94" s="13" t="n"/>
      <c r="AB94" s="90">
        <f>IF(OR(A94="",posicao_contratual!E94="",posicao_contratual!J94=""),"",ROUND(MAX(posicao_contratual!E94-posicao_contratual!J94,0),2))</f>
        <v/>
      </c>
      <c r="AC94" s="335">
        <f>IF(AND(A94="",A93&lt;&gt;"",COUNTIF(A95:$A$200,"&lt;&gt;")=0),ROUND(SUMIF($A$2:A93,"&lt;&gt;",$AC$2:AC93),2),IF(OR(AB94="",C94="",NOT(ISNUMBER($Z$2))),"",ROUND(AB94*C94*$Z$2,2)))</f>
        <v/>
      </c>
      <c r="AD94" s="155">
        <f>IF(A94="","",posicao_contratual!E94)</f>
        <v/>
      </c>
      <c r="AE94" s="155">
        <f>IF(A94="","",posicao_contratual!I94)</f>
        <v/>
      </c>
      <c r="AF94" s="155">
        <f>IF(A94="","",posicao_contratual!M94)</f>
        <v/>
      </c>
      <c r="AG94" s="155">
        <f>IF(A94="","",posicao_contratual!Q94)</f>
        <v/>
      </c>
      <c r="AH94" s="155">
        <f>IF(A94="","",posicao_contratual!U94)</f>
        <v/>
      </c>
      <c r="AI94" s="155">
        <f>IF(A94="","",posicao_contratual!G94)</f>
        <v/>
      </c>
      <c r="AJ94" s="155">
        <f>IF(A94="","",posicao_contratual!K94)</f>
        <v/>
      </c>
      <c r="AK94" s="155">
        <f>IF(A94="","",posicao_contratual!O94)</f>
        <v/>
      </c>
      <c r="AL94" s="155">
        <f>IF(A94="","",posicao_contratual!S94)</f>
        <v/>
      </c>
      <c r="AM94" s="155">
        <f>IF(A94="","",posicao_contratual!W94)</f>
        <v/>
      </c>
      <c r="AN94" s="156">
        <f>IF(A94="","",posicao_contratual!X94)</f>
        <v/>
      </c>
      <c r="AO94">
        <f>IF($A94="","",ROUND(SUMIFS(itens_Consumidos!$E$2:$E$200,itens_Consumidos!$A$2:$A$200,$A94),2))</f>
        <v/>
      </c>
      <c r="AP94">
        <f>IF(OR($A94="",AB94=""),"",ROUND(MAX(AB94-AO94,0),2))</f>
        <v/>
      </c>
      <c r="AQ94">
        <f>IF(OR($A94="",AB94="",MEMORIA_RESULTADOS!$I$258=""),"",ROUND(AB94*$C94*(MEMORIA_RESULTADOS!$I$258-1),2))</f>
        <v/>
      </c>
      <c r="AR94">
        <f>IF(OR($A94="",AP94="",MEMORIA_RESULTADOS!$I$258=""),"",ROUND(AP94*$C94*(parametros!$F$2-MEMORIA_RESULTADOS!$I$258),2))</f>
        <v/>
      </c>
      <c r="AS94">
        <f>IF($A94="","",ROUND(SUMIFS(itens_Consumidos!$G$2:$G$200,itens_Consumidos!$A$2:$A$200,$A94),2))</f>
        <v/>
      </c>
      <c r="AT94">
        <f>IF(OR($A94="",M94=""),"",ROUND(MAX(M94-AS94,0),2))</f>
        <v/>
      </c>
      <c r="AU94">
        <f>IF(OR($A94="",M94="",MEMORIA_RESULTADOS!$I$259=""),"",ROUND(M94*$C94*(MEMORIA_RESULTADOS!$I$259-1),2))</f>
        <v/>
      </c>
      <c r="AV94">
        <f>IF(OR($A94="",AT94="",MEMORIA_RESULTADOS!$I$259=""),"",ROUND(AT94*$C94*(parametros!$F$3-MEMORIA_RESULTADOS!$I$259),2))</f>
        <v/>
      </c>
      <c r="AW94">
        <f>IF($A94="","",ROUND(SUMIFS(itens_Consumidos!$I$2:$I$200,itens_Consumidos!$A$2:$A$200,$A94),2))</f>
        <v/>
      </c>
      <c r="AX94">
        <f>IF(OR($A94="",O94=""),"",ROUND(MAX(O94-AW94,0),2))</f>
        <v/>
      </c>
      <c r="AY94">
        <f>IF(OR($A94="",O94="",MEMORIA_RESULTADOS!$I$260=""),"",ROUND(O94*$C94*(MEMORIA_RESULTADOS!$I$260-1),2))</f>
        <v/>
      </c>
      <c r="AZ94">
        <f>IF(OR($A94="",AX94="",MEMORIA_RESULTADOS!$I$260=""),"",ROUND(AX94*$C94*(parametros!$F$4-MEMORIA_RESULTADOS!$I$260),2))</f>
        <v/>
      </c>
      <c r="BA94">
        <f>IF($A94="","",ROUND(SUMIFS(itens_Consumidos!$K$2:$K$200,itens_Consumidos!$A$2:$A$200,$A94),2))</f>
        <v/>
      </c>
      <c r="BB94">
        <f>IF(OR($A94="",Q94=""),"",ROUND(MAX(Q94-BA94,0),2))</f>
        <v/>
      </c>
      <c r="BC94">
        <f>IF(OR($A94="",Q94="",MEMORIA_RESULTADOS!$I$261=""),"",ROUND(Q94*$C94*(MEMORIA_RESULTADOS!$I$261-1),2))</f>
        <v/>
      </c>
      <c r="BD94">
        <f>IF(OR($A94="",BB94="",MEMORIA_RESULTADOS!$I$261=""),"",ROUND(BB94*$C94*(parametros!$F$5-MEMORIA_RESULTADOS!$I$261),2))</f>
        <v/>
      </c>
      <c r="BE94">
        <f>IF($A94="","",ROUND(SUMIFS(itens_Consumidos!$M$2:$M$200,itens_Consumidos!$A$2:$A$200,$A94),2))</f>
        <v/>
      </c>
      <c r="BF94">
        <f>IF(OR($A94="",S94=""),"",ROUND(MAX(S94-BE94,0),2))</f>
        <v/>
      </c>
      <c r="BG94">
        <f>IF(OR($A94="",S94="",MEMORIA_RESULTADOS!$I$262=""),"",ROUND(S94*$C94*(MEMORIA_RESULTADOS!$I$262-1),2))</f>
        <v/>
      </c>
      <c r="BH94">
        <f>IF(OR($A94="",BF94="",MEMORIA_RESULTADOS!$I$262=""),"",ROUND(BF94*$C94*(parametros!$F$6-MEMORIA_RESULTADOS!$I$262),2))</f>
        <v/>
      </c>
    </row>
    <row r="95">
      <c r="A95" s="86" t="n"/>
      <c r="B95" s="87">
        <f>IF(AND(LEN(TRIM($A95))=4,LEFT(TRIM($A95),1)="N",ISNUMBER(--MID(TRIM($A95),2,3)),ISERROR(FIND(".",$A95)),ISERROR(FIND(",",$A95)),ISERROR(FIND("-",$A95)),ISERROR(FIND("+",$A95)),ISERROR(SEARCH("E",$A95,2)),ISERROR(FIND(" ",TRIM($A95)))),0,"")</f>
        <v/>
      </c>
      <c r="C95" s="339" t="n"/>
      <c r="D95" s="335">
        <f>IF(AND(A95="",A94&lt;&gt;"",COUNTIF(A96:$A$200,"&lt;&gt;")=0),ROUND(SUMIF($A$2:A94,"&lt;&gt;",$D$2:D94),2),IF(OR(A95="",B95="",C95=""),"",ROUND(B95*C95,2)))</f>
        <v/>
      </c>
      <c r="E95" s="89" t="n"/>
      <c r="F95" s="335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 t="n"/>
      <c r="H95" s="335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 t="n"/>
      <c r="J95" s="335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 t="n"/>
      <c r="L95" s="335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>
        <f>IF(OR(posicao_contratual!J95="",posicao_contratual!N95=""),"",ROUND(MAX(posicao_contratual!J95+posicao_contratual!H95-posicao_contratual!N95,0),2))</f>
        <v/>
      </c>
      <c r="N95" s="335">
        <f>IF(AND(A95="",A94&lt;&gt;"",COUNTIF(A96:$A$200,"&lt;&gt;")=0),ROUND(SUMIF($A$2:A94,"&lt;&gt;",$N$2:N94),2),IF(OR(M95="",C95="",NOT(ISNUMBER($Z$3))),"",ROUND(M95*C95*$Z$3,2)))</f>
        <v/>
      </c>
      <c r="O95" s="90">
        <f>IF(OR(posicao_contratual!N95="",posicao_contratual!R95=""),"",ROUND(MAX(posicao_contratual!N95+posicao_contratual!L95-posicao_contratual!R95,0),2))</f>
        <v/>
      </c>
      <c r="P95" s="335">
        <f>IF(AND(A95="",A94&lt;&gt;"",COUNTIF(A96:$A$200,"&lt;&gt;")=0),ROUND(SUMIF($A$2:A94,"&lt;&gt;",$P$2:P94),2),IF(OR(O95="",C95="",NOT(ISNUMBER($Z$4))),"",ROUND(O95*C95*$Z$4,2)))</f>
        <v/>
      </c>
      <c r="Q95" s="90">
        <f>IF(OR(posicao_contratual!R95="",posicao_contratual!V95=""),"",ROUND(MAX(posicao_contratual!R95+posicao_contratual!P95-posicao_contratual!V95,0),2))</f>
        <v/>
      </c>
      <c r="R95" s="335">
        <f>IF(AND(A95="",A94&lt;&gt;"",COUNTIF(A96:$A$200,"&lt;&gt;")=0),ROUND(SUMIF($A$2:A94,"&lt;&gt;",$R$2:R94),2),IF(OR(Q95="",C95="",NOT(ISNUMBER($Z$5))),"",ROUND(Q95*C95*$Z$5,2)))</f>
        <v/>
      </c>
      <c r="S95" s="22" t="n"/>
      <c r="T95" s="340" t="n"/>
      <c r="U95" s="91">
        <f>IF(AND(A95="",A94&lt;&gt;"",COUNTIF(A96:$A$200,"&lt;&gt;")=0),"TOTAL",IF(A95="","",posicao_contratual!X95))</f>
        <v/>
      </c>
      <c r="V95" s="91">
        <f>IF(A95="","",posicao_contratual!X95)</f>
        <v/>
      </c>
      <c r="W95" s="14" t="n"/>
      <c r="X95" s="14" t="n"/>
      <c r="Y95" s="14" t="n"/>
      <c r="Z95" s="13" t="n"/>
      <c r="AA95" s="13" t="n"/>
      <c r="AB95" s="90">
        <f>IF(OR(A95="",posicao_contratual!E95="",posicao_contratual!J95=""),"",ROUND(MAX(posicao_contratual!E95-posicao_contratual!J95,0),2))</f>
        <v/>
      </c>
      <c r="AC95" s="335">
        <f>IF(AND(A95="",A94&lt;&gt;"",COUNTIF(A96:$A$200,"&lt;&gt;")=0),ROUND(SUMIF($A$2:A94,"&lt;&gt;",$AC$2:AC94),2),IF(OR(AB95="",C95="",NOT(ISNUMBER($Z$2))),"",ROUND(AB95*C95*$Z$2,2)))</f>
        <v/>
      </c>
      <c r="AD95" s="155">
        <f>IF(A95="","",posicao_contratual!E95)</f>
        <v/>
      </c>
      <c r="AE95" s="155">
        <f>IF(A95="","",posicao_contratual!I95)</f>
        <v/>
      </c>
      <c r="AF95" s="155">
        <f>IF(A95="","",posicao_contratual!M95)</f>
        <v/>
      </c>
      <c r="AG95" s="155">
        <f>IF(A95="","",posicao_contratual!Q95)</f>
        <v/>
      </c>
      <c r="AH95" s="155">
        <f>IF(A95="","",posicao_contratual!U95)</f>
        <v/>
      </c>
      <c r="AI95" s="155">
        <f>IF(A95="","",posicao_contratual!G95)</f>
        <v/>
      </c>
      <c r="AJ95" s="155">
        <f>IF(A95="","",posicao_contratual!K95)</f>
        <v/>
      </c>
      <c r="AK95" s="155">
        <f>IF(A95="","",posicao_contratual!O95)</f>
        <v/>
      </c>
      <c r="AL95" s="155">
        <f>IF(A95="","",posicao_contratual!S95)</f>
        <v/>
      </c>
      <c r="AM95" s="155">
        <f>IF(A95="","",posicao_contratual!W95)</f>
        <v/>
      </c>
      <c r="AN95" s="156">
        <f>IF(A95="","",posicao_contratual!X95)</f>
        <v/>
      </c>
      <c r="AO95">
        <f>IF($A95="","",ROUND(SUMIFS(itens_Consumidos!$E$2:$E$200,itens_Consumidos!$A$2:$A$200,$A95),2))</f>
        <v/>
      </c>
      <c r="AP95">
        <f>IF(OR($A95="",AB95=""),"",ROUND(MAX(AB95-AO95,0),2))</f>
        <v/>
      </c>
      <c r="AQ95">
        <f>IF(OR($A95="",AB95="",MEMORIA_RESULTADOS!$I$258=""),"",ROUND(AB95*$C95*(MEMORIA_RESULTADOS!$I$258-1),2))</f>
        <v/>
      </c>
      <c r="AR95">
        <f>IF(OR($A95="",AP95="",MEMORIA_RESULTADOS!$I$258=""),"",ROUND(AP95*$C95*(parametros!$F$2-MEMORIA_RESULTADOS!$I$258),2))</f>
        <v/>
      </c>
      <c r="AS95">
        <f>IF($A95="","",ROUND(SUMIFS(itens_Consumidos!$G$2:$G$200,itens_Consumidos!$A$2:$A$200,$A95),2))</f>
        <v/>
      </c>
      <c r="AT95">
        <f>IF(OR($A95="",M95=""),"",ROUND(MAX(M95-AS95,0),2))</f>
        <v/>
      </c>
      <c r="AU95">
        <f>IF(OR($A95="",M95="",MEMORIA_RESULTADOS!$I$259=""),"",ROUND(M95*$C95*(MEMORIA_RESULTADOS!$I$259-1),2))</f>
        <v/>
      </c>
      <c r="AV95">
        <f>IF(OR($A95="",AT95="",MEMORIA_RESULTADOS!$I$259=""),"",ROUND(AT95*$C95*(parametros!$F$3-MEMORIA_RESULTADOS!$I$259),2))</f>
        <v/>
      </c>
      <c r="AW95">
        <f>IF($A95="","",ROUND(SUMIFS(itens_Consumidos!$I$2:$I$200,itens_Consumidos!$A$2:$A$200,$A95),2))</f>
        <v/>
      </c>
      <c r="AX95">
        <f>IF(OR($A95="",O95=""),"",ROUND(MAX(O95-AW95,0),2))</f>
        <v/>
      </c>
      <c r="AY95">
        <f>IF(OR($A95="",O95="",MEMORIA_RESULTADOS!$I$260=""),"",ROUND(O95*$C95*(MEMORIA_RESULTADOS!$I$260-1),2))</f>
        <v/>
      </c>
      <c r="AZ95">
        <f>IF(OR($A95="",AX95="",MEMORIA_RESULTADOS!$I$260=""),"",ROUND(AX95*$C95*(parametros!$F$4-MEMORIA_RESULTADOS!$I$260),2))</f>
        <v/>
      </c>
      <c r="BA95">
        <f>IF($A95="","",ROUND(SUMIFS(itens_Consumidos!$K$2:$K$200,itens_Consumidos!$A$2:$A$200,$A95),2))</f>
        <v/>
      </c>
      <c r="BB95">
        <f>IF(OR($A95="",Q95=""),"",ROUND(MAX(Q95-BA95,0),2))</f>
        <v/>
      </c>
      <c r="BC95">
        <f>IF(OR($A95="",Q95="",MEMORIA_RESULTADOS!$I$261=""),"",ROUND(Q95*$C95*(MEMORIA_RESULTADOS!$I$261-1),2))</f>
        <v/>
      </c>
      <c r="BD95">
        <f>IF(OR($A95="",BB95="",MEMORIA_RESULTADOS!$I$261=""),"",ROUND(BB95*$C95*(parametros!$F$5-MEMORIA_RESULTADOS!$I$261),2))</f>
        <v/>
      </c>
      <c r="BE95">
        <f>IF($A95="","",ROUND(SUMIFS(itens_Consumidos!$M$2:$M$200,itens_Consumidos!$A$2:$A$200,$A95),2))</f>
        <v/>
      </c>
      <c r="BF95">
        <f>IF(OR($A95="",S95=""),"",ROUND(MAX(S95-BE95,0),2))</f>
        <v/>
      </c>
      <c r="BG95">
        <f>IF(OR($A95="",S95="",MEMORIA_RESULTADOS!$I$262=""),"",ROUND(S95*$C95*(MEMORIA_RESULTADOS!$I$262-1),2))</f>
        <v/>
      </c>
      <c r="BH95">
        <f>IF(OR($A95="",BF95="",MEMORIA_RESULTADOS!$I$262=""),"",ROUND(BF95*$C95*(parametros!$F$6-MEMORIA_RESULTADOS!$I$262),2))</f>
        <v/>
      </c>
    </row>
    <row r="96">
      <c r="A96" s="86" t="n"/>
      <c r="B96" s="87">
        <f>IF(AND(LEN(TRIM($A96))=4,LEFT(TRIM($A96),1)="N",ISNUMBER(--MID(TRIM($A96),2,3)),ISERROR(FIND(".",$A96)),ISERROR(FIND(",",$A96)),ISERROR(FIND("-",$A96)),ISERROR(FIND("+",$A96)),ISERROR(SEARCH("E",$A96,2)),ISERROR(FIND(" ",TRIM($A96)))),0,"")</f>
        <v/>
      </c>
      <c r="C96" s="339" t="n"/>
      <c r="D96" s="335">
        <f>IF(AND(A96="",A95&lt;&gt;"",COUNTIF(A97:$A$200,"&lt;&gt;")=0),ROUND(SUMIF($A$2:A95,"&lt;&gt;",$D$2:D95),2),IF(OR(A96="",B96="",C96=""),"",ROUND(B96*C96,2)))</f>
        <v/>
      </c>
      <c r="E96" s="89" t="n"/>
      <c r="F96" s="335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 t="n"/>
      <c r="H96" s="335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 t="n"/>
      <c r="J96" s="335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 t="n"/>
      <c r="L96" s="335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>
        <f>IF(OR(posicao_contratual!J96="",posicao_contratual!N96=""),"",ROUND(MAX(posicao_contratual!J96+posicao_contratual!H96-posicao_contratual!N96,0),2))</f>
        <v/>
      </c>
      <c r="N96" s="335">
        <f>IF(AND(A96="",A95&lt;&gt;"",COUNTIF(A97:$A$200,"&lt;&gt;")=0),ROUND(SUMIF($A$2:A95,"&lt;&gt;",$N$2:N95),2),IF(OR(M96="",C96="",NOT(ISNUMBER($Z$3))),"",ROUND(M96*C96*$Z$3,2)))</f>
        <v/>
      </c>
      <c r="O96" s="90">
        <f>IF(OR(posicao_contratual!N96="",posicao_contratual!R96=""),"",ROUND(MAX(posicao_contratual!N96+posicao_contratual!L96-posicao_contratual!R96,0),2))</f>
        <v/>
      </c>
      <c r="P96" s="335">
        <f>IF(AND(A96="",A95&lt;&gt;"",COUNTIF(A97:$A$200,"&lt;&gt;")=0),ROUND(SUMIF($A$2:A95,"&lt;&gt;",$P$2:P95),2),IF(OR(O96="",C96="",NOT(ISNUMBER($Z$4))),"",ROUND(O96*C96*$Z$4,2)))</f>
        <v/>
      </c>
      <c r="Q96" s="90">
        <f>IF(OR(posicao_contratual!R96="",posicao_contratual!V96=""),"",ROUND(MAX(posicao_contratual!R96+posicao_contratual!P96-posicao_contratual!V96,0),2))</f>
        <v/>
      </c>
      <c r="R96" s="335">
        <f>IF(AND(A96="",A95&lt;&gt;"",COUNTIF(A97:$A$200,"&lt;&gt;")=0),ROUND(SUMIF($A$2:A95,"&lt;&gt;",$R$2:R95),2),IF(OR(Q96="",C96="",NOT(ISNUMBER($Z$5))),"",ROUND(Q96*C96*$Z$5,2)))</f>
        <v/>
      </c>
      <c r="S96" s="22" t="n"/>
      <c r="T96" s="340" t="n"/>
      <c r="U96" s="91">
        <f>IF(AND(A96="",A95&lt;&gt;"",COUNTIF(A97:$A$200,"&lt;&gt;")=0),"TOTAL",IF(A96="","",posicao_contratual!X96))</f>
        <v/>
      </c>
      <c r="V96" s="91">
        <f>IF(A96="","",posicao_contratual!X96)</f>
        <v/>
      </c>
      <c r="W96" s="14" t="n"/>
      <c r="X96" s="14" t="n"/>
      <c r="Y96" s="14" t="n"/>
      <c r="Z96" s="13" t="n"/>
      <c r="AA96" s="13" t="n"/>
      <c r="AB96" s="90">
        <f>IF(OR(A96="",posicao_contratual!E96="",posicao_contratual!J96=""),"",ROUND(MAX(posicao_contratual!E96-posicao_contratual!J96,0),2))</f>
        <v/>
      </c>
      <c r="AC96" s="335">
        <f>IF(AND(A96="",A95&lt;&gt;"",COUNTIF(A97:$A$200,"&lt;&gt;")=0),ROUND(SUMIF($A$2:A95,"&lt;&gt;",$AC$2:AC95),2),IF(OR(AB96="",C96="",NOT(ISNUMBER($Z$2))),"",ROUND(AB96*C96*$Z$2,2)))</f>
        <v/>
      </c>
      <c r="AD96" s="155">
        <f>IF(A96="","",posicao_contratual!E96)</f>
        <v/>
      </c>
      <c r="AE96" s="155">
        <f>IF(A96="","",posicao_contratual!I96)</f>
        <v/>
      </c>
      <c r="AF96" s="155">
        <f>IF(A96="","",posicao_contratual!M96)</f>
        <v/>
      </c>
      <c r="AG96" s="155">
        <f>IF(A96="","",posicao_contratual!Q96)</f>
        <v/>
      </c>
      <c r="AH96" s="155">
        <f>IF(A96="","",posicao_contratual!U96)</f>
        <v/>
      </c>
      <c r="AI96" s="155">
        <f>IF(A96="","",posicao_contratual!G96)</f>
        <v/>
      </c>
      <c r="AJ96" s="155">
        <f>IF(A96="","",posicao_contratual!K96)</f>
        <v/>
      </c>
      <c r="AK96" s="155">
        <f>IF(A96="","",posicao_contratual!O96)</f>
        <v/>
      </c>
      <c r="AL96" s="155">
        <f>IF(A96="","",posicao_contratual!S96)</f>
        <v/>
      </c>
      <c r="AM96" s="155">
        <f>IF(A96="","",posicao_contratual!W96)</f>
        <v/>
      </c>
      <c r="AN96" s="156">
        <f>IF(A96="","",posicao_contratual!X96)</f>
        <v/>
      </c>
      <c r="AO96">
        <f>IF($A96="","",ROUND(SUMIFS(itens_Consumidos!$E$2:$E$200,itens_Consumidos!$A$2:$A$200,$A96),2))</f>
        <v/>
      </c>
      <c r="AP96">
        <f>IF(OR($A96="",AB96=""),"",ROUND(MAX(AB96-AO96,0),2))</f>
        <v/>
      </c>
      <c r="AQ96">
        <f>IF(OR($A96="",AB96="",MEMORIA_RESULTADOS!$I$258=""),"",ROUND(AB96*$C96*(MEMORIA_RESULTADOS!$I$258-1),2))</f>
        <v/>
      </c>
      <c r="AR96">
        <f>IF(OR($A96="",AP96="",MEMORIA_RESULTADOS!$I$258=""),"",ROUND(AP96*$C96*(parametros!$F$2-MEMORIA_RESULTADOS!$I$258),2))</f>
        <v/>
      </c>
      <c r="AS96">
        <f>IF($A96="","",ROUND(SUMIFS(itens_Consumidos!$G$2:$G$200,itens_Consumidos!$A$2:$A$200,$A96),2))</f>
        <v/>
      </c>
      <c r="AT96">
        <f>IF(OR($A96="",M96=""),"",ROUND(MAX(M96-AS96,0),2))</f>
        <v/>
      </c>
      <c r="AU96">
        <f>IF(OR($A96="",M96="",MEMORIA_RESULTADOS!$I$259=""),"",ROUND(M96*$C96*(MEMORIA_RESULTADOS!$I$259-1),2))</f>
        <v/>
      </c>
      <c r="AV96">
        <f>IF(OR($A96="",AT96="",MEMORIA_RESULTADOS!$I$259=""),"",ROUND(AT96*$C96*(parametros!$F$3-MEMORIA_RESULTADOS!$I$259),2))</f>
        <v/>
      </c>
      <c r="AW96">
        <f>IF($A96="","",ROUND(SUMIFS(itens_Consumidos!$I$2:$I$200,itens_Consumidos!$A$2:$A$200,$A96),2))</f>
        <v/>
      </c>
      <c r="AX96">
        <f>IF(OR($A96="",O96=""),"",ROUND(MAX(O96-AW96,0),2))</f>
        <v/>
      </c>
      <c r="AY96">
        <f>IF(OR($A96="",O96="",MEMORIA_RESULTADOS!$I$260=""),"",ROUND(O96*$C96*(MEMORIA_RESULTADOS!$I$260-1),2))</f>
        <v/>
      </c>
      <c r="AZ96">
        <f>IF(OR($A96="",AX96="",MEMORIA_RESULTADOS!$I$260=""),"",ROUND(AX96*$C96*(parametros!$F$4-MEMORIA_RESULTADOS!$I$260),2))</f>
        <v/>
      </c>
      <c r="BA96">
        <f>IF($A96="","",ROUND(SUMIFS(itens_Consumidos!$K$2:$K$200,itens_Consumidos!$A$2:$A$200,$A96),2))</f>
        <v/>
      </c>
      <c r="BB96">
        <f>IF(OR($A96="",Q96=""),"",ROUND(MAX(Q96-BA96,0),2))</f>
        <v/>
      </c>
      <c r="BC96">
        <f>IF(OR($A96="",Q96="",MEMORIA_RESULTADOS!$I$261=""),"",ROUND(Q96*$C96*(MEMORIA_RESULTADOS!$I$261-1),2))</f>
        <v/>
      </c>
      <c r="BD96">
        <f>IF(OR($A96="",BB96="",MEMORIA_RESULTADOS!$I$261=""),"",ROUND(BB96*$C96*(parametros!$F$5-MEMORIA_RESULTADOS!$I$261),2))</f>
        <v/>
      </c>
      <c r="BE96">
        <f>IF($A96="","",ROUND(SUMIFS(itens_Consumidos!$M$2:$M$200,itens_Consumidos!$A$2:$A$200,$A96),2))</f>
        <v/>
      </c>
      <c r="BF96">
        <f>IF(OR($A96="",S96=""),"",ROUND(MAX(S96-BE96,0),2))</f>
        <v/>
      </c>
      <c r="BG96">
        <f>IF(OR($A96="",S96="",MEMORIA_RESULTADOS!$I$262=""),"",ROUND(S96*$C96*(MEMORIA_RESULTADOS!$I$262-1),2))</f>
        <v/>
      </c>
      <c r="BH96">
        <f>IF(OR($A96="",BF96="",MEMORIA_RESULTADOS!$I$262=""),"",ROUND(BF96*$C96*(parametros!$F$6-MEMORIA_RESULTADOS!$I$262),2))</f>
        <v/>
      </c>
    </row>
    <row r="97">
      <c r="A97" s="86" t="n"/>
      <c r="B97" s="87">
        <f>IF(AND(LEN(TRIM($A97))=4,LEFT(TRIM($A97),1)="N",ISNUMBER(--MID(TRIM($A97),2,3)),ISERROR(FIND(".",$A97)),ISERROR(FIND(",",$A97)),ISERROR(FIND("-",$A97)),ISERROR(FIND("+",$A97)),ISERROR(SEARCH("E",$A97,2)),ISERROR(FIND(" ",TRIM($A97)))),0,"")</f>
        <v/>
      </c>
      <c r="C97" s="339" t="n"/>
      <c r="D97" s="335">
        <f>IF(AND(A97="",A96&lt;&gt;"",COUNTIF(A98:$A$200,"&lt;&gt;")=0),ROUND(SUMIF($A$2:A96,"&lt;&gt;",$D$2:D96),2),IF(OR(A97="",B97="",C97=""),"",ROUND(B97*C97,2)))</f>
        <v/>
      </c>
      <c r="E97" s="89" t="n"/>
      <c r="F97" s="335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 t="n"/>
      <c r="H97" s="335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 t="n"/>
      <c r="J97" s="335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 t="n"/>
      <c r="L97" s="335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>
        <f>IF(OR(posicao_contratual!J97="",posicao_contratual!N97=""),"",ROUND(MAX(posicao_contratual!J97+posicao_contratual!H97-posicao_contratual!N97,0),2))</f>
        <v/>
      </c>
      <c r="N97" s="335">
        <f>IF(AND(A97="",A96&lt;&gt;"",COUNTIF(A98:$A$200,"&lt;&gt;")=0),ROUND(SUMIF($A$2:A96,"&lt;&gt;",$N$2:N96),2),IF(OR(M97="",C97="",NOT(ISNUMBER($Z$3))),"",ROUND(M97*C97*$Z$3,2)))</f>
        <v/>
      </c>
      <c r="O97" s="90">
        <f>IF(OR(posicao_contratual!N97="",posicao_contratual!R97=""),"",ROUND(MAX(posicao_contratual!N97+posicao_contratual!L97-posicao_contratual!R97,0),2))</f>
        <v/>
      </c>
      <c r="P97" s="335">
        <f>IF(AND(A97="",A96&lt;&gt;"",COUNTIF(A98:$A$200,"&lt;&gt;")=0),ROUND(SUMIF($A$2:A96,"&lt;&gt;",$P$2:P96),2),IF(OR(O97="",C97="",NOT(ISNUMBER($Z$4))),"",ROUND(O97*C97*$Z$4,2)))</f>
        <v/>
      </c>
      <c r="Q97" s="90">
        <f>IF(OR(posicao_contratual!R97="",posicao_contratual!V97=""),"",ROUND(MAX(posicao_contratual!R97+posicao_contratual!P97-posicao_contratual!V97,0),2))</f>
        <v/>
      </c>
      <c r="R97" s="335">
        <f>IF(AND(A97="",A96&lt;&gt;"",COUNTIF(A98:$A$200,"&lt;&gt;")=0),ROUND(SUMIF($A$2:A96,"&lt;&gt;",$R$2:R96),2),IF(OR(Q97="",C97="",NOT(ISNUMBER($Z$5))),"",ROUND(Q97*C97*$Z$5,2)))</f>
        <v/>
      </c>
      <c r="S97" s="22" t="n"/>
      <c r="T97" s="340" t="n"/>
      <c r="U97" s="91">
        <f>IF(AND(A97="",A96&lt;&gt;"",COUNTIF(A98:$A$200,"&lt;&gt;")=0),"TOTAL",IF(A97="","",posicao_contratual!X97))</f>
        <v/>
      </c>
      <c r="V97" s="91">
        <f>IF(A97="","",posicao_contratual!X97)</f>
        <v/>
      </c>
      <c r="W97" s="14" t="n"/>
      <c r="X97" s="14" t="n"/>
      <c r="Y97" s="14" t="n"/>
      <c r="Z97" s="13" t="n"/>
      <c r="AA97" s="13" t="n"/>
      <c r="AB97" s="90">
        <f>IF(OR(A97="",posicao_contratual!E97="",posicao_contratual!J97=""),"",ROUND(MAX(posicao_contratual!E97-posicao_contratual!J97,0),2))</f>
        <v/>
      </c>
      <c r="AC97" s="335">
        <f>IF(AND(A97="",A96&lt;&gt;"",COUNTIF(A98:$A$200,"&lt;&gt;")=0),ROUND(SUMIF($A$2:A96,"&lt;&gt;",$AC$2:AC96),2),IF(OR(AB97="",C97="",NOT(ISNUMBER($Z$2))),"",ROUND(AB97*C97*$Z$2,2)))</f>
        <v/>
      </c>
      <c r="AD97" s="155">
        <f>IF(A97="","",posicao_contratual!E97)</f>
        <v/>
      </c>
      <c r="AE97" s="155">
        <f>IF(A97="","",posicao_contratual!I97)</f>
        <v/>
      </c>
      <c r="AF97" s="155">
        <f>IF(A97="","",posicao_contratual!M97)</f>
        <v/>
      </c>
      <c r="AG97" s="155">
        <f>IF(A97="","",posicao_contratual!Q97)</f>
        <v/>
      </c>
      <c r="AH97" s="155">
        <f>IF(A97="","",posicao_contratual!U97)</f>
        <v/>
      </c>
      <c r="AI97" s="155">
        <f>IF(A97="","",posicao_contratual!G97)</f>
        <v/>
      </c>
      <c r="AJ97" s="155">
        <f>IF(A97="","",posicao_contratual!K97)</f>
        <v/>
      </c>
      <c r="AK97" s="155">
        <f>IF(A97="","",posicao_contratual!O97)</f>
        <v/>
      </c>
      <c r="AL97" s="155">
        <f>IF(A97="","",posicao_contratual!S97)</f>
        <v/>
      </c>
      <c r="AM97" s="155">
        <f>IF(A97="","",posicao_contratual!W97)</f>
        <v/>
      </c>
      <c r="AN97" s="156">
        <f>IF(A97="","",posicao_contratual!X97)</f>
        <v/>
      </c>
      <c r="AO97">
        <f>IF($A97="","",ROUND(SUMIFS(itens_Consumidos!$E$2:$E$200,itens_Consumidos!$A$2:$A$200,$A97),2))</f>
        <v/>
      </c>
      <c r="AP97">
        <f>IF(OR($A97="",AB97=""),"",ROUND(MAX(AB97-AO97,0),2))</f>
        <v/>
      </c>
      <c r="AQ97">
        <f>IF(OR($A97="",AB97="",MEMORIA_RESULTADOS!$I$258=""),"",ROUND(AB97*$C97*(MEMORIA_RESULTADOS!$I$258-1),2))</f>
        <v/>
      </c>
      <c r="AR97">
        <f>IF(OR($A97="",AP97="",MEMORIA_RESULTADOS!$I$258=""),"",ROUND(AP97*$C97*(parametros!$F$2-MEMORIA_RESULTADOS!$I$258),2))</f>
        <v/>
      </c>
      <c r="AS97">
        <f>IF($A97="","",ROUND(SUMIFS(itens_Consumidos!$G$2:$G$200,itens_Consumidos!$A$2:$A$200,$A97),2))</f>
        <v/>
      </c>
      <c r="AT97">
        <f>IF(OR($A97="",M97=""),"",ROUND(MAX(M97-AS97,0),2))</f>
        <v/>
      </c>
      <c r="AU97">
        <f>IF(OR($A97="",M97="",MEMORIA_RESULTADOS!$I$259=""),"",ROUND(M97*$C97*(MEMORIA_RESULTADOS!$I$259-1),2))</f>
        <v/>
      </c>
      <c r="AV97">
        <f>IF(OR($A97="",AT97="",MEMORIA_RESULTADOS!$I$259=""),"",ROUND(AT97*$C97*(parametros!$F$3-MEMORIA_RESULTADOS!$I$259),2))</f>
        <v/>
      </c>
      <c r="AW97">
        <f>IF($A97="","",ROUND(SUMIFS(itens_Consumidos!$I$2:$I$200,itens_Consumidos!$A$2:$A$200,$A97),2))</f>
        <v/>
      </c>
      <c r="AX97">
        <f>IF(OR($A97="",O97=""),"",ROUND(MAX(O97-AW97,0),2))</f>
        <v/>
      </c>
      <c r="AY97">
        <f>IF(OR($A97="",O97="",MEMORIA_RESULTADOS!$I$260=""),"",ROUND(O97*$C97*(MEMORIA_RESULTADOS!$I$260-1),2))</f>
        <v/>
      </c>
      <c r="AZ97">
        <f>IF(OR($A97="",AX97="",MEMORIA_RESULTADOS!$I$260=""),"",ROUND(AX97*$C97*(parametros!$F$4-MEMORIA_RESULTADOS!$I$260),2))</f>
        <v/>
      </c>
      <c r="BA97">
        <f>IF($A97="","",ROUND(SUMIFS(itens_Consumidos!$K$2:$K$200,itens_Consumidos!$A$2:$A$200,$A97),2))</f>
        <v/>
      </c>
      <c r="BB97">
        <f>IF(OR($A97="",Q97=""),"",ROUND(MAX(Q97-BA97,0),2))</f>
        <v/>
      </c>
      <c r="BC97">
        <f>IF(OR($A97="",Q97="",MEMORIA_RESULTADOS!$I$261=""),"",ROUND(Q97*$C97*(MEMORIA_RESULTADOS!$I$261-1),2))</f>
        <v/>
      </c>
      <c r="BD97">
        <f>IF(OR($A97="",BB97="",MEMORIA_RESULTADOS!$I$261=""),"",ROUND(BB97*$C97*(parametros!$F$5-MEMORIA_RESULTADOS!$I$261),2))</f>
        <v/>
      </c>
      <c r="BE97">
        <f>IF($A97="","",ROUND(SUMIFS(itens_Consumidos!$M$2:$M$200,itens_Consumidos!$A$2:$A$200,$A97),2))</f>
        <v/>
      </c>
      <c r="BF97">
        <f>IF(OR($A97="",S97=""),"",ROUND(MAX(S97-BE97,0),2))</f>
        <v/>
      </c>
      <c r="BG97">
        <f>IF(OR($A97="",S97="",MEMORIA_RESULTADOS!$I$262=""),"",ROUND(S97*$C97*(MEMORIA_RESULTADOS!$I$262-1),2))</f>
        <v/>
      </c>
      <c r="BH97">
        <f>IF(OR($A97="",BF97="",MEMORIA_RESULTADOS!$I$262=""),"",ROUND(BF97*$C97*(parametros!$F$6-MEMORIA_RESULTADOS!$I$262),2))</f>
        <v/>
      </c>
    </row>
    <row r="98">
      <c r="A98" s="86" t="n"/>
      <c r="B98" s="87">
        <f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339" t="n"/>
      <c r="D98" s="335">
        <f>IF(AND(A98="",A97&lt;&gt;"",COUNTIF(A99:$A$200,"&lt;&gt;")=0),ROUND(SUMIF($A$2:A97,"&lt;&gt;",$D$2:D97),2),IF(OR(A98="",B98="",C98=""),"",ROUND(B98*C98,2)))</f>
        <v/>
      </c>
      <c r="E98" s="89" t="n"/>
      <c r="F98" s="335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 t="n"/>
      <c r="H98" s="335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 t="n"/>
      <c r="J98" s="335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 t="n"/>
      <c r="L98" s="335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>
        <f>IF(OR(posicao_contratual!J98="",posicao_contratual!N98=""),"",ROUND(MAX(posicao_contratual!J98+posicao_contratual!H98-posicao_contratual!N98,0),2))</f>
        <v/>
      </c>
      <c r="N98" s="335">
        <f>IF(AND(A98="",A97&lt;&gt;"",COUNTIF(A99:$A$200,"&lt;&gt;")=0),ROUND(SUMIF($A$2:A97,"&lt;&gt;",$N$2:N97),2),IF(OR(M98="",C98="",NOT(ISNUMBER($Z$3))),"",ROUND(M98*C98*$Z$3,2)))</f>
        <v/>
      </c>
      <c r="O98" s="90">
        <f>IF(OR(posicao_contratual!N98="",posicao_contratual!R98=""),"",ROUND(MAX(posicao_contratual!N98+posicao_contratual!L98-posicao_contratual!R98,0),2))</f>
        <v/>
      </c>
      <c r="P98" s="335">
        <f>IF(AND(A98="",A97&lt;&gt;"",COUNTIF(A99:$A$200,"&lt;&gt;")=0),ROUND(SUMIF($A$2:A97,"&lt;&gt;",$P$2:P97),2),IF(OR(O98="",C98="",NOT(ISNUMBER($Z$4))),"",ROUND(O98*C98*$Z$4,2)))</f>
        <v/>
      </c>
      <c r="Q98" s="90">
        <f>IF(OR(posicao_contratual!R98="",posicao_contratual!V98=""),"",ROUND(MAX(posicao_contratual!R98+posicao_contratual!P98-posicao_contratual!V98,0),2))</f>
        <v/>
      </c>
      <c r="R98" s="335">
        <f>IF(AND(A98="",A97&lt;&gt;"",COUNTIF(A99:$A$200,"&lt;&gt;")=0),ROUND(SUMIF($A$2:A97,"&lt;&gt;",$R$2:R97),2),IF(OR(Q98="",C98="",NOT(ISNUMBER($Z$5))),"",ROUND(Q98*C98*$Z$5,2)))</f>
        <v/>
      </c>
      <c r="S98" s="22" t="n"/>
      <c r="T98" s="340" t="n"/>
      <c r="U98" s="91">
        <f>IF(AND(A98="",A97&lt;&gt;"",COUNTIF(A99:$A$200,"&lt;&gt;")=0),"TOTAL",IF(A98="","",posicao_contratual!X98))</f>
        <v/>
      </c>
      <c r="V98" s="91">
        <f>IF(A98="","",posicao_contratual!X98)</f>
        <v/>
      </c>
      <c r="W98" s="14" t="n"/>
      <c r="X98" s="14" t="n"/>
      <c r="Y98" s="14" t="n"/>
      <c r="Z98" s="13" t="n"/>
      <c r="AA98" s="13" t="n"/>
      <c r="AB98" s="90">
        <f>IF(OR(A98="",posicao_contratual!E98="",posicao_contratual!J98=""),"",ROUND(MAX(posicao_contratual!E98-posicao_contratual!J98,0),2))</f>
        <v/>
      </c>
      <c r="AC98" s="335">
        <f>IF(AND(A98="",A97&lt;&gt;"",COUNTIF(A99:$A$200,"&lt;&gt;")=0),ROUND(SUMIF($A$2:A97,"&lt;&gt;",$AC$2:AC97),2),IF(OR(AB98="",C98="",NOT(ISNUMBER($Z$2))),"",ROUND(AB98*C98*$Z$2,2)))</f>
        <v/>
      </c>
      <c r="AD98" s="155">
        <f>IF(A98="","",posicao_contratual!E98)</f>
        <v/>
      </c>
      <c r="AE98" s="155">
        <f>IF(A98="","",posicao_contratual!I98)</f>
        <v/>
      </c>
      <c r="AF98" s="155">
        <f>IF(A98="","",posicao_contratual!M98)</f>
        <v/>
      </c>
      <c r="AG98" s="155">
        <f>IF(A98="","",posicao_contratual!Q98)</f>
        <v/>
      </c>
      <c r="AH98" s="155">
        <f>IF(A98="","",posicao_contratual!U98)</f>
        <v/>
      </c>
      <c r="AI98" s="155">
        <f>IF(A98="","",posicao_contratual!G98)</f>
        <v/>
      </c>
      <c r="AJ98" s="155">
        <f>IF(A98="","",posicao_contratual!K98)</f>
        <v/>
      </c>
      <c r="AK98" s="155">
        <f>IF(A98="","",posicao_contratual!O98)</f>
        <v/>
      </c>
      <c r="AL98" s="155">
        <f>IF(A98="","",posicao_contratual!S98)</f>
        <v/>
      </c>
      <c r="AM98" s="155">
        <f>IF(A98="","",posicao_contratual!W98)</f>
        <v/>
      </c>
      <c r="AN98" s="156">
        <f>IF(A98="","",posicao_contratual!X98)</f>
        <v/>
      </c>
      <c r="AO98">
        <f>IF($A98="","",ROUND(SUMIFS(itens_Consumidos!$E$2:$E$200,itens_Consumidos!$A$2:$A$200,$A98),2))</f>
        <v/>
      </c>
      <c r="AP98">
        <f>IF(OR($A98="",AB98=""),"",ROUND(MAX(AB98-AO98,0),2))</f>
        <v/>
      </c>
      <c r="AQ98">
        <f>IF(OR($A98="",AB98="",MEMORIA_RESULTADOS!$I$258=""),"",ROUND(AB98*$C98*(MEMORIA_RESULTADOS!$I$258-1),2))</f>
        <v/>
      </c>
      <c r="AR98">
        <f>IF(OR($A98="",AP98="",MEMORIA_RESULTADOS!$I$258=""),"",ROUND(AP98*$C98*(parametros!$F$2-MEMORIA_RESULTADOS!$I$258),2))</f>
        <v/>
      </c>
      <c r="AS98">
        <f>IF($A98="","",ROUND(SUMIFS(itens_Consumidos!$G$2:$G$200,itens_Consumidos!$A$2:$A$200,$A98),2))</f>
        <v/>
      </c>
      <c r="AT98">
        <f>IF(OR($A98="",M98=""),"",ROUND(MAX(M98-AS98,0),2))</f>
        <v/>
      </c>
      <c r="AU98">
        <f>IF(OR($A98="",M98="",MEMORIA_RESULTADOS!$I$259=""),"",ROUND(M98*$C98*(MEMORIA_RESULTADOS!$I$259-1),2))</f>
        <v/>
      </c>
      <c r="AV98">
        <f>IF(OR($A98="",AT98="",MEMORIA_RESULTADOS!$I$259=""),"",ROUND(AT98*$C98*(parametros!$F$3-MEMORIA_RESULTADOS!$I$259),2))</f>
        <v/>
      </c>
      <c r="AW98">
        <f>IF($A98="","",ROUND(SUMIFS(itens_Consumidos!$I$2:$I$200,itens_Consumidos!$A$2:$A$200,$A98),2))</f>
        <v/>
      </c>
      <c r="AX98">
        <f>IF(OR($A98="",O98=""),"",ROUND(MAX(O98-AW98,0),2))</f>
        <v/>
      </c>
      <c r="AY98">
        <f>IF(OR($A98="",O98="",MEMORIA_RESULTADOS!$I$260=""),"",ROUND(O98*$C98*(MEMORIA_RESULTADOS!$I$260-1),2))</f>
        <v/>
      </c>
      <c r="AZ98">
        <f>IF(OR($A98="",AX98="",MEMORIA_RESULTADOS!$I$260=""),"",ROUND(AX98*$C98*(parametros!$F$4-MEMORIA_RESULTADOS!$I$260),2))</f>
        <v/>
      </c>
      <c r="BA98">
        <f>IF($A98="","",ROUND(SUMIFS(itens_Consumidos!$K$2:$K$200,itens_Consumidos!$A$2:$A$200,$A98),2))</f>
        <v/>
      </c>
      <c r="BB98">
        <f>IF(OR($A98="",Q98=""),"",ROUND(MAX(Q98-BA98,0),2))</f>
        <v/>
      </c>
      <c r="BC98">
        <f>IF(OR($A98="",Q98="",MEMORIA_RESULTADOS!$I$261=""),"",ROUND(Q98*$C98*(MEMORIA_RESULTADOS!$I$261-1),2))</f>
        <v/>
      </c>
      <c r="BD98">
        <f>IF(OR($A98="",BB98="",MEMORIA_RESULTADOS!$I$261=""),"",ROUND(BB98*$C98*(parametros!$F$5-MEMORIA_RESULTADOS!$I$261),2))</f>
        <v/>
      </c>
      <c r="BE98">
        <f>IF($A98="","",ROUND(SUMIFS(itens_Consumidos!$M$2:$M$200,itens_Consumidos!$A$2:$A$200,$A98),2))</f>
        <v/>
      </c>
      <c r="BF98">
        <f>IF(OR($A98="",S98=""),"",ROUND(MAX(S98-BE98,0),2))</f>
        <v/>
      </c>
      <c r="BG98">
        <f>IF(OR($A98="",S98="",MEMORIA_RESULTADOS!$I$262=""),"",ROUND(S98*$C98*(MEMORIA_RESULTADOS!$I$262-1),2))</f>
        <v/>
      </c>
      <c r="BH98">
        <f>IF(OR($A98="",BF98="",MEMORIA_RESULTADOS!$I$262=""),"",ROUND(BF98*$C98*(parametros!$F$6-MEMORIA_RESULTADOS!$I$262),2))</f>
        <v/>
      </c>
    </row>
    <row r="99">
      <c r="A99" s="86" t="n"/>
      <c r="B99" s="87">
        <f>IF(AND(LEN(TRIM($A99))=4,LEFT(TRIM($A99),1)="N",ISNUMBER(--MID(TRIM($A99),2,3)),ISERROR(FIND(".",$A99)),ISERROR(FIND(",",$A99)),ISERROR(FIND("-",$A99)),ISERROR(FIND("+",$A99)),ISERROR(SEARCH("E",$A99,2)),ISERROR(FIND(" ",TRIM($A99)))),0,"")</f>
        <v/>
      </c>
      <c r="C99" s="339" t="n"/>
      <c r="D99" s="335">
        <f>IF(AND(A99="",A98&lt;&gt;"",COUNTIF(A100:$A$200,"&lt;&gt;")=0),ROUND(SUMIF($A$2:A98,"&lt;&gt;",$D$2:D98),2),IF(OR(A99="",B99="",C99=""),"",ROUND(B99*C99,2)))</f>
        <v/>
      </c>
      <c r="E99" s="89" t="n"/>
      <c r="F99" s="335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 t="n"/>
      <c r="H99" s="335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 t="n"/>
      <c r="J99" s="335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 t="n"/>
      <c r="L99" s="335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>
        <f>IF(OR(posicao_contratual!J99="",posicao_contratual!N99=""),"",ROUND(MAX(posicao_contratual!J99+posicao_contratual!H99-posicao_contratual!N99,0),2))</f>
        <v/>
      </c>
      <c r="N99" s="335">
        <f>IF(AND(A99="",A98&lt;&gt;"",COUNTIF(A100:$A$200,"&lt;&gt;")=0),ROUND(SUMIF($A$2:A98,"&lt;&gt;",$N$2:N98),2),IF(OR(M99="",C99="",NOT(ISNUMBER($Z$3))),"",ROUND(M99*C99*$Z$3,2)))</f>
        <v/>
      </c>
      <c r="O99" s="90">
        <f>IF(OR(posicao_contratual!N99="",posicao_contratual!R99=""),"",ROUND(MAX(posicao_contratual!N99+posicao_contratual!L99-posicao_contratual!R99,0),2))</f>
        <v/>
      </c>
      <c r="P99" s="335">
        <f>IF(AND(A99="",A98&lt;&gt;"",COUNTIF(A100:$A$200,"&lt;&gt;")=0),ROUND(SUMIF($A$2:A98,"&lt;&gt;",$P$2:P98),2),IF(OR(O99="",C99="",NOT(ISNUMBER($Z$4))),"",ROUND(O99*C99*$Z$4,2)))</f>
        <v/>
      </c>
      <c r="Q99" s="90">
        <f>IF(OR(posicao_contratual!R99="",posicao_contratual!V99=""),"",ROUND(MAX(posicao_contratual!R99+posicao_contratual!P99-posicao_contratual!V99,0),2))</f>
        <v/>
      </c>
      <c r="R99" s="335">
        <f>IF(AND(A99="",A98&lt;&gt;"",COUNTIF(A100:$A$200,"&lt;&gt;")=0),ROUND(SUMIF($A$2:A98,"&lt;&gt;",$R$2:R98),2),IF(OR(Q99="",C99="",NOT(ISNUMBER($Z$5))),"",ROUND(Q99*C99*$Z$5,2)))</f>
        <v/>
      </c>
      <c r="S99" s="22" t="n"/>
      <c r="T99" s="340" t="n"/>
      <c r="U99" s="91">
        <f>IF(AND(A99="",A98&lt;&gt;"",COUNTIF(A100:$A$200,"&lt;&gt;")=0),"TOTAL",IF(A99="","",posicao_contratual!X99))</f>
        <v/>
      </c>
      <c r="V99" s="91">
        <f>IF(A99="","",posicao_contratual!X99)</f>
        <v/>
      </c>
      <c r="W99" s="14" t="n"/>
      <c r="X99" s="14" t="n"/>
      <c r="Y99" s="14" t="n"/>
      <c r="Z99" s="13" t="n"/>
      <c r="AA99" s="13" t="n"/>
      <c r="AB99" s="90">
        <f>IF(OR(A99="",posicao_contratual!E99="",posicao_contratual!J99=""),"",ROUND(MAX(posicao_contratual!E99-posicao_contratual!J99,0),2))</f>
        <v/>
      </c>
      <c r="AC99" s="335">
        <f>IF(AND(A99="",A98&lt;&gt;"",COUNTIF(A100:$A$200,"&lt;&gt;")=0),ROUND(SUMIF($A$2:A98,"&lt;&gt;",$AC$2:AC98),2),IF(OR(AB99="",C99="",NOT(ISNUMBER($Z$2))),"",ROUND(AB99*C99*$Z$2,2)))</f>
        <v/>
      </c>
      <c r="AD99" s="155">
        <f>IF(A99="","",posicao_contratual!E99)</f>
        <v/>
      </c>
      <c r="AE99" s="155">
        <f>IF(A99="","",posicao_contratual!I99)</f>
        <v/>
      </c>
      <c r="AF99" s="155">
        <f>IF(A99="","",posicao_contratual!M99)</f>
        <v/>
      </c>
      <c r="AG99" s="155">
        <f>IF(A99="","",posicao_contratual!Q99)</f>
        <v/>
      </c>
      <c r="AH99" s="155">
        <f>IF(A99="","",posicao_contratual!U99)</f>
        <v/>
      </c>
      <c r="AI99" s="155">
        <f>IF(A99="","",posicao_contratual!G99)</f>
        <v/>
      </c>
      <c r="AJ99" s="155">
        <f>IF(A99="","",posicao_contratual!K99)</f>
        <v/>
      </c>
      <c r="AK99" s="155">
        <f>IF(A99="","",posicao_contratual!O99)</f>
        <v/>
      </c>
      <c r="AL99" s="155">
        <f>IF(A99="","",posicao_contratual!S99)</f>
        <v/>
      </c>
      <c r="AM99" s="155">
        <f>IF(A99="","",posicao_contratual!W99)</f>
        <v/>
      </c>
      <c r="AN99" s="156">
        <f>IF(A99="","",posicao_contratual!X99)</f>
        <v/>
      </c>
      <c r="AO99">
        <f>IF($A99="","",ROUND(SUMIFS(itens_Consumidos!$E$2:$E$200,itens_Consumidos!$A$2:$A$200,$A99),2))</f>
        <v/>
      </c>
      <c r="AP99">
        <f>IF(OR($A99="",AB99=""),"",ROUND(MAX(AB99-AO99,0),2))</f>
        <v/>
      </c>
      <c r="AQ99">
        <f>IF(OR($A99="",AB99="",MEMORIA_RESULTADOS!$I$258=""),"",ROUND(AB99*$C99*(MEMORIA_RESULTADOS!$I$258-1),2))</f>
        <v/>
      </c>
      <c r="AR99">
        <f>IF(OR($A99="",AP99="",MEMORIA_RESULTADOS!$I$258=""),"",ROUND(AP99*$C99*(parametros!$F$2-MEMORIA_RESULTADOS!$I$258),2))</f>
        <v/>
      </c>
      <c r="AS99">
        <f>IF($A99="","",ROUND(SUMIFS(itens_Consumidos!$G$2:$G$200,itens_Consumidos!$A$2:$A$200,$A99),2))</f>
        <v/>
      </c>
      <c r="AT99">
        <f>IF(OR($A99="",M99=""),"",ROUND(MAX(M99-AS99,0),2))</f>
        <v/>
      </c>
      <c r="AU99">
        <f>IF(OR($A99="",M99="",MEMORIA_RESULTADOS!$I$259=""),"",ROUND(M99*$C99*(MEMORIA_RESULTADOS!$I$259-1),2))</f>
        <v/>
      </c>
      <c r="AV99">
        <f>IF(OR($A99="",AT99="",MEMORIA_RESULTADOS!$I$259=""),"",ROUND(AT99*$C99*(parametros!$F$3-MEMORIA_RESULTADOS!$I$259),2))</f>
        <v/>
      </c>
      <c r="AW99">
        <f>IF($A99="","",ROUND(SUMIFS(itens_Consumidos!$I$2:$I$200,itens_Consumidos!$A$2:$A$200,$A99),2))</f>
        <v/>
      </c>
      <c r="AX99">
        <f>IF(OR($A99="",O99=""),"",ROUND(MAX(O99-AW99,0),2))</f>
        <v/>
      </c>
      <c r="AY99">
        <f>IF(OR($A99="",O99="",MEMORIA_RESULTADOS!$I$260=""),"",ROUND(O99*$C99*(MEMORIA_RESULTADOS!$I$260-1),2))</f>
        <v/>
      </c>
      <c r="AZ99">
        <f>IF(OR($A99="",AX99="",MEMORIA_RESULTADOS!$I$260=""),"",ROUND(AX99*$C99*(parametros!$F$4-MEMORIA_RESULTADOS!$I$260),2))</f>
        <v/>
      </c>
      <c r="BA99">
        <f>IF($A99="","",ROUND(SUMIFS(itens_Consumidos!$K$2:$K$200,itens_Consumidos!$A$2:$A$200,$A99),2))</f>
        <v/>
      </c>
      <c r="BB99">
        <f>IF(OR($A99="",Q99=""),"",ROUND(MAX(Q99-BA99,0),2))</f>
        <v/>
      </c>
      <c r="BC99">
        <f>IF(OR($A99="",Q99="",MEMORIA_RESULTADOS!$I$261=""),"",ROUND(Q99*$C99*(MEMORIA_RESULTADOS!$I$261-1),2))</f>
        <v/>
      </c>
      <c r="BD99">
        <f>IF(OR($A99="",BB99="",MEMORIA_RESULTADOS!$I$261=""),"",ROUND(BB99*$C99*(parametros!$F$5-MEMORIA_RESULTADOS!$I$261),2))</f>
        <v/>
      </c>
      <c r="BE99">
        <f>IF($A99="","",ROUND(SUMIFS(itens_Consumidos!$M$2:$M$200,itens_Consumidos!$A$2:$A$200,$A99),2))</f>
        <v/>
      </c>
      <c r="BF99">
        <f>IF(OR($A99="",S99=""),"",ROUND(MAX(S99-BE99,0),2))</f>
        <v/>
      </c>
      <c r="BG99">
        <f>IF(OR($A99="",S99="",MEMORIA_RESULTADOS!$I$262=""),"",ROUND(S99*$C99*(MEMORIA_RESULTADOS!$I$262-1),2))</f>
        <v/>
      </c>
      <c r="BH99">
        <f>IF(OR($A99="",BF99="",MEMORIA_RESULTADOS!$I$262=""),"",ROUND(BF99*$C99*(parametros!$F$6-MEMORIA_RESULTADOS!$I$262),2))</f>
        <v/>
      </c>
    </row>
    <row r="100">
      <c r="A100" s="86" t="n"/>
      <c r="B100" s="87">
        <f>IF(AND(LEN(TRIM($A100))=4,LEFT(TRIM($A100),1)="N",ISNUMBER(--MID(TRIM($A100),2,3)),ISERROR(FIND(".",$A100)),ISERROR(FIND(",",$A100)),ISERROR(FIND("-",$A100)),ISERROR(FIND("+",$A100)),ISERROR(SEARCH("E",$A100,2)),ISERROR(FIND(" ",TRIM($A100)))),0,"")</f>
        <v/>
      </c>
      <c r="C100" s="339" t="n"/>
      <c r="D100" s="335">
        <f>IF(AND(A100="",A99&lt;&gt;"",COUNTIF(A101:$A$200,"&lt;&gt;")=0),ROUND(SUMIF($A$2:A99,"&lt;&gt;",$D$2:D99),2),IF(OR(A100="",B100="",C100=""),"",ROUND(B100*C100,2)))</f>
        <v/>
      </c>
      <c r="E100" s="89" t="n"/>
      <c r="F100" s="335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 t="n"/>
      <c r="H100" s="335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 t="n"/>
      <c r="J100" s="335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 t="n"/>
      <c r="L100" s="335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>
        <f>IF(OR(posicao_contratual!J100="",posicao_contratual!N100=""),"",ROUND(MAX(posicao_contratual!J100+posicao_contratual!H100-posicao_contratual!N100,0),2))</f>
        <v/>
      </c>
      <c r="N100" s="335">
        <f>IF(AND(A100="",A99&lt;&gt;"",COUNTIF(A101:$A$200,"&lt;&gt;")=0),ROUND(SUMIF($A$2:A99,"&lt;&gt;",$N$2:N99),2),IF(OR(M100="",C100="",NOT(ISNUMBER($Z$3))),"",ROUND(M100*C100*$Z$3,2)))</f>
        <v/>
      </c>
      <c r="O100" s="90">
        <f>IF(OR(posicao_contratual!N100="",posicao_contratual!R100=""),"",ROUND(MAX(posicao_contratual!N100+posicao_contratual!L100-posicao_contratual!R100,0),2))</f>
        <v/>
      </c>
      <c r="P100" s="335">
        <f>IF(AND(A100="",A99&lt;&gt;"",COUNTIF(A101:$A$200,"&lt;&gt;")=0),ROUND(SUMIF($A$2:A99,"&lt;&gt;",$P$2:P99),2),IF(OR(O100="",C100="",NOT(ISNUMBER($Z$4))),"",ROUND(O100*C100*$Z$4,2)))</f>
        <v/>
      </c>
      <c r="Q100" s="90">
        <f>IF(OR(posicao_contratual!R100="",posicao_contratual!V100=""),"",ROUND(MAX(posicao_contratual!R100+posicao_contratual!P100-posicao_contratual!V100,0),2))</f>
        <v/>
      </c>
      <c r="R100" s="335">
        <f>IF(AND(A100="",A99&lt;&gt;"",COUNTIF(A101:$A$200,"&lt;&gt;")=0),ROUND(SUMIF($A$2:A99,"&lt;&gt;",$R$2:R99),2),IF(OR(Q100="",C100="",NOT(ISNUMBER($Z$5))),"",ROUND(Q100*C100*$Z$5,2)))</f>
        <v/>
      </c>
      <c r="S100" s="22" t="n"/>
      <c r="T100" s="340" t="n"/>
      <c r="U100" s="91">
        <f>IF(AND(A100="",A99&lt;&gt;"",COUNTIF(A101:$A$200,"&lt;&gt;")=0),"TOTAL",IF(A100="","",posicao_contratual!X100))</f>
        <v/>
      </c>
      <c r="V100" s="91">
        <f>IF(A100="","",posicao_contratual!X100)</f>
        <v/>
      </c>
      <c r="W100" s="14" t="n"/>
      <c r="X100" s="14" t="n"/>
      <c r="Y100" s="14" t="n"/>
      <c r="Z100" s="13" t="n"/>
      <c r="AA100" s="13" t="n"/>
      <c r="AB100" s="90">
        <f>IF(OR(A100="",posicao_contratual!E100="",posicao_contratual!J100=""),"",ROUND(MAX(posicao_contratual!E100-posicao_contratual!J100,0),2))</f>
        <v/>
      </c>
      <c r="AC100" s="335">
        <f>IF(AND(A100="",A99&lt;&gt;"",COUNTIF(A101:$A$200,"&lt;&gt;")=0),ROUND(SUMIF($A$2:A99,"&lt;&gt;",$AC$2:AC99),2),IF(OR(AB100="",C100="",NOT(ISNUMBER($Z$2))),"",ROUND(AB100*C100*$Z$2,2)))</f>
        <v/>
      </c>
      <c r="AD100" s="155">
        <f>IF(A100="","",posicao_contratual!E100)</f>
        <v/>
      </c>
      <c r="AE100" s="155">
        <f>IF(A100="","",posicao_contratual!I100)</f>
        <v/>
      </c>
      <c r="AF100" s="155">
        <f>IF(A100="","",posicao_contratual!M100)</f>
        <v/>
      </c>
      <c r="AG100" s="155">
        <f>IF(A100="","",posicao_contratual!Q100)</f>
        <v/>
      </c>
      <c r="AH100" s="155">
        <f>IF(A100="","",posicao_contratual!U100)</f>
        <v/>
      </c>
      <c r="AI100" s="155">
        <f>IF(A100="","",posicao_contratual!G100)</f>
        <v/>
      </c>
      <c r="AJ100" s="155">
        <f>IF(A100="","",posicao_contratual!K100)</f>
        <v/>
      </c>
      <c r="AK100" s="155">
        <f>IF(A100="","",posicao_contratual!O100)</f>
        <v/>
      </c>
      <c r="AL100" s="155">
        <f>IF(A100="","",posicao_contratual!S100)</f>
        <v/>
      </c>
      <c r="AM100" s="155">
        <f>IF(A100="","",posicao_contratual!W100)</f>
        <v/>
      </c>
      <c r="AN100" s="156">
        <f>IF(A100="","",posicao_contratual!X100)</f>
        <v/>
      </c>
      <c r="AO100">
        <f>IF($A100="","",ROUND(SUMIFS(itens_Consumidos!$E$2:$E$200,itens_Consumidos!$A$2:$A$200,$A100),2))</f>
        <v/>
      </c>
      <c r="AP100">
        <f>IF(OR($A100="",AB100=""),"",ROUND(MAX(AB100-AO100,0),2))</f>
        <v/>
      </c>
      <c r="AQ100">
        <f>IF(OR($A100="",AB100="",MEMORIA_RESULTADOS!$I$258=""),"",ROUND(AB100*$C100*(MEMORIA_RESULTADOS!$I$258-1),2))</f>
        <v/>
      </c>
      <c r="AR100">
        <f>IF(OR($A100="",AP100="",MEMORIA_RESULTADOS!$I$258=""),"",ROUND(AP100*$C100*(parametros!$F$2-MEMORIA_RESULTADOS!$I$258),2))</f>
        <v/>
      </c>
      <c r="AS100">
        <f>IF($A100="","",ROUND(SUMIFS(itens_Consumidos!$G$2:$G$200,itens_Consumidos!$A$2:$A$200,$A100),2))</f>
        <v/>
      </c>
      <c r="AT100">
        <f>IF(OR($A100="",M100=""),"",ROUND(MAX(M100-AS100,0),2))</f>
        <v/>
      </c>
      <c r="AU100">
        <f>IF(OR($A100="",M100="",MEMORIA_RESULTADOS!$I$259=""),"",ROUND(M100*$C100*(MEMORIA_RESULTADOS!$I$259-1),2))</f>
        <v/>
      </c>
      <c r="AV100">
        <f>IF(OR($A100="",AT100="",MEMORIA_RESULTADOS!$I$259=""),"",ROUND(AT100*$C100*(parametros!$F$3-MEMORIA_RESULTADOS!$I$259),2))</f>
        <v/>
      </c>
      <c r="AW100">
        <f>IF($A100="","",ROUND(SUMIFS(itens_Consumidos!$I$2:$I$200,itens_Consumidos!$A$2:$A$200,$A100),2))</f>
        <v/>
      </c>
      <c r="AX100">
        <f>IF(OR($A100="",O100=""),"",ROUND(MAX(O100-AW100,0),2))</f>
        <v/>
      </c>
      <c r="AY100">
        <f>IF(OR($A100="",O100="",MEMORIA_RESULTADOS!$I$260=""),"",ROUND(O100*$C100*(MEMORIA_RESULTADOS!$I$260-1),2))</f>
        <v/>
      </c>
      <c r="AZ100">
        <f>IF(OR($A100="",AX100="",MEMORIA_RESULTADOS!$I$260=""),"",ROUND(AX100*$C100*(parametros!$F$4-MEMORIA_RESULTADOS!$I$260),2))</f>
        <v/>
      </c>
      <c r="BA100">
        <f>IF($A100="","",ROUND(SUMIFS(itens_Consumidos!$K$2:$K$200,itens_Consumidos!$A$2:$A$200,$A100),2))</f>
        <v/>
      </c>
      <c r="BB100">
        <f>IF(OR($A100="",Q100=""),"",ROUND(MAX(Q100-BA100,0),2))</f>
        <v/>
      </c>
      <c r="BC100">
        <f>IF(OR($A100="",Q100="",MEMORIA_RESULTADOS!$I$261=""),"",ROUND(Q100*$C100*(MEMORIA_RESULTADOS!$I$261-1),2))</f>
        <v/>
      </c>
      <c r="BD100">
        <f>IF(OR($A100="",BB100="",MEMORIA_RESULTADOS!$I$261=""),"",ROUND(BB100*$C100*(parametros!$F$5-MEMORIA_RESULTADOS!$I$261),2))</f>
        <v/>
      </c>
      <c r="BE100">
        <f>IF($A100="","",ROUND(SUMIFS(itens_Consumidos!$M$2:$M$200,itens_Consumidos!$A$2:$A$200,$A100),2))</f>
        <v/>
      </c>
      <c r="BF100">
        <f>IF(OR($A100="",S100=""),"",ROUND(MAX(S100-BE100,0),2))</f>
        <v/>
      </c>
      <c r="BG100">
        <f>IF(OR($A100="",S100="",MEMORIA_RESULTADOS!$I$262=""),"",ROUND(S100*$C100*(MEMORIA_RESULTADOS!$I$262-1),2))</f>
        <v/>
      </c>
      <c r="BH100">
        <f>IF(OR($A100="",BF100="",MEMORIA_RESULTADOS!$I$262=""),"",ROUND(BF100*$C100*(parametros!$F$6-MEMORIA_RESULTADOS!$I$262),2))</f>
        <v/>
      </c>
    </row>
    <row r="101" ht="14.5" customHeight="1" s="289">
      <c r="A101" s="86" t="n"/>
      <c r="B101" s="87">
        <f>IF(AND(LEN(TRIM($A101))=4,LEFT(TRIM($A101),1)="N",ISNUMBER(--MID(TRIM($A101),2,3)),ISERROR(FIND(".",$A101)),ISERROR(FIND(",",$A101)),ISERROR(FIND("-",$A101)),ISERROR(FIND("+",$A101)),ISERROR(SEARCH("E",$A101,2)),ISERROR(FIND(" ",TRIM($A101)))),0,"")</f>
        <v/>
      </c>
      <c r="C101" s="339" t="n"/>
      <c r="D101" s="335">
        <f>IF(AND(A101="",A100&lt;&gt;"",COUNTIF(A102:$A$200,"&lt;&gt;")=0),ROUND(SUMIF($A$2:A100,"&lt;&gt;",$D$2:D100),2),IF(OR(A101="",B101="",C101=""),"",ROUND(B101*C101,2)))</f>
        <v/>
      </c>
      <c r="E101" s="89" t="n"/>
      <c r="F101" s="335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 t="n"/>
      <c r="H101" s="335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 t="n"/>
      <c r="J101" s="335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 t="n"/>
      <c r="L101" s="335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>
        <f>IF(OR(posicao_contratual!J101="",posicao_contratual!N101=""),"",ROUND(MAX(posicao_contratual!J101+posicao_contratual!H101-posicao_contratual!N101,0),2))</f>
        <v/>
      </c>
      <c r="N101" s="335">
        <f>IF(AND(A101="",A100&lt;&gt;"",COUNTIF(A102:$A$200,"&lt;&gt;")=0),ROUND(SUMIF($A$2:A100,"&lt;&gt;",$N$2:N100),2),IF(OR(M101="",C101="",NOT(ISNUMBER($Z$3))),"",ROUND(M101*C101*$Z$3,2)))</f>
        <v/>
      </c>
      <c r="O101" s="90">
        <f>IF(OR(posicao_contratual!N101="",posicao_contratual!R101=""),"",ROUND(MAX(posicao_contratual!N101+posicao_contratual!L101-posicao_contratual!R101,0),2))</f>
        <v/>
      </c>
      <c r="P101" s="335">
        <f>IF(AND(A101="",A100&lt;&gt;"",COUNTIF(A102:$A$200,"&lt;&gt;")=0),ROUND(SUMIF($A$2:A100,"&lt;&gt;",$P$2:P100),2),IF(OR(O101="",C101="",NOT(ISNUMBER($Z$4))),"",ROUND(O101*C101*$Z$4,2)))</f>
        <v/>
      </c>
      <c r="Q101" s="90">
        <f>IF(OR(posicao_contratual!R101="",posicao_contratual!V101=""),"",ROUND(MAX(posicao_contratual!R101+posicao_contratual!P101-posicao_contratual!V101,0),2))</f>
        <v/>
      </c>
      <c r="R101" s="335">
        <f>IF(AND(A101="",A100&lt;&gt;"",COUNTIF(A102:$A$200,"&lt;&gt;")=0),ROUND(SUMIF($A$2:A100,"&lt;&gt;",$R$2:R100),2),IF(OR(Q101="",C101="",NOT(ISNUMBER($Z$5))),"",ROUND(Q101*C101*$Z$5,2)))</f>
        <v/>
      </c>
      <c r="S101" s="22" t="n"/>
      <c r="T101" s="340" t="n"/>
      <c r="U101" s="91">
        <f>IF(AND(A101="",A100&lt;&gt;"",COUNTIF(A102:$A$200,"&lt;&gt;")=0),"TOTAL",IF(A101="","",posicao_contratual!X101))</f>
        <v/>
      </c>
      <c r="V101" s="91">
        <f>IF(A101="","",posicao_contratual!X101)</f>
        <v/>
      </c>
      <c r="W101" s="14" t="n"/>
      <c r="X101" s="14" t="n"/>
      <c r="Y101" s="14" t="n"/>
      <c r="Z101" s="13" t="n"/>
      <c r="AA101" s="13" t="n"/>
      <c r="AB101" s="90">
        <f>IF(OR(A101="",posicao_contratual!E101="",posicao_contratual!J101=""),"",ROUND(MAX(posicao_contratual!E101-posicao_contratual!J101,0),2))</f>
        <v/>
      </c>
      <c r="AC101" s="335">
        <f>IF(AND(A101="",A100&lt;&gt;"",COUNTIF(A102:$A$200,"&lt;&gt;")=0),ROUND(SUMIF($A$2:A100,"&lt;&gt;",$AC$2:AC100),2),IF(OR(AB101="",C101="",NOT(ISNUMBER($Z$2))),"",ROUND(AB101*C101*$Z$2,2)))</f>
        <v/>
      </c>
      <c r="AD101" s="155">
        <f>IF(A101="","",posicao_contratual!E101)</f>
        <v/>
      </c>
      <c r="AE101" s="155">
        <f>IF(A101="","",posicao_contratual!I101)</f>
        <v/>
      </c>
      <c r="AF101" s="155">
        <f>IF(A101="","",posicao_contratual!M101)</f>
        <v/>
      </c>
      <c r="AG101" s="155">
        <f>IF(A101="","",posicao_contratual!Q101)</f>
        <v/>
      </c>
      <c r="AH101" s="155">
        <f>IF(A101="","",posicao_contratual!U101)</f>
        <v/>
      </c>
      <c r="AI101" s="155">
        <f>IF(A101="","",posicao_contratual!G101)</f>
        <v/>
      </c>
      <c r="AJ101" s="155">
        <f>IF(A101="","",posicao_contratual!K101)</f>
        <v/>
      </c>
      <c r="AK101" s="155">
        <f>IF(A101="","",posicao_contratual!O101)</f>
        <v/>
      </c>
      <c r="AL101" s="155">
        <f>IF(A101="","",posicao_contratual!S101)</f>
        <v/>
      </c>
      <c r="AM101" s="155">
        <f>IF(A101="","",posicao_contratual!W101)</f>
        <v/>
      </c>
      <c r="AN101" s="156">
        <f>IF(A101="","",posicao_contratual!X101)</f>
        <v/>
      </c>
      <c r="AO101">
        <f>IF($A101="","",ROUND(SUMIFS(itens_Consumidos!$E$2:$E$200,itens_Consumidos!$A$2:$A$200,$A101),2))</f>
        <v/>
      </c>
      <c r="AP101">
        <f>IF(OR($A101="",AB101=""),"",ROUND(MAX(AB101-AO101,0),2))</f>
        <v/>
      </c>
      <c r="AQ101">
        <f>IF(OR($A101="",AB101="",MEMORIA_RESULTADOS!$I$258=""),"",ROUND(AB101*$C101*(MEMORIA_RESULTADOS!$I$258-1),2))</f>
        <v/>
      </c>
      <c r="AR101">
        <f>IF(OR($A101="",AP101="",MEMORIA_RESULTADOS!$I$258=""),"",ROUND(AP101*$C101*(parametros!$F$2-MEMORIA_RESULTADOS!$I$258),2))</f>
        <v/>
      </c>
      <c r="AS101">
        <f>IF($A101="","",ROUND(SUMIFS(itens_Consumidos!$G$2:$G$200,itens_Consumidos!$A$2:$A$200,$A101),2))</f>
        <v/>
      </c>
      <c r="AT101">
        <f>IF(OR($A101="",M101=""),"",ROUND(MAX(M101-AS101,0),2))</f>
        <v/>
      </c>
      <c r="AU101">
        <f>IF(OR($A101="",M101="",MEMORIA_RESULTADOS!$I$259=""),"",ROUND(M101*$C101*(MEMORIA_RESULTADOS!$I$259-1),2))</f>
        <v/>
      </c>
      <c r="AV101">
        <f>IF(OR($A101="",AT101="",MEMORIA_RESULTADOS!$I$259=""),"",ROUND(AT101*$C101*(parametros!$F$3-MEMORIA_RESULTADOS!$I$259),2))</f>
        <v/>
      </c>
      <c r="AW101">
        <f>IF($A101="","",ROUND(SUMIFS(itens_Consumidos!$I$2:$I$200,itens_Consumidos!$A$2:$A$200,$A101),2))</f>
        <v/>
      </c>
      <c r="AX101">
        <f>IF(OR($A101="",O101=""),"",ROUND(MAX(O101-AW101,0),2))</f>
        <v/>
      </c>
      <c r="AY101">
        <f>IF(OR($A101="",O101="",MEMORIA_RESULTADOS!$I$260=""),"",ROUND(O101*$C101*(MEMORIA_RESULTADOS!$I$260-1),2))</f>
        <v/>
      </c>
      <c r="AZ101">
        <f>IF(OR($A101="",AX101="",MEMORIA_RESULTADOS!$I$260=""),"",ROUND(AX101*$C101*(parametros!$F$4-MEMORIA_RESULTADOS!$I$260),2))</f>
        <v/>
      </c>
      <c r="BA101">
        <f>IF($A101="","",ROUND(SUMIFS(itens_Consumidos!$K$2:$K$200,itens_Consumidos!$A$2:$A$200,$A101),2))</f>
        <v/>
      </c>
      <c r="BB101">
        <f>IF(OR($A101="",Q101=""),"",ROUND(MAX(Q101-BA101,0),2))</f>
        <v/>
      </c>
      <c r="BC101">
        <f>IF(OR($A101="",Q101="",MEMORIA_RESULTADOS!$I$261=""),"",ROUND(Q101*$C101*(MEMORIA_RESULTADOS!$I$261-1),2))</f>
        <v/>
      </c>
      <c r="BD101">
        <f>IF(OR($A101="",BB101="",MEMORIA_RESULTADOS!$I$261=""),"",ROUND(BB101*$C101*(parametros!$F$5-MEMORIA_RESULTADOS!$I$261),2))</f>
        <v/>
      </c>
      <c r="BE101">
        <f>IF($A101="","",ROUND(SUMIFS(itens_Consumidos!$M$2:$M$200,itens_Consumidos!$A$2:$A$200,$A101),2))</f>
        <v/>
      </c>
      <c r="BF101">
        <f>IF(OR($A101="",S101=""),"",ROUND(MAX(S101-BE101,0),2))</f>
        <v/>
      </c>
      <c r="BG101">
        <f>IF(OR($A101="",S101="",MEMORIA_RESULTADOS!$I$262=""),"",ROUND(S101*$C101*(MEMORIA_RESULTADOS!$I$262-1),2))</f>
        <v/>
      </c>
      <c r="BH101">
        <f>IF(OR($A101="",BF101="",MEMORIA_RESULTADOS!$I$262=""),"",ROUND(BF101*$C101*(parametros!$F$6-MEMORIA_RESULTADOS!$I$262),2))</f>
        <v/>
      </c>
    </row>
    <row r="102">
      <c r="A102" s="86" t="n"/>
      <c r="B102" s="87">
        <f>IF(AND(LEN(TRIM($A102))=4,LEFT(TRIM($A102),1)="N",ISNUMBER(--MID(TRIM($A102),2,3)),ISERROR(FIND(".",$A102)),ISERROR(FIND(",",$A102)),ISERROR(FIND("-",$A102)),ISERROR(FIND("+",$A102)),ISERROR(SEARCH("E",$A102,2)),ISERROR(FIND(" ",TRIM($A102)))),0,"")</f>
        <v/>
      </c>
      <c r="C102" s="339" t="n"/>
      <c r="D102" s="335">
        <f>IF(AND(A102="",A101&lt;&gt;"",COUNTIF(A103:$A$200,"&lt;&gt;")=0),ROUND(SUMIF($A$2:A101,"&lt;&gt;",$D$2:D101),2),IF(OR(A102="",B102="",C102=""),"",ROUND(B102*C102,2)))</f>
        <v/>
      </c>
      <c r="E102" s="89" t="n"/>
      <c r="F102" s="335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 t="n"/>
      <c r="H102" s="335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 t="n"/>
      <c r="J102" s="335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 t="n"/>
      <c r="L102" s="335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>
        <f>IF(OR(posicao_contratual!J102="",posicao_contratual!N102=""),"",ROUND(MAX(posicao_contratual!J102+posicao_contratual!H102-posicao_contratual!N102,0),2))</f>
        <v/>
      </c>
      <c r="N102" s="335">
        <f>IF(AND(A102="",A101&lt;&gt;"",COUNTIF(A103:$A$200,"&lt;&gt;")=0),ROUND(SUMIF($A$2:A101,"&lt;&gt;",$N$2:N101),2),IF(OR(M102="",C102="",NOT(ISNUMBER($Z$3))),"",ROUND(M102*C102*$Z$3,2)))</f>
        <v/>
      </c>
      <c r="O102" s="90">
        <f>IF(OR(posicao_contratual!N102="",posicao_contratual!R102=""),"",ROUND(MAX(posicao_contratual!N102+posicao_contratual!L102-posicao_contratual!R102,0),2))</f>
        <v/>
      </c>
      <c r="P102" s="335">
        <f>IF(AND(A102="",A101&lt;&gt;"",COUNTIF(A103:$A$200,"&lt;&gt;")=0),ROUND(SUMIF($A$2:A101,"&lt;&gt;",$P$2:P101),2),IF(OR(O102="",C102="",NOT(ISNUMBER($Z$4))),"",ROUND(O102*C102*$Z$4,2)))</f>
        <v/>
      </c>
      <c r="Q102" s="90">
        <f>IF(OR(posicao_contratual!R102="",posicao_contratual!V102=""),"",ROUND(MAX(posicao_contratual!R102+posicao_contratual!P102-posicao_contratual!V102,0),2))</f>
        <v/>
      </c>
      <c r="R102" s="335">
        <f>IF(AND(A102="",A101&lt;&gt;"",COUNTIF(A103:$A$200,"&lt;&gt;")=0),ROUND(SUMIF($A$2:A101,"&lt;&gt;",$R$2:R101),2),IF(OR(Q102="",C102="",NOT(ISNUMBER($Z$5))),"",ROUND(Q102*C102*$Z$5,2)))</f>
        <v/>
      </c>
      <c r="S102" s="43" t="n"/>
      <c r="T102" s="342" t="n"/>
      <c r="U102" s="91">
        <f>IF(AND(A102="",A101&lt;&gt;"",COUNTIF(A103:$A$200,"&lt;&gt;")=0),"TOTAL",IF(A102="","",posicao_contratual!X102))</f>
        <v/>
      </c>
      <c r="V102" s="91">
        <f>IF(A102="","",posicao_contratual!X102)</f>
        <v/>
      </c>
      <c r="W102" s="13" t="n"/>
      <c r="X102" s="13" t="n"/>
      <c r="Y102" s="13" t="n"/>
      <c r="Z102" s="13" t="n"/>
      <c r="AA102" s="13" t="n"/>
      <c r="AB102" s="90">
        <f>IF(OR(A102="",posicao_contratual!E102="",posicao_contratual!J102=""),"",ROUND(MAX(posicao_contratual!E102-posicao_contratual!J102,0),2))</f>
        <v/>
      </c>
      <c r="AC102" s="335">
        <f>IF(AND(A102="",A101&lt;&gt;"",COUNTIF(A103:$A$200,"&lt;&gt;")=0),ROUND(SUMIF($A$2:A101,"&lt;&gt;",$AC$2:AC101),2),IF(OR(AB102="",C102="",NOT(ISNUMBER($Z$2))),"",ROUND(AB102*C102*$Z$2,2)))</f>
        <v/>
      </c>
      <c r="AD102" s="155">
        <f>IF(A102="","",posicao_contratual!E102)</f>
        <v/>
      </c>
      <c r="AE102" s="155">
        <f>IF(A102="","",posicao_contratual!I102)</f>
        <v/>
      </c>
      <c r="AF102" s="155">
        <f>IF(A102="","",posicao_contratual!M102)</f>
        <v/>
      </c>
      <c r="AG102" s="155">
        <f>IF(A102="","",posicao_contratual!Q102)</f>
        <v/>
      </c>
      <c r="AH102" s="155">
        <f>IF(A102="","",posicao_contratual!U102)</f>
        <v/>
      </c>
      <c r="AI102" s="155">
        <f>IF(A102="","",posicao_contratual!G102)</f>
        <v/>
      </c>
      <c r="AJ102" s="155">
        <f>IF(A102="","",posicao_contratual!K102)</f>
        <v/>
      </c>
      <c r="AK102" s="155">
        <f>IF(A102="","",posicao_contratual!O102)</f>
        <v/>
      </c>
      <c r="AL102" s="155">
        <f>IF(A102="","",posicao_contratual!S102)</f>
        <v/>
      </c>
      <c r="AM102" s="155">
        <f>IF(A102="","",posicao_contratual!W102)</f>
        <v/>
      </c>
      <c r="AN102" s="156">
        <f>IF(A102="","",posicao_contratual!X102)</f>
        <v/>
      </c>
      <c r="AO102">
        <f>IF($A102="","",ROUND(SUMIFS(itens_Consumidos!$E$2:$E$200,itens_Consumidos!$A$2:$A$200,$A102),2))</f>
        <v/>
      </c>
      <c r="AP102">
        <f>IF(OR($A102="",AB102=""),"",ROUND(MAX(AB102-AO102,0),2))</f>
        <v/>
      </c>
      <c r="AQ102">
        <f>IF(OR($A102="",AB102="",MEMORIA_RESULTADOS!$I$258=""),"",ROUND(AB102*$C102*(MEMORIA_RESULTADOS!$I$258-1),2))</f>
        <v/>
      </c>
      <c r="AR102">
        <f>IF(OR($A102="",AP102="",MEMORIA_RESULTADOS!$I$258=""),"",ROUND(AP102*$C102*(parametros!$F$2-MEMORIA_RESULTADOS!$I$258),2))</f>
        <v/>
      </c>
      <c r="AS102">
        <f>IF($A102="","",ROUND(SUMIFS(itens_Consumidos!$G$2:$G$200,itens_Consumidos!$A$2:$A$200,$A102),2))</f>
        <v/>
      </c>
      <c r="AT102">
        <f>IF(OR($A102="",M102=""),"",ROUND(MAX(M102-AS102,0),2))</f>
        <v/>
      </c>
      <c r="AU102">
        <f>IF(OR($A102="",M102="",MEMORIA_RESULTADOS!$I$259=""),"",ROUND(M102*$C102*(MEMORIA_RESULTADOS!$I$259-1),2))</f>
        <v/>
      </c>
      <c r="AV102">
        <f>IF(OR($A102="",AT102="",MEMORIA_RESULTADOS!$I$259=""),"",ROUND(AT102*$C102*(parametros!$F$3-MEMORIA_RESULTADOS!$I$259),2))</f>
        <v/>
      </c>
      <c r="AW102">
        <f>IF($A102="","",ROUND(SUMIFS(itens_Consumidos!$I$2:$I$200,itens_Consumidos!$A$2:$A$200,$A102),2))</f>
        <v/>
      </c>
      <c r="AX102">
        <f>IF(OR($A102="",O102=""),"",ROUND(MAX(O102-AW102,0),2))</f>
        <v/>
      </c>
      <c r="AY102">
        <f>IF(OR($A102="",O102="",MEMORIA_RESULTADOS!$I$260=""),"",ROUND(O102*$C102*(MEMORIA_RESULTADOS!$I$260-1),2))</f>
        <v/>
      </c>
      <c r="AZ102">
        <f>IF(OR($A102="",AX102="",MEMORIA_RESULTADOS!$I$260=""),"",ROUND(AX102*$C102*(parametros!$F$4-MEMORIA_RESULTADOS!$I$260),2))</f>
        <v/>
      </c>
      <c r="BA102">
        <f>IF($A102="","",ROUND(SUMIFS(itens_Consumidos!$K$2:$K$200,itens_Consumidos!$A$2:$A$200,$A102),2))</f>
        <v/>
      </c>
      <c r="BB102">
        <f>IF(OR($A102="",Q102=""),"",ROUND(MAX(Q102-BA102,0),2))</f>
        <v/>
      </c>
      <c r="BC102">
        <f>IF(OR($A102="",Q102="",MEMORIA_RESULTADOS!$I$261=""),"",ROUND(Q102*$C102*(MEMORIA_RESULTADOS!$I$261-1),2))</f>
        <v/>
      </c>
      <c r="BD102">
        <f>IF(OR($A102="",BB102="",MEMORIA_RESULTADOS!$I$261=""),"",ROUND(BB102*$C102*(parametros!$F$5-MEMORIA_RESULTADOS!$I$261),2))</f>
        <v/>
      </c>
      <c r="BE102">
        <f>IF($A102="","",ROUND(SUMIFS(itens_Consumidos!$M$2:$M$200,itens_Consumidos!$A$2:$A$200,$A102),2))</f>
        <v/>
      </c>
      <c r="BF102">
        <f>IF(OR($A102="",S102=""),"",ROUND(MAX(S102-BE102,0),2))</f>
        <v/>
      </c>
      <c r="BG102">
        <f>IF(OR($A102="",S102="",MEMORIA_RESULTADOS!$I$262=""),"",ROUND(S102*$C102*(MEMORIA_RESULTADOS!$I$262-1),2))</f>
        <v/>
      </c>
      <c r="BH102">
        <f>IF(OR($A102="",BF102="",MEMORIA_RESULTADOS!$I$262=""),"",ROUND(BF102*$C102*(parametros!$F$6-MEMORIA_RESULTADOS!$I$262),2))</f>
        <v/>
      </c>
    </row>
    <row r="103">
      <c r="A103" s="86" t="n"/>
      <c r="B103" s="87">
        <f>IF(AND(LEN(TRIM($A103))=4,LEFT(TRIM($A103),1)="N",ISNUMBER(--MID(TRIM($A103),2,3)),ISERROR(FIND(".",$A103)),ISERROR(FIND(",",$A103)),ISERROR(FIND("-",$A103)),ISERROR(FIND("+",$A103)),ISERROR(SEARCH("E",$A103,2)),ISERROR(FIND(" ",TRIM($A103)))),0,"")</f>
        <v/>
      </c>
      <c r="C103" s="339" t="n"/>
      <c r="D103" s="335">
        <f>IF(AND(A103="",A102&lt;&gt;"",COUNTIF(A104:$A$200,"&lt;&gt;")=0),ROUND(SUMIF($A$2:A102,"&lt;&gt;",$D$2:D102),2),IF(OR(A103="",B103="",C103=""),"",ROUND(B103*C103,2)))</f>
        <v/>
      </c>
      <c r="E103" s="89" t="n"/>
      <c r="F103" s="335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 t="n"/>
      <c r="H103" s="335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 t="n"/>
      <c r="J103" s="335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 t="n"/>
      <c r="L103" s="335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>
        <f>IF(OR(posicao_contratual!J103="",posicao_contratual!N103=""),"",ROUND(MAX(posicao_contratual!J103+posicao_contratual!H103-posicao_contratual!N103,0),2))</f>
        <v/>
      </c>
      <c r="N103" s="335">
        <f>IF(AND(A103="",A102&lt;&gt;"",COUNTIF(A104:$A$200,"&lt;&gt;")=0),ROUND(SUMIF($A$2:A102,"&lt;&gt;",$N$2:N102),2),IF(OR(M103="",C103="",NOT(ISNUMBER($Z$3))),"",ROUND(M103*C103*$Z$3,2)))</f>
        <v/>
      </c>
      <c r="O103" s="90">
        <f>IF(OR(posicao_contratual!N103="",posicao_contratual!R103=""),"",ROUND(MAX(posicao_contratual!N103+posicao_contratual!L103-posicao_contratual!R103,0),2))</f>
        <v/>
      </c>
      <c r="P103" s="335">
        <f>IF(AND(A103="",A102&lt;&gt;"",COUNTIF(A104:$A$200,"&lt;&gt;")=0),ROUND(SUMIF($A$2:A102,"&lt;&gt;",$P$2:P102),2),IF(OR(O103="",C103="",NOT(ISNUMBER($Z$4))),"",ROUND(O103*C103*$Z$4,2)))</f>
        <v/>
      </c>
      <c r="Q103" s="90">
        <f>IF(OR(posicao_contratual!R103="",posicao_contratual!V103=""),"",ROUND(MAX(posicao_contratual!R103+posicao_contratual!P103-posicao_contratual!V103,0),2))</f>
        <v/>
      </c>
      <c r="R103" s="335">
        <f>IF(AND(A103="",A102&lt;&gt;"",COUNTIF(A104:$A$200,"&lt;&gt;")=0),ROUND(SUMIF($A$2:A102,"&lt;&gt;",$R$2:R102),2),IF(OR(Q103="",C103="",NOT(ISNUMBER($Z$5))),"",ROUND(Q103*C103*$Z$5,2)))</f>
        <v/>
      </c>
      <c r="S103" s="43" t="n"/>
      <c r="T103" s="342" t="n"/>
      <c r="U103" s="91">
        <f>IF(AND(A103="",A102&lt;&gt;"",COUNTIF(A104:$A$200,"&lt;&gt;")=0),"TOTAL",IF(A103="","",posicao_contratual!X103))</f>
        <v/>
      </c>
      <c r="V103" s="91">
        <f>IF(A103="","",posicao_contratual!X103)</f>
        <v/>
      </c>
      <c r="W103" s="13" t="n"/>
      <c r="X103" s="13" t="n"/>
      <c r="Y103" s="13" t="n"/>
      <c r="Z103" s="13" t="n"/>
      <c r="AA103" s="13" t="n"/>
      <c r="AB103" s="90">
        <f>IF(OR(A103="",posicao_contratual!E103="",posicao_contratual!J103=""),"",ROUND(MAX(posicao_contratual!E103-posicao_contratual!J103,0),2))</f>
        <v/>
      </c>
      <c r="AC103" s="335">
        <f>IF(AND(A103="",A102&lt;&gt;"",COUNTIF(A104:$A$200,"&lt;&gt;")=0),ROUND(SUMIF($A$2:A102,"&lt;&gt;",$AC$2:AC102),2),IF(OR(AB103="",C103="",NOT(ISNUMBER($Z$2))),"",ROUND(AB103*C103*$Z$2,2)))</f>
        <v/>
      </c>
      <c r="AD103" s="155">
        <f>IF(A103="","",posicao_contratual!E103)</f>
        <v/>
      </c>
      <c r="AE103" s="155">
        <f>IF(A103="","",posicao_contratual!I103)</f>
        <v/>
      </c>
      <c r="AF103" s="155">
        <f>IF(A103="","",posicao_contratual!M103)</f>
        <v/>
      </c>
      <c r="AG103" s="155">
        <f>IF(A103="","",posicao_contratual!Q103)</f>
        <v/>
      </c>
      <c r="AH103" s="155">
        <f>IF(A103="","",posicao_contratual!U103)</f>
        <v/>
      </c>
      <c r="AI103" s="155">
        <f>IF(A103="","",posicao_contratual!G103)</f>
        <v/>
      </c>
      <c r="AJ103" s="155">
        <f>IF(A103="","",posicao_contratual!K103)</f>
        <v/>
      </c>
      <c r="AK103" s="155">
        <f>IF(A103="","",posicao_contratual!O103)</f>
        <v/>
      </c>
      <c r="AL103" s="155">
        <f>IF(A103="","",posicao_contratual!S103)</f>
        <v/>
      </c>
      <c r="AM103" s="155">
        <f>IF(A103="","",posicao_contratual!W103)</f>
        <v/>
      </c>
      <c r="AN103" s="156">
        <f>IF(A103="","",posicao_contratual!X103)</f>
        <v/>
      </c>
      <c r="AO103">
        <f>IF($A103="","",ROUND(SUMIFS(itens_Consumidos!$E$2:$E$200,itens_Consumidos!$A$2:$A$200,$A103),2))</f>
        <v/>
      </c>
      <c r="AP103">
        <f>IF(OR($A103="",AB103=""),"",ROUND(MAX(AB103-AO103,0),2))</f>
        <v/>
      </c>
      <c r="AQ103">
        <f>IF(OR($A103="",AB103="",MEMORIA_RESULTADOS!$I$258=""),"",ROUND(AB103*$C103*(MEMORIA_RESULTADOS!$I$258-1),2))</f>
        <v/>
      </c>
      <c r="AR103">
        <f>IF(OR($A103="",AP103="",MEMORIA_RESULTADOS!$I$258=""),"",ROUND(AP103*$C103*(parametros!$F$2-MEMORIA_RESULTADOS!$I$258),2))</f>
        <v/>
      </c>
      <c r="AS103">
        <f>IF($A103="","",ROUND(SUMIFS(itens_Consumidos!$G$2:$G$200,itens_Consumidos!$A$2:$A$200,$A103),2))</f>
        <v/>
      </c>
      <c r="AT103">
        <f>IF(OR($A103="",M103=""),"",ROUND(MAX(M103-AS103,0),2))</f>
        <v/>
      </c>
      <c r="AU103">
        <f>IF(OR($A103="",M103="",MEMORIA_RESULTADOS!$I$259=""),"",ROUND(M103*$C103*(MEMORIA_RESULTADOS!$I$259-1),2))</f>
        <v/>
      </c>
      <c r="AV103">
        <f>IF(OR($A103="",AT103="",MEMORIA_RESULTADOS!$I$259=""),"",ROUND(AT103*$C103*(parametros!$F$3-MEMORIA_RESULTADOS!$I$259),2))</f>
        <v/>
      </c>
      <c r="AW103">
        <f>IF($A103="","",ROUND(SUMIFS(itens_Consumidos!$I$2:$I$200,itens_Consumidos!$A$2:$A$200,$A103),2))</f>
        <v/>
      </c>
      <c r="AX103">
        <f>IF(OR($A103="",O103=""),"",ROUND(MAX(O103-AW103,0),2))</f>
        <v/>
      </c>
      <c r="AY103">
        <f>IF(OR($A103="",O103="",MEMORIA_RESULTADOS!$I$260=""),"",ROUND(O103*$C103*(MEMORIA_RESULTADOS!$I$260-1),2))</f>
        <v/>
      </c>
      <c r="AZ103">
        <f>IF(OR($A103="",AX103="",MEMORIA_RESULTADOS!$I$260=""),"",ROUND(AX103*$C103*(parametros!$F$4-MEMORIA_RESULTADOS!$I$260),2))</f>
        <v/>
      </c>
      <c r="BA103">
        <f>IF($A103="","",ROUND(SUMIFS(itens_Consumidos!$K$2:$K$200,itens_Consumidos!$A$2:$A$200,$A103),2))</f>
        <v/>
      </c>
      <c r="BB103">
        <f>IF(OR($A103="",Q103=""),"",ROUND(MAX(Q103-BA103,0),2))</f>
        <v/>
      </c>
      <c r="BC103">
        <f>IF(OR($A103="",Q103="",MEMORIA_RESULTADOS!$I$261=""),"",ROUND(Q103*$C103*(MEMORIA_RESULTADOS!$I$261-1),2))</f>
        <v/>
      </c>
      <c r="BD103">
        <f>IF(OR($A103="",BB103="",MEMORIA_RESULTADOS!$I$261=""),"",ROUND(BB103*$C103*(parametros!$F$5-MEMORIA_RESULTADOS!$I$261),2))</f>
        <v/>
      </c>
      <c r="BE103">
        <f>IF($A103="","",ROUND(SUMIFS(itens_Consumidos!$M$2:$M$200,itens_Consumidos!$A$2:$A$200,$A103),2))</f>
        <v/>
      </c>
      <c r="BF103">
        <f>IF(OR($A103="",S103=""),"",ROUND(MAX(S103-BE103,0),2))</f>
        <v/>
      </c>
      <c r="BG103">
        <f>IF(OR($A103="",S103="",MEMORIA_RESULTADOS!$I$262=""),"",ROUND(S103*$C103*(MEMORIA_RESULTADOS!$I$262-1),2))</f>
        <v/>
      </c>
      <c r="BH103">
        <f>IF(OR($A103="",BF103="",MEMORIA_RESULTADOS!$I$262=""),"",ROUND(BF103*$C103*(parametros!$F$6-MEMORIA_RESULTADOS!$I$262),2))</f>
        <v/>
      </c>
    </row>
    <row r="104">
      <c r="A104" s="86" t="n"/>
      <c r="B104" s="87">
        <f>IF(AND(LEN(TRIM($A104))=4,LEFT(TRIM($A104),1)="N",ISNUMBER(--MID(TRIM($A104),2,3)),ISERROR(FIND(".",$A104)),ISERROR(FIND(",",$A104)),ISERROR(FIND("-",$A104)),ISERROR(FIND("+",$A104)),ISERROR(SEARCH("E",$A104,2)),ISERROR(FIND(" ",TRIM($A104)))),0,"")</f>
        <v/>
      </c>
      <c r="C104" s="339" t="n"/>
      <c r="D104" s="335">
        <f>IF(AND(A104="",A103&lt;&gt;"",COUNTIF(A105:$A$200,"&lt;&gt;")=0),ROUND(SUMIF($A$2:A103,"&lt;&gt;",$D$2:D103),2),IF(OR(A104="",B104="",C104=""),"",ROUND(B104*C104,2)))</f>
        <v/>
      </c>
      <c r="E104" s="89" t="n"/>
      <c r="F104" s="335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 t="n"/>
      <c r="H104" s="335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 t="n"/>
      <c r="J104" s="335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 t="n"/>
      <c r="L104" s="335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>
        <f>IF(OR(posicao_contratual!J104="",posicao_contratual!N104=""),"",ROUND(MAX(posicao_contratual!J104+posicao_contratual!H104-posicao_contratual!N104,0),2))</f>
        <v/>
      </c>
      <c r="N104" s="335">
        <f>IF(AND(A104="",A103&lt;&gt;"",COUNTIF(A105:$A$200,"&lt;&gt;")=0),ROUND(SUMIF($A$2:A103,"&lt;&gt;",$N$2:N103),2),IF(OR(M104="",C104="",NOT(ISNUMBER($Z$3))),"",ROUND(M104*C104*$Z$3,2)))</f>
        <v/>
      </c>
      <c r="O104" s="90">
        <f>IF(OR(posicao_contratual!N104="",posicao_contratual!R104=""),"",ROUND(MAX(posicao_contratual!N104+posicao_contratual!L104-posicao_contratual!R104,0),2))</f>
        <v/>
      </c>
      <c r="P104" s="335">
        <f>IF(AND(A104="",A103&lt;&gt;"",COUNTIF(A105:$A$200,"&lt;&gt;")=0),ROUND(SUMIF($A$2:A103,"&lt;&gt;",$P$2:P103),2),IF(OR(O104="",C104="",NOT(ISNUMBER($Z$4))),"",ROUND(O104*C104*$Z$4,2)))</f>
        <v/>
      </c>
      <c r="Q104" s="90">
        <f>IF(OR(posicao_contratual!R104="",posicao_contratual!V104=""),"",ROUND(MAX(posicao_contratual!R104+posicao_contratual!P104-posicao_contratual!V104,0),2))</f>
        <v/>
      </c>
      <c r="R104" s="335">
        <f>IF(AND(A104="",A103&lt;&gt;"",COUNTIF(A105:$A$200,"&lt;&gt;")=0),ROUND(SUMIF($A$2:A103,"&lt;&gt;",$R$2:R103),2),IF(OR(Q104="",C104="",NOT(ISNUMBER($Z$5))),"",ROUND(Q104*C104*$Z$5,2)))</f>
        <v/>
      </c>
      <c r="S104" s="43" t="n"/>
      <c r="T104" s="342" t="n"/>
      <c r="U104" s="91">
        <f>IF(AND(A104="",A103&lt;&gt;"",COUNTIF(A105:$A$200,"&lt;&gt;")=0),"TOTAL",IF(A104="","",posicao_contratual!X104))</f>
        <v/>
      </c>
      <c r="V104" s="91">
        <f>IF(A104="","",posicao_contratual!X104)</f>
        <v/>
      </c>
      <c r="W104" s="13" t="n"/>
      <c r="X104" s="13" t="n"/>
      <c r="Y104" s="13" t="n"/>
      <c r="Z104" s="13" t="n"/>
      <c r="AA104" s="13" t="n"/>
      <c r="AB104" s="90">
        <f>IF(OR(A104="",posicao_contratual!E104="",posicao_contratual!J104=""),"",ROUND(MAX(posicao_contratual!E104-posicao_contratual!J104,0),2))</f>
        <v/>
      </c>
      <c r="AC104" s="335">
        <f>IF(AND(A104="",A103&lt;&gt;"",COUNTIF(A105:$A$200,"&lt;&gt;")=0),ROUND(SUMIF($A$2:A103,"&lt;&gt;",$AC$2:AC103),2),IF(OR(AB104="",C104="",NOT(ISNUMBER($Z$2))),"",ROUND(AB104*C104*$Z$2,2)))</f>
        <v/>
      </c>
      <c r="AD104" s="155">
        <f>IF(A104="","",posicao_contratual!E104)</f>
        <v/>
      </c>
      <c r="AE104" s="155">
        <f>IF(A104="","",posicao_contratual!I104)</f>
        <v/>
      </c>
      <c r="AF104" s="155">
        <f>IF(A104="","",posicao_contratual!M104)</f>
        <v/>
      </c>
      <c r="AG104" s="155">
        <f>IF(A104="","",posicao_contratual!Q104)</f>
        <v/>
      </c>
      <c r="AH104" s="155">
        <f>IF(A104="","",posicao_contratual!U104)</f>
        <v/>
      </c>
      <c r="AI104" s="155">
        <f>IF(A104="","",posicao_contratual!G104)</f>
        <v/>
      </c>
      <c r="AJ104" s="155">
        <f>IF(A104="","",posicao_contratual!K104)</f>
        <v/>
      </c>
      <c r="AK104" s="155">
        <f>IF(A104="","",posicao_contratual!O104)</f>
        <v/>
      </c>
      <c r="AL104" s="155">
        <f>IF(A104="","",posicao_contratual!S104)</f>
        <v/>
      </c>
      <c r="AM104" s="155">
        <f>IF(A104="","",posicao_contratual!W104)</f>
        <v/>
      </c>
      <c r="AN104" s="156">
        <f>IF(A104="","",posicao_contratual!X104)</f>
        <v/>
      </c>
      <c r="AO104">
        <f>IF($A104="","",ROUND(SUMIFS(itens_Consumidos!$E$2:$E$200,itens_Consumidos!$A$2:$A$200,$A104),2))</f>
        <v/>
      </c>
      <c r="AP104">
        <f>IF(OR($A104="",AB104=""),"",ROUND(MAX(AB104-AO104,0),2))</f>
        <v/>
      </c>
      <c r="AQ104">
        <f>IF(OR($A104="",AB104="",MEMORIA_RESULTADOS!$I$258=""),"",ROUND(AB104*$C104*(MEMORIA_RESULTADOS!$I$258-1),2))</f>
        <v/>
      </c>
      <c r="AR104">
        <f>IF(OR($A104="",AP104="",MEMORIA_RESULTADOS!$I$258=""),"",ROUND(AP104*$C104*(parametros!$F$2-MEMORIA_RESULTADOS!$I$258),2))</f>
        <v/>
      </c>
      <c r="AS104">
        <f>IF($A104="","",ROUND(SUMIFS(itens_Consumidos!$G$2:$G$200,itens_Consumidos!$A$2:$A$200,$A104),2))</f>
        <v/>
      </c>
      <c r="AT104">
        <f>IF(OR($A104="",M104=""),"",ROUND(MAX(M104-AS104,0),2))</f>
        <v/>
      </c>
      <c r="AU104">
        <f>IF(OR($A104="",M104="",MEMORIA_RESULTADOS!$I$259=""),"",ROUND(M104*$C104*(MEMORIA_RESULTADOS!$I$259-1),2))</f>
        <v/>
      </c>
      <c r="AV104">
        <f>IF(OR($A104="",AT104="",MEMORIA_RESULTADOS!$I$259=""),"",ROUND(AT104*$C104*(parametros!$F$3-MEMORIA_RESULTADOS!$I$259),2))</f>
        <v/>
      </c>
      <c r="AW104">
        <f>IF($A104="","",ROUND(SUMIFS(itens_Consumidos!$I$2:$I$200,itens_Consumidos!$A$2:$A$200,$A104),2))</f>
        <v/>
      </c>
      <c r="AX104">
        <f>IF(OR($A104="",O104=""),"",ROUND(MAX(O104-AW104,0),2))</f>
        <v/>
      </c>
      <c r="AY104">
        <f>IF(OR($A104="",O104="",MEMORIA_RESULTADOS!$I$260=""),"",ROUND(O104*$C104*(MEMORIA_RESULTADOS!$I$260-1),2))</f>
        <v/>
      </c>
      <c r="AZ104">
        <f>IF(OR($A104="",AX104="",MEMORIA_RESULTADOS!$I$260=""),"",ROUND(AX104*$C104*(parametros!$F$4-MEMORIA_RESULTADOS!$I$260),2))</f>
        <v/>
      </c>
      <c r="BA104">
        <f>IF($A104="","",ROUND(SUMIFS(itens_Consumidos!$K$2:$K$200,itens_Consumidos!$A$2:$A$200,$A104),2))</f>
        <v/>
      </c>
      <c r="BB104">
        <f>IF(OR($A104="",Q104=""),"",ROUND(MAX(Q104-BA104,0),2))</f>
        <v/>
      </c>
      <c r="BC104">
        <f>IF(OR($A104="",Q104="",MEMORIA_RESULTADOS!$I$261=""),"",ROUND(Q104*$C104*(MEMORIA_RESULTADOS!$I$261-1),2))</f>
        <v/>
      </c>
      <c r="BD104">
        <f>IF(OR($A104="",BB104="",MEMORIA_RESULTADOS!$I$261=""),"",ROUND(BB104*$C104*(parametros!$F$5-MEMORIA_RESULTADOS!$I$261),2))</f>
        <v/>
      </c>
      <c r="BE104">
        <f>IF($A104="","",ROUND(SUMIFS(itens_Consumidos!$M$2:$M$200,itens_Consumidos!$A$2:$A$200,$A104),2))</f>
        <v/>
      </c>
      <c r="BF104">
        <f>IF(OR($A104="",S104=""),"",ROUND(MAX(S104-BE104,0),2))</f>
        <v/>
      </c>
      <c r="BG104">
        <f>IF(OR($A104="",S104="",MEMORIA_RESULTADOS!$I$262=""),"",ROUND(S104*$C104*(MEMORIA_RESULTADOS!$I$262-1),2))</f>
        <v/>
      </c>
      <c r="BH104">
        <f>IF(OR($A104="",BF104="",MEMORIA_RESULTADOS!$I$262=""),"",ROUND(BF104*$C104*(parametros!$F$6-MEMORIA_RESULTADOS!$I$262),2))</f>
        <v/>
      </c>
    </row>
    <row r="105">
      <c r="A105" s="86" t="n"/>
      <c r="B105" s="87">
        <f>IF(AND(LEN(TRIM($A105))=4,LEFT(TRIM($A105),1)="N",ISNUMBER(--MID(TRIM($A105),2,3)),ISERROR(FIND(".",$A105)),ISERROR(FIND(",",$A105)),ISERROR(FIND("-",$A105)),ISERROR(FIND("+",$A105)),ISERROR(SEARCH("E",$A105,2)),ISERROR(FIND(" ",TRIM($A105)))),0,"")</f>
        <v/>
      </c>
      <c r="C105" s="339" t="n"/>
      <c r="D105" s="335">
        <f>IF(AND(A105="",A104&lt;&gt;"",COUNTIF(A106:$A$200,"&lt;&gt;")=0),ROUND(SUMIF($A$2:A104,"&lt;&gt;",$D$2:D104),2),IF(OR(A105="",B105="",C105=""),"",ROUND(B105*C105,2)))</f>
        <v/>
      </c>
      <c r="E105" s="89" t="n"/>
      <c r="F105" s="335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 t="n"/>
      <c r="H105" s="335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 t="n"/>
      <c r="J105" s="335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 t="n"/>
      <c r="L105" s="335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>
        <f>IF(OR(posicao_contratual!J105="",posicao_contratual!N105=""),"",ROUND(MAX(posicao_contratual!J105+posicao_contratual!H105-posicao_contratual!N105,0),2))</f>
        <v/>
      </c>
      <c r="N105" s="335">
        <f>IF(AND(A105="",A104&lt;&gt;"",COUNTIF(A106:$A$200,"&lt;&gt;")=0),ROUND(SUMIF($A$2:A104,"&lt;&gt;",$N$2:N104),2),IF(OR(M105="",C105="",NOT(ISNUMBER($Z$3))),"",ROUND(M105*C105*$Z$3,2)))</f>
        <v/>
      </c>
      <c r="O105" s="90">
        <f>IF(OR(posicao_contratual!N105="",posicao_contratual!R105=""),"",ROUND(MAX(posicao_contratual!N105+posicao_contratual!L105-posicao_contratual!R105,0),2))</f>
        <v/>
      </c>
      <c r="P105" s="335">
        <f>IF(AND(A105="",A104&lt;&gt;"",COUNTIF(A106:$A$200,"&lt;&gt;")=0),ROUND(SUMIF($A$2:A104,"&lt;&gt;",$P$2:P104),2),IF(OR(O105="",C105="",NOT(ISNUMBER($Z$4))),"",ROUND(O105*C105*$Z$4,2)))</f>
        <v/>
      </c>
      <c r="Q105" s="90">
        <f>IF(OR(posicao_contratual!R105="",posicao_contratual!V105=""),"",ROUND(MAX(posicao_contratual!R105+posicao_contratual!P105-posicao_contratual!V105,0),2))</f>
        <v/>
      </c>
      <c r="R105" s="335">
        <f>IF(AND(A105="",A104&lt;&gt;"",COUNTIF(A106:$A$200,"&lt;&gt;")=0),ROUND(SUMIF($A$2:A104,"&lt;&gt;",$R$2:R104),2),IF(OR(Q105="",C105="",NOT(ISNUMBER($Z$5))),"",ROUND(Q105*C105*$Z$5,2)))</f>
        <v/>
      </c>
      <c r="S105" s="43" t="n"/>
      <c r="T105" s="342" t="n"/>
      <c r="U105" s="91">
        <f>IF(AND(A105="",A104&lt;&gt;"",COUNTIF(A106:$A$200,"&lt;&gt;")=0),"TOTAL",IF(A105="","",posicao_contratual!X105))</f>
        <v/>
      </c>
      <c r="V105" s="91">
        <f>IF(A105="","",posicao_contratual!X105)</f>
        <v/>
      </c>
      <c r="W105" s="13" t="n"/>
      <c r="X105" s="13" t="n"/>
      <c r="Y105" s="13" t="n"/>
      <c r="Z105" s="13" t="n"/>
      <c r="AA105" s="13" t="n"/>
      <c r="AB105" s="90">
        <f>IF(OR(A105="",posicao_contratual!E105="",posicao_contratual!J105=""),"",ROUND(MAX(posicao_contratual!E105-posicao_contratual!J105,0),2))</f>
        <v/>
      </c>
      <c r="AC105" s="335">
        <f>IF(AND(A105="",A104&lt;&gt;"",COUNTIF(A106:$A$200,"&lt;&gt;")=0),ROUND(SUMIF($A$2:A104,"&lt;&gt;",$AC$2:AC104),2),IF(OR(AB105="",C105="",NOT(ISNUMBER($Z$2))),"",ROUND(AB105*C105*$Z$2,2)))</f>
        <v/>
      </c>
      <c r="AD105" s="155">
        <f>IF(A105="","",posicao_contratual!E105)</f>
        <v/>
      </c>
      <c r="AE105" s="155">
        <f>IF(A105="","",posicao_contratual!I105)</f>
        <v/>
      </c>
      <c r="AF105" s="155">
        <f>IF(A105="","",posicao_contratual!M105)</f>
        <v/>
      </c>
      <c r="AG105" s="155">
        <f>IF(A105="","",posicao_contratual!Q105)</f>
        <v/>
      </c>
      <c r="AH105" s="155">
        <f>IF(A105="","",posicao_contratual!U105)</f>
        <v/>
      </c>
      <c r="AI105" s="155">
        <f>IF(A105="","",posicao_contratual!G105)</f>
        <v/>
      </c>
      <c r="AJ105" s="155">
        <f>IF(A105="","",posicao_contratual!K105)</f>
        <v/>
      </c>
      <c r="AK105" s="155">
        <f>IF(A105="","",posicao_contratual!O105)</f>
        <v/>
      </c>
      <c r="AL105" s="155">
        <f>IF(A105="","",posicao_contratual!S105)</f>
        <v/>
      </c>
      <c r="AM105" s="155">
        <f>IF(A105="","",posicao_contratual!W105)</f>
        <v/>
      </c>
      <c r="AN105" s="156">
        <f>IF(A105="","",posicao_contratual!X105)</f>
        <v/>
      </c>
      <c r="AO105">
        <f>IF($A105="","",ROUND(SUMIFS(itens_Consumidos!$E$2:$E$200,itens_Consumidos!$A$2:$A$200,$A105),2))</f>
        <v/>
      </c>
      <c r="AP105">
        <f>IF(OR($A105="",AB105=""),"",ROUND(MAX(AB105-AO105,0),2))</f>
        <v/>
      </c>
      <c r="AQ105">
        <f>IF(OR($A105="",AB105="",MEMORIA_RESULTADOS!$I$258=""),"",ROUND(AB105*$C105*(MEMORIA_RESULTADOS!$I$258-1),2))</f>
        <v/>
      </c>
      <c r="AR105">
        <f>IF(OR($A105="",AP105="",MEMORIA_RESULTADOS!$I$258=""),"",ROUND(AP105*$C105*(parametros!$F$2-MEMORIA_RESULTADOS!$I$258),2))</f>
        <v/>
      </c>
      <c r="AS105">
        <f>IF($A105="","",ROUND(SUMIFS(itens_Consumidos!$G$2:$G$200,itens_Consumidos!$A$2:$A$200,$A105),2))</f>
        <v/>
      </c>
      <c r="AT105">
        <f>IF(OR($A105="",M105=""),"",ROUND(MAX(M105-AS105,0),2))</f>
        <v/>
      </c>
      <c r="AU105">
        <f>IF(OR($A105="",M105="",MEMORIA_RESULTADOS!$I$259=""),"",ROUND(M105*$C105*(MEMORIA_RESULTADOS!$I$259-1),2))</f>
        <v/>
      </c>
      <c r="AV105">
        <f>IF(OR($A105="",AT105="",MEMORIA_RESULTADOS!$I$259=""),"",ROUND(AT105*$C105*(parametros!$F$3-MEMORIA_RESULTADOS!$I$259),2))</f>
        <v/>
      </c>
      <c r="AW105">
        <f>IF($A105="","",ROUND(SUMIFS(itens_Consumidos!$I$2:$I$200,itens_Consumidos!$A$2:$A$200,$A105),2))</f>
        <v/>
      </c>
      <c r="AX105">
        <f>IF(OR($A105="",O105=""),"",ROUND(MAX(O105-AW105,0),2))</f>
        <v/>
      </c>
      <c r="AY105">
        <f>IF(OR($A105="",O105="",MEMORIA_RESULTADOS!$I$260=""),"",ROUND(O105*$C105*(MEMORIA_RESULTADOS!$I$260-1),2))</f>
        <v/>
      </c>
      <c r="AZ105">
        <f>IF(OR($A105="",AX105="",MEMORIA_RESULTADOS!$I$260=""),"",ROUND(AX105*$C105*(parametros!$F$4-MEMORIA_RESULTADOS!$I$260),2))</f>
        <v/>
      </c>
      <c r="BA105">
        <f>IF($A105="","",ROUND(SUMIFS(itens_Consumidos!$K$2:$K$200,itens_Consumidos!$A$2:$A$200,$A105),2))</f>
        <v/>
      </c>
      <c r="BB105">
        <f>IF(OR($A105="",Q105=""),"",ROUND(MAX(Q105-BA105,0),2))</f>
        <v/>
      </c>
      <c r="BC105">
        <f>IF(OR($A105="",Q105="",MEMORIA_RESULTADOS!$I$261=""),"",ROUND(Q105*$C105*(MEMORIA_RESULTADOS!$I$261-1),2))</f>
        <v/>
      </c>
      <c r="BD105">
        <f>IF(OR($A105="",BB105="",MEMORIA_RESULTADOS!$I$261=""),"",ROUND(BB105*$C105*(parametros!$F$5-MEMORIA_RESULTADOS!$I$261),2))</f>
        <v/>
      </c>
      <c r="BE105">
        <f>IF($A105="","",ROUND(SUMIFS(itens_Consumidos!$M$2:$M$200,itens_Consumidos!$A$2:$A$200,$A105),2))</f>
        <v/>
      </c>
      <c r="BF105">
        <f>IF(OR($A105="",S105=""),"",ROUND(MAX(S105-BE105,0),2))</f>
        <v/>
      </c>
      <c r="BG105">
        <f>IF(OR($A105="",S105="",MEMORIA_RESULTADOS!$I$262=""),"",ROUND(S105*$C105*(MEMORIA_RESULTADOS!$I$262-1),2))</f>
        <v/>
      </c>
      <c r="BH105">
        <f>IF(OR($A105="",BF105="",MEMORIA_RESULTADOS!$I$262=""),"",ROUND(BF105*$C105*(parametros!$F$6-MEMORIA_RESULTADOS!$I$262),2))</f>
        <v/>
      </c>
    </row>
    <row r="106">
      <c r="A106" s="86" t="n"/>
      <c r="B106" s="87">
        <f>IF(AND(LEN(TRIM($A106))=4,LEFT(TRIM($A106),1)="N",ISNUMBER(--MID(TRIM($A106),2,3)),ISERROR(FIND(".",$A106)),ISERROR(FIND(",",$A106)),ISERROR(FIND("-",$A106)),ISERROR(FIND("+",$A106)),ISERROR(SEARCH("E",$A106,2)),ISERROR(FIND(" ",TRIM($A106)))),0,"")</f>
        <v/>
      </c>
      <c r="C106" s="339" t="n"/>
      <c r="D106" s="335">
        <f>IF(AND(A106="",A105&lt;&gt;"",COUNTIF(A107:$A$200,"&lt;&gt;")=0),ROUND(SUMIF($A$2:A105,"&lt;&gt;",$D$2:D105),2),IF(OR(A106="",B106="",C106=""),"",ROUND(B106*C106,2)))</f>
        <v/>
      </c>
      <c r="E106" s="89" t="n"/>
      <c r="F106" s="335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 t="n"/>
      <c r="H106" s="335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 t="n"/>
      <c r="J106" s="335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 t="n"/>
      <c r="L106" s="335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>
        <f>IF(OR(posicao_contratual!J106="",posicao_contratual!N106=""),"",ROUND(MAX(posicao_contratual!J106+posicao_contratual!H106-posicao_contratual!N106,0),2))</f>
        <v/>
      </c>
      <c r="N106" s="335">
        <f>IF(AND(A106="",A105&lt;&gt;"",COUNTIF(A107:$A$200,"&lt;&gt;")=0),ROUND(SUMIF($A$2:A105,"&lt;&gt;",$N$2:N105),2),IF(OR(M106="",C106="",NOT(ISNUMBER($Z$3))),"",ROUND(M106*C106*$Z$3,2)))</f>
        <v/>
      </c>
      <c r="O106" s="90">
        <f>IF(OR(posicao_contratual!N106="",posicao_contratual!R106=""),"",ROUND(MAX(posicao_contratual!N106+posicao_contratual!L106-posicao_contratual!R106,0),2))</f>
        <v/>
      </c>
      <c r="P106" s="335">
        <f>IF(AND(A106="",A105&lt;&gt;"",COUNTIF(A107:$A$200,"&lt;&gt;")=0),ROUND(SUMIF($A$2:A105,"&lt;&gt;",$P$2:P105),2),IF(OR(O106="",C106="",NOT(ISNUMBER($Z$4))),"",ROUND(O106*C106*$Z$4,2)))</f>
        <v/>
      </c>
      <c r="Q106" s="90">
        <f>IF(OR(posicao_contratual!R106="",posicao_contratual!V106=""),"",ROUND(MAX(posicao_contratual!R106+posicao_contratual!P106-posicao_contratual!V106,0),2))</f>
        <v/>
      </c>
      <c r="R106" s="335">
        <f>IF(AND(A106="",A105&lt;&gt;"",COUNTIF(A107:$A$200,"&lt;&gt;")=0),ROUND(SUMIF($A$2:A105,"&lt;&gt;",$R$2:R105),2),IF(OR(Q106="",C106="",NOT(ISNUMBER($Z$5))),"",ROUND(Q106*C106*$Z$5,2)))</f>
        <v/>
      </c>
      <c r="S106" s="43" t="n"/>
      <c r="T106" s="342" t="n"/>
      <c r="U106" s="91">
        <f>IF(AND(A106="",A105&lt;&gt;"",COUNTIF(A107:$A$200,"&lt;&gt;")=0),"TOTAL",IF(A106="","",posicao_contratual!X106))</f>
        <v/>
      </c>
      <c r="V106" s="91">
        <f>IF(A106="","",posicao_contratual!X106)</f>
        <v/>
      </c>
      <c r="W106" s="13" t="n"/>
      <c r="X106" s="13" t="n"/>
      <c r="Y106" s="13" t="n"/>
      <c r="Z106" s="13" t="n"/>
      <c r="AA106" s="13" t="n"/>
      <c r="AB106" s="90">
        <f>IF(OR(A106="",posicao_contratual!E106="",posicao_contratual!J106=""),"",ROUND(MAX(posicao_contratual!E106-posicao_contratual!J106,0),2))</f>
        <v/>
      </c>
      <c r="AC106" s="335">
        <f>IF(AND(A106="",A105&lt;&gt;"",COUNTIF(A107:$A$200,"&lt;&gt;")=0),ROUND(SUMIF($A$2:A105,"&lt;&gt;",$AC$2:AC105),2),IF(OR(AB106="",C106="",NOT(ISNUMBER($Z$2))),"",ROUND(AB106*C106*$Z$2,2)))</f>
        <v/>
      </c>
      <c r="AD106" s="155">
        <f>IF(A106="","",posicao_contratual!E106)</f>
        <v/>
      </c>
      <c r="AE106" s="155">
        <f>IF(A106="","",posicao_contratual!I106)</f>
        <v/>
      </c>
      <c r="AF106" s="155">
        <f>IF(A106="","",posicao_contratual!M106)</f>
        <v/>
      </c>
      <c r="AG106" s="155">
        <f>IF(A106="","",posicao_contratual!Q106)</f>
        <v/>
      </c>
      <c r="AH106" s="155">
        <f>IF(A106="","",posicao_contratual!U106)</f>
        <v/>
      </c>
      <c r="AI106" s="155">
        <f>IF(A106="","",posicao_contratual!G106)</f>
        <v/>
      </c>
      <c r="AJ106" s="155">
        <f>IF(A106="","",posicao_contratual!K106)</f>
        <v/>
      </c>
      <c r="AK106" s="155">
        <f>IF(A106="","",posicao_contratual!O106)</f>
        <v/>
      </c>
      <c r="AL106" s="155">
        <f>IF(A106="","",posicao_contratual!S106)</f>
        <v/>
      </c>
      <c r="AM106" s="155">
        <f>IF(A106="","",posicao_contratual!W106)</f>
        <v/>
      </c>
      <c r="AN106" s="156">
        <f>IF(A106="","",posicao_contratual!X106)</f>
        <v/>
      </c>
      <c r="AO106">
        <f>IF($A106="","",ROUND(SUMIFS(itens_Consumidos!$E$2:$E$200,itens_Consumidos!$A$2:$A$200,$A106),2))</f>
        <v/>
      </c>
      <c r="AP106">
        <f>IF(OR($A106="",AB106=""),"",ROUND(MAX(AB106-AO106,0),2))</f>
        <v/>
      </c>
      <c r="AQ106">
        <f>IF(OR($A106="",AB106="",MEMORIA_RESULTADOS!$I$258=""),"",ROUND(AB106*$C106*(MEMORIA_RESULTADOS!$I$258-1),2))</f>
        <v/>
      </c>
      <c r="AR106">
        <f>IF(OR($A106="",AP106="",MEMORIA_RESULTADOS!$I$258=""),"",ROUND(AP106*$C106*(parametros!$F$2-MEMORIA_RESULTADOS!$I$258),2))</f>
        <v/>
      </c>
      <c r="AS106">
        <f>IF($A106="","",ROUND(SUMIFS(itens_Consumidos!$G$2:$G$200,itens_Consumidos!$A$2:$A$200,$A106),2))</f>
        <v/>
      </c>
      <c r="AT106">
        <f>IF(OR($A106="",M106=""),"",ROUND(MAX(M106-AS106,0),2))</f>
        <v/>
      </c>
      <c r="AU106">
        <f>IF(OR($A106="",M106="",MEMORIA_RESULTADOS!$I$259=""),"",ROUND(M106*$C106*(MEMORIA_RESULTADOS!$I$259-1),2))</f>
        <v/>
      </c>
      <c r="AV106">
        <f>IF(OR($A106="",AT106="",MEMORIA_RESULTADOS!$I$259=""),"",ROUND(AT106*$C106*(parametros!$F$3-MEMORIA_RESULTADOS!$I$259),2))</f>
        <v/>
      </c>
      <c r="AW106">
        <f>IF($A106="","",ROUND(SUMIFS(itens_Consumidos!$I$2:$I$200,itens_Consumidos!$A$2:$A$200,$A106),2))</f>
        <v/>
      </c>
      <c r="AX106">
        <f>IF(OR($A106="",O106=""),"",ROUND(MAX(O106-AW106,0),2))</f>
        <v/>
      </c>
      <c r="AY106">
        <f>IF(OR($A106="",O106="",MEMORIA_RESULTADOS!$I$260=""),"",ROUND(O106*$C106*(MEMORIA_RESULTADOS!$I$260-1),2))</f>
        <v/>
      </c>
      <c r="AZ106">
        <f>IF(OR($A106="",AX106="",MEMORIA_RESULTADOS!$I$260=""),"",ROUND(AX106*$C106*(parametros!$F$4-MEMORIA_RESULTADOS!$I$260),2))</f>
        <v/>
      </c>
      <c r="BA106">
        <f>IF($A106="","",ROUND(SUMIFS(itens_Consumidos!$K$2:$K$200,itens_Consumidos!$A$2:$A$200,$A106),2))</f>
        <v/>
      </c>
      <c r="BB106">
        <f>IF(OR($A106="",Q106=""),"",ROUND(MAX(Q106-BA106,0),2))</f>
        <v/>
      </c>
      <c r="BC106">
        <f>IF(OR($A106="",Q106="",MEMORIA_RESULTADOS!$I$261=""),"",ROUND(Q106*$C106*(MEMORIA_RESULTADOS!$I$261-1),2))</f>
        <v/>
      </c>
      <c r="BD106">
        <f>IF(OR($A106="",BB106="",MEMORIA_RESULTADOS!$I$261=""),"",ROUND(BB106*$C106*(parametros!$F$5-MEMORIA_RESULTADOS!$I$261),2))</f>
        <v/>
      </c>
      <c r="BE106">
        <f>IF($A106="","",ROUND(SUMIFS(itens_Consumidos!$M$2:$M$200,itens_Consumidos!$A$2:$A$200,$A106),2))</f>
        <v/>
      </c>
      <c r="BF106">
        <f>IF(OR($A106="",S106=""),"",ROUND(MAX(S106-BE106,0),2))</f>
        <v/>
      </c>
      <c r="BG106">
        <f>IF(OR($A106="",S106="",MEMORIA_RESULTADOS!$I$262=""),"",ROUND(S106*$C106*(MEMORIA_RESULTADOS!$I$262-1),2))</f>
        <v/>
      </c>
      <c r="BH106">
        <f>IF(OR($A106="",BF106="",MEMORIA_RESULTADOS!$I$262=""),"",ROUND(BF106*$C106*(parametros!$F$6-MEMORIA_RESULTADOS!$I$262),2))</f>
        <v/>
      </c>
    </row>
    <row r="107">
      <c r="A107" s="86" t="n"/>
      <c r="B107" s="87">
        <f>IF(AND(LEN(TRIM($A107))=4,LEFT(TRIM($A107),1)="N",ISNUMBER(--MID(TRIM($A107),2,3)),ISERROR(FIND(".",$A107)),ISERROR(FIND(",",$A107)),ISERROR(FIND("-",$A107)),ISERROR(FIND("+",$A107)),ISERROR(SEARCH("E",$A107,2)),ISERROR(FIND(" ",TRIM($A107)))),0,"")</f>
        <v/>
      </c>
      <c r="C107" s="339" t="n"/>
      <c r="D107" s="335">
        <f>IF(AND(A107="",A106&lt;&gt;"",COUNTIF(A108:$A$200,"&lt;&gt;")=0),ROUND(SUMIF($A$2:A106,"&lt;&gt;",$D$2:D106),2),IF(OR(A107="",B107="",C107=""),"",ROUND(B107*C107,2)))</f>
        <v/>
      </c>
      <c r="E107" s="89" t="n"/>
      <c r="F107" s="335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 t="n"/>
      <c r="H107" s="335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 t="n"/>
      <c r="J107" s="335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 t="n"/>
      <c r="L107" s="335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>
        <f>IF(OR(posicao_contratual!J107="",posicao_contratual!N107=""),"",ROUND(MAX(posicao_contratual!J107+posicao_contratual!H107-posicao_contratual!N107,0),2))</f>
        <v/>
      </c>
      <c r="N107" s="335">
        <f>IF(AND(A107="",A106&lt;&gt;"",COUNTIF(A108:$A$200,"&lt;&gt;")=0),ROUND(SUMIF($A$2:A106,"&lt;&gt;",$N$2:N106),2),IF(OR(M107="",C107="",NOT(ISNUMBER($Z$3))),"",ROUND(M107*C107*$Z$3,2)))</f>
        <v/>
      </c>
      <c r="O107" s="90">
        <f>IF(OR(posicao_contratual!N107="",posicao_contratual!R107=""),"",ROUND(MAX(posicao_contratual!N107+posicao_contratual!L107-posicao_contratual!R107,0),2))</f>
        <v/>
      </c>
      <c r="P107" s="335">
        <f>IF(AND(A107="",A106&lt;&gt;"",COUNTIF(A108:$A$200,"&lt;&gt;")=0),ROUND(SUMIF($A$2:A106,"&lt;&gt;",$P$2:P106),2),IF(OR(O107="",C107="",NOT(ISNUMBER($Z$4))),"",ROUND(O107*C107*$Z$4,2)))</f>
        <v/>
      </c>
      <c r="Q107" s="90">
        <f>IF(OR(posicao_contratual!R107="",posicao_contratual!V107=""),"",ROUND(MAX(posicao_contratual!R107+posicao_contratual!P107-posicao_contratual!V107,0),2))</f>
        <v/>
      </c>
      <c r="R107" s="335">
        <f>IF(AND(A107="",A106&lt;&gt;"",COUNTIF(A108:$A$200,"&lt;&gt;")=0),ROUND(SUMIF($A$2:A106,"&lt;&gt;",$R$2:R106),2),IF(OR(Q107="",C107="",NOT(ISNUMBER($Z$5))),"",ROUND(Q107*C107*$Z$5,2)))</f>
        <v/>
      </c>
      <c r="S107" s="43" t="n"/>
      <c r="T107" s="342" t="n"/>
      <c r="U107" s="91">
        <f>IF(AND(A107="",A106&lt;&gt;"",COUNTIF(A108:$A$200,"&lt;&gt;")=0),"TOTAL",IF(A107="","",posicao_contratual!X107))</f>
        <v/>
      </c>
      <c r="V107" s="91">
        <f>IF(A107="","",posicao_contratual!X107)</f>
        <v/>
      </c>
      <c r="W107" s="13" t="n"/>
      <c r="X107" s="13" t="n"/>
      <c r="Y107" s="13" t="n"/>
      <c r="Z107" s="13" t="n"/>
      <c r="AA107" s="13" t="n"/>
      <c r="AB107" s="90">
        <f>IF(OR(A107="",posicao_contratual!E107="",posicao_contratual!J107=""),"",ROUND(MAX(posicao_contratual!E107-posicao_contratual!J107,0),2))</f>
        <v/>
      </c>
      <c r="AC107" s="335">
        <f>IF(AND(A107="",A106&lt;&gt;"",COUNTIF(A108:$A$200,"&lt;&gt;")=0),ROUND(SUMIF($A$2:A106,"&lt;&gt;",$AC$2:AC106),2),IF(OR(AB107="",C107="",NOT(ISNUMBER($Z$2))),"",ROUND(AB107*C107*$Z$2,2)))</f>
        <v/>
      </c>
      <c r="AD107" s="155">
        <f>IF(A107="","",posicao_contratual!E107)</f>
        <v/>
      </c>
      <c r="AE107" s="155">
        <f>IF(A107="","",posicao_contratual!I107)</f>
        <v/>
      </c>
      <c r="AF107" s="155">
        <f>IF(A107="","",posicao_contratual!M107)</f>
        <v/>
      </c>
      <c r="AG107" s="155">
        <f>IF(A107="","",posicao_contratual!Q107)</f>
        <v/>
      </c>
      <c r="AH107" s="155">
        <f>IF(A107="","",posicao_contratual!U107)</f>
        <v/>
      </c>
      <c r="AI107" s="155">
        <f>IF(A107="","",posicao_contratual!G107)</f>
        <v/>
      </c>
      <c r="AJ107" s="155">
        <f>IF(A107="","",posicao_contratual!K107)</f>
        <v/>
      </c>
      <c r="AK107" s="155">
        <f>IF(A107="","",posicao_contratual!O107)</f>
        <v/>
      </c>
      <c r="AL107" s="155">
        <f>IF(A107="","",posicao_contratual!S107)</f>
        <v/>
      </c>
      <c r="AM107" s="155">
        <f>IF(A107="","",posicao_contratual!W107)</f>
        <v/>
      </c>
      <c r="AN107" s="156">
        <f>IF(A107="","",posicao_contratual!X107)</f>
        <v/>
      </c>
      <c r="AO107">
        <f>IF($A107="","",ROUND(SUMIFS(itens_Consumidos!$E$2:$E$200,itens_Consumidos!$A$2:$A$200,$A107),2))</f>
        <v/>
      </c>
      <c r="AP107">
        <f>IF(OR($A107="",AB107=""),"",ROUND(MAX(AB107-AO107,0),2))</f>
        <v/>
      </c>
      <c r="AQ107">
        <f>IF(OR($A107="",AB107="",MEMORIA_RESULTADOS!$I$258=""),"",ROUND(AB107*$C107*(MEMORIA_RESULTADOS!$I$258-1),2))</f>
        <v/>
      </c>
      <c r="AR107">
        <f>IF(OR($A107="",AP107="",MEMORIA_RESULTADOS!$I$258=""),"",ROUND(AP107*$C107*(parametros!$F$2-MEMORIA_RESULTADOS!$I$258),2))</f>
        <v/>
      </c>
      <c r="AS107">
        <f>IF($A107="","",ROUND(SUMIFS(itens_Consumidos!$G$2:$G$200,itens_Consumidos!$A$2:$A$200,$A107),2))</f>
        <v/>
      </c>
      <c r="AT107">
        <f>IF(OR($A107="",M107=""),"",ROUND(MAX(M107-AS107,0),2))</f>
        <v/>
      </c>
      <c r="AU107">
        <f>IF(OR($A107="",M107="",MEMORIA_RESULTADOS!$I$259=""),"",ROUND(M107*$C107*(MEMORIA_RESULTADOS!$I$259-1),2))</f>
        <v/>
      </c>
      <c r="AV107">
        <f>IF(OR($A107="",AT107="",MEMORIA_RESULTADOS!$I$259=""),"",ROUND(AT107*$C107*(parametros!$F$3-MEMORIA_RESULTADOS!$I$259),2))</f>
        <v/>
      </c>
      <c r="AW107">
        <f>IF($A107="","",ROUND(SUMIFS(itens_Consumidos!$I$2:$I$200,itens_Consumidos!$A$2:$A$200,$A107),2))</f>
        <v/>
      </c>
      <c r="AX107">
        <f>IF(OR($A107="",O107=""),"",ROUND(MAX(O107-AW107,0),2))</f>
        <v/>
      </c>
      <c r="AY107">
        <f>IF(OR($A107="",O107="",MEMORIA_RESULTADOS!$I$260=""),"",ROUND(O107*$C107*(MEMORIA_RESULTADOS!$I$260-1),2))</f>
        <v/>
      </c>
      <c r="AZ107">
        <f>IF(OR($A107="",AX107="",MEMORIA_RESULTADOS!$I$260=""),"",ROUND(AX107*$C107*(parametros!$F$4-MEMORIA_RESULTADOS!$I$260),2))</f>
        <v/>
      </c>
      <c r="BA107">
        <f>IF($A107="","",ROUND(SUMIFS(itens_Consumidos!$K$2:$K$200,itens_Consumidos!$A$2:$A$200,$A107),2))</f>
        <v/>
      </c>
      <c r="BB107">
        <f>IF(OR($A107="",Q107=""),"",ROUND(MAX(Q107-BA107,0),2))</f>
        <v/>
      </c>
      <c r="BC107">
        <f>IF(OR($A107="",Q107="",MEMORIA_RESULTADOS!$I$261=""),"",ROUND(Q107*$C107*(MEMORIA_RESULTADOS!$I$261-1),2))</f>
        <v/>
      </c>
      <c r="BD107">
        <f>IF(OR($A107="",BB107="",MEMORIA_RESULTADOS!$I$261=""),"",ROUND(BB107*$C107*(parametros!$F$5-MEMORIA_RESULTADOS!$I$261),2))</f>
        <v/>
      </c>
      <c r="BE107">
        <f>IF($A107="","",ROUND(SUMIFS(itens_Consumidos!$M$2:$M$200,itens_Consumidos!$A$2:$A$200,$A107),2))</f>
        <v/>
      </c>
      <c r="BF107">
        <f>IF(OR($A107="",S107=""),"",ROUND(MAX(S107-BE107,0),2))</f>
        <v/>
      </c>
      <c r="BG107">
        <f>IF(OR($A107="",S107="",MEMORIA_RESULTADOS!$I$262=""),"",ROUND(S107*$C107*(MEMORIA_RESULTADOS!$I$262-1),2))</f>
        <v/>
      </c>
      <c r="BH107">
        <f>IF(OR($A107="",BF107="",MEMORIA_RESULTADOS!$I$262=""),"",ROUND(BF107*$C107*(parametros!$F$6-MEMORIA_RESULTADOS!$I$262),2))</f>
        <v/>
      </c>
    </row>
    <row r="108">
      <c r="A108" s="86" t="n"/>
      <c r="B108" s="87">
        <f>IF(AND(LEN(TRIM($A108))=4,LEFT(TRIM($A108),1)="N",ISNUMBER(--MID(TRIM($A108),2,3)),ISERROR(FIND(".",$A108)),ISERROR(FIND(",",$A108)),ISERROR(FIND("-",$A108)),ISERROR(FIND("+",$A108)),ISERROR(SEARCH("E",$A108,2)),ISERROR(FIND(" ",TRIM($A108)))),0,"")</f>
        <v/>
      </c>
      <c r="C108" s="339" t="n"/>
      <c r="D108" s="335">
        <f>IF(AND(A108="",A107&lt;&gt;"",COUNTIF(A109:$A$200,"&lt;&gt;")=0),ROUND(SUMIF($A$2:A107,"&lt;&gt;",$D$2:D107),2),IF(OR(A108="",B108="",C108=""),"",ROUND(B108*C108,2)))</f>
        <v/>
      </c>
      <c r="E108" s="89" t="n"/>
      <c r="F108" s="335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 t="n"/>
      <c r="H108" s="335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 t="n"/>
      <c r="J108" s="335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 t="n"/>
      <c r="L108" s="335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>
        <f>IF(OR(posicao_contratual!J108="",posicao_contratual!N108=""),"",ROUND(MAX(posicao_contratual!J108+posicao_contratual!H108-posicao_contratual!N108,0),2))</f>
        <v/>
      </c>
      <c r="N108" s="335">
        <f>IF(AND(A108="",A107&lt;&gt;"",COUNTIF(A109:$A$200,"&lt;&gt;")=0),ROUND(SUMIF($A$2:A107,"&lt;&gt;",$N$2:N107),2),IF(OR(M108="",C108="",NOT(ISNUMBER($Z$3))),"",ROUND(M108*C108*$Z$3,2)))</f>
        <v/>
      </c>
      <c r="O108" s="90">
        <f>IF(OR(posicao_contratual!N108="",posicao_contratual!R108=""),"",ROUND(MAX(posicao_contratual!N108+posicao_contratual!L108-posicao_contratual!R108,0),2))</f>
        <v/>
      </c>
      <c r="P108" s="335">
        <f>IF(AND(A108="",A107&lt;&gt;"",COUNTIF(A109:$A$200,"&lt;&gt;")=0),ROUND(SUMIF($A$2:A107,"&lt;&gt;",$P$2:P107),2),IF(OR(O108="",C108="",NOT(ISNUMBER($Z$4))),"",ROUND(O108*C108*$Z$4,2)))</f>
        <v/>
      </c>
      <c r="Q108" s="90">
        <f>IF(OR(posicao_contratual!R108="",posicao_contratual!V108=""),"",ROUND(MAX(posicao_contratual!R108+posicao_contratual!P108-posicao_contratual!V108,0),2))</f>
        <v/>
      </c>
      <c r="R108" s="335">
        <f>IF(AND(A108="",A107&lt;&gt;"",COUNTIF(A109:$A$200,"&lt;&gt;")=0),ROUND(SUMIF($A$2:A107,"&lt;&gt;",$R$2:R107),2),IF(OR(Q108="",C108="",NOT(ISNUMBER($Z$5))),"",ROUND(Q108*C108*$Z$5,2)))</f>
        <v/>
      </c>
      <c r="S108" s="43" t="n"/>
      <c r="T108" s="342" t="n"/>
      <c r="U108" s="91">
        <f>IF(AND(A108="",A107&lt;&gt;"",COUNTIF(A109:$A$200,"&lt;&gt;")=0),"TOTAL",IF(A108="","",posicao_contratual!X108))</f>
        <v/>
      </c>
      <c r="V108" s="91">
        <f>IF(A108="","",posicao_contratual!X108)</f>
        <v/>
      </c>
      <c r="W108" s="13" t="n"/>
      <c r="X108" s="13" t="n"/>
      <c r="Y108" s="13" t="n"/>
      <c r="Z108" s="13" t="n"/>
      <c r="AA108" s="13" t="n"/>
      <c r="AB108" s="90">
        <f>IF(OR(A108="",posicao_contratual!E108="",posicao_contratual!J108=""),"",ROUND(MAX(posicao_contratual!E108-posicao_contratual!J108,0),2))</f>
        <v/>
      </c>
      <c r="AC108" s="335">
        <f>IF(AND(A108="",A107&lt;&gt;"",COUNTIF(A109:$A$200,"&lt;&gt;")=0),ROUND(SUMIF($A$2:A107,"&lt;&gt;",$AC$2:AC107),2),IF(OR(AB108="",C108="",NOT(ISNUMBER($Z$2))),"",ROUND(AB108*C108*$Z$2,2)))</f>
        <v/>
      </c>
      <c r="AD108" s="155">
        <f>IF(A108="","",posicao_contratual!E108)</f>
        <v/>
      </c>
      <c r="AE108" s="155">
        <f>IF(A108="","",posicao_contratual!I108)</f>
        <v/>
      </c>
      <c r="AF108" s="155">
        <f>IF(A108="","",posicao_contratual!M108)</f>
        <v/>
      </c>
      <c r="AG108" s="155">
        <f>IF(A108="","",posicao_contratual!Q108)</f>
        <v/>
      </c>
      <c r="AH108" s="155">
        <f>IF(A108="","",posicao_contratual!U108)</f>
        <v/>
      </c>
      <c r="AI108" s="155">
        <f>IF(A108="","",posicao_contratual!G108)</f>
        <v/>
      </c>
      <c r="AJ108" s="155">
        <f>IF(A108="","",posicao_contratual!K108)</f>
        <v/>
      </c>
      <c r="AK108" s="155">
        <f>IF(A108="","",posicao_contratual!O108)</f>
        <v/>
      </c>
      <c r="AL108" s="155">
        <f>IF(A108="","",posicao_contratual!S108)</f>
        <v/>
      </c>
      <c r="AM108" s="155">
        <f>IF(A108="","",posicao_contratual!W108)</f>
        <v/>
      </c>
      <c r="AN108" s="156">
        <f>IF(A108="","",posicao_contratual!X108)</f>
        <v/>
      </c>
      <c r="AO108">
        <f>IF($A108="","",ROUND(SUMIFS(itens_Consumidos!$E$2:$E$200,itens_Consumidos!$A$2:$A$200,$A108),2))</f>
        <v/>
      </c>
      <c r="AP108">
        <f>IF(OR($A108="",AB108=""),"",ROUND(MAX(AB108-AO108,0),2))</f>
        <v/>
      </c>
      <c r="AQ108">
        <f>IF(OR($A108="",AB108="",MEMORIA_RESULTADOS!$I$258=""),"",ROUND(AB108*$C108*(MEMORIA_RESULTADOS!$I$258-1),2))</f>
        <v/>
      </c>
      <c r="AR108">
        <f>IF(OR($A108="",AP108="",MEMORIA_RESULTADOS!$I$258=""),"",ROUND(AP108*$C108*(parametros!$F$2-MEMORIA_RESULTADOS!$I$258),2))</f>
        <v/>
      </c>
      <c r="AS108">
        <f>IF($A108="","",ROUND(SUMIFS(itens_Consumidos!$G$2:$G$200,itens_Consumidos!$A$2:$A$200,$A108),2))</f>
        <v/>
      </c>
      <c r="AT108">
        <f>IF(OR($A108="",M108=""),"",ROUND(MAX(M108-AS108,0),2))</f>
        <v/>
      </c>
      <c r="AU108">
        <f>IF(OR($A108="",M108="",MEMORIA_RESULTADOS!$I$259=""),"",ROUND(M108*$C108*(MEMORIA_RESULTADOS!$I$259-1),2))</f>
        <v/>
      </c>
      <c r="AV108">
        <f>IF(OR($A108="",AT108="",MEMORIA_RESULTADOS!$I$259=""),"",ROUND(AT108*$C108*(parametros!$F$3-MEMORIA_RESULTADOS!$I$259),2))</f>
        <v/>
      </c>
      <c r="AW108">
        <f>IF($A108="","",ROUND(SUMIFS(itens_Consumidos!$I$2:$I$200,itens_Consumidos!$A$2:$A$200,$A108),2))</f>
        <v/>
      </c>
      <c r="AX108">
        <f>IF(OR($A108="",O108=""),"",ROUND(MAX(O108-AW108,0),2))</f>
        <v/>
      </c>
      <c r="AY108">
        <f>IF(OR($A108="",O108="",MEMORIA_RESULTADOS!$I$260=""),"",ROUND(O108*$C108*(MEMORIA_RESULTADOS!$I$260-1),2))</f>
        <v/>
      </c>
      <c r="AZ108">
        <f>IF(OR($A108="",AX108="",MEMORIA_RESULTADOS!$I$260=""),"",ROUND(AX108*$C108*(parametros!$F$4-MEMORIA_RESULTADOS!$I$260),2))</f>
        <v/>
      </c>
      <c r="BA108">
        <f>IF($A108="","",ROUND(SUMIFS(itens_Consumidos!$K$2:$K$200,itens_Consumidos!$A$2:$A$200,$A108),2))</f>
        <v/>
      </c>
      <c r="BB108">
        <f>IF(OR($A108="",Q108=""),"",ROUND(MAX(Q108-BA108,0),2))</f>
        <v/>
      </c>
      <c r="BC108">
        <f>IF(OR($A108="",Q108="",MEMORIA_RESULTADOS!$I$261=""),"",ROUND(Q108*$C108*(MEMORIA_RESULTADOS!$I$261-1),2))</f>
        <v/>
      </c>
      <c r="BD108">
        <f>IF(OR($A108="",BB108="",MEMORIA_RESULTADOS!$I$261=""),"",ROUND(BB108*$C108*(parametros!$F$5-MEMORIA_RESULTADOS!$I$261),2))</f>
        <v/>
      </c>
      <c r="BE108">
        <f>IF($A108="","",ROUND(SUMIFS(itens_Consumidos!$M$2:$M$200,itens_Consumidos!$A$2:$A$200,$A108),2))</f>
        <v/>
      </c>
      <c r="BF108">
        <f>IF(OR($A108="",S108=""),"",ROUND(MAX(S108-BE108,0),2))</f>
        <v/>
      </c>
      <c r="BG108">
        <f>IF(OR($A108="",S108="",MEMORIA_RESULTADOS!$I$262=""),"",ROUND(S108*$C108*(MEMORIA_RESULTADOS!$I$262-1),2))</f>
        <v/>
      </c>
      <c r="BH108">
        <f>IF(OR($A108="",BF108="",MEMORIA_RESULTADOS!$I$262=""),"",ROUND(BF108*$C108*(parametros!$F$6-MEMORIA_RESULTADOS!$I$262),2))</f>
        <v/>
      </c>
    </row>
    <row r="109">
      <c r="A109" s="86" t="n"/>
      <c r="B109" s="87">
        <f>IF(AND(LEN(TRIM($A109))=4,LEFT(TRIM($A109),1)="N",ISNUMBER(--MID(TRIM($A109),2,3)),ISERROR(FIND(".",$A109)),ISERROR(FIND(",",$A109)),ISERROR(FIND("-",$A109)),ISERROR(FIND("+",$A109)),ISERROR(SEARCH("E",$A109,2)),ISERROR(FIND(" ",TRIM($A109)))),0,"")</f>
        <v/>
      </c>
      <c r="C109" s="339" t="n"/>
      <c r="D109" s="335">
        <f>IF(AND(A109="",A108&lt;&gt;"",COUNTIF(A110:$A$200,"&lt;&gt;")=0),ROUND(SUMIF($A$2:A108,"&lt;&gt;",$D$2:D108),2),IF(OR(A109="",B109="",C109=""),"",ROUND(B109*C109,2)))</f>
        <v/>
      </c>
      <c r="E109" s="89" t="n"/>
      <c r="F109" s="335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 t="n"/>
      <c r="H109" s="335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 t="n"/>
      <c r="J109" s="335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 t="n"/>
      <c r="L109" s="335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>
        <f>IF(OR(posicao_contratual!J109="",posicao_contratual!N109=""),"",ROUND(MAX(posicao_contratual!J109+posicao_contratual!H109-posicao_contratual!N109,0),2))</f>
        <v/>
      </c>
      <c r="N109" s="335">
        <f>IF(AND(A109="",A108&lt;&gt;"",COUNTIF(A110:$A$200,"&lt;&gt;")=0),ROUND(SUMIF($A$2:A108,"&lt;&gt;",$N$2:N108),2),IF(OR(M109="",C109="",NOT(ISNUMBER($Z$3))),"",ROUND(M109*C109*$Z$3,2)))</f>
        <v/>
      </c>
      <c r="O109" s="90">
        <f>IF(OR(posicao_contratual!N109="",posicao_contratual!R109=""),"",ROUND(MAX(posicao_contratual!N109+posicao_contratual!L109-posicao_contratual!R109,0),2))</f>
        <v/>
      </c>
      <c r="P109" s="335">
        <f>IF(AND(A109="",A108&lt;&gt;"",COUNTIF(A110:$A$200,"&lt;&gt;")=0),ROUND(SUMIF($A$2:A108,"&lt;&gt;",$P$2:P108),2),IF(OR(O109="",C109="",NOT(ISNUMBER($Z$4))),"",ROUND(O109*C109*$Z$4,2)))</f>
        <v/>
      </c>
      <c r="Q109" s="90">
        <f>IF(OR(posicao_contratual!R109="",posicao_contratual!V109=""),"",ROUND(MAX(posicao_contratual!R109+posicao_contratual!P109-posicao_contratual!V109,0),2))</f>
        <v/>
      </c>
      <c r="R109" s="335">
        <f>IF(AND(A109="",A108&lt;&gt;"",COUNTIF(A110:$A$200,"&lt;&gt;")=0),ROUND(SUMIF($A$2:A108,"&lt;&gt;",$R$2:R108),2),IF(OR(Q109="",C109="",NOT(ISNUMBER($Z$5))),"",ROUND(Q109*C109*$Z$5,2)))</f>
        <v/>
      </c>
      <c r="S109" s="43" t="n"/>
      <c r="T109" s="342" t="n"/>
      <c r="U109" s="91">
        <f>IF(AND(A109="",A108&lt;&gt;"",COUNTIF(A110:$A$200,"&lt;&gt;")=0),"TOTAL",IF(A109="","",posicao_contratual!X109))</f>
        <v/>
      </c>
      <c r="V109" s="91">
        <f>IF(A109="","",posicao_contratual!X109)</f>
        <v/>
      </c>
      <c r="W109" s="13" t="n"/>
      <c r="X109" s="13" t="n"/>
      <c r="Y109" s="13" t="n"/>
      <c r="Z109" s="13" t="n"/>
      <c r="AA109" s="13" t="n"/>
      <c r="AB109" s="90">
        <f>IF(OR(A109="",posicao_contratual!E109="",posicao_contratual!J109=""),"",ROUND(MAX(posicao_contratual!E109-posicao_contratual!J109,0),2))</f>
        <v/>
      </c>
      <c r="AC109" s="335">
        <f>IF(AND(A109="",A108&lt;&gt;"",COUNTIF(A110:$A$200,"&lt;&gt;")=0),ROUND(SUMIF($A$2:A108,"&lt;&gt;",$AC$2:AC108),2),IF(OR(AB109="",C109="",NOT(ISNUMBER($Z$2))),"",ROUND(AB109*C109*$Z$2,2)))</f>
        <v/>
      </c>
      <c r="AD109" s="155">
        <f>IF(A109="","",posicao_contratual!E109)</f>
        <v/>
      </c>
      <c r="AE109" s="155">
        <f>IF(A109="","",posicao_contratual!I109)</f>
        <v/>
      </c>
      <c r="AF109" s="155">
        <f>IF(A109="","",posicao_contratual!M109)</f>
        <v/>
      </c>
      <c r="AG109" s="155">
        <f>IF(A109="","",posicao_contratual!Q109)</f>
        <v/>
      </c>
      <c r="AH109" s="155">
        <f>IF(A109="","",posicao_contratual!U109)</f>
        <v/>
      </c>
      <c r="AI109" s="155">
        <f>IF(A109="","",posicao_contratual!G109)</f>
        <v/>
      </c>
      <c r="AJ109" s="155">
        <f>IF(A109="","",posicao_contratual!K109)</f>
        <v/>
      </c>
      <c r="AK109" s="155">
        <f>IF(A109="","",posicao_contratual!O109)</f>
        <v/>
      </c>
      <c r="AL109" s="155">
        <f>IF(A109="","",posicao_contratual!S109)</f>
        <v/>
      </c>
      <c r="AM109" s="155">
        <f>IF(A109="","",posicao_contratual!W109)</f>
        <v/>
      </c>
      <c r="AN109" s="156">
        <f>IF(A109="","",posicao_contratual!X109)</f>
        <v/>
      </c>
      <c r="AO109">
        <f>IF($A109="","",ROUND(SUMIFS(itens_Consumidos!$E$2:$E$200,itens_Consumidos!$A$2:$A$200,$A109),2))</f>
        <v/>
      </c>
      <c r="AP109">
        <f>IF(OR($A109="",AB109=""),"",ROUND(MAX(AB109-AO109,0),2))</f>
        <v/>
      </c>
      <c r="AQ109">
        <f>IF(OR($A109="",AB109="",MEMORIA_RESULTADOS!$I$258=""),"",ROUND(AB109*$C109*(MEMORIA_RESULTADOS!$I$258-1),2))</f>
        <v/>
      </c>
      <c r="AR109">
        <f>IF(OR($A109="",AP109="",MEMORIA_RESULTADOS!$I$258=""),"",ROUND(AP109*$C109*(parametros!$F$2-MEMORIA_RESULTADOS!$I$258),2))</f>
        <v/>
      </c>
      <c r="AS109">
        <f>IF($A109="","",ROUND(SUMIFS(itens_Consumidos!$G$2:$G$200,itens_Consumidos!$A$2:$A$200,$A109),2))</f>
        <v/>
      </c>
      <c r="AT109">
        <f>IF(OR($A109="",M109=""),"",ROUND(MAX(M109-AS109,0),2))</f>
        <v/>
      </c>
      <c r="AU109">
        <f>IF(OR($A109="",M109="",MEMORIA_RESULTADOS!$I$259=""),"",ROUND(M109*$C109*(MEMORIA_RESULTADOS!$I$259-1),2))</f>
        <v/>
      </c>
      <c r="AV109">
        <f>IF(OR($A109="",AT109="",MEMORIA_RESULTADOS!$I$259=""),"",ROUND(AT109*$C109*(parametros!$F$3-MEMORIA_RESULTADOS!$I$259),2))</f>
        <v/>
      </c>
      <c r="AW109">
        <f>IF($A109="","",ROUND(SUMIFS(itens_Consumidos!$I$2:$I$200,itens_Consumidos!$A$2:$A$200,$A109),2))</f>
        <v/>
      </c>
      <c r="AX109">
        <f>IF(OR($A109="",O109=""),"",ROUND(MAX(O109-AW109,0),2))</f>
        <v/>
      </c>
      <c r="AY109">
        <f>IF(OR($A109="",O109="",MEMORIA_RESULTADOS!$I$260=""),"",ROUND(O109*$C109*(MEMORIA_RESULTADOS!$I$260-1),2))</f>
        <v/>
      </c>
      <c r="AZ109">
        <f>IF(OR($A109="",AX109="",MEMORIA_RESULTADOS!$I$260=""),"",ROUND(AX109*$C109*(parametros!$F$4-MEMORIA_RESULTADOS!$I$260),2))</f>
        <v/>
      </c>
      <c r="BA109">
        <f>IF($A109="","",ROUND(SUMIFS(itens_Consumidos!$K$2:$K$200,itens_Consumidos!$A$2:$A$200,$A109),2))</f>
        <v/>
      </c>
      <c r="BB109">
        <f>IF(OR($A109="",Q109=""),"",ROUND(MAX(Q109-BA109,0),2))</f>
        <v/>
      </c>
      <c r="BC109">
        <f>IF(OR($A109="",Q109="",MEMORIA_RESULTADOS!$I$261=""),"",ROUND(Q109*$C109*(MEMORIA_RESULTADOS!$I$261-1),2))</f>
        <v/>
      </c>
      <c r="BD109">
        <f>IF(OR($A109="",BB109="",MEMORIA_RESULTADOS!$I$261=""),"",ROUND(BB109*$C109*(parametros!$F$5-MEMORIA_RESULTADOS!$I$261),2))</f>
        <v/>
      </c>
      <c r="BE109">
        <f>IF($A109="","",ROUND(SUMIFS(itens_Consumidos!$M$2:$M$200,itens_Consumidos!$A$2:$A$200,$A109),2))</f>
        <v/>
      </c>
      <c r="BF109">
        <f>IF(OR($A109="",S109=""),"",ROUND(MAX(S109-BE109,0),2))</f>
        <v/>
      </c>
      <c r="BG109">
        <f>IF(OR($A109="",S109="",MEMORIA_RESULTADOS!$I$262=""),"",ROUND(S109*$C109*(MEMORIA_RESULTADOS!$I$262-1),2))</f>
        <v/>
      </c>
      <c r="BH109">
        <f>IF(OR($A109="",BF109="",MEMORIA_RESULTADOS!$I$262=""),"",ROUND(BF109*$C109*(parametros!$F$6-MEMORIA_RESULTADOS!$I$262),2))</f>
        <v/>
      </c>
    </row>
    <row r="110">
      <c r="A110" s="86" t="n"/>
      <c r="B110" s="87">
        <f>IF(AND(LEN(TRIM($A110))=4,LEFT(TRIM($A110),1)="N",ISNUMBER(--MID(TRIM($A110),2,3)),ISERROR(FIND(".",$A110)),ISERROR(FIND(",",$A110)),ISERROR(FIND("-",$A110)),ISERROR(FIND("+",$A110)),ISERROR(SEARCH("E",$A110,2)),ISERROR(FIND(" ",TRIM($A110)))),0,"")</f>
        <v/>
      </c>
      <c r="C110" s="339" t="n"/>
      <c r="D110" s="335">
        <f>IF(AND(A110="",A109&lt;&gt;"",COUNTIF(A111:$A$200,"&lt;&gt;")=0),ROUND(SUMIF($A$2:A109,"&lt;&gt;",$D$2:D109),2),IF(OR(A110="",B110="",C110=""),"",ROUND(B110*C110,2)))</f>
        <v/>
      </c>
      <c r="E110" s="89" t="n"/>
      <c r="F110" s="335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 t="n"/>
      <c r="H110" s="335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 t="n"/>
      <c r="J110" s="335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 t="n"/>
      <c r="L110" s="335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>
        <f>IF(OR(posicao_contratual!J110="",posicao_contratual!N110=""),"",ROUND(MAX(posicao_contratual!J110+posicao_contratual!H110-posicao_contratual!N110,0),2))</f>
        <v/>
      </c>
      <c r="N110" s="335">
        <f>IF(AND(A110="",A109&lt;&gt;"",COUNTIF(A111:$A$200,"&lt;&gt;")=0),ROUND(SUMIF($A$2:A109,"&lt;&gt;",$N$2:N109),2),IF(OR(M110="",C110="",NOT(ISNUMBER($Z$3))),"",ROUND(M110*C110*$Z$3,2)))</f>
        <v/>
      </c>
      <c r="O110" s="90">
        <f>IF(OR(posicao_contratual!N110="",posicao_contratual!R110=""),"",ROUND(MAX(posicao_contratual!N110+posicao_contratual!L110-posicao_contratual!R110,0),2))</f>
        <v/>
      </c>
      <c r="P110" s="335">
        <f>IF(AND(A110="",A109&lt;&gt;"",COUNTIF(A111:$A$200,"&lt;&gt;")=0),ROUND(SUMIF($A$2:A109,"&lt;&gt;",$P$2:P109),2),IF(OR(O110="",C110="",NOT(ISNUMBER($Z$4))),"",ROUND(O110*C110*$Z$4,2)))</f>
        <v/>
      </c>
      <c r="Q110" s="90">
        <f>IF(OR(posicao_contratual!R110="",posicao_contratual!V110=""),"",ROUND(MAX(posicao_contratual!R110+posicao_contratual!P110-posicao_contratual!V110,0),2))</f>
        <v/>
      </c>
      <c r="R110" s="335">
        <f>IF(AND(A110="",A109&lt;&gt;"",COUNTIF(A111:$A$200,"&lt;&gt;")=0),ROUND(SUMIF($A$2:A109,"&lt;&gt;",$R$2:R109),2),IF(OR(Q110="",C110="",NOT(ISNUMBER($Z$5))),"",ROUND(Q110*C110*$Z$5,2)))</f>
        <v/>
      </c>
      <c r="S110" s="43" t="n"/>
      <c r="T110" s="342" t="n"/>
      <c r="U110" s="91">
        <f>IF(AND(A110="",A109&lt;&gt;"",COUNTIF(A111:$A$200,"&lt;&gt;")=0),"TOTAL",IF(A110="","",posicao_contratual!X110))</f>
        <v/>
      </c>
      <c r="V110" s="91">
        <f>IF(A110="","",posicao_contratual!X110)</f>
        <v/>
      </c>
      <c r="W110" s="13" t="n"/>
      <c r="X110" s="13" t="n"/>
      <c r="Y110" s="13" t="n"/>
      <c r="Z110" s="13" t="n"/>
      <c r="AA110" s="13" t="n"/>
      <c r="AB110" s="90">
        <f>IF(OR(A110="",posicao_contratual!E110="",posicao_contratual!J110=""),"",ROUND(MAX(posicao_contratual!E110-posicao_contratual!J110,0),2))</f>
        <v/>
      </c>
      <c r="AC110" s="335">
        <f>IF(AND(A110="",A109&lt;&gt;"",COUNTIF(A111:$A$200,"&lt;&gt;")=0),ROUND(SUMIF($A$2:A109,"&lt;&gt;",$AC$2:AC109),2),IF(OR(AB110="",C110="",NOT(ISNUMBER($Z$2))),"",ROUND(AB110*C110*$Z$2,2)))</f>
        <v/>
      </c>
      <c r="AD110" s="155">
        <f>IF(A110="","",posicao_contratual!E110)</f>
        <v/>
      </c>
      <c r="AE110" s="155">
        <f>IF(A110="","",posicao_contratual!I110)</f>
        <v/>
      </c>
      <c r="AF110" s="155">
        <f>IF(A110="","",posicao_contratual!M110)</f>
        <v/>
      </c>
      <c r="AG110" s="155">
        <f>IF(A110="","",posicao_contratual!Q110)</f>
        <v/>
      </c>
      <c r="AH110" s="155">
        <f>IF(A110="","",posicao_contratual!U110)</f>
        <v/>
      </c>
      <c r="AI110" s="155">
        <f>IF(A110="","",posicao_contratual!G110)</f>
        <v/>
      </c>
      <c r="AJ110" s="155">
        <f>IF(A110="","",posicao_contratual!K110)</f>
        <v/>
      </c>
      <c r="AK110" s="155">
        <f>IF(A110="","",posicao_contratual!O110)</f>
        <v/>
      </c>
      <c r="AL110" s="155">
        <f>IF(A110="","",posicao_contratual!S110)</f>
        <v/>
      </c>
      <c r="AM110" s="155">
        <f>IF(A110="","",posicao_contratual!W110)</f>
        <v/>
      </c>
      <c r="AN110" s="156">
        <f>IF(A110="","",posicao_contratual!X110)</f>
        <v/>
      </c>
      <c r="AO110">
        <f>IF($A110="","",ROUND(SUMIFS(itens_Consumidos!$E$2:$E$200,itens_Consumidos!$A$2:$A$200,$A110),2))</f>
        <v/>
      </c>
      <c r="AP110">
        <f>IF(OR($A110="",AB110=""),"",ROUND(MAX(AB110-AO110,0),2))</f>
        <v/>
      </c>
      <c r="AQ110">
        <f>IF(OR($A110="",AB110="",MEMORIA_RESULTADOS!$I$258=""),"",ROUND(AB110*$C110*(MEMORIA_RESULTADOS!$I$258-1),2))</f>
        <v/>
      </c>
      <c r="AR110">
        <f>IF(OR($A110="",AP110="",MEMORIA_RESULTADOS!$I$258=""),"",ROUND(AP110*$C110*(parametros!$F$2-MEMORIA_RESULTADOS!$I$258),2))</f>
        <v/>
      </c>
      <c r="AS110">
        <f>IF($A110="","",ROUND(SUMIFS(itens_Consumidos!$G$2:$G$200,itens_Consumidos!$A$2:$A$200,$A110),2))</f>
        <v/>
      </c>
      <c r="AT110">
        <f>IF(OR($A110="",M110=""),"",ROUND(MAX(M110-AS110,0),2))</f>
        <v/>
      </c>
      <c r="AU110">
        <f>IF(OR($A110="",M110="",MEMORIA_RESULTADOS!$I$259=""),"",ROUND(M110*$C110*(MEMORIA_RESULTADOS!$I$259-1),2))</f>
        <v/>
      </c>
      <c r="AV110">
        <f>IF(OR($A110="",AT110="",MEMORIA_RESULTADOS!$I$259=""),"",ROUND(AT110*$C110*(parametros!$F$3-MEMORIA_RESULTADOS!$I$259),2))</f>
        <v/>
      </c>
      <c r="AW110">
        <f>IF($A110="","",ROUND(SUMIFS(itens_Consumidos!$I$2:$I$200,itens_Consumidos!$A$2:$A$200,$A110),2))</f>
        <v/>
      </c>
      <c r="AX110">
        <f>IF(OR($A110="",O110=""),"",ROUND(MAX(O110-AW110,0),2))</f>
        <v/>
      </c>
      <c r="AY110">
        <f>IF(OR($A110="",O110="",MEMORIA_RESULTADOS!$I$260=""),"",ROUND(O110*$C110*(MEMORIA_RESULTADOS!$I$260-1),2))</f>
        <v/>
      </c>
      <c r="AZ110">
        <f>IF(OR($A110="",AX110="",MEMORIA_RESULTADOS!$I$260=""),"",ROUND(AX110*$C110*(parametros!$F$4-MEMORIA_RESULTADOS!$I$260),2))</f>
        <v/>
      </c>
      <c r="BA110">
        <f>IF($A110="","",ROUND(SUMIFS(itens_Consumidos!$K$2:$K$200,itens_Consumidos!$A$2:$A$200,$A110),2))</f>
        <v/>
      </c>
      <c r="BB110">
        <f>IF(OR($A110="",Q110=""),"",ROUND(MAX(Q110-BA110,0),2))</f>
        <v/>
      </c>
      <c r="BC110">
        <f>IF(OR($A110="",Q110="",MEMORIA_RESULTADOS!$I$261=""),"",ROUND(Q110*$C110*(MEMORIA_RESULTADOS!$I$261-1),2))</f>
        <v/>
      </c>
      <c r="BD110">
        <f>IF(OR($A110="",BB110="",MEMORIA_RESULTADOS!$I$261=""),"",ROUND(BB110*$C110*(parametros!$F$5-MEMORIA_RESULTADOS!$I$261),2))</f>
        <v/>
      </c>
      <c r="BE110">
        <f>IF($A110="","",ROUND(SUMIFS(itens_Consumidos!$M$2:$M$200,itens_Consumidos!$A$2:$A$200,$A110),2))</f>
        <v/>
      </c>
      <c r="BF110">
        <f>IF(OR($A110="",S110=""),"",ROUND(MAX(S110-BE110,0),2))</f>
        <v/>
      </c>
      <c r="BG110">
        <f>IF(OR($A110="",S110="",MEMORIA_RESULTADOS!$I$262=""),"",ROUND(S110*$C110*(MEMORIA_RESULTADOS!$I$262-1),2))</f>
        <v/>
      </c>
      <c r="BH110">
        <f>IF(OR($A110="",BF110="",MEMORIA_RESULTADOS!$I$262=""),"",ROUND(BF110*$C110*(parametros!$F$6-MEMORIA_RESULTADOS!$I$262),2))</f>
        <v/>
      </c>
    </row>
    <row r="111">
      <c r="A111" s="86" t="n"/>
      <c r="B111" s="87">
        <f>IF(AND(LEN(TRIM($A111))=4,LEFT(TRIM($A111),1)="N",ISNUMBER(--MID(TRIM($A111),2,3)),ISERROR(FIND(".",$A111)),ISERROR(FIND(",",$A111)),ISERROR(FIND("-",$A111)),ISERROR(FIND("+",$A111)),ISERROR(SEARCH("E",$A111,2)),ISERROR(FIND(" ",TRIM($A111)))),0,"")</f>
        <v/>
      </c>
      <c r="C111" s="339" t="n"/>
      <c r="D111" s="335">
        <f>IF(AND(A111="",A110&lt;&gt;"",COUNTIF(A112:$A$200,"&lt;&gt;")=0),ROUND(SUMIF($A$2:A110,"&lt;&gt;",$D$2:D110),2),IF(OR(A111="",B111="",C111=""),"",ROUND(B111*C111,2)))</f>
        <v/>
      </c>
      <c r="E111" s="89" t="n"/>
      <c r="F111" s="335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 t="n"/>
      <c r="H111" s="335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 t="n"/>
      <c r="J111" s="335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 t="n"/>
      <c r="L111" s="335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>
        <f>IF(OR(posicao_contratual!J111="",posicao_contratual!N111=""),"",ROUND(MAX(posicao_contratual!J111+posicao_contratual!H111-posicao_contratual!N111,0),2))</f>
        <v/>
      </c>
      <c r="N111" s="335">
        <f>IF(AND(A111="",A110&lt;&gt;"",COUNTIF(A112:$A$200,"&lt;&gt;")=0),ROUND(SUMIF($A$2:A110,"&lt;&gt;",$N$2:N110),2),IF(OR(M111="",C111="",NOT(ISNUMBER($Z$3))),"",ROUND(M111*C111*$Z$3,2)))</f>
        <v/>
      </c>
      <c r="O111" s="90">
        <f>IF(OR(posicao_contratual!N111="",posicao_contratual!R111=""),"",ROUND(MAX(posicao_contratual!N111+posicao_contratual!L111-posicao_contratual!R111,0),2))</f>
        <v/>
      </c>
      <c r="P111" s="335">
        <f>IF(AND(A111="",A110&lt;&gt;"",COUNTIF(A112:$A$200,"&lt;&gt;")=0),ROUND(SUMIF($A$2:A110,"&lt;&gt;",$P$2:P110),2),IF(OR(O111="",C111="",NOT(ISNUMBER($Z$4))),"",ROUND(O111*C111*$Z$4,2)))</f>
        <v/>
      </c>
      <c r="Q111" s="90">
        <f>IF(OR(posicao_contratual!R111="",posicao_contratual!V111=""),"",ROUND(MAX(posicao_contratual!R111+posicao_contratual!P111-posicao_contratual!V111,0),2))</f>
        <v/>
      </c>
      <c r="R111" s="335">
        <f>IF(AND(A111="",A110&lt;&gt;"",COUNTIF(A112:$A$200,"&lt;&gt;")=0),ROUND(SUMIF($A$2:A110,"&lt;&gt;",$R$2:R110),2),IF(OR(Q111="",C111="",NOT(ISNUMBER($Z$5))),"",ROUND(Q111*C111*$Z$5,2)))</f>
        <v/>
      </c>
      <c r="S111" s="43" t="n"/>
      <c r="T111" s="342" t="n"/>
      <c r="U111" s="91">
        <f>IF(AND(A111="",A110&lt;&gt;"",COUNTIF(A112:$A$200,"&lt;&gt;")=0),"TOTAL",IF(A111="","",posicao_contratual!X111))</f>
        <v/>
      </c>
      <c r="V111" s="91">
        <f>IF(A111="","",posicao_contratual!X111)</f>
        <v/>
      </c>
      <c r="W111" s="13" t="n"/>
      <c r="X111" s="13" t="n"/>
      <c r="Y111" s="13" t="n"/>
      <c r="Z111" s="13" t="n"/>
      <c r="AA111" s="13" t="n"/>
      <c r="AB111" s="90">
        <f>IF(OR(A111="",posicao_contratual!E111="",posicao_contratual!J111=""),"",ROUND(MAX(posicao_contratual!E111-posicao_contratual!J111,0),2))</f>
        <v/>
      </c>
      <c r="AC111" s="335">
        <f>IF(AND(A111="",A110&lt;&gt;"",COUNTIF(A112:$A$200,"&lt;&gt;")=0),ROUND(SUMIF($A$2:A110,"&lt;&gt;",$AC$2:AC110),2),IF(OR(AB111="",C111="",NOT(ISNUMBER($Z$2))),"",ROUND(AB111*C111*$Z$2,2)))</f>
        <v/>
      </c>
      <c r="AD111" s="155">
        <f>IF(A111="","",posicao_contratual!E111)</f>
        <v/>
      </c>
      <c r="AE111" s="155">
        <f>IF(A111="","",posicao_contratual!I111)</f>
        <v/>
      </c>
      <c r="AF111" s="155">
        <f>IF(A111="","",posicao_contratual!M111)</f>
        <v/>
      </c>
      <c r="AG111" s="155">
        <f>IF(A111="","",posicao_contratual!Q111)</f>
        <v/>
      </c>
      <c r="AH111" s="155">
        <f>IF(A111="","",posicao_contratual!U111)</f>
        <v/>
      </c>
      <c r="AI111" s="155">
        <f>IF(A111="","",posicao_contratual!G111)</f>
        <v/>
      </c>
      <c r="AJ111" s="155">
        <f>IF(A111="","",posicao_contratual!K111)</f>
        <v/>
      </c>
      <c r="AK111" s="155">
        <f>IF(A111="","",posicao_contratual!O111)</f>
        <v/>
      </c>
      <c r="AL111" s="155">
        <f>IF(A111="","",posicao_contratual!S111)</f>
        <v/>
      </c>
      <c r="AM111" s="155">
        <f>IF(A111="","",posicao_contratual!W111)</f>
        <v/>
      </c>
      <c r="AN111" s="156">
        <f>IF(A111="","",posicao_contratual!X111)</f>
        <v/>
      </c>
      <c r="AO111">
        <f>IF($A111="","",ROUND(SUMIFS(itens_Consumidos!$E$2:$E$200,itens_Consumidos!$A$2:$A$200,$A111),2))</f>
        <v/>
      </c>
      <c r="AP111">
        <f>IF(OR($A111="",AB111=""),"",ROUND(MAX(AB111-AO111,0),2))</f>
        <v/>
      </c>
      <c r="AQ111">
        <f>IF(OR($A111="",AB111="",MEMORIA_RESULTADOS!$I$258=""),"",ROUND(AB111*$C111*(MEMORIA_RESULTADOS!$I$258-1),2))</f>
        <v/>
      </c>
      <c r="AR111">
        <f>IF(OR($A111="",AP111="",MEMORIA_RESULTADOS!$I$258=""),"",ROUND(AP111*$C111*(parametros!$F$2-MEMORIA_RESULTADOS!$I$258),2))</f>
        <v/>
      </c>
      <c r="AS111">
        <f>IF($A111="","",ROUND(SUMIFS(itens_Consumidos!$G$2:$G$200,itens_Consumidos!$A$2:$A$200,$A111),2))</f>
        <v/>
      </c>
      <c r="AT111">
        <f>IF(OR($A111="",M111=""),"",ROUND(MAX(M111-AS111,0),2))</f>
        <v/>
      </c>
      <c r="AU111">
        <f>IF(OR($A111="",M111="",MEMORIA_RESULTADOS!$I$259=""),"",ROUND(M111*$C111*(MEMORIA_RESULTADOS!$I$259-1),2))</f>
        <v/>
      </c>
      <c r="AV111">
        <f>IF(OR($A111="",AT111="",MEMORIA_RESULTADOS!$I$259=""),"",ROUND(AT111*$C111*(parametros!$F$3-MEMORIA_RESULTADOS!$I$259),2))</f>
        <v/>
      </c>
      <c r="AW111">
        <f>IF($A111="","",ROUND(SUMIFS(itens_Consumidos!$I$2:$I$200,itens_Consumidos!$A$2:$A$200,$A111),2))</f>
        <v/>
      </c>
      <c r="AX111">
        <f>IF(OR($A111="",O111=""),"",ROUND(MAX(O111-AW111,0),2))</f>
        <v/>
      </c>
      <c r="AY111">
        <f>IF(OR($A111="",O111="",MEMORIA_RESULTADOS!$I$260=""),"",ROUND(O111*$C111*(MEMORIA_RESULTADOS!$I$260-1),2))</f>
        <v/>
      </c>
      <c r="AZ111">
        <f>IF(OR($A111="",AX111="",MEMORIA_RESULTADOS!$I$260=""),"",ROUND(AX111*$C111*(parametros!$F$4-MEMORIA_RESULTADOS!$I$260),2))</f>
        <v/>
      </c>
      <c r="BA111">
        <f>IF($A111="","",ROUND(SUMIFS(itens_Consumidos!$K$2:$K$200,itens_Consumidos!$A$2:$A$200,$A111),2))</f>
        <v/>
      </c>
      <c r="BB111">
        <f>IF(OR($A111="",Q111=""),"",ROUND(MAX(Q111-BA111,0),2))</f>
        <v/>
      </c>
      <c r="BC111">
        <f>IF(OR($A111="",Q111="",MEMORIA_RESULTADOS!$I$261=""),"",ROUND(Q111*$C111*(MEMORIA_RESULTADOS!$I$261-1),2))</f>
        <v/>
      </c>
      <c r="BD111">
        <f>IF(OR($A111="",BB111="",MEMORIA_RESULTADOS!$I$261=""),"",ROUND(BB111*$C111*(parametros!$F$5-MEMORIA_RESULTADOS!$I$261),2))</f>
        <v/>
      </c>
      <c r="BE111">
        <f>IF($A111="","",ROUND(SUMIFS(itens_Consumidos!$M$2:$M$200,itens_Consumidos!$A$2:$A$200,$A111),2))</f>
        <v/>
      </c>
      <c r="BF111">
        <f>IF(OR($A111="",S111=""),"",ROUND(MAX(S111-BE111,0),2))</f>
        <v/>
      </c>
      <c r="BG111">
        <f>IF(OR($A111="",S111="",MEMORIA_RESULTADOS!$I$262=""),"",ROUND(S111*$C111*(MEMORIA_RESULTADOS!$I$262-1),2))</f>
        <v/>
      </c>
      <c r="BH111">
        <f>IF(OR($A111="",BF111="",MEMORIA_RESULTADOS!$I$262=""),"",ROUND(BF111*$C111*(parametros!$F$6-MEMORIA_RESULTADOS!$I$262),2))</f>
        <v/>
      </c>
    </row>
    <row r="112">
      <c r="A112" s="86" t="n"/>
      <c r="B112" s="87">
        <f>IF(AND(LEN(TRIM($A112))=4,LEFT(TRIM($A112),1)="N",ISNUMBER(--MID(TRIM($A112),2,3)),ISERROR(FIND(".",$A112)),ISERROR(FIND(",",$A112)),ISERROR(FIND("-",$A112)),ISERROR(FIND("+",$A112)),ISERROR(SEARCH("E",$A112,2)),ISERROR(FIND(" ",TRIM($A112)))),0,"")</f>
        <v/>
      </c>
      <c r="C112" s="339" t="n"/>
      <c r="D112" s="335">
        <f>IF(AND(A112="",A111&lt;&gt;"",COUNTIF(A113:$A$200,"&lt;&gt;")=0),ROUND(SUMIF($A$2:A111,"&lt;&gt;",$D$2:D111),2),IF(OR(A112="",B112="",C112=""),"",ROUND(B112*C112,2)))</f>
        <v/>
      </c>
      <c r="E112" s="89" t="n"/>
      <c r="F112" s="335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 t="n"/>
      <c r="H112" s="335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 t="n"/>
      <c r="J112" s="335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 t="n"/>
      <c r="L112" s="335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>
        <f>IF(OR(posicao_contratual!J112="",posicao_contratual!N112=""),"",ROUND(MAX(posicao_contratual!J112+posicao_contratual!H112-posicao_contratual!N112,0),2))</f>
        <v/>
      </c>
      <c r="N112" s="335">
        <f>IF(AND(A112="",A111&lt;&gt;"",COUNTIF(A113:$A$200,"&lt;&gt;")=0),ROUND(SUMIF($A$2:A111,"&lt;&gt;",$N$2:N111),2),IF(OR(M112="",C112="",NOT(ISNUMBER($Z$3))),"",ROUND(M112*C112*$Z$3,2)))</f>
        <v/>
      </c>
      <c r="O112" s="90">
        <f>IF(OR(posicao_contratual!N112="",posicao_contratual!R112=""),"",ROUND(MAX(posicao_contratual!N112+posicao_contratual!L112-posicao_contratual!R112,0),2))</f>
        <v/>
      </c>
      <c r="P112" s="335">
        <f>IF(AND(A112="",A111&lt;&gt;"",COUNTIF(A113:$A$200,"&lt;&gt;")=0),ROUND(SUMIF($A$2:A111,"&lt;&gt;",$P$2:P111),2),IF(OR(O112="",C112="",NOT(ISNUMBER($Z$4))),"",ROUND(O112*C112*$Z$4,2)))</f>
        <v/>
      </c>
      <c r="Q112" s="90">
        <f>IF(OR(posicao_contratual!R112="",posicao_contratual!V112=""),"",ROUND(MAX(posicao_contratual!R112+posicao_contratual!P112-posicao_contratual!V112,0),2))</f>
        <v/>
      </c>
      <c r="R112" s="335">
        <f>IF(AND(A112="",A111&lt;&gt;"",COUNTIF(A113:$A$200,"&lt;&gt;")=0),ROUND(SUMIF($A$2:A111,"&lt;&gt;",$R$2:R111),2),IF(OR(Q112="",C112="",NOT(ISNUMBER($Z$5))),"",ROUND(Q112*C112*$Z$5,2)))</f>
        <v/>
      </c>
      <c r="S112" s="43" t="n"/>
      <c r="T112" s="342" t="n"/>
      <c r="U112" s="91">
        <f>IF(AND(A112="",A111&lt;&gt;"",COUNTIF(A113:$A$200,"&lt;&gt;")=0),"TOTAL",IF(A112="","",posicao_contratual!X112))</f>
        <v/>
      </c>
      <c r="V112" s="91">
        <f>IF(A112="","",posicao_contratual!X112)</f>
        <v/>
      </c>
      <c r="W112" s="13" t="n"/>
      <c r="X112" s="13" t="n"/>
      <c r="Y112" s="13" t="n"/>
      <c r="Z112" s="13" t="n"/>
      <c r="AA112" s="13" t="n"/>
      <c r="AB112" s="90">
        <f>IF(OR(A112="",posicao_contratual!E112="",posicao_contratual!J112=""),"",ROUND(MAX(posicao_contratual!E112-posicao_contratual!J112,0),2))</f>
        <v/>
      </c>
      <c r="AC112" s="335">
        <f>IF(AND(A112="",A111&lt;&gt;"",COUNTIF(A113:$A$200,"&lt;&gt;")=0),ROUND(SUMIF($A$2:A111,"&lt;&gt;",$AC$2:AC111),2),IF(OR(AB112="",C112="",NOT(ISNUMBER($Z$2))),"",ROUND(AB112*C112*$Z$2,2)))</f>
        <v/>
      </c>
      <c r="AD112" s="155">
        <f>IF(A112="","",posicao_contratual!E112)</f>
        <v/>
      </c>
      <c r="AE112" s="155">
        <f>IF(A112="","",posicao_contratual!I112)</f>
        <v/>
      </c>
      <c r="AF112" s="155">
        <f>IF(A112="","",posicao_contratual!M112)</f>
        <v/>
      </c>
      <c r="AG112" s="155">
        <f>IF(A112="","",posicao_contratual!Q112)</f>
        <v/>
      </c>
      <c r="AH112" s="155">
        <f>IF(A112="","",posicao_contratual!U112)</f>
        <v/>
      </c>
      <c r="AI112" s="155">
        <f>IF(A112="","",posicao_contratual!G112)</f>
        <v/>
      </c>
      <c r="AJ112" s="155">
        <f>IF(A112="","",posicao_contratual!K112)</f>
        <v/>
      </c>
      <c r="AK112" s="155">
        <f>IF(A112="","",posicao_contratual!O112)</f>
        <v/>
      </c>
      <c r="AL112" s="155">
        <f>IF(A112="","",posicao_contratual!S112)</f>
        <v/>
      </c>
      <c r="AM112" s="155">
        <f>IF(A112="","",posicao_contratual!W112)</f>
        <v/>
      </c>
      <c r="AN112" s="156">
        <f>IF(A112="","",posicao_contratual!X112)</f>
        <v/>
      </c>
      <c r="AO112">
        <f>IF($A112="","",ROUND(SUMIFS(itens_Consumidos!$E$2:$E$200,itens_Consumidos!$A$2:$A$200,$A112),2))</f>
        <v/>
      </c>
      <c r="AP112">
        <f>IF(OR($A112="",AB112=""),"",ROUND(MAX(AB112-AO112,0),2))</f>
        <v/>
      </c>
      <c r="AQ112">
        <f>IF(OR($A112="",AB112="",MEMORIA_RESULTADOS!$I$258=""),"",ROUND(AB112*$C112*(MEMORIA_RESULTADOS!$I$258-1),2))</f>
        <v/>
      </c>
      <c r="AR112">
        <f>IF(OR($A112="",AP112="",MEMORIA_RESULTADOS!$I$258=""),"",ROUND(AP112*$C112*(parametros!$F$2-MEMORIA_RESULTADOS!$I$258),2))</f>
        <v/>
      </c>
      <c r="AS112">
        <f>IF($A112="","",ROUND(SUMIFS(itens_Consumidos!$G$2:$G$200,itens_Consumidos!$A$2:$A$200,$A112),2))</f>
        <v/>
      </c>
      <c r="AT112">
        <f>IF(OR($A112="",M112=""),"",ROUND(MAX(M112-AS112,0),2))</f>
        <v/>
      </c>
      <c r="AU112">
        <f>IF(OR($A112="",M112="",MEMORIA_RESULTADOS!$I$259=""),"",ROUND(M112*$C112*(MEMORIA_RESULTADOS!$I$259-1),2))</f>
        <v/>
      </c>
      <c r="AV112">
        <f>IF(OR($A112="",AT112="",MEMORIA_RESULTADOS!$I$259=""),"",ROUND(AT112*$C112*(parametros!$F$3-MEMORIA_RESULTADOS!$I$259),2))</f>
        <v/>
      </c>
      <c r="AW112">
        <f>IF($A112="","",ROUND(SUMIFS(itens_Consumidos!$I$2:$I$200,itens_Consumidos!$A$2:$A$200,$A112),2))</f>
        <v/>
      </c>
      <c r="AX112">
        <f>IF(OR($A112="",O112=""),"",ROUND(MAX(O112-AW112,0),2))</f>
        <v/>
      </c>
      <c r="AY112">
        <f>IF(OR($A112="",O112="",MEMORIA_RESULTADOS!$I$260=""),"",ROUND(O112*$C112*(MEMORIA_RESULTADOS!$I$260-1),2))</f>
        <v/>
      </c>
      <c r="AZ112">
        <f>IF(OR($A112="",AX112="",MEMORIA_RESULTADOS!$I$260=""),"",ROUND(AX112*$C112*(parametros!$F$4-MEMORIA_RESULTADOS!$I$260),2))</f>
        <v/>
      </c>
      <c r="BA112">
        <f>IF($A112="","",ROUND(SUMIFS(itens_Consumidos!$K$2:$K$200,itens_Consumidos!$A$2:$A$200,$A112),2))</f>
        <v/>
      </c>
      <c r="BB112">
        <f>IF(OR($A112="",Q112=""),"",ROUND(MAX(Q112-BA112,0),2))</f>
        <v/>
      </c>
      <c r="BC112">
        <f>IF(OR($A112="",Q112="",MEMORIA_RESULTADOS!$I$261=""),"",ROUND(Q112*$C112*(MEMORIA_RESULTADOS!$I$261-1),2))</f>
        <v/>
      </c>
      <c r="BD112">
        <f>IF(OR($A112="",BB112="",MEMORIA_RESULTADOS!$I$261=""),"",ROUND(BB112*$C112*(parametros!$F$5-MEMORIA_RESULTADOS!$I$261),2))</f>
        <v/>
      </c>
      <c r="BE112">
        <f>IF($A112="","",ROUND(SUMIFS(itens_Consumidos!$M$2:$M$200,itens_Consumidos!$A$2:$A$200,$A112),2))</f>
        <v/>
      </c>
      <c r="BF112">
        <f>IF(OR($A112="",S112=""),"",ROUND(MAX(S112-BE112,0),2))</f>
        <v/>
      </c>
      <c r="BG112">
        <f>IF(OR($A112="",S112="",MEMORIA_RESULTADOS!$I$262=""),"",ROUND(S112*$C112*(MEMORIA_RESULTADOS!$I$262-1),2))</f>
        <v/>
      </c>
      <c r="BH112">
        <f>IF(OR($A112="",BF112="",MEMORIA_RESULTADOS!$I$262=""),"",ROUND(BF112*$C112*(parametros!$F$6-MEMORIA_RESULTADOS!$I$262),2))</f>
        <v/>
      </c>
    </row>
    <row r="113">
      <c r="A113" s="86" t="n"/>
      <c r="B113" s="87">
        <f>IF(AND(LEN(TRIM($A113))=4,LEFT(TRIM($A113),1)="N",ISNUMBER(--MID(TRIM($A113),2,3)),ISERROR(FIND(".",$A113)),ISERROR(FIND(",",$A113)),ISERROR(FIND("-",$A113)),ISERROR(FIND("+",$A113)),ISERROR(SEARCH("E",$A113,2)),ISERROR(FIND(" ",TRIM($A113)))),0,"")</f>
        <v/>
      </c>
      <c r="C113" s="339" t="n"/>
      <c r="D113" s="335">
        <f>IF(AND(A113="",A112&lt;&gt;"",COUNTIF(A114:$A$200,"&lt;&gt;")=0),ROUND(SUMIF($A$2:A112,"&lt;&gt;",$D$2:D112),2),IF(OR(A113="",B113="",C113=""),"",ROUND(B113*C113,2)))</f>
        <v/>
      </c>
      <c r="E113" s="89" t="n"/>
      <c r="F113" s="335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 t="n"/>
      <c r="H113" s="335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 t="n"/>
      <c r="J113" s="335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 t="n"/>
      <c r="L113" s="335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>
        <f>IF(OR(posicao_contratual!J113="",posicao_contratual!N113=""),"",ROUND(MAX(posicao_contratual!J113+posicao_contratual!H113-posicao_contratual!N113,0),2))</f>
        <v/>
      </c>
      <c r="N113" s="335">
        <f>IF(AND(A113="",A112&lt;&gt;"",COUNTIF(A114:$A$200,"&lt;&gt;")=0),ROUND(SUMIF($A$2:A112,"&lt;&gt;",$N$2:N112),2),IF(OR(M113="",C113="",NOT(ISNUMBER($Z$3))),"",ROUND(M113*C113*$Z$3,2)))</f>
        <v/>
      </c>
      <c r="O113" s="90">
        <f>IF(OR(posicao_contratual!N113="",posicao_contratual!R113=""),"",ROUND(MAX(posicao_contratual!N113+posicao_contratual!L113-posicao_contratual!R113,0),2))</f>
        <v/>
      </c>
      <c r="P113" s="335">
        <f>IF(AND(A113="",A112&lt;&gt;"",COUNTIF(A114:$A$200,"&lt;&gt;")=0),ROUND(SUMIF($A$2:A112,"&lt;&gt;",$P$2:P112),2),IF(OR(O113="",C113="",NOT(ISNUMBER($Z$4))),"",ROUND(O113*C113*$Z$4,2)))</f>
        <v/>
      </c>
      <c r="Q113" s="90">
        <f>IF(OR(posicao_contratual!R113="",posicao_contratual!V113=""),"",ROUND(MAX(posicao_contratual!R113+posicao_contratual!P113-posicao_contratual!V113,0),2))</f>
        <v/>
      </c>
      <c r="R113" s="335">
        <f>IF(AND(A113="",A112&lt;&gt;"",COUNTIF(A114:$A$200,"&lt;&gt;")=0),ROUND(SUMIF($A$2:A112,"&lt;&gt;",$R$2:R112),2),IF(OR(Q113="",C113="",NOT(ISNUMBER($Z$5))),"",ROUND(Q113*C113*$Z$5,2)))</f>
        <v/>
      </c>
      <c r="S113" s="43" t="n"/>
      <c r="T113" s="342" t="n"/>
      <c r="U113" s="91">
        <f>IF(AND(A113="",A112&lt;&gt;"",COUNTIF(A114:$A$200,"&lt;&gt;")=0),"TOTAL",IF(A113="","",posicao_contratual!X113))</f>
        <v/>
      </c>
      <c r="V113" s="91">
        <f>IF(A113="","",posicao_contratual!X113)</f>
        <v/>
      </c>
      <c r="W113" s="13" t="n"/>
      <c r="X113" s="13" t="n"/>
      <c r="Y113" s="13" t="n"/>
      <c r="Z113" s="13" t="n"/>
      <c r="AA113" s="13" t="n"/>
      <c r="AB113" s="90">
        <f>IF(OR(A113="",posicao_contratual!E113="",posicao_contratual!J113=""),"",ROUND(MAX(posicao_contratual!E113-posicao_contratual!J113,0),2))</f>
        <v/>
      </c>
      <c r="AC113" s="335">
        <f>IF(AND(A113="",A112&lt;&gt;"",COUNTIF(A114:$A$200,"&lt;&gt;")=0),ROUND(SUMIF($A$2:A112,"&lt;&gt;",$AC$2:AC112),2),IF(OR(AB113="",C113="",NOT(ISNUMBER($Z$2))),"",ROUND(AB113*C113*$Z$2,2)))</f>
        <v/>
      </c>
      <c r="AD113" s="155">
        <f>IF(A113="","",posicao_contratual!E113)</f>
        <v/>
      </c>
      <c r="AE113" s="155">
        <f>IF(A113="","",posicao_contratual!I113)</f>
        <v/>
      </c>
      <c r="AF113" s="155">
        <f>IF(A113="","",posicao_contratual!M113)</f>
        <v/>
      </c>
      <c r="AG113" s="155">
        <f>IF(A113="","",posicao_contratual!Q113)</f>
        <v/>
      </c>
      <c r="AH113" s="155">
        <f>IF(A113="","",posicao_contratual!U113)</f>
        <v/>
      </c>
      <c r="AI113" s="155">
        <f>IF(A113="","",posicao_contratual!G113)</f>
        <v/>
      </c>
      <c r="AJ113" s="155">
        <f>IF(A113="","",posicao_contratual!K113)</f>
        <v/>
      </c>
      <c r="AK113" s="155">
        <f>IF(A113="","",posicao_contratual!O113)</f>
        <v/>
      </c>
      <c r="AL113" s="155">
        <f>IF(A113="","",posicao_contratual!S113)</f>
        <v/>
      </c>
      <c r="AM113" s="155">
        <f>IF(A113="","",posicao_contratual!W113)</f>
        <v/>
      </c>
      <c r="AN113" s="156">
        <f>IF(A113="","",posicao_contratual!X113)</f>
        <v/>
      </c>
      <c r="AO113">
        <f>IF($A113="","",ROUND(SUMIFS(itens_Consumidos!$E$2:$E$200,itens_Consumidos!$A$2:$A$200,$A113),2))</f>
        <v/>
      </c>
      <c r="AP113">
        <f>IF(OR($A113="",AB113=""),"",ROUND(MAX(AB113-AO113,0),2))</f>
        <v/>
      </c>
      <c r="AQ113">
        <f>IF(OR($A113="",AB113="",MEMORIA_RESULTADOS!$I$258=""),"",ROUND(AB113*$C113*(MEMORIA_RESULTADOS!$I$258-1),2))</f>
        <v/>
      </c>
      <c r="AR113">
        <f>IF(OR($A113="",AP113="",MEMORIA_RESULTADOS!$I$258=""),"",ROUND(AP113*$C113*(parametros!$F$2-MEMORIA_RESULTADOS!$I$258),2))</f>
        <v/>
      </c>
      <c r="AS113">
        <f>IF($A113="","",ROUND(SUMIFS(itens_Consumidos!$G$2:$G$200,itens_Consumidos!$A$2:$A$200,$A113),2))</f>
        <v/>
      </c>
      <c r="AT113">
        <f>IF(OR($A113="",M113=""),"",ROUND(MAX(M113-AS113,0),2))</f>
        <v/>
      </c>
      <c r="AU113">
        <f>IF(OR($A113="",M113="",MEMORIA_RESULTADOS!$I$259=""),"",ROUND(M113*$C113*(MEMORIA_RESULTADOS!$I$259-1),2))</f>
        <v/>
      </c>
      <c r="AV113">
        <f>IF(OR($A113="",AT113="",MEMORIA_RESULTADOS!$I$259=""),"",ROUND(AT113*$C113*(parametros!$F$3-MEMORIA_RESULTADOS!$I$259),2))</f>
        <v/>
      </c>
      <c r="AW113">
        <f>IF($A113="","",ROUND(SUMIFS(itens_Consumidos!$I$2:$I$200,itens_Consumidos!$A$2:$A$200,$A113),2))</f>
        <v/>
      </c>
      <c r="AX113">
        <f>IF(OR($A113="",O113=""),"",ROUND(MAX(O113-AW113,0),2))</f>
        <v/>
      </c>
      <c r="AY113">
        <f>IF(OR($A113="",O113="",MEMORIA_RESULTADOS!$I$260=""),"",ROUND(O113*$C113*(MEMORIA_RESULTADOS!$I$260-1),2))</f>
        <v/>
      </c>
      <c r="AZ113">
        <f>IF(OR($A113="",AX113="",MEMORIA_RESULTADOS!$I$260=""),"",ROUND(AX113*$C113*(parametros!$F$4-MEMORIA_RESULTADOS!$I$260),2))</f>
        <v/>
      </c>
      <c r="BA113">
        <f>IF($A113="","",ROUND(SUMIFS(itens_Consumidos!$K$2:$K$200,itens_Consumidos!$A$2:$A$200,$A113),2))</f>
        <v/>
      </c>
      <c r="BB113">
        <f>IF(OR($A113="",Q113=""),"",ROUND(MAX(Q113-BA113,0),2))</f>
        <v/>
      </c>
      <c r="BC113">
        <f>IF(OR($A113="",Q113="",MEMORIA_RESULTADOS!$I$261=""),"",ROUND(Q113*$C113*(MEMORIA_RESULTADOS!$I$261-1),2))</f>
        <v/>
      </c>
      <c r="BD113">
        <f>IF(OR($A113="",BB113="",MEMORIA_RESULTADOS!$I$261=""),"",ROUND(BB113*$C113*(parametros!$F$5-MEMORIA_RESULTADOS!$I$261),2))</f>
        <v/>
      </c>
      <c r="BE113">
        <f>IF($A113="","",ROUND(SUMIFS(itens_Consumidos!$M$2:$M$200,itens_Consumidos!$A$2:$A$200,$A113),2))</f>
        <v/>
      </c>
      <c r="BF113">
        <f>IF(OR($A113="",S113=""),"",ROUND(MAX(S113-BE113,0),2))</f>
        <v/>
      </c>
      <c r="BG113">
        <f>IF(OR($A113="",S113="",MEMORIA_RESULTADOS!$I$262=""),"",ROUND(S113*$C113*(MEMORIA_RESULTADOS!$I$262-1),2))</f>
        <v/>
      </c>
      <c r="BH113">
        <f>IF(OR($A113="",BF113="",MEMORIA_RESULTADOS!$I$262=""),"",ROUND(BF113*$C113*(parametros!$F$6-MEMORIA_RESULTADOS!$I$262),2))</f>
        <v/>
      </c>
    </row>
    <row r="114">
      <c r="A114" s="86" t="n"/>
      <c r="B114" s="87">
        <f>IF(AND(LEN(TRIM($A114))=4,LEFT(TRIM($A114),1)="N",ISNUMBER(--MID(TRIM($A114),2,3)),ISERROR(FIND(".",$A114)),ISERROR(FIND(",",$A114)),ISERROR(FIND("-",$A114)),ISERROR(FIND("+",$A114)),ISERROR(SEARCH("E",$A114,2)),ISERROR(FIND(" ",TRIM($A114)))),0,"")</f>
        <v/>
      </c>
      <c r="C114" s="339" t="n"/>
      <c r="D114" s="335">
        <f>IF(AND(A114="",A113&lt;&gt;"",COUNTIF(A115:$A$200,"&lt;&gt;")=0),ROUND(SUMIF($A$2:A113,"&lt;&gt;",$D$2:D113),2),IF(OR(A114="",B114="",C114=""),"",ROUND(B114*C114,2)))</f>
        <v/>
      </c>
      <c r="E114" s="89" t="n"/>
      <c r="F114" s="335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 t="n"/>
      <c r="H114" s="335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 t="n"/>
      <c r="J114" s="335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 t="n"/>
      <c r="L114" s="335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>
        <f>IF(OR(posicao_contratual!J114="",posicao_contratual!N114=""),"",ROUND(MAX(posicao_contratual!J114+posicao_contratual!H114-posicao_contratual!N114,0),2))</f>
        <v/>
      </c>
      <c r="N114" s="335">
        <f>IF(AND(A114="",A113&lt;&gt;"",COUNTIF(A115:$A$200,"&lt;&gt;")=0),ROUND(SUMIF($A$2:A113,"&lt;&gt;",$N$2:N113),2),IF(OR(M114="",C114="",NOT(ISNUMBER($Z$3))),"",ROUND(M114*C114*$Z$3,2)))</f>
        <v/>
      </c>
      <c r="O114" s="90">
        <f>IF(OR(posicao_contratual!N114="",posicao_contratual!R114=""),"",ROUND(MAX(posicao_contratual!N114+posicao_contratual!L114-posicao_contratual!R114,0),2))</f>
        <v/>
      </c>
      <c r="P114" s="335">
        <f>IF(AND(A114="",A113&lt;&gt;"",COUNTIF(A115:$A$200,"&lt;&gt;")=0),ROUND(SUMIF($A$2:A113,"&lt;&gt;",$P$2:P113),2),IF(OR(O114="",C114="",NOT(ISNUMBER($Z$4))),"",ROUND(O114*C114*$Z$4,2)))</f>
        <v/>
      </c>
      <c r="Q114" s="90">
        <f>IF(OR(posicao_contratual!R114="",posicao_contratual!V114=""),"",ROUND(MAX(posicao_contratual!R114+posicao_contratual!P114-posicao_contratual!V114,0),2))</f>
        <v/>
      </c>
      <c r="R114" s="335">
        <f>IF(AND(A114="",A113&lt;&gt;"",COUNTIF(A115:$A$200,"&lt;&gt;")=0),ROUND(SUMIF($A$2:A113,"&lt;&gt;",$R$2:R113),2),IF(OR(Q114="",C114="",NOT(ISNUMBER($Z$5))),"",ROUND(Q114*C114*$Z$5,2)))</f>
        <v/>
      </c>
      <c r="S114" s="43" t="n"/>
      <c r="T114" s="342" t="n"/>
      <c r="U114" s="91">
        <f>IF(AND(A114="",A113&lt;&gt;"",COUNTIF(A115:$A$200,"&lt;&gt;")=0),"TOTAL",IF(A114="","",posicao_contratual!X114))</f>
        <v/>
      </c>
      <c r="V114" s="91">
        <f>IF(A114="","",posicao_contratual!X114)</f>
        <v/>
      </c>
      <c r="W114" s="13" t="n"/>
      <c r="X114" s="13" t="n"/>
      <c r="Y114" s="13" t="n"/>
      <c r="Z114" s="13" t="n"/>
      <c r="AA114" s="13" t="n"/>
      <c r="AB114" s="90">
        <f>IF(OR(A114="",posicao_contratual!E114="",posicao_contratual!J114=""),"",ROUND(MAX(posicao_contratual!E114-posicao_contratual!J114,0),2))</f>
        <v/>
      </c>
      <c r="AC114" s="335">
        <f>IF(AND(A114="",A113&lt;&gt;"",COUNTIF(A115:$A$200,"&lt;&gt;")=0),ROUND(SUMIF($A$2:A113,"&lt;&gt;",$AC$2:AC113),2),IF(OR(AB114="",C114="",NOT(ISNUMBER($Z$2))),"",ROUND(AB114*C114*$Z$2,2)))</f>
        <v/>
      </c>
      <c r="AD114" s="155">
        <f>IF(A114="","",posicao_contratual!E114)</f>
        <v/>
      </c>
      <c r="AE114" s="155">
        <f>IF(A114="","",posicao_contratual!I114)</f>
        <v/>
      </c>
      <c r="AF114" s="155">
        <f>IF(A114="","",posicao_contratual!M114)</f>
        <v/>
      </c>
      <c r="AG114" s="155">
        <f>IF(A114="","",posicao_contratual!Q114)</f>
        <v/>
      </c>
      <c r="AH114" s="155">
        <f>IF(A114="","",posicao_contratual!U114)</f>
        <v/>
      </c>
      <c r="AI114" s="155">
        <f>IF(A114="","",posicao_contratual!G114)</f>
        <v/>
      </c>
      <c r="AJ114" s="155">
        <f>IF(A114="","",posicao_contratual!K114)</f>
        <v/>
      </c>
      <c r="AK114" s="155">
        <f>IF(A114="","",posicao_contratual!O114)</f>
        <v/>
      </c>
      <c r="AL114" s="155">
        <f>IF(A114="","",posicao_contratual!S114)</f>
        <v/>
      </c>
      <c r="AM114" s="155">
        <f>IF(A114="","",posicao_contratual!W114)</f>
        <v/>
      </c>
      <c r="AN114" s="156">
        <f>IF(A114="","",posicao_contratual!X114)</f>
        <v/>
      </c>
      <c r="AO114">
        <f>IF($A114="","",ROUND(SUMIFS(itens_Consumidos!$E$2:$E$200,itens_Consumidos!$A$2:$A$200,$A114),2))</f>
        <v/>
      </c>
      <c r="AP114">
        <f>IF(OR($A114="",AB114=""),"",ROUND(MAX(AB114-AO114,0),2))</f>
        <v/>
      </c>
      <c r="AQ114">
        <f>IF(OR($A114="",AB114="",MEMORIA_RESULTADOS!$I$258=""),"",ROUND(AB114*$C114*(MEMORIA_RESULTADOS!$I$258-1),2))</f>
        <v/>
      </c>
      <c r="AR114">
        <f>IF(OR($A114="",AP114="",MEMORIA_RESULTADOS!$I$258=""),"",ROUND(AP114*$C114*(parametros!$F$2-MEMORIA_RESULTADOS!$I$258),2))</f>
        <v/>
      </c>
      <c r="AS114">
        <f>IF($A114="","",ROUND(SUMIFS(itens_Consumidos!$G$2:$G$200,itens_Consumidos!$A$2:$A$200,$A114),2))</f>
        <v/>
      </c>
      <c r="AT114">
        <f>IF(OR($A114="",M114=""),"",ROUND(MAX(M114-AS114,0),2))</f>
        <v/>
      </c>
      <c r="AU114">
        <f>IF(OR($A114="",M114="",MEMORIA_RESULTADOS!$I$259=""),"",ROUND(M114*$C114*(MEMORIA_RESULTADOS!$I$259-1),2))</f>
        <v/>
      </c>
      <c r="AV114">
        <f>IF(OR($A114="",AT114="",MEMORIA_RESULTADOS!$I$259=""),"",ROUND(AT114*$C114*(parametros!$F$3-MEMORIA_RESULTADOS!$I$259),2))</f>
        <v/>
      </c>
      <c r="AW114">
        <f>IF($A114="","",ROUND(SUMIFS(itens_Consumidos!$I$2:$I$200,itens_Consumidos!$A$2:$A$200,$A114),2))</f>
        <v/>
      </c>
      <c r="AX114">
        <f>IF(OR($A114="",O114=""),"",ROUND(MAX(O114-AW114,0),2))</f>
        <v/>
      </c>
      <c r="AY114">
        <f>IF(OR($A114="",O114="",MEMORIA_RESULTADOS!$I$260=""),"",ROUND(O114*$C114*(MEMORIA_RESULTADOS!$I$260-1),2))</f>
        <v/>
      </c>
      <c r="AZ114">
        <f>IF(OR($A114="",AX114="",MEMORIA_RESULTADOS!$I$260=""),"",ROUND(AX114*$C114*(parametros!$F$4-MEMORIA_RESULTADOS!$I$260),2))</f>
        <v/>
      </c>
      <c r="BA114">
        <f>IF($A114="","",ROUND(SUMIFS(itens_Consumidos!$K$2:$K$200,itens_Consumidos!$A$2:$A$200,$A114),2))</f>
        <v/>
      </c>
      <c r="BB114">
        <f>IF(OR($A114="",Q114=""),"",ROUND(MAX(Q114-BA114,0),2))</f>
        <v/>
      </c>
      <c r="BC114">
        <f>IF(OR($A114="",Q114="",MEMORIA_RESULTADOS!$I$261=""),"",ROUND(Q114*$C114*(MEMORIA_RESULTADOS!$I$261-1),2))</f>
        <v/>
      </c>
      <c r="BD114">
        <f>IF(OR($A114="",BB114="",MEMORIA_RESULTADOS!$I$261=""),"",ROUND(BB114*$C114*(parametros!$F$5-MEMORIA_RESULTADOS!$I$261),2))</f>
        <v/>
      </c>
      <c r="BE114">
        <f>IF($A114="","",ROUND(SUMIFS(itens_Consumidos!$M$2:$M$200,itens_Consumidos!$A$2:$A$200,$A114),2))</f>
        <v/>
      </c>
      <c r="BF114">
        <f>IF(OR($A114="",S114=""),"",ROUND(MAX(S114-BE114,0),2))</f>
        <v/>
      </c>
      <c r="BG114">
        <f>IF(OR($A114="",S114="",MEMORIA_RESULTADOS!$I$262=""),"",ROUND(S114*$C114*(MEMORIA_RESULTADOS!$I$262-1),2))</f>
        <v/>
      </c>
      <c r="BH114">
        <f>IF(OR($A114="",BF114="",MEMORIA_RESULTADOS!$I$262=""),"",ROUND(BF114*$C114*(parametros!$F$6-MEMORIA_RESULTADOS!$I$262),2))</f>
        <v/>
      </c>
    </row>
    <row r="115">
      <c r="A115" s="86" t="n"/>
      <c r="B115" s="87">
        <f>IF(AND(LEN(TRIM($A115))=4,LEFT(TRIM($A115),1)="N",ISNUMBER(--MID(TRIM($A115),2,3)),ISERROR(FIND(".",$A115)),ISERROR(FIND(",",$A115)),ISERROR(FIND("-",$A115)),ISERROR(FIND("+",$A115)),ISERROR(SEARCH("E",$A115,2)),ISERROR(FIND(" ",TRIM($A115)))),0,"")</f>
        <v/>
      </c>
      <c r="C115" s="339" t="n"/>
      <c r="D115" s="335">
        <f>IF(AND(A115="",A114&lt;&gt;"",COUNTIF(A116:$A$200,"&lt;&gt;")=0),ROUND(SUMIF($A$2:A114,"&lt;&gt;",$D$2:D114),2),IF(OR(A115="",B115="",C115=""),"",ROUND(B115*C115,2)))</f>
        <v/>
      </c>
      <c r="E115" s="89" t="n"/>
      <c r="F115" s="335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 t="n"/>
      <c r="H115" s="335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 t="n"/>
      <c r="J115" s="335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 t="n"/>
      <c r="L115" s="335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>
        <f>IF(OR(posicao_contratual!J115="",posicao_contratual!N115=""),"",ROUND(MAX(posicao_contratual!J115+posicao_contratual!H115-posicao_contratual!N115,0),2))</f>
        <v/>
      </c>
      <c r="N115" s="335">
        <f>IF(AND(A115="",A114&lt;&gt;"",COUNTIF(A116:$A$200,"&lt;&gt;")=0),ROUND(SUMIF($A$2:A114,"&lt;&gt;",$N$2:N114),2),IF(OR(M115="",C115="",NOT(ISNUMBER($Z$3))),"",ROUND(M115*C115*$Z$3,2)))</f>
        <v/>
      </c>
      <c r="O115" s="90">
        <f>IF(OR(posicao_contratual!N115="",posicao_contratual!R115=""),"",ROUND(MAX(posicao_contratual!N115+posicao_contratual!L115-posicao_contratual!R115,0),2))</f>
        <v/>
      </c>
      <c r="P115" s="335">
        <f>IF(AND(A115="",A114&lt;&gt;"",COUNTIF(A116:$A$200,"&lt;&gt;")=0),ROUND(SUMIF($A$2:A114,"&lt;&gt;",$P$2:P114),2),IF(OR(O115="",C115="",NOT(ISNUMBER($Z$4))),"",ROUND(O115*C115*$Z$4,2)))</f>
        <v/>
      </c>
      <c r="Q115" s="90">
        <f>IF(OR(posicao_contratual!R115="",posicao_contratual!V115=""),"",ROUND(MAX(posicao_contratual!R115+posicao_contratual!P115-posicao_contratual!V115,0),2))</f>
        <v/>
      </c>
      <c r="R115" s="335">
        <f>IF(AND(A115="",A114&lt;&gt;"",COUNTIF(A116:$A$200,"&lt;&gt;")=0),ROUND(SUMIF($A$2:A114,"&lt;&gt;",$R$2:R114),2),IF(OR(Q115="",C115="",NOT(ISNUMBER($Z$5))),"",ROUND(Q115*C115*$Z$5,2)))</f>
        <v/>
      </c>
      <c r="S115" s="43" t="n"/>
      <c r="T115" s="342" t="n"/>
      <c r="U115" s="91">
        <f>IF(AND(A115="",A114&lt;&gt;"",COUNTIF(A116:$A$200,"&lt;&gt;")=0),"TOTAL",IF(A115="","",posicao_contratual!X115))</f>
        <v/>
      </c>
      <c r="V115" s="91">
        <f>IF(A115="","",posicao_contratual!X115)</f>
        <v/>
      </c>
      <c r="W115" s="13" t="n"/>
      <c r="X115" s="13" t="n"/>
      <c r="Y115" s="13" t="n"/>
      <c r="Z115" s="13" t="n"/>
      <c r="AA115" s="13" t="n"/>
      <c r="AB115" s="90">
        <f>IF(OR(A115="",posicao_contratual!E115="",posicao_contratual!J115=""),"",ROUND(MAX(posicao_contratual!E115-posicao_contratual!J115,0),2))</f>
        <v/>
      </c>
      <c r="AC115" s="335">
        <f>IF(AND(A115="",A114&lt;&gt;"",COUNTIF(A116:$A$200,"&lt;&gt;")=0),ROUND(SUMIF($A$2:A114,"&lt;&gt;",$AC$2:AC114),2),IF(OR(AB115="",C115="",NOT(ISNUMBER($Z$2))),"",ROUND(AB115*C115*$Z$2,2)))</f>
        <v/>
      </c>
      <c r="AD115" s="155">
        <f>IF(A115="","",posicao_contratual!E115)</f>
        <v/>
      </c>
      <c r="AE115" s="155">
        <f>IF(A115="","",posicao_contratual!I115)</f>
        <v/>
      </c>
      <c r="AF115" s="155">
        <f>IF(A115="","",posicao_contratual!M115)</f>
        <v/>
      </c>
      <c r="AG115" s="155">
        <f>IF(A115="","",posicao_contratual!Q115)</f>
        <v/>
      </c>
      <c r="AH115" s="155">
        <f>IF(A115="","",posicao_contratual!U115)</f>
        <v/>
      </c>
      <c r="AI115" s="155">
        <f>IF(A115="","",posicao_contratual!G115)</f>
        <v/>
      </c>
      <c r="AJ115" s="155">
        <f>IF(A115="","",posicao_contratual!K115)</f>
        <v/>
      </c>
      <c r="AK115" s="155">
        <f>IF(A115="","",posicao_contratual!O115)</f>
        <v/>
      </c>
      <c r="AL115" s="155">
        <f>IF(A115="","",posicao_contratual!S115)</f>
        <v/>
      </c>
      <c r="AM115" s="155">
        <f>IF(A115="","",posicao_contratual!W115)</f>
        <v/>
      </c>
      <c r="AN115" s="156">
        <f>IF(A115="","",posicao_contratual!X115)</f>
        <v/>
      </c>
      <c r="AO115">
        <f>IF($A115="","",ROUND(SUMIFS(itens_Consumidos!$E$2:$E$200,itens_Consumidos!$A$2:$A$200,$A115),2))</f>
        <v/>
      </c>
      <c r="AP115">
        <f>IF(OR($A115="",AB115=""),"",ROUND(MAX(AB115-AO115,0),2))</f>
        <v/>
      </c>
      <c r="AQ115">
        <f>IF(OR($A115="",AB115="",MEMORIA_RESULTADOS!$I$258=""),"",ROUND(AB115*$C115*(MEMORIA_RESULTADOS!$I$258-1),2))</f>
        <v/>
      </c>
      <c r="AR115">
        <f>IF(OR($A115="",AP115="",MEMORIA_RESULTADOS!$I$258=""),"",ROUND(AP115*$C115*(parametros!$F$2-MEMORIA_RESULTADOS!$I$258),2))</f>
        <v/>
      </c>
      <c r="AS115">
        <f>IF($A115="","",ROUND(SUMIFS(itens_Consumidos!$G$2:$G$200,itens_Consumidos!$A$2:$A$200,$A115),2))</f>
        <v/>
      </c>
      <c r="AT115">
        <f>IF(OR($A115="",M115=""),"",ROUND(MAX(M115-AS115,0),2))</f>
        <v/>
      </c>
      <c r="AU115">
        <f>IF(OR($A115="",M115="",MEMORIA_RESULTADOS!$I$259=""),"",ROUND(M115*$C115*(MEMORIA_RESULTADOS!$I$259-1),2))</f>
        <v/>
      </c>
      <c r="AV115">
        <f>IF(OR($A115="",AT115="",MEMORIA_RESULTADOS!$I$259=""),"",ROUND(AT115*$C115*(parametros!$F$3-MEMORIA_RESULTADOS!$I$259),2))</f>
        <v/>
      </c>
      <c r="AW115">
        <f>IF($A115="","",ROUND(SUMIFS(itens_Consumidos!$I$2:$I$200,itens_Consumidos!$A$2:$A$200,$A115),2))</f>
        <v/>
      </c>
      <c r="AX115">
        <f>IF(OR($A115="",O115=""),"",ROUND(MAX(O115-AW115,0),2))</f>
        <v/>
      </c>
      <c r="AY115">
        <f>IF(OR($A115="",O115="",MEMORIA_RESULTADOS!$I$260=""),"",ROUND(O115*$C115*(MEMORIA_RESULTADOS!$I$260-1),2))</f>
        <v/>
      </c>
      <c r="AZ115">
        <f>IF(OR($A115="",AX115="",MEMORIA_RESULTADOS!$I$260=""),"",ROUND(AX115*$C115*(parametros!$F$4-MEMORIA_RESULTADOS!$I$260),2))</f>
        <v/>
      </c>
      <c r="BA115">
        <f>IF($A115="","",ROUND(SUMIFS(itens_Consumidos!$K$2:$K$200,itens_Consumidos!$A$2:$A$200,$A115),2))</f>
        <v/>
      </c>
      <c r="BB115">
        <f>IF(OR($A115="",Q115=""),"",ROUND(MAX(Q115-BA115,0),2))</f>
        <v/>
      </c>
      <c r="BC115">
        <f>IF(OR($A115="",Q115="",MEMORIA_RESULTADOS!$I$261=""),"",ROUND(Q115*$C115*(MEMORIA_RESULTADOS!$I$261-1),2))</f>
        <v/>
      </c>
      <c r="BD115">
        <f>IF(OR($A115="",BB115="",MEMORIA_RESULTADOS!$I$261=""),"",ROUND(BB115*$C115*(parametros!$F$5-MEMORIA_RESULTADOS!$I$261),2))</f>
        <v/>
      </c>
      <c r="BE115">
        <f>IF($A115="","",ROUND(SUMIFS(itens_Consumidos!$M$2:$M$200,itens_Consumidos!$A$2:$A$200,$A115),2))</f>
        <v/>
      </c>
      <c r="BF115">
        <f>IF(OR($A115="",S115=""),"",ROUND(MAX(S115-BE115,0),2))</f>
        <v/>
      </c>
      <c r="BG115">
        <f>IF(OR($A115="",S115="",MEMORIA_RESULTADOS!$I$262=""),"",ROUND(S115*$C115*(MEMORIA_RESULTADOS!$I$262-1),2))</f>
        <v/>
      </c>
      <c r="BH115">
        <f>IF(OR($A115="",BF115="",MEMORIA_RESULTADOS!$I$262=""),"",ROUND(BF115*$C115*(parametros!$F$6-MEMORIA_RESULTADOS!$I$262),2))</f>
        <v/>
      </c>
    </row>
    <row r="116">
      <c r="A116" s="86" t="n"/>
      <c r="B116" s="87">
        <f>IF(AND(LEN(TRIM($A116))=4,LEFT(TRIM($A116),1)="N",ISNUMBER(--MID(TRIM($A116),2,3)),ISERROR(FIND(".",$A116)),ISERROR(FIND(",",$A116)),ISERROR(FIND("-",$A116)),ISERROR(FIND("+",$A116)),ISERROR(SEARCH("E",$A116,2)),ISERROR(FIND(" ",TRIM($A116)))),0,"")</f>
        <v/>
      </c>
      <c r="C116" s="339" t="n"/>
      <c r="D116" s="335">
        <f>IF(AND(A116="",A115&lt;&gt;"",COUNTIF(A117:$A$200,"&lt;&gt;")=0),ROUND(SUMIF($A$2:A115,"&lt;&gt;",$D$2:D115),2),IF(OR(A116="",B116="",C116=""),"",ROUND(B116*C116,2)))</f>
        <v/>
      </c>
      <c r="E116" s="89" t="n"/>
      <c r="F116" s="335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 t="n"/>
      <c r="H116" s="335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 t="n"/>
      <c r="J116" s="335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 t="n"/>
      <c r="L116" s="335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>
        <f>IF(OR(posicao_contratual!J116="",posicao_contratual!N116=""),"",ROUND(MAX(posicao_contratual!J116+posicao_contratual!H116-posicao_contratual!N116,0),2))</f>
        <v/>
      </c>
      <c r="N116" s="335">
        <f>IF(AND(A116="",A115&lt;&gt;"",COUNTIF(A117:$A$200,"&lt;&gt;")=0),ROUND(SUMIF($A$2:A115,"&lt;&gt;",$N$2:N115),2),IF(OR(M116="",C116="",NOT(ISNUMBER($Z$3))),"",ROUND(M116*C116*$Z$3,2)))</f>
        <v/>
      </c>
      <c r="O116" s="90">
        <f>IF(OR(posicao_contratual!N116="",posicao_contratual!R116=""),"",ROUND(MAX(posicao_contratual!N116+posicao_contratual!L116-posicao_contratual!R116,0),2))</f>
        <v/>
      </c>
      <c r="P116" s="335">
        <f>IF(AND(A116="",A115&lt;&gt;"",COUNTIF(A117:$A$200,"&lt;&gt;")=0),ROUND(SUMIF($A$2:A115,"&lt;&gt;",$P$2:P115),2),IF(OR(O116="",C116="",NOT(ISNUMBER($Z$4))),"",ROUND(O116*C116*$Z$4,2)))</f>
        <v/>
      </c>
      <c r="Q116" s="90">
        <f>IF(OR(posicao_contratual!R116="",posicao_contratual!V116=""),"",ROUND(MAX(posicao_contratual!R116+posicao_contratual!P116-posicao_contratual!V116,0),2))</f>
        <v/>
      </c>
      <c r="R116" s="335">
        <f>IF(AND(A116="",A115&lt;&gt;"",COUNTIF(A117:$A$200,"&lt;&gt;")=0),ROUND(SUMIF($A$2:A115,"&lt;&gt;",$R$2:R115),2),IF(OR(Q116="",C116="",NOT(ISNUMBER($Z$5))),"",ROUND(Q116*C116*$Z$5,2)))</f>
        <v/>
      </c>
      <c r="S116" s="43" t="n"/>
      <c r="T116" s="342" t="n"/>
      <c r="U116" s="91">
        <f>IF(AND(A116="",A115&lt;&gt;"",COUNTIF(A117:$A$200,"&lt;&gt;")=0),"TOTAL",IF(A116="","",posicao_contratual!X116))</f>
        <v/>
      </c>
      <c r="V116" s="91">
        <f>IF(A116="","",posicao_contratual!X116)</f>
        <v/>
      </c>
      <c r="W116" s="13" t="n"/>
      <c r="X116" s="13" t="n"/>
      <c r="Y116" s="13" t="n"/>
      <c r="Z116" s="13" t="n"/>
      <c r="AA116" s="13" t="n"/>
      <c r="AB116" s="90">
        <f>IF(OR(A116="",posicao_contratual!E116="",posicao_contratual!J116=""),"",ROUND(MAX(posicao_contratual!E116-posicao_contratual!J116,0),2))</f>
        <v/>
      </c>
      <c r="AC116" s="335">
        <f>IF(AND(A116="",A115&lt;&gt;"",COUNTIF(A117:$A$200,"&lt;&gt;")=0),ROUND(SUMIF($A$2:A115,"&lt;&gt;",$AC$2:AC115),2),IF(OR(AB116="",C116="",NOT(ISNUMBER($Z$2))),"",ROUND(AB116*C116*$Z$2,2)))</f>
        <v/>
      </c>
      <c r="AD116" s="155">
        <f>IF(A116="","",posicao_contratual!E116)</f>
        <v/>
      </c>
      <c r="AE116" s="155">
        <f>IF(A116="","",posicao_contratual!I116)</f>
        <v/>
      </c>
      <c r="AF116" s="155">
        <f>IF(A116="","",posicao_contratual!M116)</f>
        <v/>
      </c>
      <c r="AG116" s="155">
        <f>IF(A116="","",posicao_contratual!Q116)</f>
        <v/>
      </c>
      <c r="AH116" s="155">
        <f>IF(A116="","",posicao_contratual!U116)</f>
        <v/>
      </c>
      <c r="AI116" s="155">
        <f>IF(A116="","",posicao_contratual!G116)</f>
        <v/>
      </c>
      <c r="AJ116" s="155">
        <f>IF(A116="","",posicao_contratual!K116)</f>
        <v/>
      </c>
      <c r="AK116" s="155">
        <f>IF(A116="","",posicao_contratual!O116)</f>
        <v/>
      </c>
      <c r="AL116" s="155">
        <f>IF(A116="","",posicao_contratual!S116)</f>
        <v/>
      </c>
      <c r="AM116" s="155">
        <f>IF(A116="","",posicao_contratual!W116)</f>
        <v/>
      </c>
      <c r="AN116" s="156">
        <f>IF(A116="","",posicao_contratual!X116)</f>
        <v/>
      </c>
      <c r="AO116">
        <f>IF($A116="","",ROUND(SUMIFS(itens_Consumidos!$E$2:$E$200,itens_Consumidos!$A$2:$A$200,$A116),2))</f>
        <v/>
      </c>
      <c r="AP116">
        <f>IF(OR($A116="",AB116=""),"",ROUND(MAX(AB116-AO116,0),2))</f>
        <v/>
      </c>
      <c r="AQ116">
        <f>IF(OR($A116="",AB116="",MEMORIA_RESULTADOS!$I$258=""),"",ROUND(AB116*$C116*(MEMORIA_RESULTADOS!$I$258-1),2))</f>
        <v/>
      </c>
      <c r="AR116">
        <f>IF(OR($A116="",AP116="",MEMORIA_RESULTADOS!$I$258=""),"",ROUND(AP116*$C116*(parametros!$F$2-MEMORIA_RESULTADOS!$I$258),2))</f>
        <v/>
      </c>
      <c r="AS116">
        <f>IF($A116="","",ROUND(SUMIFS(itens_Consumidos!$G$2:$G$200,itens_Consumidos!$A$2:$A$200,$A116),2))</f>
        <v/>
      </c>
      <c r="AT116">
        <f>IF(OR($A116="",M116=""),"",ROUND(MAX(M116-AS116,0),2))</f>
        <v/>
      </c>
      <c r="AU116">
        <f>IF(OR($A116="",M116="",MEMORIA_RESULTADOS!$I$259=""),"",ROUND(M116*$C116*(MEMORIA_RESULTADOS!$I$259-1),2))</f>
        <v/>
      </c>
      <c r="AV116">
        <f>IF(OR($A116="",AT116="",MEMORIA_RESULTADOS!$I$259=""),"",ROUND(AT116*$C116*(parametros!$F$3-MEMORIA_RESULTADOS!$I$259),2))</f>
        <v/>
      </c>
      <c r="AW116">
        <f>IF($A116="","",ROUND(SUMIFS(itens_Consumidos!$I$2:$I$200,itens_Consumidos!$A$2:$A$200,$A116),2))</f>
        <v/>
      </c>
      <c r="AX116">
        <f>IF(OR($A116="",O116=""),"",ROUND(MAX(O116-AW116,0),2))</f>
        <v/>
      </c>
      <c r="AY116">
        <f>IF(OR($A116="",O116="",MEMORIA_RESULTADOS!$I$260=""),"",ROUND(O116*$C116*(MEMORIA_RESULTADOS!$I$260-1),2))</f>
        <v/>
      </c>
      <c r="AZ116">
        <f>IF(OR($A116="",AX116="",MEMORIA_RESULTADOS!$I$260=""),"",ROUND(AX116*$C116*(parametros!$F$4-MEMORIA_RESULTADOS!$I$260),2))</f>
        <v/>
      </c>
      <c r="BA116">
        <f>IF($A116="","",ROUND(SUMIFS(itens_Consumidos!$K$2:$K$200,itens_Consumidos!$A$2:$A$200,$A116),2))</f>
        <v/>
      </c>
      <c r="BB116">
        <f>IF(OR($A116="",Q116=""),"",ROUND(MAX(Q116-BA116,0),2))</f>
        <v/>
      </c>
      <c r="BC116">
        <f>IF(OR($A116="",Q116="",MEMORIA_RESULTADOS!$I$261=""),"",ROUND(Q116*$C116*(MEMORIA_RESULTADOS!$I$261-1),2))</f>
        <v/>
      </c>
      <c r="BD116">
        <f>IF(OR($A116="",BB116="",MEMORIA_RESULTADOS!$I$261=""),"",ROUND(BB116*$C116*(parametros!$F$5-MEMORIA_RESULTADOS!$I$261),2))</f>
        <v/>
      </c>
      <c r="BE116">
        <f>IF($A116="","",ROUND(SUMIFS(itens_Consumidos!$M$2:$M$200,itens_Consumidos!$A$2:$A$200,$A116),2))</f>
        <v/>
      </c>
      <c r="BF116">
        <f>IF(OR($A116="",S116=""),"",ROUND(MAX(S116-BE116,0),2))</f>
        <v/>
      </c>
      <c r="BG116">
        <f>IF(OR($A116="",S116="",MEMORIA_RESULTADOS!$I$262=""),"",ROUND(S116*$C116*(MEMORIA_RESULTADOS!$I$262-1),2))</f>
        <v/>
      </c>
      <c r="BH116">
        <f>IF(OR($A116="",BF116="",MEMORIA_RESULTADOS!$I$262=""),"",ROUND(BF116*$C116*(parametros!$F$6-MEMORIA_RESULTADOS!$I$262),2))</f>
        <v/>
      </c>
    </row>
    <row r="117">
      <c r="A117" s="86" t="n"/>
      <c r="B117" s="87">
        <f>IF(AND(LEN(TRIM($A117))=4,LEFT(TRIM($A117),1)="N",ISNUMBER(--MID(TRIM($A117),2,3)),ISERROR(FIND(".",$A117)),ISERROR(FIND(",",$A117)),ISERROR(FIND("-",$A117)),ISERROR(FIND("+",$A117)),ISERROR(SEARCH("E",$A117,2)),ISERROR(FIND(" ",TRIM($A117)))),0,"")</f>
        <v/>
      </c>
      <c r="C117" s="339" t="n"/>
      <c r="D117" s="335">
        <f>IF(AND(A117="",A116&lt;&gt;"",COUNTIF(A118:$A$200,"&lt;&gt;")=0),ROUND(SUMIF($A$2:A116,"&lt;&gt;",$D$2:D116),2),IF(OR(A117="",B117="",C117=""),"",ROUND(B117*C117,2)))</f>
        <v/>
      </c>
      <c r="E117" s="89" t="n"/>
      <c r="F117" s="335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 t="n"/>
      <c r="H117" s="335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 t="n"/>
      <c r="J117" s="335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 t="n"/>
      <c r="L117" s="335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>
        <f>IF(OR(posicao_contratual!J117="",posicao_contratual!N117=""),"",ROUND(MAX(posicao_contratual!J117+posicao_contratual!H117-posicao_contratual!N117,0),2))</f>
        <v/>
      </c>
      <c r="N117" s="335">
        <f>IF(AND(A117="",A116&lt;&gt;"",COUNTIF(A118:$A$200,"&lt;&gt;")=0),ROUND(SUMIF($A$2:A116,"&lt;&gt;",$N$2:N116),2),IF(OR(M117="",C117="",NOT(ISNUMBER($Z$3))),"",ROUND(M117*C117*$Z$3,2)))</f>
        <v/>
      </c>
      <c r="O117" s="90">
        <f>IF(OR(posicao_contratual!N117="",posicao_contratual!R117=""),"",ROUND(MAX(posicao_contratual!N117+posicao_contratual!L117-posicao_contratual!R117,0),2))</f>
        <v/>
      </c>
      <c r="P117" s="335">
        <f>IF(AND(A117="",A116&lt;&gt;"",COUNTIF(A118:$A$200,"&lt;&gt;")=0),ROUND(SUMIF($A$2:A116,"&lt;&gt;",$P$2:P116),2),IF(OR(O117="",C117="",NOT(ISNUMBER($Z$4))),"",ROUND(O117*C117*$Z$4,2)))</f>
        <v/>
      </c>
      <c r="Q117" s="90">
        <f>IF(OR(posicao_contratual!R117="",posicao_contratual!V117=""),"",ROUND(MAX(posicao_contratual!R117+posicao_contratual!P117-posicao_contratual!V117,0),2))</f>
        <v/>
      </c>
      <c r="R117" s="335">
        <f>IF(AND(A117="",A116&lt;&gt;"",COUNTIF(A118:$A$200,"&lt;&gt;")=0),ROUND(SUMIF($A$2:A116,"&lt;&gt;",$R$2:R116),2),IF(OR(Q117="",C117="",NOT(ISNUMBER($Z$5))),"",ROUND(Q117*C117*$Z$5,2)))</f>
        <v/>
      </c>
      <c r="S117" s="43" t="n"/>
      <c r="T117" s="342" t="n"/>
      <c r="U117" s="91">
        <f>IF(AND(A117="",A116&lt;&gt;"",COUNTIF(A118:$A$200,"&lt;&gt;")=0),"TOTAL",IF(A117="","",posicao_contratual!X117))</f>
        <v/>
      </c>
      <c r="V117" s="91">
        <f>IF(A117="","",posicao_contratual!X117)</f>
        <v/>
      </c>
      <c r="W117" s="13" t="n"/>
      <c r="X117" s="13" t="n"/>
      <c r="Y117" s="13" t="n"/>
      <c r="Z117" s="13" t="n"/>
      <c r="AA117" s="13" t="n"/>
      <c r="AB117" s="90">
        <f>IF(OR(A117="",posicao_contratual!E117="",posicao_contratual!J117=""),"",ROUND(MAX(posicao_contratual!E117-posicao_contratual!J117,0),2))</f>
        <v/>
      </c>
      <c r="AC117" s="335">
        <f>IF(AND(A117="",A116&lt;&gt;"",COUNTIF(A118:$A$200,"&lt;&gt;")=0),ROUND(SUMIF($A$2:A116,"&lt;&gt;",$AC$2:AC116),2),IF(OR(AB117="",C117="",NOT(ISNUMBER($Z$2))),"",ROUND(AB117*C117*$Z$2,2)))</f>
        <v/>
      </c>
      <c r="AD117" s="155">
        <f>IF(A117="","",posicao_contratual!E117)</f>
        <v/>
      </c>
      <c r="AE117" s="155">
        <f>IF(A117="","",posicao_contratual!I117)</f>
        <v/>
      </c>
      <c r="AF117" s="155">
        <f>IF(A117="","",posicao_contratual!M117)</f>
        <v/>
      </c>
      <c r="AG117" s="155">
        <f>IF(A117="","",posicao_contratual!Q117)</f>
        <v/>
      </c>
      <c r="AH117" s="155">
        <f>IF(A117="","",posicao_contratual!U117)</f>
        <v/>
      </c>
      <c r="AI117" s="155">
        <f>IF(A117="","",posicao_contratual!G117)</f>
        <v/>
      </c>
      <c r="AJ117" s="155">
        <f>IF(A117="","",posicao_contratual!K117)</f>
        <v/>
      </c>
      <c r="AK117" s="155">
        <f>IF(A117="","",posicao_contratual!O117)</f>
        <v/>
      </c>
      <c r="AL117" s="155">
        <f>IF(A117="","",posicao_contratual!S117)</f>
        <v/>
      </c>
      <c r="AM117" s="155">
        <f>IF(A117="","",posicao_contratual!W117)</f>
        <v/>
      </c>
      <c r="AN117" s="156">
        <f>IF(A117="","",posicao_contratual!X117)</f>
        <v/>
      </c>
      <c r="AO117">
        <f>IF($A117="","",ROUND(SUMIFS(itens_Consumidos!$E$2:$E$200,itens_Consumidos!$A$2:$A$200,$A117),2))</f>
        <v/>
      </c>
      <c r="AP117">
        <f>IF(OR($A117="",AB117=""),"",ROUND(MAX(AB117-AO117,0),2))</f>
        <v/>
      </c>
      <c r="AQ117">
        <f>IF(OR($A117="",AB117="",MEMORIA_RESULTADOS!$I$258=""),"",ROUND(AB117*$C117*(MEMORIA_RESULTADOS!$I$258-1),2))</f>
        <v/>
      </c>
      <c r="AR117">
        <f>IF(OR($A117="",AP117="",MEMORIA_RESULTADOS!$I$258=""),"",ROUND(AP117*$C117*(parametros!$F$2-MEMORIA_RESULTADOS!$I$258),2))</f>
        <v/>
      </c>
      <c r="AS117">
        <f>IF($A117="","",ROUND(SUMIFS(itens_Consumidos!$G$2:$G$200,itens_Consumidos!$A$2:$A$200,$A117),2))</f>
        <v/>
      </c>
      <c r="AT117">
        <f>IF(OR($A117="",M117=""),"",ROUND(MAX(M117-AS117,0),2))</f>
        <v/>
      </c>
      <c r="AU117">
        <f>IF(OR($A117="",M117="",MEMORIA_RESULTADOS!$I$259=""),"",ROUND(M117*$C117*(MEMORIA_RESULTADOS!$I$259-1),2))</f>
        <v/>
      </c>
      <c r="AV117">
        <f>IF(OR($A117="",AT117="",MEMORIA_RESULTADOS!$I$259=""),"",ROUND(AT117*$C117*(parametros!$F$3-MEMORIA_RESULTADOS!$I$259),2))</f>
        <v/>
      </c>
      <c r="AW117">
        <f>IF($A117="","",ROUND(SUMIFS(itens_Consumidos!$I$2:$I$200,itens_Consumidos!$A$2:$A$200,$A117),2))</f>
        <v/>
      </c>
      <c r="AX117">
        <f>IF(OR($A117="",O117=""),"",ROUND(MAX(O117-AW117,0),2))</f>
        <v/>
      </c>
      <c r="AY117">
        <f>IF(OR($A117="",O117="",MEMORIA_RESULTADOS!$I$260=""),"",ROUND(O117*$C117*(MEMORIA_RESULTADOS!$I$260-1),2))</f>
        <v/>
      </c>
      <c r="AZ117">
        <f>IF(OR($A117="",AX117="",MEMORIA_RESULTADOS!$I$260=""),"",ROUND(AX117*$C117*(parametros!$F$4-MEMORIA_RESULTADOS!$I$260),2))</f>
        <v/>
      </c>
      <c r="BA117">
        <f>IF($A117="","",ROUND(SUMIFS(itens_Consumidos!$K$2:$K$200,itens_Consumidos!$A$2:$A$200,$A117),2))</f>
        <v/>
      </c>
      <c r="BB117">
        <f>IF(OR($A117="",Q117=""),"",ROUND(MAX(Q117-BA117,0),2))</f>
        <v/>
      </c>
      <c r="BC117">
        <f>IF(OR($A117="",Q117="",MEMORIA_RESULTADOS!$I$261=""),"",ROUND(Q117*$C117*(MEMORIA_RESULTADOS!$I$261-1),2))</f>
        <v/>
      </c>
      <c r="BD117">
        <f>IF(OR($A117="",BB117="",MEMORIA_RESULTADOS!$I$261=""),"",ROUND(BB117*$C117*(parametros!$F$5-MEMORIA_RESULTADOS!$I$261),2))</f>
        <v/>
      </c>
      <c r="BE117">
        <f>IF($A117="","",ROUND(SUMIFS(itens_Consumidos!$M$2:$M$200,itens_Consumidos!$A$2:$A$200,$A117),2))</f>
        <v/>
      </c>
      <c r="BF117">
        <f>IF(OR($A117="",S117=""),"",ROUND(MAX(S117-BE117,0),2))</f>
        <v/>
      </c>
      <c r="BG117">
        <f>IF(OR($A117="",S117="",MEMORIA_RESULTADOS!$I$262=""),"",ROUND(S117*$C117*(MEMORIA_RESULTADOS!$I$262-1),2))</f>
        <v/>
      </c>
      <c r="BH117">
        <f>IF(OR($A117="",BF117="",MEMORIA_RESULTADOS!$I$262=""),"",ROUND(BF117*$C117*(parametros!$F$6-MEMORIA_RESULTADOS!$I$262),2))</f>
        <v/>
      </c>
    </row>
    <row r="118">
      <c r="A118" s="86" t="n"/>
      <c r="B118" s="87">
        <f>IF(AND(LEN(TRIM($A118))=4,LEFT(TRIM($A118),1)="N",ISNUMBER(--MID(TRIM($A118),2,3)),ISERROR(FIND(".",$A118)),ISERROR(FIND(",",$A118)),ISERROR(FIND("-",$A118)),ISERROR(FIND("+",$A118)),ISERROR(SEARCH("E",$A118,2)),ISERROR(FIND(" ",TRIM($A118)))),0,"")</f>
        <v/>
      </c>
      <c r="C118" s="339" t="n"/>
      <c r="D118" s="335">
        <f>IF(AND(A118="",A117&lt;&gt;"",COUNTIF(A119:$A$200,"&lt;&gt;")=0),ROUND(SUMIF($A$2:A117,"&lt;&gt;",$D$2:D117),2),IF(OR(A118="",B118="",C118=""),"",ROUND(B118*C118,2)))</f>
        <v/>
      </c>
      <c r="E118" s="89" t="n"/>
      <c r="F118" s="335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 t="n"/>
      <c r="H118" s="335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 t="n"/>
      <c r="J118" s="335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 t="n"/>
      <c r="L118" s="335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>
        <f>IF(OR(posicao_contratual!J118="",posicao_contratual!N118=""),"",ROUND(MAX(posicao_contratual!J118+posicao_contratual!H118-posicao_contratual!N118,0),2))</f>
        <v/>
      </c>
      <c r="N118" s="335">
        <f>IF(AND(A118="",A117&lt;&gt;"",COUNTIF(A119:$A$200,"&lt;&gt;")=0),ROUND(SUMIF($A$2:A117,"&lt;&gt;",$N$2:N117),2),IF(OR(M118="",C118="",NOT(ISNUMBER($Z$3))),"",ROUND(M118*C118*$Z$3,2)))</f>
        <v/>
      </c>
      <c r="O118" s="90">
        <f>IF(OR(posicao_contratual!N118="",posicao_contratual!R118=""),"",ROUND(MAX(posicao_contratual!N118+posicao_contratual!L118-posicao_contratual!R118,0),2))</f>
        <v/>
      </c>
      <c r="P118" s="335">
        <f>IF(AND(A118="",A117&lt;&gt;"",COUNTIF(A119:$A$200,"&lt;&gt;")=0),ROUND(SUMIF($A$2:A117,"&lt;&gt;",$P$2:P117),2),IF(OR(O118="",C118="",NOT(ISNUMBER($Z$4))),"",ROUND(O118*C118*$Z$4,2)))</f>
        <v/>
      </c>
      <c r="Q118" s="90">
        <f>IF(OR(posicao_contratual!R118="",posicao_contratual!V118=""),"",ROUND(MAX(posicao_contratual!R118+posicao_contratual!P118-posicao_contratual!V118,0),2))</f>
        <v/>
      </c>
      <c r="R118" s="335">
        <f>IF(AND(A118="",A117&lt;&gt;"",COUNTIF(A119:$A$200,"&lt;&gt;")=0),ROUND(SUMIF($A$2:A117,"&lt;&gt;",$R$2:R117),2),IF(OR(Q118="",C118="",NOT(ISNUMBER($Z$5))),"",ROUND(Q118*C118*$Z$5,2)))</f>
        <v/>
      </c>
      <c r="S118" s="43" t="n"/>
      <c r="T118" s="342" t="n"/>
      <c r="U118" s="91">
        <f>IF(AND(A118="",A117&lt;&gt;"",COUNTIF(A119:$A$200,"&lt;&gt;")=0),"TOTAL",IF(A118="","",posicao_contratual!X118))</f>
        <v/>
      </c>
      <c r="V118" s="91">
        <f>IF(A118="","",posicao_contratual!X118)</f>
        <v/>
      </c>
      <c r="W118" s="13" t="n"/>
      <c r="X118" s="13" t="n"/>
      <c r="Y118" s="13" t="n"/>
      <c r="Z118" s="13" t="n"/>
      <c r="AA118" s="13" t="n"/>
      <c r="AB118" s="90">
        <f>IF(OR(A118="",posicao_contratual!E118="",posicao_contratual!J118=""),"",ROUND(MAX(posicao_contratual!E118-posicao_contratual!J118,0),2))</f>
        <v/>
      </c>
      <c r="AC118" s="335">
        <f>IF(AND(A118="",A117&lt;&gt;"",COUNTIF(A119:$A$200,"&lt;&gt;")=0),ROUND(SUMIF($A$2:A117,"&lt;&gt;",$AC$2:AC117),2),IF(OR(AB118="",C118="",NOT(ISNUMBER($Z$2))),"",ROUND(AB118*C118*$Z$2,2)))</f>
        <v/>
      </c>
      <c r="AD118" s="155">
        <f>IF(A118="","",posicao_contratual!E118)</f>
        <v/>
      </c>
      <c r="AE118" s="155">
        <f>IF(A118="","",posicao_contratual!I118)</f>
        <v/>
      </c>
      <c r="AF118" s="155">
        <f>IF(A118="","",posicao_contratual!M118)</f>
        <v/>
      </c>
      <c r="AG118" s="155">
        <f>IF(A118="","",posicao_contratual!Q118)</f>
        <v/>
      </c>
      <c r="AH118" s="155">
        <f>IF(A118="","",posicao_contratual!U118)</f>
        <v/>
      </c>
      <c r="AI118" s="155">
        <f>IF(A118="","",posicao_contratual!G118)</f>
        <v/>
      </c>
      <c r="AJ118" s="155">
        <f>IF(A118="","",posicao_contratual!K118)</f>
        <v/>
      </c>
      <c r="AK118" s="155">
        <f>IF(A118="","",posicao_contratual!O118)</f>
        <v/>
      </c>
      <c r="AL118" s="155">
        <f>IF(A118="","",posicao_contratual!S118)</f>
        <v/>
      </c>
      <c r="AM118" s="155">
        <f>IF(A118="","",posicao_contratual!W118)</f>
        <v/>
      </c>
      <c r="AN118" s="156">
        <f>IF(A118="","",posicao_contratual!X118)</f>
        <v/>
      </c>
      <c r="AO118">
        <f>IF($A118="","",ROUND(SUMIFS(itens_Consumidos!$E$2:$E$200,itens_Consumidos!$A$2:$A$200,$A118),2))</f>
        <v/>
      </c>
      <c r="AP118">
        <f>IF(OR($A118="",AB118=""),"",ROUND(MAX(AB118-AO118,0),2))</f>
        <v/>
      </c>
      <c r="AQ118">
        <f>IF(OR($A118="",AB118="",MEMORIA_RESULTADOS!$I$258=""),"",ROUND(AB118*$C118*(MEMORIA_RESULTADOS!$I$258-1),2))</f>
        <v/>
      </c>
      <c r="AR118">
        <f>IF(OR($A118="",AP118="",MEMORIA_RESULTADOS!$I$258=""),"",ROUND(AP118*$C118*(parametros!$F$2-MEMORIA_RESULTADOS!$I$258),2))</f>
        <v/>
      </c>
      <c r="AS118">
        <f>IF($A118="","",ROUND(SUMIFS(itens_Consumidos!$G$2:$G$200,itens_Consumidos!$A$2:$A$200,$A118),2))</f>
        <v/>
      </c>
      <c r="AT118">
        <f>IF(OR($A118="",M118=""),"",ROUND(MAX(M118-AS118,0),2))</f>
        <v/>
      </c>
      <c r="AU118">
        <f>IF(OR($A118="",M118="",MEMORIA_RESULTADOS!$I$259=""),"",ROUND(M118*$C118*(MEMORIA_RESULTADOS!$I$259-1),2))</f>
        <v/>
      </c>
      <c r="AV118">
        <f>IF(OR($A118="",AT118="",MEMORIA_RESULTADOS!$I$259=""),"",ROUND(AT118*$C118*(parametros!$F$3-MEMORIA_RESULTADOS!$I$259),2))</f>
        <v/>
      </c>
      <c r="AW118">
        <f>IF($A118="","",ROUND(SUMIFS(itens_Consumidos!$I$2:$I$200,itens_Consumidos!$A$2:$A$200,$A118),2))</f>
        <v/>
      </c>
      <c r="AX118">
        <f>IF(OR($A118="",O118=""),"",ROUND(MAX(O118-AW118,0),2))</f>
        <v/>
      </c>
      <c r="AY118">
        <f>IF(OR($A118="",O118="",MEMORIA_RESULTADOS!$I$260=""),"",ROUND(O118*$C118*(MEMORIA_RESULTADOS!$I$260-1),2))</f>
        <v/>
      </c>
      <c r="AZ118">
        <f>IF(OR($A118="",AX118="",MEMORIA_RESULTADOS!$I$260=""),"",ROUND(AX118*$C118*(parametros!$F$4-MEMORIA_RESULTADOS!$I$260),2))</f>
        <v/>
      </c>
      <c r="BA118">
        <f>IF($A118="","",ROUND(SUMIFS(itens_Consumidos!$K$2:$K$200,itens_Consumidos!$A$2:$A$200,$A118),2))</f>
        <v/>
      </c>
      <c r="BB118">
        <f>IF(OR($A118="",Q118=""),"",ROUND(MAX(Q118-BA118,0),2))</f>
        <v/>
      </c>
      <c r="BC118">
        <f>IF(OR($A118="",Q118="",MEMORIA_RESULTADOS!$I$261=""),"",ROUND(Q118*$C118*(MEMORIA_RESULTADOS!$I$261-1),2))</f>
        <v/>
      </c>
      <c r="BD118">
        <f>IF(OR($A118="",BB118="",MEMORIA_RESULTADOS!$I$261=""),"",ROUND(BB118*$C118*(parametros!$F$5-MEMORIA_RESULTADOS!$I$261),2))</f>
        <v/>
      </c>
      <c r="BE118">
        <f>IF($A118="","",ROUND(SUMIFS(itens_Consumidos!$M$2:$M$200,itens_Consumidos!$A$2:$A$200,$A118),2))</f>
        <v/>
      </c>
      <c r="BF118">
        <f>IF(OR($A118="",S118=""),"",ROUND(MAX(S118-BE118,0),2))</f>
        <v/>
      </c>
      <c r="BG118">
        <f>IF(OR($A118="",S118="",MEMORIA_RESULTADOS!$I$262=""),"",ROUND(S118*$C118*(MEMORIA_RESULTADOS!$I$262-1),2))</f>
        <v/>
      </c>
      <c r="BH118">
        <f>IF(OR($A118="",BF118="",MEMORIA_RESULTADOS!$I$262=""),"",ROUND(BF118*$C118*(parametros!$F$6-MEMORIA_RESULTADOS!$I$262),2))</f>
        <v/>
      </c>
    </row>
    <row r="119">
      <c r="A119" s="86" t="n"/>
      <c r="B119" s="87">
        <f>IF(AND(LEN(TRIM($A119))=4,LEFT(TRIM($A119),1)="N",ISNUMBER(--MID(TRIM($A119),2,3)),ISERROR(FIND(".",$A119)),ISERROR(FIND(",",$A119)),ISERROR(FIND("-",$A119)),ISERROR(FIND("+",$A119)),ISERROR(SEARCH("E",$A119,2)),ISERROR(FIND(" ",TRIM($A119)))),0,"")</f>
        <v/>
      </c>
      <c r="C119" s="339" t="n"/>
      <c r="D119" s="335">
        <f>IF(AND(A119="",A118&lt;&gt;"",COUNTIF(A120:$A$200,"&lt;&gt;")=0),ROUND(SUMIF($A$2:A118,"&lt;&gt;",$D$2:D118),2),IF(OR(A119="",B119="",C119=""),"",ROUND(B119*C119,2)))</f>
        <v/>
      </c>
      <c r="E119" s="89" t="n"/>
      <c r="F119" s="335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 t="n"/>
      <c r="H119" s="335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 t="n"/>
      <c r="J119" s="335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 t="n"/>
      <c r="L119" s="335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>
        <f>IF(OR(posicao_contratual!J119="",posicao_contratual!N119=""),"",ROUND(MAX(posicao_contratual!J119+posicao_contratual!H119-posicao_contratual!N119,0),2))</f>
        <v/>
      </c>
      <c r="N119" s="335">
        <f>IF(AND(A119="",A118&lt;&gt;"",COUNTIF(A120:$A$200,"&lt;&gt;")=0),ROUND(SUMIF($A$2:A118,"&lt;&gt;",$N$2:N118),2),IF(OR(M119="",C119="",NOT(ISNUMBER($Z$3))),"",ROUND(M119*C119*$Z$3,2)))</f>
        <v/>
      </c>
      <c r="O119" s="90">
        <f>IF(OR(posicao_contratual!N119="",posicao_contratual!R119=""),"",ROUND(MAX(posicao_contratual!N119+posicao_contratual!L119-posicao_contratual!R119,0),2))</f>
        <v/>
      </c>
      <c r="P119" s="335">
        <f>IF(AND(A119="",A118&lt;&gt;"",COUNTIF(A120:$A$200,"&lt;&gt;")=0),ROUND(SUMIF($A$2:A118,"&lt;&gt;",$P$2:P118),2),IF(OR(O119="",C119="",NOT(ISNUMBER($Z$4))),"",ROUND(O119*C119*$Z$4,2)))</f>
        <v/>
      </c>
      <c r="Q119" s="90">
        <f>IF(OR(posicao_contratual!R119="",posicao_contratual!V119=""),"",ROUND(MAX(posicao_contratual!R119+posicao_contratual!P119-posicao_contratual!V119,0),2))</f>
        <v/>
      </c>
      <c r="R119" s="335">
        <f>IF(AND(A119="",A118&lt;&gt;"",COUNTIF(A120:$A$200,"&lt;&gt;")=0),ROUND(SUMIF($A$2:A118,"&lt;&gt;",$R$2:R118),2),IF(OR(Q119="",C119="",NOT(ISNUMBER($Z$5))),"",ROUND(Q119*C119*$Z$5,2)))</f>
        <v/>
      </c>
      <c r="S119" s="43" t="n"/>
      <c r="T119" s="342" t="n"/>
      <c r="U119" s="91">
        <f>IF(AND(A119="",A118&lt;&gt;"",COUNTIF(A120:$A$200,"&lt;&gt;")=0),"TOTAL",IF(A119="","",posicao_contratual!X119))</f>
        <v/>
      </c>
      <c r="V119" s="91">
        <f>IF(A119="","",posicao_contratual!X119)</f>
        <v/>
      </c>
      <c r="W119" s="13" t="n"/>
      <c r="X119" s="13" t="n"/>
      <c r="Y119" s="13" t="n"/>
      <c r="Z119" s="13" t="n"/>
      <c r="AA119" s="13" t="n"/>
      <c r="AB119" s="90">
        <f>IF(OR(A119="",posicao_contratual!E119="",posicao_contratual!J119=""),"",ROUND(MAX(posicao_contratual!E119-posicao_contratual!J119,0),2))</f>
        <v/>
      </c>
      <c r="AC119" s="335">
        <f>IF(AND(A119="",A118&lt;&gt;"",COUNTIF(A120:$A$200,"&lt;&gt;")=0),ROUND(SUMIF($A$2:A118,"&lt;&gt;",$AC$2:AC118),2),IF(OR(AB119="",C119="",NOT(ISNUMBER($Z$2))),"",ROUND(AB119*C119*$Z$2,2)))</f>
        <v/>
      </c>
      <c r="AD119" s="155">
        <f>IF(A119="","",posicao_contratual!E119)</f>
        <v/>
      </c>
      <c r="AE119" s="155">
        <f>IF(A119="","",posicao_contratual!I119)</f>
        <v/>
      </c>
      <c r="AF119" s="155">
        <f>IF(A119="","",posicao_contratual!M119)</f>
        <v/>
      </c>
      <c r="AG119" s="155">
        <f>IF(A119="","",posicao_contratual!Q119)</f>
        <v/>
      </c>
      <c r="AH119" s="155">
        <f>IF(A119="","",posicao_contratual!U119)</f>
        <v/>
      </c>
      <c r="AI119" s="155">
        <f>IF(A119="","",posicao_contratual!G119)</f>
        <v/>
      </c>
      <c r="AJ119" s="155">
        <f>IF(A119="","",posicao_contratual!K119)</f>
        <v/>
      </c>
      <c r="AK119" s="155">
        <f>IF(A119="","",posicao_contratual!O119)</f>
        <v/>
      </c>
      <c r="AL119" s="155">
        <f>IF(A119="","",posicao_contratual!S119)</f>
        <v/>
      </c>
      <c r="AM119" s="155">
        <f>IF(A119="","",posicao_contratual!W119)</f>
        <v/>
      </c>
      <c r="AN119" s="156">
        <f>IF(A119="","",posicao_contratual!X119)</f>
        <v/>
      </c>
      <c r="AO119">
        <f>IF($A119="","",ROUND(SUMIFS(itens_Consumidos!$E$2:$E$200,itens_Consumidos!$A$2:$A$200,$A119),2))</f>
        <v/>
      </c>
      <c r="AP119">
        <f>IF(OR($A119="",AB119=""),"",ROUND(MAX(AB119-AO119,0),2))</f>
        <v/>
      </c>
      <c r="AQ119">
        <f>IF(OR($A119="",AB119="",MEMORIA_RESULTADOS!$I$258=""),"",ROUND(AB119*$C119*(MEMORIA_RESULTADOS!$I$258-1),2))</f>
        <v/>
      </c>
      <c r="AR119">
        <f>IF(OR($A119="",AP119="",MEMORIA_RESULTADOS!$I$258=""),"",ROUND(AP119*$C119*(parametros!$F$2-MEMORIA_RESULTADOS!$I$258),2))</f>
        <v/>
      </c>
      <c r="AS119">
        <f>IF($A119="","",ROUND(SUMIFS(itens_Consumidos!$G$2:$G$200,itens_Consumidos!$A$2:$A$200,$A119),2))</f>
        <v/>
      </c>
      <c r="AT119">
        <f>IF(OR($A119="",M119=""),"",ROUND(MAX(M119-AS119,0),2))</f>
        <v/>
      </c>
      <c r="AU119">
        <f>IF(OR($A119="",M119="",MEMORIA_RESULTADOS!$I$259=""),"",ROUND(M119*$C119*(MEMORIA_RESULTADOS!$I$259-1),2))</f>
        <v/>
      </c>
      <c r="AV119">
        <f>IF(OR($A119="",AT119="",MEMORIA_RESULTADOS!$I$259=""),"",ROUND(AT119*$C119*(parametros!$F$3-MEMORIA_RESULTADOS!$I$259),2))</f>
        <v/>
      </c>
      <c r="AW119">
        <f>IF($A119="","",ROUND(SUMIFS(itens_Consumidos!$I$2:$I$200,itens_Consumidos!$A$2:$A$200,$A119),2))</f>
        <v/>
      </c>
      <c r="AX119">
        <f>IF(OR($A119="",O119=""),"",ROUND(MAX(O119-AW119,0),2))</f>
        <v/>
      </c>
      <c r="AY119">
        <f>IF(OR($A119="",O119="",MEMORIA_RESULTADOS!$I$260=""),"",ROUND(O119*$C119*(MEMORIA_RESULTADOS!$I$260-1),2))</f>
        <v/>
      </c>
      <c r="AZ119">
        <f>IF(OR($A119="",AX119="",MEMORIA_RESULTADOS!$I$260=""),"",ROUND(AX119*$C119*(parametros!$F$4-MEMORIA_RESULTADOS!$I$260),2))</f>
        <v/>
      </c>
      <c r="BA119">
        <f>IF($A119="","",ROUND(SUMIFS(itens_Consumidos!$K$2:$K$200,itens_Consumidos!$A$2:$A$200,$A119),2))</f>
        <v/>
      </c>
      <c r="BB119">
        <f>IF(OR($A119="",Q119=""),"",ROUND(MAX(Q119-BA119,0),2))</f>
        <v/>
      </c>
      <c r="BC119">
        <f>IF(OR($A119="",Q119="",MEMORIA_RESULTADOS!$I$261=""),"",ROUND(Q119*$C119*(MEMORIA_RESULTADOS!$I$261-1),2))</f>
        <v/>
      </c>
      <c r="BD119">
        <f>IF(OR($A119="",BB119="",MEMORIA_RESULTADOS!$I$261=""),"",ROUND(BB119*$C119*(parametros!$F$5-MEMORIA_RESULTADOS!$I$261),2))</f>
        <v/>
      </c>
      <c r="BE119">
        <f>IF($A119="","",ROUND(SUMIFS(itens_Consumidos!$M$2:$M$200,itens_Consumidos!$A$2:$A$200,$A119),2))</f>
        <v/>
      </c>
      <c r="BF119">
        <f>IF(OR($A119="",S119=""),"",ROUND(MAX(S119-BE119,0),2))</f>
        <v/>
      </c>
      <c r="BG119">
        <f>IF(OR($A119="",S119="",MEMORIA_RESULTADOS!$I$262=""),"",ROUND(S119*$C119*(MEMORIA_RESULTADOS!$I$262-1),2))</f>
        <v/>
      </c>
      <c r="BH119">
        <f>IF(OR($A119="",BF119="",MEMORIA_RESULTADOS!$I$262=""),"",ROUND(BF119*$C119*(parametros!$F$6-MEMORIA_RESULTADOS!$I$262),2))</f>
        <v/>
      </c>
    </row>
    <row r="120">
      <c r="A120" s="86" t="n"/>
      <c r="B120" s="87">
        <f>IF(AND(LEN(TRIM($A120))=4,LEFT(TRIM($A120),1)="N",ISNUMBER(--MID(TRIM($A120),2,3)),ISERROR(FIND(".",$A120)),ISERROR(FIND(",",$A120)),ISERROR(FIND("-",$A120)),ISERROR(FIND("+",$A120)),ISERROR(SEARCH("E",$A120,2)),ISERROR(FIND(" ",TRIM($A120)))),0,"")</f>
        <v/>
      </c>
      <c r="C120" s="339" t="n"/>
      <c r="D120" s="335">
        <f>IF(AND(A120="",A119&lt;&gt;"",COUNTIF(A121:$A$200,"&lt;&gt;")=0),ROUND(SUMIF($A$2:A119,"&lt;&gt;",$D$2:D119),2),IF(OR(A120="",B120="",C120=""),"",ROUND(B120*C120,2)))</f>
        <v/>
      </c>
      <c r="E120" s="89" t="n"/>
      <c r="F120" s="335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 t="n"/>
      <c r="H120" s="335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 t="n"/>
      <c r="J120" s="335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 t="n"/>
      <c r="L120" s="335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>
        <f>IF(OR(posicao_contratual!J120="",posicao_contratual!N120=""),"",ROUND(MAX(posicao_contratual!J120+posicao_contratual!H120-posicao_contratual!N120,0),2))</f>
        <v/>
      </c>
      <c r="N120" s="335">
        <f>IF(AND(A120="",A119&lt;&gt;"",COUNTIF(A121:$A$200,"&lt;&gt;")=0),ROUND(SUMIF($A$2:A119,"&lt;&gt;",$N$2:N119),2),IF(OR(M120="",C120="",NOT(ISNUMBER($Z$3))),"",ROUND(M120*C120*$Z$3,2)))</f>
        <v/>
      </c>
      <c r="O120" s="90">
        <f>IF(OR(posicao_contratual!N120="",posicao_contratual!R120=""),"",ROUND(MAX(posicao_contratual!N120+posicao_contratual!L120-posicao_contratual!R120,0),2))</f>
        <v/>
      </c>
      <c r="P120" s="335">
        <f>IF(AND(A120="",A119&lt;&gt;"",COUNTIF(A121:$A$200,"&lt;&gt;")=0),ROUND(SUMIF($A$2:A119,"&lt;&gt;",$P$2:P119),2),IF(OR(O120="",C120="",NOT(ISNUMBER($Z$4))),"",ROUND(O120*C120*$Z$4,2)))</f>
        <v/>
      </c>
      <c r="Q120" s="90">
        <f>IF(OR(posicao_contratual!R120="",posicao_contratual!V120=""),"",ROUND(MAX(posicao_contratual!R120+posicao_contratual!P120-posicao_contratual!V120,0),2))</f>
        <v/>
      </c>
      <c r="R120" s="335">
        <f>IF(AND(A120="",A119&lt;&gt;"",COUNTIF(A121:$A$200,"&lt;&gt;")=0),ROUND(SUMIF($A$2:A119,"&lt;&gt;",$R$2:R119),2),IF(OR(Q120="",C120="",NOT(ISNUMBER($Z$5))),"",ROUND(Q120*C120*$Z$5,2)))</f>
        <v/>
      </c>
      <c r="S120" s="43" t="n"/>
      <c r="T120" s="342" t="n"/>
      <c r="U120" s="91">
        <f>IF(AND(A120="",A119&lt;&gt;"",COUNTIF(A121:$A$200,"&lt;&gt;")=0),"TOTAL",IF(A120="","",posicao_contratual!X120))</f>
        <v/>
      </c>
      <c r="V120" s="91">
        <f>IF(A120="","",posicao_contratual!X120)</f>
        <v/>
      </c>
      <c r="W120" s="13" t="n"/>
      <c r="X120" s="13" t="n"/>
      <c r="Y120" s="13" t="n"/>
      <c r="Z120" s="13" t="n"/>
      <c r="AA120" s="13" t="n"/>
      <c r="AB120" s="90">
        <f>IF(OR(A120="",posicao_contratual!E120="",posicao_contratual!J120=""),"",ROUND(MAX(posicao_contratual!E120-posicao_contratual!J120,0),2))</f>
        <v/>
      </c>
      <c r="AC120" s="335">
        <f>IF(AND(A120="",A119&lt;&gt;"",COUNTIF(A121:$A$200,"&lt;&gt;")=0),ROUND(SUMIF($A$2:A119,"&lt;&gt;",$AC$2:AC119),2),IF(OR(AB120="",C120="",NOT(ISNUMBER($Z$2))),"",ROUND(AB120*C120*$Z$2,2)))</f>
        <v/>
      </c>
      <c r="AD120" s="155">
        <f>IF(A120="","",posicao_contratual!E120)</f>
        <v/>
      </c>
      <c r="AE120" s="155">
        <f>IF(A120="","",posicao_contratual!I120)</f>
        <v/>
      </c>
      <c r="AF120" s="155">
        <f>IF(A120="","",posicao_contratual!M120)</f>
        <v/>
      </c>
      <c r="AG120" s="155">
        <f>IF(A120="","",posicao_contratual!Q120)</f>
        <v/>
      </c>
      <c r="AH120" s="155">
        <f>IF(A120="","",posicao_contratual!U120)</f>
        <v/>
      </c>
      <c r="AI120" s="155">
        <f>IF(A120="","",posicao_contratual!G120)</f>
        <v/>
      </c>
      <c r="AJ120" s="155">
        <f>IF(A120="","",posicao_contratual!K120)</f>
        <v/>
      </c>
      <c r="AK120" s="155">
        <f>IF(A120="","",posicao_contratual!O120)</f>
        <v/>
      </c>
      <c r="AL120" s="155">
        <f>IF(A120="","",posicao_contratual!S120)</f>
        <v/>
      </c>
      <c r="AM120" s="155">
        <f>IF(A120="","",posicao_contratual!W120)</f>
        <v/>
      </c>
      <c r="AN120" s="156">
        <f>IF(A120="","",posicao_contratual!X120)</f>
        <v/>
      </c>
      <c r="AO120">
        <f>IF($A120="","",ROUND(SUMIFS(itens_Consumidos!$E$2:$E$200,itens_Consumidos!$A$2:$A$200,$A120),2))</f>
        <v/>
      </c>
      <c r="AP120">
        <f>IF(OR($A120="",AB120=""),"",ROUND(MAX(AB120-AO120,0),2))</f>
        <v/>
      </c>
      <c r="AQ120">
        <f>IF(OR($A120="",AB120="",MEMORIA_RESULTADOS!$I$258=""),"",ROUND(AB120*$C120*(MEMORIA_RESULTADOS!$I$258-1),2))</f>
        <v/>
      </c>
      <c r="AR120">
        <f>IF(OR($A120="",AP120="",MEMORIA_RESULTADOS!$I$258=""),"",ROUND(AP120*$C120*(parametros!$F$2-MEMORIA_RESULTADOS!$I$258),2))</f>
        <v/>
      </c>
      <c r="AS120">
        <f>IF($A120="","",ROUND(SUMIFS(itens_Consumidos!$G$2:$G$200,itens_Consumidos!$A$2:$A$200,$A120),2))</f>
        <v/>
      </c>
      <c r="AT120">
        <f>IF(OR($A120="",M120=""),"",ROUND(MAX(M120-AS120,0),2))</f>
        <v/>
      </c>
      <c r="AU120">
        <f>IF(OR($A120="",M120="",MEMORIA_RESULTADOS!$I$259=""),"",ROUND(M120*$C120*(MEMORIA_RESULTADOS!$I$259-1),2))</f>
        <v/>
      </c>
      <c r="AV120">
        <f>IF(OR($A120="",AT120="",MEMORIA_RESULTADOS!$I$259=""),"",ROUND(AT120*$C120*(parametros!$F$3-MEMORIA_RESULTADOS!$I$259),2))</f>
        <v/>
      </c>
      <c r="AW120">
        <f>IF($A120="","",ROUND(SUMIFS(itens_Consumidos!$I$2:$I$200,itens_Consumidos!$A$2:$A$200,$A120),2))</f>
        <v/>
      </c>
      <c r="AX120">
        <f>IF(OR($A120="",O120=""),"",ROUND(MAX(O120-AW120,0),2))</f>
        <v/>
      </c>
      <c r="AY120">
        <f>IF(OR($A120="",O120="",MEMORIA_RESULTADOS!$I$260=""),"",ROUND(O120*$C120*(MEMORIA_RESULTADOS!$I$260-1),2))</f>
        <v/>
      </c>
      <c r="AZ120">
        <f>IF(OR($A120="",AX120="",MEMORIA_RESULTADOS!$I$260=""),"",ROUND(AX120*$C120*(parametros!$F$4-MEMORIA_RESULTADOS!$I$260),2))</f>
        <v/>
      </c>
      <c r="BA120">
        <f>IF($A120="","",ROUND(SUMIFS(itens_Consumidos!$K$2:$K$200,itens_Consumidos!$A$2:$A$200,$A120),2))</f>
        <v/>
      </c>
      <c r="BB120">
        <f>IF(OR($A120="",Q120=""),"",ROUND(MAX(Q120-BA120,0),2))</f>
        <v/>
      </c>
      <c r="BC120">
        <f>IF(OR($A120="",Q120="",MEMORIA_RESULTADOS!$I$261=""),"",ROUND(Q120*$C120*(MEMORIA_RESULTADOS!$I$261-1),2))</f>
        <v/>
      </c>
      <c r="BD120">
        <f>IF(OR($A120="",BB120="",MEMORIA_RESULTADOS!$I$261=""),"",ROUND(BB120*$C120*(parametros!$F$5-MEMORIA_RESULTADOS!$I$261),2))</f>
        <v/>
      </c>
      <c r="BE120">
        <f>IF($A120="","",ROUND(SUMIFS(itens_Consumidos!$M$2:$M$200,itens_Consumidos!$A$2:$A$200,$A120),2))</f>
        <v/>
      </c>
      <c r="BF120">
        <f>IF(OR($A120="",S120=""),"",ROUND(MAX(S120-BE120,0),2))</f>
        <v/>
      </c>
      <c r="BG120">
        <f>IF(OR($A120="",S120="",MEMORIA_RESULTADOS!$I$262=""),"",ROUND(S120*$C120*(MEMORIA_RESULTADOS!$I$262-1),2))</f>
        <v/>
      </c>
      <c r="BH120">
        <f>IF(OR($A120="",BF120="",MEMORIA_RESULTADOS!$I$262=""),"",ROUND(BF120*$C120*(parametros!$F$6-MEMORIA_RESULTADOS!$I$262),2))</f>
        <v/>
      </c>
    </row>
    <row r="121">
      <c r="A121" s="86" t="n"/>
      <c r="B121" s="87">
        <f>IF(AND(LEN(TRIM($A121))=4,LEFT(TRIM($A121),1)="N",ISNUMBER(--MID(TRIM($A121),2,3)),ISERROR(FIND(".",$A121)),ISERROR(FIND(",",$A121)),ISERROR(FIND("-",$A121)),ISERROR(FIND("+",$A121)),ISERROR(SEARCH("E",$A121,2)),ISERROR(FIND(" ",TRIM($A121)))),0,"")</f>
        <v/>
      </c>
      <c r="C121" s="339" t="n"/>
      <c r="D121" s="335">
        <f>IF(AND(A121="",A120&lt;&gt;"",COUNTIF(A122:$A$200,"&lt;&gt;")=0),ROUND(SUMIF($A$2:A120,"&lt;&gt;",$D$2:D120),2),IF(OR(A121="",B121="",C121=""),"",ROUND(B121*C121,2)))</f>
        <v/>
      </c>
      <c r="E121" s="89" t="n"/>
      <c r="F121" s="335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 t="n"/>
      <c r="H121" s="335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 t="n"/>
      <c r="J121" s="335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 t="n"/>
      <c r="L121" s="335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>
        <f>IF(OR(posicao_contratual!J121="",posicao_contratual!N121=""),"",ROUND(MAX(posicao_contratual!J121+posicao_contratual!H121-posicao_contratual!N121,0),2))</f>
        <v/>
      </c>
      <c r="N121" s="335">
        <f>IF(AND(A121="",A120&lt;&gt;"",COUNTIF(A122:$A$200,"&lt;&gt;")=0),ROUND(SUMIF($A$2:A120,"&lt;&gt;",$N$2:N120),2),IF(OR(M121="",C121="",NOT(ISNUMBER($Z$3))),"",ROUND(M121*C121*$Z$3,2)))</f>
        <v/>
      </c>
      <c r="O121" s="90">
        <f>IF(OR(posicao_contratual!N121="",posicao_contratual!R121=""),"",ROUND(MAX(posicao_contratual!N121+posicao_contratual!L121-posicao_contratual!R121,0),2))</f>
        <v/>
      </c>
      <c r="P121" s="335">
        <f>IF(AND(A121="",A120&lt;&gt;"",COUNTIF(A122:$A$200,"&lt;&gt;")=0),ROUND(SUMIF($A$2:A120,"&lt;&gt;",$P$2:P120),2),IF(OR(O121="",C121="",NOT(ISNUMBER($Z$4))),"",ROUND(O121*C121*$Z$4,2)))</f>
        <v/>
      </c>
      <c r="Q121" s="90">
        <f>IF(OR(posicao_contratual!R121="",posicao_contratual!V121=""),"",ROUND(MAX(posicao_contratual!R121+posicao_contratual!P121-posicao_contratual!V121,0),2))</f>
        <v/>
      </c>
      <c r="R121" s="335">
        <f>IF(AND(A121="",A120&lt;&gt;"",COUNTIF(A122:$A$200,"&lt;&gt;")=0),ROUND(SUMIF($A$2:A120,"&lt;&gt;",$R$2:R120),2),IF(OR(Q121="",C121="",NOT(ISNUMBER($Z$5))),"",ROUND(Q121*C121*$Z$5,2)))</f>
        <v/>
      </c>
      <c r="S121" s="43" t="n"/>
      <c r="T121" s="342" t="n"/>
      <c r="U121" s="91">
        <f>IF(AND(A121="",A120&lt;&gt;"",COUNTIF(A122:$A$200,"&lt;&gt;")=0),"TOTAL",IF(A121="","",posicao_contratual!X121))</f>
        <v/>
      </c>
      <c r="V121" s="91">
        <f>IF(A121="","",posicao_contratual!X121)</f>
        <v/>
      </c>
      <c r="W121" s="13" t="n"/>
      <c r="X121" s="13" t="n"/>
      <c r="Y121" s="13" t="n"/>
      <c r="Z121" s="13" t="n"/>
      <c r="AA121" s="13" t="n"/>
      <c r="AB121" s="90">
        <f>IF(OR(A121="",posicao_contratual!E121="",posicao_contratual!J121=""),"",ROUND(MAX(posicao_contratual!E121-posicao_contratual!J121,0),2))</f>
        <v/>
      </c>
      <c r="AC121" s="335">
        <f>IF(AND(A121="",A120&lt;&gt;"",COUNTIF(A122:$A$200,"&lt;&gt;")=0),ROUND(SUMIF($A$2:A120,"&lt;&gt;",$AC$2:AC120),2),IF(OR(AB121="",C121="",NOT(ISNUMBER($Z$2))),"",ROUND(AB121*C121*$Z$2,2)))</f>
        <v/>
      </c>
      <c r="AD121" s="155">
        <f>IF(A121="","",posicao_contratual!E121)</f>
        <v/>
      </c>
      <c r="AE121" s="155">
        <f>IF(A121="","",posicao_contratual!I121)</f>
        <v/>
      </c>
      <c r="AF121" s="155">
        <f>IF(A121="","",posicao_contratual!M121)</f>
        <v/>
      </c>
      <c r="AG121" s="155">
        <f>IF(A121="","",posicao_contratual!Q121)</f>
        <v/>
      </c>
      <c r="AH121" s="155">
        <f>IF(A121="","",posicao_contratual!U121)</f>
        <v/>
      </c>
      <c r="AI121" s="155">
        <f>IF(A121="","",posicao_contratual!G121)</f>
        <v/>
      </c>
      <c r="AJ121" s="155">
        <f>IF(A121="","",posicao_contratual!K121)</f>
        <v/>
      </c>
      <c r="AK121" s="155">
        <f>IF(A121="","",posicao_contratual!O121)</f>
        <v/>
      </c>
      <c r="AL121" s="155">
        <f>IF(A121="","",posicao_contratual!S121)</f>
        <v/>
      </c>
      <c r="AM121" s="155">
        <f>IF(A121="","",posicao_contratual!W121)</f>
        <v/>
      </c>
      <c r="AN121" s="156">
        <f>IF(A121="","",posicao_contratual!X121)</f>
        <v/>
      </c>
      <c r="AO121">
        <f>IF($A121="","",ROUND(SUMIFS(itens_Consumidos!$E$2:$E$200,itens_Consumidos!$A$2:$A$200,$A121),2))</f>
        <v/>
      </c>
      <c r="AP121">
        <f>IF(OR($A121="",AB121=""),"",ROUND(MAX(AB121-AO121,0),2))</f>
        <v/>
      </c>
      <c r="AQ121">
        <f>IF(OR($A121="",AB121="",MEMORIA_RESULTADOS!$I$258=""),"",ROUND(AB121*$C121*(MEMORIA_RESULTADOS!$I$258-1),2))</f>
        <v/>
      </c>
      <c r="AR121">
        <f>IF(OR($A121="",AP121="",MEMORIA_RESULTADOS!$I$258=""),"",ROUND(AP121*$C121*(parametros!$F$2-MEMORIA_RESULTADOS!$I$258),2))</f>
        <v/>
      </c>
      <c r="AS121">
        <f>IF($A121="","",ROUND(SUMIFS(itens_Consumidos!$G$2:$G$200,itens_Consumidos!$A$2:$A$200,$A121),2))</f>
        <v/>
      </c>
      <c r="AT121">
        <f>IF(OR($A121="",M121=""),"",ROUND(MAX(M121-AS121,0),2))</f>
        <v/>
      </c>
      <c r="AU121">
        <f>IF(OR($A121="",M121="",MEMORIA_RESULTADOS!$I$259=""),"",ROUND(M121*$C121*(MEMORIA_RESULTADOS!$I$259-1),2))</f>
        <v/>
      </c>
      <c r="AV121">
        <f>IF(OR($A121="",AT121="",MEMORIA_RESULTADOS!$I$259=""),"",ROUND(AT121*$C121*(parametros!$F$3-MEMORIA_RESULTADOS!$I$259),2))</f>
        <v/>
      </c>
      <c r="AW121">
        <f>IF($A121="","",ROUND(SUMIFS(itens_Consumidos!$I$2:$I$200,itens_Consumidos!$A$2:$A$200,$A121),2))</f>
        <v/>
      </c>
      <c r="AX121">
        <f>IF(OR($A121="",O121=""),"",ROUND(MAX(O121-AW121,0),2))</f>
        <v/>
      </c>
      <c r="AY121">
        <f>IF(OR($A121="",O121="",MEMORIA_RESULTADOS!$I$260=""),"",ROUND(O121*$C121*(MEMORIA_RESULTADOS!$I$260-1),2))</f>
        <v/>
      </c>
      <c r="AZ121">
        <f>IF(OR($A121="",AX121="",MEMORIA_RESULTADOS!$I$260=""),"",ROUND(AX121*$C121*(parametros!$F$4-MEMORIA_RESULTADOS!$I$260),2))</f>
        <v/>
      </c>
      <c r="BA121">
        <f>IF($A121="","",ROUND(SUMIFS(itens_Consumidos!$K$2:$K$200,itens_Consumidos!$A$2:$A$200,$A121),2))</f>
        <v/>
      </c>
      <c r="BB121">
        <f>IF(OR($A121="",Q121=""),"",ROUND(MAX(Q121-BA121,0),2))</f>
        <v/>
      </c>
      <c r="BC121">
        <f>IF(OR($A121="",Q121="",MEMORIA_RESULTADOS!$I$261=""),"",ROUND(Q121*$C121*(MEMORIA_RESULTADOS!$I$261-1),2))</f>
        <v/>
      </c>
      <c r="BD121">
        <f>IF(OR($A121="",BB121="",MEMORIA_RESULTADOS!$I$261=""),"",ROUND(BB121*$C121*(parametros!$F$5-MEMORIA_RESULTADOS!$I$261),2))</f>
        <v/>
      </c>
      <c r="BE121">
        <f>IF($A121="","",ROUND(SUMIFS(itens_Consumidos!$M$2:$M$200,itens_Consumidos!$A$2:$A$200,$A121),2))</f>
        <v/>
      </c>
      <c r="BF121">
        <f>IF(OR($A121="",S121=""),"",ROUND(MAX(S121-BE121,0),2))</f>
        <v/>
      </c>
      <c r="BG121">
        <f>IF(OR($A121="",S121="",MEMORIA_RESULTADOS!$I$262=""),"",ROUND(S121*$C121*(MEMORIA_RESULTADOS!$I$262-1),2))</f>
        <v/>
      </c>
      <c r="BH121">
        <f>IF(OR($A121="",BF121="",MEMORIA_RESULTADOS!$I$262=""),"",ROUND(BF121*$C121*(parametros!$F$6-MEMORIA_RESULTADOS!$I$262),2))</f>
        <v/>
      </c>
    </row>
    <row r="122">
      <c r="A122" s="86" t="n"/>
      <c r="B122" s="87">
        <f>IF(AND(LEN(TRIM($A122))=4,LEFT(TRIM($A122),1)="N",ISNUMBER(--MID(TRIM($A122),2,3)),ISERROR(FIND(".",$A122)),ISERROR(FIND(",",$A122)),ISERROR(FIND("-",$A122)),ISERROR(FIND("+",$A122)),ISERROR(SEARCH("E",$A122,2)),ISERROR(FIND(" ",TRIM($A122)))),0,"")</f>
        <v/>
      </c>
      <c r="C122" s="339" t="n"/>
      <c r="D122" s="335">
        <f>IF(AND(A122="",A121&lt;&gt;"",COUNTIF(A123:$A$200,"&lt;&gt;")=0),ROUND(SUMIF($A$2:A121,"&lt;&gt;",$D$2:D121),2),IF(OR(A122="",B122="",C122=""),"",ROUND(B122*C122,2)))</f>
        <v/>
      </c>
      <c r="E122" s="89" t="n"/>
      <c r="F122" s="335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 t="n"/>
      <c r="H122" s="335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 t="n"/>
      <c r="J122" s="335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 t="n"/>
      <c r="L122" s="335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>
        <f>IF(OR(posicao_contratual!J122="",posicao_contratual!N122=""),"",ROUND(MAX(posicao_contratual!J122+posicao_contratual!H122-posicao_contratual!N122,0),2))</f>
        <v/>
      </c>
      <c r="N122" s="335">
        <f>IF(AND(A122="",A121&lt;&gt;"",COUNTIF(A123:$A$200,"&lt;&gt;")=0),ROUND(SUMIF($A$2:A121,"&lt;&gt;",$N$2:N121),2),IF(OR(M122="",C122="",NOT(ISNUMBER($Z$3))),"",ROUND(M122*C122*$Z$3,2)))</f>
        <v/>
      </c>
      <c r="O122" s="90">
        <f>IF(OR(posicao_contratual!N122="",posicao_contratual!R122=""),"",ROUND(MAX(posicao_contratual!N122+posicao_contratual!L122-posicao_contratual!R122,0),2))</f>
        <v/>
      </c>
      <c r="P122" s="335">
        <f>IF(AND(A122="",A121&lt;&gt;"",COUNTIF(A123:$A$200,"&lt;&gt;")=0),ROUND(SUMIF($A$2:A121,"&lt;&gt;",$P$2:P121),2),IF(OR(O122="",C122="",NOT(ISNUMBER($Z$4))),"",ROUND(O122*C122*$Z$4,2)))</f>
        <v/>
      </c>
      <c r="Q122" s="90">
        <f>IF(OR(posicao_contratual!R122="",posicao_contratual!V122=""),"",ROUND(MAX(posicao_contratual!R122+posicao_contratual!P122-posicao_contratual!V122,0),2))</f>
        <v/>
      </c>
      <c r="R122" s="335">
        <f>IF(AND(A122="",A121&lt;&gt;"",COUNTIF(A123:$A$200,"&lt;&gt;")=0),ROUND(SUMIF($A$2:A121,"&lt;&gt;",$R$2:R121),2),IF(OR(Q122="",C122="",NOT(ISNUMBER($Z$5))),"",ROUND(Q122*C122*$Z$5,2)))</f>
        <v/>
      </c>
      <c r="S122" s="43" t="n"/>
      <c r="T122" s="342" t="n"/>
      <c r="U122" s="91">
        <f>IF(AND(A122="",A121&lt;&gt;"",COUNTIF(A123:$A$200,"&lt;&gt;")=0),"TOTAL",IF(A122="","",posicao_contratual!X122))</f>
        <v/>
      </c>
      <c r="V122" s="91">
        <f>IF(A122="","",posicao_contratual!X122)</f>
        <v/>
      </c>
      <c r="W122" s="13" t="n"/>
      <c r="X122" s="13" t="n"/>
      <c r="Y122" s="13" t="n"/>
      <c r="Z122" s="13" t="n"/>
      <c r="AA122" s="13" t="n"/>
      <c r="AB122" s="90">
        <f>IF(OR(A122="",posicao_contratual!E122="",posicao_contratual!J122=""),"",ROUND(MAX(posicao_contratual!E122-posicao_contratual!J122,0),2))</f>
        <v/>
      </c>
      <c r="AC122" s="335">
        <f>IF(AND(A122="",A121&lt;&gt;"",COUNTIF(A123:$A$200,"&lt;&gt;")=0),ROUND(SUMIF($A$2:A121,"&lt;&gt;",$AC$2:AC121),2),IF(OR(AB122="",C122="",NOT(ISNUMBER($Z$2))),"",ROUND(AB122*C122*$Z$2,2)))</f>
        <v/>
      </c>
      <c r="AD122" s="155">
        <f>IF(A122="","",posicao_contratual!E122)</f>
        <v/>
      </c>
      <c r="AE122" s="155">
        <f>IF(A122="","",posicao_contratual!I122)</f>
        <v/>
      </c>
      <c r="AF122" s="155">
        <f>IF(A122="","",posicao_contratual!M122)</f>
        <v/>
      </c>
      <c r="AG122" s="155">
        <f>IF(A122="","",posicao_contratual!Q122)</f>
        <v/>
      </c>
      <c r="AH122" s="155">
        <f>IF(A122="","",posicao_contratual!U122)</f>
        <v/>
      </c>
      <c r="AI122" s="155">
        <f>IF(A122="","",posicao_contratual!G122)</f>
        <v/>
      </c>
      <c r="AJ122" s="155">
        <f>IF(A122="","",posicao_contratual!K122)</f>
        <v/>
      </c>
      <c r="AK122" s="155">
        <f>IF(A122="","",posicao_contratual!O122)</f>
        <v/>
      </c>
      <c r="AL122" s="155">
        <f>IF(A122="","",posicao_contratual!S122)</f>
        <v/>
      </c>
      <c r="AM122" s="155">
        <f>IF(A122="","",posicao_contratual!W122)</f>
        <v/>
      </c>
      <c r="AN122" s="156">
        <f>IF(A122="","",posicao_contratual!X122)</f>
        <v/>
      </c>
      <c r="AO122">
        <f>IF($A122="","",ROUND(SUMIFS(itens_Consumidos!$E$2:$E$200,itens_Consumidos!$A$2:$A$200,$A122),2))</f>
        <v/>
      </c>
      <c r="AP122">
        <f>IF(OR($A122="",AB122=""),"",ROUND(MAX(AB122-AO122,0),2))</f>
        <v/>
      </c>
      <c r="AQ122">
        <f>IF(OR($A122="",AB122="",MEMORIA_RESULTADOS!$I$258=""),"",ROUND(AB122*$C122*(MEMORIA_RESULTADOS!$I$258-1),2))</f>
        <v/>
      </c>
      <c r="AR122">
        <f>IF(OR($A122="",AP122="",MEMORIA_RESULTADOS!$I$258=""),"",ROUND(AP122*$C122*(parametros!$F$2-MEMORIA_RESULTADOS!$I$258),2))</f>
        <v/>
      </c>
      <c r="AS122">
        <f>IF($A122="","",ROUND(SUMIFS(itens_Consumidos!$G$2:$G$200,itens_Consumidos!$A$2:$A$200,$A122),2))</f>
        <v/>
      </c>
      <c r="AT122">
        <f>IF(OR($A122="",M122=""),"",ROUND(MAX(M122-AS122,0),2))</f>
        <v/>
      </c>
      <c r="AU122">
        <f>IF(OR($A122="",M122="",MEMORIA_RESULTADOS!$I$259=""),"",ROUND(M122*$C122*(MEMORIA_RESULTADOS!$I$259-1),2))</f>
        <v/>
      </c>
      <c r="AV122">
        <f>IF(OR($A122="",AT122="",MEMORIA_RESULTADOS!$I$259=""),"",ROUND(AT122*$C122*(parametros!$F$3-MEMORIA_RESULTADOS!$I$259),2))</f>
        <v/>
      </c>
      <c r="AW122">
        <f>IF($A122="","",ROUND(SUMIFS(itens_Consumidos!$I$2:$I$200,itens_Consumidos!$A$2:$A$200,$A122),2))</f>
        <v/>
      </c>
      <c r="AX122">
        <f>IF(OR($A122="",O122=""),"",ROUND(MAX(O122-AW122,0),2))</f>
        <v/>
      </c>
      <c r="AY122">
        <f>IF(OR($A122="",O122="",MEMORIA_RESULTADOS!$I$260=""),"",ROUND(O122*$C122*(MEMORIA_RESULTADOS!$I$260-1),2))</f>
        <v/>
      </c>
      <c r="AZ122">
        <f>IF(OR($A122="",AX122="",MEMORIA_RESULTADOS!$I$260=""),"",ROUND(AX122*$C122*(parametros!$F$4-MEMORIA_RESULTADOS!$I$260),2))</f>
        <v/>
      </c>
      <c r="BA122">
        <f>IF($A122="","",ROUND(SUMIFS(itens_Consumidos!$K$2:$K$200,itens_Consumidos!$A$2:$A$200,$A122),2))</f>
        <v/>
      </c>
      <c r="BB122">
        <f>IF(OR($A122="",Q122=""),"",ROUND(MAX(Q122-BA122,0),2))</f>
        <v/>
      </c>
      <c r="BC122">
        <f>IF(OR($A122="",Q122="",MEMORIA_RESULTADOS!$I$261=""),"",ROUND(Q122*$C122*(MEMORIA_RESULTADOS!$I$261-1),2))</f>
        <v/>
      </c>
      <c r="BD122">
        <f>IF(OR($A122="",BB122="",MEMORIA_RESULTADOS!$I$261=""),"",ROUND(BB122*$C122*(parametros!$F$5-MEMORIA_RESULTADOS!$I$261),2))</f>
        <v/>
      </c>
      <c r="BE122">
        <f>IF($A122="","",ROUND(SUMIFS(itens_Consumidos!$M$2:$M$200,itens_Consumidos!$A$2:$A$200,$A122),2))</f>
        <v/>
      </c>
      <c r="BF122">
        <f>IF(OR($A122="",S122=""),"",ROUND(MAX(S122-BE122,0),2))</f>
        <v/>
      </c>
      <c r="BG122">
        <f>IF(OR($A122="",S122="",MEMORIA_RESULTADOS!$I$262=""),"",ROUND(S122*$C122*(MEMORIA_RESULTADOS!$I$262-1),2))</f>
        <v/>
      </c>
      <c r="BH122">
        <f>IF(OR($A122="",BF122="",MEMORIA_RESULTADOS!$I$262=""),"",ROUND(BF122*$C122*(parametros!$F$6-MEMORIA_RESULTADOS!$I$262),2))</f>
        <v/>
      </c>
    </row>
    <row r="123">
      <c r="A123" s="86" t="n"/>
      <c r="B123" s="87">
        <f>IF(AND(LEN(TRIM($A123))=4,LEFT(TRIM($A123),1)="N",ISNUMBER(--MID(TRIM($A123),2,3)),ISERROR(FIND(".",$A123)),ISERROR(FIND(",",$A123)),ISERROR(FIND("-",$A123)),ISERROR(FIND("+",$A123)),ISERROR(SEARCH("E",$A123,2)),ISERROR(FIND(" ",TRIM($A123)))),0,"")</f>
        <v/>
      </c>
      <c r="C123" s="339" t="n"/>
      <c r="D123" s="335">
        <f>IF(AND(A123="",A122&lt;&gt;"",COUNTIF(A124:$A$200,"&lt;&gt;")=0),ROUND(SUMIF($A$2:A122,"&lt;&gt;",$D$2:D122),2),IF(OR(A123="",B123="",C123=""),"",ROUND(B123*C123,2)))</f>
        <v/>
      </c>
      <c r="E123" s="89" t="n"/>
      <c r="F123" s="335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 t="n"/>
      <c r="H123" s="335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 t="n"/>
      <c r="J123" s="335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 t="n"/>
      <c r="L123" s="335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>
        <f>IF(OR(posicao_contratual!J123="",posicao_contratual!N123=""),"",ROUND(MAX(posicao_contratual!J123+posicao_contratual!H123-posicao_contratual!N123,0),2))</f>
        <v/>
      </c>
      <c r="N123" s="335">
        <f>IF(AND(A123="",A122&lt;&gt;"",COUNTIF(A124:$A$200,"&lt;&gt;")=0),ROUND(SUMIF($A$2:A122,"&lt;&gt;",$N$2:N122),2),IF(OR(M123="",C123="",NOT(ISNUMBER($Z$3))),"",ROUND(M123*C123*$Z$3,2)))</f>
        <v/>
      </c>
      <c r="O123" s="90">
        <f>IF(OR(posicao_contratual!N123="",posicao_contratual!R123=""),"",ROUND(MAX(posicao_contratual!N123+posicao_contratual!L123-posicao_contratual!R123,0),2))</f>
        <v/>
      </c>
      <c r="P123" s="335">
        <f>IF(AND(A123="",A122&lt;&gt;"",COUNTIF(A124:$A$200,"&lt;&gt;")=0),ROUND(SUMIF($A$2:A122,"&lt;&gt;",$P$2:P122),2),IF(OR(O123="",C123="",NOT(ISNUMBER($Z$4))),"",ROUND(O123*C123*$Z$4,2)))</f>
        <v/>
      </c>
      <c r="Q123" s="90">
        <f>IF(OR(posicao_contratual!R123="",posicao_contratual!V123=""),"",ROUND(MAX(posicao_contratual!R123+posicao_contratual!P123-posicao_contratual!V123,0),2))</f>
        <v/>
      </c>
      <c r="R123" s="335">
        <f>IF(AND(A123="",A122&lt;&gt;"",COUNTIF(A124:$A$200,"&lt;&gt;")=0),ROUND(SUMIF($A$2:A122,"&lt;&gt;",$R$2:R122),2),IF(OR(Q123="",C123="",NOT(ISNUMBER($Z$5))),"",ROUND(Q123*C123*$Z$5,2)))</f>
        <v/>
      </c>
      <c r="S123" s="43" t="n"/>
      <c r="T123" s="342" t="n"/>
      <c r="U123" s="91">
        <f>IF(AND(A123="",A122&lt;&gt;"",COUNTIF(A124:$A$200,"&lt;&gt;")=0),"TOTAL",IF(A123="","",posicao_contratual!X123))</f>
        <v/>
      </c>
      <c r="V123" s="91">
        <f>IF(A123="","",posicao_contratual!X123)</f>
        <v/>
      </c>
      <c r="W123" s="13" t="n"/>
      <c r="X123" s="13" t="n"/>
      <c r="Y123" s="13" t="n"/>
      <c r="Z123" s="13" t="n"/>
      <c r="AA123" s="13" t="n"/>
      <c r="AB123" s="90">
        <f>IF(OR(A123="",posicao_contratual!E123="",posicao_contratual!J123=""),"",ROUND(MAX(posicao_contratual!E123-posicao_contratual!J123,0),2))</f>
        <v/>
      </c>
      <c r="AC123" s="335">
        <f>IF(AND(A123="",A122&lt;&gt;"",COUNTIF(A124:$A$200,"&lt;&gt;")=0),ROUND(SUMIF($A$2:A122,"&lt;&gt;",$AC$2:AC122),2),IF(OR(AB123="",C123="",NOT(ISNUMBER($Z$2))),"",ROUND(AB123*C123*$Z$2,2)))</f>
        <v/>
      </c>
      <c r="AD123" s="155">
        <f>IF(A123="","",posicao_contratual!E123)</f>
        <v/>
      </c>
      <c r="AE123" s="155">
        <f>IF(A123="","",posicao_contratual!I123)</f>
        <v/>
      </c>
      <c r="AF123" s="155">
        <f>IF(A123="","",posicao_contratual!M123)</f>
        <v/>
      </c>
      <c r="AG123" s="155">
        <f>IF(A123="","",posicao_contratual!Q123)</f>
        <v/>
      </c>
      <c r="AH123" s="155">
        <f>IF(A123="","",posicao_contratual!U123)</f>
        <v/>
      </c>
      <c r="AI123" s="155">
        <f>IF(A123="","",posicao_contratual!G123)</f>
        <v/>
      </c>
      <c r="AJ123" s="155">
        <f>IF(A123="","",posicao_contratual!K123)</f>
        <v/>
      </c>
      <c r="AK123" s="155">
        <f>IF(A123="","",posicao_contratual!O123)</f>
        <v/>
      </c>
      <c r="AL123" s="155">
        <f>IF(A123="","",posicao_contratual!S123)</f>
        <v/>
      </c>
      <c r="AM123" s="155">
        <f>IF(A123="","",posicao_contratual!W123)</f>
        <v/>
      </c>
      <c r="AN123" s="156">
        <f>IF(A123="","",posicao_contratual!X123)</f>
        <v/>
      </c>
      <c r="AO123">
        <f>IF($A123="","",ROUND(SUMIFS(itens_Consumidos!$E$2:$E$200,itens_Consumidos!$A$2:$A$200,$A123),2))</f>
        <v/>
      </c>
      <c r="AP123">
        <f>IF(OR($A123="",AB123=""),"",ROUND(MAX(AB123-AO123,0),2))</f>
        <v/>
      </c>
      <c r="AQ123">
        <f>IF(OR($A123="",AB123="",MEMORIA_RESULTADOS!$I$258=""),"",ROUND(AB123*$C123*(MEMORIA_RESULTADOS!$I$258-1),2))</f>
        <v/>
      </c>
      <c r="AR123">
        <f>IF(OR($A123="",AP123="",MEMORIA_RESULTADOS!$I$258=""),"",ROUND(AP123*$C123*(parametros!$F$2-MEMORIA_RESULTADOS!$I$258),2))</f>
        <v/>
      </c>
      <c r="AS123">
        <f>IF($A123="","",ROUND(SUMIFS(itens_Consumidos!$G$2:$G$200,itens_Consumidos!$A$2:$A$200,$A123),2))</f>
        <v/>
      </c>
      <c r="AT123">
        <f>IF(OR($A123="",M123=""),"",ROUND(MAX(M123-AS123,0),2))</f>
        <v/>
      </c>
      <c r="AU123">
        <f>IF(OR($A123="",M123="",MEMORIA_RESULTADOS!$I$259=""),"",ROUND(M123*$C123*(MEMORIA_RESULTADOS!$I$259-1),2))</f>
        <v/>
      </c>
      <c r="AV123">
        <f>IF(OR($A123="",AT123="",MEMORIA_RESULTADOS!$I$259=""),"",ROUND(AT123*$C123*(parametros!$F$3-MEMORIA_RESULTADOS!$I$259),2))</f>
        <v/>
      </c>
      <c r="AW123">
        <f>IF($A123="","",ROUND(SUMIFS(itens_Consumidos!$I$2:$I$200,itens_Consumidos!$A$2:$A$200,$A123),2))</f>
        <v/>
      </c>
      <c r="AX123">
        <f>IF(OR($A123="",O123=""),"",ROUND(MAX(O123-AW123,0),2))</f>
        <v/>
      </c>
      <c r="AY123">
        <f>IF(OR($A123="",O123="",MEMORIA_RESULTADOS!$I$260=""),"",ROUND(O123*$C123*(MEMORIA_RESULTADOS!$I$260-1),2))</f>
        <v/>
      </c>
      <c r="AZ123">
        <f>IF(OR($A123="",AX123="",MEMORIA_RESULTADOS!$I$260=""),"",ROUND(AX123*$C123*(parametros!$F$4-MEMORIA_RESULTADOS!$I$260),2))</f>
        <v/>
      </c>
      <c r="BA123">
        <f>IF($A123="","",ROUND(SUMIFS(itens_Consumidos!$K$2:$K$200,itens_Consumidos!$A$2:$A$200,$A123),2))</f>
        <v/>
      </c>
      <c r="BB123">
        <f>IF(OR($A123="",Q123=""),"",ROUND(MAX(Q123-BA123,0),2))</f>
        <v/>
      </c>
      <c r="BC123">
        <f>IF(OR($A123="",Q123="",MEMORIA_RESULTADOS!$I$261=""),"",ROUND(Q123*$C123*(MEMORIA_RESULTADOS!$I$261-1),2))</f>
        <v/>
      </c>
      <c r="BD123">
        <f>IF(OR($A123="",BB123="",MEMORIA_RESULTADOS!$I$261=""),"",ROUND(BB123*$C123*(parametros!$F$5-MEMORIA_RESULTADOS!$I$261),2))</f>
        <v/>
      </c>
      <c r="BE123">
        <f>IF($A123="","",ROUND(SUMIFS(itens_Consumidos!$M$2:$M$200,itens_Consumidos!$A$2:$A$200,$A123),2))</f>
        <v/>
      </c>
      <c r="BF123">
        <f>IF(OR($A123="",S123=""),"",ROUND(MAX(S123-BE123,0),2))</f>
        <v/>
      </c>
      <c r="BG123">
        <f>IF(OR($A123="",S123="",MEMORIA_RESULTADOS!$I$262=""),"",ROUND(S123*$C123*(MEMORIA_RESULTADOS!$I$262-1),2))</f>
        <v/>
      </c>
      <c r="BH123">
        <f>IF(OR($A123="",BF123="",MEMORIA_RESULTADOS!$I$262=""),"",ROUND(BF123*$C123*(parametros!$F$6-MEMORIA_RESULTADOS!$I$262),2))</f>
        <v/>
      </c>
    </row>
    <row r="124">
      <c r="A124" s="86" t="n"/>
      <c r="B124" s="87">
        <f>IF(AND(LEN(TRIM($A124))=4,LEFT(TRIM($A124),1)="N",ISNUMBER(--MID(TRIM($A124),2,3)),ISERROR(FIND(".",$A124)),ISERROR(FIND(",",$A124)),ISERROR(FIND("-",$A124)),ISERROR(FIND("+",$A124)),ISERROR(SEARCH("E",$A124,2)),ISERROR(FIND(" ",TRIM($A124)))),0,"")</f>
        <v/>
      </c>
      <c r="C124" s="339" t="n"/>
      <c r="D124" s="335">
        <f>IF(AND(A124="",A123&lt;&gt;"",COUNTIF(A125:$A$200,"&lt;&gt;")=0),ROUND(SUMIF($A$2:A123,"&lt;&gt;",$D$2:D123),2),IF(OR(A124="",B124="",C124=""),"",ROUND(B124*C124,2)))</f>
        <v/>
      </c>
      <c r="E124" s="89" t="n"/>
      <c r="F124" s="335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 t="n"/>
      <c r="H124" s="335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 t="n"/>
      <c r="J124" s="335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 t="n"/>
      <c r="L124" s="335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>
        <f>IF(OR(posicao_contratual!J124="",posicao_contratual!N124=""),"",ROUND(MAX(posicao_contratual!J124+posicao_contratual!H124-posicao_contratual!N124,0),2))</f>
        <v/>
      </c>
      <c r="N124" s="335">
        <f>IF(AND(A124="",A123&lt;&gt;"",COUNTIF(A125:$A$200,"&lt;&gt;")=0),ROUND(SUMIF($A$2:A123,"&lt;&gt;",$N$2:N123),2),IF(OR(M124="",C124="",NOT(ISNUMBER($Z$3))),"",ROUND(M124*C124*$Z$3,2)))</f>
        <v/>
      </c>
      <c r="O124" s="90">
        <f>IF(OR(posicao_contratual!N124="",posicao_contratual!R124=""),"",ROUND(MAX(posicao_contratual!N124+posicao_contratual!L124-posicao_contratual!R124,0),2))</f>
        <v/>
      </c>
      <c r="P124" s="335">
        <f>IF(AND(A124="",A123&lt;&gt;"",COUNTIF(A125:$A$200,"&lt;&gt;")=0),ROUND(SUMIF($A$2:A123,"&lt;&gt;",$P$2:P123),2),IF(OR(O124="",C124="",NOT(ISNUMBER($Z$4))),"",ROUND(O124*C124*$Z$4,2)))</f>
        <v/>
      </c>
      <c r="Q124" s="90">
        <f>IF(OR(posicao_contratual!R124="",posicao_contratual!V124=""),"",ROUND(MAX(posicao_contratual!R124+posicao_contratual!P124-posicao_contratual!V124,0),2))</f>
        <v/>
      </c>
      <c r="R124" s="335">
        <f>IF(AND(A124="",A123&lt;&gt;"",COUNTIF(A125:$A$200,"&lt;&gt;")=0),ROUND(SUMIF($A$2:A123,"&lt;&gt;",$R$2:R123),2),IF(OR(Q124="",C124="",NOT(ISNUMBER($Z$5))),"",ROUND(Q124*C124*$Z$5,2)))</f>
        <v/>
      </c>
      <c r="S124" s="43" t="n"/>
      <c r="T124" s="342" t="n"/>
      <c r="U124" s="91">
        <f>IF(AND(A124="",A123&lt;&gt;"",COUNTIF(A125:$A$200,"&lt;&gt;")=0),"TOTAL",IF(A124="","",posicao_contratual!X124))</f>
        <v/>
      </c>
      <c r="V124" s="91">
        <f>IF(A124="","",posicao_contratual!X124)</f>
        <v/>
      </c>
      <c r="W124" s="13" t="n"/>
      <c r="X124" s="13" t="n"/>
      <c r="Y124" s="13" t="n"/>
      <c r="Z124" s="13" t="n"/>
      <c r="AA124" s="13" t="n"/>
      <c r="AB124" s="90">
        <f>IF(OR(A124="",posicao_contratual!E124="",posicao_contratual!J124=""),"",ROUND(MAX(posicao_contratual!E124-posicao_contratual!J124,0),2))</f>
        <v/>
      </c>
      <c r="AC124" s="335">
        <f>IF(AND(A124="",A123&lt;&gt;"",COUNTIF(A125:$A$200,"&lt;&gt;")=0),ROUND(SUMIF($A$2:A123,"&lt;&gt;",$AC$2:AC123),2),IF(OR(AB124="",C124="",NOT(ISNUMBER($Z$2))),"",ROUND(AB124*C124*$Z$2,2)))</f>
        <v/>
      </c>
      <c r="AD124" s="155">
        <f>IF(A124="","",posicao_contratual!E124)</f>
        <v/>
      </c>
      <c r="AE124" s="155">
        <f>IF(A124="","",posicao_contratual!I124)</f>
        <v/>
      </c>
      <c r="AF124" s="155">
        <f>IF(A124="","",posicao_contratual!M124)</f>
        <v/>
      </c>
      <c r="AG124" s="155">
        <f>IF(A124="","",posicao_contratual!Q124)</f>
        <v/>
      </c>
      <c r="AH124" s="155">
        <f>IF(A124="","",posicao_contratual!U124)</f>
        <v/>
      </c>
      <c r="AI124" s="155">
        <f>IF(A124="","",posicao_contratual!G124)</f>
        <v/>
      </c>
      <c r="AJ124" s="155">
        <f>IF(A124="","",posicao_contratual!K124)</f>
        <v/>
      </c>
      <c r="AK124" s="155">
        <f>IF(A124="","",posicao_contratual!O124)</f>
        <v/>
      </c>
      <c r="AL124" s="155">
        <f>IF(A124="","",posicao_contratual!S124)</f>
        <v/>
      </c>
      <c r="AM124" s="155">
        <f>IF(A124="","",posicao_contratual!W124)</f>
        <v/>
      </c>
      <c r="AN124" s="156">
        <f>IF(A124="","",posicao_contratual!X124)</f>
        <v/>
      </c>
      <c r="AO124">
        <f>IF($A124="","",ROUND(SUMIFS(itens_Consumidos!$E$2:$E$200,itens_Consumidos!$A$2:$A$200,$A124),2))</f>
        <v/>
      </c>
      <c r="AP124">
        <f>IF(OR($A124="",AB124=""),"",ROUND(MAX(AB124-AO124,0),2))</f>
        <v/>
      </c>
      <c r="AQ124">
        <f>IF(OR($A124="",AB124="",MEMORIA_RESULTADOS!$I$258=""),"",ROUND(AB124*$C124*(MEMORIA_RESULTADOS!$I$258-1),2))</f>
        <v/>
      </c>
      <c r="AR124">
        <f>IF(OR($A124="",AP124="",MEMORIA_RESULTADOS!$I$258=""),"",ROUND(AP124*$C124*(parametros!$F$2-MEMORIA_RESULTADOS!$I$258),2))</f>
        <v/>
      </c>
      <c r="AS124">
        <f>IF($A124="","",ROUND(SUMIFS(itens_Consumidos!$G$2:$G$200,itens_Consumidos!$A$2:$A$200,$A124),2))</f>
        <v/>
      </c>
      <c r="AT124">
        <f>IF(OR($A124="",M124=""),"",ROUND(MAX(M124-AS124,0),2))</f>
        <v/>
      </c>
      <c r="AU124">
        <f>IF(OR($A124="",M124="",MEMORIA_RESULTADOS!$I$259=""),"",ROUND(M124*$C124*(MEMORIA_RESULTADOS!$I$259-1),2))</f>
        <v/>
      </c>
      <c r="AV124">
        <f>IF(OR($A124="",AT124="",MEMORIA_RESULTADOS!$I$259=""),"",ROUND(AT124*$C124*(parametros!$F$3-MEMORIA_RESULTADOS!$I$259),2))</f>
        <v/>
      </c>
      <c r="AW124">
        <f>IF($A124="","",ROUND(SUMIFS(itens_Consumidos!$I$2:$I$200,itens_Consumidos!$A$2:$A$200,$A124),2))</f>
        <v/>
      </c>
      <c r="AX124">
        <f>IF(OR($A124="",O124=""),"",ROUND(MAX(O124-AW124,0),2))</f>
        <v/>
      </c>
      <c r="AY124">
        <f>IF(OR($A124="",O124="",MEMORIA_RESULTADOS!$I$260=""),"",ROUND(O124*$C124*(MEMORIA_RESULTADOS!$I$260-1),2))</f>
        <v/>
      </c>
      <c r="AZ124">
        <f>IF(OR($A124="",AX124="",MEMORIA_RESULTADOS!$I$260=""),"",ROUND(AX124*$C124*(parametros!$F$4-MEMORIA_RESULTADOS!$I$260),2))</f>
        <v/>
      </c>
      <c r="BA124">
        <f>IF($A124="","",ROUND(SUMIFS(itens_Consumidos!$K$2:$K$200,itens_Consumidos!$A$2:$A$200,$A124),2))</f>
        <v/>
      </c>
      <c r="BB124">
        <f>IF(OR($A124="",Q124=""),"",ROUND(MAX(Q124-BA124,0),2))</f>
        <v/>
      </c>
      <c r="BC124">
        <f>IF(OR($A124="",Q124="",MEMORIA_RESULTADOS!$I$261=""),"",ROUND(Q124*$C124*(MEMORIA_RESULTADOS!$I$261-1),2))</f>
        <v/>
      </c>
      <c r="BD124">
        <f>IF(OR($A124="",BB124="",MEMORIA_RESULTADOS!$I$261=""),"",ROUND(BB124*$C124*(parametros!$F$5-MEMORIA_RESULTADOS!$I$261),2))</f>
        <v/>
      </c>
      <c r="BE124">
        <f>IF($A124="","",ROUND(SUMIFS(itens_Consumidos!$M$2:$M$200,itens_Consumidos!$A$2:$A$200,$A124),2))</f>
        <v/>
      </c>
      <c r="BF124">
        <f>IF(OR($A124="",S124=""),"",ROUND(MAX(S124-BE124,0),2))</f>
        <v/>
      </c>
      <c r="BG124">
        <f>IF(OR($A124="",S124="",MEMORIA_RESULTADOS!$I$262=""),"",ROUND(S124*$C124*(MEMORIA_RESULTADOS!$I$262-1),2))</f>
        <v/>
      </c>
      <c r="BH124">
        <f>IF(OR($A124="",BF124="",MEMORIA_RESULTADOS!$I$262=""),"",ROUND(BF124*$C124*(parametros!$F$6-MEMORIA_RESULTADOS!$I$262),2))</f>
        <v/>
      </c>
    </row>
    <row r="125">
      <c r="A125" s="86" t="n"/>
      <c r="B125" s="87">
        <f>IF(AND(LEN(TRIM($A125))=4,LEFT(TRIM($A125),1)="N",ISNUMBER(--MID(TRIM($A125),2,3)),ISERROR(FIND(".",$A125)),ISERROR(FIND(",",$A125)),ISERROR(FIND("-",$A125)),ISERROR(FIND("+",$A125)),ISERROR(SEARCH("E",$A125,2)),ISERROR(FIND(" ",TRIM($A125)))),0,"")</f>
        <v/>
      </c>
      <c r="C125" s="339" t="n"/>
      <c r="D125" s="335">
        <f>IF(AND(A125="",A124&lt;&gt;"",COUNTIF(A126:$A$200,"&lt;&gt;")=0),ROUND(SUMIF($A$2:A124,"&lt;&gt;",$D$2:D124),2),IF(OR(A125="",B125="",C125=""),"",ROUND(B125*C125,2)))</f>
        <v/>
      </c>
      <c r="E125" s="89" t="n"/>
      <c r="F125" s="335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 t="n"/>
      <c r="H125" s="335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 t="n"/>
      <c r="J125" s="335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 t="n"/>
      <c r="L125" s="335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>
        <f>IF(OR(posicao_contratual!J125="",posicao_contratual!N125=""),"",ROUND(MAX(posicao_contratual!J125+posicao_contratual!H125-posicao_contratual!N125,0),2))</f>
        <v/>
      </c>
      <c r="N125" s="335">
        <f>IF(AND(A125="",A124&lt;&gt;"",COUNTIF(A126:$A$200,"&lt;&gt;")=0),ROUND(SUMIF($A$2:A124,"&lt;&gt;",$N$2:N124),2),IF(OR(M125="",C125="",NOT(ISNUMBER($Z$3))),"",ROUND(M125*C125*$Z$3,2)))</f>
        <v/>
      </c>
      <c r="O125" s="90">
        <f>IF(OR(posicao_contratual!N125="",posicao_contratual!R125=""),"",ROUND(MAX(posicao_contratual!N125+posicao_contratual!L125-posicao_contratual!R125,0),2))</f>
        <v/>
      </c>
      <c r="P125" s="335">
        <f>IF(AND(A125="",A124&lt;&gt;"",COUNTIF(A126:$A$200,"&lt;&gt;")=0),ROUND(SUMIF($A$2:A124,"&lt;&gt;",$P$2:P124),2),IF(OR(O125="",C125="",NOT(ISNUMBER($Z$4))),"",ROUND(O125*C125*$Z$4,2)))</f>
        <v/>
      </c>
      <c r="Q125" s="90">
        <f>IF(OR(posicao_contratual!R125="",posicao_contratual!V125=""),"",ROUND(MAX(posicao_contratual!R125+posicao_contratual!P125-posicao_contratual!V125,0),2))</f>
        <v/>
      </c>
      <c r="R125" s="335">
        <f>IF(AND(A125="",A124&lt;&gt;"",COUNTIF(A126:$A$200,"&lt;&gt;")=0),ROUND(SUMIF($A$2:A124,"&lt;&gt;",$R$2:R124),2),IF(OR(Q125="",C125="",NOT(ISNUMBER($Z$5))),"",ROUND(Q125*C125*$Z$5,2)))</f>
        <v/>
      </c>
      <c r="S125" s="43" t="n"/>
      <c r="T125" s="342" t="n"/>
      <c r="U125" s="91">
        <f>IF(AND(A125="",A124&lt;&gt;"",COUNTIF(A126:$A$200,"&lt;&gt;")=0),"TOTAL",IF(A125="","",posicao_contratual!X125))</f>
        <v/>
      </c>
      <c r="V125" s="91">
        <f>IF(A125="","",posicao_contratual!X125)</f>
        <v/>
      </c>
      <c r="W125" s="13" t="n"/>
      <c r="X125" s="13" t="n"/>
      <c r="Y125" s="13" t="n"/>
      <c r="Z125" s="13" t="n"/>
      <c r="AA125" s="13" t="n"/>
      <c r="AB125" s="90">
        <f>IF(OR(A125="",posicao_contratual!E125="",posicao_contratual!J125=""),"",ROUND(MAX(posicao_contratual!E125-posicao_contratual!J125,0),2))</f>
        <v/>
      </c>
      <c r="AC125" s="335">
        <f>IF(AND(A125="",A124&lt;&gt;"",COUNTIF(A126:$A$200,"&lt;&gt;")=0),ROUND(SUMIF($A$2:A124,"&lt;&gt;",$AC$2:AC124),2),IF(OR(AB125="",C125="",NOT(ISNUMBER($Z$2))),"",ROUND(AB125*C125*$Z$2,2)))</f>
        <v/>
      </c>
      <c r="AD125" s="155">
        <f>IF(A125="","",posicao_contratual!E125)</f>
        <v/>
      </c>
      <c r="AE125" s="155">
        <f>IF(A125="","",posicao_contratual!I125)</f>
        <v/>
      </c>
      <c r="AF125" s="155">
        <f>IF(A125="","",posicao_contratual!M125)</f>
        <v/>
      </c>
      <c r="AG125" s="155">
        <f>IF(A125="","",posicao_contratual!Q125)</f>
        <v/>
      </c>
      <c r="AH125" s="155">
        <f>IF(A125="","",posicao_contratual!U125)</f>
        <v/>
      </c>
      <c r="AI125" s="155">
        <f>IF(A125="","",posicao_contratual!G125)</f>
        <v/>
      </c>
      <c r="AJ125" s="155">
        <f>IF(A125="","",posicao_contratual!K125)</f>
        <v/>
      </c>
      <c r="AK125" s="155">
        <f>IF(A125="","",posicao_contratual!O125)</f>
        <v/>
      </c>
      <c r="AL125" s="155">
        <f>IF(A125="","",posicao_contratual!S125)</f>
        <v/>
      </c>
      <c r="AM125" s="155">
        <f>IF(A125="","",posicao_contratual!W125)</f>
        <v/>
      </c>
      <c r="AN125" s="156">
        <f>IF(A125="","",posicao_contratual!X125)</f>
        <v/>
      </c>
      <c r="AO125">
        <f>IF($A125="","",ROUND(SUMIFS(itens_Consumidos!$E$2:$E$200,itens_Consumidos!$A$2:$A$200,$A125),2))</f>
        <v/>
      </c>
      <c r="AP125">
        <f>IF(OR($A125="",AB125=""),"",ROUND(MAX(AB125-AO125,0),2))</f>
        <v/>
      </c>
      <c r="AQ125">
        <f>IF(OR($A125="",AB125="",MEMORIA_RESULTADOS!$I$258=""),"",ROUND(AB125*$C125*(MEMORIA_RESULTADOS!$I$258-1),2))</f>
        <v/>
      </c>
      <c r="AR125">
        <f>IF(OR($A125="",AP125="",MEMORIA_RESULTADOS!$I$258=""),"",ROUND(AP125*$C125*(parametros!$F$2-MEMORIA_RESULTADOS!$I$258),2))</f>
        <v/>
      </c>
      <c r="AS125">
        <f>IF($A125="","",ROUND(SUMIFS(itens_Consumidos!$G$2:$G$200,itens_Consumidos!$A$2:$A$200,$A125),2))</f>
        <v/>
      </c>
      <c r="AT125">
        <f>IF(OR($A125="",M125=""),"",ROUND(MAX(M125-AS125,0),2))</f>
        <v/>
      </c>
      <c r="AU125">
        <f>IF(OR($A125="",M125="",MEMORIA_RESULTADOS!$I$259=""),"",ROUND(M125*$C125*(MEMORIA_RESULTADOS!$I$259-1),2))</f>
        <v/>
      </c>
      <c r="AV125">
        <f>IF(OR($A125="",AT125="",MEMORIA_RESULTADOS!$I$259=""),"",ROUND(AT125*$C125*(parametros!$F$3-MEMORIA_RESULTADOS!$I$259),2))</f>
        <v/>
      </c>
      <c r="AW125">
        <f>IF($A125="","",ROUND(SUMIFS(itens_Consumidos!$I$2:$I$200,itens_Consumidos!$A$2:$A$200,$A125),2))</f>
        <v/>
      </c>
      <c r="AX125">
        <f>IF(OR($A125="",O125=""),"",ROUND(MAX(O125-AW125,0),2))</f>
        <v/>
      </c>
      <c r="AY125">
        <f>IF(OR($A125="",O125="",MEMORIA_RESULTADOS!$I$260=""),"",ROUND(O125*$C125*(MEMORIA_RESULTADOS!$I$260-1),2))</f>
        <v/>
      </c>
      <c r="AZ125">
        <f>IF(OR($A125="",AX125="",MEMORIA_RESULTADOS!$I$260=""),"",ROUND(AX125*$C125*(parametros!$F$4-MEMORIA_RESULTADOS!$I$260),2))</f>
        <v/>
      </c>
      <c r="BA125">
        <f>IF($A125="","",ROUND(SUMIFS(itens_Consumidos!$K$2:$K$200,itens_Consumidos!$A$2:$A$200,$A125),2))</f>
        <v/>
      </c>
      <c r="BB125">
        <f>IF(OR($A125="",Q125=""),"",ROUND(MAX(Q125-BA125,0),2))</f>
        <v/>
      </c>
      <c r="BC125">
        <f>IF(OR($A125="",Q125="",MEMORIA_RESULTADOS!$I$261=""),"",ROUND(Q125*$C125*(MEMORIA_RESULTADOS!$I$261-1),2))</f>
        <v/>
      </c>
      <c r="BD125">
        <f>IF(OR($A125="",BB125="",MEMORIA_RESULTADOS!$I$261=""),"",ROUND(BB125*$C125*(parametros!$F$5-MEMORIA_RESULTADOS!$I$261),2))</f>
        <v/>
      </c>
      <c r="BE125">
        <f>IF($A125="","",ROUND(SUMIFS(itens_Consumidos!$M$2:$M$200,itens_Consumidos!$A$2:$A$200,$A125),2))</f>
        <v/>
      </c>
      <c r="BF125">
        <f>IF(OR($A125="",S125=""),"",ROUND(MAX(S125-BE125,0),2))</f>
        <v/>
      </c>
      <c r="BG125">
        <f>IF(OR($A125="",S125="",MEMORIA_RESULTADOS!$I$262=""),"",ROUND(S125*$C125*(MEMORIA_RESULTADOS!$I$262-1),2))</f>
        <v/>
      </c>
      <c r="BH125">
        <f>IF(OR($A125="",BF125="",MEMORIA_RESULTADOS!$I$262=""),"",ROUND(BF125*$C125*(parametros!$F$6-MEMORIA_RESULTADOS!$I$262),2))</f>
        <v/>
      </c>
    </row>
    <row r="126">
      <c r="A126" s="86" t="n"/>
      <c r="B126" s="87">
        <f>IF(AND(LEN(TRIM($A126))=4,LEFT(TRIM($A126),1)="N",ISNUMBER(--MID(TRIM($A126),2,3)),ISERROR(FIND(".",$A126)),ISERROR(FIND(",",$A126)),ISERROR(FIND("-",$A126)),ISERROR(FIND("+",$A126)),ISERROR(SEARCH("E",$A126,2)),ISERROR(FIND(" ",TRIM($A126)))),0,"")</f>
        <v/>
      </c>
      <c r="C126" s="339" t="n"/>
      <c r="D126" s="335">
        <f>IF(AND(A126="",A125&lt;&gt;"",COUNTIF(A127:$A$200,"&lt;&gt;")=0),ROUND(SUMIF($A$2:A125,"&lt;&gt;",$D$2:D125),2),IF(OR(A126="",B126="",C126=""),"",ROUND(B126*C126,2)))</f>
        <v/>
      </c>
      <c r="E126" s="89" t="n"/>
      <c r="F126" s="335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 t="n"/>
      <c r="H126" s="335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 t="n"/>
      <c r="J126" s="335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 t="n"/>
      <c r="L126" s="335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>
        <f>IF(OR(posicao_contratual!J126="",posicao_contratual!N126=""),"",ROUND(MAX(posicao_contratual!J126+posicao_contratual!H126-posicao_contratual!N126,0),2))</f>
        <v/>
      </c>
      <c r="N126" s="335">
        <f>IF(AND(A126="",A125&lt;&gt;"",COUNTIF(A127:$A$200,"&lt;&gt;")=0),ROUND(SUMIF($A$2:A125,"&lt;&gt;",$N$2:N125),2),IF(OR(M126="",C126="",NOT(ISNUMBER($Z$3))),"",ROUND(M126*C126*$Z$3,2)))</f>
        <v/>
      </c>
      <c r="O126" s="90">
        <f>IF(OR(posicao_contratual!N126="",posicao_contratual!R126=""),"",ROUND(MAX(posicao_contratual!N126+posicao_contratual!L126-posicao_contratual!R126,0),2))</f>
        <v/>
      </c>
      <c r="P126" s="335">
        <f>IF(AND(A126="",A125&lt;&gt;"",COUNTIF(A127:$A$200,"&lt;&gt;")=0),ROUND(SUMIF($A$2:A125,"&lt;&gt;",$P$2:P125),2),IF(OR(O126="",C126="",NOT(ISNUMBER($Z$4))),"",ROUND(O126*C126*$Z$4,2)))</f>
        <v/>
      </c>
      <c r="Q126" s="90">
        <f>IF(OR(posicao_contratual!R126="",posicao_contratual!V126=""),"",ROUND(MAX(posicao_contratual!R126+posicao_contratual!P126-posicao_contratual!V126,0),2))</f>
        <v/>
      </c>
      <c r="R126" s="335">
        <f>IF(AND(A126="",A125&lt;&gt;"",COUNTIF(A127:$A$200,"&lt;&gt;")=0),ROUND(SUMIF($A$2:A125,"&lt;&gt;",$R$2:R125),2),IF(OR(Q126="",C126="",NOT(ISNUMBER($Z$5))),"",ROUND(Q126*C126*$Z$5,2)))</f>
        <v/>
      </c>
      <c r="S126" s="43" t="n"/>
      <c r="T126" s="342" t="n"/>
      <c r="U126" s="91">
        <f>IF(AND(A126="",A125&lt;&gt;"",COUNTIF(A127:$A$200,"&lt;&gt;")=0),"TOTAL",IF(A126="","",posicao_contratual!X126))</f>
        <v/>
      </c>
      <c r="V126" s="91">
        <f>IF(A126="","",posicao_contratual!X126)</f>
        <v/>
      </c>
      <c r="W126" s="13" t="n"/>
      <c r="X126" s="13" t="n"/>
      <c r="Y126" s="13" t="n"/>
      <c r="Z126" s="13" t="n"/>
      <c r="AA126" s="13" t="n"/>
      <c r="AB126" s="90">
        <f>IF(OR(A126="",posicao_contratual!E126="",posicao_contratual!J126=""),"",ROUND(MAX(posicao_contratual!E126-posicao_contratual!J126,0),2))</f>
        <v/>
      </c>
      <c r="AC126" s="335">
        <f>IF(AND(A126="",A125&lt;&gt;"",COUNTIF(A127:$A$200,"&lt;&gt;")=0),ROUND(SUMIF($A$2:A125,"&lt;&gt;",$AC$2:AC125),2),IF(OR(AB126="",C126="",NOT(ISNUMBER($Z$2))),"",ROUND(AB126*C126*$Z$2,2)))</f>
        <v/>
      </c>
      <c r="AD126" s="155">
        <f>IF(A126="","",posicao_contratual!E126)</f>
        <v/>
      </c>
      <c r="AE126" s="155">
        <f>IF(A126="","",posicao_contratual!I126)</f>
        <v/>
      </c>
      <c r="AF126" s="155">
        <f>IF(A126="","",posicao_contratual!M126)</f>
        <v/>
      </c>
      <c r="AG126" s="155">
        <f>IF(A126="","",posicao_contratual!Q126)</f>
        <v/>
      </c>
      <c r="AH126" s="155">
        <f>IF(A126="","",posicao_contratual!U126)</f>
        <v/>
      </c>
      <c r="AI126" s="155">
        <f>IF(A126="","",posicao_contratual!G126)</f>
        <v/>
      </c>
      <c r="AJ126" s="155">
        <f>IF(A126="","",posicao_contratual!K126)</f>
        <v/>
      </c>
      <c r="AK126" s="155">
        <f>IF(A126="","",posicao_contratual!O126)</f>
        <v/>
      </c>
      <c r="AL126" s="155">
        <f>IF(A126="","",posicao_contratual!S126)</f>
        <v/>
      </c>
      <c r="AM126" s="155">
        <f>IF(A126="","",posicao_contratual!W126)</f>
        <v/>
      </c>
      <c r="AN126" s="156">
        <f>IF(A126="","",posicao_contratual!X126)</f>
        <v/>
      </c>
      <c r="AO126">
        <f>IF($A126="","",ROUND(SUMIFS(itens_Consumidos!$E$2:$E$200,itens_Consumidos!$A$2:$A$200,$A126),2))</f>
        <v/>
      </c>
      <c r="AP126">
        <f>IF(OR($A126="",AB126=""),"",ROUND(MAX(AB126-AO126,0),2))</f>
        <v/>
      </c>
      <c r="AQ126">
        <f>IF(OR($A126="",AB126="",MEMORIA_RESULTADOS!$I$258=""),"",ROUND(AB126*$C126*(MEMORIA_RESULTADOS!$I$258-1),2))</f>
        <v/>
      </c>
      <c r="AR126">
        <f>IF(OR($A126="",AP126="",MEMORIA_RESULTADOS!$I$258=""),"",ROUND(AP126*$C126*(parametros!$F$2-MEMORIA_RESULTADOS!$I$258),2))</f>
        <v/>
      </c>
      <c r="AS126">
        <f>IF($A126="","",ROUND(SUMIFS(itens_Consumidos!$G$2:$G$200,itens_Consumidos!$A$2:$A$200,$A126),2))</f>
        <v/>
      </c>
      <c r="AT126">
        <f>IF(OR($A126="",M126=""),"",ROUND(MAX(M126-AS126,0),2))</f>
        <v/>
      </c>
      <c r="AU126">
        <f>IF(OR($A126="",M126="",MEMORIA_RESULTADOS!$I$259=""),"",ROUND(M126*$C126*(MEMORIA_RESULTADOS!$I$259-1),2))</f>
        <v/>
      </c>
      <c r="AV126">
        <f>IF(OR($A126="",AT126="",MEMORIA_RESULTADOS!$I$259=""),"",ROUND(AT126*$C126*(parametros!$F$3-MEMORIA_RESULTADOS!$I$259),2))</f>
        <v/>
      </c>
      <c r="AW126">
        <f>IF($A126="","",ROUND(SUMIFS(itens_Consumidos!$I$2:$I$200,itens_Consumidos!$A$2:$A$200,$A126),2))</f>
        <v/>
      </c>
      <c r="AX126">
        <f>IF(OR($A126="",O126=""),"",ROUND(MAX(O126-AW126,0),2))</f>
        <v/>
      </c>
      <c r="AY126">
        <f>IF(OR($A126="",O126="",MEMORIA_RESULTADOS!$I$260=""),"",ROUND(O126*$C126*(MEMORIA_RESULTADOS!$I$260-1),2))</f>
        <v/>
      </c>
      <c r="AZ126">
        <f>IF(OR($A126="",AX126="",MEMORIA_RESULTADOS!$I$260=""),"",ROUND(AX126*$C126*(parametros!$F$4-MEMORIA_RESULTADOS!$I$260),2))</f>
        <v/>
      </c>
      <c r="BA126">
        <f>IF($A126="","",ROUND(SUMIFS(itens_Consumidos!$K$2:$K$200,itens_Consumidos!$A$2:$A$200,$A126),2))</f>
        <v/>
      </c>
      <c r="BB126">
        <f>IF(OR($A126="",Q126=""),"",ROUND(MAX(Q126-BA126,0),2))</f>
        <v/>
      </c>
      <c r="BC126">
        <f>IF(OR($A126="",Q126="",MEMORIA_RESULTADOS!$I$261=""),"",ROUND(Q126*$C126*(MEMORIA_RESULTADOS!$I$261-1),2))</f>
        <v/>
      </c>
      <c r="BD126">
        <f>IF(OR($A126="",BB126="",MEMORIA_RESULTADOS!$I$261=""),"",ROUND(BB126*$C126*(parametros!$F$5-MEMORIA_RESULTADOS!$I$261),2))</f>
        <v/>
      </c>
      <c r="BE126">
        <f>IF($A126="","",ROUND(SUMIFS(itens_Consumidos!$M$2:$M$200,itens_Consumidos!$A$2:$A$200,$A126),2))</f>
        <v/>
      </c>
      <c r="BF126">
        <f>IF(OR($A126="",S126=""),"",ROUND(MAX(S126-BE126,0),2))</f>
        <v/>
      </c>
      <c r="BG126">
        <f>IF(OR($A126="",S126="",MEMORIA_RESULTADOS!$I$262=""),"",ROUND(S126*$C126*(MEMORIA_RESULTADOS!$I$262-1),2))</f>
        <v/>
      </c>
      <c r="BH126">
        <f>IF(OR($A126="",BF126="",MEMORIA_RESULTADOS!$I$262=""),"",ROUND(BF126*$C126*(parametros!$F$6-MEMORIA_RESULTADOS!$I$262),2))</f>
        <v/>
      </c>
    </row>
    <row r="127">
      <c r="A127" s="86" t="n"/>
      <c r="B127" s="87">
        <f>IF(AND(LEN(TRIM($A127))=4,LEFT(TRIM($A127),1)="N",ISNUMBER(--MID(TRIM($A127),2,3)),ISERROR(FIND(".",$A127)),ISERROR(FIND(",",$A127)),ISERROR(FIND("-",$A127)),ISERROR(FIND("+",$A127)),ISERROR(SEARCH("E",$A127,2)),ISERROR(FIND(" ",TRIM($A127)))),0,"")</f>
        <v/>
      </c>
      <c r="C127" s="339" t="n"/>
      <c r="D127" s="335">
        <f>IF(AND(A127="",A126&lt;&gt;"",COUNTIF(A128:$A$200,"&lt;&gt;")=0),ROUND(SUMIF($A$2:A126,"&lt;&gt;",$D$2:D126),2),IF(OR(A127="",B127="",C127=""),"",ROUND(B127*C127,2)))</f>
        <v/>
      </c>
      <c r="E127" s="89" t="n"/>
      <c r="F127" s="335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 t="n"/>
      <c r="H127" s="335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 t="n"/>
      <c r="J127" s="335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 t="n"/>
      <c r="L127" s="335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>
        <f>IF(OR(posicao_contratual!J127="",posicao_contratual!N127=""),"",ROUND(MAX(posicao_contratual!J127+posicao_contratual!H127-posicao_contratual!N127,0),2))</f>
        <v/>
      </c>
      <c r="N127" s="335">
        <f>IF(AND(A127="",A126&lt;&gt;"",COUNTIF(A128:$A$200,"&lt;&gt;")=0),ROUND(SUMIF($A$2:A126,"&lt;&gt;",$N$2:N126),2),IF(OR(M127="",C127="",NOT(ISNUMBER($Z$3))),"",ROUND(M127*C127*$Z$3,2)))</f>
        <v/>
      </c>
      <c r="O127" s="90">
        <f>IF(OR(posicao_contratual!N127="",posicao_contratual!R127=""),"",ROUND(MAX(posicao_contratual!N127+posicao_contratual!L127-posicao_contratual!R127,0),2))</f>
        <v/>
      </c>
      <c r="P127" s="335">
        <f>IF(AND(A127="",A126&lt;&gt;"",COUNTIF(A128:$A$200,"&lt;&gt;")=0),ROUND(SUMIF($A$2:A126,"&lt;&gt;",$P$2:P126),2),IF(OR(O127="",C127="",NOT(ISNUMBER($Z$4))),"",ROUND(O127*C127*$Z$4,2)))</f>
        <v/>
      </c>
      <c r="Q127" s="90">
        <f>IF(OR(posicao_contratual!R127="",posicao_contratual!V127=""),"",ROUND(MAX(posicao_contratual!R127+posicao_contratual!P127-posicao_contratual!V127,0),2))</f>
        <v/>
      </c>
      <c r="R127" s="335">
        <f>IF(AND(A127="",A126&lt;&gt;"",COUNTIF(A128:$A$200,"&lt;&gt;")=0),ROUND(SUMIF($A$2:A126,"&lt;&gt;",$R$2:R126),2),IF(OR(Q127="",C127="",NOT(ISNUMBER($Z$5))),"",ROUND(Q127*C127*$Z$5,2)))</f>
        <v/>
      </c>
      <c r="S127" s="43" t="n"/>
      <c r="T127" s="342" t="n"/>
      <c r="U127" s="91">
        <f>IF(AND(A127="",A126&lt;&gt;"",COUNTIF(A128:$A$200,"&lt;&gt;")=0),"TOTAL",IF(A127="","",posicao_contratual!X127))</f>
        <v/>
      </c>
      <c r="V127" s="91">
        <f>IF(A127="","",posicao_contratual!X127)</f>
        <v/>
      </c>
      <c r="W127" s="13" t="n"/>
      <c r="X127" s="13" t="n"/>
      <c r="Y127" s="13" t="n"/>
      <c r="Z127" s="13" t="n"/>
      <c r="AA127" s="13" t="n"/>
      <c r="AB127" s="90">
        <f>IF(OR(A127="",posicao_contratual!E127="",posicao_contratual!J127=""),"",ROUND(MAX(posicao_contratual!E127-posicao_contratual!J127,0),2))</f>
        <v/>
      </c>
      <c r="AC127" s="335">
        <f>IF(AND(A127="",A126&lt;&gt;"",COUNTIF(A128:$A$200,"&lt;&gt;")=0),ROUND(SUMIF($A$2:A126,"&lt;&gt;",$AC$2:AC126),2),IF(OR(AB127="",C127="",NOT(ISNUMBER($Z$2))),"",ROUND(AB127*C127*$Z$2,2)))</f>
        <v/>
      </c>
      <c r="AD127" s="155">
        <f>IF(A127="","",posicao_contratual!E127)</f>
        <v/>
      </c>
      <c r="AE127" s="155">
        <f>IF(A127="","",posicao_contratual!I127)</f>
        <v/>
      </c>
      <c r="AF127" s="155">
        <f>IF(A127="","",posicao_contratual!M127)</f>
        <v/>
      </c>
      <c r="AG127" s="155">
        <f>IF(A127="","",posicao_contratual!Q127)</f>
        <v/>
      </c>
      <c r="AH127" s="155">
        <f>IF(A127="","",posicao_contratual!U127)</f>
        <v/>
      </c>
      <c r="AI127" s="155">
        <f>IF(A127="","",posicao_contratual!G127)</f>
        <v/>
      </c>
      <c r="AJ127" s="155">
        <f>IF(A127="","",posicao_contratual!K127)</f>
        <v/>
      </c>
      <c r="AK127" s="155">
        <f>IF(A127="","",posicao_contratual!O127)</f>
        <v/>
      </c>
      <c r="AL127" s="155">
        <f>IF(A127="","",posicao_contratual!S127)</f>
        <v/>
      </c>
      <c r="AM127" s="155">
        <f>IF(A127="","",posicao_contratual!W127)</f>
        <v/>
      </c>
      <c r="AN127" s="156">
        <f>IF(A127="","",posicao_contratual!X127)</f>
        <v/>
      </c>
      <c r="AO127">
        <f>IF($A127="","",ROUND(SUMIFS(itens_Consumidos!$E$2:$E$200,itens_Consumidos!$A$2:$A$200,$A127),2))</f>
        <v/>
      </c>
      <c r="AP127">
        <f>IF(OR($A127="",AB127=""),"",ROUND(MAX(AB127-AO127,0),2))</f>
        <v/>
      </c>
      <c r="AQ127">
        <f>IF(OR($A127="",AB127="",MEMORIA_RESULTADOS!$I$258=""),"",ROUND(AB127*$C127*(MEMORIA_RESULTADOS!$I$258-1),2))</f>
        <v/>
      </c>
      <c r="AR127">
        <f>IF(OR($A127="",AP127="",MEMORIA_RESULTADOS!$I$258=""),"",ROUND(AP127*$C127*(parametros!$F$2-MEMORIA_RESULTADOS!$I$258),2))</f>
        <v/>
      </c>
      <c r="AS127">
        <f>IF($A127="","",ROUND(SUMIFS(itens_Consumidos!$G$2:$G$200,itens_Consumidos!$A$2:$A$200,$A127),2))</f>
        <v/>
      </c>
      <c r="AT127">
        <f>IF(OR($A127="",M127=""),"",ROUND(MAX(M127-AS127,0),2))</f>
        <v/>
      </c>
      <c r="AU127">
        <f>IF(OR($A127="",M127="",MEMORIA_RESULTADOS!$I$259=""),"",ROUND(M127*$C127*(MEMORIA_RESULTADOS!$I$259-1),2))</f>
        <v/>
      </c>
      <c r="AV127">
        <f>IF(OR($A127="",AT127="",MEMORIA_RESULTADOS!$I$259=""),"",ROUND(AT127*$C127*(parametros!$F$3-MEMORIA_RESULTADOS!$I$259),2))</f>
        <v/>
      </c>
      <c r="AW127">
        <f>IF($A127="","",ROUND(SUMIFS(itens_Consumidos!$I$2:$I$200,itens_Consumidos!$A$2:$A$200,$A127),2))</f>
        <v/>
      </c>
      <c r="AX127">
        <f>IF(OR($A127="",O127=""),"",ROUND(MAX(O127-AW127,0),2))</f>
        <v/>
      </c>
      <c r="AY127">
        <f>IF(OR($A127="",O127="",MEMORIA_RESULTADOS!$I$260=""),"",ROUND(O127*$C127*(MEMORIA_RESULTADOS!$I$260-1),2))</f>
        <v/>
      </c>
      <c r="AZ127">
        <f>IF(OR($A127="",AX127="",MEMORIA_RESULTADOS!$I$260=""),"",ROUND(AX127*$C127*(parametros!$F$4-MEMORIA_RESULTADOS!$I$260),2))</f>
        <v/>
      </c>
      <c r="BA127">
        <f>IF($A127="","",ROUND(SUMIFS(itens_Consumidos!$K$2:$K$200,itens_Consumidos!$A$2:$A$200,$A127),2))</f>
        <v/>
      </c>
      <c r="BB127">
        <f>IF(OR($A127="",Q127=""),"",ROUND(MAX(Q127-BA127,0),2))</f>
        <v/>
      </c>
      <c r="BC127">
        <f>IF(OR($A127="",Q127="",MEMORIA_RESULTADOS!$I$261=""),"",ROUND(Q127*$C127*(MEMORIA_RESULTADOS!$I$261-1),2))</f>
        <v/>
      </c>
      <c r="BD127">
        <f>IF(OR($A127="",BB127="",MEMORIA_RESULTADOS!$I$261=""),"",ROUND(BB127*$C127*(parametros!$F$5-MEMORIA_RESULTADOS!$I$261),2))</f>
        <v/>
      </c>
      <c r="BE127">
        <f>IF($A127="","",ROUND(SUMIFS(itens_Consumidos!$M$2:$M$200,itens_Consumidos!$A$2:$A$200,$A127),2))</f>
        <v/>
      </c>
      <c r="BF127">
        <f>IF(OR($A127="",S127=""),"",ROUND(MAX(S127-BE127,0),2))</f>
        <v/>
      </c>
      <c r="BG127">
        <f>IF(OR($A127="",S127="",MEMORIA_RESULTADOS!$I$262=""),"",ROUND(S127*$C127*(MEMORIA_RESULTADOS!$I$262-1),2))</f>
        <v/>
      </c>
      <c r="BH127">
        <f>IF(OR($A127="",BF127="",MEMORIA_RESULTADOS!$I$262=""),"",ROUND(BF127*$C127*(parametros!$F$6-MEMORIA_RESULTADOS!$I$262),2))</f>
        <v/>
      </c>
    </row>
    <row r="128">
      <c r="A128" s="86" t="n"/>
      <c r="B128" s="87">
        <f>IF(AND(LEN(TRIM($A128))=4,LEFT(TRIM($A128),1)="N",ISNUMBER(--MID(TRIM($A128),2,3)),ISERROR(FIND(".",$A128)),ISERROR(FIND(",",$A128)),ISERROR(FIND("-",$A128)),ISERROR(FIND("+",$A128)),ISERROR(SEARCH("E",$A128,2)),ISERROR(FIND(" ",TRIM($A128)))),0,"")</f>
        <v/>
      </c>
      <c r="C128" s="339" t="n"/>
      <c r="D128" s="335">
        <f>IF(AND(A128="",A127&lt;&gt;"",COUNTIF(A129:$A$200,"&lt;&gt;")=0),ROUND(SUMIF($A$2:A127,"&lt;&gt;",$D$2:D127),2),IF(OR(A128="",B128="",C128=""),"",ROUND(B128*C128,2)))</f>
        <v/>
      </c>
      <c r="E128" s="89" t="n"/>
      <c r="F128" s="335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 t="n"/>
      <c r="H128" s="335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 t="n"/>
      <c r="J128" s="335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 t="n"/>
      <c r="L128" s="335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>
        <f>IF(OR(posicao_contratual!J128="",posicao_contratual!N128=""),"",ROUND(MAX(posicao_contratual!J128+posicao_contratual!H128-posicao_contratual!N128,0),2))</f>
        <v/>
      </c>
      <c r="N128" s="335">
        <f>IF(AND(A128="",A127&lt;&gt;"",COUNTIF(A129:$A$200,"&lt;&gt;")=0),ROUND(SUMIF($A$2:A127,"&lt;&gt;",$N$2:N127),2),IF(OR(M128="",C128="",NOT(ISNUMBER($Z$3))),"",ROUND(M128*C128*$Z$3,2)))</f>
        <v/>
      </c>
      <c r="O128" s="90">
        <f>IF(OR(posicao_contratual!N128="",posicao_contratual!R128=""),"",ROUND(MAX(posicao_contratual!N128+posicao_contratual!L128-posicao_contratual!R128,0),2))</f>
        <v/>
      </c>
      <c r="P128" s="335">
        <f>IF(AND(A128="",A127&lt;&gt;"",COUNTIF(A129:$A$200,"&lt;&gt;")=0),ROUND(SUMIF($A$2:A127,"&lt;&gt;",$P$2:P127),2),IF(OR(O128="",C128="",NOT(ISNUMBER($Z$4))),"",ROUND(O128*C128*$Z$4,2)))</f>
        <v/>
      </c>
      <c r="Q128" s="90">
        <f>IF(OR(posicao_contratual!R128="",posicao_contratual!V128=""),"",ROUND(MAX(posicao_contratual!R128+posicao_contratual!P128-posicao_contratual!V128,0),2))</f>
        <v/>
      </c>
      <c r="R128" s="335">
        <f>IF(AND(A128="",A127&lt;&gt;"",COUNTIF(A129:$A$200,"&lt;&gt;")=0),ROUND(SUMIF($A$2:A127,"&lt;&gt;",$R$2:R127),2),IF(OR(Q128="",C128="",NOT(ISNUMBER($Z$5))),"",ROUND(Q128*C128*$Z$5,2)))</f>
        <v/>
      </c>
      <c r="S128" s="43" t="n"/>
      <c r="T128" s="342" t="n"/>
      <c r="U128" s="91">
        <f>IF(AND(A128="",A127&lt;&gt;"",COUNTIF(A129:$A$200,"&lt;&gt;")=0),"TOTAL",IF(A128="","",posicao_contratual!X128))</f>
        <v/>
      </c>
      <c r="V128" s="91">
        <f>IF(A128="","",posicao_contratual!X128)</f>
        <v/>
      </c>
      <c r="W128" s="13" t="n"/>
      <c r="X128" s="13" t="n"/>
      <c r="Y128" s="13" t="n"/>
      <c r="Z128" s="13" t="n"/>
      <c r="AA128" s="13" t="n"/>
      <c r="AB128" s="90">
        <f>IF(OR(A128="",posicao_contratual!E128="",posicao_contratual!J128=""),"",ROUND(MAX(posicao_contratual!E128-posicao_contratual!J128,0),2))</f>
        <v/>
      </c>
      <c r="AC128" s="335">
        <f>IF(AND(A128="",A127&lt;&gt;"",COUNTIF(A129:$A$200,"&lt;&gt;")=0),ROUND(SUMIF($A$2:A127,"&lt;&gt;",$AC$2:AC127),2),IF(OR(AB128="",C128="",NOT(ISNUMBER($Z$2))),"",ROUND(AB128*C128*$Z$2,2)))</f>
        <v/>
      </c>
      <c r="AD128" s="155">
        <f>IF(A128="","",posicao_contratual!E128)</f>
        <v/>
      </c>
      <c r="AE128" s="155">
        <f>IF(A128="","",posicao_contratual!I128)</f>
        <v/>
      </c>
      <c r="AF128" s="155">
        <f>IF(A128="","",posicao_contratual!M128)</f>
        <v/>
      </c>
      <c r="AG128" s="155">
        <f>IF(A128="","",posicao_contratual!Q128)</f>
        <v/>
      </c>
      <c r="AH128" s="155">
        <f>IF(A128="","",posicao_contratual!U128)</f>
        <v/>
      </c>
      <c r="AI128" s="155">
        <f>IF(A128="","",posicao_contratual!G128)</f>
        <v/>
      </c>
      <c r="AJ128" s="155">
        <f>IF(A128="","",posicao_contratual!K128)</f>
        <v/>
      </c>
      <c r="AK128" s="155">
        <f>IF(A128="","",posicao_contratual!O128)</f>
        <v/>
      </c>
      <c r="AL128" s="155">
        <f>IF(A128="","",posicao_contratual!S128)</f>
        <v/>
      </c>
      <c r="AM128" s="155">
        <f>IF(A128="","",posicao_contratual!W128)</f>
        <v/>
      </c>
      <c r="AN128" s="156">
        <f>IF(A128="","",posicao_contratual!X128)</f>
        <v/>
      </c>
      <c r="AO128">
        <f>IF($A128="","",ROUND(SUMIFS(itens_Consumidos!$E$2:$E$200,itens_Consumidos!$A$2:$A$200,$A128),2))</f>
        <v/>
      </c>
      <c r="AP128">
        <f>IF(OR($A128="",AB128=""),"",ROUND(MAX(AB128-AO128,0),2))</f>
        <v/>
      </c>
      <c r="AQ128">
        <f>IF(OR($A128="",AB128="",MEMORIA_RESULTADOS!$I$258=""),"",ROUND(AB128*$C128*(MEMORIA_RESULTADOS!$I$258-1),2))</f>
        <v/>
      </c>
      <c r="AR128">
        <f>IF(OR($A128="",AP128="",MEMORIA_RESULTADOS!$I$258=""),"",ROUND(AP128*$C128*(parametros!$F$2-MEMORIA_RESULTADOS!$I$258),2))</f>
        <v/>
      </c>
      <c r="AS128">
        <f>IF($A128="","",ROUND(SUMIFS(itens_Consumidos!$G$2:$G$200,itens_Consumidos!$A$2:$A$200,$A128),2))</f>
        <v/>
      </c>
      <c r="AT128">
        <f>IF(OR($A128="",M128=""),"",ROUND(MAX(M128-AS128,0),2))</f>
        <v/>
      </c>
      <c r="AU128">
        <f>IF(OR($A128="",M128="",MEMORIA_RESULTADOS!$I$259=""),"",ROUND(M128*$C128*(MEMORIA_RESULTADOS!$I$259-1),2))</f>
        <v/>
      </c>
      <c r="AV128">
        <f>IF(OR($A128="",AT128="",MEMORIA_RESULTADOS!$I$259=""),"",ROUND(AT128*$C128*(parametros!$F$3-MEMORIA_RESULTADOS!$I$259),2))</f>
        <v/>
      </c>
      <c r="AW128">
        <f>IF($A128="","",ROUND(SUMIFS(itens_Consumidos!$I$2:$I$200,itens_Consumidos!$A$2:$A$200,$A128),2))</f>
        <v/>
      </c>
      <c r="AX128">
        <f>IF(OR($A128="",O128=""),"",ROUND(MAX(O128-AW128,0),2))</f>
        <v/>
      </c>
      <c r="AY128">
        <f>IF(OR($A128="",O128="",MEMORIA_RESULTADOS!$I$260=""),"",ROUND(O128*$C128*(MEMORIA_RESULTADOS!$I$260-1),2))</f>
        <v/>
      </c>
      <c r="AZ128">
        <f>IF(OR($A128="",AX128="",MEMORIA_RESULTADOS!$I$260=""),"",ROUND(AX128*$C128*(parametros!$F$4-MEMORIA_RESULTADOS!$I$260),2))</f>
        <v/>
      </c>
      <c r="BA128">
        <f>IF($A128="","",ROUND(SUMIFS(itens_Consumidos!$K$2:$K$200,itens_Consumidos!$A$2:$A$200,$A128),2))</f>
        <v/>
      </c>
      <c r="BB128">
        <f>IF(OR($A128="",Q128=""),"",ROUND(MAX(Q128-BA128,0),2))</f>
        <v/>
      </c>
      <c r="BC128">
        <f>IF(OR($A128="",Q128="",MEMORIA_RESULTADOS!$I$261=""),"",ROUND(Q128*$C128*(MEMORIA_RESULTADOS!$I$261-1),2))</f>
        <v/>
      </c>
      <c r="BD128">
        <f>IF(OR($A128="",BB128="",MEMORIA_RESULTADOS!$I$261=""),"",ROUND(BB128*$C128*(parametros!$F$5-MEMORIA_RESULTADOS!$I$261),2))</f>
        <v/>
      </c>
      <c r="BE128">
        <f>IF($A128="","",ROUND(SUMIFS(itens_Consumidos!$M$2:$M$200,itens_Consumidos!$A$2:$A$200,$A128),2))</f>
        <v/>
      </c>
      <c r="BF128">
        <f>IF(OR($A128="",S128=""),"",ROUND(MAX(S128-BE128,0),2))</f>
        <v/>
      </c>
      <c r="BG128">
        <f>IF(OR($A128="",S128="",MEMORIA_RESULTADOS!$I$262=""),"",ROUND(S128*$C128*(MEMORIA_RESULTADOS!$I$262-1),2))</f>
        <v/>
      </c>
      <c r="BH128">
        <f>IF(OR($A128="",BF128="",MEMORIA_RESULTADOS!$I$262=""),"",ROUND(BF128*$C128*(parametros!$F$6-MEMORIA_RESULTADOS!$I$262),2))</f>
        <v/>
      </c>
    </row>
    <row r="129">
      <c r="A129" s="86" t="n"/>
      <c r="B129" s="87">
        <f>IF(AND(LEN(TRIM($A129))=4,LEFT(TRIM($A129),1)="N",ISNUMBER(--MID(TRIM($A129),2,3)),ISERROR(FIND(".",$A129)),ISERROR(FIND(",",$A129)),ISERROR(FIND("-",$A129)),ISERROR(FIND("+",$A129)),ISERROR(SEARCH("E",$A129,2)),ISERROR(FIND(" ",TRIM($A129)))),0,"")</f>
        <v/>
      </c>
      <c r="C129" s="339" t="n"/>
      <c r="D129" s="335">
        <f>IF(AND(A129="",A128&lt;&gt;"",COUNTIF(A130:$A$200,"&lt;&gt;")=0),ROUND(SUMIF($A$2:A128,"&lt;&gt;",$D$2:D128),2),IF(OR(A129="",B129="",C129=""),"",ROUND(B129*C129,2)))</f>
        <v/>
      </c>
      <c r="E129" s="89" t="n"/>
      <c r="F129" s="335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 t="n"/>
      <c r="H129" s="335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 t="n"/>
      <c r="J129" s="335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 t="n"/>
      <c r="L129" s="335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>
        <f>IF(OR(posicao_contratual!J129="",posicao_contratual!N129=""),"",ROUND(MAX(posicao_contratual!J129+posicao_contratual!H129-posicao_contratual!N129,0),2))</f>
        <v/>
      </c>
      <c r="N129" s="335">
        <f>IF(AND(A129="",A128&lt;&gt;"",COUNTIF(A130:$A$200,"&lt;&gt;")=0),ROUND(SUMIF($A$2:A128,"&lt;&gt;",$N$2:N128),2),IF(OR(M129="",C129="",NOT(ISNUMBER($Z$3))),"",ROUND(M129*C129*$Z$3,2)))</f>
        <v/>
      </c>
      <c r="O129" s="90">
        <f>IF(OR(posicao_contratual!N129="",posicao_contratual!R129=""),"",ROUND(MAX(posicao_contratual!N129+posicao_contratual!L129-posicao_contratual!R129,0),2))</f>
        <v/>
      </c>
      <c r="P129" s="335">
        <f>IF(AND(A129="",A128&lt;&gt;"",COUNTIF(A130:$A$200,"&lt;&gt;")=0),ROUND(SUMIF($A$2:A128,"&lt;&gt;",$P$2:P128),2),IF(OR(O129="",C129="",NOT(ISNUMBER($Z$4))),"",ROUND(O129*C129*$Z$4,2)))</f>
        <v/>
      </c>
      <c r="Q129" s="90">
        <f>IF(OR(posicao_contratual!R129="",posicao_contratual!V129=""),"",ROUND(MAX(posicao_contratual!R129+posicao_contratual!P129-posicao_contratual!V129,0),2))</f>
        <v/>
      </c>
      <c r="R129" s="335">
        <f>IF(AND(A129="",A128&lt;&gt;"",COUNTIF(A130:$A$200,"&lt;&gt;")=0),ROUND(SUMIF($A$2:A128,"&lt;&gt;",$R$2:R128),2),IF(OR(Q129="",C129="",NOT(ISNUMBER($Z$5))),"",ROUND(Q129*C129*$Z$5,2)))</f>
        <v/>
      </c>
      <c r="S129" s="43" t="n"/>
      <c r="T129" s="342" t="n"/>
      <c r="U129" s="91">
        <f>IF(AND(A129="",A128&lt;&gt;"",COUNTIF(A130:$A$200,"&lt;&gt;")=0),"TOTAL",IF(A129="","",posicao_contratual!X129))</f>
        <v/>
      </c>
      <c r="V129" s="91">
        <f>IF(A129="","",posicao_contratual!X129)</f>
        <v/>
      </c>
      <c r="W129" s="13" t="n"/>
      <c r="X129" s="13" t="n"/>
      <c r="Y129" s="13" t="n"/>
      <c r="Z129" s="13" t="n"/>
      <c r="AA129" s="13" t="n"/>
      <c r="AB129" s="90">
        <f>IF(OR(A129="",posicao_contratual!E129="",posicao_contratual!J129=""),"",ROUND(MAX(posicao_contratual!E129-posicao_contratual!J129,0),2))</f>
        <v/>
      </c>
      <c r="AC129" s="335">
        <f>IF(AND(A129="",A128&lt;&gt;"",COUNTIF(A130:$A$200,"&lt;&gt;")=0),ROUND(SUMIF($A$2:A128,"&lt;&gt;",$AC$2:AC128),2),IF(OR(AB129="",C129="",NOT(ISNUMBER($Z$2))),"",ROUND(AB129*C129*$Z$2,2)))</f>
        <v/>
      </c>
      <c r="AD129" s="155">
        <f>IF(A129="","",posicao_contratual!E129)</f>
        <v/>
      </c>
      <c r="AE129" s="155">
        <f>IF(A129="","",posicao_contratual!I129)</f>
        <v/>
      </c>
      <c r="AF129" s="155">
        <f>IF(A129="","",posicao_contratual!M129)</f>
        <v/>
      </c>
      <c r="AG129" s="155">
        <f>IF(A129="","",posicao_contratual!Q129)</f>
        <v/>
      </c>
      <c r="AH129" s="155">
        <f>IF(A129="","",posicao_contratual!U129)</f>
        <v/>
      </c>
      <c r="AI129" s="155">
        <f>IF(A129="","",posicao_contratual!G129)</f>
        <v/>
      </c>
      <c r="AJ129" s="155">
        <f>IF(A129="","",posicao_contratual!K129)</f>
        <v/>
      </c>
      <c r="AK129" s="155">
        <f>IF(A129="","",posicao_contratual!O129)</f>
        <v/>
      </c>
      <c r="AL129" s="155">
        <f>IF(A129="","",posicao_contratual!S129)</f>
        <v/>
      </c>
      <c r="AM129" s="155">
        <f>IF(A129="","",posicao_contratual!W129)</f>
        <v/>
      </c>
      <c r="AN129" s="156">
        <f>IF(A129="","",posicao_contratual!X129)</f>
        <v/>
      </c>
      <c r="AO129">
        <f>IF($A129="","",ROUND(SUMIFS(itens_Consumidos!$E$2:$E$200,itens_Consumidos!$A$2:$A$200,$A129),2))</f>
        <v/>
      </c>
      <c r="AP129">
        <f>IF(OR($A129="",AB129=""),"",ROUND(MAX(AB129-AO129,0),2))</f>
        <v/>
      </c>
      <c r="AQ129">
        <f>IF(OR($A129="",AB129="",MEMORIA_RESULTADOS!$I$258=""),"",ROUND(AB129*$C129*(MEMORIA_RESULTADOS!$I$258-1),2))</f>
        <v/>
      </c>
      <c r="AR129">
        <f>IF(OR($A129="",AP129="",MEMORIA_RESULTADOS!$I$258=""),"",ROUND(AP129*$C129*(parametros!$F$2-MEMORIA_RESULTADOS!$I$258),2))</f>
        <v/>
      </c>
      <c r="AS129">
        <f>IF($A129="","",ROUND(SUMIFS(itens_Consumidos!$G$2:$G$200,itens_Consumidos!$A$2:$A$200,$A129),2))</f>
        <v/>
      </c>
      <c r="AT129">
        <f>IF(OR($A129="",M129=""),"",ROUND(MAX(M129-AS129,0),2))</f>
        <v/>
      </c>
      <c r="AU129">
        <f>IF(OR($A129="",M129="",MEMORIA_RESULTADOS!$I$259=""),"",ROUND(M129*$C129*(MEMORIA_RESULTADOS!$I$259-1),2))</f>
        <v/>
      </c>
      <c r="AV129">
        <f>IF(OR($A129="",AT129="",MEMORIA_RESULTADOS!$I$259=""),"",ROUND(AT129*$C129*(parametros!$F$3-MEMORIA_RESULTADOS!$I$259),2))</f>
        <v/>
      </c>
      <c r="AW129">
        <f>IF($A129="","",ROUND(SUMIFS(itens_Consumidos!$I$2:$I$200,itens_Consumidos!$A$2:$A$200,$A129),2))</f>
        <v/>
      </c>
      <c r="AX129">
        <f>IF(OR($A129="",O129=""),"",ROUND(MAX(O129-AW129,0),2))</f>
        <v/>
      </c>
      <c r="AY129">
        <f>IF(OR($A129="",O129="",MEMORIA_RESULTADOS!$I$260=""),"",ROUND(O129*$C129*(MEMORIA_RESULTADOS!$I$260-1),2))</f>
        <v/>
      </c>
      <c r="AZ129">
        <f>IF(OR($A129="",AX129="",MEMORIA_RESULTADOS!$I$260=""),"",ROUND(AX129*$C129*(parametros!$F$4-MEMORIA_RESULTADOS!$I$260),2))</f>
        <v/>
      </c>
      <c r="BA129">
        <f>IF($A129="","",ROUND(SUMIFS(itens_Consumidos!$K$2:$K$200,itens_Consumidos!$A$2:$A$200,$A129),2))</f>
        <v/>
      </c>
      <c r="BB129">
        <f>IF(OR($A129="",Q129=""),"",ROUND(MAX(Q129-BA129,0),2))</f>
        <v/>
      </c>
      <c r="BC129">
        <f>IF(OR($A129="",Q129="",MEMORIA_RESULTADOS!$I$261=""),"",ROUND(Q129*$C129*(MEMORIA_RESULTADOS!$I$261-1),2))</f>
        <v/>
      </c>
      <c r="BD129">
        <f>IF(OR($A129="",BB129="",MEMORIA_RESULTADOS!$I$261=""),"",ROUND(BB129*$C129*(parametros!$F$5-MEMORIA_RESULTADOS!$I$261),2))</f>
        <v/>
      </c>
      <c r="BE129">
        <f>IF($A129="","",ROUND(SUMIFS(itens_Consumidos!$M$2:$M$200,itens_Consumidos!$A$2:$A$200,$A129),2))</f>
        <v/>
      </c>
      <c r="BF129">
        <f>IF(OR($A129="",S129=""),"",ROUND(MAX(S129-BE129,0),2))</f>
        <v/>
      </c>
      <c r="BG129">
        <f>IF(OR($A129="",S129="",MEMORIA_RESULTADOS!$I$262=""),"",ROUND(S129*$C129*(MEMORIA_RESULTADOS!$I$262-1),2))</f>
        <v/>
      </c>
      <c r="BH129">
        <f>IF(OR($A129="",BF129="",MEMORIA_RESULTADOS!$I$262=""),"",ROUND(BF129*$C129*(parametros!$F$6-MEMORIA_RESULTADOS!$I$262),2))</f>
        <v/>
      </c>
    </row>
    <row r="130">
      <c r="A130" s="86" t="n"/>
      <c r="B130" s="87">
        <f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339" t="n"/>
      <c r="D130" s="335">
        <f>IF(AND(A130="",A129&lt;&gt;"",COUNTIF(A131:$A$200,"&lt;&gt;")=0),ROUND(SUMIF($A$2:A129,"&lt;&gt;",$D$2:D129),2),IF(OR(A130="",B130="",C130=""),"",ROUND(B130*C130,2)))</f>
        <v/>
      </c>
      <c r="E130" s="89" t="n"/>
      <c r="F130" s="335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 t="n"/>
      <c r="H130" s="335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 t="n"/>
      <c r="J130" s="335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 t="n"/>
      <c r="L130" s="335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>
        <f>IF(OR(posicao_contratual!J130="",posicao_contratual!N130=""),"",ROUND(MAX(posicao_contratual!J130+posicao_contratual!H130-posicao_contratual!N130,0),2))</f>
        <v/>
      </c>
      <c r="N130" s="335">
        <f>IF(AND(A130="",A129&lt;&gt;"",COUNTIF(A131:$A$200,"&lt;&gt;")=0),ROUND(SUMIF($A$2:A129,"&lt;&gt;",$N$2:N129),2),IF(OR(M130="",C130="",NOT(ISNUMBER($Z$3))),"",ROUND(M130*C130*$Z$3,2)))</f>
        <v/>
      </c>
      <c r="O130" s="90">
        <f>IF(OR(posicao_contratual!N130="",posicao_contratual!R130=""),"",ROUND(MAX(posicao_contratual!N130+posicao_contratual!L130-posicao_contratual!R130,0),2))</f>
        <v/>
      </c>
      <c r="P130" s="335">
        <f>IF(AND(A130="",A129&lt;&gt;"",COUNTIF(A131:$A$200,"&lt;&gt;")=0),ROUND(SUMIF($A$2:A129,"&lt;&gt;",$P$2:P129),2),IF(OR(O130="",C130="",NOT(ISNUMBER($Z$4))),"",ROUND(O130*C130*$Z$4,2)))</f>
        <v/>
      </c>
      <c r="Q130" s="90">
        <f>IF(OR(posicao_contratual!R130="",posicao_contratual!V130=""),"",ROUND(MAX(posicao_contratual!R130+posicao_contratual!P130-posicao_contratual!V130,0),2))</f>
        <v/>
      </c>
      <c r="R130" s="335">
        <f>IF(AND(A130="",A129&lt;&gt;"",COUNTIF(A131:$A$200,"&lt;&gt;")=0),ROUND(SUMIF($A$2:A129,"&lt;&gt;",$R$2:R129),2),IF(OR(Q130="",C130="",NOT(ISNUMBER($Z$5))),"",ROUND(Q130*C130*$Z$5,2)))</f>
        <v/>
      </c>
      <c r="S130" s="43" t="n"/>
      <c r="T130" s="342" t="n"/>
      <c r="U130" s="91">
        <f>IF(AND(A130="",A129&lt;&gt;"",COUNTIF(A131:$A$200,"&lt;&gt;")=0),"TOTAL",IF(A130="","",posicao_contratual!X130))</f>
        <v/>
      </c>
      <c r="V130" s="91">
        <f>IF(A130="","",posicao_contratual!X130)</f>
        <v/>
      </c>
      <c r="W130" s="13" t="n"/>
      <c r="X130" s="13" t="n"/>
      <c r="Y130" s="13" t="n"/>
      <c r="Z130" s="13" t="n"/>
      <c r="AA130" s="13" t="n"/>
      <c r="AB130" s="90">
        <f>IF(OR(A130="",posicao_contratual!E130="",posicao_contratual!J130=""),"",ROUND(MAX(posicao_contratual!E130-posicao_contratual!J130,0),2))</f>
        <v/>
      </c>
      <c r="AC130" s="335">
        <f>IF(AND(A130="",A129&lt;&gt;"",COUNTIF(A131:$A$200,"&lt;&gt;")=0),ROUND(SUMIF($A$2:A129,"&lt;&gt;",$AC$2:AC129),2),IF(OR(AB130="",C130="",NOT(ISNUMBER($Z$2))),"",ROUND(AB130*C130*$Z$2,2)))</f>
        <v/>
      </c>
      <c r="AD130" s="155">
        <f>IF(A130="","",posicao_contratual!E130)</f>
        <v/>
      </c>
      <c r="AE130" s="155">
        <f>IF(A130="","",posicao_contratual!I130)</f>
        <v/>
      </c>
      <c r="AF130" s="155">
        <f>IF(A130="","",posicao_contratual!M130)</f>
        <v/>
      </c>
      <c r="AG130" s="155">
        <f>IF(A130="","",posicao_contratual!Q130)</f>
        <v/>
      </c>
      <c r="AH130" s="155">
        <f>IF(A130="","",posicao_contratual!U130)</f>
        <v/>
      </c>
      <c r="AI130" s="155">
        <f>IF(A130="","",posicao_contratual!G130)</f>
        <v/>
      </c>
      <c r="AJ130" s="155">
        <f>IF(A130="","",posicao_contratual!K130)</f>
        <v/>
      </c>
      <c r="AK130" s="155">
        <f>IF(A130="","",posicao_contratual!O130)</f>
        <v/>
      </c>
      <c r="AL130" s="155">
        <f>IF(A130="","",posicao_contratual!S130)</f>
        <v/>
      </c>
      <c r="AM130" s="155">
        <f>IF(A130="","",posicao_contratual!W130)</f>
        <v/>
      </c>
      <c r="AN130" s="156">
        <f>IF(A130="","",posicao_contratual!X130)</f>
        <v/>
      </c>
      <c r="AO130">
        <f>IF($A130="","",ROUND(SUMIFS(itens_Consumidos!$E$2:$E$200,itens_Consumidos!$A$2:$A$200,$A130),2))</f>
        <v/>
      </c>
      <c r="AP130">
        <f>IF(OR($A130="",AB130=""),"",ROUND(MAX(AB130-AO130,0),2))</f>
        <v/>
      </c>
      <c r="AQ130">
        <f>IF(OR($A130="",AB130="",MEMORIA_RESULTADOS!$I$258=""),"",ROUND(AB130*$C130*(MEMORIA_RESULTADOS!$I$258-1),2))</f>
        <v/>
      </c>
      <c r="AR130">
        <f>IF(OR($A130="",AP130="",MEMORIA_RESULTADOS!$I$258=""),"",ROUND(AP130*$C130*(parametros!$F$2-MEMORIA_RESULTADOS!$I$258),2))</f>
        <v/>
      </c>
      <c r="AS130">
        <f>IF($A130="","",ROUND(SUMIFS(itens_Consumidos!$G$2:$G$200,itens_Consumidos!$A$2:$A$200,$A130),2))</f>
        <v/>
      </c>
      <c r="AT130">
        <f>IF(OR($A130="",M130=""),"",ROUND(MAX(M130-AS130,0),2))</f>
        <v/>
      </c>
      <c r="AU130">
        <f>IF(OR($A130="",M130="",MEMORIA_RESULTADOS!$I$259=""),"",ROUND(M130*$C130*(MEMORIA_RESULTADOS!$I$259-1),2))</f>
        <v/>
      </c>
      <c r="AV130">
        <f>IF(OR($A130="",AT130="",MEMORIA_RESULTADOS!$I$259=""),"",ROUND(AT130*$C130*(parametros!$F$3-MEMORIA_RESULTADOS!$I$259),2))</f>
        <v/>
      </c>
      <c r="AW130">
        <f>IF($A130="","",ROUND(SUMIFS(itens_Consumidos!$I$2:$I$200,itens_Consumidos!$A$2:$A$200,$A130),2))</f>
        <v/>
      </c>
      <c r="AX130">
        <f>IF(OR($A130="",O130=""),"",ROUND(MAX(O130-AW130,0),2))</f>
        <v/>
      </c>
      <c r="AY130">
        <f>IF(OR($A130="",O130="",MEMORIA_RESULTADOS!$I$260=""),"",ROUND(O130*$C130*(MEMORIA_RESULTADOS!$I$260-1),2))</f>
        <v/>
      </c>
      <c r="AZ130">
        <f>IF(OR($A130="",AX130="",MEMORIA_RESULTADOS!$I$260=""),"",ROUND(AX130*$C130*(parametros!$F$4-MEMORIA_RESULTADOS!$I$260),2))</f>
        <v/>
      </c>
      <c r="BA130">
        <f>IF($A130="","",ROUND(SUMIFS(itens_Consumidos!$K$2:$K$200,itens_Consumidos!$A$2:$A$200,$A130),2))</f>
        <v/>
      </c>
      <c r="BB130">
        <f>IF(OR($A130="",Q130=""),"",ROUND(MAX(Q130-BA130,0),2))</f>
        <v/>
      </c>
      <c r="BC130">
        <f>IF(OR($A130="",Q130="",MEMORIA_RESULTADOS!$I$261=""),"",ROUND(Q130*$C130*(MEMORIA_RESULTADOS!$I$261-1),2))</f>
        <v/>
      </c>
      <c r="BD130">
        <f>IF(OR($A130="",BB130="",MEMORIA_RESULTADOS!$I$261=""),"",ROUND(BB130*$C130*(parametros!$F$5-MEMORIA_RESULTADOS!$I$261),2))</f>
        <v/>
      </c>
      <c r="BE130">
        <f>IF($A130="","",ROUND(SUMIFS(itens_Consumidos!$M$2:$M$200,itens_Consumidos!$A$2:$A$200,$A130),2))</f>
        <v/>
      </c>
      <c r="BF130">
        <f>IF(OR($A130="",S130=""),"",ROUND(MAX(S130-BE130,0),2))</f>
        <v/>
      </c>
      <c r="BG130">
        <f>IF(OR($A130="",S130="",MEMORIA_RESULTADOS!$I$262=""),"",ROUND(S130*$C130*(MEMORIA_RESULTADOS!$I$262-1),2))</f>
        <v/>
      </c>
      <c r="BH130">
        <f>IF(OR($A130="",BF130="",MEMORIA_RESULTADOS!$I$262=""),"",ROUND(BF130*$C130*(parametros!$F$6-MEMORIA_RESULTADOS!$I$262),2))</f>
        <v/>
      </c>
    </row>
    <row r="131">
      <c r="A131" s="86" t="n"/>
      <c r="B131" s="87">
        <f>IF(AND(LEN(TRIM($A131))=4,LEFT(TRIM($A131),1)="N",ISNUMBER(--MID(TRIM($A131),2,3)),ISERROR(FIND(".",$A131)),ISERROR(FIND(",",$A131)),ISERROR(FIND("-",$A131)),ISERROR(FIND("+",$A131)),ISERROR(SEARCH("E",$A131,2)),ISERROR(FIND(" ",TRIM($A131)))),0,"")</f>
        <v/>
      </c>
      <c r="C131" s="339" t="n"/>
      <c r="D131" s="335">
        <f>IF(AND(A131="",A130&lt;&gt;"",COUNTIF(A132:$A$200,"&lt;&gt;")=0),ROUND(SUMIF($A$2:A130,"&lt;&gt;",$D$2:D130),2),IF(OR(A131="",B131="",C131=""),"",ROUND(B131*C131,2)))</f>
        <v/>
      </c>
      <c r="E131" s="89" t="n"/>
      <c r="F131" s="335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 t="n"/>
      <c r="H131" s="335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 t="n"/>
      <c r="J131" s="335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 t="n"/>
      <c r="L131" s="335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>
        <f>IF(OR(posicao_contratual!J131="",posicao_contratual!N131=""),"",ROUND(MAX(posicao_contratual!J131+posicao_contratual!H131-posicao_contratual!N131,0),2))</f>
        <v/>
      </c>
      <c r="N131" s="335">
        <f>IF(AND(A131="",A130&lt;&gt;"",COUNTIF(A132:$A$200,"&lt;&gt;")=0),ROUND(SUMIF($A$2:A130,"&lt;&gt;",$N$2:N130),2),IF(OR(M131="",C131="",NOT(ISNUMBER($Z$3))),"",ROUND(M131*C131*$Z$3,2)))</f>
        <v/>
      </c>
      <c r="O131" s="90">
        <f>IF(OR(posicao_contratual!N131="",posicao_contratual!R131=""),"",ROUND(MAX(posicao_contratual!N131+posicao_contratual!L131-posicao_contratual!R131,0),2))</f>
        <v/>
      </c>
      <c r="P131" s="335">
        <f>IF(AND(A131="",A130&lt;&gt;"",COUNTIF(A132:$A$200,"&lt;&gt;")=0),ROUND(SUMIF($A$2:A130,"&lt;&gt;",$P$2:P130),2),IF(OR(O131="",C131="",NOT(ISNUMBER($Z$4))),"",ROUND(O131*C131*$Z$4,2)))</f>
        <v/>
      </c>
      <c r="Q131" s="90">
        <f>IF(OR(posicao_contratual!R131="",posicao_contratual!V131=""),"",ROUND(MAX(posicao_contratual!R131+posicao_contratual!P131-posicao_contratual!V131,0),2))</f>
        <v/>
      </c>
      <c r="R131" s="335">
        <f>IF(AND(A131="",A130&lt;&gt;"",COUNTIF(A132:$A$200,"&lt;&gt;")=0),ROUND(SUMIF($A$2:A130,"&lt;&gt;",$R$2:R130),2),IF(OR(Q131="",C131="",NOT(ISNUMBER($Z$5))),"",ROUND(Q131*C131*$Z$5,2)))</f>
        <v/>
      </c>
      <c r="S131" s="43" t="n"/>
      <c r="T131" s="342" t="n"/>
      <c r="U131" s="91">
        <f>IF(AND(A131="",A130&lt;&gt;"",COUNTIF(A132:$A$200,"&lt;&gt;")=0),"TOTAL",IF(A131="","",posicao_contratual!X131))</f>
        <v/>
      </c>
      <c r="V131" s="91">
        <f>IF(A131="","",posicao_contratual!X131)</f>
        <v/>
      </c>
      <c r="W131" s="13" t="n"/>
      <c r="X131" s="13" t="n"/>
      <c r="Y131" s="13" t="n"/>
      <c r="Z131" s="13" t="n"/>
      <c r="AA131" s="13" t="n"/>
      <c r="AB131" s="90">
        <f>IF(OR(A131="",posicao_contratual!E131="",posicao_contratual!J131=""),"",ROUND(MAX(posicao_contratual!E131-posicao_contratual!J131,0),2))</f>
        <v/>
      </c>
      <c r="AC131" s="335">
        <f>IF(AND(A131="",A130&lt;&gt;"",COUNTIF(A132:$A$200,"&lt;&gt;")=0),ROUND(SUMIF($A$2:A130,"&lt;&gt;",$AC$2:AC130),2),IF(OR(AB131="",C131="",NOT(ISNUMBER($Z$2))),"",ROUND(AB131*C131*$Z$2,2)))</f>
        <v/>
      </c>
      <c r="AD131" s="155">
        <f>IF(A131="","",posicao_contratual!E131)</f>
        <v/>
      </c>
      <c r="AE131" s="155">
        <f>IF(A131="","",posicao_contratual!I131)</f>
        <v/>
      </c>
      <c r="AF131" s="155">
        <f>IF(A131="","",posicao_contratual!M131)</f>
        <v/>
      </c>
      <c r="AG131" s="155">
        <f>IF(A131="","",posicao_contratual!Q131)</f>
        <v/>
      </c>
      <c r="AH131" s="155">
        <f>IF(A131="","",posicao_contratual!U131)</f>
        <v/>
      </c>
      <c r="AI131" s="155">
        <f>IF(A131="","",posicao_contratual!G131)</f>
        <v/>
      </c>
      <c r="AJ131" s="155">
        <f>IF(A131="","",posicao_contratual!K131)</f>
        <v/>
      </c>
      <c r="AK131" s="155">
        <f>IF(A131="","",posicao_contratual!O131)</f>
        <v/>
      </c>
      <c r="AL131" s="155">
        <f>IF(A131="","",posicao_contratual!S131)</f>
        <v/>
      </c>
      <c r="AM131" s="155">
        <f>IF(A131="","",posicao_contratual!W131)</f>
        <v/>
      </c>
      <c r="AN131" s="156">
        <f>IF(A131="","",posicao_contratual!X131)</f>
        <v/>
      </c>
      <c r="AO131">
        <f>IF($A131="","",ROUND(SUMIFS(itens_Consumidos!$E$2:$E$200,itens_Consumidos!$A$2:$A$200,$A131),2))</f>
        <v/>
      </c>
      <c r="AP131">
        <f>IF(OR($A131="",AB131=""),"",ROUND(MAX(AB131-AO131,0),2))</f>
        <v/>
      </c>
      <c r="AQ131">
        <f>IF(OR($A131="",AB131="",MEMORIA_RESULTADOS!$I$258=""),"",ROUND(AB131*$C131*(MEMORIA_RESULTADOS!$I$258-1),2))</f>
        <v/>
      </c>
      <c r="AR131">
        <f>IF(OR($A131="",AP131="",MEMORIA_RESULTADOS!$I$258=""),"",ROUND(AP131*$C131*(parametros!$F$2-MEMORIA_RESULTADOS!$I$258),2))</f>
        <v/>
      </c>
      <c r="AS131">
        <f>IF($A131="","",ROUND(SUMIFS(itens_Consumidos!$G$2:$G$200,itens_Consumidos!$A$2:$A$200,$A131),2))</f>
        <v/>
      </c>
      <c r="AT131">
        <f>IF(OR($A131="",M131=""),"",ROUND(MAX(M131-AS131,0),2))</f>
        <v/>
      </c>
      <c r="AU131">
        <f>IF(OR($A131="",M131="",MEMORIA_RESULTADOS!$I$259=""),"",ROUND(M131*$C131*(MEMORIA_RESULTADOS!$I$259-1),2))</f>
        <v/>
      </c>
      <c r="AV131">
        <f>IF(OR($A131="",AT131="",MEMORIA_RESULTADOS!$I$259=""),"",ROUND(AT131*$C131*(parametros!$F$3-MEMORIA_RESULTADOS!$I$259),2))</f>
        <v/>
      </c>
      <c r="AW131">
        <f>IF($A131="","",ROUND(SUMIFS(itens_Consumidos!$I$2:$I$200,itens_Consumidos!$A$2:$A$200,$A131),2))</f>
        <v/>
      </c>
      <c r="AX131">
        <f>IF(OR($A131="",O131=""),"",ROUND(MAX(O131-AW131,0),2))</f>
        <v/>
      </c>
      <c r="AY131">
        <f>IF(OR($A131="",O131="",MEMORIA_RESULTADOS!$I$260=""),"",ROUND(O131*$C131*(MEMORIA_RESULTADOS!$I$260-1),2))</f>
        <v/>
      </c>
      <c r="AZ131">
        <f>IF(OR($A131="",AX131="",MEMORIA_RESULTADOS!$I$260=""),"",ROUND(AX131*$C131*(parametros!$F$4-MEMORIA_RESULTADOS!$I$260),2))</f>
        <v/>
      </c>
      <c r="BA131">
        <f>IF($A131="","",ROUND(SUMIFS(itens_Consumidos!$K$2:$K$200,itens_Consumidos!$A$2:$A$200,$A131),2))</f>
        <v/>
      </c>
      <c r="BB131">
        <f>IF(OR($A131="",Q131=""),"",ROUND(MAX(Q131-BA131,0),2))</f>
        <v/>
      </c>
      <c r="BC131">
        <f>IF(OR($A131="",Q131="",MEMORIA_RESULTADOS!$I$261=""),"",ROUND(Q131*$C131*(MEMORIA_RESULTADOS!$I$261-1),2))</f>
        <v/>
      </c>
      <c r="BD131">
        <f>IF(OR($A131="",BB131="",MEMORIA_RESULTADOS!$I$261=""),"",ROUND(BB131*$C131*(parametros!$F$5-MEMORIA_RESULTADOS!$I$261),2))</f>
        <v/>
      </c>
      <c r="BE131">
        <f>IF($A131="","",ROUND(SUMIFS(itens_Consumidos!$M$2:$M$200,itens_Consumidos!$A$2:$A$200,$A131),2))</f>
        <v/>
      </c>
      <c r="BF131">
        <f>IF(OR($A131="",S131=""),"",ROUND(MAX(S131-BE131,0),2))</f>
        <v/>
      </c>
      <c r="BG131">
        <f>IF(OR($A131="",S131="",MEMORIA_RESULTADOS!$I$262=""),"",ROUND(S131*$C131*(MEMORIA_RESULTADOS!$I$262-1),2))</f>
        <v/>
      </c>
      <c r="BH131">
        <f>IF(OR($A131="",BF131="",MEMORIA_RESULTADOS!$I$262=""),"",ROUND(BF131*$C131*(parametros!$F$6-MEMORIA_RESULTADOS!$I$262),2))</f>
        <v/>
      </c>
    </row>
    <row r="132">
      <c r="A132" s="86" t="n"/>
      <c r="B132" s="87">
        <f>IF(AND(LEN(TRIM($A132))=4,LEFT(TRIM($A132),1)="N",ISNUMBER(--MID(TRIM($A132),2,3)),ISERROR(FIND(".",$A132)),ISERROR(FIND(",",$A132)),ISERROR(FIND("-",$A132)),ISERROR(FIND("+",$A132)),ISERROR(SEARCH("E",$A132,2)),ISERROR(FIND(" ",TRIM($A132)))),0,"")</f>
        <v/>
      </c>
      <c r="C132" s="339" t="n"/>
      <c r="D132" s="335">
        <f>IF(AND(A132="",A131&lt;&gt;"",COUNTIF(A133:$A$200,"&lt;&gt;")=0),ROUND(SUMIF($A$2:A131,"&lt;&gt;",$D$2:D131),2),IF(OR(A132="",B132="",C132=""),"",ROUND(B132*C132,2)))</f>
        <v/>
      </c>
      <c r="E132" s="89" t="n"/>
      <c r="F132" s="335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 t="n"/>
      <c r="H132" s="335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 t="n"/>
      <c r="J132" s="335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 t="n"/>
      <c r="L132" s="335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>
        <f>IF(OR(posicao_contratual!J132="",posicao_contratual!N132=""),"",ROUND(MAX(posicao_contratual!J132+posicao_contratual!H132-posicao_contratual!N132,0),2))</f>
        <v/>
      </c>
      <c r="N132" s="335">
        <f>IF(AND(A132="",A131&lt;&gt;"",COUNTIF(A133:$A$200,"&lt;&gt;")=0),ROUND(SUMIF($A$2:A131,"&lt;&gt;",$N$2:N131),2),IF(OR(M132="",C132="",NOT(ISNUMBER($Z$3))),"",ROUND(M132*C132*$Z$3,2)))</f>
        <v/>
      </c>
      <c r="O132" s="90">
        <f>IF(OR(posicao_contratual!N132="",posicao_contratual!R132=""),"",ROUND(MAX(posicao_contratual!N132+posicao_contratual!L132-posicao_contratual!R132,0),2))</f>
        <v/>
      </c>
      <c r="P132" s="335">
        <f>IF(AND(A132="",A131&lt;&gt;"",COUNTIF(A133:$A$200,"&lt;&gt;")=0),ROUND(SUMIF($A$2:A131,"&lt;&gt;",$P$2:P131),2),IF(OR(O132="",C132="",NOT(ISNUMBER($Z$4))),"",ROUND(O132*C132*$Z$4,2)))</f>
        <v/>
      </c>
      <c r="Q132" s="90">
        <f>IF(OR(posicao_contratual!R132="",posicao_contratual!V132=""),"",ROUND(MAX(posicao_contratual!R132+posicao_contratual!P132-posicao_contratual!V132,0),2))</f>
        <v/>
      </c>
      <c r="R132" s="335">
        <f>IF(AND(A132="",A131&lt;&gt;"",COUNTIF(A133:$A$200,"&lt;&gt;")=0),ROUND(SUMIF($A$2:A131,"&lt;&gt;",$R$2:R131),2),IF(OR(Q132="",C132="",NOT(ISNUMBER($Z$5))),"",ROUND(Q132*C132*$Z$5,2)))</f>
        <v/>
      </c>
      <c r="S132" s="43" t="n"/>
      <c r="T132" s="342" t="n"/>
      <c r="U132" s="91">
        <f>IF(AND(A132="",A131&lt;&gt;"",COUNTIF(A133:$A$200,"&lt;&gt;")=0),"TOTAL",IF(A132="","",posicao_contratual!X132))</f>
        <v/>
      </c>
      <c r="V132" s="91">
        <f>IF(A132="","",posicao_contratual!X132)</f>
        <v/>
      </c>
      <c r="W132" s="13" t="n"/>
      <c r="X132" s="13" t="n"/>
      <c r="Y132" s="13" t="n"/>
      <c r="Z132" s="13" t="n"/>
      <c r="AA132" s="13" t="n"/>
      <c r="AB132" s="90">
        <f>IF(OR(A132="",posicao_contratual!E132="",posicao_contratual!J132=""),"",ROUND(MAX(posicao_contratual!E132-posicao_contratual!J132,0),2))</f>
        <v/>
      </c>
      <c r="AC132" s="335">
        <f>IF(AND(A132="",A131&lt;&gt;"",COUNTIF(A133:$A$200,"&lt;&gt;")=0),ROUND(SUMIF($A$2:A131,"&lt;&gt;",$AC$2:AC131),2),IF(OR(AB132="",C132="",NOT(ISNUMBER($Z$2))),"",ROUND(AB132*C132*$Z$2,2)))</f>
        <v/>
      </c>
      <c r="AD132" s="155">
        <f>IF(A132="","",posicao_contratual!E132)</f>
        <v/>
      </c>
      <c r="AE132" s="155">
        <f>IF(A132="","",posicao_contratual!I132)</f>
        <v/>
      </c>
      <c r="AF132" s="155">
        <f>IF(A132="","",posicao_contratual!M132)</f>
        <v/>
      </c>
      <c r="AG132" s="155">
        <f>IF(A132="","",posicao_contratual!Q132)</f>
        <v/>
      </c>
      <c r="AH132" s="155">
        <f>IF(A132="","",posicao_contratual!U132)</f>
        <v/>
      </c>
      <c r="AI132" s="155">
        <f>IF(A132="","",posicao_contratual!G132)</f>
        <v/>
      </c>
      <c r="AJ132" s="155">
        <f>IF(A132="","",posicao_contratual!K132)</f>
        <v/>
      </c>
      <c r="AK132" s="155">
        <f>IF(A132="","",posicao_contratual!O132)</f>
        <v/>
      </c>
      <c r="AL132" s="155">
        <f>IF(A132="","",posicao_contratual!S132)</f>
        <v/>
      </c>
      <c r="AM132" s="155">
        <f>IF(A132="","",posicao_contratual!W132)</f>
        <v/>
      </c>
      <c r="AN132" s="156">
        <f>IF(A132="","",posicao_contratual!X132)</f>
        <v/>
      </c>
      <c r="AO132">
        <f>IF($A132="","",ROUND(SUMIFS(itens_Consumidos!$E$2:$E$200,itens_Consumidos!$A$2:$A$200,$A132),2))</f>
        <v/>
      </c>
      <c r="AP132">
        <f>IF(OR($A132="",AB132=""),"",ROUND(MAX(AB132-AO132,0),2))</f>
        <v/>
      </c>
      <c r="AQ132">
        <f>IF(OR($A132="",AB132="",MEMORIA_RESULTADOS!$I$258=""),"",ROUND(AB132*$C132*(MEMORIA_RESULTADOS!$I$258-1),2))</f>
        <v/>
      </c>
      <c r="AR132">
        <f>IF(OR($A132="",AP132="",MEMORIA_RESULTADOS!$I$258=""),"",ROUND(AP132*$C132*(parametros!$F$2-MEMORIA_RESULTADOS!$I$258),2))</f>
        <v/>
      </c>
      <c r="AS132">
        <f>IF($A132="","",ROUND(SUMIFS(itens_Consumidos!$G$2:$G$200,itens_Consumidos!$A$2:$A$200,$A132),2))</f>
        <v/>
      </c>
      <c r="AT132">
        <f>IF(OR($A132="",M132=""),"",ROUND(MAX(M132-AS132,0),2))</f>
        <v/>
      </c>
      <c r="AU132">
        <f>IF(OR($A132="",M132="",MEMORIA_RESULTADOS!$I$259=""),"",ROUND(M132*$C132*(MEMORIA_RESULTADOS!$I$259-1),2))</f>
        <v/>
      </c>
      <c r="AV132">
        <f>IF(OR($A132="",AT132="",MEMORIA_RESULTADOS!$I$259=""),"",ROUND(AT132*$C132*(parametros!$F$3-MEMORIA_RESULTADOS!$I$259),2))</f>
        <v/>
      </c>
      <c r="AW132">
        <f>IF($A132="","",ROUND(SUMIFS(itens_Consumidos!$I$2:$I$200,itens_Consumidos!$A$2:$A$200,$A132),2))</f>
        <v/>
      </c>
      <c r="AX132">
        <f>IF(OR($A132="",O132=""),"",ROUND(MAX(O132-AW132,0),2))</f>
        <v/>
      </c>
      <c r="AY132">
        <f>IF(OR($A132="",O132="",MEMORIA_RESULTADOS!$I$260=""),"",ROUND(O132*$C132*(MEMORIA_RESULTADOS!$I$260-1),2))</f>
        <v/>
      </c>
      <c r="AZ132">
        <f>IF(OR($A132="",AX132="",MEMORIA_RESULTADOS!$I$260=""),"",ROUND(AX132*$C132*(parametros!$F$4-MEMORIA_RESULTADOS!$I$260),2))</f>
        <v/>
      </c>
      <c r="BA132">
        <f>IF($A132="","",ROUND(SUMIFS(itens_Consumidos!$K$2:$K$200,itens_Consumidos!$A$2:$A$200,$A132),2))</f>
        <v/>
      </c>
      <c r="BB132">
        <f>IF(OR($A132="",Q132=""),"",ROUND(MAX(Q132-BA132,0),2))</f>
        <v/>
      </c>
      <c r="BC132">
        <f>IF(OR($A132="",Q132="",MEMORIA_RESULTADOS!$I$261=""),"",ROUND(Q132*$C132*(MEMORIA_RESULTADOS!$I$261-1),2))</f>
        <v/>
      </c>
      <c r="BD132">
        <f>IF(OR($A132="",BB132="",MEMORIA_RESULTADOS!$I$261=""),"",ROUND(BB132*$C132*(parametros!$F$5-MEMORIA_RESULTADOS!$I$261),2))</f>
        <v/>
      </c>
      <c r="BE132">
        <f>IF($A132="","",ROUND(SUMIFS(itens_Consumidos!$M$2:$M$200,itens_Consumidos!$A$2:$A$200,$A132),2))</f>
        <v/>
      </c>
      <c r="BF132">
        <f>IF(OR($A132="",S132=""),"",ROUND(MAX(S132-BE132,0),2))</f>
        <v/>
      </c>
      <c r="BG132">
        <f>IF(OR($A132="",S132="",MEMORIA_RESULTADOS!$I$262=""),"",ROUND(S132*$C132*(MEMORIA_RESULTADOS!$I$262-1),2))</f>
        <v/>
      </c>
      <c r="BH132">
        <f>IF(OR($A132="",BF132="",MEMORIA_RESULTADOS!$I$262=""),"",ROUND(BF132*$C132*(parametros!$F$6-MEMORIA_RESULTADOS!$I$262),2))</f>
        <v/>
      </c>
    </row>
    <row r="133">
      <c r="A133" s="86" t="n"/>
      <c r="B133" s="87">
        <f>IF(AND(LEN(TRIM($A133))=4,LEFT(TRIM($A133),1)="N",ISNUMBER(--MID(TRIM($A133),2,3)),ISERROR(FIND(".",$A133)),ISERROR(FIND(",",$A133)),ISERROR(FIND("-",$A133)),ISERROR(FIND("+",$A133)),ISERROR(SEARCH("E",$A133,2)),ISERROR(FIND(" ",TRIM($A133)))),0,"")</f>
        <v/>
      </c>
      <c r="C133" s="339" t="n"/>
      <c r="D133" s="335">
        <f>IF(AND(A133="",A132&lt;&gt;"",COUNTIF(A134:$A$200,"&lt;&gt;")=0),ROUND(SUMIF($A$2:A132,"&lt;&gt;",$D$2:D132),2),IF(OR(A133="",B133="",C133=""),"",ROUND(B133*C133,2)))</f>
        <v/>
      </c>
      <c r="E133" s="89" t="n"/>
      <c r="F133" s="335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 t="n"/>
      <c r="H133" s="335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 t="n"/>
      <c r="J133" s="335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 t="n"/>
      <c r="L133" s="335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>
        <f>IF(OR(posicao_contratual!J133="",posicao_contratual!N133=""),"",ROUND(MAX(posicao_contratual!J133+posicao_contratual!H133-posicao_contratual!N133,0),2))</f>
        <v/>
      </c>
      <c r="N133" s="335">
        <f>IF(AND(A133="",A132&lt;&gt;"",COUNTIF(A134:$A$200,"&lt;&gt;")=0),ROUND(SUMIF($A$2:A132,"&lt;&gt;",$N$2:N132),2),IF(OR(M133="",C133="",NOT(ISNUMBER($Z$3))),"",ROUND(M133*C133*$Z$3,2)))</f>
        <v/>
      </c>
      <c r="O133" s="90">
        <f>IF(OR(posicao_contratual!N133="",posicao_contratual!R133=""),"",ROUND(MAX(posicao_contratual!N133+posicao_contratual!L133-posicao_contratual!R133,0),2))</f>
        <v/>
      </c>
      <c r="P133" s="335">
        <f>IF(AND(A133="",A132&lt;&gt;"",COUNTIF(A134:$A$200,"&lt;&gt;")=0),ROUND(SUMIF($A$2:A132,"&lt;&gt;",$P$2:P132),2),IF(OR(O133="",C133="",NOT(ISNUMBER($Z$4))),"",ROUND(O133*C133*$Z$4,2)))</f>
        <v/>
      </c>
      <c r="Q133" s="90">
        <f>IF(OR(posicao_contratual!R133="",posicao_contratual!V133=""),"",ROUND(MAX(posicao_contratual!R133+posicao_contratual!P133-posicao_contratual!V133,0),2))</f>
        <v/>
      </c>
      <c r="R133" s="335">
        <f>IF(AND(A133="",A132&lt;&gt;"",COUNTIF(A134:$A$200,"&lt;&gt;")=0),ROUND(SUMIF($A$2:A132,"&lt;&gt;",$R$2:R132),2),IF(OR(Q133="",C133="",NOT(ISNUMBER($Z$5))),"",ROUND(Q133*C133*$Z$5,2)))</f>
        <v/>
      </c>
      <c r="S133" s="43" t="n"/>
      <c r="T133" s="342" t="n"/>
      <c r="U133" s="91">
        <f>IF(AND(A133="",A132&lt;&gt;"",COUNTIF(A134:$A$200,"&lt;&gt;")=0),"TOTAL",IF(A133="","",posicao_contratual!X133))</f>
        <v/>
      </c>
      <c r="V133" s="91">
        <f>IF(A133="","",posicao_contratual!X133)</f>
        <v/>
      </c>
      <c r="W133" s="13" t="n"/>
      <c r="X133" s="13" t="n"/>
      <c r="Y133" s="13" t="n"/>
      <c r="Z133" s="13" t="n"/>
      <c r="AA133" s="13" t="n"/>
      <c r="AB133" s="90">
        <f>IF(OR(A133="",posicao_contratual!E133="",posicao_contratual!J133=""),"",ROUND(MAX(posicao_contratual!E133-posicao_contratual!J133,0),2))</f>
        <v/>
      </c>
      <c r="AC133" s="335">
        <f>IF(AND(A133="",A132&lt;&gt;"",COUNTIF(A134:$A$200,"&lt;&gt;")=0),ROUND(SUMIF($A$2:A132,"&lt;&gt;",$AC$2:AC132),2),IF(OR(AB133="",C133="",NOT(ISNUMBER($Z$2))),"",ROUND(AB133*C133*$Z$2,2)))</f>
        <v/>
      </c>
      <c r="AD133" s="155">
        <f>IF(A133="","",posicao_contratual!E133)</f>
        <v/>
      </c>
      <c r="AE133" s="155">
        <f>IF(A133="","",posicao_contratual!I133)</f>
        <v/>
      </c>
      <c r="AF133" s="155">
        <f>IF(A133="","",posicao_contratual!M133)</f>
        <v/>
      </c>
      <c r="AG133" s="155">
        <f>IF(A133="","",posicao_contratual!Q133)</f>
        <v/>
      </c>
      <c r="AH133" s="155">
        <f>IF(A133="","",posicao_contratual!U133)</f>
        <v/>
      </c>
      <c r="AI133" s="155">
        <f>IF(A133="","",posicao_contratual!G133)</f>
        <v/>
      </c>
      <c r="AJ133" s="155">
        <f>IF(A133="","",posicao_contratual!K133)</f>
        <v/>
      </c>
      <c r="AK133" s="155">
        <f>IF(A133="","",posicao_contratual!O133)</f>
        <v/>
      </c>
      <c r="AL133" s="155">
        <f>IF(A133="","",posicao_contratual!S133)</f>
        <v/>
      </c>
      <c r="AM133" s="155">
        <f>IF(A133="","",posicao_contratual!W133)</f>
        <v/>
      </c>
      <c r="AN133" s="156">
        <f>IF(A133="","",posicao_contratual!X133)</f>
        <v/>
      </c>
      <c r="AO133">
        <f>IF($A133="","",ROUND(SUMIFS(itens_Consumidos!$E$2:$E$200,itens_Consumidos!$A$2:$A$200,$A133),2))</f>
        <v/>
      </c>
      <c r="AP133">
        <f>IF(OR($A133="",AB133=""),"",ROUND(MAX(AB133-AO133,0),2))</f>
        <v/>
      </c>
      <c r="AQ133">
        <f>IF(OR($A133="",AB133="",MEMORIA_RESULTADOS!$I$258=""),"",ROUND(AB133*$C133*(MEMORIA_RESULTADOS!$I$258-1),2))</f>
        <v/>
      </c>
      <c r="AR133">
        <f>IF(OR($A133="",AP133="",MEMORIA_RESULTADOS!$I$258=""),"",ROUND(AP133*$C133*(parametros!$F$2-MEMORIA_RESULTADOS!$I$258),2))</f>
        <v/>
      </c>
      <c r="AS133">
        <f>IF($A133="","",ROUND(SUMIFS(itens_Consumidos!$G$2:$G$200,itens_Consumidos!$A$2:$A$200,$A133),2))</f>
        <v/>
      </c>
      <c r="AT133">
        <f>IF(OR($A133="",M133=""),"",ROUND(MAX(M133-AS133,0),2))</f>
        <v/>
      </c>
      <c r="AU133">
        <f>IF(OR($A133="",M133="",MEMORIA_RESULTADOS!$I$259=""),"",ROUND(M133*$C133*(MEMORIA_RESULTADOS!$I$259-1),2))</f>
        <v/>
      </c>
      <c r="AV133">
        <f>IF(OR($A133="",AT133="",MEMORIA_RESULTADOS!$I$259=""),"",ROUND(AT133*$C133*(parametros!$F$3-MEMORIA_RESULTADOS!$I$259),2))</f>
        <v/>
      </c>
      <c r="AW133">
        <f>IF($A133="","",ROUND(SUMIFS(itens_Consumidos!$I$2:$I$200,itens_Consumidos!$A$2:$A$200,$A133),2))</f>
        <v/>
      </c>
      <c r="AX133">
        <f>IF(OR($A133="",O133=""),"",ROUND(MAX(O133-AW133,0),2))</f>
        <v/>
      </c>
      <c r="AY133">
        <f>IF(OR($A133="",O133="",MEMORIA_RESULTADOS!$I$260=""),"",ROUND(O133*$C133*(MEMORIA_RESULTADOS!$I$260-1),2))</f>
        <v/>
      </c>
      <c r="AZ133">
        <f>IF(OR($A133="",AX133="",MEMORIA_RESULTADOS!$I$260=""),"",ROUND(AX133*$C133*(parametros!$F$4-MEMORIA_RESULTADOS!$I$260),2))</f>
        <v/>
      </c>
      <c r="BA133">
        <f>IF($A133="","",ROUND(SUMIFS(itens_Consumidos!$K$2:$K$200,itens_Consumidos!$A$2:$A$200,$A133),2))</f>
        <v/>
      </c>
      <c r="BB133">
        <f>IF(OR($A133="",Q133=""),"",ROUND(MAX(Q133-BA133,0),2))</f>
        <v/>
      </c>
      <c r="BC133">
        <f>IF(OR($A133="",Q133="",MEMORIA_RESULTADOS!$I$261=""),"",ROUND(Q133*$C133*(MEMORIA_RESULTADOS!$I$261-1),2))</f>
        <v/>
      </c>
      <c r="BD133">
        <f>IF(OR($A133="",BB133="",MEMORIA_RESULTADOS!$I$261=""),"",ROUND(BB133*$C133*(parametros!$F$5-MEMORIA_RESULTADOS!$I$261),2))</f>
        <v/>
      </c>
      <c r="BE133">
        <f>IF($A133="","",ROUND(SUMIFS(itens_Consumidos!$M$2:$M$200,itens_Consumidos!$A$2:$A$200,$A133),2))</f>
        <v/>
      </c>
      <c r="BF133">
        <f>IF(OR($A133="",S133=""),"",ROUND(MAX(S133-BE133,0),2))</f>
        <v/>
      </c>
      <c r="BG133">
        <f>IF(OR($A133="",S133="",MEMORIA_RESULTADOS!$I$262=""),"",ROUND(S133*$C133*(MEMORIA_RESULTADOS!$I$262-1),2))</f>
        <v/>
      </c>
      <c r="BH133">
        <f>IF(OR($A133="",BF133="",MEMORIA_RESULTADOS!$I$262=""),"",ROUND(BF133*$C133*(parametros!$F$6-MEMORIA_RESULTADOS!$I$262),2))</f>
        <v/>
      </c>
    </row>
    <row r="134">
      <c r="A134" s="86" t="n"/>
      <c r="B134" s="87">
        <f>IF(AND(LEN(TRIM($A134))=4,LEFT(TRIM($A134),1)="N",ISNUMBER(--MID(TRIM($A134),2,3)),ISERROR(FIND(".",$A134)),ISERROR(FIND(",",$A134)),ISERROR(FIND("-",$A134)),ISERROR(FIND("+",$A134)),ISERROR(SEARCH("E",$A134,2)),ISERROR(FIND(" ",TRIM($A134)))),0,"")</f>
        <v/>
      </c>
      <c r="C134" s="339" t="n"/>
      <c r="D134" s="335">
        <f>IF(AND(A134="",A133&lt;&gt;"",COUNTIF(A135:$A$200,"&lt;&gt;")=0),ROUND(SUMIF($A$2:A133,"&lt;&gt;",$D$2:D133),2),IF(OR(A134="",B134="",C134=""),"",ROUND(B134*C134,2)))</f>
        <v/>
      </c>
      <c r="E134" s="89" t="n"/>
      <c r="F134" s="335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 t="n"/>
      <c r="H134" s="335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 t="n"/>
      <c r="J134" s="335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 t="n"/>
      <c r="L134" s="335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>
        <f>IF(OR(posicao_contratual!J134="",posicao_contratual!N134=""),"",ROUND(MAX(posicao_contratual!J134+posicao_contratual!H134-posicao_contratual!N134,0),2))</f>
        <v/>
      </c>
      <c r="N134" s="335">
        <f>IF(AND(A134="",A133&lt;&gt;"",COUNTIF(A135:$A$200,"&lt;&gt;")=0),ROUND(SUMIF($A$2:A133,"&lt;&gt;",$N$2:N133),2),IF(OR(M134="",C134="",NOT(ISNUMBER($Z$3))),"",ROUND(M134*C134*$Z$3,2)))</f>
        <v/>
      </c>
      <c r="O134" s="90">
        <f>IF(OR(posicao_contratual!N134="",posicao_contratual!R134=""),"",ROUND(MAX(posicao_contratual!N134+posicao_contratual!L134-posicao_contratual!R134,0),2))</f>
        <v/>
      </c>
      <c r="P134" s="335">
        <f>IF(AND(A134="",A133&lt;&gt;"",COUNTIF(A135:$A$200,"&lt;&gt;")=0),ROUND(SUMIF($A$2:A133,"&lt;&gt;",$P$2:P133),2),IF(OR(O134="",C134="",NOT(ISNUMBER($Z$4))),"",ROUND(O134*C134*$Z$4,2)))</f>
        <v/>
      </c>
      <c r="Q134" s="90">
        <f>IF(OR(posicao_contratual!R134="",posicao_contratual!V134=""),"",ROUND(MAX(posicao_contratual!R134+posicao_contratual!P134-posicao_contratual!V134,0),2))</f>
        <v/>
      </c>
      <c r="R134" s="335">
        <f>IF(AND(A134="",A133&lt;&gt;"",COUNTIF(A135:$A$200,"&lt;&gt;")=0),ROUND(SUMIF($A$2:A133,"&lt;&gt;",$R$2:R133),2),IF(OR(Q134="",C134="",NOT(ISNUMBER($Z$5))),"",ROUND(Q134*C134*$Z$5,2)))</f>
        <v/>
      </c>
      <c r="S134" s="43" t="n"/>
      <c r="T134" s="342" t="n"/>
      <c r="U134" s="91">
        <f>IF(AND(A134="",A133&lt;&gt;"",COUNTIF(A135:$A$200,"&lt;&gt;")=0),"TOTAL",IF(A134="","",posicao_contratual!X134))</f>
        <v/>
      </c>
      <c r="V134" s="91">
        <f>IF(A134="","",posicao_contratual!X134)</f>
        <v/>
      </c>
      <c r="W134" s="13" t="n"/>
      <c r="X134" s="13" t="n"/>
      <c r="Y134" s="13" t="n"/>
      <c r="Z134" s="13" t="n"/>
      <c r="AA134" s="13" t="n"/>
      <c r="AB134" s="90">
        <f>IF(OR(A134="",posicao_contratual!E134="",posicao_contratual!J134=""),"",ROUND(MAX(posicao_contratual!E134-posicao_contratual!J134,0),2))</f>
        <v/>
      </c>
      <c r="AC134" s="335">
        <f>IF(AND(A134="",A133&lt;&gt;"",COUNTIF(A135:$A$200,"&lt;&gt;")=0),ROUND(SUMIF($A$2:A133,"&lt;&gt;",$AC$2:AC133),2),IF(OR(AB134="",C134="",NOT(ISNUMBER($Z$2))),"",ROUND(AB134*C134*$Z$2,2)))</f>
        <v/>
      </c>
      <c r="AD134" s="155">
        <f>IF(A134="","",posicao_contratual!E134)</f>
        <v/>
      </c>
      <c r="AE134" s="155">
        <f>IF(A134="","",posicao_contratual!I134)</f>
        <v/>
      </c>
      <c r="AF134" s="155">
        <f>IF(A134="","",posicao_contratual!M134)</f>
        <v/>
      </c>
      <c r="AG134" s="155">
        <f>IF(A134="","",posicao_contratual!Q134)</f>
        <v/>
      </c>
      <c r="AH134" s="155">
        <f>IF(A134="","",posicao_contratual!U134)</f>
        <v/>
      </c>
      <c r="AI134" s="155">
        <f>IF(A134="","",posicao_contratual!G134)</f>
        <v/>
      </c>
      <c r="AJ134" s="155">
        <f>IF(A134="","",posicao_contratual!K134)</f>
        <v/>
      </c>
      <c r="AK134" s="155">
        <f>IF(A134="","",posicao_contratual!O134)</f>
        <v/>
      </c>
      <c r="AL134" s="155">
        <f>IF(A134="","",posicao_contratual!S134)</f>
        <v/>
      </c>
      <c r="AM134" s="155">
        <f>IF(A134="","",posicao_contratual!W134)</f>
        <v/>
      </c>
      <c r="AN134" s="156">
        <f>IF(A134="","",posicao_contratual!X134)</f>
        <v/>
      </c>
      <c r="AO134">
        <f>IF($A134="","",ROUND(SUMIFS(itens_Consumidos!$E$2:$E$200,itens_Consumidos!$A$2:$A$200,$A134),2))</f>
        <v/>
      </c>
      <c r="AP134">
        <f>IF(OR($A134="",AB134=""),"",ROUND(MAX(AB134-AO134,0),2))</f>
        <v/>
      </c>
      <c r="AQ134">
        <f>IF(OR($A134="",AB134="",MEMORIA_RESULTADOS!$I$258=""),"",ROUND(AB134*$C134*(MEMORIA_RESULTADOS!$I$258-1),2))</f>
        <v/>
      </c>
      <c r="AR134">
        <f>IF(OR($A134="",AP134="",MEMORIA_RESULTADOS!$I$258=""),"",ROUND(AP134*$C134*(parametros!$F$2-MEMORIA_RESULTADOS!$I$258),2))</f>
        <v/>
      </c>
      <c r="AS134">
        <f>IF($A134="","",ROUND(SUMIFS(itens_Consumidos!$G$2:$G$200,itens_Consumidos!$A$2:$A$200,$A134),2))</f>
        <v/>
      </c>
      <c r="AT134">
        <f>IF(OR($A134="",M134=""),"",ROUND(MAX(M134-AS134,0),2))</f>
        <v/>
      </c>
      <c r="AU134">
        <f>IF(OR($A134="",M134="",MEMORIA_RESULTADOS!$I$259=""),"",ROUND(M134*$C134*(MEMORIA_RESULTADOS!$I$259-1),2))</f>
        <v/>
      </c>
      <c r="AV134">
        <f>IF(OR($A134="",AT134="",MEMORIA_RESULTADOS!$I$259=""),"",ROUND(AT134*$C134*(parametros!$F$3-MEMORIA_RESULTADOS!$I$259),2))</f>
        <v/>
      </c>
      <c r="AW134">
        <f>IF($A134="","",ROUND(SUMIFS(itens_Consumidos!$I$2:$I$200,itens_Consumidos!$A$2:$A$200,$A134),2))</f>
        <v/>
      </c>
      <c r="AX134">
        <f>IF(OR($A134="",O134=""),"",ROUND(MAX(O134-AW134,0),2))</f>
        <v/>
      </c>
      <c r="AY134">
        <f>IF(OR($A134="",O134="",MEMORIA_RESULTADOS!$I$260=""),"",ROUND(O134*$C134*(MEMORIA_RESULTADOS!$I$260-1),2))</f>
        <v/>
      </c>
      <c r="AZ134">
        <f>IF(OR($A134="",AX134="",MEMORIA_RESULTADOS!$I$260=""),"",ROUND(AX134*$C134*(parametros!$F$4-MEMORIA_RESULTADOS!$I$260),2))</f>
        <v/>
      </c>
      <c r="BA134">
        <f>IF($A134="","",ROUND(SUMIFS(itens_Consumidos!$K$2:$K$200,itens_Consumidos!$A$2:$A$200,$A134),2))</f>
        <v/>
      </c>
      <c r="BB134">
        <f>IF(OR($A134="",Q134=""),"",ROUND(MAX(Q134-BA134,0),2))</f>
        <v/>
      </c>
      <c r="BC134">
        <f>IF(OR($A134="",Q134="",MEMORIA_RESULTADOS!$I$261=""),"",ROUND(Q134*$C134*(MEMORIA_RESULTADOS!$I$261-1),2))</f>
        <v/>
      </c>
      <c r="BD134">
        <f>IF(OR($A134="",BB134="",MEMORIA_RESULTADOS!$I$261=""),"",ROUND(BB134*$C134*(parametros!$F$5-MEMORIA_RESULTADOS!$I$261),2))</f>
        <v/>
      </c>
      <c r="BE134">
        <f>IF($A134="","",ROUND(SUMIFS(itens_Consumidos!$M$2:$M$200,itens_Consumidos!$A$2:$A$200,$A134),2))</f>
        <v/>
      </c>
      <c r="BF134">
        <f>IF(OR($A134="",S134=""),"",ROUND(MAX(S134-BE134,0),2))</f>
        <v/>
      </c>
      <c r="BG134">
        <f>IF(OR($A134="",S134="",MEMORIA_RESULTADOS!$I$262=""),"",ROUND(S134*$C134*(MEMORIA_RESULTADOS!$I$262-1),2))</f>
        <v/>
      </c>
      <c r="BH134">
        <f>IF(OR($A134="",BF134="",MEMORIA_RESULTADOS!$I$262=""),"",ROUND(BF134*$C134*(parametros!$F$6-MEMORIA_RESULTADOS!$I$262),2))</f>
        <v/>
      </c>
    </row>
    <row r="135">
      <c r="A135" s="86" t="n"/>
      <c r="B135" s="87">
        <f>IF(AND(LEN(TRIM($A135))=4,LEFT(TRIM($A135),1)="N",ISNUMBER(--MID(TRIM($A135),2,3)),ISERROR(FIND(".",$A135)),ISERROR(FIND(",",$A135)),ISERROR(FIND("-",$A135)),ISERROR(FIND("+",$A135)),ISERROR(SEARCH("E",$A135,2)),ISERROR(FIND(" ",TRIM($A135)))),0,"")</f>
        <v/>
      </c>
      <c r="C135" s="339" t="n"/>
      <c r="D135" s="335">
        <f>IF(AND(A135="",A134&lt;&gt;"",COUNTIF(A136:$A$200,"&lt;&gt;")=0),ROUND(SUMIF($A$2:A134,"&lt;&gt;",$D$2:D134),2),IF(OR(A135="",B135="",C135=""),"",ROUND(B135*C135,2)))</f>
        <v/>
      </c>
      <c r="E135" s="89" t="n"/>
      <c r="F135" s="335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 t="n"/>
      <c r="H135" s="335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 t="n"/>
      <c r="J135" s="335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 t="n"/>
      <c r="L135" s="335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>
        <f>IF(OR(posicao_contratual!J135="",posicao_contratual!N135=""),"",ROUND(MAX(posicao_contratual!J135+posicao_contratual!H135-posicao_contratual!N135,0),2))</f>
        <v/>
      </c>
      <c r="N135" s="335">
        <f>IF(AND(A135="",A134&lt;&gt;"",COUNTIF(A136:$A$200,"&lt;&gt;")=0),ROUND(SUMIF($A$2:A134,"&lt;&gt;",$N$2:N134),2),IF(OR(M135="",C135="",NOT(ISNUMBER($Z$3))),"",ROUND(M135*C135*$Z$3,2)))</f>
        <v/>
      </c>
      <c r="O135" s="90">
        <f>IF(OR(posicao_contratual!N135="",posicao_contratual!R135=""),"",ROUND(MAX(posicao_contratual!N135+posicao_contratual!L135-posicao_contratual!R135,0),2))</f>
        <v/>
      </c>
      <c r="P135" s="335">
        <f>IF(AND(A135="",A134&lt;&gt;"",COUNTIF(A136:$A$200,"&lt;&gt;")=0),ROUND(SUMIF($A$2:A134,"&lt;&gt;",$P$2:P134),2),IF(OR(O135="",C135="",NOT(ISNUMBER($Z$4))),"",ROUND(O135*C135*$Z$4,2)))</f>
        <v/>
      </c>
      <c r="Q135" s="90">
        <f>IF(OR(posicao_contratual!R135="",posicao_contratual!V135=""),"",ROUND(MAX(posicao_contratual!R135+posicao_contratual!P135-posicao_contratual!V135,0),2))</f>
        <v/>
      </c>
      <c r="R135" s="335">
        <f>IF(AND(A135="",A134&lt;&gt;"",COUNTIF(A136:$A$200,"&lt;&gt;")=0),ROUND(SUMIF($A$2:A134,"&lt;&gt;",$R$2:R134),2),IF(OR(Q135="",C135="",NOT(ISNUMBER($Z$5))),"",ROUND(Q135*C135*$Z$5,2)))</f>
        <v/>
      </c>
      <c r="S135" s="43" t="n"/>
      <c r="T135" s="342" t="n"/>
      <c r="U135" s="91">
        <f>IF(AND(A135="",A134&lt;&gt;"",COUNTIF(A136:$A$200,"&lt;&gt;")=0),"TOTAL",IF(A135="","",posicao_contratual!X135))</f>
        <v/>
      </c>
      <c r="V135" s="91">
        <f>IF(A135="","",posicao_contratual!X135)</f>
        <v/>
      </c>
      <c r="W135" s="13" t="n"/>
      <c r="X135" s="13" t="n"/>
      <c r="Y135" s="13" t="n"/>
      <c r="Z135" s="13" t="n"/>
      <c r="AA135" s="13" t="n"/>
      <c r="AB135" s="90">
        <f>IF(OR(A135="",posicao_contratual!E135="",posicao_contratual!J135=""),"",ROUND(MAX(posicao_contratual!E135-posicao_contratual!J135,0),2))</f>
        <v/>
      </c>
      <c r="AC135" s="335">
        <f>IF(AND(A135="",A134&lt;&gt;"",COUNTIF(A136:$A$200,"&lt;&gt;")=0),ROUND(SUMIF($A$2:A134,"&lt;&gt;",$AC$2:AC134),2),IF(OR(AB135="",C135="",NOT(ISNUMBER($Z$2))),"",ROUND(AB135*C135*$Z$2,2)))</f>
        <v/>
      </c>
      <c r="AD135" s="155">
        <f>IF(A135="","",posicao_contratual!E135)</f>
        <v/>
      </c>
      <c r="AE135" s="155">
        <f>IF(A135="","",posicao_contratual!I135)</f>
        <v/>
      </c>
      <c r="AF135" s="155">
        <f>IF(A135="","",posicao_contratual!M135)</f>
        <v/>
      </c>
      <c r="AG135" s="155">
        <f>IF(A135="","",posicao_contratual!Q135)</f>
        <v/>
      </c>
      <c r="AH135" s="155">
        <f>IF(A135="","",posicao_contratual!U135)</f>
        <v/>
      </c>
      <c r="AI135" s="155">
        <f>IF(A135="","",posicao_contratual!G135)</f>
        <v/>
      </c>
      <c r="AJ135" s="155">
        <f>IF(A135="","",posicao_contratual!K135)</f>
        <v/>
      </c>
      <c r="AK135" s="155">
        <f>IF(A135="","",posicao_contratual!O135)</f>
        <v/>
      </c>
      <c r="AL135" s="155">
        <f>IF(A135="","",posicao_contratual!S135)</f>
        <v/>
      </c>
      <c r="AM135" s="155">
        <f>IF(A135="","",posicao_contratual!W135)</f>
        <v/>
      </c>
      <c r="AN135" s="156">
        <f>IF(A135="","",posicao_contratual!X135)</f>
        <v/>
      </c>
      <c r="AO135">
        <f>IF($A135="","",ROUND(SUMIFS(itens_Consumidos!$E$2:$E$200,itens_Consumidos!$A$2:$A$200,$A135),2))</f>
        <v/>
      </c>
      <c r="AP135">
        <f>IF(OR($A135="",AB135=""),"",ROUND(MAX(AB135-AO135,0),2))</f>
        <v/>
      </c>
      <c r="AQ135">
        <f>IF(OR($A135="",AB135="",MEMORIA_RESULTADOS!$I$258=""),"",ROUND(AB135*$C135*(MEMORIA_RESULTADOS!$I$258-1),2))</f>
        <v/>
      </c>
      <c r="AR135">
        <f>IF(OR($A135="",AP135="",MEMORIA_RESULTADOS!$I$258=""),"",ROUND(AP135*$C135*(parametros!$F$2-MEMORIA_RESULTADOS!$I$258),2))</f>
        <v/>
      </c>
      <c r="AS135">
        <f>IF($A135="","",ROUND(SUMIFS(itens_Consumidos!$G$2:$G$200,itens_Consumidos!$A$2:$A$200,$A135),2))</f>
        <v/>
      </c>
      <c r="AT135">
        <f>IF(OR($A135="",M135=""),"",ROUND(MAX(M135-AS135,0),2))</f>
        <v/>
      </c>
      <c r="AU135">
        <f>IF(OR($A135="",M135="",MEMORIA_RESULTADOS!$I$259=""),"",ROUND(M135*$C135*(MEMORIA_RESULTADOS!$I$259-1),2))</f>
        <v/>
      </c>
      <c r="AV135">
        <f>IF(OR($A135="",AT135="",MEMORIA_RESULTADOS!$I$259=""),"",ROUND(AT135*$C135*(parametros!$F$3-MEMORIA_RESULTADOS!$I$259),2))</f>
        <v/>
      </c>
      <c r="AW135">
        <f>IF($A135="","",ROUND(SUMIFS(itens_Consumidos!$I$2:$I$200,itens_Consumidos!$A$2:$A$200,$A135),2))</f>
        <v/>
      </c>
      <c r="AX135">
        <f>IF(OR($A135="",O135=""),"",ROUND(MAX(O135-AW135,0),2))</f>
        <v/>
      </c>
      <c r="AY135">
        <f>IF(OR($A135="",O135="",MEMORIA_RESULTADOS!$I$260=""),"",ROUND(O135*$C135*(MEMORIA_RESULTADOS!$I$260-1),2))</f>
        <v/>
      </c>
      <c r="AZ135">
        <f>IF(OR($A135="",AX135="",MEMORIA_RESULTADOS!$I$260=""),"",ROUND(AX135*$C135*(parametros!$F$4-MEMORIA_RESULTADOS!$I$260),2))</f>
        <v/>
      </c>
      <c r="BA135">
        <f>IF($A135="","",ROUND(SUMIFS(itens_Consumidos!$K$2:$K$200,itens_Consumidos!$A$2:$A$200,$A135),2))</f>
        <v/>
      </c>
      <c r="BB135">
        <f>IF(OR($A135="",Q135=""),"",ROUND(MAX(Q135-BA135,0),2))</f>
        <v/>
      </c>
      <c r="BC135">
        <f>IF(OR($A135="",Q135="",MEMORIA_RESULTADOS!$I$261=""),"",ROUND(Q135*$C135*(MEMORIA_RESULTADOS!$I$261-1),2))</f>
        <v/>
      </c>
      <c r="BD135">
        <f>IF(OR($A135="",BB135="",MEMORIA_RESULTADOS!$I$261=""),"",ROUND(BB135*$C135*(parametros!$F$5-MEMORIA_RESULTADOS!$I$261),2))</f>
        <v/>
      </c>
      <c r="BE135">
        <f>IF($A135="","",ROUND(SUMIFS(itens_Consumidos!$M$2:$M$200,itens_Consumidos!$A$2:$A$200,$A135),2))</f>
        <v/>
      </c>
      <c r="BF135">
        <f>IF(OR($A135="",S135=""),"",ROUND(MAX(S135-BE135,0),2))</f>
        <v/>
      </c>
      <c r="BG135">
        <f>IF(OR($A135="",S135="",MEMORIA_RESULTADOS!$I$262=""),"",ROUND(S135*$C135*(MEMORIA_RESULTADOS!$I$262-1),2))</f>
        <v/>
      </c>
      <c r="BH135">
        <f>IF(OR($A135="",BF135="",MEMORIA_RESULTADOS!$I$262=""),"",ROUND(BF135*$C135*(parametros!$F$6-MEMORIA_RESULTADOS!$I$262),2))</f>
        <v/>
      </c>
    </row>
    <row r="136">
      <c r="A136" s="86" t="n"/>
      <c r="B136" s="87">
        <f>IF(AND(LEN(TRIM($A136))=4,LEFT(TRIM($A136),1)="N",ISNUMBER(--MID(TRIM($A136),2,3)),ISERROR(FIND(".",$A136)),ISERROR(FIND(",",$A136)),ISERROR(FIND("-",$A136)),ISERROR(FIND("+",$A136)),ISERROR(SEARCH("E",$A136,2)),ISERROR(FIND(" ",TRIM($A136)))),0,"")</f>
        <v/>
      </c>
      <c r="C136" s="339" t="n"/>
      <c r="D136" s="335">
        <f>IF(AND(A136="",A135&lt;&gt;"",COUNTIF(A137:$A$200,"&lt;&gt;")=0),ROUND(SUMIF($A$2:A135,"&lt;&gt;",$D$2:D135),2),IF(OR(A136="",B136="",C136=""),"",ROUND(B136*C136,2)))</f>
        <v/>
      </c>
      <c r="E136" s="89" t="n"/>
      <c r="F136" s="335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 t="n"/>
      <c r="H136" s="335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 t="n"/>
      <c r="J136" s="335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 t="n"/>
      <c r="L136" s="335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>
        <f>IF(OR(posicao_contratual!J136="",posicao_contratual!N136=""),"",ROUND(MAX(posicao_contratual!J136+posicao_contratual!H136-posicao_contratual!N136,0),2))</f>
        <v/>
      </c>
      <c r="N136" s="335">
        <f>IF(AND(A136="",A135&lt;&gt;"",COUNTIF(A137:$A$200,"&lt;&gt;")=0),ROUND(SUMIF($A$2:A135,"&lt;&gt;",$N$2:N135),2),IF(OR(M136="",C136="",NOT(ISNUMBER($Z$3))),"",ROUND(M136*C136*$Z$3,2)))</f>
        <v/>
      </c>
      <c r="O136" s="90">
        <f>IF(OR(posicao_contratual!N136="",posicao_contratual!R136=""),"",ROUND(MAX(posicao_contratual!N136+posicao_contratual!L136-posicao_contratual!R136,0),2))</f>
        <v/>
      </c>
      <c r="P136" s="335">
        <f>IF(AND(A136="",A135&lt;&gt;"",COUNTIF(A137:$A$200,"&lt;&gt;")=0),ROUND(SUMIF($A$2:A135,"&lt;&gt;",$P$2:P135),2),IF(OR(O136="",C136="",NOT(ISNUMBER($Z$4))),"",ROUND(O136*C136*$Z$4,2)))</f>
        <v/>
      </c>
      <c r="Q136" s="90">
        <f>IF(OR(posicao_contratual!R136="",posicao_contratual!V136=""),"",ROUND(MAX(posicao_contratual!R136+posicao_contratual!P136-posicao_contratual!V136,0),2))</f>
        <v/>
      </c>
      <c r="R136" s="335">
        <f>IF(AND(A136="",A135&lt;&gt;"",COUNTIF(A137:$A$200,"&lt;&gt;")=0),ROUND(SUMIF($A$2:A135,"&lt;&gt;",$R$2:R135),2),IF(OR(Q136="",C136="",NOT(ISNUMBER($Z$5))),"",ROUND(Q136*C136*$Z$5,2)))</f>
        <v/>
      </c>
      <c r="S136" s="43" t="n"/>
      <c r="T136" s="342" t="n"/>
      <c r="U136" s="91">
        <f>IF(AND(A136="",A135&lt;&gt;"",COUNTIF(A137:$A$200,"&lt;&gt;")=0),"TOTAL",IF(A136="","",posicao_contratual!X136))</f>
        <v/>
      </c>
      <c r="V136" s="91">
        <f>IF(A136="","",posicao_contratual!X136)</f>
        <v/>
      </c>
      <c r="W136" s="13" t="n"/>
      <c r="X136" s="13" t="n"/>
      <c r="Y136" s="13" t="n"/>
      <c r="Z136" s="13" t="n"/>
      <c r="AA136" s="13" t="n"/>
      <c r="AB136" s="90">
        <f>IF(OR(A136="",posicao_contratual!E136="",posicao_contratual!J136=""),"",ROUND(MAX(posicao_contratual!E136-posicao_contratual!J136,0),2))</f>
        <v/>
      </c>
      <c r="AC136" s="335">
        <f>IF(AND(A136="",A135&lt;&gt;"",COUNTIF(A137:$A$200,"&lt;&gt;")=0),ROUND(SUMIF($A$2:A135,"&lt;&gt;",$AC$2:AC135),2),IF(OR(AB136="",C136="",NOT(ISNUMBER($Z$2))),"",ROUND(AB136*C136*$Z$2,2)))</f>
        <v/>
      </c>
      <c r="AD136" s="155">
        <f>IF(A136="","",posicao_contratual!E136)</f>
        <v/>
      </c>
      <c r="AE136" s="155">
        <f>IF(A136="","",posicao_contratual!I136)</f>
        <v/>
      </c>
      <c r="AF136" s="155">
        <f>IF(A136="","",posicao_contratual!M136)</f>
        <v/>
      </c>
      <c r="AG136" s="155">
        <f>IF(A136="","",posicao_contratual!Q136)</f>
        <v/>
      </c>
      <c r="AH136" s="155">
        <f>IF(A136="","",posicao_contratual!U136)</f>
        <v/>
      </c>
      <c r="AI136" s="155">
        <f>IF(A136="","",posicao_contratual!G136)</f>
        <v/>
      </c>
      <c r="AJ136" s="155">
        <f>IF(A136="","",posicao_contratual!K136)</f>
        <v/>
      </c>
      <c r="AK136" s="155">
        <f>IF(A136="","",posicao_contratual!O136)</f>
        <v/>
      </c>
      <c r="AL136" s="155">
        <f>IF(A136="","",posicao_contratual!S136)</f>
        <v/>
      </c>
      <c r="AM136" s="155">
        <f>IF(A136="","",posicao_contratual!W136)</f>
        <v/>
      </c>
      <c r="AN136" s="156">
        <f>IF(A136="","",posicao_contratual!X136)</f>
        <v/>
      </c>
      <c r="AO136">
        <f>IF($A136="","",ROUND(SUMIFS(itens_Consumidos!$E$2:$E$200,itens_Consumidos!$A$2:$A$200,$A136),2))</f>
        <v/>
      </c>
      <c r="AP136">
        <f>IF(OR($A136="",AB136=""),"",ROUND(MAX(AB136-AO136,0),2))</f>
        <v/>
      </c>
      <c r="AQ136">
        <f>IF(OR($A136="",AB136="",MEMORIA_RESULTADOS!$I$258=""),"",ROUND(AB136*$C136*(MEMORIA_RESULTADOS!$I$258-1),2))</f>
        <v/>
      </c>
      <c r="AR136">
        <f>IF(OR($A136="",AP136="",MEMORIA_RESULTADOS!$I$258=""),"",ROUND(AP136*$C136*(parametros!$F$2-MEMORIA_RESULTADOS!$I$258),2))</f>
        <v/>
      </c>
      <c r="AS136">
        <f>IF($A136="","",ROUND(SUMIFS(itens_Consumidos!$G$2:$G$200,itens_Consumidos!$A$2:$A$200,$A136),2))</f>
        <v/>
      </c>
      <c r="AT136">
        <f>IF(OR($A136="",M136=""),"",ROUND(MAX(M136-AS136,0),2))</f>
        <v/>
      </c>
      <c r="AU136">
        <f>IF(OR($A136="",M136="",MEMORIA_RESULTADOS!$I$259=""),"",ROUND(M136*$C136*(MEMORIA_RESULTADOS!$I$259-1),2))</f>
        <v/>
      </c>
      <c r="AV136">
        <f>IF(OR($A136="",AT136="",MEMORIA_RESULTADOS!$I$259=""),"",ROUND(AT136*$C136*(parametros!$F$3-MEMORIA_RESULTADOS!$I$259),2))</f>
        <v/>
      </c>
      <c r="AW136">
        <f>IF($A136="","",ROUND(SUMIFS(itens_Consumidos!$I$2:$I$200,itens_Consumidos!$A$2:$A$200,$A136),2))</f>
        <v/>
      </c>
      <c r="AX136">
        <f>IF(OR($A136="",O136=""),"",ROUND(MAX(O136-AW136,0),2))</f>
        <v/>
      </c>
      <c r="AY136">
        <f>IF(OR($A136="",O136="",MEMORIA_RESULTADOS!$I$260=""),"",ROUND(O136*$C136*(MEMORIA_RESULTADOS!$I$260-1),2))</f>
        <v/>
      </c>
      <c r="AZ136">
        <f>IF(OR($A136="",AX136="",MEMORIA_RESULTADOS!$I$260=""),"",ROUND(AX136*$C136*(parametros!$F$4-MEMORIA_RESULTADOS!$I$260),2))</f>
        <v/>
      </c>
      <c r="BA136">
        <f>IF($A136="","",ROUND(SUMIFS(itens_Consumidos!$K$2:$K$200,itens_Consumidos!$A$2:$A$200,$A136),2))</f>
        <v/>
      </c>
      <c r="BB136">
        <f>IF(OR($A136="",Q136=""),"",ROUND(MAX(Q136-BA136,0),2))</f>
        <v/>
      </c>
      <c r="BC136">
        <f>IF(OR($A136="",Q136="",MEMORIA_RESULTADOS!$I$261=""),"",ROUND(Q136*$C136*(MEMORIA_RESULTADOS!$I$261-1),2))</f>
        <v/>
      </c>
      <c r="BD136">
        <f>IF(OR($A136="",BB136="",MEMORIA_RESULTADOS!$I$261=""),"",ROUND(BB136*$C136*(parametros!$F$5-MEMORIA_RESULTADOS!$I$261),2))</f>
        <v/>
      </c>
      <c r="BE136">
        <f>IF($A136="","",ROUND(SUMIFS(itens_Consumidos!$M$2:$M$200,itens_Consumidos!$A$2:$A$200,$A136),2))</f>
        <v/>
      </c>
      <c r="BF136">
        <f>IF(OR($A136="",S136=""),"",ROUND(MAX(S136-BE136,0),2))</f>
        <v/>
      </c>
      <c r="BG136">
        <f>IF(OR($A136="",S136="",MEMORIA_RESULTADOS!$I$262=""),"",ROUND(S136*$C136*(MEMORIA_RESULTADOS!$I$262-1),2))</f>
        <v/>
      </c>
      <c r="BH136">
        <f>IF(OR($A136="",BF136="",MEMORIA_RESULTADOS!$I$262=""),"",ROUND(BF136*$C136*(parametros!$F$6-MEMORIA_RESULTADOS!$I$262),2))</f>
        <v/>
      </c>
    </row>
    <row r="137">
      <c r="A137" s="86" t="n"/>
      <c r="B137" s="87">
        <f>IF(AND(LEN(TRIM($A137))=4,LEFT(TRIM($A137),1)="N",ISNUMBER(--MID(TRIM($A137),2,3)),ISERROR(FIND(".",$A137)),ISERROR(FIND(",",$A137)),ISERROR(FIND("-",$A137)),ISERROR(FIND("+",$A137)),ISERROR(SEARCH("E",$A137,2)),ISERROR(FIND(" ",TRIM($A137)))),0,"")</f>
        <v/>
      </c>
      <c r="C137" s="339" t="n"/>
      <c r="D137" s="335">
        <f>IF(AND(A137="",A136&lt;&gt;"",COUNTIF(A138:$A$200,"&lt;&gt;")=0),ROUND(SUMIF($A$2:A136,"&lt;&gt;",$D$2:D136),2),IF(OR(A137="",B137="",C137=""),"",ROUND(B137*C137,2)))</f>
        <v/>
      </c>
      <c r="E137" s="89" t="n"/>
      <c r="F137" s="335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 t="n"/>
      <c r="H137" s="335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 t="n"/>
      <c r="J137" s="335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 t="n"/>
      <c r="L137" s="335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>
        <f>IF(OR(posicao_contratual!J137="",posicao_contratual!N137=""),"",ROUND(MAX(posicao_contratual!J137+posicao_contratual!H137-posicao_contratual!N137,0),2))</f>
        <v/>
      </c>
      <c r="N137" s="335">
        <f>IF(AND(A137="",A136&lt;&gt;"",COUNTIF(A138:$A$200,"&lt;&gt;")=0),ROUND(SUMIF($A$2:A136,"&lt;&gt;",$N$2:N136),2),IF(OR(M137="",C137="",NOT(ISNUMBER($Z$3))),"",ROUND(M137*C137*$Z$3,2)))</f>
        <v/>
      </c>
      <c r="O137" s="90">
        <f>IF(OR(posicao_contratual!N137="",posicao_contratual!R137=""),"",ROUND(MAX(posicao_contratual!N137+posicao_contratual!L137-posicao_contratual!R137,0),2))</f>
        <v/>
      </c>
      <c r="P137" s="335">
        <f>IF(AND(A137="",A136&lt;&gt;"",COUNTIF(A138:$A$200,"&lt;&gt;")=0),ROUND(SUMIF($A$2:A136,"&lt;&gt;",$P$2:P136),2),IF(OR(O137="",C137="",NOT(ISNUMBER($Z$4))),"",ROUND(O137*C137*$Z$4,2)))</f>
        <v/>
      </c>
      <c r="Q137" s="90">
        <f>IF(OR(posicao_contratual!R137="",posicao_contratual!V137=""),"",ROUND(MAX(posicao_contratual!R137+posicao_contratual!P137-posicao_contratual!V137,0),2))</f>
        <v/>
      </c>
      <c r="R137" s="335">
        <f>IF(AND(A137="",A136&lt;&gt;"",COUNTIF(A138:$A$200,"&lt;&gt;")=0),ROUND(SUMIF($A$2:A136,"&lt;&gt;",$R$2:R136),2),IF(OR(Q137="",C137="",NOT(ISNUMBER($Z$5))),"",ROUND(Q137*C137*$Z$5,2)))</f>
        <v/>
      </c>
      <c r="S137" s="43" t="n"/>
      <c r="T137" s="342" t="n"/>
      <c r="U137" s="91">
        <f>IF(AND(A137="",A136&lt;&gt;"",COUNTIF(A138:$A$200,"&lt;&gt;")=0),"TOTAL",IF(A137="","",posicao_contratual!X137))</f>
        <v/>
      </c>
      <c r="V137" s="91">
        <f>IF(A137="","",posicao_contratual!X137)</f>
        <v/>
      </c>
      <c r="W137" s="13" t="n"/>
      <c r="X137" s="13" t="n"/>
      <c r="Y137" s="13" t="n"/>
      <c r="Z137" s="13" t="n"/>
      <c r="AA137" s="13" t="n"/>
      <c r="AB137" s="90">
        <f>IF(OR(A137="",posicao_contratual!E137="",posicao_contratual!J137=""),"",ROUND(MAX(posicao_contratual!E137-posicao_contratual!J137,0),2))</f>
        <v/>
      </c>
      <c r="AC137" s="335">
        <f>IF(AND(A137="",A136&lt;&gt;"",COUNTIF(A138:$A$200,"&lt;&gt;")=0),ROUND(SUMIF($A$2:A136,"&lt;&gt;",$AC$2:AC136),2),IF(OR(AB137="",C137="",NOT(ISNUMBER($Z$2))),"",ROUND(AB137*C137*$Z$2,2)))</f>
        <v/>
      </c>
      <c r="AD137" s="155">
        <f>IF(A137="","",posicao_contratual!E137)</f>
        <v/>
      </c>
      <c r="AE137" s="155">
        <f>IF(A137="","",posicao_contratual!I137)</f>
        <v/>
      </c>
      <c r="AF137" s="155">
        <f>IF(A137="","",posicao_contratual!M137)</f>
        <v/>
      </c>
      <c r="AG137" s="155">
        <f>IF(A137="","",posicao_contratual!Q137)</f>
        <v/>
      </c>
      <c r="AH137" s="155">
        <f>IF(A137="","",posicao_contratual!U137)</f>
        <v/>
      </c>
      <c r="AI137" s="155">
        <f>IF(A137="","",posicao_contratual!G137)</f>
        <v/>
      </c>
      <c r="AJ137" s="155">
        <f>IF(A137="","",posicao_contratual!K137)</f>
        <v/>
      </c>
      <c r="AK137" s="155">
        <f>IF(A137="","",posicao_contratual!O137)</f>
        <v/>
      </c>
      <c r="AL137" s="155">
        <f>IF(A137="","",posicao_contratual!S137)</f>
        <v/>
      </c>
      <c r="AM137" s="155">
        <f>IF(A137="","",posicao_contratual!W137)</f>
        <v/>
      </c>
      <c r="AN137" s="156">
        <f>IF(A137="","",posicao_contratual!X137)</f>
        <v/>
      </c>
      <c r="AO137">
        <f>IF($A137="","",ROUND(SUMIFS(itens_Consumidos!$E$2:$E$200,itens_Consumidos!$A$2:$A$200,$A137),2))</f>
        <v/>
      </c>
      <c r="AP137">
        <f>IF(OR($A137="",AB137=""),"",ROUND(MAX(AB137-AO137,0),2))</f>
        <v/>
      </c>
      <c r="AQ137">
        <f>IF(OR($A137="",AB137="",MEMORIA_RESULTADOS!$I$258=""),"",ROUND(AB137*$C137*(MEMORIA_RESULTADOS!$I$258-1),2))</f>
        <v/>
      </c>
      <c r="AR137">
        <f>IF(OR($A137="",AP137="",MEMORIA_RESULTADOS!$I$258=""),"",ROUND(AP137*$C137*(parametros!$F$2-MEMORIA_RESULTADOS!$I$258),2))</f>
        <v/>
      </c>
      <c r="AS137">
        <f>IF($A137="","",ROUND(SUMIFS(itens_Consumidos!$G$2:$G$200,itens_Consumidos!$A$2:$A$200,$A137),2))</f>
        <v/>
      </c>
      <c r="AT137">
        <f>IF(OR($A137="",M137=""),"",ROUND(MAX(M137-AS137,0),2))</f>
        <v/>
      </c>
      <c r="AU137">
        <f>IF(OR($A137="",M137="",MEMORIA_RESULTADOS!$I$259=""),"",ROUND(M137*$C137*(MEMORIA_RESULTADOS!$I$259-1),2))</f>
        <v/>
      </c>
      <c r="AV137">
        <f>IF(OR($A137="",AT137="",MEMORIA_RESULTADOS!$I$259=""),"",ROUND(AT137*$C137*(parametros!$F$3-MEMORIA_RESULTADOS!$I$259),2))</f>
        <v/>
      </c>
      <c r="AW137">
        <f>IF($A137="","",ROUND(SUMIFS(itens_Consumidos!$I$2:$I$200,itens_Consumidos!$A$2:$A$200,$A137),2))</f>
        <v/>
      </c>
      <c r="AX137">
        <f>IF(OR($A137="",O137=""),"",ROUND(MAX(O137-AW137,0),2))</f>
        <v/>
      </c>
      <c r="AY137">
        <f>IF(OR($A137="",O137="",MEMORIA_RESULTADOS!$I$260=""),"",ROUND(O137*$C137*(MEMORIA_RESULTADOS!$I$260-1),2))</f>
        <v/>
      </c>
      <c r="AZ137">
        <f>IF(OR($A137="",AX137="",MEMORIA_RESULTADOS!$I$260=""),"",ROUND(AX137*$C137*(parametros!$F$4-MEMORIA_RESULTADOS!$I$260),2))</f>
        <v/>
      </c>
      <c r="BA137">
        <f>IF($A137="","",ROUND(SUMIFS(itens_Consumidos!$K$2:$K$200,itens_Consumidos!$A$2:$A$200,$A137),2))</f>
        <v/>
      </c>
      <c r="BB137">
        <f>IF(OR($A137="",Q137=""),"",ROUND(MAX(Q137-BA137,0),2))</f>
        <v/>
      </c>
      <c r="BC137">
        <f>IF(OR($A137="",Q137="",MEMORIA_RESULTADOS!$I$261=""),"",ROUND(Q137*$C137*(MEMORIA_RESULTADOS!$I$261-1),2))</f>
        <v/>
      </c>
      <c r="BD137">
        <f>IF(OR($A137="",BB137="",MEMORIA_RESULTADOS!$I$261=""),"",ROUND(BB137*$C137*(parametros!$F$5-MEMORIA_RESULTADOS!$I$261),2))</f>
        <v/>
      </c>
      <c r="BE137">
        <f>IF($A137="","",ROUND(SUMIFS(itens_Consumidos!$M$2:$M$200,itens_Consumidos!$A$2:$A$200,$A137),2))</f>
        <v/>
      </c>
      <c r="BF137">
        <f>IF(OR($A137="",S137=""),"",ROUND(MAX(S137-BE137,0),2))</f>
        <v/>
      </c>
      <c r="BG137">
        <f>IF(OR($A137="",S137="",MEMORIA_RESULTADOS!$I$262=""),"",ROUND(S137*$C137*(MEMORIA_RESULTADOS!$I$262-1),2))</f>
        <v/>
      </c>
      <c r="BH137">
        <f>IF(OR($A137="",BF137="",MEMORIA_RESULTADOS!$I$262=""),"",ROUND(BF137*$C137*(parametros!$F$6-MEMORIA_RESULTADOS!$I$262),2))</f>
        <v/>
      </c>
    </row>
    <row r="138">
      <c r="A138" s="86" t="n"/>
      <c r="B138" s="87">
        <f>IF(AND(LEN(TRIM($A138))=4,LEFT(TRIM($A138),1)="N",ISNUMBER(--MID(TRIM($A138),2,3)),ISERROR(FIND(".",$A138)),ISERROR(FIND(",",$A138)),ISERROR(FIND("-",$A138)),ISERROR(FIND("+",$A138)),ISERROR(SEARCH("E",$A138,2)),ISERROR(FIND(" ",TRIM($A138)))),0,"")</f>
        <v/>
      </c>
      <c r="C138" s="339" t="n"/>
      <c r="D138" s="335">
        <f>IF(AND(A138="",A137&lt;&gt;"",COUNTIF(A139:$A$200,"&lt;&gt;")=0),ROUND(SUMIF($A$2:A137,"&lt;&gt;",$D$2:D137),2),IF(OR(A138="",B138="",C138=""),"",ROUND(B138*C138,2)))</f>
        <v/>
      </c>
      <c r="E138" s="89" t="n"/>
      <c r="F138" s="335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 t="n"/>
      <c r="H138" s="335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 t="n"/>
      <c r="J138" s="335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 t="n"/>
      <c r="L138" s="335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>
        <f>IF(OR(posicao_contratual!J138="",posicao_contratual!N138=""),"",ROUND(MAX(posicao_contratual!J138+posicao_contratual!H138-posicao_contratual!N138,0),2))</f>
        <v/>
      </c>
      <c r="N138" s="335">
        <f>IF(AND(A138="",A137&lt;&gt;"",COUNTIF(A139:$A$200,"&lt;&gt;")=0),ROUND(SUMIF($A$2:A137,"&lt;&gt;",$N$2:N137),2),IF(OR(M138="",C138="",NOT(ISNUMBER($Z$3))),"",ROUND(M138*C138*$Z$3,2)))</f>
        <v/>
      </c>
      <c r="O138" s="90">
        <f>IF(OR(posicao_contratual!N138="",posicao_contratual!R138=""),"",ROUND(MAX(posicao_contratual!N138+posicao_contratual!L138-posicao_contratual!R138,0),2))</f>
        <v/>
      </c>
      <c r="P138" s="335">
        <f>IF(AND(A138="",A137&lt;&gt;"",COUNTIF(A139:$A$200,"&lt;&gt;")=0),ROUND(SUMIF($A$2:A137,"&lt;&gt;",$P$2:P137),2),IF(OR(O138="",C138="",NOT(ISNUMBER($Z$4))),"",ROUND(O138*C138*$Z$4,2)))</f>
        <v/>
      </c>
      <c r="Q138" s="90">
        <f>IF(OR(posicao_contratual!R138="",posicao_contratual!V138=""),"",ROUND(MAX(posicao_contratual!R138+posicao_contratual!P138-posicao_contratual!V138,0),2))</f>
        <v/>
      </c>
      <c r="R138" s="335">
        <f>IF(AND(A138="",A137&lt;&gt;"",COUNTIF(A139:$A$200,"&lt;&gt;")=0),ROUND(SUMIF($A$2:A137,"&lt;&gt;",$R$2:R137),2),IF(OR(Q138="",C138="",NOT(ISNUMBER($Z$5))),"",ROUND(Q138*C138*$Z$5,2)))</f>
        <v/>
      </c>
      <c r="S138" s="43" t="n"/>
      <c r="T138" s="342" t="n"/>
      <c r="U138" s="91">
        <f>IF(AND(A138="",A137&lt;&gt;"",COUNTIF(A139:$A$200,"&lt;&gt;")=0),"TOTAL",IF(A138="","",posicao_contratual!X138))</f>
        <v/>
      </c>
      <c r="V138" s="91">
        <f>IF(A138="","",posicao_contratual!X138)</f>
        <v/>
      </c>
      <c r="W138" s="13" t="n"/>
      <c r="X138" s="13" t="n"/>
      <c r="Y138" s="13" t="n"/>
      <c r="Z138" s="13" t="n"/>
      <c r="AA138" s="13" t="n"/>
      <c r="AB138" s="90">
        <f>IF(OR(A138="",posicao_contratual!E138="",posicao_contratual!J138=""),"",ROUND(MAX(posicao_contratual!E138-posicao_contratual!J138,0),2))</f>
        <v/>
      </c>
      <c r="AC138" s="335">
        <f>IF(AND(A138="",A137&lt;&gt;"",COUNTIF(A139:$A$200,"&lt;&gt;")=0),ROUND(SUMIF($A$2:A137,"&lt;&gt;",$AC$2:AC137),2),IF(OR(AB138="",C138="",NOT(ISNUMBER($Z$2))),"",ROUND(AB138*C138*$Z$2,2)))</f>
        <v/>
      </c>
      <c r="AD138" s="155">
        <f>IF(A138="","",posicao_contratual!E138)</f>
        <v/>
      </c>
      <c r="AE138" s="155">
        <f>IF(A138="","",posicao_contratual!I138)</f>
        <v/>
      </c>
      <c r="AF138" s="155">
        <f>IF(A138="","",posicao_contratual!M138)</f>
        <v/>
      </c>
      <c r="AG138" s="155">
        <f>IF(A138="","",posicao_contratual!Q138)</f>
        <v/>
      </c>
      <c r="AH138" s="155">
        <f>IF(A138="","",posicao_contratual!U138)</f>
        <v/>
      </c>
      <c r="AI138" s="155">
        <f>IF(A138="","",posicao_contratual!G138)</f>
        <v/>
      </c>
      <c r="AJ138" s="155">
        <f>IF(A138="","",posicao_contratual!K138)</f>
        <v/>
      </c>
      <c r="AK138" s="155">
        <f>IF(A138="","",posicao_contratual!O138)</f>
        <v/>
      </c>
      <c r="AL138" s="155">
        <f>IF(A138="","",posicao_contratual!S138)</f>
        <v/>
      </c>
      <c r="AM138" s="155">
        <f>IF(A138="","",posicao_contratual!W138)</f>
        <v/>
      </c>
      <c r="AN138" s="156">
        <f>IF(A138="","",posicao_contratual!X138)</f>
        <v/>
      </c>
      <c r="AO138">
        <f>IF($A138="","",ROUND(SUMIFS(itens_Consumidos!$E$2:$E$200,itens_Consumidos!$A$2:$A$200,$A138),2))</f>
        <v/>
      </c>
      <c r="AP138">
        <f>IF(OR($A138="",AB138=""),"",ROUND(MAX(AB138-AO138,0),2))</f>
        <v/>
      </c>
      <c r="AQ138">
        <f>IF(OR($A138="",AB138="",MEMORIA_RESULTADOS!$I$258=""),"",ROUND(AB138*$C138*(MEMORIA_RESULTADOS!$I$258-1),2))</f>
        <v/>
      </c>
      <c r="AR138">
        <f>IF(OR($A138="",AP138="",MEMORIA_RESULTADOS!$I$258=""),"",ROUND(AP138*$C138*(parametros!$F$2-MEMORIA_RESULTADOS!$I$258),2))</f>
        <v/>
      </c>
      <c r="AS138">
        <f>IF($A138="","",ROUND(SUMIFS(itens_Consumidos!$G$2:$G$200,itens_Consumidos!$A$2:$A$200,$A138),2))</f>
        <v/>
      </c>
      <c r="AT138">
        <f>IF(OR($A138="",M138=""),"",ROUND(MAX(M138-AS138,0),2))</f>
        <v/>
      </c>
      <c r="AU138">
        <f>IF(OR($A138="",M138="",MEMORIA_RESULTADOS!$I$259=""),"",ROUND(M138*$C138*(MEMORIA_RESULTADOS!$I$259-1),2))</f>
        <v/>
      </c>
      <c r="AV138">
        <f>IF(OR($A138="",AT138="",MEMORIA_RESULTADOS!$I$259=""),"",ROUND(AT138*$C138*(parametros!$F$3-MEMORIA_RESULTADOS!$I$259),2))</f>
        <v/>
      </c>
      <c r="AW138">
        <f>IF($A138="","",ROUND(SUMIFS(itens_Consumidos!$I$2:$I$200,itens_Consumidos!$A$2:$A$200,$A138),2))</f>
        <v/>
      </c>
      <c r="AX138">
        <f>IF(OR($A138="",O138=""),"",ROUND(MAX(O138-AW138,0),2))</f>
        <v/>
      </c>
      <c r="AY138">
        <f>IF(OR($A138="",O138="",MEMORIA_RESULTADOS!$I$260=""),"",ROUND(O138*$C138*(MEMORIA_RESULTADOS!$I$260-1),2))</f>
        <v/>
      </c>
      <c r="AZ138">
        <f>IF(OR($A138="",AX138="",MEMORIA_RESULTADOS!$I$260=""),"",ROUND(AX138*$C138*(parametros!$F$4-MEMORIA_RESULTADOS!$I$260),2))</f>
        <v/>
      </c>
      <c r="BA138">
        <f>IF($A138="","",ROUND(SUMIFS(itens_Consumidos!$K$2:$K$200,itens_Consumidos!$A$2:$A$200,$A138),2))</f>
        <v/>
      </c>
      <c r="BB138">
        <f>IF(OR($A138="",Q138=""),"",ROUND(MAX(Q138-BA138,0),2))</f>
        <v/>
      </c>
      <c r="BC138">
        <f>IF(OR($A138="",Q138="",MEMORIA_RESULTADOS!$I$261=""),"",ROUND(Q138*$C138*(MEMORIA_RESULTADOS!$I$261-1),2))</f>
        <v/>
      </c>
      <c r="BD138">
        <f>IF(OR($A138="",BB138="",MEMORIA_RESULTADOS!$I$261=""),"",ROUND(BB138*$C138*(parametros!$F$5-MEMORIA_RESULTADOS!$I$261),2))</f>
        <v/>
      </c>
      <c r="BE138">
        <f>IF($A138="","",ROUND(SUMIFS(itens_Consumidos!$M$2:$M$200,itens_Consumidos!$A$2:$A$200,$A138),2))</f>
        <v/>
      </c>
      <c r="BF138">
        <f>IF(OR($A138="",S138=""),"",ROUND(MAX(S138-BE138,0),2))</f>
        <v/>
      </c>
      <c r="BG138">
        <f>IF(OR($A138="",S138="",MEMORIA_RESULTADOS!$I$262=""),"",ROUND(S138*$C138*(MEMORIA_RESULTADOS!$I$262-1),2))</f>
        <v/>
      </c>
      <c r="BH138">
        <f>IF(OR($A138="",BF138="",MEMORIA_RESULTADOS!$I$262=""),"",ROUND(BF138*$C138*(parametros!$F$6-MEMORIA_RESULTADOS!$I$262),2))</f>
        <v/>
      </c>
    </row>
    <row r="139">
      <c r="A139" s="86" t="n"/>
      <c r="B139" s="87">
        <f>IF(AND(LEN(TRIM($A139))=4,LEFT(TRIM($A139),1)="N",ISNUMBER(--MID(TRIM($A139),2,3)),ISERROR(FIND(".",$A139)),ISERROR(FIND(",",$A139)),ISERROR(FIND("-",$A139)),ISERROR(FIND("+",$A139)),ISERROR(SEARCH("E",$A139,2)),ISERROR(FIND(" ",TRIM($A139)))),0,"")</f>
        <v/>
      </c>
      <c r="C139" s="339" t="n"/>
      <c r="D139" s="335">
        <f>IF(AND(A139="",A138&lt;&gt;"",COUNTIF(A140:$A$200,"&lt;&gt;")=0),ROUND(SUMIF($A$2:A138,"&lt;&gt;",$D$2:D138),2),IF(OR(A139="",B139="",C139=""),"",ROUND(B139*C139,2)))</f>
        <v/>
      </c>
      <c r="E139" s="89" t="n"/>
      <c r="F139" s="335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 t="n"/>
      <c r="H139" s="335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 t="n"/>
      <c r="J139" s="335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 t="n"/>
      <c r="L139" s="335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>
        <f>IF(OR(posicao_contratual!J139="",posicao_contratual!N139=""),"",ROUND(MAX(posicao_contratual!J139+posicao_contratual!H139-posicao_contratual!N139,0),2))</f>
        <v/>
      </c>
      <c r="N139" s="335">
        <f>IF(AND(A139="",A138&lt;&gt;"",COUNTIF(A140:$A$200,"&lt;&gt;")=0),ROUND(SUMIF($A$2:A138,"&lt;&gt;",$N$2:N138),2),IF(OR(M139="",C139="",NOT(ISNUMBER($Z$3))),"",ROUND(M139*C139*$Z$3,2)))</f>
        <v/>
      </c>
      <c r="O139" s="90">
        <f>IF(OR(posicao_contratual!N139="",posicao_contratual!R139=""),"",ROUND(MAX(posicao_contratual!N139+posicao_contratual!L139-posicao_contratual!R139,0),2))</f>
        <v/>
      </c>
      <c r="P139" s="335">
        <f>IF(AND(A139="",A138&lt;&gt;"",COUNTIF(A140:$A$200,"&lt;&gt;")=0),ROUND(SUMIF($A$2:A138,"&lt;&gt;",$P$2:P138),2),IF(OR(O139="",C139="",NOT(ISNUMBER($Z$4))),"",ROUND(O139*C139*$Z$4,2)))</f>
        <v/>
      </c>
      <c r="Q139" s="90">
        <f>IF(OR(posicao_contratual!R139="",posicao_contratual!V139=""),"",ROUND(MAX(posicao_contratual!R139+posicao_contratual!P139-posicao_contratual!V139,0),2))</f>
        <v/>
      </c>
      <c r="R139" s="335">
        <f>IF(AND(A139="",A138&lt;&gt;"",COUNTIF(A140:$A$200,"&lt;&gt;")=0),ROUND(SUMIF($A$2:A138,"&lt;&gt;",$R$2:R138),2),IF(OR(Q139="",C139="",NOT(ISNUMBER($Z$5))),"",ROUND(Q139*C139*$Z$5,2)))</f>
        <v/>
      </c>
      <c r="S139" s="43" t="n"/>
      <c r="T139" s="342" t="n"/>
      <c r="U139" s="91">
        <f>IF(AND(A139="",A138&lt;&gt;"",COUNTIF(A140:$A$200,"&lt;&gt;")=0),"TOTAL",IF(A139="","",posicao_contratual!X139))</f>
        <v/>
      </c>
      <c r="V139" s="91">
        <f>IF(A139="","",posicao_contratual!X139)</f>
        <v/>
      </c>
      <c r="W139" s="13" t="n"/>
      <c r="X139" s="13" t="n"/>
      <c r="Y139" s="13" t="n"/>
      <c r="Z139" s="13" t="n"/>
      <c r="AA139" s="13" t="n"/>
      <c r="AB139" s="90">
        <f>IF(OR(A139="",posicao_contratual!E139="",posicao_contratual!J139=""),"",ROUND(MAX(posicao_contratual!E139-posicao_contratual!J139,0),2))</f>
        <v/>
      </c>
      <c r="AC139" s="335">
        <f>IF(AND(A139="",A138&lt;&gt;"",COUNTIF(A140:$A$200,"&lt;&gt;")=0),ROUND(SUMIF($A$2:A138,"&lt;&gt;",$AC$2:AC138),2),IF(OR(AB139="",C139="",NOT(ISNUMBER($Z$2))),"",ROUND(AB139*C139*$Z$2,2)))</f>
        <v/>
      </c>
      <c r="AD139" s="155">
        <f>IF(A139="","",posicao_contratual!E139)</f>
        <v/>
      </c>
      <c r="AE139" s="155">
        <f>IF(A139="","",posicao_contratual!I139)</f>
        <v/>
      </c>
      <c r="AF139" s="155">
        <f>IF(A139="","",posicao_contratual!M139)</f>
        <v/>
      </c>
      <c r="AG139" s="155">
        <f>IF(A139="","",posicao_contratual!Q139)</f>
        <v/>
      </c>
      <c r="AH139" s="155">
        <f>IF(A139="","",posicao_contratual!U139)</f>
        <v/>
      </c>
      <c r="AI139" s="155">
        <f>IF(A139="","",posicao_contratual!G139)</f>
        <v/>
      </c>
      <c r="AJ139" s="155">
        <f>IF(A139="","",posicao_contratual!K139)</f>
        <v/>
      </c>
      <c r="AK139" s="155">
        <f>IF(A139="","",posicao_contratual!O139)</f>
        <v/>
      </c>
      <c r="AL139" s="155">
        <f>IF(A139="","",posicao_contratual!S139)</f>
        <v/>
      </c>
      <c r="AM139" s="155">
        <f>IF(A139="","",posicao_contratual!W139)</f>
        <v/>
      </c>
      <c r="AN139" s="156">
        <f>IF(A139="","",posicao_contratual!X139)</f>
        <v/>
      </c>
      <c r="AO139">
        <f>IF($A139="","",ROUND(SUMIFS(itens_Consumidos!$E$2:$E$200,itens_Consumidos!$A$2:$A$200,$A139),2))</f>
        <v/>
      </c>
      <c r="AP139">
        <f>IF(OR($A139="",AB139=""),"",ROUND(MAX(AB139-AO139,0),2))</f>
        <v/>
      </c>
      <c r="AQ139">
        <f>IF(OR($A139="",AB139="",MEMORIA_RESULTADOS!$I$258=""),"",ROUND(AB139*$C139*(MEMORIA_RESULTADOS!$I$258-1),2))</f>
        <v/>
      </c>
      <c r="AR139">
        <f>IF(OR($A139="",AP139="",MEMORIA_RESULTADOS!$I$258=""),"",ROUND(AP139*$C139*(parametros!$F$2-MEMORIA_RESULTADOS!$I$258),2))</f>
        <v/>
      </c>
      <c r="AS139">
        <f>IF($A139="","",ROUND(SUMIFS(itens_Consumidos!$G$2:$G$200,itens_Consumidos!$A$2:$A$200,$A139),2))</f>
        <v/>
      </c>
      <c r="AT139">
        <f>IF(OR($A139="",M139=""),"",ROUND(MAX(M139-AS139,0),2))</f>
        <v/>
      </c>
      <c r="AU139">
        <f>IF(OR($A139="",M139="",MEMORIA_RESULTADOS!$I$259=""),"",ROUND(M139*$C139*(MEMORIA_RESULTADOS!$I$259-1),2))</f>
        <v/>
      </c>
      <c r="AV139">
        <f>IF(OR($A139="",AT139="",MEMORIA_RESULTADOS!$I$259=""),"",ROUND(AT139*$C139*(parametros!$F$3-MEMORIA_RESULTADOS!$I$259),2))</f>
        <v/>
      </c>
      <c r="AW139">
        <f>IF($A139="","",ROUND(SUMIFS(itens_Consumidos!$I$2:$I$200,itens_Consumidos!$A$2:$A$200,$A139),2))</f>
        <v/>
      </c>
      <c r="AX139">
        <f>IF(OR($A139="",O139=""),"",ROUND(MAX(O139-AW139,0),2))</f>
        <v/>
      </c>
      <c r="AY139">
        <f>IF(OR($A139="",O139="",MEMORIA_RESULTADOS!$I$260=""),"",ROUND(O139*$C139*(MEMORIA_RESULTADOS!$I$260-1),2))</f>
        <v/>
      </c>
      <c r="AZ139">
        <f>IF(OR($A139="",AX139="",MEMORIA_RESULTADOS!$I$260=""),"",ROUND(AX139*$C139*(parametros!$F$4-MEMORIA_RESULTADOS!$I$260),2))</f>
        <v/>
      </c>
      <c r="BA139">
        <f>IF($A139="","",ROUND(SUMIFS(itens_Consumidos!$K$2:$K$200,itens_Consumidos!$A$2:$A$200,$A139),2))</f>
        <v/>
      </c>
      <c r="BB139">
        <f>IF(OR($A139="",Q139=""),"",ROUND(MAX(Q139-BA139,0),2))</f>
        <v/>
      </c>
      <c r="BC139">
        <f>IF(OR($A139="",Q139="",MEMORIA_RESULTADOS!$I$261=""),"",ROUND(Q139*$C139*(MEMORIA_RESULTADOS!$I$261-1),2))</f>
        <v/>
      </c>
      <c r="BD139">
        <f>IF(OR($A139="",BB139="",MEMORIA_RESULTADOS!$I$261=""),"",ROUND(BB139*$C139*(parametros!$F$5-MEMORIA_RESULTADOS!$I$261),2))</f>
        <v/>
      </c>
      <c r="BE139">
        <f>IF($A139="","",ROUND(SUMIFS(itens_Consumidos!$M$2:$M$200,itens_Consumidos!$A$2:$A$200,$A139),2))</f>
        <v/>
      </c>
      <c r="BF139">
        <f>IF(OR($A139="",S139=""),"",ROUND(MAX(S139-BE139,0),2))</f>
        <v/>
      </c>
      <c r="BG139">
        <f>IF(OR($A139="",S139="",MEMORIA_RESULTADOS!$I$262=""),"",ROUND(S139*$C139*(MEMORIA_RESULTADOS!$I$262-1),2))</f>
        <v/>
      </c>
      <c r="BH139">
        <f>IF(OR($A139="",BF139="",MEMORIA_RESULTADOS!$I$262=""),"",ROUND(BF139*$C139*(parametros!$F$6-MEMORIA_RESULTADOS!$I$262),2))</f>
        <v/>
      </c>
    </row>
    <row r="140">
      <c r="A140" s="86" t="n"/>
      <c r="B140" s="87">
        <f>IF(AND(LEN(TRIM($A140))=4,LEFT(TRIM($A140),1)="N",ISNUMBER(--MID(TRIM($A140),2,3)),ISERROR(FIND(".",$A140)),ISERROR(FIND(",",$A140)),ISERROR(FIND("-",$A140)),ISERROR(FIND("+",$A140)),ISERROR(SEARCH("E",$A140,2)),ISERROR(FIND(" ",TRIM($A140)))),0,"")</f>
        <v/>
      </c>
      <c r="C140" s="339" t="n"/>
      <c r="D140" s="335">
        <f>IF(AND(A140="",A139&lt;&gt;"",COUNTIF(A141:$A$200,"&lt;&gt;")=0),ROUND(SUMIF($A$2:A139,"&lt;&gt;",$D$2:D139),2),IF(OR(A140="",B140="",C140=""),"",ROUND(B140*C140,2)))</f>
        <v/>
      </c>
      <c r="E140" s="89" t="n"/>
      <c r="F140" s="335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 t="n"/>
      <c r="H140" s="335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 t="n"/>
      <c r="J140" s="335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 t="n"/>
      <c r="L140" s="335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>
        <f>IF(OR(posicao_contratual!J140="",posicao_contratual!N140=""),"",ROUND(MAX(posicao_contratual!J140+posicao_contratual!H140-posicao_contratual!N140,0),2))</f>
        <v/>
      </c>
      <c r="N140" s="335">
        <f>IF(AND(A140="",A139&lt;&gt;"",COUNTIF(A141:$A$200,"&lt;&gt;")=0),ROUND(SUMIF($A$2:A139,"&lt;&gt;",$N$2:N139),2),IF(OR(M140="",C140="",NOT(ISNUMBER($Z$3))),"",ROUND(M140*C140*$Z$3,2)))</f>
        <v/>
      </c>
      <c r="O140" s="90">
        <f>IF(OR(posicao_contratual!N140="",posicao_contratual!R140=""),"",ROUND(MAX(posicao_contratual!N140+posicao_contratual!L140-posicao_contratual!R140,0),2))</f>
        <v/>
      </c>
      <c r="P140" s="335">
        <f>IF(AND(A140="",A139&lt;&gt;"",COUNTIF(A141:$A$200,"&lt;&gt;")=0),ROUND(SUMIF($A$2:A139,"&lt;&gt;",$P$2:P139),2),IF(OR(O140="",C140="",NOT(ISNUMBER($Z$4))),"",ROUND(O140*C140*$Z$4,2)))</f>
        <v/>
      </c>
      <c r="Q140" s="90">
        <f>IF(OR(posicao_contratual!R140="",posicao_contratual!V140=""),"",ROUND(MAX(posicao_contratual!R140+posicao_contratual!P140-posicao_contratual!V140,0),2))</f>
        <v/>
      </c>
      <c r="R140" s="335">
        <f>IF(AND(A140="",A139&lt;&gt;"",COUNTIF(A141:$A$200,"&lt;&gt;")=0),ROUND(SUMIF($A$2:A139,"&lt;&gt;",$R$2:R139),2),IF(OR(Q140="",C140="",NOT(ISNUMBER($Z$5))),"",ROUND(Q140*C140*$Z$5,2)))</f>
        <v/>
      </c>
      <c r="S140" s="43" t="n"/>
      <c r="T140" s="342" t="n"/>
      <c r="U140" s="91">
        <f>IF(AND(A140="",A139&lt;&gt;"",COUNTIF(A141:$A$200,"&lt;&gt;")=0),"TOTAL",IF(A140="","",posicao_contratual!X140))</f>
        <v/>
      </c>
      <c r="V140" s="91">
        <f>IF(A140="","",posicao_contratual!X140)</f>
        <v/>
      </c>
      <c r="W140" s="13" t="n"/>
      <c r="X140" s="13" t="n"/>
      <c r="Y140" s="13" t="n"/>
      <c r="Z140" s="13" t="n"/>
      <c r="AA140" s="13" t="n"/>
      <c r="AB140" s="90">
        <f>IF(OR(A140="",posicao_contratual!E140="",posicao_contratual!J140=""),"",ROUND(MAX(posicao_contratual!E140-posicao_contratual!J140,0),2))</f>
        <v/>
      </c>
      <c r="AC140" s="335">
        <f>IF(AND(A140="",A139&lt;&gt;"",COUNTIF(A141:$A$200,"&lt;&gt;")=0),ROUND(SUMIF($A$2:A139,"&lt;&gt;",$AC$2:AC139),2),IF(OR(AB140="",C140="",NOT(ISNUMBER($Z$2))),"",ROUND(AB140*C140*$Z$2,2)))</f>
        <v/>
      </c>
      <c r="AD140" s="155">
        <f>IF(A140="","",posicao_contratual!E140)</f>
        <v/>
      </c>
      <c r="AE140" s="155">
        <f>IF(A140="","",posicao_contratual!I140)</f>
        <v/>
      </c>
      <c r="AF140" s="155">
        <f>IF(A140="","",posicao_contratual!M140)</f>
        <v/>
      </c>
      <c r="AG140" s="155">
        <f>IF(A140="","",posicao_contratual!Q140)</f>
        <v/>
      </c>
      <c r="AH140" s="155">
        <f>IF(A140="","",posicao_contratual!U140)</f>
        <v/>
      </c>
      <c r="AI140" s="155">
        <f>IF(A140="","",posicao_contratual!G140)</f>
        <v/>
      </c>
      <c r="AJ140" s="155">
        <f>IF(A140="","",posicao_contratual!K140)</f>
        <v/>
      </c>
      <c r="AK140" s="155">
        <f>IF(A140="","",posicao_contratual!O140)</f>
        <v/>
      </c>
      <c r="AL140" s="155">
        <f>IF(A140="","",posicao_contratual!S140)</f>
        <v/>
      </c>
      <c r="AM140" s="155">
        <f>IF(A140="","",posicao_contratual!W140)</f>
        <v/>
      </c>
      <c r="AN140" s="156">
        <f>IF(A140="","",posicao_contratual!X140)</f>
        <v/>
      </c>
      <c r="AO140">
        <f>IF($A140="","",ROUND(SUMIFS(itens_Consumidos!$E$2:$E$200,itens_Consumidos!$A$2:$A$200,$A140),2))</f>
        <v/>
      </c>
      <c r="AP140">
        <f>IF(OR($A140="",AB140=""),"",ROUND(MAX(AB140-AO140,0),2))</f>
        <v/>
      </c>
      <c r="AQ140">
        <f>IF(OR($A140="",AB140="",MEMORIA_RESULTADOS!$I$258=""),"",ROUND(AB140*$C140*(MEMORIA_RESULTADOS!$I$258-1),2))</f>
        <v/>
      </c>
      <c r="AR140">
        <f>IF(OR($A140="",AP140="",MEMORIA_RESULTADOS!$I$258=""),"",ROUND(AP140*$C140*(parametros!$F$2-MEMORIA_RESULTADOS!$I$258),2))</f>
        <v/>
      </c>
      <c r="AS140">
        <f>IF($A140="","",ROUND(SUMIFS(itens_Consumidos!$G$2:$G$200,itens_Consumidos!$A$2:$A$200,$A140),2))</f>
        <v/>
      </c>
      <c r="AT140">
        <f>IF(OR($A140="",M140=""),"",ROUND(MAX(M140-AS140,0),2))</f>
        <v/>
      </c>
      <c r="AU140">
        <f>IF(OR($A140="",M140="",MEMORIA_RESULTADOS!$I$259=""),"",ROUND(M140*$C140*(MEMORIA_RESULTADOS!$I$259-1),2))</f>
        <v/>
      </c>
      <c r="AV140">
        <f>IF(OR($A140="",AT140="",MEMORIA_RESULTADOS!$I$259=""),"",ROUND(AT140*$C140*(parametros!$F$3-MEMORIA_RESULTADOS!$I$259),2))</f>
        <v/>
      </c>
      <c r="AW140">
        <f>IF($A140="","",ROUND(SUMIFS(itens_Consumidos!$I$2:$I$200,itens_Consumidos!$A$2:$A$200,$A140),2))</f>
        <v/>
      </c>
      <c r="AX140">
        <f>IF(OR($A140="",O140=""),"",ROUND(MAX(O140-AW140,0),2))</f>
        <v/>
      </c>
      <c r="AY140">
        <f>IF(OR($A140="",O140="",MEMORIA_RESULTADOS!$I$260=""),"",ROUND(O140*$C140*(MEMORIA_RESULTADOS!$I$260-1),2))</f>
        <v/>
      </c>
      <c r="AZ140">
        <f>IF(OR($A140="",AX140="",MEMORIA_RESULTADOS!$I$260=""),"",ROUND(AX140*$C140*(parametros!$F$4-MEMORIA_RESULTADOS!$I$260),2))</f>
        <v/>
      </c>
      <c r="BA140">
        <f>IF($A140="","",ROUND(SUMIFS(itens_Consumidos!$K$2:$K$200,itens_Consumidos!$A$2:$A$200,$A140),2))</f>
        <v/>
      </c>
      <c r="BB140">
        <f>IF(OR($A140="",Q140=""),"",ROUND(MAX(Q140-BA140,0),2))</f>
        <v/>
      </c>
      <c r="BC140">
        <f>IF(OR($A140="",Q140="",MEMORIA_RESULTADOS!$I$261=""),"",ROUND(Q140*$C140*(MEMORIA_RESULTADOS!$I$261-1),2))</f>
        <v/>
      </c>
      <c r="BD140">
        <f>IF(OR($A140="",BB140="",MEMORIA_RESULTADOS!$I$261=""),"",ROUND(BB140*$C140*(parametros!$F$5-MEMORIA_RESULTADOS!$I$261),2))</f>
        <v/>
      </c>
      <c r="BE140">
        <f>IF($A140="","",ROUND(SUMIFS(itens_Consumidos!$M$2:$M$200,itens_Consumidos!$A$2:$A$200,$A140),2))</f>
        <v/>
      </c>
      <c r="BF140">
        <f>IF(OR($A140="",S140=""),"",ROUND(MAX(S140-BE140,0),2))</f>
        <v/>
      </c>
      <c r="BG140">
        <f>IF(OR($A140="",S140="",MEMORIA_RESULTADOS!$I$262=""),"",ROUND(S140*$C140*(MEMORIA_RESULTADOS!$I$262-1),2))</f>
        <v/>
      </c>
      <c r="BH140">
        <f>IF(OR($A140="",BF140="",MEMORIA_RESULTADOS!$I$262=""),"",ROUND(BF140*$C140*(parametros!$F$6-MEMORIA_RESULTADOS!$I$262),2))</f>
        <v/>
      </c>
    </row>
    <row r="141">
      <c r="A141" s="86" t="n"/>
      <c r="B141" s="87">
        <f>IF(AND(LEN(TRIM($A141))=4,LEFT(TRIM($A141),1)="N",ISNUMBER(--MID(TRIM($A141),2,3)),ISERROR(FIND(".",$A141)),ISERROR(FIND(",",$A141)),ISERROR(FIND("-",$A141)),ISERROR(FIND("+",$A141)),ISERROR(SEARCH("E",$A141,2)),ISERROR(FIND(" ",TRIM($A141)))),0,"")</f>
        <v/>
      </c>
      <c r="C141" s="339" t="n"/>
      <c r="D141" s="335">
        <f>IF(AND(A141="",A140&lt;&gt;"",COUNTIF(A142:$A$200,"&lt;&gt;")=0),ROUND(SUMIF($A$2:A140,"&lt;&gt;",$D$2:D140),2),IF(OR(A141="",B141="",C141=""),"",ROUND(B141*C141,2)))</f>
        <v/>
      </c>
      <c r="E141" s="89" t="n"/>
      <c r="F141" s="335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 t="n"/>
      <c r="H141" s="335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 t="n"/>
      <c r="J141" s="335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 t="n"/>
      <c r="L141" s="335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>
        <f>IF(OR(posicao_contratual!J141="",posicao_contratual!N141=""),"",ROUND(MAX(posicao_contratual!J141+posicao_contratual!H141-posicao_contratual!N141,0),2))</f>
        <v/>
      </c>
      <c r="N141" s="335">
        <f>IF(AND(A141="",A140&lt;&gt;"",COUNTIF(A142:$A$200,"&lt;&gt;")=0),ROUND(SUMIF($A$2:A140,"&lt;&gt;",$N$2:N140),2),IF(OR(M141="",C141="",NOT(ISNUMBER($Z$3))),"",ROUND(M141*C141*$Z$3,2)))</f>
        <v/>
      </c>
      <c r="O141" s="90">
        <f>IF(OR(posicao_contratual!N141="",posicao_contratual!R141=""),"",ROUND(MAX(posicao_contratual!N141+posicao_contratual!L141-posicao_contratual!R141,0),2))</f>
        <v/>
      </c>
      <c r="P141" s="335">
        <f>IF(AND(A141="",A140&lt;&gt;"",COUNTIF(A142:$A$200,"&lt;&gt;")=0),ROUND(SUMIF($A$2:A140,"&lt;&gt;",$P$2:P140),2),IF(OR(O141="",C141="",NOT(ISNUMBER($Z$4))),"",ROUND(O141*C141*$Z$4,2)))</f>
        <v/>
      </c>
      <c r="Q141" s="90">
        <f>IF(OR(posicao_contratual!R141="",posicao_contratual!V141=""),"",ROUND(MAX(posicao_contratual!R141+posicao_contratual!P141-posicao_contratual!V141,0),2))</f>
        <v/>
      </c>
      <c r="R141" s="335">
        <f>IF(AND(A141="",A140&lt;&gt;"",COUNTIF(A142:$A$200,"&lt;&gt;")=0),ROUND(SUMIF($A$2:A140,"&lt;&gt;",$R$2:R140),2),IF(OR(Q141="",C141="",NOT(ISNUMBER($Z$5))),"",ROUND(Q141*C141*$Z$5,2)))</f>
        <v/>
      </c>
      <c r="S141" s="43" t="n"/>
      <c r="T141" s="342" t="n"/>
      <c r="U141" s="91">
        <f>IF(AND(A141="",A140&lt;&gt;"",COUNTIF(A142:$A$200,"&lt;&gt;")=0),"TOTAL",IF(A141="","",posicao_contratual!X141))</f>
        <v/>
      </c>
      <c r="V141" s="91">
        <f>IF(A141="","",posicao_contratual!X141)</f>
        <v/>
      </c>
      <c r="W141" s="13" t="n"/>
      <c r="X141" s="13" t="n"/>
      <c r="Y141" s="13" t="n"/>
      <c r="Z141" s="13" t="n"/>
      <c r="AA141" s="13" t="n"/>
      <c r="AB141" s="90">
        <f>IF(OR(A141="",posicao_contratual!E141="",posicao_contratual!J141=""),"",ROUND(MAX(posicao_contratual!E141-posicao_contratual!J141,0),2))</f>
        <v/>
      </c>
      <c r="AC141" s="335">
        <f>IF(AND(A141="",A140&lt;&gt;"",COUNTIF(A142:$A$200,"&lt;&gt;")=0),ROUND(SUMIF($A$2:A140,"&lt;&gt;",$AC$2:AC140),2),IF(OR(AB141="",C141="",NOT(ISNUMBER($Z$2))),"",ROUND(AB141*C141*$Z$2,2)))</f>
        <v/>
      </c>
      <c r="AD141" s="155">
        <f>IF(A141="","",posicao_contratual!E141)</f>
        <v/>
      </c>
      <c r="AE141" s="155">
        <f>IF(A141="","",posicao_contratual!I141)</f>
        <v/>
      </c>
      <c r="AF141" s="155">
        <f>IF(A141="","",posicao_contratual!M141)</f>
        <v/>
      </c>
      <c r="AG141" s="155">
        <f>IF(A141="","",posicao_contratual!Q141)</f>
        <v/>
      </c>
      <c r="AH141" s="155">
        <f>IF(A141="","",posicao_contratual!U141)</f>
        <v/>
      </c>
      <c r="AI141" s="155">
        <f>IF(A141="","",posicao_contratual!G141)</f>
        <v/>
      </c>
      <c r="AJ141" s="155">
        <f>IF(A141="","",posicao_contratual!K141)</f>
        <v/>
      </c>
      <c r="AK141" s="155">
        <f>IF(A141="","",posicao_contratual!O141)</f>
        <v/>
      </c>
      <c r="AL141" s="155">
        <f>IF(A141="","",posicao_contratual!S141)</f>
        <v/>
      </c>
      <c r="AM141" s="155">
        <f>IF(A141="","",posicao_contratual!W141)</f>
        <v/>
      </c>
      <c r="AN141" s="156">
        <f>IF(A141="","",posicao_contratual!X141)</f>
        <v/>
      </c>
      <c r="AO141">
        <f>IF($A141="","",ROUND(SUMIFS(itens_Consumidos!$E$2:$E$200,itens_Consumidos!$A$2:$A$200,$A141),2))</f>
        <v/>
      </c>
      <c r="AP141">
        <f>IF(OR($A141="",AB141=""),"",ROUND(MAX(AB141-AO141,0),2))</f>
        <v/>
      </c>
      <c r="AQ141">
        <f>IF(OR($A141="",AB141="",MEMORIA_RESULTADOS!$I$258=""),"",ROUND(AB141*$C141*(MEMORIA_RESULTADOS!$I$258-1),2))</f>
        <v/>
      </c>
      <c r="AR141">
        <f>IF(OR($A141="",AP141="",MEMORIA_RESULTADOS!$I$258=""),"",ROUND(AP141*$C141*(parametros!$F$2-MEMORIA_RESULTADOS!$I$258),2))</f>
        <v/>
      </c>
      <c r="AS141">
        <f>IF($A141="","",ROUND(SUMIFS(itens_Consumidos!$G$2:$G$200,itens_Consumidos!$A$2:$A$200,$A141),2))</f>
        <v/>
      </c>
      <c r="AT141">
        <f>IF(OR($A141="",M141=""),"",ROUND(MAX(M141-AS141,0),2))</f>
        <v/>
      </c>
      <c r="AU141">
        <f>IF(OR($A141="",M141="",MEMORIA_RESULTADOS!$I$259=""),"",ROUND(M141*$C141*(MEMORIA_RESULTADOS!$I$259-1),2))</f>
        <v/>
      </c>
      <c r="AV141">
        <f>IF(OR($A141="",AT141="",MEMORIA_RESULTADOS!$I$259=""),"",ROUND(AT141*$C141*(parametros!$F$3-MEMORIA_RESULTADOS!$I$259),2))</f>
        <v/>
      </c>
      <c r="AW141">
        <f>IF($A141="","",ROUND(SUMIFS(itens_Consumidos!$I$2:$I$200,itens_Consumidos!$A$2:$A$200,$A141),2))</f>
        <v/>
      </c>
      <c r="AX141">
        <f>IF(OR($A141="",O141=""),"",ROUND(MAX(O141-AW141,0),2))</f>
        <v/>
      </c>
      <c r="AY141">
        <f>IF(OR($A141="",O141="",MEMORIA_RESULTADOS!$I$260=""),"",ROUND(O141*$C141*(MEMORIA_RESULTADOS!$I$260-1),2))</f>
        <v/>
      </c>
      <c r="AZ141">
        <f>IF(OR($A141="",AX141="",MEMORIA_RESULTADOS!$I$260=""),"",ROUND(AX141*$C141*(parametros!$F$4-MEMORIA_RESULTADOS!$I$260),2))</f>
        <v/>
      </c>
      <c r="BA141">
        <f>IF($A141="","",ROUND(SUMIFS(itens_Consumidos!$K$2:$K$200,itens_Consumidos!$A$2:$A$200,$A141),2))</f>
        <v/>
      </c>
      <c r="BB141">
        <f>IF(OR($A141="",Q141=""),"",ROUND(MAX(Q141-BA141,0),2))</f>
        <v/>
      </c>
      <c r="BC141">
        <f>IF(OR($A141="",Q141="",MEMORIA_RESULTADOS!$I$261=""),"",ROUND(Q141*$C141*(MEMORIA_RESULTADOS!$I$261-1),2))</f>
        <v/>
      </c>
      <c r="BD141">
        <f>IF(OR($A141="",BB141="",MEMORIA_RESULTADOS!$I$261=""),"",ROUND(BB141*$C141*(parametros!$F$5-MEMORIA_RESULTADOS!$I$261),2))</f>
        <v/>
      </c>
      <c r="BE141">
        <f>IF($A141="","",ROUND(SUMIFS(itens_Consumidos!$M$2:$M$200,itens_Consumidos!$A$2:$A$200,$A141),2))</f>
        <v/>
      </c>
      <c r="BF141">
        <f>IF(OR($A141="",S141=""),"",ROUND(MAX(S141-BE141,0),2))</f>
        <v/>
      </c>
      <c r="BG141">
        <f>IF(OR($A141="",S141="",MEMORIA_RESULTADOS!$I$262=""),"",ROUND(S141*$C141*(MEMORIA_RESULTADOS!$I$262-1),2))</f>
        <v/>
      </c>
      <c r="BH141">
        <f>IF(OR($A141="",BF141="",MEMORIA_RESULTADOS!$I$262=""),"",ROUND(BF141*$C141*(parametros!$F$6-MEMORIA_RESULTADOS!$I$262),2))</f>
        <v/>
      </c>
    </row>
    <row r="142">
      <c r="A142" s="86" t="n"/>
      <c r="B142" s="87">
        <f>IF(AND(LEN(TRIM($A142))=4,LEFT(TRIM($A142),1)="N",ISNUMBER(--MID(TRIM($A142),2,3)),ISERROR(FIND(".",$A142)),ISERROR(FIND(",",$A142)),ISERROR(FIND("-",$A142)),ISERROR(FIND("+",$A142)),ISERROR(SEARCH("E",$A142,2)),ISERROR(FIND(" ",TRIM($A142)))),0,"")</f>
        <v/>
      </c>
      <c r="C142" s="339" t="n"/>
      <c r="D142" s="335">
        <f>IF(AND(A142="",A141&lt;&gt;"",COUNTIF(A143:$A$200,"&lt;&gt;")=0),ROUND(SUMIF($A$2:A141,"&lt;&gt;",$D$2:D141),2),IF(OR(A142="",B142="",C142=""),"",ROUND(B142*C142,2)))</f>
        <v/>
      </c>
      <c r="E142" s="89" t="n"/>
      <c r="F142" s="335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 t="n"/>
      <c r="H142" s="335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 t="n"/>
      <c r="J142" s="335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 t="n"/>
      <c r="L142" s="335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>
        <f>IF(OR(posicao_contratual!J142="",posicao_contratual!N142=""),"",ROUND(MAX(posicao_contratual!J142+posicao_contratual!H142-posicao_contratual!N142,0),2))</f>
        <v/>
      </c>
      <c r="N142" s="335">
        <f>IF(AND(A142="",A141&lt;&gt;"",COUNTIF(A143:$A$200,"&lt;&gt;")=0),ROUND(SUMIF($A$2:A141,"&lt;&gt;",$N$2:N141),2),IF(OR(M142="",C142="",NOT(ISNUMBER($Z$3))),"",ROUND(M142*C142*$Z$3,2)))</f>
        <v/>
      </c>
      <c r="O142" s="90">
        <f>IF(OR(posicao_contratual!N142="",posicao_contratual!R142=""),"",ROUND(MAX(posicao_contratual!N142+posicao_contratual!L142-posicao_contratual!R142,0),2))</f>
        <v/>
      </c>
      <c r="P142" s="335">
        <f>IF(AND(A142="",A141&lt;&gt;"",COUNTIF(A143:$A$200,"&lt;&gt;")=0),ROUND(SUMIF($A$2:A141,"&lt;&gt;",$P$2:P141),2),IF(OR(O142="",C142="",NOT(ISNUMBER($Z$4))),"",ROUND(O142*C142*$Z$4,2)))</f>
        <v/>
      </c>
      <c r="Q142" s="90">
        <f>IF(OR(posicao_contratual!R142="",posicao_contratual!V142=""),"",ROUND(MAX(posicao_contratual!R142+posicao_contratual!P142-posicao_contratual!V142,0),2))</f>
        <v/>
      </c>
      <c r="R142" s="335">
        <f>IF(AND(A142="",A141&lt;&gt;"",COUNTIF(A143:$A$200,"&lt;&gt;")=0),ROUND(SUMIF($A$2:A141,"&lt;&gt;",$R$2:R141),2),IF(OR(Q142="",C142="",NOT(ISNUMBER($Z$5))),"",ROUND(Q142*C142*$Z$5,2)))</f>
        <v/>
      </c>
      <c r="S142" s="43" t="n"/>
      <c r="T142" s="342" t="n"/>
      <c r="U142" s="91">
        <f>IF(AND(A142="",A141&lt;&gt;"",COUNTIF(A143:$A$200,"&lt;&gt;")=0),"TOTAL",IF(A142="","",posicao_contratual!X142))</f>
        <v/>
      </c>
      <c r="V142" s="91">
        <f>IF(A142="","",posicao_contratual!X142)</f>
        <v/>
      </c>
      <c r="W142" s="13" t="n"/>
      <c r="X142" s="13" t="n"/>
      <c r="Y142" s="13" t="n"/>
      <c r="Z142" s="13" t="n"/>
      <c r="AA142" s="13" t="n"/>
      <c r="AB142" s="90">
        <f>IF(OR(A142="",posicao_contratual!E142="",posicao_contratual!J142=""),"",ROUND(MAX(posicao_contratual!E142-posicao_contratual!J142,0),2))</f>
        <v/>
      </c>
      <c r="AC142" s="335">
        <f>IF(AND(A142="",A141&lt;&gt;"",COUNTIF(A143:$A$200,"&lt;&gt;")=0),ROUND(SUMIF($A$2:A141,"&lt;&gt;",$AC$2:AC141),2),IF(OR(AB142="",C142="",NOT(ISNUMBER($Z$2))),"",ROUND(AB142*C142*$Z$2,2)))</f>
        <v/>
      </c>
      <c r="AD142" s="155">
        <f>IF(A142="","",posicao_contratual!E142)</f>
        <v/>
      </c>
      <c r="AE142" s="155">
        <f>IF(A142="","",posicao_contratual!I142)</f>
        <v/>
      </c>
      <c r="AF142" s="155">
        <f>IF(A142="","",posicao_contratual!M142)</f>
        <v/>
      </c>
      <c r="AG142" s="155">
        <f>IF(A142="","",posicao_contratual!Q142)</f>
        <v/>
      </c>
      <c r="AH142" s="155">
        <f>IF(A142="","",posicao_contratual!U142)</f>
        <v/>
      </c>
      <c r="AI142" s="155">
        <f>IF(A142="","",posicao_contratual!G142)</f>
        <v/>
      </c>
      <c r="AJ142" s="155">
        <f>IF(A142="","",posicao_contratual!K142)</f>
        <v/>
      </c>
      <c r="AK142" s="155">
        <f>IF(A142="","",posicao_contratual!O142)</f>
        <v/>
      </c>
      <c r="AL142" s="155">
        <f>IF(A142="","",posicao_contratual!S142)</f>
        <v/>
      </c>
      <c r="AM142" s="155">
        <f>IF(A142="","",posicao_contratual!W142)</f>
        <v/>
      </c>
      <c r="AN142" s="156">
        <f>IF(A142="","",posicao_contratual!X142)</f>
        <v/>
      </c>
      <c r="AO142">
        <f>IF($A142="","",ROUND(SUMIFS(itens_Consumidos!$E$2:$E$200,itens_Consumidos!$A$2:$A$200,$A142),2))</f>
        <v/>
      </c>
      <c r="AP142">
        <f>IF(OR($A142="",AB142=""),"",ROUND(MAX(AB142-AO142,0),2))</f>
        <v/>
      </c>
      <c r="AQ142">
        <f>IF(OR($A142="",AB142="",MEMORIA_RESULTADOS!$I$258=""),"",ROUND(AB142*$C142*(MEMORIA_RESULTADOS!$I$258-1),2))</f>
        <v/>
      </c>
      <c r="AR142">
        <f>IF(OR($A142="",AP142="",MEMORIA_RESULTADOS!$I$258=""),"",ROUND(AP142*$C142*(parametros!$F$2-MEMORIA_RESULTADOS!$I$258),2))</f>
        <v/>
      </c>
      <c r="AS142">
        <f>IF($A142="","",ROUND(SUMIFS(itens_Consumidos!$G$2:$G$200,itens_Consumidos!$A$2:$A$200,$A142),2))</f>
        <v/>
      </c>
      <c r="AT142">
        <f>IF(OR($A142="",M142=""),"",ROUND(MAX(M142-AS142,0),2))</f>
        <v/>
      </c>
      <c r="AU142">
        <f>IF(OR($A142="",M142="",MEMORIA_RESULTADOS!$I$259=""),"",ROUND(M142*$C142*(MEMORIA_RESULTADOS!$I$259-1),2))</f>
        <v/>
      </c>
      <c r="AV142">
        <f>IF(OR($A142="",AT142="",MEMORIA_RESULTADOS!$I$259=""),"",ROUND(AT142*$C142*(parametros!$F$3-MEMORIA_RESULTADOS!$I$259),2))</f>
        <v/>
      </c>
      <c r="AW142">
        <f>IF($A142="","",ROUND(SUMIFS(itens_Consumidos!$I$2:$I$200,itens_Consumidos!$A$2:$A$200,$A142),2))</f>
        <v/>
      </c>
      <c r="AX142">
        <f>IF(OR($A142="",O142=""),"",ROUND(MAX(O142-AW142,0),2))</f>
        <v/>
      </c>
      <c r="AY142">
        <f>IF(OR($A142="",O142="",MEMORIA_RESULTADOS!$I$260=""),"",ROUND(O142*$C142*(MEMORIA_RESULTADOS!$I$260-1),2))</f>
        <v/>
      </c>
      <c r="AZ142">
        <f>IF(OR($A142="",AX142="",MEMORIA_RESULTADOS!$I$260=""),"",ROUND(AX142*$C142*(parametros!$F$4-MEMORIA_RESULTADOS!$I$260),2))</f>
        <v/>
      </c>
      <c r="BA142">
        <f>IF($A142="","",ROUND(SUMIFS(itens_Consumidos!$K$2:$K$200,itens_Consumidos!$A$2:$A$200,$A142),2))</f>
        <v/>
      </c>
      <c r="BB142">
        <f>IF(OR($A142="",Q142=""),"",ROUND(MAX(Q142-BA142,0),2))</f>
        <v/>
      </c>
      <c r="BC142">
        <f>IF(OR($A142="",Q142="",MEMORIA_RESULTADOS!$I$261=""),"",ROUND(Q142*$C142*(MEMORIA_RESULTADOS!$I$261-1),2))</f>
        <v/>
      </c>
      <c r="BD142">
        <f>IF(OR($A142="",BB142="",MEMORIA_RESULTADOS!$I$261=""),"",ROUND(BB142*$C142*(parametros!$F$5-MEMORIA_RESULTADOS!$I$261),2))</f>
        <v/>
      </c>
      <c r="BE142">
        <f>IF($A142="","",ROUND(SUMIFS(itens_Consumidos!$M$2:$M$200,itens_Consumidos!$A$2:$A$200,$A142),2))</f>
        <v/>
      </c>
      <c r="BF142">
        <f>IF(OR($A142="",S142=""),"",ROUND(MAX(S142-BE142,0),2))</f>
        <v/>
      </c>
      <c r="BG142">
        <f>IF(OR($A142="",S142="",MEMORIA_RESULTADOS!$I$262=""),"",ROUND(S142*$C142*(MEMORIA_RESULTADOS!$I$262-1),2))</f>
        <v/>
      </c>
      <c r="BH142">
        <f>IF(OR($A142="",BF142="",MEMORIA_RESULTADOS!$I$262=""),"",ROUND(BF142*$C142*(parametros!$F$6-MEMORIA_RESULTADOS!$I$262),2))</f>
        <v/>
      </c>
    </row>
    <row r="143">
      <c r="A143" s="86" t="n"/>
      <c r="B143" s="87">
        <f>IF(AND(LEN(TRIM($A143))=4,LEFT(TRIM($A143),1)="N",ISNUMBER(--MID(TRIM($A143),2,3)),ISERROR(FIND(".",$A143)),ISERROR(FIND(",",$A143)),ISERROR(FIND("-",$A143)),ISERROR(FIND("+",$A143)),ISERROR(SEARCH("E",$A143,2)),ISERROR(FIND(" ",TRIM($A143)))),0,"")</f>
        <v/>
      </c>
      <c r="C143" s="339" t="n"/>
      <c r="D143" s="335">
        <f>IF(AND(A143="",A142&lt;&gt;"",COUNTIF(A144:$A$200,"&lt;&gt;")=0),ROUND(SUMIF($A$2:A142,"&lt;&gt;",$D$2:D142),2),IF(OR(A143="",B143="",C143=""),"",ROUND(B143*C143,2)))</f>
        <v/>
      </c>
      <c r="E143" s="89" t="n"/>
      <c r="F143" s="335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 t="n"/>
      <c r="H143" s="335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 t="n"/>
      <c r="J143" s="335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 t="n"/>
      <c r="L143" s="335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>
        <f>IF(OR(posicao_contratual!J143="",posicao_contratual!N143=""),"",ROUND(MAX(posicao_contratual!J143+posicao_contratual!H143-posicao_contratual!N143,0),2))</f>
        <v/>
      </c>
      <c r="N143" s="335">
        <f>IF(AND(A143="",A142&lt;&gt;"",COUNTIF(A144:$A$200,"&lt;&gt;")=0),ROUND(SUMIF($A$2:A142,"&lt;&gt;",$N$2:N142),2),IF(OR(M143="",C143="",NOT(ISNUMBER($Z$3))),"",ROUND(M143*C143*$Z$3,2)))</f>
        <v/>
      </c>
      <c r="O143" s="90">
        <f>IF(OR(posicao_contratual!N143="",posicao_contratual!R143=""),"",ROUND(MAX(posicao_contratual!N143+posicao_contratual!L143-posicao_contratual!R143,0),2))</f>
        <v/>
      </c>
      <c r="P143" s="335">
        <f>IF(AND(A143="",A142&lt;&gt;"",COUNTIF(A144:$A$200,"&lt;&gt;")=0),ROUND(SUMIF($A$2:A142,"&lt;&gt;",$P$2:P142),2),IF(OR(O143="",C143="",NOT(ISNUMBER($Z$4))),"",ROUND(O143*C143*$Z$4,2)))</f>
        <v/>
      </c>
      <c r="Q143" s="90">
        <f>IF(OR(posicao_contratual!R143="",posicao_contratual!V143=""),"",ROUND(MAX(posicao_contratual!R143+posicao_contratual!P143-posicao_contratual!V143,0),2))</f>
        <v/>
      </c>
      <c r="R143" s="335">
        <f>IF(AND(A143="",A142&lt;&gt;"",COUNTIF(A144:$A$200,"&lt;&gt;")=0),ROUND(SUMIF($A$2:A142,"&lt;&gt;",$R$2:R142),2),IF(OR(Q143="",C143="",NOT(ISNUMBER($Z$5))),"",ROUND(Q143*C143*$Z$5,2)))</f>
        <v/>
      </c>
      <c r="S143" s="43" t="n"/>
      <c r="T143" s="342" t="n"/>
      <c r="U143" s="91">
        <f>IF(AND(A143="",A142&lt;&gt;"",COUNTIF(A144:$A$200,"&lt;&gt;")=0),"TOTAL",IF(A143="","",posicao_contratual!X143))</f>
        <v/>
      </c>
      <c r="V143" s="91">
        <f>IF(A143="","",posicao_contratual!X143)</f>
        <v/>
      </c>
      <c r="W143" s="13" t="n"/>
      <c r="X143" s="13" t="n"/>
      <c r="Y143" s="13" t="n"/>
      <c r="Z143" s="13" t="n"/>
      <c r="AA143" s="13" t="n"/>
      <c r="AB143" s="90">
        <f>IF(OR(A143="",posicao_contratual!E143="",posicao_contratual!J143=""),"",ROUND(MAX(posicao_contratual!E143-posicao_contratual!J143,0),2))</f>
        <v/>
      </c>
      <c r="AC143" s="335">
        <f>IF(AND(A143="",A142&lt;&gt;"",COUNTIF(A144:$A$200,"&lt;&gt;")=0),ROUND(SUMIF($A$2:A142,"&lt;&gt;",$AC$2:AC142),2),IF(OR(AB143="",C143="",NOT(ISNUMBER($Z$2))),"",ROUND(AB143*C143*$Z$2,2)))</f>
        <v/>
      </c>
      <c r="AD143" s="155">
        <f>IF(A143="","",posicao_contratual!E143)</f>
        <v/>
      </c>
      <c r="AE143" s="155">
        <f>IF(A143="","",posicao_contratual!I143)</f>
        <v/>
      </c>
      <c r="AF143" s="155">
        <f>IF(A143="","",posicao_contratual!M143)</f>
        <v/>
      </c>
      <c r="AG143" s="155">
        <f>IF(A143="","",posicao_contratual!Q143)</f>
        <v/>
      </c>
      <c r="AH143" s="155">
        <f>IF(A143="","",posicao_contratual!U143)</f>
        <v/>
      </c>
      <c r="AI143" s="155">
        <f>IF(A143="","",posicao_contratual!G143)</f>
        <v/>
      </c>
      <c r="AJ143" s="155">
        <f>IF(A143="","",posicao_contratual!K143)</f>
        <v/>
      </c>
      <c r="AK143" s="155">
        <f>IF(A143="","",posicao_contratual!O143)</f>
        <v/>
      </c>
      <c r="AL143" s="155">
        <f>IF(A143="","",posicao_contratual!S143)</f>
        <v/>
      </c>
      <c r="AM143" s="155">
        <f>IF(A143="","",posicao_contratual!W143)</f>
        <v/>
      </c>
      <c r="AN143" s="156">
        <f>IF(A143="","",posicao_contratual!X143)</f>
        <v/>
      </c>
      <c r="AO143">
        <f>IF($A143="","",ROUND(SUMIFS(itens_Consumidos!$E$2:$E$200,itens_Consumidos!$A$2:$A$200,$A143),2))</f>
        <v/>
      </c>
      <c r="AP143">
        <f>IF(OR($A143="",AB143=""),"",ROUND(MAX(AB143-AO143,0),2))</f>
        <v/>
      </c>
      <c r="AQ143">
        <f>IF(OR($A143="",AB143="",MEMORIA_RESULTADOS!$I$258=""),"",ROUND(AB143*$C143*(MEMORIA_RESULTADOS!$I$258-1),2))</f>
        <v/>
      </c>
      <c r="AR143">
        <f>IF(OR($A143="",AP143="",MEMORIA_RESULTADOS!$I$258=""),"",ROUND(AP143*$C143*(parametros!$F$2-MEMORIA_RESULTADOS!$I$258),2))</f>
        <v/>
      </c>
      <c r="AS143">
        <f>IF($A143="","",ROUND(SUMIFS(itens_Consumidos!$G$2:$G$200,itens_Consumidos!$A$2:$A$200,$A143),2))</f>
        <v/>
      </c>
      <c r="AT143">
        <f>IF(OR($A143="",M143=""),"",ROUND(MAX(M143-AS143,0),2))</f>
        <v/>
      </c>
      <c r="AU143">
        <f>IF(OR($A143="",M143="",MEMORIA_RESULTADOS!$I$259=""),"",ROUND(M143*$C143*(MEMORIA_RESULTADOS!$I$259-1),2))</f>
        <v/>
      </c>
      <c r="AV143">
        <f>IF(OR($A143="",AT143="",MEMORIA_RESULTADOS!$I$259=""),"",ROUND(AT143*$C143*(parametros!$F$3-MEMORIA_RESULTADOS!$I$259),2))</f>
        <v/>
      </c>
      <c r="AW143">
        <f>IF($A143="","",ROUND(SUMIFS(itens_Consumidos!$I$2:$I$200,itens_Consumidos!$A$2:$A$200,$A143),2))</f>
        <v/>
      </c>
      <c r="AX143">
        <f>IF(OR($A143="",O143=""),"",ROUND(MAX(O143-AW143,0),2))</f>
        <v/>
      </c>
      <c r="AY143">
        <f>IF(OR($A143="",O143="",MEMORIA_RESULTADOS!$I$260=""),"",ROUND(O143*$C143*(MEMORIA_RESULTADOS!$I$260-1),2))</f>
        <v/>
      </c>
      <c r="AZ143">
        <f>IF(OR($A143="",AX143="",MEMORIA_RESULTADOS!$I$260=""),"",ROUND(AX143*$C143*(parametros!$F$4-MEMORIA_RESULTADOS!$I$260),2))</f>
        <v/>
      </c>
      <c r="BA143">
        <f>IF($A143="","",ROUND(SUMIFS(itens_Consumidos!$K$2:$K$200,itens_Consumidos!$A$2:$A$200,$A143),2))</f>
        <v/>
      </c>
      <c r="BB143">
        <f>IF(OR($A143="",Q143=""),"",ROUND(MAX(Q143-BA143,0),2))</f>
        <v/>
      </c>
      <c r="BC143">
        <f>IF(OR($A143="",Q143="",MEMORIA_RESULTADOS!$I$261=""),"",ROUND(Q143*$C143*(MEMORIA_RESULTADOS!$I$261-1),2))</f>
        <v/>
      </c>
      <c r="BD143">
        <f>IF(OR($A143="",BB143="",MEMORIA_RESULTADOS!$I$261=""),"",ROUND(BB143*$C143*(parametros!$F$5-MEMORIA_RESULTADOS!$I$261),2))</f>
        <v/>
      </c>
      <c r="BE143">
        <f>IF($A143="","",ROUND(SUMIFS(itens_Consumidos!$M$2:$M$200,itens_Consumidos!$A$2:$A$200,$A143),2))</f>
        <v/>
      </c>
      <c r="BF143">
        <f>IF(OR($A143="",S143=""),"",ROUND(MAX(S143-BE143,0),2))</f>
        <v/>
      </c>
      <c r="BG143">
        <f>IF(OR($A143="",S143="",MEMORIA_RESULTADOS!$I$262=""),"",ROUND(S143*$C143*(MEMORIA_RESULTADOS!$I$262-1),2))</f>
        <v/>
      </c>
      <c r="BH143">
        <f>IF(OR($A143="",BF143="",MEMORIA_RESULTADOS!$I$262=""),"",ROUND(BF143*$C143*(parametros!$F$6-MEMORIA_RESULTADOS!$I$262),2))</f>
        <v/>
      </c>
    </row>
    <row r="144">
      <c r="A144" s="86" t="n"/>
      <c r="B144" s="87">
        <f>IF(AND(LEN(TRIM($A144))=4,LEFT(TRIM($A144),1)="N",ISNUMBER(--MID(TRIM($A144),2,3)),ISERROR(FIND(".",$A144)),ISERROR(FIND(",",$A144)),ISERROR(FIND("-",$A144)),ISERROR(FIND("+",$A144)),ISERROR(SEARCH("E",$A144,2)),ISERROR(FIND(" ",TRIM($A144)))),0,"")</f>
        <v/>
      </c>
      <c r="C144" s="339" t="n"/>
      <c r="D144" s="335">
        <f>IF(AND(A144="",A143&lt;&gt;"",COUNTIF(A145:$A$200,"&lt;&gt;")=0),ROUND(SUMIF($A$2:A143,"&lt;&gt;",$D$2:D143),2),IF(OR(A144="",B144="",C144=""),"",ROUND(B144*C144,2)))</f>
        <v/>
      </c>
      <c r="E144" s="89" t="n"/>
      <c r="F144" s="335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 t="n"/>
      <c r="H144" s="335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 t="n"/>
      <c r="J144" s="335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 t="n"/>
      <c r="L144" s="335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>
        <f>IF(OR(posicao_contratual!J144="",posicao_contratual!N144=""),"",ROUND(MAX(posicao_contratual!J144+posicao_contratual!H144-posicao_contratual!N144,0),2))</f>
        <v/>
      </c>
      <c r="N144" s="335">
        <f>IF(AND(A144="",A143&lt;&gt;"",COUNTIF(A145:$A$200,"&lt;&gt;")=0),ROUND(SUMIF($A$2:A143,"&lt;&gt;",$N$2:N143),2),IF(OR(M144="",C144="",NOT(ISNUMBER($Z$3))),"",ROUND(M144*C144*$Z$3,2)))</f>
        <v/>
      </c>
      <c r="O144" s="90">
        <f>IF(OR(posicao_contratual!N144="",posicao_contratual!R144=""),"",ROUND(MAX(posicao_contratual!N144+posicao_contratual!L144-posicao_contratual!R144,0),2))</f>
        <v/>
      </c>
      <c r="P144" s="335">
        <f>IF(AND(A144="",A143&lt;&gt;"",COUNTIF(A145:$A$200,"&lt;&gt;")=0),ROUND(SUMIF($A$2:A143,"&lt;&gt;",$P$2:P143),2),IF(OR(O144="",C144="",NOT(ISNUMBER($Z$4))),"",ROUND(O144*C144*$Z$4,2)))</f>
        <v/>
      </c>
      <c r="Q144" s="90">
        <f>IF(OR(posicao_contratual!R144="",posicao_contratual!V144=""),"",ROUND(MAX(posicao_contratual!R144+posicao_contratual!P144-posicao_contratual!V144,0),2))</f>
        <v/>
      </c>
      <c r="R144" s="335">
        <f>IF(AND(A144="",A143&lt;&gt;"",COUNTIF(A145:$A$200,"&lt;&gt;")=0),ROUND(SUMIF($A$2:A143,"&lt;&gt;",$R$2:R143),2),IF(OR(Q144="",C144="",NOT(ISNUMBER($Z$5))),"",ROUND(Q144*C144*$Z$5,2)))</f>
        <v/>
      </c>
      <c r="S144" s="43" t="n"/>
      <c r="T144" s="342" t="n"/>
      <c r="U144" s="91">
        <f>IF(AND(A144="",A143&lt;&gt;"",COUNTIF(A145:$A$200,"&lt;&gt;")=0),"TOTAL",IF(A144="","",posicao_contratual!X144))</f>
        <v/>
      </c>
      <c r="V144" s="91">
        <f>IF(A144="","",posicao_contratual!X144)</f>
        <v/>
      </c>
      <c r="W144" s="13" t="n"/>
      <c r="X144" s="13" t="n"/>
      <c r="Y144" s="13" t="n"/>
      <c r="Z144" s="13" t="n"/>
      <c r="AA144" s="13" t="n"/>
      <c r="AB144" s="90">
        <f>IF(OR(A144="",posicao_contratual!E144="",posicao_contratual!J144=""),"",ROUND(MAX(posicao_contratual!E144-posicao_contratual!J144,0),2))</f>
        <v/>
      </c>
      <c r="AC144" s="335">
        <f>IF(AND(A144="",A143&lt;&gt;"",COUNTIF(A145:$A$200,"&lt;&gt;")=0),ROUND(SUMIF($A$2:A143,"&lt;&gt;",$AC$2:AC143),2),IF(OR(AB144="",C144="",NOT(ISNUMBER($Z$2))),"",ROUND(AB144*C144*$Z$2,2)))</f>
        <v/>
      </c>
      <c r="AD144" s="155">
        <f>IF(A144="","",posicao_contratual!E144)</f>
        <v/>
      </c>
      <c r="AE144" s="155">
        <f>IF(A144="","",posicao_contratual!I144)</f>
        <v/>
      </c>
      <c r="AF144" s="155">
        <f>IF(A144="","",posicao_contratual!M144)</f>
        <v/>
      </c>
      <c r="AG144" s="155">
        <f>IF(A144="","",posicao_contratual!Q144)</f>
        <v/>
      </c>
      <c r="AH144" s="155">
        <f>IF(A144="","",posicao_contratual!U144)</f>
        <v/>
      </c>
      <c r="AI144" s="155">
        <f>IF(A144="","",posicao_contratual!G144)</f>
        <v/>
      </c>
      <c r="AJ144" s="155">
        <f>IF(A144="","",posicao_contratual!K144)</f>
        <v/>
      </c>
      <c r="AK144" s="155">
        <f>IF(A144="","",posicao_contratual!O144)</f>
        <v/>
      </c>
      <c r="AL144" s="155">
        <f>IF(A144="","",posicao_contratual!S144)</f>
        <v/>
      </c>
      <c r="AM144" s="155">
        <f>IF(A144="","",posicao_contratual!W144)</f>
        <v/>
      </c>
      <c r="AN144" s="156">
        <f>IF(A144="","",posicao_contratual!X144)</f>
        <v/>
      </c>
      <c r="AO144">
        <f>IF($A144="","",ROUND(SUMIFS(itens_Consumidos!$E$2:$E$200,itens_Consumidos!$A$2:$A$200,$A144),2))</f>
        <v/>
      </c>
      <c r="AP144">
        <f>IF(OR($A144="",AB144=""),"",ROUND(MAX(AB144-AO144,0),2))</f>
        <v/>
      </c>
      <c r="AQ144">
        <f>IF(OR($A144="",AB144="",MEMORIA_RESULTADOS!$I$258=""),"",ROUND(AB144*$C144*(MEMORIA_RESULTADOS!$I$258-1),2))</f>
        <v/>
      </c>
      <c r="AR144">
        <f>IF(OR($A144="",AP144="",MEMORIA_RESULTADOS!$I$258=""),"",ROUND(AP144*$C144*(parametros!$F$2-MEMORIA_RESULTADOS!$I$258),2))</f>
        <v/>
      </c>
      <c r="AS144">
        <f>IF($A144="","",ROUND(SUMIFS(itens_Consumidos!$G$2:$G$200,itens_Consumidos!$A$2:$A$200,$A144),2))</f>
        <v/>
      </c>
      <c r="AT144">
        <f>IF(OR($A144="",M144=""),"",ROUND(MAX(M144-AS144,0),2))</f>
        <v/>
      </c>
      <c r="AU144">
        <f>IF(OR($A144="",M144="",MEMORIA_RESULTADOS!$I$259=""),"",ROUND(M144*$C144*(MEMORIA_RESULTADOS!$I$259-1),2))</f>
        <v/>
      </c>
      <c r="AV144">
        <f>IF(OR($A144="",AT144="",MEMORIA_RESULTADOS!$I$259=""),"",ROUND(AT144*$C144*(parametros!$F$3-MEMORIA_RESULTADOS!$I$259),2))</f>
        <v/>
      </c>
      <c r="AW144">
        <f>IF($A144="","",ROUND(SUMIFS(itens_Consumidos!$I$2:$I$200,itens_Consumidos!$A$2:$A$200,$A144),2))</f>
        <v/>
      </c>
      <c r="AX144">
        <f>IF(OR($A144="",O144=""),"",ROUND(MAX(O144-AW144,0),2))</f>
        <v/>
      </c>
      <c r="AY144">
        <f>IF(OR($A144="",O144="",MEMORIA_RESULTADOS!$I$260=""),"",ROUND(O144*$C144*(MEMORIA_RESULTADOS!$I$260-1),2))</f>
        <v/>
      </c>
      <c r="AZ144">
        <f>IF(OR($A144="",AX144="",MEMORIA_RESULTADOS!$I$260=""),"",ROUND(AX144*$C144*(parametros!$F$4-MEMORIA_RESULTADOS!$I$260),2))</f>
        <v/>
      </c>
      <c r="BA144">
        <f>IF($A144="","",ROUND(SUMIFS(itens_Consumidos!$K$2:$K$200,itens_Consumidos!$A$2:$A$200,$A144),2))</f>
        <v/>
      </c>
      <c r="BB144">
        <f>IF(OR($A144="",Q144=""),"",ROUND(MAX(Q144-BA144,0),2))</f>
        <v/>
      </c>
      <c r="BC144">
        <f>IF(OR($A144="",Q144="",MEMORIA_RESULTADOS!$I$261=""),"",ROUND(Q144*$C144*(MEMORIA_RESULTADOS!$I$261-1),2))</f>
        <v/>
      </c>
      <c r="BD144">
        <f>IF(OR($A144="",BB144="",MEMORIA_RESULTADOS!$I$261=""),"",ROUND(BB144*$C144*(parametros!$F$5-MEMORIA_RESULTADOS!$I$261),2))</f>
        <v/>
      </c>
      <c r="BE144">
        <f>IF($A144="","",ROUND(SUMIFS(itens_Consumidos!$M$2:$M$200,itens_Consumidos!$A$2:$A$200,$A144),2))</f>
        <v/>
      </c>
      <c r="BF144">
        <f>IF(OR($A144="",S144=""),"",ROUND(MAX(S144-BE144,0),2))</f>
        <v/>
      </c>
      <c r="BG144">
        <f>IF(OR($A144="",S144="",MEMORIA_RESULTADOS!$I$262=""),"",ROUND(S144*$C144*(MEMORIA_RESULTADOS!$I$262-1),2))</f>
        <v/>
      </c>
      <c r="BH144">
        <f>IF(OR($A144="",BF144="",MEMORIA_RESULTADOS!$I$262=""),"",ROUND(BF144*$C144*(parametros!$F$6-MEMORIA_RESULTADOS!$I$262),2))</f>
        <v/>
      </c>
    </row>
    <row r="145">
      <c r="A145" s="86" t="n"/>
      <c r="B145" s="87">
        <f>IF(AND(LEN(TRIM($A145))=4,LEFT(TRIM($A145),1)="N",ISNUMBER(--MID(TRIM($A145),2,3)),ISERROR(FIND(".",$A145)),ISERROR(FIND(",",$A145)),ISERROR(FIND("-",$A145)),ISERROR(FIND("+",$A145)),ISERROR(SEARCH("E",$A145,2)),ISERROR(FIND(" ",TRIM($A145)))),0,"")</f>
        <v/>
      </c>
      <c r="C145" s="339" t="n"/>
      <c r="D145" s="335">
        <f>IF(AND(A145="",A144&lt;&gt;"",COUNTIF(A146:$A$200,"&lt;&gt;")=0),ROUND(SUMIF($A$2:A144,"&lt;&gt;",$D$2:D144),2),IF(OR(A145="",B145="",C145=""),"",ROUND(B145*C145,2)))</f>
        <v/>
      </c>
      <c r="E145" s="89" t="n"/>
      <c r="F145" s="335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 t="n"/>
      <c r="H145" s="335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 t="n"/>
      <c r="J145" s="335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 t="n"/>
      <c r="L145" s="335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>
        <f>IF(OR(posicao_contratual!J145="",posicao_contratual!N145=""),"",ROUND(MAX(posicao_contratual!J145+posicao_contratual!H145-posicao_contratual!N145,0),2))</f>
        <v/>
      </c>
      <c r="N145" s="335">
        <f>IF(AND(A145="",A144&lt;&gt;"",COUNTIF(A146:$A$200,"&lt;&gt;")=0),ROUND(SUMIF($A$2:A144,"&lt;&gt;",$N$2:N144),2),IF(OR(M145="",C145="",NOT(ISNUMBER($Z$3))),"",ROUND(M145*C145*$Z$3,2)))</f>
        <v/>
      </c>
      <c r="O145" s="90">
        <f>IF(OR(posicao_contratual!N145="",posicao_contratual!R145=""),"",ROUND(MAX(posicao_contratual!N145+posicao_contratual!L145-posicao_contratual!R145,0),2))</f>
        <v/>
      </c>
      <c r="P145" s="335">
        <f>IF(AND(A145="",A144&lt;&gt;"",COUNTIF(A146:$A$200,"&lt;&gt;")=0),ROUND(SUMIF($A$2:A144,"&lt;&gt;",$P$2:P144),2),IF(OR(O145="",C145="",NOT(ISNUMBER($Z$4))),"",ROUND(O145*C145*$Z$4,2)))</f>
        <v/>
      </c>
      <c r="Q145" s="90">
        <f>IF(OR(posicao_contratual!R145="",posicao_contratual!V145=""),"",ROUND(MAX(posicao_contratual!R145+posicao_contratual!P145-posicao_contratual!V145,0),2))</f>
        <v/>
      </c>
      <c r="R145" s="335">
        <f>IF(AND(A145="",A144&lt;&gt;"",COUNTIF(A146:$A$200,"&lt;&gt;")=0),ROUND(SUMIF($A$2:A144,"&lt;&gt;",$R$2:R144),2),IF(OR(Q145="",C145="",NOT(ISNUMBER($Z$5))),"",ROUND(Q145*C145*$Z$5,2)))</f>
        <v/>
      </c>
      <c r="S145" s="43" t="n"/>
      <c r="T145" s="342" t="n"/>
      <c r="U145" s="91">
        <f>IF(AND(A145="",A144&lt;&gt;"",COUNTIF(A146:$A$200,"&lt;&gt;")=0),"TOTAL",IF(A145="","",posicao_contratual!X145))</f>
        <v/>
      </c>
      <c r="V145" s="91">
        <f>IF(A145="","",posicao_contratual!X145)</f>
        <v/>
      </c>
      <c r="W145" s="13" t="n"/>
      <c r="X145" s="13" t="n"/>
      <c r="Y145" s="13" t="n"/>
      <c r="Z145" s="13" t="n"/>
      <c r="AA145" s="13" t="n"/>
      <c r="AB145" s="90">
        <f>IF(OR(A145="",posicao_contratual!E145="",posicao_contratual!J145=""),"",ROUND(MAX(posicao_contratual!E145-posicao_contratual!J145,0),2))</f>
        <v/>
      </c>
      <c r="AC145" s="335">
        <f>IF(AND(A145="",A144&lt;&gt;"",COUNTIF(A146:$A$200,"&lt;&gt;")=0),ROUND(SUMIF($A$2:A144,"&lt;&gt;",$AC$2:AC144),2),IF(OR(AB145="",C145="",NOT(ISNUMBER($Z$2))),"",ROUND(AB145*C145*$Z$2,2)))</f>
        <v/>
      </c>
      <c r="AD145" s="155">
        <f>IF(A145="","",posicao_contratual!E145)</f>
        <v/>
      </c>
      <c r="AE145" s="155">
        <f>IF(A145="","",posicao_contratual!I145)</f>
        <v/>
      </c>
      <c r="AF145" s="155">
        <f>IF(A145="","",posicao_contratual!M145)</f>
        <v/>
      </c>
      <c r="AG145" s="155">
        <f>IF(A145="","",posicao_contratual!Q145)</f>
        <v/>
      </c>
      <c r="AH145" s="155">
        <f>IF(A145="","",posicao_contratual!U145)</f>
        <v/>
      </c>
      <c r="AI145" s="155">
        <f>IF(A145="","",posicao_contratual!G145)</f>
        <v/>
      </c>
      <c r="AJ145" s="155">
        <f>IF(A145="","",posicao_contratual!K145)</f>
        <v/>
      </c>
      <c r="AK145" s="155">
        <f>IF(A145="","",posicao_contratual!O145)</f>
        <v/>
      </c>
      <c r="AL145" s="155">
        <f>IF(A145="","",posicao_contratual!S145)</f>
        <v/>
      </c>
      <c r="AM145" s="155">
        <f>IF(A145="","",posicao_contratual!W145)</f>
        <v/>
      </c>
      <c r="AN145" s="156">
        <f>IF(A145="","",posicao_contratual!X145)</f>
        <v/>
      </c>
      <c r="AO145">
        <f>IF($A145="","",ROUND(SUMIFS(itens_Consumidos!$E$2:$E$200,itens_Consumidos!$A$2:$A$200,$A145),2))</f>
        <v/>
      </c>
      <c r="AP145">
        <f>IF(OR($A145="",AB145=""),"",ROUND(MAX(AB145-AO145,0),2))</f>
        <v/>
      </c>
      <c r="AQ145">
        <f>IF(OR($A145="",AB145="",MEMORIA_RESULTADOS!$I$258=""),"",ROUND(AB145*$C145*(MEMORIA_RESULTADOS!$I$258-1),2))</f>
        <v/>
      </c>
      <c r="AR145">
        <f>IF(OR($A145="",AP145="",MEMORIA_RESULTADOS!$I$258=""),"",ROUND(AP145*$C145*(parametros!$F$2-MEMORIA_RESULTADOS!$I$258),2))</f>
        <v/>
      </c>
      <c r="AS145">
        <f>IF($A145="","",ROUND(SUMIFS(itens_Consumidos!$G$2:$G$200,itens_Consumidos!$A$2:$A$200,$A145),2))</f>
        <v/>
      </c>
      <c r="AT145">
        <f>IF(OR($A145="",M145=""),"",ROUND(MAX(M145-AS145,0),2))</f>
        <v/>
      </c>
      <c r="AU145">
        <f>IF(OR($A145="",M145="",MEMORIA_RESULTADOS!$I$259=""),"",ROUND(M145*$C145*(MEMORIA_RESULTADOS!$I$259-1),2))</f>
        <v/>
      </c>
      <c r="AV145">
        <f>IF(OR($A145="",AT145="",MEMORIA_RESULTADOS!$I$259=""),"",ROUND(AT145*$C145*(parametros!$F$3-MEMORIA_RESULTADOS!$I$259),2))</f>
        <v/>
      </c>
      <c r="AW145">
        <f>IF($A145="","",ROUND(SUMIFS(itens_Consumidos!$I$2:$I$200,itens_Consumidos!$A$2:$A$200,$A145),2))</f>
        <v/>
      </c>
      <c r="AX145">
        <f>IF(OR($A145="",O145=""),"",ROUND(MAX(O145-AW145,0),2))</f>
        <v/>
      </c>
      <c r="AY145">
        <f>IF(OR($A145="",O145="",MEMORIA_RESULTADOS!$I$260=""),"",ROUND(O145*$C145*(MEMORIA_RESULTADOS!$I$260-1),2))</f>
        <v/>
      </c>
      <c r="AZ145">
        <f>IF(OR($A145="",AX145="",MEMORIA_RESULTADOS!$I$260=""),"",ROUND(AX145*$C145*(parametros!$F$4-MEMORIA_RESULTADOS!$I$260),2))</f>
        <v/>
      </c>
      <c r="BA145">
        <f>IF($A145="","",ROUND(SUMIFS(itens_Consumidos!$K$2:$K$200,itens_Consumidos!$A$2:$A$200,$A145),2))</f>
        <v/>
      </c>
      <c r="BB145">
        <f>IF(OR($A145="",Q145=""),"",ROUND(MAX(Q145-BA145,0),2))</f>
        <v/>
      </c>
      <c r="BC145">
        <f>IF(OR($A145="",Q145="",MEMORIA_RESULTADOS!$I$261=""),"",ROUND(Q145*$C145*(MEMORIA_RESULTADOS!$I$261-1),2))</f>
        <v/>
      </c>
      <c r="BD145">
        <f>IF(OR($A145="",BB145="",MEMORIA_RESULTADOS!$I$261=""),"",ROUND(BB145*$C145*(parametros!$F$5-MEMORIA_RESULTADOS!$I$261),2))</f>
        <v/>
      </c>
      <c r="BE145">
        <f>IF($A145="","",ROUND(SUMIFS(itens_Consumidos!$M$2:$M$200,itens_Consumidos!$A$2:$A$200,$A145),2))</f>
        <v/>
      </c>
      <c r="BF145">
        <f>IF(OR($A145="",S145=""),"",ROUND(MAX(S145-BE145,0),2))</f>
        <v/>
      </c>
      <c r="BG145">
        <f>IF(OR($A145="",S145="",MEMORIA_RESULTADOS!$I$262=""),"",ROUND(S145*$C145*(MEMORIA_RESULTADOS!$I$262-1),2))</f>
        <v/>
      </c>
      <c r="BH145">
        <f>IF(OR($A145="",BF145="",MEMORIA_RESULTADOS!$I$262=""),"",ROUND(BF145*$C145*(parametros!$F$6-MEMORIA_RESULTADOS!$I$262),2))</f>
        <v/>
      </c>
    </row>
    <row r="146">
      <c r="A146" s="86" t="n"/>
      <c r="B146" s="87">
        <f>IF(AND(LEN(TRIM($A146))=4,LEFT(TRIM($A146),1)="N",ISNUMBER(--MID(TRIM($A146),2,3)),ISERROR(FIND(".",$A146)),ISERROR(FIND(",",$A146)),ISERROR(FIND("-",$A146)),ISERROR(FIND("+",$A146)),ISERROR(SEARCH("E",$A146,2)),ISERROR(FIND(" ",TRIM($A146)))),0,"")</f>
        <v/>
      </c>
      <c r="C146" s="339" t="n"/>
      <c r="D146" s="335">
        <f>IF(AND(A146="",A145&lt;&gt;"",COUNTIF(A147:$A$200,"&lt;&gt;")=0),ROUND(SUMIF($A$2:A145,"&lt;&gt;",$D$2:D145),2),IF(OR(A146="",B146="",C146=""),"",ROUND(B146*C146,2)))</f>
        <v/>
      </c>
      <c r="E146" s="89" t="n"/>
      <c r="F146" s="335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 t="n"/>
      <c r="H146" s="335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 t="n"/>
      <c r="J146" s="335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 t="n"/>
      <c r="L146" s="335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>
        <f>IF(OR(posicao_contratual!J146="",posicao_contratual!N146=""),"",ROUND(MAX(posicao_contratual!J146+posicao_contratual!H146-posicao_contratual!N146,0),2))</f>
        <v/>
      </c>
      <c r="N146" s="335">
        <f>IF(AND(A146="",A145&lt;&gt;"",COUNTIF(A147:$A$200,"&lt;&gt;")=0),ROUND(SUMIF($A$2:A145,"&lt;&gt;",$N$2:N145),2),IF(OR(M146="",C146="",NOT(ISNUMBER($Z$3))),"",ROUND(M146*C146*$Z$3,2)))</f>
        <v/>
      </c>
      <c r="O146" s="90">
        <f>IF(OR(posicao_contratual!N146="",posicao_contratual!R146=""),"",ROUND(MAX(posicao_contratual!N146+posicao_contratual!L146-posicao_contratual!R146,0),2))</f>
        <v/>
      </c>
      <c r="P146" s="335">
        <f>IF(AND(A146="",A145&lt;&gt;"",COUNTIF(A147:$A$200,"&lt;&gt;")=0),ROUND(SUMIF($A$2:A145,"&lt;&gt;",$P$2:P145),2),IF(OR(O146="",C146="",NOT(ISNUMBER($Z$4))),"",ROUND(O146*C146*$Z$4,2)))</f>
        <v/>
      </c>
      <c r="Q146" s="90">
        <f>IF(OR(posicao_contratual!R146="",posicao_contratual!V146=""),"",ROUND(MAX(posicao_contratual!R146+posicao_contratual!P146-posicao_contratual!V146,0),2))</f>
        <v/>
      </c>
      <c r="R146" s="335">
        <f>IF(AND(A146="",A145&lt;&gt;"",COUNTIF(A147:$A$200,"&lt;&gt;")=0),ROUND(SUMIF($A$2:A145,"&lt;&gt;",$R$2:R145),2),IF(OR(Q146="",C146="",NOT(ISNUMBER($Z$5))),"",ROUND(Q146*C146*$Z$5,2)))</f>
        <v/>
      </c>
      <c r="S146" s="43" t="n"/>
      <c r="T146" s="342" t="n"/>
      <c r="U146" s="91">
        <f>IF(AND(A146="",A145&lt;&gt;"",COUNTIF(A147:$A$200,"&lt;&gt;")=0),"TOTAL",IF(A146="","",posicao_contratual!X146))</f>
        <v/>
      </c>
      <c r="V146" s="91">
        <f>IF(A146="","",posicao_contratual!X146)</f>
        <v/>
      </c>
      <c r="W146" s="13" t="n"/>
      <c r="X146" s="13" t="n"/>
      <c r="Y146" s="13" t="n"/>
      <c r="Z146" s="13" t="n"/>
      <c r="AA146" s="13" t="n"/>
      <c r="AB146" s="90">
        <f>IF(OR(A146="",posicao_contratual!E146="",posicao_contratual!J146=""),"",ROUND(MAX(posicao_contratual!E146-posicao_contratual!J146,0),2))</f>
        <v/>
      </c>
      <c r="AC146" s="335">
        <f>IF(AND(A146="",A145&lt;&gt;"",COUNTIF(A147:$A$200,"&lt;&gt;")=0),ROUND(SUMIF($A$2:A145,"&lt;&gt;",$AC$2:AC145),2),IF(OR(AB146="",C146="",NOT(ISNUMBER($Z$2))),"",ROUND(AB146*C146*$Z$2,2)))</f>
        <v/>
      </c>
      <c r="AD146" s="155">
        <f>IF(A146="","",posicao_contratual!E146)</f>
        <v/>
      </c>
      <c r="AE146" s="155">
        <f>IF(A146="","",posicao_contratual!I146)</f>
        <v/>
      </c>
      <c r="AF146" s="155">
        <f>IF(A146="","",posicao_contratual!M146)</f>
        <v/>
      </c>
      <c r="AG146" s="155">
        <f>IF(A146="","",posicao_contratual!Q146)</f>
        <v/>
      </c>
      <c r="AH146" s="155">
        <f>IF(A146="","",posicao_contratual!U146)</f>
        <v/>
      </c>
      <c r="AI146" s="155">
        <f>IF(A146="","",posicao_contratual!G146)</f>
        <v/>
      </c>
      <c r="AJ146" s="155">
        <f>IF(A146="","",posicao_contratual!K146)</f>
        <v/>
      </c>
      <c r="AK146" s="155">
        <f>IF(A146="","",posicao_contratual!O146)</f>
        <v/>
      </c>
      <c r="AL146" s="155">
        <f>IF(A146="","",posicao_contratual!S146)</f>
        <v/>
      </c>
      <c r="AM146" s="155">
        <f>IF(A146="","",posicao_contratual!W146)</f>
        <v/>
      </c>
      <c r="AN146" s="156">
        <f>IF(A146="","",posicao_contratual!X146)</f>
        <v/>
      </c>
      <c r="AO146">
        <f>IF($A146="","",ROUND(SUMIFS(itens_Consumidos!$E$2:$E$200,itens_Consumidos!$A$2:$A$200,$A146),2))</f>
        <v/>
      </c>
      <c r="AP146">
        <f>IF(OR($A146="",AB146=""),"",ROUND(MAX(AB146-AO146,0),2))</f>
        <v/>
      </c>
      <c r="AQ146">
        <f>IF(OR($A146="",AB146="",MEMORIA_RESULTADOS!$I$258=""),"",ROUND(AB146*$C146*(MEMORIA_RESULTADOS!$I$258-1),2))</f>
        <v/>
      </c>
      <c r="AR146">
        <f>IF(OR($A146="",AP146="",MEMORIA_RESULTADOS!$I$258=""),"",ROUND(AP146*$C146*(parametros!$F$2-MEMORIA_RESULTADOS!$I$258),2))</f>
        <v/>
      </c>
      <c r="AS146">
        <f>IF($A146="","",ROUND(SUMIFS(itens_Consumidos!$G$2:$G$200,itens_Consumidos!$A$2:$A$200,$A146),2))</f>
        <v/>
      </c>
      <c r="AT146">
        <f>IF(OR($A146="",M146=""),"",ROUND(MAX(M146-AS146,0),2))</f>
        <v/>
      </c>
      <c r="AU146">
        <f>IF(OR($A146="",M146="",MEMORIA_RESULTADOS!$I$259=""),"",ROUND(M146*$C146*(MEMORIA_RESULTADOS!$I$259-1),2))</f>
        <v/>
      </c>
      <c r="AV146">
        <f>IF(OR($A146="",AT146="",MEMORIA_RESULTADOS!$I$259=""),"",ROUND(AT146*$C146*(parametros!$F$3-MEMORIA_RESULTADOS!$I$259),2))</f>
        <v/>
      </c>
      <c r="AW146">
        <f>IF($A146="","",ROUND(SUMIFS(itens_Consumidos!$I$2:$I$200,itens_Consumidos!$A$2:$A$200,$A146),2))</f>
        <v/>
      </c>
      <c r="AX146">
        <f>IF(OR($A146="",O146=""),"",ROUND(MAX(O146-AW146,0),2))</f>
        <v/>
      </c>
      <c r="AY146">
        <f>IF(OR($A146="",O146="",MEMORIA_RESULTADOS!$I$260=""),"",ROUND(O146*$C146*(MEMORIA_RESULTADOS!$I$260-1),2))</f>
        <v/>
      </c>
      <c r="AZ146">
        <f>IF(OR($A146="",AX146="",MEMORIA_RESULTADOS!$I$260=""),"",ROUND(AX146*$C146*(parametros!$F$4-MEMORIA_RESULTADOS!$I$260),2))</f>
        <v/>
      </c>
      <c r="BA146">
        <f>IF($A146="","",ROUND(SUMIFS(itens_Consumidos!$K$2:$K$200,itens_Consumidos!$A$2:$A$200,$A146),2))</f>
        <v/>
      </c>
      <c r="BB146">
        <f>IF(OR($A146="",Q146=""),"",ROUND(MAX(Q146-BA146,0),2))</f>
        <v/>
      </c>
      <c r="BC146">
        <f>IF(OR($A146="",Q146="",MEMORIA_RESULTADOS!$I$261=""),"",ROUND(Q146*$C146*(MEMORIA_RESULTADOS!$I$261-1),2))</f>
        <v/>
      </c>
      <c r="BD146">
        <f>IF(OR($A146="",BB146="",MEMORIA_RESULTADOS!$I$261=""),"",ROUND(BB146*$C146*(parametros!$F$5-MEMORIA_RESULTADOS!$I$261),2))</f>
        <v/>
      </c>
      <c r="BE146">
        <f>IF($A146="","",ROUND(SUMIFS(itens_Consumidos!$M$2:$M$200,itens_Consumidos!$A$2:$A$200,$A146),2))</f>
        <v/>
      </c>
      <c r="BF146">
        <f>IF(OR($A146="",S146=""),"",ROUND(MAX(S146-BE146,0),2))</f>
        <v/>
      </c>
      <c r="BG146">
        <f>IF(OR($A146="",S146="",MEMORIA_RESULTADOS!$I$262=""),"",ROUND(S146*$C146*(MEMORIA_RESULTADOS!$I$262-1),2))</f>
        <v/>
      </c>
      <c r="BH146">
        <f>IF(OR($A146="",BF146="",MEMORIA_RESULTADOS!$I$262=""),"",ROUND(BF146*$C146*(parametros!$F$6-MEMORIA_RESULTADOS!$I$262),2))</f>
        <v/>
      </c>
    </row>
    <row r="147">
      <c r="A147" s="86" t="n"/>
      <c r="B147" s="87">
        <f>IF(AND(LEN(TRIM($A147))=4,LEFT(TRIM($A147),1)="N",ISNUMBER(--MID(TRIM($A147),2,3)),ISERROR(FIND(".",$A147)),ISERROR(FIND(",",$A147)),ISERROR(FIND("-",$A147)),ISERROR(FIND("+",$A147)),ISERROR(SEARCH("E",$A147,2)),ISERROR(FIND(" ",TRIM($A147)))),0,"")</f>
        <v/>
      </c>
      <c r="C147" s="339" t="n"/>
      <c r="D147" s="335">
        <f>IF(AND(A147="",A146&lt;&gt;"",COUNTIF(A148:$A$200,"&lt;&gt;")=0),ROUND(SUMIF($A$2:A146,"&lt;&gt;",$D$2:D146),2),IF(OR(A147="",B147="",C147=""),"",ROUND(B147*C147,2)))</f>
        <v/>
      </c>
      <c r="E147" s="89" t="n"/>
      <c r="F147" s="335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 t="n"/>
      <c r="H147" s="335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 t="n"/>
      <c r="J147" s="335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 t="n"/>
      <c r="L147" s="335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>
        <f>IF(OR(posicao_contratual!J147="",posicao_contratual!N147=""),"",ROUND(MAX(posicao_contratual!J147+posicao_contratual!H147-posicao_contratual!N147,0),2))</f>
        <v/>
      </c>
      <c r="N147" s="335">
        <f>IF(AND(A147="",A146&lt;&gt;"",COUNTIF(A148:$A$200,"&lt;&gt;")=0),ROUND(SUMIF($A$2:A146,"&lt;&gt;",$N$2:N146),2),IF(OR(M147="",C147="",NOT(ISNUMBER($Z$3))),"",ROUND(M147*C147*$Z$3,2)))</f>
        <v/>
      </c>
      <c r="O147" s="90">
        <f>IF(OR(posicao_contratual!N147="",posicao_contratual!R147=""),"",ROUND(MAX(posicao_contratual!N147+posicao_contratual!L147-posicao_contratual!R147,0),2))</f>
        <v/>
      </c>
      <c r="P147" s="335">
        <f>IF(AND(A147="",A146&lt;&gt;"",COUNTIF(A148:$A$200,"&lt;&gt;")=0),ROUND(SUMIF($A$2:A146,"&lt;&gt;",$P$2:P146),2),IF(OR(O147="",C147="",NOT(ISNUMBER($Z$4))),"",ROUND(O147*C147*$Z$4,2)))</f>
        <v/>
      </c>
      <c r="Q147" s="90">
        <f>IF(OR(posicao_contratual!R147="",posicao_contratual!V147=""),"",ROUND(MAX(posicao_contratual!R147+posicao_contratual!P147-posicao_contratual!V147,0),2))</f>
        <v/>
      </c>
      <c r="R147" s="335">
        <f>IF(AND(A147="",A146&lt;&gt;"",COUNTIF(A148:$A$200,"&lt;&gt;")=0),ROUND(SUMIF($A$2:A146,"&lt;&gt;",$R$2:R146),2),IF(OR(Q147="",C147="",NOT(ISNUMBER($Z$5))),"",ROUND(Q147*C147*$Z$5,2)))</f>
        <v/>
      </c>
      <c r="S147" s="43" t="n"/>
      <c r="T147" s="342" t="n"/>
      <c r="U147" s="91">
        <f>IF(AND(A147="",A146&lt;&gt;"",COUNTIF(A148:$A$200,"&lt;&gt;")=0),"TOTAL",IF(A147="","",posicao_contratual!X147))</f>
        <v/>
      </c>
      <c r="V147" s="91">
        <f>IF(A147="","",posicao_contratual!X147)</f>
        <v/>
      </c>
      <c r="W147" s="13" t="n"/>
      <c r="X147" s="13" t="n"/>
      <c r="Y147" s="13" t="n"/>
      <c r="Z147" s="13" t="n"/>
      <c r="AA147" s="13" t="n"/>
      <c r="AB147" s="90">
        <f>IF(OR(A147="",posicao_contratual!E147="",posicao_contratual!J147=""),"",ROUND(MAX(posicao_contratual!E147-posicao_contratual!J147,0),2))</f>
        <v/>
      </c>
      <c r="AC147" s="335">
        <f>IF(AND(A147="",A146&lt;&gt;"",COUNTIF(A148:$A$200,"&lt;&gt;")=0),ROUND(SUMIF($A$2:A146,"&lt;&gt;",$AC$2:AC146),2),IF(OR(AB147="",C147="",NOT(ISNUMBER($Z$2))),"",ROUND(AB147*C147*$Z$2,2)))</f>
        <v/>
      </c>
      <c r="AD147" s="155">
        <f>IF(A147="","",posicao_contratual!E147)</f>
        <v/>
      </c>
      <c r="AE147" s="155">
        <f>IF(A147="","",posicao_contratual!I147)</f>
        <v/>
      </c>
      <c r="AF147" s="155">
        <f>IF(A147="","",posicao_contratual!M147)</f>
        <v/>
      </c>
      <c r="AG147" s="155">
        <f>IF(A147="","",posicao_contratual!Q147)</f>
        <v/>
      </c>
      <c r="AH147" s="155">
        <f>IF(A147="","",posicao_contratual!U147)</f>
        <v/>
      </c>
      <c r="AI147" s="155">
        <f>IF(A147="","",posicao_contratual!G147)</f>
        <v/>
      </c>
      <c r="AJ147" s="155">
        <f>IF(A147="","",posicao_contratual!K147)</f>
        <v/>
      </c>
      <c r="AK147" s="155">
        <f>IF(A147="","",posicao_contratual!O147)</f>
        <v/>
      </c>
      <c r="AL147" s="155">
        <f>IF(A147="","",posicao_contratual!S147)</f>
        <v/>
      </c>
      <c r="AM147" s="155">
        <f>IF(A147="","",posicao_contratual!W147)</f>
        <v/>
      </c>
      <c r="AN147" s="156">
        <f>IF(A147="","",posicao_contratual!X147)</f>
        <v/>
      </c>
      <c r="AO147">
        <f>IF($A147="","",ROUND(SUMIFS(itens_Consumidos!$E$2:$E$200,itens_Consumidos!$A$2:$A$200,$A147),2))</f>
        <v/>
      </c>
      <c r="AP147">
        <f>IF(OR($A147="",AB147=""),"",ROUND(MAX(AB147-AO147,0),2))</f>
        <v/>
      </c>
      <c r="AQ147">
        <f>IF(OR($A147="",AB147="",MEMORIA_RESULTADOS!$I$258=""),"",ROUND(AB147*$C147*(MEMORIA_RESULTADOS!$I$258-1),2))</f>
        <v/>
      </c>
      <c r="AR147">
        <f>IF(OR($A147="",AP147="",MEMORIA_RESULTADOS!$I$258=""),"",ROUND(AP147*$C147*(parametros!$F$2-MEMORIA_RESULTADOS!$I$258),2))</f>
        <v/>
      </c>
      <c r="AS147">
        <f>IF($A147="","",ROUND(SUMIFS(itens_Consumidos!$G$2:$G$200,itens_Consumidos!$A$2:$A$200,$A147),2))</f>
        <v/>
      </c>
      <c r="AT147">
        <f>IF(OR($A147="",M147=""),"",ROUND(MAX(M147-AS147,0),2))</f>
        <v/>
      </c>
      <c r="AU147">
        <f>IF(OR($A147="",M147="",MEMORIA_RESULTADOS!$I$259=""),"",ROUND(M147*$C147*(MEMORIA_RESULTADOS!$I$259-1),2))</f>
        <v/>
      </c>
      <c r="AV147">
        <f>IF(OR($A147="",AT147="",MEMORIA_RESULTADOS!$I$259=""),"",ROUND(AT147*$C147*(parametros!$F$3-MEMORIA_RESULTADOS!$I$259),2))</f>
        <v/>
      </c>
      <c r="AW147">
        <f>IF($A147="","",ROUND(SUMIFS(itens_Consumidos!$I$2:$I$200,itens_Consumidos!$A$2:$A$200,$A147),2))</f>
        <v/>
      </c>
      <c r="AX147">
        <f>IF(OR($A147="",O147=""),"",ROUND(MAX(O147-AW147,0),2))</f>
        <v/>
      </c>
      <c r="AY147">
        <f>IF(OR($A147="",O147="",MEMORIA_RESULTADOS!$I$260=""),"",ROUND(O147*$C147*(MEMORIA_RESULTADOS!$I$260-1),2))</f>
        <v/>
      </c>
      <c r="AZ147">
        <f>IF(OR($A147="",AX147="",MEMORIA_RESULTADOS!$I$260=""),"",ROUND(AX147*$C147*(parametros!$F$4-MEMORIA_RESULTADOS!$I$260),2))</f>
        <v/>
      </c>
      <c r="BA147">
        <f>IF($A147="","",ROUND(SUMIFS(itens_Consumidos!$K$2:$K$200,itens_Consumidos!$A$2:$A$200,$A147),2))</f>
        <v/>
      </c>
      <c r="BB147">
        <f>IF(OR($A147="",Q147=""),"",ROUND(MAX(Q147-BA147,0),2))</f>
        <v/>
      </c>
      <c r="BC147">
        <f>IF(OR($A147="",Q147="",MEMORIA_RESULTADOS!$I$261=""),"",ROUND(Q147*$C147*(MEMORIA_RESULTADOS!$I$261-1),2))</f>
        <v/>
      </c>
      <c r="BD147">
        <f>IF(OR($A147="",BB147="",MEMORIA_RESULTADOS!$I$261=""),"",ROUND(BB147*$C147*(parametros!$F$5-MEMORIA_RESULTADOS!$I$261),2))</f>
        <v/>
      </c>
      <c r="BE147">
        <f>IF($A147="","",ROUND(SUMIFS(itens_Consumidos!$M$2:$M$200,itens_Consumidos!$A$2:$A$200,$A147),2))</f>
        <v/>
      </c>
      <c r="BF147">
        <f>IF(OR($A147="",S147=""),"",ROUND(MAX(S147-BE147,0),2))</f>
        <v/>
      </c>
      <c r="BG147">
        <f>IF(OR($A147="",S147="",MEMORIA_RESULTADOS!$I$262=""),"",ROUND(S147*$C147*(MEMORIA_RESULTADOS!$I$262-1),2))</f>
        <v/>
      </c>
      <c r="BH147">
        <f>IF(OR($A147="",BF147="",MEMORIA_RESULTADOS!$I$262=""),"",ROUND(BF147*$C147*(parametros!$F$6-MEMORIA_RESULTADOS!$I$262),2))</f>
        <v/>
      </c>
    </row>
    <row r="148">
      <c r="A148" s="86" t="n"/>
      <c r="B148" s="87">
        <f>IF(AND(LEN(TRIM($A148))=4,LEFT(TRIM($A148),1)="N",ISNUMBER(--MID(TRIM($A148),2,3)),ISERROR(FIND(".",$A148)),ISERROR(FIND(",",$A148)),ISERROR(FIND("-",$A148)),ISERROR(FIND("+",$A148)),ISERROR(SEARCH("E",$A148,2)),ISERROR(FIND(" ",TRIM($A148)))),0,"")</f>
        <v/>
      </c>
      <c r="C148" s="339" t="n"/>
      <c r="D148" s="335">
        <f>IF(AND(A148="",A147&lt;&gt;"",COUNTIF(A149:$A$200,"&lt;&gt;")=0),ROUND(SUMIF($A$2:A147,"&lt;&gt;",$D$2:D147),2),IF(OR(A148="",B148="",C148=""),"",ROUND(B148*C148,2)))</f>
        <v/>
      </c>
      <c r="E148" s="89" t="n"/>
      <c r="F148" s="335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 t="n"/>
      <c r="H148" s="335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 t="n"/>
      <c r="J148" s="335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 t="n"/>
      <c r="L148" s="335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>
        <f>IF(OR(posicao_contratual!J148="",posicao_contratual!N148=""),"",ROUND(MAX(posicao_contratual!J148+posicao_contratual!H148-posicao_contratual!N148,0),2))</f>
        <v/>
      </c>
      <c r="N148" s="335">
        <f>IF(AND(A148="",A147&lt;&gt;"",COUNTIF(A149:$A$200,"&lt;&gt;")=0),ROUND(SUMIF($A$2:A147,"&lt;&gt;",$N$2:N147),2),IF(OR(M148="",C148="",NOT(ISNUMBER($Z$3))),"",ROUND(M148*C148*$Z$3,2)))</f>
        <v/>
      </c>
      <c r="O148" s="90">
        <f>IF(OR(posicao_contratual!N148="",posicao_contratual!R148=""),"",ROUND(MAX(posicao_contratual!N148+posicao_contratual!L148-posicao_contratual!R148,0),2))</f>
        <v/>
      </c>
      <c r="P148" s="335">
        <f>IF(AND(A148="",A147&lt;&gt;"",COUNTIF(A149:$A$200,"&lt;&gt;")=0),ROUND(SUMIF($A$2:A147,"&lt;&gt;",$P$2:P147),2),IF(OR(O148="",C148="",NOT(ISNUMBER($Z$4))),"",ROUND(O148*C148*$Z$4,2)))</f>
        <v/>
      </c>
      <c r="Q148" s="90">
        <f>IF(OR(posicao_contratual!R148="",posicao_contratual!V148=""),"",ROUND(MAX(posicao_contratual!R148+posicao_contratual!P148-posicao_contratual!V148,0),2))</f>
        <v/>
      </c>
      <c r="R148" s="335">
        <f>IF(AND(A148="",A147&lt;&gt;"",COUNTIF(A149:$A$200,"&lt;&gt;")=0),ROUND(SUMIF($A$2:A147,"&lt;&gt;",$R$2:R147),2),IF(OR(Q148="",C148="",NOT(ISNUMBER($Z$5))),"",ROUND(Q148*C148*$Z$5,2)))</f>
        <v/>
      </c>
      <c r="S148" s="43" t="n"/>
      <c r="T148" s="342" t="n"/>
      <c r="U148" s="91">
        <f>IF(AND(A148="",A147&lt;&gt;"",COUNTIF(A149:$A$200,"&lt;&gt;")=0),"TOTAL",IF(A148="","",posicao_contratual!X148))</f>
        <v/>
      </c>
      <c r="V148" s="91">
        <f>IF(A148="","",posicao_contratual!X148)</f>
        <v/>
      </c>
      <c r="W148" s="13" t="n"/>
      <c r="X148" s="13" t="n"/>
      <c r="Y148" s="13" t="n"/>
      <c r="Z148" s="13" t="n"/>
      <c r="AA148" s="13" t="n"/>
      <c r="AB148" s="90">
        <f>IF(OR(A148="",posicao_contratual!E148="",posicao_contratual!J148=""),"",ROUND(MAX(posicao_contratual!E148-posicao_contratual!J148,0),2))</f>
        <v/>
      </c>
      <c r="AC148" s="335">
        <f>IF(AND(A148="",A147&lt;&gt;"",COUNTIF(A149:$A$200,"&lt;&gt;")=0),ROUND(SUMIF($A$2:A147,"&lt;&gt;",$AC$2:AC147),2),IF(OR(AB148="",C148="",NOT(ISNUMBER($Z$2))),"",ROUND(AB148*C148*$Z$2,2)))</f>
        <v/>
      </c>
      <c r="AD148" s="155">
        <f>IF(A148="","",posicao_contratual!E148)</f>
        <v/>
      </c>
      <c r="AE148" s="155">
        <f>IF(A148="","",posicao_contratual!I148)</f>
        <v/>
      </c>
      <c r="AF148" s="155">
        <f>IF(A148="","",posicao_contratual!M148)</f>
        <v/>
      </c>
      <c r="AG148" s="155">
        <f>IF(A148="","",posicao_contratual!Q148)</f>
        <v/>
      </c>
      <c r="AH148" s="155">
        <f>IF(A148="","",posicao_contratual!U148)</f>
        <v/>
      </c>
      <c r="AI148" s="155">
        <f>IF(A148="","",posicao_contratual!G148)</f>
        <v/>
      </c>
      <c r="AJ148" s="155">
        <f>IF(A148="","",posicao_contratual!K148)</f>
        <v/>
      </c>
      <c r="AK148" s="155">
        <f>IF(A148="","",posicao_contratual!O148)</f>
        <v/>
      </c>
      <c r="AL148" s="155">
        <f>IF(A148="","",posicao_contratual!S148)</f>
        <v/>
      </c>
      <c r="AM148" s="155">
        <f>IF(A148="","",posicao_contratual!W148)</f>
        <v/>
      </c>
      <c r="AN148" s="156">
        <f>IF(A148="","",posicao_contratual!X148)</f>
        <v/>
      </c>
      <c r="AO148">
        <f>IF($A148="","",ROUND(SUMIFS(itens_Consumidos!$E$2:$E$200,itens_Consumidos!$A$2:$A$200,$A148),2))</f>
        <v/>
      </c>
      <c r="AP148">
        <f>IF(OR($A148="",AB148=""),"",ROUND(MAX(AB148-AO148,0),2))</f>
        <v/>
      </c>
      <c r="AQ148">
        <f>IF(OR($A148="",AB148="",MEMORIA_RESULTADOS!$I$258=""),"",ROUND(AB148*$C148*(MEMORIA_RESULTADOS!$I$258-1),2))</f>
        <v/>
      </c>
      <c r="AR148">
        <f>IF(OR($A148="",AP148="",MEMORIA_RESULTADOS!$I$258=""),"",ROUND(AP148*$C148*(parametros!$F$2-MEMORIA_RESULTADOS!$I$258),2))</f>
        <v/>
      </c>
      <c r="AS148">
        <f>IF($A148="","",ROUND(SUMIFS(itens_Consumidos!$G$2:$G$200,itens_Consumidos!$A$2:$A$200,$A148),2))</f>
        <v/>
      </c>
      <c r="AT148">
        <f>IF(OR($A148="",M148=""),"",ROUND(MAX(M148-AS148,0),2))</f>
        <v/>
      </c>
      <c r="AU148">
        <f>IF(OR($A148="",M148="",MEMORIA_RESULTADOS!$I$259=""),"",ROUND(M148*$C148*(MEMORIA_RESULTADOS!$I$259-1),2))</f>
        <v/>
      </c>
      <c r="AV148">
        <f>IF(OR($A148="",AT148="",MEMORIA_RESULTADOS!$I$259=""),"",ROUND(AT148*$C148*(parametros!$F$3-MEMORIA_RESULTADOS!$I$259),2))</f>
        <v/>
      </c>
      <c r="AW148">
        <f>IF($A148="","",ROUND(SUMIFS(itens_Consumidos!$I$2:$I$200,itens_Consumidos!$A$2:$A$200,$A148),2))</f>
        <v/>
      </c>
      <c r="AX148">
        <f>IF(OR($A148="",O148=""),"",ROUND(MAX(O148-AW148,0),2))</f>
        <v/>
      </c>
      <c r="AY148">
        <f>IF(OR($A148="",O148="",MEMORIA_RESULTADOS!$I$260=""),"",ROUND(O148*$C148*(MEMORIA_RESULTADOS!$I$260-1),2))</f>
        <v/>
      </c>
      <c r="AZ148">
        <f>IF(OR($A148="",AX148="",MEMORIA_RESULTADOS!$I$260=""),"",ROUND(AX148*$C148*(parametros!$F$4-MEMORIA_RESULTADOS!$I$260),2))</f>
        <v/>
      </c>
      <c r="BA148">
        <f>IF($A148="","",ROUND(SUMIFS(itens_Consumidos!$K$2:$K$200,itens_Consumidos!$A$2:$A$200,$A148),2))</f>
        <v/>
      </c>
      <c r="BB148">
        <f>IF(OR($A148="",Q148=""),"",ROUND(MAX(Q148-BA148,0),2))</f>
        <v/>
      </c>
      <c r="BC148">
        <f>IF(OR($A148="",Q148="",MEMORIA_RESULTADOS!$I$261=""),"",ROUND(Q148*$C148*(MEMORIA_RESULTADOS!$I$261-1),2))</f>
        <v/>
      </c>
      <c r="BD148">
        <f>IF(OR($A148="",BB148="",MEMORIA_RESULTADOS!$I$261=""),"",ROUND(BB148*$C148*(parametros!$F$5-MEMORIA_RESULTADOS!$I$261),2))</f>
        <v/>
      </c>
      <c r="BE148">
        <f>IF($A148="","",ROUND(SUMIFS(itens_Consumidos!$M$2:$M$200,itens_Consumidos!$A$2:$A$200,$A148),2))</f>
        <v/>
      </c>
      <c r="BF148">
        <f>IF(OR($A148="",S148=""),"",ROUND(MAX(S148-BE148,0),2))</f>
        <v/>
      </c>
      <c r="BG148">
        <f>IF(OR($A148="",S148="",MEMORIA_RESULTADOS!$I$262=""),"",ROUND(S148*$C148*(MEMORIA_RESULTADOS!$I$262-1),2))</f>
        <v/>
      </c>
      <c r="BH148">
        <f>IF(OR($A148="",BF148="",MEMORIA_RESULTADOS!$I$262=""),"",ROUND(BF148*$C148*(parametros!$F$6-MEMORIA_RESULTADOS!$I$262),2))</f>
        <v/>
      </c>
    </row>
    <row r="149">
      <c r="A149" s="86" t="n"/>
      <c r="B149" s="87">
        <f>IF(AND(LEN(TRIM($A149))=4,LEFT(TRIM($A149),1)="N",ISNUMBER(--MID(TRIM($A149),2,3)),ISERROR(FIND(".",$A149)),ISERROR(FIND(",",$A149)),ISERROR(FIND("-",$A149)),ISERROR(FIND("+",$A149)),ISERROR(SEARCH("E",$A149,2)),ISERROR(FIND(" ",TRIM($A149)))),0,"")</f>
        <v/>
      </c>
      <c r="C149" s="339" t="n"/>
      <c r="D149" s="335">
        <f>IF(AND(A149="",A148&lt;&gt;"",COUNTIF(A150:$A$200,"&lt;&gt;")=0),ROUND(SUMIF($A$2:A148,"&lt;&gt;",$D$2:D148),2),IF(OR(A149="",B149="",C149=""),"",ROUND(B149*C149,2)))</f>
        <v/>
      </c>
      <c r="E149" s="89" t="n"/>
      <c r="F149" s="335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 t="n"/>
      <c r="H149" s="335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 t="n"/>
      <c r="J149" s="335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 t="n"/>
      <c r="L149" s="335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>
        <f>IF(OR(posicao_contratual!J149="",posicao_contratual!N149=""),"",ROUND(MAX(posicao_contratual!J149+posicao_contratual!H149-posicao_contratual!N149,0),2))</f>
        <v/>
      </c>
      <c r="N149" s="335">
        <f>IF(AND(A149="",A148&lt;&gt;"",COUNTIF(A150:$A$200,"&lt;&gt;")=0),ROUND(SUMIF($A$2:A148,"&lt;&gt;",$N$2:N148),2),IF(OR(M149="",C149="",NOT(ISNUMBER($Z$3))),"",ROUND(M149*C149*$Z$3,2)))</f>
        <v/>
      </c>
      <c r="O149" s="90">
        <f>IF(OR(posicao_contratual!N149="",posicao_contratual!R149=""),"",ROUND(MAX(posicao_contratual!N149+posicao_contratual!L149-posicao_contratual!R149,0),2))</f>
        <v/>
      </c>
      <c r="P149" s="335">
        <f>IF(AND(A149="",A148&lt;&gt;"",COUNTIF(A150:$A$200,"&lt;&gt;")=0),ROUND(SUMIF($A$2:A148,"&lt;&gt;",$P$2:P148),2),IF(OR(O149="",C149="",NOT(ISNUMBER($Z$4))),"",ROUND(O149*C149*$Z$4,2)))</f>
        <v/>
      </c>
      <c r="Q149" s="90">
        <f>IF(OR(posicao_contratual!R149="",posicao_contratual!V149=""),"",ROUND(MAX(posicao_contratual!R149+posicao_contratual!P149-posicao_contratual!V149,0),2))</f>
        <v/>
      </c>
      <c r="R149" s="335">
        <f>IF(AND(A149="",A148&lt;&gt;"",COUNTIF(A150:$A$200,"&lt;&gt;")=0),ROUND(SUMIF($A$2:A148,"&lt;&gt;",$R$2:R148),2),IF(OR(Q149="",C149="",NOT(ISNUMBER($Z$5))),"",ROUND(Q149*C149*$Z$5,2)))</f>
        <v/>
      </c>
      <c r="S149" s="43" t="n"/>
      <c r="T149" s="342" t="n"/>
      <c r="U149" s="91">
        <f>IF(AND(A149="",A148&lt;&gt;"",COUNTIF(A150:$A$200,"&lt;&gt;")=0),"TOTAL",IF(A149="","",posicao_contratual!X149))</f>
        <v/>
      </c>
      <c r="V149" s="91">
        <f>IF(A149="","",posicao_contratual!X149)</f>
        <v/>
      </c>
      <c r="W149" s="13" t="n"/>
      <c r="X149" s="13" t="n"/>
      <c r="Y149" s="13" t="n"/>
      <c r="Z149" s="13" t="n"/>
      <c r="AA149" s="13" t="n"/>
      <c r="AB149" s="90">
        <f>IF(OR(A149="",posicao_contratual!E149="",posicao_contratual!J149=""),"",ROUND(MAX(posicao_contratual!E149-posicao_contratual!J149,0),2))</f>
        <v/>
      </c>
      <c r="AC149" s="335">
        <f>IF(AND(A149="",A148&lt;&gt;"",COUNTIF(A150:$A$200,"&lt;&gt;")=0),ROUND(SUMIF($A$2:A148,"&lt;&gt;",$AC$2:AC148),2),IF(OR(AB149="",C149="",NOT(ISNUMBER($Z$2))),"",ROUND(AB149*C149*$Z$2,2)))</f>
        <v/>
      </c>
      <c r="AD149" s="155">
        <f>IF(A149="","",posicao_contratual!E149)</f>
        <v/>
      </c>
      <c r="AE149" s="155">
        <f>IF(A149="","",posicao_contratual!I149)</f>
        <v/>
      </c>
      <c r="AF149" s="155">
        <f>IF(A149="","",posicao_contratual!M149)</f>
        <v/>
      </c>
      <c r="AG149" s="155">
        <f>IF(A149="","",posicao_contratual!Q149)</f>
        <v/>
      </c>
      <c r="AH149" s="155">
        <f>IF(A149="","",posicao_contratual!U149)</f>
        <v/>
      </c>
      <c r="AI149" s="155">
        <f>IF(A149="","",posicao_contratual!G149)</f>
        <v/>
      </c>
      <c r="AJ149" s="155">
        <f>IF(A149="","",posicao_contratual!K149)</f>
        <v/>
      </c>
      <c r="AK149" s="155">
        <f>IF(A149="","",posicao_contratual!O149)</f>
        <v/>
      </c>
      <c r="AL149" s="155">
        <f>IF(A149="","",posicao_contratual!S149)</f>
        <v/>
      </c>
      <c r="AM149" s="155">
        <f>IF(A149="","",posicao_contratual!W149)</f>
        <v/>
      </c>
      <c r="AN149" s="156">
        <f>IF(A149="","",posicao_contratual!X149)</f>
        <v/>
      </c>
      <c r="AO149">
        <f>IF($A149="","",ROUND(SUMIFS(itens_Consumidos!$E$2:$E$200,itens_Consumidos!$A$2:$A$200,$A149),2))</f>
        <v/>
      </c>
      <c r="AP149">
        <f>IF(OR($A149="",AB149=""),"",ROUND(MAX(AB149-AO149,0),2))</f>
        <v/>
      </c>
      <c r="AQ149">
        <f>IF(OR($A149="",AB149="",MEMORIA_RESULTADOS!$I$258=""),"",ROUND(AB149*$C149*(MEMORIA_RESULTADOS!$I$258-1),2))</f>
        <v/>
      </c>
      <c r="AR149">
        <f>IF(OR($A149="",AP149="",MEMORIA_RESULTADOS!$I$258=""),"",ROUND(AP149*$C149*(parametros!$F$2-MEMORIA_RESULTADOS!$I$258),2))</f>
        <v/>
      </c>
      <c r="AS149">
        <f>IF($A149="","",ROUND(SUMIFS(itens_Consumidos!$G$2:$G$200,itens_Consumidos!$A$2:$A$200,$A149),2))</f>
        <v/>
      </c>
      <c r="AT149">
        <f>IF(OR($A149="",M149=""),"",ROUND(MAX(M149-AS149,0),2))</f>
        <v/>
      </c>
      <c r="AU149">
        <f>IF(OR($A149="",M149="",MEMORIA_RESULTADOS!$I$259=""),"",ROUND(M149*$C149*(MEMORIA_RESULTADOS!$I$259-1),2))</f>
        <v/>
      </c>
      <c r="AV149">
        <f>IF(OR($A149="",AT149="",MEMORIA_RESULTADOS!$I$259=""),"",ROUND(AT149*$C149*(parametros!$F$3-MEMORIA_RESULTADOS!$I$259),2))</f>
        <v/>
      </c>
      <c r="AW149">
        <f>IF($A149="","",ROUND(SUMIFS(itens_Consumidos!$I$2:$I$200,itens_Consumidos!$A$2:$A$200,$A149),2))</f>
        <v/>
      </c>
      <c r="AX149">
        <f>IF(OR($A149="",O149=""),"",ROUND(MAX(O149-AW149,0),2))</f>
        <v/>
      </c>
      <c r="AY149">
        <f>IF(OR($A149="",O149="",MEMORIA_RESULTADOS!$I$260=""),"",ROUND(O149*$C149*(MEMORIA_RESULTADOS!$I$260-1),2))</f>
        <v/>
      </c>
      <c r="AZ149">
        <f>IF(OR($A149="",AX149="",MEMORIA_RESULTADOS!$I$260=""),"",ROUND(AX149*$C149*(parametros!$F$4-MEMORIA_RESULTADOS!$I$260),2))</f>
        <v/>
      </c>
      <c r="BA149">
        <f>IF($A149="","",ROUND(SUMIFS(itens_Consumidos!$K$2:$K$200,itens_Consumidos!$A$2:$A$200,$A149),2))</f>
        <v/>
      </c>
      <c r="BB149">
        <f>IF(OR($A149="",Q149=""),"",ROUND(MAX(Q149-BA149,0),2))</f>
        <v/>
      </c>
      <c r="BC149">
        <f>IF(OR($A149="",Q149="",MEMORIA_RESULTADOS!$I$261=""),"",ROUND(Q149*$C149*(MEMORIA_RESULTADOS!$I$261-1),2))</f>
        <v/>
      </c>
      <c r="BD149">
        <f>IF(OR($A149="",BB149="",MEMORIA_RESULTADOS!$I$261=""),"",ROUND(BB149*$C149*(parametros!$F$5-MEMORIA_RESULTADOS!$I$261),2))</f>
        <v/>
      </c>
      <c r="BE149">
        <f>IF($A149="","",ROUND(SUMIFS(itens_Consumidos!$M$2:$M$200,itens_Consumidos!$A$2:$A$200,$A149),2))</f>
        <v/>
      </c>
      <c r="BF149">
        <f>IF(OR($A149="",S149=""),"",ROUND(MAX(S149-BE149,0),2))</f>
        <v/>
      </c>
      <c r="BG149">
        <f>IF(OR($A149="",S149="",MEMORIA_RESULTADOS!$I$262=""),"",ROUND(S149*$C149*(MEMORIA_RESULTADOS!$I$262-1),2))</f>
        <v/>
      </c>
      <c r="BH149">
        <f>IF(OR($A149="",BF149="",MEMORIA_RESULTADOS!$I$262=""),"",ROUND(BF149*$C149*(parametros!$F$6-MEMORIA_RESULTADOS!$I$262),2))</f>
        <v/>
      </c>
    </row>
    <row r="150">
      <c r="A150" s="86" t="n"/>
      <c r="B150" s="87">
        <f>IF(AND(LEN(TRIM($A150))=4,LEFT(TRIM($A150),1)="N",ISNUMBER(--MID(TRIM($A150),2,3)),ISERROR(FIND(".",$A150)),ISERROR(FIND(",",$A150)),ISERROR(FIND("-",$A150)),ISERROR(FIND("+",$A150)),ISERROR(SEARCH("E",$A150,2)),ISERROR(FIND(" ",TRIM($A150)))),0,"")</f>
        <v/>
      </c>
      <c r="C150" s="339" t="n"/>
      <c r="D150" s="335">
        <f>IF(AND(A150="",A149&lt;&gt;"",COUNTIF(A151:$A$200,"&lt;&gt;")=0),ROUND(SUMIF($A$2:A149,"&lt;&gt;",$D$2:D149),2),IF(OR(A150="",B150="",C150=""),"",ROUND(B150*C150,2)))</f>
        <v/>
      </c>
      <c r="E150" s="89" t="n"/>
      <c r="F150" s="335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 t="n"/>
      <c r="H150" s="335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 t="n"/>
      <c r="J150" s="335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 t="n"/>
      <c r="L150" s="335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>
        <f>IF(OR(posicao_contratual!J150="",posicao_contratual!N150=""),"",ROUND(MAX(posicao_contratual!J150+posicao_contratual!H150-posicao_contratual!N150,0),2))</f>
        <v/>
      </c>
      <c r="N150" s="335">
        <f>IF(AND(A150="",A149&lt;&gt;"",COUNTIF(A151:$A$200,"&lt;&gt;")=0),ROUND(SUMIF($A$2:A149,"&lt;&gt;",$N$2:N149),2),IF(OR(M150="",C150="",NOT(ISNUMBER($Z$3))),"",ROUND(M150*C150*$Z$3,2)))</f>
        <v/>
      </c>
      <c r="O150" s="90">
        <f>IF(OR(posicao_contratual!N150="",posicao_contratual!R150=""),"",ROUND(MAX(posicao_contratual!N150+posicao_contratual!L150-posicao_contratual!R150,0),2))</f>
        <v/>
      </c>
      <c r="P150" s="335">
        <f>IF(AND(A150="",A149&lt;&gt;"",COUNTIF(A151:$A$200,"&lt;&gt;")=0),ROUND(SUMIF($A$2:A149,"&lt;&gt;",$P$2:P149),2),IF(OR(O150="",C150="",NOT(ISNUMBER($Z$4))),"",ROUND(O150*C150*$Z$4,2)))</f>
        <v/>
      </c>
      <c r="Q150" s="90">
        <f>IF(OR(posicao_contratual!R150="",posicao_contratual!V150=""),"",ROUND(MAX(posicao_contratual!R150+posicao_contratual!P150-posicao_contratual!V150,0),2))</f>
        <v/>
      </c>
      <c r="R150" s="335">
        <f>IF(AND(A150="",A149&lt;&gt;"",COUNTIF(A151:$A$200,"&lt;&gt;")=0),ROUND(SUMIF($A$2:A149,"&lt;&gt;",$R$2:R149),2),IF(OR(Q150="",C150="",NOT(ISNUMBER($Z$5))),"",ROUND(Q150*C150*$Z$5,2)))</f>
        <v/>
      </c>
      <c r="S150" s="43" t="n"/>
      <c r="T150" s="342" t="n"/>
      <c r="U150" s="91">
        <f>IF(AND(A150="",A149&lt;&gt;"",COUNTIF(A151:$A$200,"&lt;&gt;")=0),"TOTAL",IF(A150="","",posicao_contratual!X150))</f>
        <v/>
      </c>
      <c r="V150" s="91">
        <f>IF(A150="","",posicao_contratual!X150)</f>
        <v/>
      </c>
      <c r="W150" s="13" t="n"/>
      <c r="X150" s="13" t="n"/>
      <c r="Y150" s="13" t="n"/>
      <c r="Z150" s="13" t="n"/>
      <c r="AA150" s="13" t="n"/>
      <c r="AB150" s="90">
        <f>IF(OR(A150="",posicao_contratual!E150="",posicao_contratual!J150=""),"",ROUND(MAX(posicao_contratual!E150-posicao_contratual!J150,0),2))</f>
        <v/>
      </c>
      <c r="AC150" s="335">
        <f>IF(AND(A150="",A149&lt;&gt;"",COUNTIF(A151:$A$200,"&lt;&gt;")=0),ROUND(SUMIF($A$2:A149,"&lt;&gt;",$AC$2:AC149),2),IF(OR(AB150="",C150="",NOT(ISNUMBER($Z$2))),"",ROUND(AB150*C150*$Z$2,2)))</f>
        <v/>
      </c>
      <c r="AD150" s="155">
        <f>IF(A150="","",posicao_contratual!E150)</f>
        <v/>
      </c>
      <c r="AE150" s="155">
        <f>IF(A150="","",posicao_contratual!I150)</f>
        <v/>
      </c>
      <c r="AF150" s="155">
        <f>IF(A150="","",posicao_contratual!M150)</f>
        <v/>
      </c>
      <c r="AG150" s="155">
        <f>IF(A150="","",posicao_contratual!Q150)</f>
        <v/>
      </c>
      <c r="AH150" s="155">
        <f>IF(A150="","",posicao_contratual!U150)</f>
        <v/>
      </c>
      <c r="AI150" s="155">
        <f>IF(A150="","",posicao_contratual!G150)</f>
        <v/>
      </c>
      <c r="AJ150" s="155">
        <f>IF(A150="","",posicao_contratual!K150)</f>
        <v/>
      </c>
      <c r="AK150" s="155">
        <f>IF(A150="","",posicao_contratual!O150)</f>
        <v/>
      </c>
      <c r="AL150" s="155">
        <f>IF(A150="","",posicao_contratual!S150)</f>
        <v/>
      </c>
      <c r="AM150" s="155">
        <f>IF(A150="","",posicao_contratual!W150)</f>
        <v/>
      </c>
      <c r="AN150" s="156">
        <f>IF(A150="","",posicao_contratual!X150)</f>
        <v/>
      </c>
      <c r="AO150">
        <f>IF($A150="","",ROUND(SUMIFS(itens_Consumidos!$E$2:$E$200,itens_Consumidos!$A$2:$A$200,$A150),2))</f>
        <v/>
      </c>
      <c r="AP150">
        <f>IF(OR($A150="",AB150=""),"",ROUND(MAX(AB150-AO150,0),2))</f>
        <v/>
      </c>
      <c r="AQ150">
        <f>IF(OR($A150="",AB150="",MEMORIA_RESULTADOS!$I$258=""),"",ROUND(AB150*$C150*(MEMORIA_RESULTADOS!$I$258-1),2))</f>
        <v/>
      </c>
      <c r="AR150">
        <f>IF(OR($A150="",AP150="",MEMORIA_RESULTADOS!$I$258=""),"",ROUND(AP150*$C150*(parametros!$F$2-MEMORIA_RESULTADOS!$I$258),2))</f>
        <v/>
      </c>
      <c r="AS150">
        <f>IF($A150="","",ROUND(SUMIFS(itens_Consumidos!$G$2:$G$200,itens_Consumidos!$A$2:$A$200,$A150),2))</f>
        <v/>
      </c>
      <c r="AT150">
        <f>IF(OR($A150="",M150=""),"",ROUND(MAX(M150-AS150,0),2))</f>
        <v/>
      </c>
      <c r="AU150">
        <f>IF(OR($A150="",M150="",MEMORIA_RESULTADOS!$I$259=""),"",ROUND(M150*$C150*(MEMORIA_RESULTADOS!$I$259-1),2))</f>
        <v/>
      </c>
      <c r="AV150">
        <f>IF(OR($A150="",AT150="",MEMORIA_RESULTADOS!$I$259=""),"",ROUND(AT150*$C150*(parametros!$F$3-MEMORIA_RESULTADOS!$I$259),2))</f>
        <v/>
      </c>
      <c r="AW150">
        <f>IF($A150="","",ROUND(SUMIFS(itens_Consumidos!$I$2:$I$200,itens_Consumidos!$A$2:$A$200,$A150),2))</f>
        <v/>
      </c>
      <c r="AX150">
        <f>IF(OR($A150="",O150=""),"",ROUND(MAX(O150-AW150,0),2))</f>
        <v/>
      </c>
      <c r="AY150">
        <f>IF(OR($A150="",O150="",MEMORIA_RESULTADOS!$I$260=""),"",ROUND(O150*$C150*(MEMORIA_RESULTADOS!$I$260-1),2))</f>
        <v/>
      </c>
      <c r="AZ150">
        <f>IF(OR($A150="",AX150="",MEMORIA_RESULTADOS!$I$260=""),"",ROUND(AX150*$C150*(parametros!$F$4-MEMORIA_RESULTADOS!$I$260),2))</f>
        <v/>
      </c>
      <c r="BA150">
        <f>IF($A150="","",ROUND(SUMIFS(itens_Consumidos!$K$2:$K$200,itens_Consumidos!$A$2:$A$200,$A150),2))</f>
        <v/>
      </c>
      <c r="BB150">
        <f>IF(OR($A150="",Q150=""),"",ROUND(MAX(Q150-BA150,0),2))</f>
        <v/>
      </c>
      <c r="BC150">
        <f>IF(OR($A150="",Q150="",MEMORIA_RESULTADOS!$I$261=""),"",ROUND(Q150*$C150*(MEMORIA_RESULTADOS!$I$261-1),2))</f>
        <v/>
      </c>
      <c r="BD150">
        <f>IF(OR($A150="",BB150="",MEMORIA_RESULTADOS!$I$261=""),"",ROUND(BB150*$C150*(parametros!$F$5-MEMORIA_RESULTADOS!$I$261),2))</f>
        <v/>
      </c>
      <c r="BE150">
        <f>IF($A150="","",ROUND(SUMIFS(itens_Consumidos!$M$2:$M$200,itens_Consumidos!$A$2:$A$200,$A150),2))</f>
        <v/>
      </c>
      <c r="BF150">
        <f>IF(OR($A150="",S150=""),"",ROUND(MAX(S150-BE150,0),2))</f>
        <v/>
      </c>
      <c r="BG150">
        <f>IF(OR($A150="",S150="",MEMORIA_RESULTADOS!$I$262=""),"",ROUND(S150*$C150*(MEMORIA_RESULTADOS!$I$262-1),2))</f>
        <v/>
      </c>
      <c r="BH150">
        <f>IF(OR($A150="",BF150="",MEMORIA_RESULTADOS!$I$262=""),"",ROUND(BF150*$C150*(parametros!$F$6-MEMORIA_RESULTADOS!$I$262),2))</f>
        <v/>
      </c>
    </row>
    <row r="151">
      <c r="A151" s="86" t="n"/>
      <c r="B151" s="87">
        <f>IF(AND(LEN(TRIM($A151))=4,LEFT(TRIM($A151),1)="N",ISNUMBER(--MID(TRIM($A151),2,3)),ISERROR(FIND(".",$A151)),ISERROR(FIND(",",$A151)),ISERROR(FIND("-",$A151)),ISERROR(FIND("+",$A151)),ISERROR(SEARCH("E",$A151,2)),ISERROR(FIND(" ",TRIM($A151)))),0,"")</f>
        <v/>
      </c>
      <c r="C151" s="339" t="n"/>
      <c r="D151" s="335">
        <f>IF(AND(A151="",A150&lt;&gt;"",COUNTIF(A152:$A$200,"&lt;&gt;")=0),ROUND(SUMIF($A$2:A150,"&lt;&gt;",$D$2:D150),2),IF(OR(A151="",B151="",C151=""),"",ROUND(B151*C151,2)))</f>
        <v/>
      </c>
      <c r="E151" s="89" t="n"/>
      <c r="F151" s="335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 t="n"/>
      <c r="H151" s="335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 t="n"/>
      <c r="J151" s="335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 t="n"/>
      <c r="L151" s="335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>
        <f>IF(OR(posicao_contratual!J151="",posicao_contratual!N151=""),"",ROUND(MAX(posicao_contratual!J151+posicao_contratual!H151-posicao_contratual!N151,0),2))</f>
        <v/>
      </c>
      <c r="N151" s="335">
        <f>IF(AND(A151="",A150&lt;&gt;"",COUNTIF(A152:$A$200,"&lt;&gt;")=0),ROUND(SUMIF($A$2:A150,"&lt;&gt;",$N$2:N150),2),IF(OR(M151="",C151="",NOT(ISNUMBER($Z$3))),"",ROUND(M151*C151*$Z$3,2)))</f>
        <v/>
      </c>
      <c r="O151" s="90">
        <f>IF(OR(posicao_contratual!N151="",posicao_contratual!R151=""),"",ROUND(MAX(posicao_contratual!N151+posicao_contratual!L151-posicao_contratual!R151,0),2))</f>
        <v/>
      </c>
      <c r="P151" s="335">
        <f>IF(AND(A151="",A150&lt;&gt;"",COUNTIF(A152:$A$200,"&lt;&gt;")=0),ROUND(SUMIF($A$2:A150,"&lt;&gt;",$P$2:P150),2),IF(OR(O151="",C151="",NOT(ISNUMBER($Z$4))),"",ROUND(O151*C151*$Z$4,2)))</f>
        <v/>
      </c>
      <c r="Q151" s="90">
        <f>IF(OR(posicao_contratual!R151="",posicao_contratual!V151=""),"",ROUND(MAX(posicao_contratual!R151+posicao_contratual!P151-posicao_contratual!V151,0),2))</f>
        <v/>
      </c>
      <c r="R151" s="335">
        <f>IF(AND(A151="",A150&lt;&gt;"",COUNTIF(A152:$A$200,"&lt;&gt;")=0),ROUND(SUMIF($A$2:A150,"&lt;&gt;",$R$2:R150),2),IF(OR(Q151="",C151="",NOT(ISNUMBER($Z$5))),"",ROUND(Q151*C151*$Z$5,2)))</f>
        <v/>
      </c>
      <c r="S151" s="43" t="n"/>
      <c r="T151" s="342" t="n"/>
      <c r="U151" s="91">
        <f>IF(AND(A151="",A150&lt;&gt;"",COUNTIF(A152:$A$200,"&lt;&gt;")=0),"TOTAL",IF(A151="","",posicao_contratual!X151))</f>
        <v/>
      </c>
      <c r="V151" s="91">
        <f>IF(A151="","",posicao_contratual!X151)</f>
        <v/>
      </c>
      <c r="W151" s="13" t="n"/>
      <c r="X151" s="13" t="n"/>
      <c r="Y151" s="13" t="n"/>
      <c r="Z151" s="13" t="n"/>
      <c r="AA151" s="13" t="n"/>
      <c r="AB151" s="90">
        <f>IF(OR(A151="",posicao_contratual!E151="",posicao_contratual!J151=""),"",ROUND(MAX(posicao_contratual!E151-posicao_contratual!J151,0),2))</f>
        <v/>
      </c>
      <c r="AC151" s="335">
        <f>IF(AND(A151="",A150&lt;&gt;"",COUNTIF(A152:$A$200,"&lt;&gt;")=0),ROUND(SUMIF($A$2:A150,"&lt;&gt;",$AC$2:AC150),2),IF(OR(AB151="",C151="",NOT(ISNUMBER($Z$2))),"",ROUND(AB151*C151*$Z$2,2)))</f>
        <v/>
      </c>
      <c r="AD151" s="155">
        <f>IF(A151="","",posicao_contratual!E151)</f>
        <v/>
      </c>
      <c r="AE151" s="155">
        <f>IF(A151="","",posicao_contratual!I151)</f>
        <v/>
      </c>
      <c r="AF151" s="155">
        <f>IF(A151="","",posicao_contratual!M151)</f>
        <v/>
      </c>
      <c r="AG151" s="155">
        <f>IF(A151="","",posicao_contratual!Q151)</f>
        <v/>
      </c>
      <c r="AH151" s="155">
        <f>IF(A151="","",posicao_contratual!U151)</f>
        <v/>
      </c>
      <c r="AI151" s="155">
        <f>IF(A151="","",posicao_contratual!G151)</f>
        <v/>
      </c>
      <c r="AJ151" s="155">
        <f>IF(A151="","",posicao_contratual!K151)</f>
        <v/>
      </c>
      <c r="AK151" s="155">
        <f>IF(A151="","",posicao_contratual!O151)</f>
        <v/>
      </c>
      <c r="AL151" s="155">
        <f>IF(A151="","",posicao_contratual!S151)</f>
        <v/>
      </c>
      <c r="AM151" s="155">
        <f>IF(A151="","",posicao_contratual!W151)</f>
        <v/>
      </c>
      <c r="AN151" s="156">
        <f>IF(A151="","",posicao_contratual!X151)</f>
        <v/>
      </c>
      <c r="AO151">
        <f>IF($A151="","",ROUND(SUMIFS(itens_Consumidos!$E$2:$E$200,itens_Consumidos!$A$2:$A$200,$A151),2))</f>
        <v/>
      </c>
      <c r="AP151">
        <f>IF(OR($A151="",AB151=""),"",ROUND(MAX(AB151-AO151,0),2))</f>
        <v/>
      </c>
      <c r="AQ151">
        <f>IF(OR($A151="",AB151="",MEMORIA_RESULTADOS!$I$258=""),"",ROUND(AB151*$C151*(MEMORIA_RESULTADOS!$I$258-1),2))</f>
        <v/>
      </c>
      <c r="AR151">
        <f>IF(OR($A151="",AP151="",MEMORIA_RESULTADOS!$I$258=""),"",ROUND(AP151*$C151*(parametros!$F$2-MEMORIA_RESULTADOS!$I$258),2))</f>
        <v/>
      </c>
      <c r="AS151">
        <f>IF($A151="","",ROUND(SUMIFS(itens_Consumidos!$G$2:$G$200,itens_Consumidos!$A$2:$A$200,$A151),2))</f>
        <v/>
      </c>
      <c r="AT151">
        <f>IF(OR($A151="",M151=""),"",ROUND(MAX(M151-AS151,0),2))</f>
        <v/>
      </c>
      <c r="AU151">
        <f>IF(OR($A151="",M151="",MEMORIA_RESULTADOS!$I$259=""),"",ROUND(M151*$C151*(MEMORIA_RESULTADOS!$I$259-1),2))</f>
        <v/>
      </c>
      <c r="AV151">
        <f>IF(OR($A151="",AT151="",MEMORIA_RESULTADOS!$I$259=""),"",ROUND(AT151*$C151*(parametros!$F$3-MEMORIA_RESULTADOS!$I$259),2))</f>
        <v/>
      </c>
      <c r="AW151">
        <f>IF($A151="","",ROUND(SUMIFS(itens_Consumidos!$I$2:$I$200,itens_Consumidos!$A$2:$A$200,$A151),2))</f>
        <v/>
      </c>
      <c r="AX151">
        <f>IF(OR($A151="",O151=""),"",ROUND(MAX(O151-AW151,0),2))</f>
        <v/>
      </c>
      <c r="AY151">
        <f>IF(OR($A151="",O151="",MEMORIA_RESULTADOS!$I$260=""),"",ROUND(O151*$C151*(MEMORIA_RESULTADOS!$I$260-1),2))</f>
        <v/>
      </c>
      <c r="AZ151">
        <f>IF(OR($A151="",AX151="",MEMORIA_RESULTADOS!$I$260=""),"",ROUND(AX151*$C151*(parametros!$F$4-MEMORIA_RESULTADOS!$I$260),2))</f>
        <v/>
      </c>
      <c r="BA151">
        <f>IF($A151="","",ROUND(SUMIFS(itens_Consumidos!$K$2:$K$200,itens_Consumidos!$A$2:$A$200,$A151),2))</f>
        <v/>
      </c>
      <c r="BB151">
        <f>IF(OR($A151="",Q151=""),"",ROUND(MAX(Q151-BA151,0),2))</f>
        <v/>
      </c>
      <c r="BC151">
        <f>IF(OR($A151="",Q151="",MEMORIA_RESULTADOS!$I$261=""),"",ROUND(Q151*$C151*(MEMORIA_RESULTADOS!$I$261-1),2))</f>
        <v/>
      </c>
      <c r="BD151">
        <f>IF(OR($A151="",BB151="",MEMORIA_RESULTADOS!$I$261=""),"",ROUND(BB151*$C151*(parametros!$F$5-MEMORIA_RESULTADOS!$I$261),2))</f>
        <v/>
      </c>
      <c r="BE151">
        <f>IF($A151="","",ROUND(SUMIFS(itens_Consumidos!$M$2:$M$200,itens_Consumidos!$A$2:$A$200,$A151),2))</f>
        <v/>
      </c>
      <c r="BF151">
        <f>IF(OR($A151="",S151=""),"",ROUND(MAX(S151-BE151,0),2))</f>
        <v/>
      </c>
      <c r="BG151">
        <f>IF(OR($A151="",S151="",MEMORIA_RESULTADOS!$I$262=""),"",ROUND(S151*$C151*(MEMORIA_RESULTADOS!$I$262-1),2))</f>
        <v/>
      </c>
      <c r="BH151">
        <f>IF(OR($A151="",BF151="",MEMORIA_RESULTADOS!$I$262=""),"",ROUND(BF151*$C151*(parametros!$F$6-MEMORIA_RESULTADOS!$I$262),2))</f>
        <v/>
      </c>
    </row>
    <row r="152">
      <c r="A152" s="86" t="n"/>
      <c r="B152" s="87">
        <f>IF(AND(LEN(TRIM($A152))=4,LEFT(TRIM($A152),1)="N",ISNUMBER(--MID(TRIM($A152),2,3)),ISERROR(FIND(".",$A152)),ISERROR(FIND(",",$A152)),ISERROR(FIND("-",$A152)),ISERROR(FIND("+",$A152)),ISERROR(SEARCH("E",$A152,2)),ISERROR(FIND(" ",TRIM($A152)))),0,"")</f>
        <v/>
      </c>
      <c r="C152" s="339" t="n"/>
      <c r="D152" s="335">
        <f>IF(AND(A152="",A151&lt;&gt;"",COUNTIF(A153:$A$200,"&lt;&gt;")=0),ROUND(SUMIF($A$2:A151,"&lt;&gt;",$D$2:D151),2),IF(OR(A152="",B152="",C152=""),"",ROUND(B152*C152,2)))</f>
        <v/>
      </c>
      <c r="E152" s="89" t="n"/>
      <c r="F152" s="335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 t="n"/>
      <c r="H152" s="335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 t="n"/>
      <c r="J152" s="335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 t="n"/>
      <c r="L152" s="335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>
        <f>IF(OR(posicao_contratual!J152="",posicao_contratual!N152=""),"",ROUND(MAX(posicao_contratual!J152+posicao_contratual!H152-posicao_contratual!N152,0),2))</f>
        <v/>
      </c>
      <c r="N152" s="335">
        <f>IF(AND(A152="",A151&lt;&gt;"",COUNTIF(A153:$A$200,"&lt;&gt;")=0),ROUND(SUMIF($A$2:A151,"&lt;&gt;",$N$2:N151),2),IF(OR(M152="",C152="",NOT(ISNUMBER($Z$3))),"",ROUND(M152*C152*$Z$3,2)))</f>
        <v/>
      </c>
      <c r="O152" s="90">
        <f>IF(OR(posicao_contratual!N152="",posicao_contratual!R152=""),"",ROUND(MAX(posicao_contratual!N152+posicao_contratual!L152-posicao_contratual!R152,0),2))</f>
        <v/>
      </c>
      <c r="P152" s="335">
        <f>IF(AND(A152="",A151&lt;&gt;"",COUNTIF(A153:$A$200,"&lt;&gt;")=0),ROUND(SUMIF($A$2:A151,"&lt;&gt;",$P$2:P151),2),IF(OR(O152="",C152="",NOT(ISNUMBER($Z$4))),"",ROUND(O152*C152*$Z$4,2)))</f>
        <v/>
      </c>
      <c r="Q152" s="90">
        <f>IF(OR(posicao_contratual!R152="",posicao_contratual!V152=""),"",ROUND(MAX(posicao_contratual!R152+posicao_contratual!P152-posicao_contratual!V152,0),2))</f>
        <v/>
      </c>
      <c r="R152" s="335">
        <f>IF(AND(A152="",A151&lt;&gt;"",COUNTIF(A153:$A$200,"&lt;&gt;")=0),ROUND(SUMIF($A$2:A151,"&lt;&gt;",$R$2:R151),2),IF(OR(Q152="",C152="",NOT(ISNUMBER($Z$5))),"",ROUND(Q152*C152*$Z$5,2)))</f>
        <v/>
      </c>
      <c r="S152" s="43" t="n"/>
      <c r="T152" s="342" t="n"/>
      <c r="U152" s="91">
        <f>IF(AND(A152="",A151&lt;&gt;"",COUNTIF(A153:$A$200,"&lt;&gt;")=0),"TOTAL",IF(A152="","",posicao_contratual!X152))</f>
        <v/>
      </c>
      <c r="V152" s="91">
        <f>IF(A152="","",posicao_contratual!X152)</f>
        <v/>
      </c>
      <c r="W152" s="13" t="n"/>
      <c r="X152" s="13" t="n"/>
      <c r="Y152" s="13" t="n"/>
      <c r="Z152" s="13" t="n"/>
      <c r="AA152" s="13" t="n"/>
      <c r="AB152" s="90">
        <f>IF(OR(A152="",posicao_contratual!E152="",posicao_contratual!J152=""),"",ROUND(MAX(posicao_contratual!E152-posicao_contratual!J152,0),2))</f>
        <v/>
      </c>
      <c r="AC152" s="335">
        <f>IF(AND(A152="",A151&lt;&gt;"",COUNTIF(A153:$A$200,"&lt;&gt;")=0),ROUND(SUMIF($A$2:A151,"&lt;&gt;",$AC$2:AC151),2),IF(OR(AB152="",C152="",NOT(ISNUMBER($Z$2))),"",ROUND(AB152*C152*$Z$2,2)))</f>
        <v/>
      </c>
      <c r="AD152" s="155">
        <f>IF(A152="","",posicao_contratual!E152)</f>
        <v/>
      </c>
      <c r="AE152" s="155">
        <f>IF(A152="","",posicao_contratual!I152)</f>
        <v/>
      </c>
      <c r="AF152" s="155">
        <f>IF(A152="","",posicao_contratual!M152)</f>
        <v/>
      </c>
      <c r="AG152" s="155">
        <f>IF(A152="","",posicao_contratual!Q152)</f>
        <v/>
      </c>
      <c r="AH152" s="155">
        <f>IF(A152="","",posicao_contratual!U152)</f>
        <v/>
      </c>
      <c r="AI152" s="155">
        <f>IF(A152="","",posicao_contratual!G152)</f>
        <v/>
      </c>
      <c r="AJ152" s="155">
        <f>IF(A152="","",posicao_contratual!K152)</f>
        <v/>
      </c>
      <c r="AK152" s="155">
        <f>IF(A152="","",posicao_contratual!O152)</f>
        <v/>
      </c>
      <c r="AL152" s="155">
        <f>IF(A152="","",posicao_contratual!S152)</f>
        <v/>
      </c>
      <c r="AM152" s="155">
        <f>IF(A152="","",posicao_contratual!W152)</f>
        <v/>
      </c>
      <c r="AN152" s="156">
        <f>IF(A152="","",posicao_contratual!X152)</f>
        <v/>
      </c>
      <c r="AO152">
        <f>IF($A152="","",ROUND(SUMIFS(itens_Consumidos!$E$2:$E$200,itens_Consumidos!$A$2:$A$200,$A152),2))</f>
        <v/>
      </c>
      <c r="AP152">
        <f>IF(OR($A152="",AB152=""),"",ROUND(MAX(AB152-AO152,0),2))</f>
        <v/>
      </c>
      <c r="AQ152">
        <f>IF(OR($A152="",AB152="",MEMORIA_RESULTADOS!$I$258=""),"",ROUND(AB152*$C152*(MEMORIA_RESULTADOS!$I$258-1),2))</f>
        <v/>
      </c>
      <c r="AR152">
        <f>IF(OR($A152="",AP152="",MEMORIA_RESULTADOS!$I$258=""),"",ROUND(AP152*$C152*(parametros!$F$2-MEMORIA_RESULTADOS!$I$258),2))</f>
        <v/>
      </c>
      <c r="AS152">
        <f>IF($A152="","",ROUND(SUMIFS(itens_Consumidos!$G$2:$G$200,itens_Consumidos!$A$2:$A$200,$A152),2))</f>
        <v/>
      </c>
      <c r="AT152">
        <f>IF(OR($A152="",M152=""),"",ROUND(MAX(M152-AS152,0),2))</f>
        <v/>
      </c>
      <c r="AU152">
        <f>IF(OR($A152="",M152="",MEMORIA_RESULTADOS!$I$259=""),"",ROUND(M152*$C152*(MEMORIA_RESULTADOS!$I$259-1),2))</f>
        <v/>
      </c>
      <c r="AV152">
        <f>IF(OR($A152="",AT152="",MEMORIA_RESULTADOS!$I$259=""),"",ROUND(AT152*$C152*(parametros!$F$3-MEMORIA_RESULTADOS!$I$259),2))</f>
        <v/>
      </c>
      <c r="AW152">
        <f>IF($A152="","",ROUND(SUMIFS(itens_Consumidos!$I$2:$I$200,itens_Consumidos!$A$2:$A$200,$A152),2))</f>
        <v/>
      </c>
      <c r="AX152">
        <f>IF(OR($A152="",O152=""),"",ROUND(MAX(O152-AW152,0),2))</f>
        <v/>
      </c>
      <c r="AY152">
        <f>IF(OR($A152="",O152="",MEMORIA_RESULTADOS!$I$260=""),"",ROUND(O152*$C152*(MEMORIA_RESULTADOS!$I$260-1),2))</f>
        <v/>
      </c>
      <c r="AZ152">
        <f>IF(OR($A152="",AX152="",MEMORIA_RESULTADOS!$I$260=""),"",ROUND(AX152*$C152*(parametros!$F$4-MEMORIA_RESULTADOS!$I$260),2))</f>
        <v/>
      </c>
      <c r="BA152">
        <f>IF($A152="","",ROUND(SUMIFS(itens_Consumidos!$K$2:$K$200,itens_Consumidos!$A$2:$A$200,$A152),2))</f>
        <v/>
      </c>
      <c r="BB152">
        <f>IF(OR($A152="",Q152=""),"",ROUND(MAX(Q152-BA152,0),2))</f>
        <v/>
      </c>
      <c r="BC152">
        <f>IF(OR($A152="",Q152="",MEMORIA_RESULTADOS!$I$261=""),"",ROUND(Q152*$C152*(MEMORIA_RESULTADOS!$I$261-1),2))</f>
        <v/>
      </c>
      <c r="BD152">
        <f>IF(OR($A152="",BB152="",MEMORIA_RESULTADOS!$I$261=""),"",ROUND(BB152*$C152*(parametros!$F$5-MEMORIA_RESULTADOS!$I$261),2))</f>
        <v/>
      </c>
      <c r="BE152">
        <f>IF($A152="","",ROUND(SUMIFS(itens_Consumidos!$M$2:$M$200,itens_Consumidos!$A$2:$A$200,$A152),2))</f>
        <v/>
      </c>
      <c r="BF152">
        <f>IF(OR($A152="",S152=""),"",ROUND(MAX(S152-BE152,0),2))</f>
        <v/>
      </c>
      <c r="BG152">
        <f>IF(OR($A152="",S152="",MEMORIA_RESULTADOS!$I$262=""),"",ROUND(S152*$C152*(MEMORIA_RESULTADOS!$I$262-1),2))</f>
        <v/>
      </c>
      <c r="BH152">
        <f>IF(OR($A152="",BF152="",MEMORIA_RESULTADOS!$I$262=""),"",ROUND(BF152*$C152*(parametros!$F$6-MEMORIA_RESULTADOS!$I$262),2))</f>
        <v/>
      </c>
    </row>
    <row r="153">
      <c r="A153" s="86" t="n"/>
      <c r="B153" s="87">
        <f>IF(AND(LEN(TRIM($A153))=4,LEFT(TRIM($A153),1)="N",ISNUMBER(--MID(TRIM($A153),2,3)),ISERROR(FIND(".",$A153)),ISERROR(FIND(",",$A153)),ISERROR(FIND("-",$A153)),ISERROR(FIND("+",$A153)),ISERROR(SEARCH("E",$A153,2)),ISERROR(FIND(" ",TRIM($A153)))),0,"")</f>
        <v/>
      </c>
      <c r="C153" s="339" t="n"/>
      <c r="D153" s="335">
        <f>IF(AND(A153="",A152&lt;&gt;"",COUNTIF(A154:$A$200,"&lt;&gt;")=0),ROUND(SUMIF($A$2:A152,"&lt;&gt;",$D$2:D152),2),IF(OR(A153="",B153="",C153=""),"",ROUND(B153*C153,2)))</f>
        <v/>
      </c>
      <c r="E153" s="89" t="n"/>
      <c r="F153" s="335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 t="n"/>
      <c r="H153" s="335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 t="n"/>
      <c r="J153" s="335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 t="n"/>
      <c r="L153" s="335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>
        <f>IF(OR(posicao_contratual!J153="",posicao_contratual!N153=""),"",ROUND(MAX(posicao_contratual!J153+posicao_contratual!H153-posicao_contratual!N153,0),2))</f>
        <v/>
      </c>
      <c r="N153" s="335">
        <f>IF(AND(A153="",A152&lt;&gt;"",COUNTIF(A154:$A$200,"&lt;&gt;")=0),ROUND(SUMIF($A$2:A152,"&lt;&gt;",$N$2:N152),2),IF(OR(M153="",C153="",NOT(ISNUMBER($Z$3))),"",ROUND(M153*C153*$Z$3,2)))</f>
        <v/>
      </c>
      <c r="O153" s="90">
        <f>IF(OR(posicao_contratual!N153="",posicao_contratual!R153=""),"",ROUND(MAX(posicao_contratual!N153+posicao_contratual!L153-posicao_contratual!R153,0),2))</f>
        <v/>
      </c>
      <c r="P153" s="335">
        <f>IF(AND(A153="",A152&lt;&gt;"",COUNTIF(A154:$A$200,"&lt;&gt;")=0),ROUND(SUMIF($A$2:A152,"&lt;&gt;",$P$2:P152),2),IF(OR(O153="",C153="",NOT(ISNUMBER($Z$4))),"",ROUND(O153*C153*$Z$4,2)))</f>
        <v/>
      </c>
      <c r="Q153" s="90">
        <f>IF(OR(posicao_contratual!R153="",posicao_contratual!V153=""),"",ROUND(MAX(posicao_contratual!R153+posicao_contratual!P153-posicao_contratual!V153,0),2))</f>
        <v/>
      </c>
      <c r="R153" s="335">
        <f>IF(AND(A153="",A152&lt;&gt;"",COUNTIF(A154:$A$200,"&lt;&gt;")=0),ROUND(SUMIF($A$2:A152,"&lt;&gt;",$R$2:R152),2),IF(OR(Q153="",C153="",NOT(ISNUMBER($Z$5))),"",ROUND(Q153*C153*$Z$5,2)))</f>
        <v/>
      </c>
      <c r="S153" s="43" t="n"/>
      <c r="T153" s="342" t="n"/>
      <c r="U153" s="91">
        <f>IF(AND(A153="",A152&lt;&gt;"",COUNTIF(A154:$A$200,"&lt;&gt;")=0),"TOTAL",IF(A153="","",posicao_contratual!X153))</f>
        <v/>
      </c>
      <c r="V153" s="91">
        <f>IF(A153="","",posicao_contratual!X153)</f>
        <v/>
      </c>
      <c r="W153" s="13" t="n"/>
      <c r="X153" s="13" t="n"/>
      <c r="Y153" s="13" t="n"/>
      <c r="Z153" s="13" t="n"/>
      <c r="AA153" s="13" t="n"/>
      <c r="AB153" s="90">
        <f>IF(OR(A153="",posicao_contratual!E153="",posicao_contratual!J153=""),"",ROUND(MAX(posicao_contratual!E153-posicao_contratual!J153,0),2))</f>
        <v/>
      </c>
      <c r="AC153" s="335">
        <f>IF(AND(A153="",A152&lt;&gt;"",COUNTIF(A154:$A$200,"&lt;&gt;")=0),ROUND(SUMIF($A$2:A152,"&lt;&gt;",$AC$2:AC152),2),IF(OR(AB153="",C153="",NOT(ISNUMBER($Z$2))),"",ROUND(AB153*C153*$Z$2,2)))</f>
        <v/>
      </c>
      <c r="AD153" s="155">
        <f>IF(A153="","",posicao_contratual!E153)</f>
        <v/>
      </c>
      <c r="AE153" s="155">
        <f>IF(A153="","",posicao_contratual!I153)</f>
        <v/>
      </c>
      <c r="AF153" s="155">
        <f>IF(A153="","",posicao_contratual!M153)</f>
        <v/>
      </c>
      <c r="AG153" s="155">
        <f>IF(A153="","",posicao_contratual!Q153)</f>
        <v/>
      </c>
      <c r="AH153" s="155">
        <f>IF(A153="","",posicao_contratual!U153)</f>
        <v/>
      </c>
      <c r="AI153" s="155">
        <f>IF(A153="","",posicao_contratual!G153)</f>
        <v/>
      </c>
      <c r="AJ153" s="155">
        <f>IF(A153="","",posicao_contratual!K153)</f>
        <v/>
      </c>
      <c r="AK153" s="155">
        <f>IF(A153="","",posicao_contratual!O153)</f>
        <v/>
      </c>
      <c r="AL153" s="155">
        <f>IF(A153="","",posicao_contratual!S153)</f>
        <v/>
      </c>
      <c r="AM153" s="155">
        <f>IF(A153="","",posicao_contratual!W153)</f>
        <v/>
      </c>
      <c r="AN153" s="156">
        <f>IF(A153="","",posicao_contratual!X153)</f>
        <v/>
      </c>
      <c r="AO153">
        <f>IF($A153="","",ROUND(SUMIFS(itens_Consumidos!$E$2:$E$200,itens_Consumidos!$A$2:$A$200,$A153),2))</f>
        <v/>
      </c>
      <c r="AP153">
        <f>IF(OR($A153="",AB153=""),"",ROUND(MAX(AB153-AO153,0),2))</f>
        <v/>
      </c>
      <c r="AQ153">
        <f>IF(OR($A153="",AB153="",MEMORIA_RESULTADOS!$I$258=""),"",ROUND(AB153*$C153*(MEMORIA_RESULTADOS!$I$258-1),2))</f>
        <v/>
      </c>
      <c r="AR153">
        <f>IF(OR($A153="",AP153="",MEMORIA_RESULTADOS!$I$258=""),"",ROUND(AP153*$C153*(parametros!$F$2-MEMORIA_RESULTADOS!$I$258),2))</f>
        <v/>
      </c>
      <c r="AS153">
        <f>IF($A153="","",ROUND(SUMIFS(itens_Consumidos!$G$2:$G$200,itens_Consumidos!$A$2:$A$200,$A153),2))</f>
        <v/>
      </c>
      <c r="AT153">
        <f>IF(OR($A153="",M153=""),"",ROUND(MAX(M153-AS153,0),2))</f>
        <v/>
      </c>
      <c r="AU153">
        <f>IF(OR($A153="",M153="",MEMORIA_RESULTADOS!$I$259=""),"",ROUND(M153*$C153*(MEMORIA_RESULTADOS!$I$259-1),2))</f>
        <v/>
      </c>
      <c r="AV153">
        <f>IF(OR($A153="",AT153="",MEMORIA_RESULTADOS!$I$259=""),"",ROUND(AT153*$C153*(parametros!$F$3-MEMORIA_RESULTADOS!$I$259),2))</f>
        <v/>
      </c>
      <c r="AW153">
        <f>IF($A153="","",ROUND(SUMIFS(itens_Consumidos!$I$2:$I$200,itens_Consumidos!$A$2:$A$200,$A153),2))</f>
        <v/>
      </c>
      <c r="AX153">
        <f>IF(OR($A153="",O153=""),"",ROUND(MAX(O153-AW153,0),2))</f>
        <v/>
      </c>
      <c r="AY153">
        <f>IF(OR($A153="",O153="",MEMORIA_RESULTADOS!$I$260=""),"",ROUND(O153*$C153*(MEMORIA_RESULTADOS!$I$260-1),2))</f>
        <v/>
      </c>
      <c r="AZ153">
        <f>IF(OR($A153="",AX153="",MEMORIA_RESULTADOS!$I$260=""),"",ROUND(AX153*$C153*(parametros!$F$4-MEMORIA_RESULTADOS!$I$260),2))</f>
        <v/>
      </c>
      <c r="BA153">
        <f>IF($A153="","",ROUND(SUMIFS(itens_Consumidos!$K$2:$K$200,itens_Consumidos!$A$2:$A$200,$A153),2))</f>
        <v/>
      </c>
      <c r="BB153">
        <f>IF(OR($A153="",Q153=""),"",ROUND(MAX(Q153-BA153,0),2))</f>
        <v/>
      </c>
      <c r="BC153">
        <f>IF(OR($A153="",Q153="",MEMORIA_RESULTADOS!$I$261=""),"",ROUND(Q153*$C153*(MEMORIA_RESULTADOS!$I$261-1),2))</f>
        <v/>
      </c>
      <c r="BD153">
        <f>IF(OR($A153="",BB153="",MEMORIA_RESULTADOS!$I$261=""),"",ROUND(BB153*$C153*(parametros!$F$5-MEMORIA_RESULTADOS!$I$261),2))</f>
        <v/>
      </c>
      <c r="BE153">
        <f>IF($A153="","",ROUND(SUMIFS(itens_Consumidos!$M$2:$M$200,itens_Consumidos!$A$2:$A$200,$A153),2))</f>
        <v/>
      </c>
      <c r="BF153">
        <f>IF(OR($A153="",S153=""),"",ROUND(MAX(S153-BE153,0),2))</f>
        <v/>
      </c>
      <c r="BG153">
        <f>IF(OR($A153="",S153="",MEMORIA_RESULTADOS!$I$262=""),"",ROUND(S153*$C153*(MEMORIA_RESULTADOS!$I$262-1),2))</f>
        <v/>
      </c>
      <c r="BH153">
        <f>IF(OR($A153="",BF153="",MEMORIA_RESULTADOS!$I$262=""),"",ROUND(BF153*$C153*(parametros!$F$6-MEMORIA_RESULTADOS!$I$262),2))</f>
        <v/>
      </c>
    </row>
    <row r="154">
      <c r="A154" s="86" t="n"/>
      <c r="B154" s="87">
        <f>IF(AND(LEN(TRIM($A154))=4,LEFT(TRIM($A154),1)="N",ISNUMBER(--MID(TRIM($A154),2,3)),ISERROR(FIND(".",$A154)),ISERROR(FIND(",",$A154)),ISERROR(FIND("-",$A154)),ISERROR(FIND("+",$A154)),ISERROR(SEARCH("E",$A154,2)),ISERROR(FIND(" ",TRIM($A154)))),0,"")</f>
        <v/>
      </c>
      <c r="C154" s="339" t="n"/>
      <c r="D154" s="335">
        <f>IF(AND(A154="",A153&lt;&gt;"",COUNTIF(A155:$A$200,"&lt;&gt;")=0),ROUND(SUMIF($A$2:A153,"&lt;&gt;",$D$2:D153),2),IF(OR(A154="",B154="",C154=""),"",ROUND(B154*C154,2)))</f>
        <v/>
      </c>
      <c r="E154" s="89" t="n"/>
      <c r="F154" s="335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 t="n"/>
      <c r="H154" s="335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 t="n"/>
      <c r="J154" s="335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 t="n"/>
      <c r="L154" s="335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>
        <f>IF(OR(posicao_contratual!J154="",posicao_contratual!N154=""),"",ROUND(MAX(posicao_contratual!J154+posicao_contratual!H154-posicao_contratual!N154,0),2))</f>
        <v/>
      </c>
      <c r="N154" s="335">
        <f>IF(AND(A154="",A153&lt;&gt;"",COUNTIF(A155:$A$200,"&lt;&gt;")=0),ROUND(SUMIF($A$2:A153,"&lt;&gt;",$N$2:N153),2),IF(OR(M154="",C154="",NOT(ISNUMBER($Z$3))),"",ROUND(M154*C154*$Z$3,2)))</f>
        <v/>
      </c>
      <c r="O154" s="90">
        <f>IF(OR(posicao_contratual!N154="",posicao_contratual!R154=""),"",ROUND(MAX(posicao_contratual!N154+posicao_contratual!L154-posicao_contratual!R154,0),2))</f>
        <v/>
      </c>
      <c r="P154" s="335">
        <f>IF(AND(A154="",A153&lt;&gt;"",COUNTIF(A155:$A$200,"&lt;&gt;")=0),ROUND(SUMIF($A$2:A153,"&lt;&gt;",$P$2:P153),2),IF(OR(O154="",C154="",NOT(ISNUMBER($Z$4))),"",ROUND(O154*C154*$Z$4,2)))</f>
        <v/>
      </c>
      <c r="Q154" s="90">
        <f>IF(OR(posicao_contratual!R154="",posicao_contratual!V154=""),"",ROUND(MAX(posicao_contratual!R154+posicao_contratual!P154-posicao_contratual!V154,0),2))</f>
        <v/>
      </c>
      <c r="R154" s="335">
        <f>IF(AND(A154="",A153&lt;&gt;"",COUNTIF(A155:$A$200,"&lt;&gt;")=0),ROUND(SUMIF($A$2:A153,"&lt;&gt;",$R$2:R153),2),IF(OR(Q154="",C154="",NOT(ISNUMBER($Z$5))),"",ROUND(Q154*C154*$Z$5,2)))</f>
        <v/>
      </c>
      <c r="S154" s="43" t="n"/>
      <c r="T154" s="342" t="n"/>
      <c r="U154" s="91">
        <f>IF(AND(A154="",A153&lt;&gt;"",COUNTIF(A155:$A$200,"&lt;&gt;")=0),"TOTAL",IF(A154="","",posicao_contratual!X154))</f>
        <v/>
      </c>
      <c r="V154" s="91">
        <f>IF(A154="","",posicao_contratual!X154)</f>
        <v/>
      </c>
      <c r="W154" s="13" t="n"/>
      <c r="X154" s="13" t="n"/>
      <c r="Y154" s="13" t="n"/>
      <c r="Z154" s="13" t="n"/>
      <c r="AA154" s="13" t="n"/>
      <c r="AB154" s="90">
        <f>IF(OR(A154="",posicao_contratual!E154="",posicao_contratual!J154=""),"",ROUND(MAX(posicao_contratual!E154-posicao_contratual!J154,0),2))</f>
        <v/>
      </c>
      <c r="AC154" s="335">
        <f>IF(AND(A154="",A153&lt;&gt;"",COUNTIF(A155:$A$200,"&lt;&gt;")=0),ROUND(SUMIF($A$2:A153,"&lt;&gt;",$AC$2:AC153),2),IF(OR(AB154="",C154="",NOT(ISNUMBER($Z$2))),"",ROUND(AB154*C154*$Z$2,2)))</f>
        <v/>
      </c>
      <c r="AD154" s="155">
        <f>IF(A154="","",posicao_contratual!E154)</f>
        <v/>
      </c>
      <c r="AE154" s="155">
        <f>IF(A154="","",posicao_contratual!I154)</f>
        <v/>
      </c>
      <c r="AF154" s="155">
        <f>IF(A154="","",posicao_contratual!M154)</f>
        <v/>
      </c>
      <c r="AG154" s="155">
        <f>IF(A154="","",posicao_contratual!Q154)</f>
        <v/>
      </c>
      <c r="AH154" s="155">
        <f>IF(A154="","",posicao_contratual!U154)</f>
        <v/>
      </c>
      <c r="AI154" s="155">
        <f>IF(A154="","",posicao_contratual!G154)</f>
        <v/>
      </c>
      <c r="AJ154" s="155">
        <f>IF(A154="","",posicao_contratual!K154)</f>
        <v/>
      </c>
      <c r="AK154" s="155">
        <f>IF(A154="","",posicao_contratual!O154)</f>
        <v/>
      </c>
      <c r="AL154" s="155">
        <f>IF(A154="","",posicao_contratual!S154)</f>
        <v/>
      </c>
      <c r="AM154" s="155">
        <f>IF(A154="","",posicao_contratual!W154)</f>
        <v/>
      </c>
      <c r="AN154" s="156">
        <f>IF(A154="","",posicao_contratual!X154)</f>
        <v/>
      </c>
      <c r="AO154">
        <f>IF($A154="","",ROUND(SUMIFS(itens_Consumidos!$E$2:$E$200,itens_Consumidos!$A$2:$A$200,$A154),2))</f>
        <v/>
      </c>
      <c r="AP154">
        <f>IF(OR($A154="",AB154=""),"",ROUND(MAX(AB154-AO154,0),2))</f>
        <v/>
      </c>
      <c r="AQ154">
        <f>IF(OR($A154="",AB154="",MEMORIA_RESULTADOS!$I$258=""),"",ROUND(AB154*$C154*(MEMORIA_RESULTADOS!$I$258-1),2))</f>
        <v/>
      </c>
      <c r="AR154">
        <f>IF(OR($A154="",AP154="",MEMORIA_RESULTADOS!$I$258=""),"",ROUND(AP154*$C154*(parametros!$F$2-MEMORIA_RESULTADOS!$I$258),2))</f>
        <v/>
      </c>
      <c r="AS154">
        <f>IF($A154="","",ROUND(SUMIFS(itens_Consumidos!$G$2:$G$200,itens_Consumidos!$A$2:$A$200,$A154),2))</f>
        <v/>
      </c>
      <c r="AT154">
        <f>IF(OR($A154="",M154=""),"",ROUND(MAX(M154-AS154,0),2))</f>
        <v/>
      </c>
      <c r="AU154">
        <f>IF(OR($A154="",M154="",MEMORIA_RESULTADOS!$I$259=""),"",ROUND(M154*$C154*(MEMORIA_RESULTADOS!$I$259-1),2))</f>
        <v/>
      </c>
      <c r="AV154">
        <f>IF(OR($A154="",AT154="",MEMORIA_RESULTADOS!$I$259=""),"",ROUND(AT154*$C154*(parametros!$F$3-MEMORIA_RESULTADOS!$I$259),2))</f>
        <v/>
      </c>
      <c r="AW154">
        <f>IF($A154="","",ROUND(SUMIFS(itens_Consumidos!$I$2:$I$200,itens_Consumidos!$A$2:$A$200,$A154),2))</f>
        <v/>
      </c>
      <c r="AX154">
        <f>IF(OR($A154="",O154=""),"",ROUND(MAX(O154-AW154,0),2))</f>
        <v/>
      </c>
      <c r="AY154">
        <f>IF(OR($A154="",O154="",MEMORIA_RESULTADOS!$I$260=""),"",ROUND(O154*$C154*(MEMORIA_RESULTADOS!$I$260-1),2))</f>
        <v/>
      </c>
      <c r="AZ154">
        <f>IF(OR($A154="",AX154="",MEMORIA_RESULTADOS!$I$260=""),"",ROUND(AX154*$C154*(parametros!$F$4-MEMORIA_RESULTADOS!$I$260),2))</f>
        <v/>
      </c>
      <c r="BA154">
        <f>IF($A154="","",ROUND(SUMIFS(itens_Consumidos!$K$2:$K$200,itens_Consumidos!$A$2:$A$200,$A154),2))</f>
        <v/>
      </c>
      <c r="BB154">
        <f>IF(OR($A154="",Q154=""),"",ROUND(MAX(Q154-BA154,0),2))</f>
        <v/>
      </c>
      <c r="BC154">
        <f>IF(OR($A154="",Q154="",MEMORIA_RESULTADOS!$I$261=""),"",ROUND(Q154*$C154*(MEMORIA_RESULTADOS!$I$261-1),2))</f>
        <v/>
      </c>
      <c r="BD154">
        <f>IF(OR($A154="",BB154="",MEMORIA_RESULTADOS!$I$261=""),"",ROUND(BB154*$C154*(parametros!$F$5-MEMORIA_RESULTADOS!$I$261),2))</f>
        <v/>
      </c>
      <c r="BE154">
        <f>IF($A154="","",ROUND(SUMIFS(itens_Consumidos!$M$2:$M$200,itens_Consumidos!$A$2:$A$200,$A154),2))</f>
        <v/>
      </c>
      <c r="BF154">
        <f>IF(OR($A154="",S154=""),"",ROUND(MAX(S154-BE154,0),2))</f>
        <v/>
      </c>
      <c r="BG154">
        <f>IF(OR($A154="",S154="",MEMORIA_RESULTADOS!$I$262=""),"",ROUND(S154*$C154*(MEMORIA_RESULTADOS!$I$262-1),2))</f>
        <v/>
      </c>
      <c r="BH154">
        <f>IF(OR($A154="",BF154="",MEMORIA_RESULTADOS!$I$262=""),"",ROUND(BF154*$C154*(parametros!$F$6-MEMORIA_RESULTADOS!$I$262),2))</f>
        <v/>
      </c>
    </row>
    <row r="155">
      <c r="A155" s="86" t="n"/>
      <c r="B155" s="87">
        <f>IF(AND(LEN(TRIM($A155))=4,LEFT(TRIM($A155),1)="N",ISNUMBER(--MID(TRIM($A155),2,3)),ISERROR(FIND(".",$A155)),ISERROR(FIND(",",$A155)),ISERROR(FIND("-",$A155)),ISERROR(FIND("+",$A155)),ISERROR(SEARCH("E",$A155,2)),ISERROR(FIND(" ",TRIM($A155)))),0,"")</f>
        <v/>
      </c>
      <c r="C155" s="339" t="n"/>
      <c r="D155" s="335">
        <f>IF(AND(A155="",A154&lt;&gt;"",COUNTIF(A156:$A$200,"&lt;&gt;")=0),ROUND(SUMIF($A$2:A154,"&lt;&gt;",$D$2:D154),2),IF(OR(A155="",B155="",C155=""),"",ROUND(B155*C155,2)))</f>
        <v/>
      </c>
      <c r="E155" s="89" t="n"/>
      <c r="F155" s="335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 t="n"/>
      <c r="H155" s="335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 t="n"/>
      <c r="J155" s="335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 t="n"/>
      <c r="L155" s="335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>
        <f>IF(OR(posicao_contratual!J155="",posicao_contratual!N155=""),"",ROUND(MAX(posicao_contratual!J155+posicao_contratual!H155-posicao_contratual!N155,0),2))</f>
        <v/>
      </c>
      <c r="N155" s="335">
        <f>IF(AND(A155="",A154&lt;&gt;"",COUNTIF(A156:$A$200,"&lt;&gt;")=0),ROUND(SUMIF($A$2:A154,"&lt;&gt;",$N$2:N154),2),IF(OR(M155="",C155="",NOT(ISNUMBER($Z$3))),"",ROUND(M155*C155*$Z$3,2)))</f>
        <v/>
      </c>
      <c r="O155" s="90">
        <f>IF(OR(posicao_contratual!N155="",posicao_contratual!R155=""),"",ROUND(MAX(posicao_contratual!N155+posicao_contratual!L155-posicao_contratual!R155,0),2))</f>
        <v/>
      </c>
      <c r="P155" s="335">
        <f>IF(AND(A155="",A154&lt;&gt;"",COUNTIF(A156:$A$200,"&lt;&gt;")=0),ROUND(SUMIF($A$2:A154,"&lt;&gt;",$P$2:P154),2),IF(OR(O155="",C155="",NOT(ISNUMBER($Z$4))),"",ROUND(O155*C155*$Z$4,2)))</f>
        <v/>
      </c>
      <c r="Q155" s="90">
        <f>IF(OR(posicao_contratual!R155="",posicao_contratual!V155=""),"",ROUND(MAX(posicao_contratual!R155+posicao_contratual!P155-posicao_contratual!V155,0),2))</f>
        <v/>
      </c>
      <c r="R155" s="335">
        <f>IF(AND(A155="",A154&lt;&gt;"",COUNTIF(A156:$A$200,"&lt;&gt;")=0),ROUND(SUMIF($A$2:A154,"&lt;&gt;",$R$2:R154),2),IF(OR(Q155="",C155="",NOT(ISNUMBER($Z$5))),"",ROUND(Q155*C155*$Z$5,2)))</f>
        <v/>
      </c>
      <c r="S155" s="43" t="n"/>
      <c r="T155" s="342" t="n"/>
      <c r="U155" s="91">
        <f>IF(AND(A155="",A154&lt;&gt;"",COUNTIF(A156:$A$200,"&lt;&gt;")=0),"TOTAL",IF(A155="","",posicao_contratual!X155))</f>
        <v/>
      </c>
      <c r="V155" s="91">
        <f>IF(A155="","",posicao_contratual!X155)</f>
        <v/>
      </c>
      <c r="W155" s="13" t="n"/>
      <c r="X155" s="13" t="n"/>
      <c r="Y155" s="13" t="n"/>
      <c r="Z155" s="13" t="n"/>
      <c r="AA155" s="13" t="n"/>
      <c r="AB155" s="90">
        <f>IF(OR(A155="",posicao_contratual!E155="",posicao_contratual!J155=""),"",ROUND(MAX(posicao_contratual!E155-posicao_contratual!J155,0),2))</f>
        <v/>
      </c>
      <c r="AC155" s="335">
        <f>IF(AND(A155="",A154&lt;&gt;"",COUNTIF(A156:$A$200,"&lt;&gt;")=0),ROUND(SUMIF($A$2:A154,"&lt;&gt;",$AC$2:AC154),2),IF(OR(AB155="",C155="",NOT(ISNUMBER($Z$2))),"",ROUND(AB155*C155*$Z$2,2)))</f>
        <v/>
      </c>
      <c r="AD155" s="155">
        <f>IF(A155="","",posicao_contratual!E155)</f>
        <v/>
      </c>
      <c r="AE155" s="155">
        <f>IF(A155="","",posicao_contratual!I155)</f>
        <v/>
      </c>
      <c r="AF155" s="155">
        <f>IF(A155="","",posicao_contratual!M155)</f>
        <v/>
      </c>
      <c r="AG155" s="155">
        <f>IF(A155="","",posicao_contratual!Q155)</f>
        <v/>
      </c>
      <c r="AH155" s="155">
        <f>IF(A155="","",posicao_contratual!U155)</f>
        <v/>
      </c>
      <c r="AI155" s="155">
        <f>IF(A155="","",posicao_contratual!G155)</f>
        <v/>
      </c>
      <c r="AJ155" s="155">
        <f>IF(A155="","",posicao_contratual!K155)</f>
        <v/>
      </c>
      <c r="AK155" s="155">
        <f>IF(A155="","",posicao_contratual!O155)</f>
        <v/>
      </c>
      <c r="AL155" s="155">
        <f>IF(A155="","",posicao_contratual!S155)</f>
        <v/>
      </c>
      <c r="AM155" s="155">
        <f>IF(A155="","",posicao_contratual!W155)</f>
        <v/>
      </c>
      <c r="AN155" s="156">
        <f>IF(A155="","",posicao_contratual!X155)</f>
        <v/>
      </c>
      <c r="AO155">
        <f>IF($A155="","",ROUND(SUMIFS(itens_Consumidos!$E$2:$E$200,itens_Consumidos!$A$2:$A$200,$A155),2))</f>
        <v/>
      </c>
      <c r="AP155">
        <f>IF(OR($A155="",AB155=""),"",ROUND(MAX(AB155-AO155,0),2))</f>
        <v/>
      </c>
      <c r="AQ155">
        <f>IF(OR($A155="",AB155="",MEMORIA_RESULTADOS!$I$258=""),"",ROUND(AB155*$C155*(MEMORIA_RESULTADOS!$I$258-1),2))</f>
        <v/>
      </c>
      <c r="AR155">
        <f>IF(OR($A155="",AP155="",MEMORIA_RESULTADOS!$I$258=""),"",ROUND(AP155*$C155*(parametros!$F$2-MEMORIA_RESULTADOS!$I$258),2))</f>
        <v/>
      </c>
      <c r="AS155">
        <f>IF($A155="","",ROUND(SUMIFS(itens_Consumidos!$G$2:$G$200,itens_Consumidos!$A$2:$A$200,$A155),2))</f>
        <v/>
      </c>
      <c r="AT155">
        <f>IF(OR($A155="",M155=""),"",ROUND(MAX(M155-AS155,0),2))</f>
        <v/>
      </c>
      <c r="AU155">
        <f>IF(OR($A155="",M155="",MEMORIA_RESULTADOS!$I$259=""),"",ROUND(M155*$C155*(MEMORIA_RESULTADOS!$I$259-1),2))</f>
        <v/>
      </c>
      <c r="AV155">
        <f>IF(OR($A155="",AT155="",MEMORIA_RESULTADOS!$I$259=""),"",ROUND(AT155*$C155*(parametros!$F$3-MEMORIA_RESULTADOS!$I$259),2))</f>
        <v/>
      </c>
      <c r="AW155">
        <f>IF($A155="","",ROUND(SUMIFS(itens_Consumidos!$I$2:$I$200,itens_Consumidos!$A$2:$A$200,$A155),2))</f>
        <v/>
      </c>
      <c r="AX155">
        <f>IF(OR($A155="",O155=""),"",ROUND(MAX(O155-AW155,0),2))</f>
        <v/>
      </c>
      <c r="AY155">
        <f>IF(OR($A155="",O155="",MEMORIA_RESULTADOS!$I$260=""),"",ROUND(O155*$C155*(MEMORIA_RESULTADOS!$I$260-1),2))</f>
        <v/>
      </c>
      <c r="AZ155">
        <f>IF(OR($A155="",AX155="",MEMORIA_RESULTADOS!$I$260=""),"",ROUND(AX155*$C155*(parametros!$F$4-MEMORIA_RESULTADOS!$I$260),2))</f>
        <v/>
      </c>
      <c r="BA155">
        <f>IF($A155="","",ROUND(SUMIFS(itens_Consumidos!$K$2:$K$200,itens_Consumidos!$A$2:$A$200,$A155),2))</f>
        <v/>
      </c>
      <c r="BB155">
        <f>IF(OR($A155="",Q155=""),"",ROUND(MAX(Q155-BA155,0),2))</f>
        <v/>
      </c>
      <c r="BC155">
        <f>IF(OR($A155="",Q155="",MEMORIA_RESULTADOS!$I$261=""),"",ROUND(Q155*$C155*(MEMORIA_RESULTADOS!$I$261-1),2))</f>
        <v/>
      </c>
      <c r="BD155">
        <f>IF(OR($A155="",BB155="",MEMORIA_RESULTADOS!$I$261=""),"",ROUND(BB155*$C155*(parametros!$F$5-MEMORIA_RESULTADOS!$I$261),2))</f>
        <v/>
      </c>
      <c r="BE155">
        <f>IF($A155="","",ROUND(SUMIFS(itens_Consumidos!$M$2:$M$200,itens_Consumidos!$A$2:$A$200,$A155),2))</f>
        <v/>
      </c>
      <c r="BF155">
        <f>IF(OR($A155="",S155=""),"",ROUND(MAX(S155-BE155,0),2))</f>
        <v/>
      </c>
      <c r="BG155">
        <f>IF(OR($A155="",S155="",MEMORIA_RESULTADOS!$I$262=""),"",ROUND(S155*$C155*(MEMORIA_RESULTADOS!$I$262-1),2))</f>
        <v/>
      </c>
      <c r="BH155">
        <f>IF(OR($A155="",BF155="",MEMORIA_RESULTADOS!$I$262=""),"",ROUND(BF155*$C155*(parametros!$F$6-MEMORIA_RESULTADOS!$I$262),2))</f>
        <v/>
      </c>
    </row>
    <row r="156">
      <c r="A156" s="86" t="n"/>
      <c r="B156" s="87">
        <f>IF(AND(LEN(TRIM($A156))=4,LEFT(TRIM($A156),1)="N",ISNUMBER(--MID(TRIM($A156),2,3)),ISERROR(FIND(".",$A156)),ISERROR(FIND(",",$A156)),ISERROR(FIND("-",$A156)),ISERROR(FIND("+",$A156)),ISERROR(SEARCH("E",$A156,2)),ISERROR(FIND(" ",TRIM($A156)))),0,"")</f>
        <v/>
      </c>
      <c r="C156" s="339" t="n"/>
      <c r="D156" s="335">
        <f>IF(AND(A156="",A155&lt;&gt;"",COUNTIF(A157:$A$200,"&lt;&gt;")=0),ROUND(SUMIF($A$2:A155,"&lt;&gt;",$D$2:D155),2),IF(OR(A156="",B156="",C156=""),"",ROUND(B156*C156,2)))</f>
        <v/>
      </c>
      <c r="E156" s="89" t="n"/>
      <c r="F156" s="335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 t="n"/>
      <c r="H156" s="335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 t="n"/>
      <c r="J156" s="335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 t="n"/>
      <c r="L156" s="335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>
        <f>IF(OR(posicao_contratual!J156="",posicao_contratual!N156=""),"",ROUND(MAX(posicao_contratual!J156+posicao_contratual!H156-posicao_contratual!N156,0),2))</f>
        <v/>
      </c>
      <c r="N156" s="335">
        <f>IF(AND(A156="",A155&lt;&gt;"",COUNTIF(A157:$A$200,"&lt;&gt;")=0),ROUND(SUMIF($A$2:A155,"&lt;&gt;",$N$2:N155),2),IF(OR(M156="",C156="",NOT(ISNUMBER($Z$3))),"",ROUND(M156*C156*$Z$3,2)))</f>
        <v/>
      </c>
      <c r="O156" s="90">
        <f>IF(OR(posicao_contratual!N156="",posicao_contratual!R156=""),"",ROUND(MAX(posicao_contratual!N156+posicao_contratual!L156-posicao_contratual!R156,0),2))</f>
        <v/>
      </c>
      <c r="P156" s="335">
        <f>IF(AND(A156="",A155&lt;&gt;"",COUNTIF(A157:$A$200,"&lt;&gt;")=0),ROUND(SUMIF($A$2:A155,"&lt;&gt;",$P$2:P155),2),IF(OR(O156="",C156="",NOT(ISNUMBER($Z$4))),"",ROUND(O156*C156*$Z$4,2)))</f>
        <v/>
      </c>
      <c r="Q156" s="90">
        <f>IF(OR(posicao_contratual!R156="",posicao_contratual!V156=""),"",ROUND(MAX(posicao_contratual!R156+posicao_contratual!P156-posicao_contratual!V156,0),2))</f>
        <v/>
      </c>
      <c r="R156" s="335">
        <f>IF(AND(A156="",A155&lt;&gt;"",COUNTIF(A157:$A$200,"&lt;&gt;")=0),ROUND(SUMIF($A$2:A155,"&lt;&gt;",$R$2:R155),2),IF(OR(Q156="",C156="",NOT(ISNUMBER($Z$5))),"",ROUND(Q156*C156*$Z$5,2)))</f>
        <v/>
      </c>
      <c r="S156" s="43" t="n"/>
      <c r="T156" s="342" t="n"/>
      <c r="U156" s="91">
        <f>IF(AND(A156="",A155&lt;&gt;"",COUNTIF(A157:$A$200,"&lt;&gt;")=0),"TOTAL",IF(A156="","",posicao_contratual!X156))</f>
        <v/>
      </c>
      <c r="V156" s="91">
        <f>IF(A156="","",posicao_contratual!X156)</f>
        <v/>
      </c>
      <c r="W156" s="13" t="n"/>
      <c r="X156" s="13" t="n"/>
      <c r="Y156" s="13" t="n"/>
      <c r="Z156" s="13" t="n"/>
      <c r="AA156" s="13" t="n"/>
      <c r="AB156" s="90">
        <f>IF(OR(A156="",posicao_contratual!E156="",posicao_contratual!J156=""),"",ROUND(MAX(posicao_contratual!E156-posicao_contratual!J156,0),2))</f>
        <v/>
      </c>
      <c r="AC156" s="335">
        <f>IF(AND(A156="",A155&lt;&gt;"",COUNTIF(A157:$A$200,"&lt;&gt;")=0),ROUND(SUMIF($A$2:A155,"&lt;&gt;",$AC$2:AC155),2),IF(OR(AB156="",C156="",NOT(ISNUMBER($Z$2))),"",ROUND(AB156*C156*$Z$2,2)))</f>
        <v/>
      </c>
      <c r="AD156" s="155">
        <f>IF(A156="","",posicao_contratual!E156)</f>
        <v/>
      </c>
      <c r="AE156" s="155">
        <f>IF(A156="","",posicao_contratual!I156)</f>
        <v/>
      </c>
      <c r="AF156" s="155">
        <f>IF(A156="","",posicao_contratual!M156)</f>
        <v/>
      </c>
      <c r="AG156" s="155">
        <f>IF(A156="","",posicao_contratual!Q156)</f>
        <v/>
      </c>
      <c r="AH156" s="155">
        <f>IF(A156="","",posicao_contratual!U156)</f>
        <v/>
      </c>
      <c r="AI156" s="155">
        <f>IF(A156="","",posicao_contratual!G156)</f>
        <v/>
      </c>
      <c r="AJ156" s="155">
        <f>IF(A156="","",posicao_contratual!K156)</f>
        <v/>
      </c>
      <c r="AK156" s="155">
        <f>IF(A156="","",posicao_contratual!O156)</f>
        <v/>
      </c>
      <c r="AL156" s="155">
        <f>IF(A156="","",posicao_contratual!S156)</f>
        <v/>
      </c>
      <c r="AM156" s="155">
        <f>IF(A156="","",posicao_contratual!W156)</f>
        <v/>
      </c>
      <c r="AN156" s="156">
        <f>IF(A156="","",posicao_contratual!X156)</f>
        <v/>
      </c>
      <c r="AO156">
        <f>IF($A156="","",ROUND(SUMIFS(itens_Consumidos!$E$2:$E$200,itens_Consumidos!$A$2:$A$200,$A156),2))</f>
        <v/>
      </c>
      <c r="AP156">
        <f>IF(OR($A156="",AB156=""),"",ROUND(MAX(AB156-AO156,0),2))</f>
        <v/>
      </c>
      <c r="AQ156">
        <f>IF(OR($A156="",AB156="",MEMORIA_RESULTADOS!$I$258=""),"",ROUND(AB156*$C156*(MEMORIA_RESULTADOS!$I$258-1),2))</f>
        <v/>
      </c>
      <c r="AR156">
        <f>IF(OR($A156="",AP156="",MEMORIA_RESULTADOS!$I$258=""),"",ROUND(AP156*$C156*(parametros!$F$2-MEMORIA_RESULTADOS!$I$258),2))</f>
        <v/>
      </c>
      <c r="AS156">
        <f>IF($A156="","",ROUND(SUMIFS(itens_Consumidos!$G$2:$G$200,itens_Consumidos!$A$2:$A$200,$A156),2))</f>
        <v/>
      </c>
      <c r="AT156">
        <f>IF(OR($A156="",M156=""),"",ROUND(MAX(M156-AS156,0),2))</f>
        <v/>
      </c>
      <c r="AU156">
        <f>IF(OR($A156="",M156="",MEMORIA_RESULTADOS!$I$259=""),"",ROUND(M156*$C156*(MEMORIA_RESULTADOS!$I$259-1),2))</f>
        <v/>
      </c>
      <c r="AV156">
        <f>IF(OR($A156="",AT156="",MEMORIA_RESULTADOS!$I$259=""),"",ROUND(AT156*$C156*(parametros!$F$3-MEMORIA_RESULTADOS!$I$259),2))</f>
        <v/>
      </c>
      <c r="AW156">
        <f>IF($A156="","",ROUND(SUMIFS(itens_Consumidos!$I$2:$I$200,itens_Consumidos!$A$2:$A$200,$A156),2))</f>
        <v/>
      </c>
      <c r="AX156">
        <f>IF(OR($A156="",O156=""),"",ROUND(MAX(O156-AW156,0),2))</f>
        <v/>
      </c>
      <c r="AY156">
        <f>IF(OR($A156="",O156="",MEMORIA_RESULTADOS!$I$260=""),"",ROUND(O156*$C156*(MEMORIA_RESULTADOS!$I$260-1),2))</f>
        <v/>
      </c>
      <c r="AZ156">
        <f>IF(OR($A156="",AX156="",MEMORIA_RESULTADOS!$I$260=""),"",ROUND(AX156*$C156*(parametros!$F$4-MEMORIA_RESULTADOS!$I$260),2))</f>
        <v/>
      </c>
      <c r="BA156">
        <f>IF($A156="","",ROUND(SUMIFS(itens_Consumidos!$K$2:$K$200,itens_Consumidos!$A$2:$A$200,$A156),2))</f>
        <v/>
      </c>
      <c r="BB156">
        <f>IF(OR($A156="",Q156=""),"",ROUND(MAX(Q156-BA156,0),2))</f>
        <v/>
      </c>
      <c r="BC156">
        <f>IF(OR($A156="",Q156="",MEMORIA_RESULTADOS!$I$261=""),"",ROUND(Q156*$C156*(MEMORIA_RESULTADOS!$I$261-1),2))</f>
        <v/>
      </c>
      <c r="BD156">
        <f>IF(OR($A156="",BB156="",MEMORIA_RESULTADOS!$I$261=""),"",ROUND(BB156*$C156*(parametros!$F$5-MEMORIA_RESULTADOS!$I$261),2))</f>
        <v/>
      </c>
      <c r="BE156">
        <f>IF($A156="","",ROUND(SUMIFS(itens_Consumidos!$M$2:$M$200,itens_Consumidos!$A$2:$A$200,$A156),2))</f>
        <v/>
      </c>
      <c r="BF156">
        <f>IF(OR($A156="",S156=""),"",ROUND(MAX(S156-BE156,0),2))</f>
        <v/>
      </c>
      <c r="BG156">
        <f>IF(OR($A156="",S156="",MEMORIA_RESULTADOS!$I$262=""),"",ROUND(S156*$C156*(MEMORIA_RESULTADOS!$I$262-1),2))</f>
        <v/>
      </c>
      <c r="BH156">
        <f>IF(OR($A156="",BF156="",MEMORIA_RESULTADOS!$I$262=""),"",ROUND(BF156*$C156*(parametros!$F$6-MEMORIA_RESULTADOS!$I$262),2))</f>
        <v/>
      </c>
    </row>
    <row r="157">
      <c r="A157" s="86" t="n"/>
      <c r="B157" s="87">
        <f>IF(AND(LEN(TRIM($A157))=4,LEFT(TRIM($A157),1)="N",ISNUMBER(--MID(TRIM($A157),2,3)),ISERROR(FIND(".",$A157)),ISERROR(FIND(",",$A157)),ISERROR(FIND("-",$A157)),ISERROR(FIND("+",$A157)),ISERROR(SEARCH("E",$A157,2)),ISERROR(FIND(" ",TRIM($A157)))),0,"")</f>
        <v/>
      </c>
      <c r="C157" s="339" t="n"/>
      <c r="D157" s="335">
        <f>IF(AND(A157="",A156&lt;&gt;"",COUNTIF(A158:$A$200,"&lt;&gt;")=0),ROUND(SUMIF($A$2:A156,"&lt;&gt;",$D$2:D156),2),IF(OR(A157="",B157="",C157=""),"",ROUND(B157*C157,2)))</f>
        <v/>
      </c>
      <c r="E157" s="89" t="n"/>
      <c r="F157" s="335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 t="n"/>
      <c r="H157" s="335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 t="n"/>
      <c r="J157" s="335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 t="n"/>
      <c r="L157" s="335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>
        <f>IF(OR(posicao_contratual!J157="",posicao_contratual!N157=""),"",ROUND(MAX(posicao_contratual!J157+posicao_contratual!H157-posicao_contratual!N157,0),2))</f>
        <v/>
      </c>
      <c r="N157" s="335">
        <f>IF(AND(A157="",A156&lt;&gt;"",COUNTIF(A158:$A$200,"&lt;&gt;")=0),ROUND(SUMIF($A$2:A156,"&lt;&gt;",$N$2:N156),2),IF(OR(M157="",C157="",NOT(ISNUMBER($Z$3))),"",ROUND(M157*C157*$Z$3,2)))</f>
        <v/>
      </c>
      <c r="O157" s="90">
        <f>IF(OR(posicao_contratual!N157="",posicao_contratual!R157=""),"",ROUND(MAX(posicao_contratual!N157+posicao_contratual!L157-posicao_contratual!R157,0),2))</f>
        <v/>
      </c>
      <c r="P157" s="335">
        <f>IF(AND(A157="",A156&lt;&gt;"",COUNTIF(A158:$A$200,"&lt;&gt;")=0),ROUND(SUMIF($A$2:A156,"&lt;&gt;",$P$2:P156),2),IF(OR(O157="",C157="",NOT(ISNUMBER($Z$4))),"",ROUND(O157*C157*$Z$4,2)))</f>
        <v/>
      </c>
      <c r="Q157" s="90">
        <f>IF(OR(posicao_contratual!R157="",posicao_contratual!V157=""),"",ROUND(MAX(posicao_contratual!R157+posicao_contratual!P157-posicao_contratual!V157,0),2))</f>
        <v/>
      </c>
      <c r="R157" s="335">
        <f>IF(AND(A157="",A156&lt;&gt;"",COUNTIF(A158:$A$200,"&lt;&gt;")=0),ROUND(SUMIF($A$2:A156,"&lt;&gt;",$R$2:R156),2),IF(OR(Q157="",C157="",NOT(ISNUMBER($Z$5))),"",ROUND(Q157*C157*$Z$5,2)))</f>
        <v/>
      </c>
      <c r="S157" s="43" t="n"/>
      <c r="T157" s="342" t="n"/>
      <c r="U157" s="91">
        <f>IF(AND(A157="",A156&lt;&gt;"",COUNTIF(A158:$A$200,"&lt;&gt;")=0),"TOTAL",IF(A157="","",posicao_contratual!X157))</f>
        <v/>
      </c>
      <c r="V157" s="91">
        <f>IF(A157="","",posicao_contratual!X157)</f>
        <v/>
      </c>
      <c r="W157" s="13" t="n"/>
      <c r="X157" s="13" t="n"/>
      <c r="Y157" s="13" t="n"/>
      <c r="Z157" s="13" t="n"/>
      <c r="AA157" s="13" t="n"/>
      <c r="AB157" s="90">
        <f>IF(OR(A157="",posicao_contratual!E157="",posicao_contratual!J157=""),"",ROUND(MAX(posicao_contratual!E157-posicao_contratual!J157,0),2))</f>
        <v/>
      </c>
      <c r="AC157" s="335">
        <f>IF(AND(A157="",A156&lt;&gt;"",COUNTIF(A158:$A$200,"&lt;&gt;")=0),ROUND(SUMIF($A$2:A156,"&lt;&gt;",$AC$2:AC156),2),IF(OR(AB157="",C157="",NOT(ISNUMBER($Z$2))),"",ROUND(AB157*C157*$Z$2,2)))</f>
        <v/>
      </c>
      <c r="AD157" s="155">
        <f>IF(A157="","",posicao_contratual!E157)</f>
        <v/>
      </c>
      <c r="AE157" s="155">
        <f>IF(A157="","",posicao_contratual!I157)</f>
        <v/>
      </c>
      <c r="AF157" s="155">
        <f>IF(A157="","",posicao_contratual!M157)</f>
        <v/>
      </c>
      <c r="AG157" s="155">
        <f>IF(A157="","",posicao_contratual!Q157)</f>
        <v/>
      </c>
      <c r="AH157" s="155">
        <f>IF(A157="","",posicao_contratual!U157)</f>
        <v/>
      </c>
      <c r="AI157" s="155">
        <f>IF(A157="","",posicao_contratual!G157)</f>
        <v/>
      </c>
      <c r="AJ157" s="155">
        <f>IF(A157="","",posicao_contratual!K157)</f>
        <v/>
      </c>
      <c r="AK157" s="155">
        <f>IF(A157="","",posicao_contratual!O157)</f>
        <v/>
      </c>
      <c r="AL157" s="155">
        <f>IF(A157="","",posicao_contratual!S157)</f>
        <v/>
      </c>
      <c r="AM157" s="155">
        <f>IF(A157="","",posicao_contratual!W157)</f>
        <v/>
      </c>
      <c r="AN157" s="156">
        <f>IF(A157="","",posicao_contratual!X157)</f>
        <v/>
      </c>
      <c r="AO157">
        <f>IF($A157="","",ROUND(SUMIFS(itens_Consumidos!$E$2:$E$200,itens_Consumidos!$A$2:$A$200,$A157),2))</f>
        <v/>
      </c>
      <c r="AP157">
        <f>IF(OR($A157="",AB157=""),"",ROUND(MAX(AB157-AO157,0),2))</f>
        <v/>
      </c>
      <c r="AQ157">
        <f>IF(OR($A157="",AB157="",MEMORIA_RESULTADOS!$I$258=""),"",ROUND(AB157*$C157*(MEMORIA_RESULTADOS!$I$258-1),2))</f>
        <v/>
      </c>
      <c r="AR157">
        <f>IF(OR($A157="",AP157="",MEMORIA_RESULTADOS!$I$258=""),"",ROUND(AP157*$C157*(parametros!$F$2-MEMORIA_RESULTADOS!$I$258),2))</f>
        <v/>
      </c>
      <c r="AS157">
        <f>IF($A157="","",ROUND(SUMIFS(itens_Consumidos!$G$2:$G$200,itens_Consumidos!$A$2:$A$200,$A157),2))</f>
        <v/>
      </c>
      <c r="AT157">
        <f>IF(OR($A157="",M157=""),"",ROUND(MAX(M157-AS157,0),2))</f>
        <v/>
      </c>
      <c r="AU157">
        <f>IF(OR($A157="",M157="",MEMORIA_RESULTADOS!$I$259=""),"",ROUND(M157*$C157*(MEMORIA_RESULTADOS!$I$259-1),2))</f>
        <v/>
      </c>
      <c r="AV157">
        <f>IF(OR($A157="",AT157="",MEMORIA_RESULTADOS!$I$259=""),"",ROUND(AT157*$C157*(parametros!$F$3-MEMORIA_RESULTADOS!$I$259),2))</f>
        <v/>
      </c>
      <c r="AW157">
        <f>IF($A157="","",ROUND(SUMIFS(itens_Consumidos!$I$2:$I$200,itens_Consumidos!$A$2:$A$200,$A157),2))</f>
        <v/>
      </c>
      <c r="AX157">
        <f>IF(OR($A157="",O157=""),"",ROUND(MAX(O157-AW157,0),2))</f>
        <v/>
      </c>
      <c r="AY157">
        <f>IF(OR($A157="",O157="",MEMORIA_RESULTADOS!$I$260=""),"",ROUND(O157*$C157*(MEMORIA_RESULTADOS!$I$260-1),2))</f>
        <v/>
      </c>
      <c r="AZ157">
        <f>IF(OR($A157="",AX157="",MEMORIA_RESULTADOS!$I$260=""),"",ROUND(AX157*$C157*(parametros!$F$4-MEMORIA_RESULTADOS!$I$260),2))</f>
        <v/>
      </c>
      <c r="BA157">
        <f>IF($A157="","",ROUND(SUMIFS(itens_Consumidos!$K$2:$K$200,itens_Consumidos!$A$2:$A$200,$A157),2))</f>
        <v/>
      </c>
      <c r="BB157">
        <f>IF(OR($A157="",Q157=""),"",ROUND(MAX(Q157-BA157,0),2))</f>
        <v/>
      </c>
      <c r="BC157">
        <f>IF(OR($A157="",Q157="",MEMORIA_RESULTADOS!$I$261=""),"",ROUND(Q157*$C157*(MEMORIA_RESULTADOS!$I$261-1),2))</f>
        <v/>
      </c>
      <c r="BD157">
        <f>IF(OR($A157="",BB157="",MEMORIA_RESULTADOS!$I$261=""),"",ROUND(BB157*$C157*(parametros!$F$5-MEMORIA_RESULTADOS!$I$261),2))</f>
        <v/>
      </c>
      <c r="BE157">
        <f>IF($A157="","",ROUND(SUMIFS(itens_Consumidos!$M$2:$M$200,itens_Consumidos!$A$2:$A$200,$A157),2))</f>
        <v/>
      </c>
      <c r="BF157">
        <f>IF(OR($A157="",S157=""),"",ROUND(MAX(S157-BE157,0),2))</f>
        <v/>
      </c>
      <c r="BG157">
        <f>IF(OR($A157="",S157="",MEMORIA_RESULTADOS!$I$262=""),"",ROUND(S157*$C157*(MEMORIA_RESULTADOS!$I$262-1),2))</f>
        <v/>
      </c>
      <c r="BH157">
        <f>IF(OR($A157="",BF157="",MEMORIA_RESULTADOS!$I$262=""),"",ROUND(BF157*$C157*(parametros!$F$6-MEMORIA_RESULTADOS!$I$262),2))</f>
        <v/>
      </c>
    </row>
    <row r="158">
      <c r="A158" s="86" t="n"/>
      <c r="B158" s="87">
        <f>IF(AND(LEN(TRIM($A158))=4,LEFT(TRIM($A158),1)="N",ISNUMBER(--MID(TRIM($A158),2,3)),ISERROR(FIND(".",$A158)),ISERROR(FIND(",",$A158)),ISERROR(FIND("-",$A158)),ISERROR(FIND("+",$A158)),ISERROR(SEARCH("E",$A158,2)),ISERROR(FIND(" ",TRIM($A158)))),0,"")</f>
        <v/>
      </c>
      <c r="C158" s="339" t="n"/>
      <c r="D158" s="335">
        <f>IF(AND(A158="",A157&lt;&gt;"",COUNTIF(A159:$A$200,"&lt;&gt;")=0),ROUND(SUMIF($A$2:A157,"&lt;&gt;",$D$2:D157),2),IF(OR(A158="",B158="",C158=""),"",ROUND(B158*C158,2)))</f>
        <v/>
      </c>
      <c r="E158" s="89" t="n"/>
      <c r="F158" s="335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 t="n"/>
      <c r="H158" s="335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 t="n"/>
      <c r="J158" s="335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 t="n"/>
      <c r="L158" s="335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>
        <f>IF(OR(posicao_contratual!J158="",posicao_contratual!N158=""),"",ROUND(MAX(posicao_contratual!J158+posicao_contratual!H158-posicao_contratual!N158,0),2))</f>
        <v/>
      </c>
      <c r="N158" s="335">
        <f>IF(AND(A158="",A157&lt;&gt;"",COUNTIF(A159:$A$200,"&lt;&gt;")=0),ROUND(SUMIF($A$2:A157,"&lt;&gt;",$N$2:N157),2),IF(OR(M158="",C158="",NOT(ISNUMBER($Z$3))),"",ROUND(M158*C158*$Z$3,2)))</f>
        <v/>
      </c>
      <c r="O158" s="90">
        <f>IF(OR(posicao_contratual!N158="",posicao_contratual!R158=""),"",ROUND(MAX(posicao_contratual!N158+posicao_contratual!L158-posicao_contratual!R158,0),2))</f>
        <v/>
      </c>
      <c r="P158" s="335">
        <f>IF(AND(A158="",A157&lt;&gt;"",COUNTIF(A159:$A$200,"&lt;&gt;")=0),ROUND(SUMIF($A$2:A157,"&lt;&gt;",$P$2:P157),2),IF(OR(O158="",C158="",NOT(ISNUMBER($Z$4))),"",ROUND(O158*C158*$Z$4,2)))</f>
        <v/>
      </c>
      <c r="Q158" s="90">
        <f>IF(OR(posicao_contratual!R158="",posicao_contratual!V158=""),"",ROUND(MAX(posicao_contratual!R158+posicao_contratual!P158-posicao_contratual!V158,0),2))</f>
        <v/>
      </c>
      <c r="R158" s="335">
        <f>IF(AND(A158="",A157&lt;&gt;"",COUNTIF(A159:$A$200,"&lt;&gt;")=0),ROUND(SUMIF($A$2:A157,"&lt;&gt;",$R$2:R157),2),IF(OR(Q158="",C158="",NOT(ISNUMBER($Z$5))),"",ROUND(Q158*C158*$Z$5,2)))</f>
        <v/>
      </c>
      <c r="S158" s="43" t="n"/>
      <c r="T158" s="342" t="n"/>
      <c r="U158" s="91">
        <f>IF(AND(A158="",A157&lt;&gt;"",COUNTIF(A159:$A$200,"&lt;&gt;")=0),"TOTAL",IF(A158="","",posicao_contratual!X158))</f>
        <v/>
      </c>
      <c r="V158" s="91">
        <f>IF(A158="","",posicao_contratual!X158)</f>
        <v/>
      </c>
      <c r="W158" s="13" t="n"/>
      <c r="X158" s="13" t="n"/>
      <c r="Y158" s="13" t="n"/>
      <c r="Z158" s="13" t="n"/>
      <c r="AA158" s="13" t="n"/>
      <c r="AB158" s="90">
        <f>IF(OR(A158="",posicao_contratual!E158="",posicao_contratual!J158=""),"",ROUND(MAX(posicao_contratual!E158-posicao_contratual!J158,0),2))</f>
        <v/>
      </c>
      <c r="AC158" s="335">
        <f>IF(AND(A158="",A157&lt;&gt;"",COUNTIF(A159:$A$200,"&lt;&gt;")=0),ROUND(SUMIF($A$2:A157,"&lt;&gt;",$AC$2:AC157),2),IF(OR(AB158="",C158="",NOT(ISNUMBER($Z$2))),"",ROUND(AB158*C158*$Z$2,2)))</f>
        <v/>
      </c>
      <c r="AD158" s="155">
        <f>IF(A158="","",posicao_contratual!E158)</f>
        <v/>
      </c>
      <c r="AE158" s="155">
        <f>IF(A158="","",posicao_contratual!I158)</f>
        <v/>
      </c>
      <c r="AF158" s="155">
        <f>IF(A158="","",posicao_contratual!M158)</f>
        <v/>
      </c>
      <c r="AG158" s="155">
        <f>IF(A158="","",posicao_contratual!Q158)</f>
        <v/>
      </c>
      <c r="AH158" s="155">
        <f>IF(A158="","",posicao_contratual!U158)</f>
        <v/>
      </c>
      <c r="AI158" s="155">
        <f>IF(A158="","",posicao_contratual!G158)</f>
        <v/>
      </c>
      <c r="AJ158" s="155">
        <f>IF(A158="","",posicao_contratual!K158)</f>
        <v/>
      </c>
      <c r="AK158" s="155">
        <f>IF(A158="","",posicao_contratual!O158)</f>
        <v/>
      </c>
      <c r="AL158" s="155">
        <f>IF(A158="","",posicao_contratual!S158)</f>
        <v/>
      </c>
      <c r="AM158" s="155">
        <f>IF(A158="","",posicao_contratual!W158)</f>
        <v/>
      </c>
      <c r="AN158" s="156">
        <f>IF(A158="","",posicao_contratual!X158)</f>
        <v/>
      </c>
      <c r="AO158">
        <f>IF($A158="","",ROUND(SUMIFS(itens_Consumidos!$E$2:$E$200,itens_Consumidos!$A$2:$A$200,$A158),2))</f>
        <v/>
      </c>
      <c r="AP158">
        <f>IF(OR($A158="",AB158=""),"",ROUND(MAX(AB158-AO158,0),2))</f>
        <v/>
      </c>
      <c r="AQ158">
        <f>IF(OR($A158="",AB158="",MEMORIA_RESULTADOS!$I$258=""),"",ROUND(AB158*$C158*(MEMORIA_RESULTADOS!$I$258-1),2))</f>
        <v/>
      </c>
      <c r="AR158">
        <f>IF(OR($A158="",AP158="",MEMORIA_RESULTADOS!$I$258=""),"",ROUND(AP158*$C158*(parametros!$F$2-MEMORIA_RESULTADOS!$I$258),2))</f>
        <v/>
      </c>
      <c r="AS158">
        <f>IF($A158="","",ROUND(SUMIFS(itens_Consumidos!$G$2:$G$200,itens_Consumidos!$A$2:$A$200,$A158),2))</f>
        <v/>
      </c>
      <c r="AT158">
        <f>IF(OR($A158="",M158=""),"",ROUND(MAX(M158-AS158,0),2))</f>
        <v/>
      </c>
      <c r="AU158">
        <f>IF(OR($A158="",M158="",MEMORIA_RESULTADOS!$I$259=""),"",ROUND(M158*$C158*(MEMORIA_RESULTADOS!$I$259-1),2))</f>
        <v/>
      </c>
      <c r="AV158">
        <f>IF(OR($A158="",AT158="",MEMORIA_RESULTADOS!$I$259=""),"",ROUND(AT158*$C158*(parametros!$F$3-MEMORIA_RESULTADOS!$I$259),2))</f>
        <v/>
      </c>
      <c r="AW158">
        <f>IF($A158="","",ROUND(SUMIFS(itens_Consumidos!$I$2:$I$200,itens_Consumidos!$A$2:$A$200,$A158),2))</f>
        <v/>
      </c>
      <c r="AX158">
        <f>IF(OR($A158="",O158=""),"",ROUND(MAX(O158-AW158,0),2))</f>
        <v/>
      </c>
      <c r="AY158">
        <f>IF(OR($A158="",O158="",MEMORIA_RESULTADOS!$I$260=""),"",ROUND(O158*$C158*(MEMORIA_RESULTADOS!$I$260-1),2))</f>
        <v/>
      </c>
      <c r="AZ158">
        <f>IF(OR($A158="",AX158="",MEMORIA_RESULTADOS!$I$260=""),"",ROUND(AX158*$C158*(parametros!$F$4-MEMORIA_RESULTADOS!$I$260),2))</f>
        <v/>
      </c>
      <c r="BA158">
        <f>IF($A158="","",ROUND(SUMIFS(itens_Consumidos!$K$2:$K$200,itens_Consumidos!$A$2:$A$200,$A158),2))</f>
        <v/>
      </c>
      <c r="BB158">
        <f>IF(OR($A158="",Q158=""),"",ROUND(MAX(Q158-BA158,0),2))</f>
        <v/>
      </c>
      <c r="BC158">
        <f>IF(OR($A158="",Q158="",MEMORIA_RESULTADOS!$I$261=""),"",ROUND(Q158*$C158*(MEMORIA_RESULTADOS!$I$261-1),2))</f>
        <v/>
      </c>
      <c r="BD158">
        <f>IF(OR($A158="",BB158="",MEMORIA_RESULTADOS!$I$261=""),"",ROUND(BB158*$C158*(parametros!$F$5-MEMORIA_RESULTADOS!$I$261),2))</f>
        <v/>
      </c>
      <c r="BE158">
        <f>IF($A158="","",ROUND(SUMIFS(itens_Consumidos!$M$2:$M$200,itens_Consumidos!$A$2:$A$200,$A158),2))</f>
        <v/>
      </c>
      <c r="BF158">
        <f>IF(OR($A158="",S158=""),"",ROUND(MAX(S158-BE158,0),2))</f>
        <v/>
      </c>
      <c r="BG158">
        <f>IF(OR($A158="",S158="",MEMORIA_RESULTADOS!$I$262=""),"",ROUND(S158*$C158*(MEMORIA_RESULTADOS!$I$262-1),2))</f>
        <v/>
      </c>
      <c r="BH158">
        <f>IF(OR($A158="",BF158="",MEMORIA_RESULTADOS!$I$262=""),"",ROUND(BF158*$C158*(parametros!$F$6-MEMORIA_RESULTADOS!$I$262),2))</f>
        <v/>
      </c>
    </row>
    <row r="159">
      <c r="A159" s="86" t="n"/>
      <c r="B159" s="87">
        <f>IF(AND(LEN(TRIM($A159))=4,LEFT(TRIM($A159),1)="N",ISNUMBER(--MID(TRIM($A159),2,3)),ISERROR(FIND(".",$A159)),ISERROR(FIND(",",$A159)),ISERROR(FIND("-",$A159)),ISERROR(FIND("+",$A159)),ISERROR(SEARCH("E",$A159,2)),ISERROR(FIND(" ",TRIM($A159)))),0,"")</f>
        <v/>
      </c>
      <c r="C159" s="339" t="n"/>
      <c r="D159" s="335">
        <f>IF(AND(A159="",A158&lt;&gt;"",COUNTIF(A160:$A$200,"&lt;&gt;")=0),ROUND(SUMIF($A$2:A158,"&lt;&gt;",$D$2:D158),2),IF(OR(A159="",B159="",C159=""),"",ROUND(B159*C159,2)))</f>
        <v/>
      </c>
      <c r="E159" s="89" t="n"/>
      <c r="F159" s="335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 t="n"/>
      <c r="H159" s="335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 t="n"/>
      <c r="J159" s="335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 t="n"/>
      <c r="L159" s="335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>
        <f>IF(OR(posicao_contratual!J159="",posicao_contratual!N159=""),"",ROUND(MAX(posicao_contratual!J159+posicao_contratual!H159-posicao_contratual!N159,0),2))</f>
        <v/>
      </c>
      <c r="N159" s="335">
        <f>IF(AND(A159="",A158&lt;&gt;"",COUNTIF(A160:$A$200,"&lt;&gt;")=0),ROUND(SUMIF($A$2:A158,"&lt;&gt;",$N$2:N158),2),IF(OR(M159="",C159="",NOT(ISNUMBER($Z$3))),"",ROUND(M159*C159*$Z$3,2)))</f>
        <v/>
      </c>
      <c r="O159" s="90">
        <f>IF(OR(posicao_contratual!N159="",posicao_contratual!R159=""),"",ROUND(MAX(posicao_contratual!N159+posicao_contratual!L159-posicao_contratual!R159,0),2))</f>
        <v/>
      </c>
      <c r="P159" s="335">
        <f>IF(AND(A159="",A158&lt;&gt;"",COUNTIF(A160:$A$200,"&lt;&gt;")=0),ROUND(SUMIF($A$2:A158,"&lt;&gt;",$P$2:P158),2),IF(OR(O159="",C159="",NOT(ISNUMBER($Z$4))),"",ROUND(O159*C159*$Z$4,2)))</f>
        <v/>
      </c>
      <c r="Q159" s="90">
        <f>IF(OR(posicao_contratual!R159="",posicao_contratual!V159=""),"",ROUND(MAX(posicao_contratual!R159+posicao_contratual!P159-posicao_contratual!V159,0),2))</f>
        <v/>
      </c>
      <c r="R159" s="335">
        <f>IF(AND(A159="",A158&lt;&gt;"",COUNTIF(A160:$A$200,"&lt;&gt;")=0),ROUND(SUMIF($A$2:A158,"&lt;&gt;",$R$2:R158),2),IF(OR(Q159="",C159="",NOT(ISNUMBER($Z$5))),"",ROUND(Q159*C159*$Z$5,2)))</f>
        <v/>
      </c>
      <c r="S159" s="43" t="n"/>
      <c r="T159" s="342" t="n"/>
      <c r="U159" s="91">
        <f>IF(AND(A159="",A158&lt;&gt;"",COUNTIF(A160:$A$200,"&lt;&gt;")=0),"TOTAL",IF(A159="","",posicao_contratual!X159))</f>
        <v/>
      </c>
      <c r="V159" s="91">
        <f>IF(A159="","",posicao_contratual!X159)</f>
        <v/>
      </c>
      <c r="W159" s="13" t="n"/>
      <c r="X159" s="13" t="n"/>
      <c r="Y159" s="13" t="n"/>
      <c r="Z159" s="13" t="n"/>
      <c r="AA159" s="13" t="n"/>
      <c r="AB159" s="90">
        <f>IF(OR(A159="",posicao_contratual!E159="",posicao_contratual!J159=""),"",ROUND(MAX(posicao_contratual!E159-posicao_contratual!J159,0),2))</f>
        <v/>
      </c>
      <c r="AC159" s="335">
        <f>IF(AND(A159="",A158&lt;&gt;"",COUNTIF(A160:$A$200,"&lt;&gt;")=0),ROUND(SUMIF($A$2:A158,"&lt;&gt;",$AC$2:AC158),2),IF(OR(AB159="",C159="",NOT(ISNUMBER($Z$2))),"",ROUND(AB159*C159*$Z$2,2)))</f>
        <v/>
      </c>
      <c r="AD159" s="155">
        <f>IF(A159="","",posicao_contratual!E159)</f>
        <v/>
      </c>
      <c r="AE159" s="155">
        <f>IF(A159="","",posicao_contratual!I159)</f>
        <v/>
      </c>
      <c r="AF159" s="155">
        <f>IF(A159="","",posicao_contratual!M159)</f>
        <v/>
      </c>
      <c r="AG159" s="155">
        <f>IF(A159="","",posicao_contratual!Q159)</f>
        <v/>
      </c>
      <c r="AH159" s="155">
        <f>IF(A159="","",posicao_contratual!U159)</f>
        <v/>
      </c>
      <c r="AI159" s="155">
        <f>IF(A159="","",posicao_contratual!G159)</f>
        <v/>
      </c>
      <c r="AJ159" s="155">
        <f>IF(A159="","",posicao_contratual!K159)</f>
        <v/>
      </c>
      <c r="AK159" s="155">
        <f>IF(A159="","",posicao_contratual!O159)</f>
        <v/>
      </c>
      <c r="AL159" s="155">
        <f>IF(A159="","",posicao_contratual!S159)</f>
        <v/>
      </c>
      <c r="AM159" s="155">
        <f>IF(A159="","",posicao_contratual!W159)</f>
        <v/>
      </c>
      <c r="AN159" s="156">
        <f>IF(A159="","",posicao_contratual!X159)</f>
        <v/>
      </c>
      <c r="AO159">
        <f>IF($A159="","",ROUND(SUMIFS(itens_Consumidos!$E$2:$E$200,itens_Consumidos!$A$2:$A$200,$A159),2))</f>
        <v/>
      </c>
      <c r="AP159">
        <f>IF(OR($A159="",AB159=""),"",ROUND(MAX(AB159-AO159,0),2))</f>
        <v/>
      </c>
      <c r="AQ159">
        <f>IF(OR($A159="",AB159="",MEMORIA_RESULTADOS!$I$258=""),"",ROUND(AB159*$C159*(MEMORIA_RESULTADOS!$I$258-1),2))</f>
        <v/>
      </c>
      <c r="AR159">
        <f>IF(OR($A159="",AP159="",MEMORIA_RESULTADOS!$I$258=""),"",ROUND(AP159*$C159*(parametros!$F$2-MEMORIA_RESULTADOS!$I$258),2))</f>
        <v/>
      </c>
      <c r="AS159">
        <f>IF($A159="","",ROUND(SUMIFS(itens_Consumidos!$G$2:$G$200,itens_Consumidos!$A$2:$A$200,$A159),2))</f>
        <v/>
      </c>
      <c r="AT159">
        <f>IF(OR($A159="",M159=""),"",ROUND(MAX(M159-AS159,0),2))</f>
        <v/>
      </c>
      <c r="AU159">
        <f>IF(OR($A159="",M159="",MEMORIA_RESULTADOS!$I$259=""),"",ROUND(M159*$C159*(MEMORIA_RESULTADOS!$I$259-1),2))</f>
        <v/>
      </c>
      <c r="AV159">
        <f>IF(OR($A159="",AT159="",MEMORIA_RESULTADOS!$I$259=""),"",ROUND(AT159*$C159*(parametros!$F$3-MEMORIA_RESULTADOS!$I$259),2))</f>
        <v/>
      </c>
      <c r="AW159">
        <f>IF($A159="","",ROUND(SUMIFS(itens_Consumidos!$I$2:$I$200,itens_Consumidos!$A$2:$A$200,$A159),2))</f>
        <v/>
      </c>
      <c r="AX159">
        <f>IF(OR($A159="",O159=""),"",ROUND(MAX(O159-AW159,0),2))</f>
        <v/>
      </c>
      <c r="AY159">
        <f>IF(OR($A159="",O159="",MEMORIA_RESULTADOS!$I$260=""),"",ROUND(O159*$C159*(MEMORIA_RESULTADOS!$I$260-1),2))</f>
        <v/>
      </c>
      <c r="AZ159">
        <f>IF(OR($A159="",AX159="",MEMORIA_RESULTADOS!$I$260=""),"",ROUND(AX159*$C159*(parametros!$F$4-MEMORIA_RESULTADOS!$I$260),2))</f>
        <v/>
      </c>
      <c r="BA159">
        <f>IF($A159="","",ROUND(SUMIFS(itens_Consumidos!$K$2:$K$200,itens_Consumidos!$A$2:$A$200,$A159),2))</f>
        <v/>
      </c>
      <c r="BB159">
        <f>IF(OR($A159="",Q159=""),"",ROUND(MAX(Q159-BA159,0),2))</f>
        <v/>
      </c>
      <c r="BC159">
        <f>IF(OR($A159="",Q159="",MEMORIA_RESULTADOS!$I$261=""),"",ROUND(Q159*$C159*(MEMORIA_RESULTADOS!$I$261-1),2))</f>
        <v/>
      </c>
      <c r="BD159">
        <f>IF(OR($A159="",BB159="",MEMORIA_RESULTADOS!$I$261=""),"",ROUND(BB159*$C159*(parametros!$F$5-MEMORIA_RESULTADOS!$I$261),2))</f>
        <v/>
      </c>
      <c r="BE159">
        <f>IF($A159="","",ROUND(SUMIFS(itens_Consumidos!$M$2:$M$200,itens_Consumidos!$A$2:$A$200,$A159),2))</f>
        <v/>
      </c>
      <c r="BF159">
        <f>IF(OR($A159="",S159=""),"",ROUND(MAX(S159-BE159,0),2))</f>
        <v/>
      </c>
      <c r="BG159">
        <f>IF(OR($A159="",S159="",MEMORIA_RESULTADOS!$I$262=""),"",ROUND(S159*$C159*(MEMORIA_RESULTADOS!$I$262-1),2))</f>
        <v/>
      </c>
      <c r="BH159">
        <f>IF(OR($A159="",BF159="",MEMORIA_RESULTADOS!$I$262=""),"",ROUND(BF159*$C159*(parametros!$F$6-MEMORIA_RESULTADOS!$I$262),2))</f>
        <v/>
      </c>
    </row>
    <row r="160">
      <c r="A160" s="86" t="n"/>
      <c r="B160" s="87">
        <f>IF(AND(LEN(TRIM($A160))=4,LEFT(TRIM($A160),1)="N",ISNUMBER(--MID(TRIM($A160),2,3)),ISERROR(FIND(".",$A160)),ISERROR(FIND(",",$A160)),ISERROR(FIND("-",$A160)),ISERROR(FIND("+",$A160)),ISERROR(SEARCH("E",$A160,2)),ISERROR(FIND(" ",TRIM($A160)))),0,"")</f>
        <v/>
      </c>
      <c r="C160" s="339" t="n"/>
      <c r="D160" s="335">
        <f>IF(AND(A160="",A159&lt;&gt;"",COUNTIF(A161:$A$200,"&lt;&gt;")=0),ROUND(SUMIF($A$2:A159,"&lt;&gt;",$D$2:D159),2),IF(OR(A160="",B160="",C160=""),"",ROUND(B160*C160,2)))</f>
        <v/>
      </c>
      <c r="E160" s="89" t="n"/>
      <c r="F160" s="335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 t="n"/>
      <c r="H160" s="335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 t="n"/>
      <c r="J160" s="335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 t="n"/>
      <c r="L160" s="335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>
        <f>IF(OR(posicao_contratual!J160="",posicao_contratual!N160=""),"",ROUND(MAX(posicao_contratual!J160+posicao_contratual!H160-posicao_contratual!N160,0),2))</f>
        <v/>
      </c>
      <c r="N160" s="335">
        <f>IF(AND(A160="",A159&lt;&gt;"",COUNTIF(A161:$A$200,"&lt;&gt;")=0),ROUND(SUMIF($A$2:A159,"&lt;&gt;",$N$2:N159),2),IF(OR(M160="",C160="",NOT(ISNUMBER($Z$3))),"",ROUND(M160*C160*$Z$3,2)))</f>
        <v/>
      </c>
      <c r="O160" s="90">
        <f>IF(OR(posicao_contratual!N160="",posicao_contratual!R160=""),"",ROUND(MAX(posicao_contratual!N160+posicao_contratual!L160-posicao_contratual!R160,0),2))</f>
        <v/>
      </c>
      <c r="P160" s="335">
        <f>IF(AND(A160="",A159&lt;&gt;"",COUNTIF(A161:$A$200,"&lt;&gt;")=0),ROUND(SUMIF($A$2:A159,"&lt;&gt;",$P$2:P159),2),IF(OR(O160="",C160="",NOT(ISNUMBER($Z$4))),"",ROUND(O160*C160*$Z$4,2)))</f>
        <v/>
      </c>
      <c r="Q160" s="90">
        <f>IF(OR(posicao_contratual!R160="",posicao_contratual!V160=""),"",ROUND(MAX(posicao_contratual!R160+posicao_contratual!P160-posicao_contratual!V160,0),2))</f>
        <v/>
      </c>
      <c r="R160" s="335">
        <f>IF(AND(A160="",A159&lt;&gt;"",COUNTIF(A161:$A$200,"&lt;&gt;")=0),ROUND(SUMIF($A$2:A159,"&lt;&gt;",$R$2:R159),2),IF(OR(Q160="",C160="",NOT(ISNUMBER($Z$5))),"",ROUND(Q160*C160*$Z$5,2)))</f>
        <v/>
      </c>
      <c r="S160" s="43" t="n"/>
      <c r="T160" s="342" t="n"/>
      <c r="U160" s="91">
        <f>IF(AND(A160="",A159&lt;&gt;"",COUNTIF(A161:$A$200,"&lt;&gt;")=0),"TOTAL",IF(A160="","",posicao_contratual!X160))</f>
        <v/>
      </c>
      <c r="V160" s="91">
        <f>IF(A160="","",posicao_contratual!X160)</f>
        <v/>
      </c>
      <c r="W160" s="13" t="n"/>
      <c r="X160" s="13" t="n"/>
      <c r="Y160" s="13" t="n"/>
      <c r="Z160" s="13" t="n"/>
      <c r="AA160" s="13" t="n"/>
      <c r="AB160" s="90">
        <f>IF(OR(A160="",posicao_contratual!E160="",posicao_contratual!J160=""),"",ROUND(MAX(posicao_contratual!E160-posicao_contratual!J160,0),2))</f>
        <v/>
      </c>
      <c r="AC160" s="335">
        <f>IF(AND(A160="",A159&lt;&gt;"",COUNTIF(A161:$A$200,"&lt;&gt;")=0),ROUND(SUMIF($A$2:A159,"&lt;&gt;",$AC$2:AC159),2),IF(OR(AB160="",C160="",NOT(ISNUMBER($Z$2))),"",ROUND(AB160*C160*$Z$2,2)))</f>
        <v/>
      </c>
      <c r="AD160" s="155">
        <f>IF(A160="","",posicao_contratual!E160)</f>
        <v/>
      </c>
      <c r="AE160" s="155">
        <f>IF(A160="","",posicao_contratual!I160)</f>
        <v/>
      </c>
      <c r="AF160" s="155">
        <f>IF(A160="","",posicao_contratual!M160)</f>
        <v/>
      </c>
      <c r="AG160" s="155">
        <f>IF(A160="","",posicao_contratual!Q160)</f>
        <v/>
      </c>
      <c r="AH160" s="155">
        <f>IF(A160="","",posicao_contratual!U160)</f>
        <v/>
      </c>
      <c r="AI160" s="155">
        <f>IF(A160="","",posicao_contratual!G160)</f>
        <v/>
      </c>
      <c r="AJ160" s="155">
        <f>IF(A160="","",posicao_contratual!K160)</f>
        <v/>
      </c>
      <c r="AK160" s="155">
        <f>IF(A160="","",posicao_contratual!O160)</f>
        <v/>
      </c>
      <c r="AL160" s="155">
        <f>IF(A160="","",posicao_contratual!S160)</f>
        <v/>
      </c>
      <c r="AM160" s="155">
        <f>IF(A160="","",posicao_contratual!W160)</f>
        <v/>
      </c>
      <c r="AN160" s="156">
        <f>IF(A160="","",posicao_contratual!X160)</f>
        <v/>
      </c>
      <c r="AO160">
        <f>IF($A160="","",ROUND(SUMIFS(itens_Consumidos!$E$2:$E$200,itens_Consumidos!$A$2:$A$200,$A160),2))</f>
        <v/>
      </c>
      <c r="AP160">
        <f>IF(OR($A160="",AB160=""),"",ROUND(MAX(AB160-AO160,0),2))</f>
        <v/>
      </c>
      <c r="AQ160">
        <f>IF(OR($A160="",AB160="",MEMORIA_RESULTADOS!$I$258=""),"",ROUND(AB160*$C160*(MEMORIA_RESULTADOS!$I$258-1),2))</f>
        <v/>
      </c>
      <c r="AR160">
        <f>IF(OR($A160="",AP160="",MEMORIA_RESULTADOS!$I$258=""),"",ROUND(AP160*$C160*(parametros!$F$2-MEMORIA_RESULTADOS!$I$258),2))</f>
        <v/>
      </c>
      <c r="AS160">
        <f>IF($A160="","",ROUND(SUMIFS(itens_Consumidos!$G$2:$G$200,itens_Consumidos!$A$2:$A$200,$A160),2))</f>
        <v/>
      </c>
      <c r="AT160">
        <f>IF(OR($A160="",M160=""),"",ROUND(MAX(M160-AS160,0),2))</f>
        <v/>
      </c>
      <c r="AU160">
        <f>IF(OR($A160="",M160="",MEMORIA_RESULTADOS!$I$259=""),"",ROUND(M160*$C160*(MEMORIA_RESULTADOS!$I$259-1),2))</f>
        <v/>
      </c>
      <c r="AV160">
        <f>IF(OR($A160="",AT160="",MEMORIA_RESULTADOS!$I$259=""),"",ROUND(AT160*$C160*(parametros!$F$3-MEMORIA_RESULTADOS!$I$259),2))</f>
        <v/>
      </c>
      <c r="AW160">
        <f>IF($A160="","",ROUND(SUMIFS(itens_Consumidos!$I$2:$I$200,itens_Consumidos!$A$2:$A$200,$A160),2))</f>
        <v/>
      </c>
      <c r="AX160">
        <f>IF(OR($A160="",O160=""),"",ROUND(MAX(O160-AW160,0),2))</f>
        <v/>
      </c>
      <c r="AY160">
        <f>IF(OR($A160="",O160="",MEMORIA_RESULTADOS!$I$260=""),"",ROUND(O160*$C160*(MEMORIA_RESULTADOS!$I$260-1),2))</f>
        <v/>
      </c>
      <c r="AZ160">
        <f>IF(OR($A160="",AX160="",MEMORIA_RESULTADOS!$I$260=""),"",ROUND(AX160*$C160*(parametros!$F$4-MEMORIA_RESULTADOS!$I$260),2))</f>
        <v/>
      </c>
      <c r="BA160">
        <f>IF($A160="","",ROUND(SUMIFS(itens_Consumidos!$K$2:$K$200,itens_Consumidos!$A$2:$A$200,$A160),2))</f>
        <v/>
      </c>
      <c r="BB160">
        <f>IF(OR($A160="",Q160=""),"",ROUND(MAX(Q160-BA160,0),2))</f>
        <v/>
      </c>
      <c r="BC160">
        <f>IF(OR($A160="",Q160="",MEMORIA_RESULTADOS!$I$261=""),"",ROUND(Q160*$C160*(MEMORIA_RESULTADOS!$I$261-1),2))</f>
        <v/>
      </c>
      <c r="BD160">
        <f>IF(OR($A160="",BB160="",MEMORIA_RESULTADOS!$I$261=""),"",ROUND(BB160*$C160*(parametros!$F$5-MEMORIA_RESULTADOS!$I$261),2))</f>
        <v/>
      </c>
      <c r="BE160">
        <f>IF($A160="","",ROUND(SUMIFS(itens_Consumidos!$M$2:$M$200,itens_Consumidos!$A$2:$A$200,$A160),2))</f>
        <v/>
      </c>
      <c r="BF160">
        <f>IF(OR($A160="",S160=""),"",ROUND(MAX(S160-BE160,0),2))</f>
        <v/>
      </c>
      <c r="BG160">
        <f>IF(OR($A160="",S160="",MEMORIA_RESULTADOS!$I$262=""),"",ROUND(S160*$C160*(MEMORIA_RESULTADOS!$I$262-1),2))</f>
        <v/>
      </c>
      <c r="BH160">
        <f>IF(OR($A160="",BF160="",MEMORIA_RESULTADOS!$I$262=""),"",ROUND(BF160*$C160*(parametros!$F$6-MEMORIA_RESULTADOS!$I$262),2))</f>
        <v/>
      </c>
    </row>
    <row r="161">
      <c r="A161" s="86" t="n"/>
      <c r="B161" s="87">
        <f>IF(AND(LEN(TRIM($A161))=4,LEFT(TRIM($A161),1)="N",ISNUMBER(--MID(TRIM($A161),2,3)),ISERROR(FIND(".",$A161)),ISERROR(FIND(",",$A161)),ISERROR(FIND("-",$A161)),ISERROR(FIND("+",$A161)),ISERROR(SEARCH("E",$A161,2)),ISERROR(FIND(" ",TRIM($A161)))),0,"")</f>
        <v/>
      </c>
      <c r="C161" s="339" t="n"/>
      <c r="D161" s="335">
        <f>IF(AND(A161="",A160&lt;&gt;"",COUNTIF(A162:$A$200,"&lt;&gt;")=0),ROUND(SUMIF($A$2:A160,"&lt;&gt;",$D$2:D160),2),IF(OR(A161="",B161="",C161=""),"",ROUND(B161*C161,2)))</f>
        <v/>
      </c>
      <c r="E161" s="89" t="n"/>
      <c r="F161" s="335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 t="n"/>
      <c r="H161" s="335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 t="n"/>
      <c r="J161" s="335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 t="n"/>
      <c r="L161" s="335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>
        <f>IF(OR(posicao_contratual!J161="",posicao_contratual!N161=""),"",ROUND(MAX(posicao_contratual!J161+posicao_contratual!H161-posicao_contratual!N161,0),2))</f>
        <v/>
      </c>
      <c r="N161" s="335">
        <f>IF(AND(A161="",A160&lt;&gt;"",COUNTIF(A162:$A$200,"&lt;&gt;")=0),ROUND(SUMIF($A$2:A160,"&lt;&gt;",$N$2:N160),2),IF(OR(M161="",C161="",NOT(ISNUMBER($Z$3))),"",ROUND(M161*C161*$Z$3,2)))</f>
        <v/>
      </c>
      <c r="O161" s="90">
        <f>IF(OR(posicao_contratual!N161="",posicao_contratual!R161=""),"",ROUND(MAX(posicao_contratual!N161+posicao_contratual!L161-posicao_contratual!R161,0),2))</f>
        <v/>
      </c>
      <c r="P161" s="335">
        <f>IF(AND(A161="",A160&lt;&gt;"",COUNTIF(A162:$A$200,"&lt;&gt;")=0),ROUND(SUMIF($A$2:A160,"&lt;&gt;",$P$2:P160),2),IF(OR(O161="",C161="",NOT(ISNUMBER($Z$4))),"",ROUND(O161*C161*$Z$4,2)))</f>
        <v/>
      </c>
      <c r="Q161" s="90">
        <f>IF(OR(posicao_contratual!R161="",posicao_contratual!V161=""),"",ROUND(MAX(posicao_contratual!R161+posicao_contratual!P161-posicao_contratual!V161,0),2))</f>
        <v/>
      </c>
      <c r="R161" s="335">
        <f>IF(AND(A161="",A160&lt;&gt;"",COUNTIF(A162:$A$200,"&lt;&gt;")=0),ROUND(SUMIF($A$2:A160,"&lt;&gt;",$R$2:R160),2),IF(OR(Q161="",C161="",NOT(ISNUMBER($Z$5))),"",ROUND(Q161*C161*$Z$5,2)))</f>
        <v/>
      </c>
      <c r="S161" s="43" t="n"/>
      <c r="T161" s="342" t="n"/>
      <c r="U161" s="91">
        <f>IF(AND(A161="",A160&lt;&gt;"",COUNTIF(A162:$A$200,"&lt;&gt;")=0),"TOTAL",IF(A161="","",posicao_contratual!X161))</f>
        <v/>
      </c>
      <c r="V161" s="91">
        <f>IF(A161="","",posicao_contratual!X161)</f>
        <v/>
      </c>
      <c r="W161" s="13" t="n"/>
      <c r="X161" s="13" t="n"/>
      <c r="Y161" s="13" t="n"/>
      <c r="Z161" s="13" t="n"/>
      <c r="AA161" s="13" t="n"/>
      <c r="AB161" s="90">
        <f>IF(OR(A161="",posicao_contratual!E161="",posicao_contratual!J161=""),"",ROUND(MAX(posicao_contratual!E161-posicao_contratual!J161,0),2))</f>
        <v/>
      </c>
      <c r="AC161" s="335">
        <f>IF(AND(A161="",A160&lt;&gt;"",COUNTIF(A162:$A$200,"&lt;&gt;")=0),ROUND(SUMIF($A$2:A160,"&lt;&gt;",$AC$2:AC160),2),IF(OR(AB161="",C161="",NOT(ISNUMBER($Z$2))),"",ROUND(AB161*C161*$Z$2,2)))</f>
        <v/>
      </c>
      <c r="AD161" s="155">
        <f>IF(A161="","",posicao_contratual!E161)</f>
        <v/>
      </c>
      <c r="AE161" s="155">
        <f>IF(A161="","",posicao_contratual!I161)</f>
        <v/>
      </c>
      <c r="AF161" s="155">
        <f>IF(A161="","",posicao_contratual!M161)</f>
        <v/>
      </c>
      <c r="AG161" s="155">
        <f>IF(A161="","",posicao_contratual!Q161)</f>
        <v/>
      </c>
      <c r="AH161" s="155">
        <f>IF(A161="","",posicao_contratual!U161)</f>
        <v/>
      </c>
      <c r="AI161" s="155">
        <f>IF(A161="","",posicao_contratual!G161)</f>
        <v/>
      </c>
      <c r="AJ161" s="155">
        <f>IF(A161="","",posicao_contratual!K161)</f>
        <v/>
      </c>
      <c r="AK161" s="155">
        <f>IF(A161="","",posicao_contratual!O161)</f>
        <v/>
      </c>
      <c r="AL161" s="155">
        <f>IF(A161="","",posicao_contratual!S161)</f>
        <v/>
      </c>
      <c r="AM161" s="155">
        <f>IF(A161="","",posicao_contratual!W161)</f>
        <v/>
      </c>
      <c r="AN161" s="156">
        <f>IF(A161="","",posicao_contratual!X161)</f>
        <v/>
      </c>
      <c r="AO161">
        <f>IF($A161="","",ROUND(SUMIFS(itens_Consumidos!$E$2:$E$200,itens_Consumidos!$A$2:$A$200,$A161),2))</f>
        <v/>
      </c>
      <c r="AP161">
        <f>IF(OR($A161="",AB161=""),"",ROUND(MAX(AB161-AO161,0),2))</f>
        <v/>
      </c>
      <c r="AQ161">
        <f>IF(OR($A161="",AB161="",MEMORIA_RESULTADOS!$I$258=""),"",ROUND(AB161*$C161*(MEMORIA_RESULTADOS!$I$258-1),2))</f>
        <v/>
      </c>
      <c r="AR161">
        <f>IF(OR($A161="",AP161="",MEMORIA_RESULTADOS!$I$258=""),"",ROUND(AP161*$C161*(parametros!$F$2-MEMORIA_RESULTADOS!$I$258),2))</f>
        <v/>
      </c>
      <c r="AS161">
        <f>IF($A161="","",ROUND(SUMIFS(itens_Consumidos!$G$2:$G$200,itens_Consumidos!$A$2:$A$200,$A161),2))</f>
        <v/>
      </c>
      <c r="AT161">
        <f>IF(OR($A161="",M161=""),"",ROUND(MAX(M161-AS161,0),2))</f>
        <v/>
      </c>
      <c r="AU161">
        <f>IF(OR($A161="",M161="",MEMORIA_RESULTADOS!$I$259=""),"",ROUND(M161*$C161*(MEMORIA_RESULTADOS!$I$259-1),2))</f>
        <v/>
      </c>
      <c r="AV161">
        <f>IF(OR($A161="",AT161="",MEMORIA_RESULTADOS!$I$259=""),"",ROUND(AT161*$C161*(parametros!$F$3-MEMORIA_RESULTADOS!$I$259),2))</f>
        <v/>
      </c>
      <c r="AW161">
        <f>IF($A161="","",ROUND(SUMIFS(itens_Consumidos!$I$2:$I$200,itens_Consumidos!$A$2:$A$200,$A161),2))</f>
        <v/>
      </c>
      <c r="AX161">
        <f>IF(OR($A161="",O161=""),"",ROUND(MAX(O161-AW161,0),2))</f>
        <v/>
      </c>
      <c r="AY161">
        <f>IF(OR($A161="",O161="",MEMORIA_RESULTADOS!$I$260=""),"",ROUND(O161*$C161*(MEMORIA_RESULTADOS!$I$260-1),2))</f>
        <v/>
      </c>
      <c r="AZ161">
        <f>IF(OR($A161="",AX161="",MEMORIA_RESULTADOS!$I$260=""),"",ROUND(AX161*$C161*(parametros!$F$4-MEMORIA_RESULTADOS!$I$260),2))</f>
        <v/>
      </c>
      <c r="BA161">
        <f>IF($A161="","",ROUND(SUMIFS(itens_Consumidos!$K$2:$K$200,itens_Consumidos!$A$2:$A$200,$A161),2))</f>
        <v/>
      </c>
      <c r="BB161">
        <f>IF(OR($A161="",Q161=""),"",ROUND(MAX(Q161-BA161,0),2))</f>
        <v/>
      </c>
      <c r="BC161">
        <f>IF(OR($A161="",Q161="",MEMORIA_RESULTADOS!$I$261=""),"",ROUND(Q161*$C161*(MEMORIA_RESULTADOS!$I$261-1),2))</f>
        <v/>
      </c>
      <c r="BD161">
        <f>IF(OR($A161="",BB161="",MEMORIA_RESULTADOS!$I$261=""),"",ROUND(BB161*$C161*(parametros!$F$5-MEMORIA_RESULTADOS!$I$261),2))</f>
        <v/>
      </c>
      <c r="BE161">
        <f>IF($A161="","",ROUND(SUMIFS(itens_Consumidos!$M$2:$M$200,itens_Consumidos!$A$2:$A$200,$A161),2))</f>
        <v/>
      </c>
      <c r="BF161">
        <f>IF(OR($A161="",S161=""),"",ROUND(MAX(S161-BE161,0),2))</f>
        <v/>
      </c>
      <c r="BG161">
        <f>IF(OR($A161="",S161="",MEMORIA_RESULTADOS!$I$262=""),"",ROUND(S161*$C161*(MEMORIA_RESULTADOS!$I$262-1),2))</f>
        <v/>
      </c>
      <c r="BH161">
        <f>IF(OR($A161="",BF161="",MEMORIA_RESULTADOS!$I$262=""),"",ROUND(BF161*$C161*(parametros!$F$6-MEMORIA_RESULTADOS!$I$262),2))</f>
        <v/>
      </c>
    </row>
    <row r="162">
      <c r="A162" s="86" t="n"/>
      <c r="B162" s="87">
        <f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339" t="n"/>
      <c r="D162" s="335">
        <f>IF(AND(A162="",A161&lt;&gt;"",COUNTIF(A163:$A$200,"&lt;&gt;")=0),ROUND(SUMIF($A$2:A161,"&lt;&gt;",$D$2:D161),2),IF(OR(A162="",B162="",C162=""),"",ROUND(B162*C162,2)))</f>
        <v/>
      </c>
      <c r="E162" s="89" t="n"/>
      <c r="F162" s="335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 t="n"/>
      <c r="H162" s="335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 t="n"/>
      <c r="J162" s="335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 t="n"/>
      <c r="L162" s="335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>
        <f>IF(OR(posicao_contratual!J162="",posicao_contratual!N162=""),"",ROUND(MAX(posicao_contratual!J162+posicao_contratual!H162-posicao_contratual!N162,0),2))</f>
        <v/>
      </c>
      <c r="N162" s="335">
        <f>IF(AND(A162="",A161&lt;&gt;"",COUNTIF(A163:$A$200,"&lt;&gt;")=0),ROUND(SUMIF($A$2:A161,"&lt;&gt;",$N$2:N161),2),IF(OR(M162="",C162="",NOT(ISNUMBER($Z$3))),"",ROUND(M162*C162*$Z$3,2)))</f>
        <v/>
      </c>
      <c r="O162" s="90">
        <f>IF(OR(posicao_contratual!N162="",posicao_contratual!R162=""),"",ROUND(MAX(posicao_contratual!N162+posicao_contratual!L162-posicao_contratual!R162,0),2))</f>
        <v/>
      </c>
      <c r="P162" s="335">
        <f>IF(AND(A162="",A161&lt;&gt;"",COUNTIF(A163:$A$200,"&lt;&gt;")=0),ROUND(SUMIF($A$2:A161,"&lt;&gt;",$P$2:P161),2),IF(OR(O162="",C162="",NOT(ISNUMBER($Z$4))),"",ROUND(O162*C162*$Z$4,2)))</f>
        <v/>
      </c>
      <c r="Q162" s="90">
        <f>IF(OR(posicao_contratual!R162="",posicao_contratual!V162=""),"",ROUND(MAX(posicao_contratual!R162+posicao_contratual!P162-posicao_contratual!V162,0),2))</f>
        <v/>
      </c>
      <c r="R162" s="335">
        <f>IF(AND(A162="",A161&lt;&gt;"",COUNTIF(A163:$A$200,"&lt;&gt;")=0),ROUND(SUMIF($A$2:A161,"&lt;&gt;",$R$2:R161),2),IF(OR(Q162="",C162="",NOT(ISNUMBER($Z$5))),"",ROUND(Q162*C162*$Z$5,2)))</f>
        <v/>
      </c>
      <c r="S162" s="43" t="n"/>
      <c r="T162" s="342" t="n"/>
      <c r="U162" s="91">
        <f>IF(AND(A162="",A161&lt;&gt;"",COUNTIF(A163:$A$200,"&lt;&gt;")=0),"TOTAL",IF(A162="","",posicao_contratual!X162))</f>
        <v/>
      </c>
      <c r="V162" s="91">
        <f>IF(A162="","",posicao_contratual!X162)</f>
        <v/>
      </c>
      <c r="W162" s="13" t="n"/>
      <c r="X162" s="13" t="n"/>
      <c r="Y162" s="13" t="n"/>
      <c r="Z162" s="13" t="n"/>
      <c r="AA162" s="13" t="n"/>
      <c r="AB162" s="90">
        <f>IF(OR(A162="",posicao_contratual!E162="",posicao_contratual!J162=""),"",ROUND(MAX(posicao_contratual!E162-posicao_contratual!J162,0),2))</f>
        <v/>
      </c>
      <c r="AC162" s="335">
        <f>IF(AND(A162="",A161&lt;&gt;"",COUNTIF(A163:$A$200,"&lt;&gt;")=0),ROUND(SUMIF($A$2:A161,"&lt;&gt;",$AC$2:AC161),2),IF(OR(AB162="",C162="",NOT(ISNUMBER($Z$2))),"",ROUND(AB162*C162*$Z$2,2)))</f>
        <v/>
      </c>
      <c r="AD162" s="155">
        <f>IF(A162="","",posicao_contratual!E162)</f>
        <v/>
      </c>
      <c r="AE162" s="155">
        <f>IF(A162="","",posicao_contratual!I162)</f>
        <v/>
      </c>
      <c r="AF162" s="155">
        <f>IF(A162="","",posicao_contratual!M162)</f>
        <v/>
      </c>
      <c r="AG162" s="155">
        <f>IF(A162="","",posicao_contratual!Q162)</f>
        <v/>
      </c>
      <c r="AH162" s="155">
        <f>IF(A162="","",posicao_contratual!U162)</f>
        <v/>
      </c>
      <c r="AI162" s="155">
        <f>IF(A162="","",posicao_contratual!G162)</f>
        <v/>
      </c>
      <c r="AJ162" s="155">
        <f>IF(A162="","",posicao_contratual!K162)</f>
        <v/>
      </c>
      <c r="AK162" s="155">
        <f>IF(A162="","",posicao_contratual!O162)</f>
        <v/>
      </c>
      <c r="AL162" s="155">
        <f>IF(A162="","",posicao_contratual!S162)</f>
        <v/>
      </c>
      <c r="AM162" s="155">
        <f>IF(A162="","",posicao_contratual!W162)</f>
        <v/>
      </c>
      <c r="AN162" s="156">
        <f>IF(A162="","",posicao_contratual!X162)</f>
        <v/>
      </c>
      <c r="AO162">
        <f>IF($A162="","",ROUND(SUMIFS(itens_Consumidos!$E$2:$E$200,itens_Consumidos!$A$2:$A$200,$A162),2))</f>
        <v/>
      </c>
      <c r="AP162">
        <f>IF(OR($A162="",AB162=""),"",ROUND(MAX(AB162-AO162,0),2))</f>
        <v/>
      </c>
      <c r="AQ162">
        <f>IF(OR($A162="",AB162="",MEMORIA_RESULTADOS!$I$258=""),"",ROUND(AB162*$C162*(MEMORIA_RESULTADOS!$I$258-1),2))</f>
        <v/>
      </c>
      <c r="AR162">
        <f>IF(OR($A162="",AP162="",MEMORIA_RESULTADOS!$I$258=""),"",ROUND(AP162*$C162*(parametros!$F$2-MEMORIA_RESULTADOS!$I$258),2))</f>
        <v/>
      </c>
      <c r="AS162">
        <f>IF($A162="","",ROUND(SUMIFS(itens_Consumidos!$G$2:$G$200,itens_Consumidos!$A$2:$A$200,$A162),2))</f>
        <v/>
      </c>
      <c r="AT162">
        <f>IF(OR($A162="",M162=""),"",ROUND(MAX(M162-AS162,0),2))</f>
        <v/>
      </c>
      <c r="AU162">
        <f>IF(OR($A162="",M162="",MEMORIA_RESULTADOS!$I$259=""),"",ROUND(M162*$C162*(MEMORIA_RESULTADOS!$I$259-1),2))</f>
        <v/>
      </c>
      <c r="AV162">
        <f>IF(OR($A162="",AT162="",MEMORIA_RESULTADOS!$I$259=""),"",ROUND(AT162*$C162*(parametros!$F$3-MEMORIA_RESULTADOS!$I$259),2))</f>
        <v/>
      </c>
      <c r="AW162">
        <f>IF($A162="","",ROUND(SUMIFS(itens_Consumidos!$I$2:$I$200,itens_Consumidos!$A$2:$A$200,$A162),2))</f>
        <v/>
      </c>
      <c r="AX162">
        <f>IF(OR($A162="",O162=""),"",ROUND(MAX(O162-AW162,0),2))</f>
        <v/>
      </c>
      <c r="AY162">
        <f>IF(OR($A162="",O162="",MEMORIA_RESULTADOS!$I$260=""),"",ROUND(O162*$C162*(MEMORIA_RESULTADOS!$I$260-1),2))</f>
        <v/>
      </c>
      <c r="AZ162">
        <f>IF(OR($A162="",AX162="",MEMORIA_RESULTADOS!$I$260=""),"",ROUND(AX162*$C162*(parametros!$F$4-MEMORIA_RESULTADOS!$I$260),2))</f>
        <v/>
      </c>
      <c r="BA162">
        <f>IF($A162="","",ROUND(SUMIFS(itens_Consumidos!$K$2:$K$200,itens_Consumidos!$A$2:$A$200,$A162),2))</f>
        <v/>
      </c>
      <c r="BB162">
        <f>IF(OR($A162="",Q162=""),"",ROUND(MAX(Q162-BA162,0),2))</f>
        <v/>
      </c>
      <c r="BC162">
        <f>IF(OR($A162="",Q162="",MEMORIA_RESULTADOS!$I$261=""),"",ROUND(Q162*$C162*(MEMORIA_RESULTADOS!$I$261-1),2))</f>
        <v/>
      </c>
      <c r="BD162">
        <f>IF(OR($A162="",BB162="",MEMORIA_RESULTADOS!$I$261=""),"",ROUND(BB162*$C162*(parametros!$F$5-MEMORIA_RESULTADOS!$I$261),2))</f>
        <v/>
      </c>
      <c r="BE162">
        <f>IF($A162="","",ROUND(SUMIFS(itens_Consumidos!$M$2:$M$200,itens_Consumidos!$A$2:$A$200,$A162),2))</f>
        <v/>
      </c>
      <c r="BF162">
        <f>IF(OR($A162="",S162=""),"",ROUND(MAX(S162-BE162,0),2))</f>
        <v/>
      </c>
      <c r="BG162">
        <f>IF(OR($A162="",S162="",MEMORIA_RESULTADOS!$I$262=""),"",ROUND(S162*$C162*(MEMORIA_RESULTADOS!$I$262-1),2))</f>
        <v/>
      </c>
      <c r="BH162">
        <f>IF(OR($A162="",BF162="",MEMORIA_RESULTADOS!$I$262=""),"",ROUND(BF162*$C162*(parametros!$F$6-MEMORIA_RESULTADOS!$I$262),2))</f>
        <v/>
      </c>
    </row>
    <row r="163">
      <c r="A163" s="86" t="n"/>
      <c r="B163" s="87">
        <f>IF(AND(LEN(TRIM($A163))=4,LEFT(TRIM($A163),1)="N",ISNUMBER(--MID(TRIM($A163),2,3)),ISERROR(FIND(".",$A163)),ISERROR(FIND(",",$A163)),ISERROR(FIND("-",$A163)),ISERROR(FIND("+",$A163)),ISERROR(SEARCH("E",$A163,2)),ISERROR(FIND(" ",TRIM($A163)))),0,"")</f>
        <v/>
      </c>
      <c r="C163" s="339" t="n"/>
      <c r="D163" s="335">
        <f>IF(AND(A163="",A162&lt;&gt;"",COUNTIF(A164:$A$200,"&lt;&gt;")=0),ROUND(SUMIF($A$2:A162,"&lt;&gt;",$D$2:D162),2),IF(OR(A163="",B163="",C163=""),"",ROUND(B163*C163,2)))</f>
        <v/>
      </c>
      <c r="E163" s="89" t="n"/>
      <c r="F163" s="335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 t="n"/>
      <c r="H163" s="335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 t="n"/>
      <c r="J163" s="335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 t="n"/>
      <c r="L163" s="335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>
        <f>IF(OR(posicao_contratual!J163="",posicao_contratual!N163=""),"",ROUND(MAX(posicao_contratual!J163+posicao_contratual!H163-posicao_contratual!N163,0),2))</f>
        <v/>
      </c>
      <c r="N163" s="335">
        <f>IF(AND(A163="",A162&lt;&gt;"",COUNTIF(A164:$A$200,"&lt;&gt;")=0),ROUND(SUMIF($A$2:A162,"&lt;&gt;",$N$2:N162),2),IF(OR(M163="",C163="",NOT(ISNUMBER($Z$3))),"",ROUND(M163*C163*$Z$3,2)))</f>
        <v/>
      </c>
      <c r="O163" s="90">
        <f>IF(OR(posicao_contratual!N163="",posicao_contratual!R163=""),"",ROUND(MAX(posicao_contratual!N163+posicao_contratual!L163-posicao_contratual!R163,0),2))</f>
        <v/>
      </c>
      <c r="P163" s="335">
        <f>IF(AND(A163="",A162&lt;&gt;"",COUNTIF(A164:$A$200,"&lt;&gt;")=0),ROUND(SUMIF($A$2:A162,"&lt;&gt;",$P$2:P162),2),IF(OR(O163="",C163="",NOT(ISNUMBER($Z$4))),"",ROUND(O163*C163*$Z$4,2)))</f>
        <v/>
      </c>
      <c r="Q163" s="90">
        <f>IF(OR(posicao_contratual!R163="",posicao_contratual!V163=""),"",ROUND(MAX(posicao_contratual!R163+posicao_contratual!P163-posicao_contratual!V163,0),2))</f>
        <v/>
      </c>
      <c r="R163" s="335">
        <f>IF(AND(A163="",A162&lt;&gt;"",COUNTIF(A164:$A$200,"&lt;&gt;")=0),ROUND(SUMIF($A$2:A162,"&lt;&gt;",$R$2:R162),2),IF(OR(Q163="",C163="",NOT(ISNUMBER($Z$5))),"",ROUND(Q163*C163*$Z$5,2)))</f>
        <v/>
      </c>
      <c r="S163" s="43" t="n"/>
      <c r="T163" s="342" t="n"/>
      <c r="U163" s="91">
        <f>IF(AND(A163="",A162&lt;&gt;"",COUNTIF(A164:$A$200,"&lt;&gt;")=0),"TOTAL",IF(A163="","",posicao_contratual!X163))</f>
        <v/>
      </c>
      <c r="V163" s="91">
        <f>IF(A163="","",posicao_contratual!X163)</f>
        <v/>
      </c>
      <c r="W163" s="13" t="n"/>
      <c r="X163" s="13" t="n"/>
      <c r="Y163" s="13" t="n"/>
      <c r="Z163" s="13" t="n"/>
      <c r="AA163" s="13" t="n"/>
      <c r="AB163" s="90">
        <f>IF(OR(A163="",posicao_contratual!E163="",posicao_contratual!J163=""),"",ROUND(MAX(posicao_contratual!E163-posicao_contratual!J163,0),2))</f>
        <v/>
      </c>
      <c r="AC163" s="335">
        <f>IF(AND(A163="",A162&lt;&gt;"",COUNTIF(A164:$A$200,"&lt;&gt;")=0),ROUND(SUMIF($A$2:A162,"&lt;&gt;",$AC$2:AC162),2),IF(OR(AB163="",C163="",NOT(ISNUMBER($Z$2))),"",ROUND(AB163*C163*$Z$2,2)))</f>
        <v/>
      </c>
      <c r="AD163" s="155">
        <f>IF(A163="","",posicao_contratual!E163)</f>
        <v/>
      </c>
      <c r="AE163" s="155">
        <f>IF(A163="","",posicao_contratual!I163)</f>
        <v/>
      </c>
      <c r="AF163" s="155">
        <f>IF(A163="","",posicao_contratual!M163)</f>
        <v/>
      </c>
      <c r="AG163" s="155">
        <f>IF(A163="","",posicao_contratual!Q163)</f>
        <v/>
      </c>
      <c r="AH163" s="155">
        <f>IF(A163="","",posicao_contratual!U163)</f>
        <v/>
      </c>
      <c r="AI163" s="155">
        <f>IF(A163="","",posicao_contratual!G163)</f>
        <v/>
      </c>
      <c r="AJ163" s="155">
        <f>IF(A163="","",posicao_contratual!K163)</f>
        <v/>
      </c>
      <c r="AK163" s="155">
        <f>IF(A163="","",posicao_contratual!O163)</f>
        <v/>
      </c>
      <c r="AL163" s="155">
        <f>IF(A163="","",posicao_contratual!S163)</f>
        <v/>
      </c>
      <c r="AM163" s="155">
        <f>IF(A163="","",posicao_contratual!W163)</f>
        <v/>
      </c>
      <c r="AN163" s="156">
        <f>IF(A163="","",posicao_contratual!X163)</f>
        <v/>
      </c>
      <c r="AO163">
        <f>IF($A163="","",ROUND(SUMIFS(itens_Consumidos!$E$2:$E$200,itens_Consumidos!$A$2:$A$200,$A163),2))</f>
        <v/>
      </c>
      <c r="AP163">
        <f>IF(OR($A163="",AB163=""),"",ROUND(MAX(AB163-AO163,0),2))</f>
        <v/>
      </c>
      <c r="AQ163">
        <f>IF(OR($A163="",AB163="",MEMORIA_RESULTADOS!$I$258=""),"",ROUND(AB163*$C163*(MEMORIA_RESULTADOS!$I$258-1),2))</f>
        <v/>
      </c>
      <c r="AR163">
        <f>IF(OR($A163="",AP163="",MEMORIA_RESULTADOS!$I$258=""),"",ROUND(AP163*$C163*(parametros!$F$2-MEMORIA_RESULTADOS!$I$258),2))</f>
        <v/>
      </c>
      <c r="AS163">
        <f>IF($A163="","",ROUND(SUMIFS(itens_Consumidos!$G$2:$G$200,itens_Consumidos!$A$2:$A$200,$A163),2))</f>
        <v/>
      </c>
      <c r="AT163">
        <f>IF(OR($A163="",M163=""),"",ROUND(MAX(M163-AS163,0),2))</f>
        <v/>
      </c>
      <c r="AU163">
        <f>IF(OR($A163="",M163="",MEMORIA_RESULTADOS!$I$259=""),"",ROUND(M163*$C163*(MEMORIA_RESULTADOS!$I$259-1),2))</f>
        <v/>
      </c>
      <c r="AV163">
        <f>IF(OR($A163="",AT163="",MEMORIA_RESULTADOS!$I$259=""),"",ROUND(AT163*$C163*(parametros!$F$3-MEMORIA_RESULTADOS!$I$259),2))</f>
        <v/>
      </c>
      <c r="AW163">
        <f>IF($A163="","",ROUND(SUMIFS(itens_Consumidos!$I$2:$I$200,itens_Consumidos!$A$2:$A$200,$A163),2))</f>
        <v/>
      </c>
      <c r="AX163">
        <f>IF(OR($A163="",O163=""),"",ROUND(MAX(O163-AW163,0),2))</f>
        <v/>
      </c>
      <c r="AY163">
        <f>IF(OR($A163="",O163="",MEMORIA_RESULTADOS!$I$260=""),"",ROUND(O163*$C163*(MEMORIA_RESULTADOS!$I$260-1),2))</f>
        <v/>
      </c>
      <c r="AZ163">
        <f>IF(OR($A163="",AX163="",MEMORIA_RESULTADOS!$I$260=""),"",ROUND(AX163*$C163*(parametros!$F$4-MEMORIA_RESULTADOS!$I$260),2))</f>
        <v/>
      </c>
      <c r="BA163">
        <f>IF($A163="","",ROUND(SUMIFS(itens_Consumidos!$K$2:$K$200,itens_Consumidos!$A$2:$A$200,$A163),2))</f>
        <v/>
      </c>
      <c r="BB163">
        <f>IF(OR($A163="",Q163=""),"",ROUND(MAX(Q163-BA163,0),2))</f>
        <v/>
      </c>
      <c r="BC163">
        <f>IF(OR($A163="",Q163="",MEMORIA_RESULTADOS!$I$261=""),"",ROUND(Q163*$C163*(MEMORIA_RESULTADOS!$I$261-1),2))</f>
        <v/>
      </c>
      <c r="BD163">
        <f>IF(OR($A163="",BB163="",MEMORIA_RESULTADOS!$I$261=""),"",ROUND(BB163*$C163*(parametros!$F$5-MEMORIA_RESULTADOS!$I$261),2))</f>
        <v/>
      </c>
      <c r="BE163">
        <f>IF($A163="","",ROUND(SUMIFS(itens_Consumidos!$M$2:$M$200,itens_Consumidos!$A$2:$A$200,$A163),2))</f>
        <v/>
      </c>
      <c r="BF163">
        <f>IF(OR($A163="",S163=""),"",ROUND(MAX(S163-BE163,0),2))</f>
        <v/>
      </c>
      <c r="BG163">
        <f>IF(OR($A163="",S163="",MEMORIA_RESULTADOS!$I$262=""),"",ROUND(S163*$C163*(MEMORIA_RESULTADOS!$I$262-1),2))</f>
        <v/>
      </c>
      <c r="BH163">
        <f>IF(OR($A163="",BF163="",MEMORIA_RESULTADOS!$I$262=""),"",ROUND(BF163*$C163*(parametros!$F$6-MEMORIA_RESULTADOS!$I$262),2))</f>
        <v/>
      </c>
    </row>
    <row r="164">
      <c r="A164" s="86" t="n"/>
      <c r="B164" s="87">
        <f>IF(AND(LEN(TRIM($A164))=4,LEFT(TRIM($A164),1)="N",ISNUMBER(--MID(TRIM($A164),2,3)),ISERROR(FIND(".",$A164)),ISERROR(FIND(",",$A164)),ISERROR(FIND("-",$A164)),ISERROR(FIND("+",$A164)),ISERROR(SEARCH("E",$A164,2)),ISERROR(FIND(" ",TRIM($A164)))),0,"")</f>
        <v/>
      </c>
      <c r="C164" s="339" t="n"/>
      <c r="D164" s="335">
        <f>IF(AND(A164="",A163&lt;&gt;"",COUNTIF(A165:$A$200,"&lt;&gt;")=0),ROUND(SUMIF($A$2:A163,"&lt;&gt;",$D$2:D163),2),IF(OR(A164="",B164="",C164=""),"",ROUND(B164*C164,2)))</f>
        <v/>
      </c>
      <c r="E164" s="89" t="n"/>
      <c r="F164" s="335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 t="n"/>
      <c r="H164" s="335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 t="n"/>
      <c r="J164" s="335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 t="n"/>
      <c r="L164" s="335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>
        <f>IF(OR(posicao_contratual!J164="",posicao_contratual!N164=""),"",ROUND(MAX(posicao_contratual!J164+posicao_contratual!H164-posicao_contratual!N164,0),2))</f>
        <v/>
      </c>
      <c r="N164" s="335">
        <f>IF(AND(A164="",A163&lt;&gt;"",COUNTIF(A165:$A$200,"&lt;&gt;")=0),ROUND(SUMIF($A$2:A163,"&lt;&gt;",$N$2:N163),2),IF(OR(M164="",C164="",NOT(ISNUMBER($Z$3))),"",ROUND(M164*C164*$Z$3,2)))</f>
        <v/>
      </c>
      <c r="O164" s="90">
        <f>IF(OR(posicao_contratual!N164="",posicao_contratual!R164=""),"",ROUND(MAX(posicao_contratual!N164+posicao_contratual!L164-posicao_contratual!R164,0),2))</f>
        <v/>
      </c>
      <c r="P164" s="335">
        <f>IF(AND(A164="",A163&lt;&gt;"",COUNTIF(A165:$A$200,"&lt;&gt;")=0),ROUND(SUMIF($A$2:A163,"&lt;&gt;",$P$2:P163),2),IF(OR(O164="",C164="",NOT(ISNUMBER($Z$4))),"",ROUND(O164*C164*$Z$4,2)))</f>
        <v/>
      </c>
      <c r="Q164" s="90">
        <f>IF(OR(posicao_contratual!R164="",posicao_contratual!V164=""),"",ROUND(MAX(posicao_contratual!R164+posicao_contratual!P164-posicao_contratual!V164,0),2))</f>
        <v/>
      </c>
      <c r="R164" s="335">
        <f>IF(AND(A164="",A163&lt;&gt;"",COUNTIF(A165:$A$200,"&lt;&gt;")=0),ROUND(SUMIF($A$2:A163,"&lt;&gt;",$R$2:R163),2),IF(OR(Q164="",C164="",NOT(ISNUMBER($Z$5))),"",ROUND(Q164*C164*$Z$5,2)))</f>
        <v/>
      </c>
      <c r="S164" s="43" t="n"/>
      <c r="T164" s="342" t="n"/>
      <c r="U164" s="91">
        <f>IF(AND(A164="",A163&lt;&gt;"",COUNTIF(A165:$A$200,"&lt;&gt;")=0),"TOTAL",IF(A164="","",posicao_contratual!X164))</f>
        <v/>
      </c>
      <c r="V164" s="91">
        <f>IF(A164="","",posicao_contratual!X164)</f>
        <v/>
      </c>
      <c r="W164" s="13" t="n"/>
      <c r="X164" s="13" t="n"/>
      <c r="Y164" s="13" t="n"/>
      <c r="Z164" s="13" t="n"/>
      <c r="AA164" s="13" t="n"/>
      <c r="AB164" s="90">
        <f>IF(OR(A164="",posicao_contratual!E164="",posicao_contratual!J164=""),"",ROUND(MAX(posicao_contratual!E164-posicao_contratual!J164,0),2))</f>
        <v/>
      </c>
      <c r="AC164" s="335">
        <f>IF(AND(A164="",A163&lt;&gt;"",COUNTIF(A165:$A$200,"&lt;&gt;")=0),ROUND(SUMIF($A$2:A163,"&lt;&gt;",$AC$2:AC163),2),IF(OR(AB164="",C164="",NOT(ISNUMBER($Z$2))),"",ROUND(AB164*C164*$Z$2,2)))</f>
        <v/>
      </c>
      <c r="AD164" s="155">
        <f>IF(A164="","",posicao_contratual!E164)</f>
        <v/>
      </c>
      <c r="AE164" s="155">
        <f>IF(A164="","",posicao_contratual!I164)</f>
        <v/>
      </c>
      <c r="AF164" s="155">
        <f>IF(A164="","",posicao_contratual!M164)</f>
        <v/>
      </c>
      <c r="AG164" s="155">
        <f>IF(A164="","",posicao_contratual!Q164)</f>
        <v/>
      </c>
      <c r="AH164" s="155">
        <f>IF(A164="","",posicao_contratual!U164)</f>
        <v/>
      </c>
      <c r="AI164" s="155">
        <f>IF(A164="","",posicao_contratual!G164)</f>
        <v/>
      </c>
      <c r="AJ164" s="155">
        <f>IF(A164="","",posicao_contratual!K164)</f>
        <v/>
      </c>
      <c r="AK164" s="155">
        <f>IF(A164="","",posicao_contratual!O164)</f>
        <v/>
      </c>
      <c r="AL164" s="155">
        <f>IF(A164="","",posicao_contratual!S164)</f>
        <v/>
      </c>
      <c r="AM164" s="155">
        <f>IF(A164="","",posicao_contratual!W164)</f>
        <v/>
      </c>
      <c r="AN164" s="156">
        <f>IF(A164="","",posicao_contratual!X164)</f>
        <v/>
      </c>
      <c r="AO164">
        <f>IF($A164="","",ROUND(SUMIFS(itens_Consumidos!$E$2:$E$200,itens_Consumidos!$A$2:$A$200,$A164),2))</f>
        <v/>
      </c>
      <c r="AP164">
        <f>IF(OR($A164="",AB164=""),"",ROUND(MAX(AB164-AO164,0),2))</f>
        <v/>
      </c>
      <c r="AQ164">
        <f>IF(OR($A164="",AB164="",MEMORIA_RESULTADOS!$I$258=""),"",ROUND(AB164*$C164*(MEMORIA_RESULTADOS!$I$258-1),2))</f>
        <v/>
      </c>
      <c r="AR164">
        <f>IF(OR($A164="",AP164="",MEMORIA_RESULTADOS!$I$258=""),"",ROUND(AP164*$C164*(parametros!$F$2-MEMORIA_RESULTADOS!$I$258),2))</f>
        <v/>
      </c>
      <c r="AS164">
        <f>IF($A164="","",ROUND(SUMIFS(itens_Consumidos!$G$2:$G$200,itens_Consumidos!$A$2:$A$200,$A164),2))</f>
        <v/>
      </c>
      <c r="AT164">
        <f>IF(OR($A164="",M164=""),"",ROUND(MAX(M164-AS164,0),2))</f>
        <v/>
      </c>
      <c r="AU164">
        <f>IF(OR($A164="",M164="",MEMORIA_RESULTADOS!$I$259=""),"",ROUND(M164*$C164*(MEMORIA_RESULTADOS!$I$259-1),2))</f>
        <v/>
      </c>
      <c r="AV164">
        <f>IF(OR($A164="",AT164="",MEMORIA_RESULTADOS!$I$259=""),"",ROUND(AT164*$C164*(parametros!$F$3-MEMORIA_RESULTADOS!$I$259),2))</f>
        <v/>
      </c>
      <c r="AW164">
        <f>IF($A164="","",ROUND(SUMIFS(itens_Consumidos!$I$2:$I$200,itens_Consumidos!$A$2:$A$200,$A164),2))</f>
        <v/>
      </c>
      <c r="AX164">
        <f>IF(OR($A164="",O164=""),"",ROUND(MAX(O164-AW164,0),2))</f>
        <v/>
      </c>
      <c r="AY164">
        <f>IF(OR($A164="",O164="",MEMORIA_RESULTADOS!$I$260=""),"",ROUND(O164*$C164*(MEMORIA_RESULTADOS!$I$260-1),2))</f>
        <v/>
      </c>
      <c r="AZ164">
        <f>IF(OR($A164="",AX164="",MEMORIA_RESULTADOS!$I$260=""),"",ROUND(AX164*$C164*(parametros!$F$4-MEMORIA_RESULTADOS!$I$260),2))</f>
        <v/>
      </c>
      <c r="BA164">
        <f>IF($A164="","",ROUND(SUMIFS(itens_Consumidos!$K$2:$K$200,itens_Consumidos!$A$2:$A$200,$A164),2))</f>
        <v/>
      </c>
      <c r="BB164">
        <f>IF(OR($A164="",Q164=""),"",ROUND(MAX(Q164-BA164,0),2))</f>
        <v/>
      </c>
      <c r="BC164">
        <f>IF(OR($A164="",Q164="",MEMORIA_RESULTADOS!$I$261=""),"",ROUND(Q164*$C164*(MEMORIA_RESULTADOS!$I$261-1),2))</f>
        <v/>
      </c>
      <c r="BD164">
        <f>IF(OR($A164="",BB164="",MEMORIA_RESULTADOS!$I$261=""),"",ROUND(BB164*$C164*(parametros!$F$5-MEMORIA_RESULTADOS!$I$261),2))</f>
        <v/>
      </c>
      <c r="BE164">
        <f>IF($A164="","",ROUND(SUMIFS(itens_Consumidos!$M$2:$M$200,itens_Consumidos!$A$2:$A$200,$A164),2))</f>
        <v/>
      </c>
      <c r="BF164">
        <f>IF(OR($A164="",S164=""),"",ROUND(MAX(S164-BE164,0),2))</f>
        <v/>
      </c>
      <c r="BG164">
        <f>IF(OR($A164="",S164="",MEMORIA_RESULTADOS!$I$262=""),"",ROUND(S164*$C164*(MEMORIA_RESULTADOS!$I$262-1),2))</f>
        <v/>
      </c>
      <c r="BH164">
        <f>IF(OR($A164="",BF164="",MEMORIA_RESULTADOS!$I$262=""),"",ROUND(BF164*$C164*(parametros!$F$6-MEMORIA_RESULTADOS!$I$262),2))</f>
        <v/>
      </c>
    </row>
    <row r="165">
      <c r="A165" s="86" t="n"/>
      <c r="B165" s="87">
        <f>IF(AND(LEN(TRIM($A165))=4,LEFT(TRIM($A165),1)="N",ISNUMBER(--MID(TRIM($A165),2,3)),ISERROR(FIND(".",$A165)),ISERROR(FIND(",",$A165)),ISERROR(FIND("-",$A165)),ISERROR(FIND("+",$A165)),ISERROR(SEARCH("E",$A165,2)),ISERROR(FIND(" ",TRIM($A165)))),0,"")</f>
        <v/>
      </c>
      <c r="C165" s="339" t="n"/>
      <c r="D165" s="335">
        <f>IF(AND(A165="",A164&lt;&gt;"",COUNTIF(A166:$A$200,"&lt;&gt;")=0),ROUND(SUMIF($A$2:A164,"&lt;&gt;",$D$2:D164),2),IF(OR(A165="",B165="",C165=""),"",ROUND(B165*C165,2)))</f>
        <v/>
      </c>
      <c r="E165" s="89" t="n"/>
      <c r="F165" s="335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 t="n"/>
      <c r="H165" s="335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 t="n"/>
      <c r="J165" s="335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 t="n"/>
      <c r="L165" s="335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>
        <f>IF(OR(posicao_contratual!J165="",posicao_contratual!N165=""),"",ROUND(MAX(posicao_contratual!J165+posicao_contratual!H165-posicao_contratual!N165,0),2))</f>
        <v/>
      </c>
      <c r="N165" s="335">
        <f>IF(AND(A165="",A164&lt;&gt;"",COUNTIF(A166:$A$200,"&lt;&gt;")=0),ROUND(SUMIF($A$2:A164,"&lt;&gt;",$N$2:N164),2),IF(OR(M165="",C165="",NOT(ISNUMBER($Z$3))),"",ROUND(M165*C165*$Z$3,2)))</f>
        <v/>
      </c>
      <c r="O165" s="90">
        <f>IF(OR(posicao_contratual!N165="",posicao_contratual!R165=""),"",ROUND(MAX(posicao_contratual!N165+posicao_contratual!L165-posicao_contratual!R165,0),2))</f>
        <v/>
      </c>
      <c r="P165" s="335">
        <f>IF(AND(A165="",A164&lt;&gt;"",COUNTIF(A166:$A$200,"&lt;&gt;")=0),ROUND(SUMIF($A$2:A164,"&lt;&gt;",$P$2:P164),2),IF(OR(O165="",C165="",NOT(ISNUMBER($Z$4))),"",ROUND(O165*C165*$Z$4,2)))</f>
        <v/>
      </c>
      <c r="Q165" s="90">
        <f>IF(OR(posicao_contratual!R165="",posicao_contratual!V165=""),"",ROUND(MAX(posicao_contratual!R165+posicao_contratual!P165-posicao_contratual!V165,0),2))</f>
        <v/>
      </c>
      <c r="R165" s="335">
        <f>IF(AND(A165="",A164&lt;&gt;"",COUNTIF(A166:$A$200,"&lt;&gt;")=0),ROUND(SUMIF($A$2:A164,"&lt;&gt;",$R$2:R164),2),IF(OR(Q165="",C165="",NOT(ISNUMBER($Z$5))),"",ROUND(Q165*C165*$Z$5,2)))</f>
        <v/>
      </c>
      <c r="S165" s="43" t="n"/>
      <c r="T165" s="342" t="n"/>
      <c r="U165" s="91">
        <f>IF(AND(A165="",A164&lt;&gt;"",COUNTIF(A166:$A$200,"&lt;&gt;")=0),"TOTAL",IF(A165="","",posicao_contratual!X165))</f>
        <v/>
      </c>
      <c r="V165" s="91">
        <f>IF(A165="","",posicao_contratual!X165)</f>
        <v/>
      </c>
      <c r="W165" s="13" t="n"/>
      <c r="X165" s="13" t="n"/>
      <c r="Y165" s="13" t="n"/>
      <c r="Z165" s="13" t="n"/>
      <c r="AA165" s="13" t="n"/>
      <c r="AB165" s="90">
        <f>IF(OR(A165="",posicao_contratual!E165="",posicao_contratual!J165=""),"",ROUND(MAX(posicao_contratual!E165-posicao_contratual!J165,0),2))</f>
        <v/>
      </c>
      <c r="AC165" s="335">
        <f>IF(AND(A165="",A164&lt;&gt;"",COUNTIF(A166:$A$200,"&lt;&gt;")=0),ROUND(SUMIF($A$2:A164,"&lt;&gt;",$AC$2:AC164),2),IF(OR(AB165="",C165="",NOT(ISNUMBER($Z$2))),"",ROUND(AB165*C165*$Z$2,2)))</f>
        <v/>
      </c>
      <c r="AD165" s="155">
        <f>IF(A165="","",posicao_contratual!E165)</f>
        <v/>
      </c>
      <c r="AE165" s="155">
        <f>IF(A165="","",posicao_contratual!I165)</f>
        <v/>
      </c>
      <c r="AF165" s="155">
        <f>IF(A165="","",posicao_contratual!M165)</f>
        <v/>
      </c>
      <c r="AG165" s="155">
        <f>IF(A165="","",posicao_contratual!Q165)</f>
        <v/>
      </c>
      <c r="AH165" s="155">
        <f>IF(A165="","",posicao_contratual!U165)</f>
        <v/>
      </c>
      <c r="AI165" s="155">
        <f>IF(A165="","",posicao_contratual!G165)</f>
        <v/>
      </c>
      <c r="AJ165" s="155">
        <f>IF(A165="","",posicao_contratual!K165)</f>
        <v/>
      </c>
      <c r="AK165" s="155">
        <f>IF(A165="","",posicao_contratual!O165)</f>
        <v/>
      </c>
      <c r="AL165" s="155">
        <f>IF(A165="","",posicao_contratual!S165)</f>
        <v/>
      </c>
      <c r="AM165" s="155">
        <f>IF(A165="","",posicao_contratual!W165)</f>
        <v/>
      </c>
      <c r="AN165" s="156">
        <f>IF(A165="","",posicao_contratual!X165)</f>
        <v/>
      </c>
      <c r="AO165">
        <f>IF($A165="","",ROUND(SUMIFS(itens_Consumidos!$E$2:$E$200,itens_Consumidos!$A$2:$A$200,$A165),2))</f>
        <v/>
      </c>
      <c r="AP165">
        <f>IF(OR($A165="",AB165=""),"",ROUND(MAX(AB165-AO165,0),2))</f>
        <v/>
      </c>
      <c r="AQ165">
        <f>IF(OR($A165="",AB165="",MEMORIA_RESULTADOS!$I$258=""),"",ROUND(AB165*$C165*(MEMORIA_RESULTADOS!$I$258-1),2))</f>
        <v/>
      </c>
      <c r="AR165">
        <f>IF(OR($A165="",AP165="",MEMORIA_RESULTADOS!$I$258=""),"",ROUND(AP165*$C165*(parametros!$F$2-MEMORIA_RESULTADOS!$I$258),2))</f>
        <v/>
      </c>
      <c r="AS165">
        <f>IF($A165="","",ROUND(SUMIFS(itens_Consumidos!$G$2:$G$200,itens_Consumidos!$A$2:$A$200,$A165),2))</f>
        <v/>
      </c>
      <c r="AT165">
        <f>IF(OR($A165="",M165=""),"",ROUND(MAX(M165-AS165,0),2))</f>
        <v/>
      </c>
      <c r="AU165">
        <f>IF(OR($A165="",M165="",MEMORIA_RESULTADOS!$I$259=""),"",ROUND(M165*$C165*(MEMORIA_RESULTADOS!$I$259-1),2))</f>
        <v/>
      </c>
      <c r="AV165">
        <f>IF(OR($A165="",AT165="",MEMORIA_RESULTADOS!$I$259=""),"",ROUND(AT165*$C165*(parametros!$F$3-MEMORIA_RESULTADOS!$I$259),2))</f>
        <v/>
      </c>
      <c r="AW165">
        <f>IF($A165="","",ROUND(SUMIFS(itens_Consumidos!$I$2:$I$200,itens_Consumidos!$A$2:$A$200,$A165),2))</f>
        <v/>
      </c>
      <c r="AX165">
        <f>IF(OR($A165="",O165=""),"",ROUND(MAX(O165-AW165,0),2))</f>
        <v/>
      </c>
      <c r="AY165">
        <f>IF(OR($A165="",O165="",MEMORIA_RESULTADOS!$I$260=""),"",ROUND(O165*$C165*(MEMORIA_RESULTADOS!$I$260-1),2))</f>
        <v/>
      </c>
      <c r="AZ165">
        <f>IF(OR($A165="",AX165="",MEMORIA_RESULTADOS!$I$260=""),"",ROUND(AX165*$C165*(parametros!$F$4-MEMORIA_RESULTADOS!$I$260),2))</f>
        <v/>
      </c>
      <c r="BA165">
        <f>IF($A165="","",ROUND(SUMIFS(itens_Consumidos!$K$2:$K$200,itens_Consumidos!$A$2:$A$200,$A165),2))</f>
        <v/>
      </c>
      <c r="BB165">
        <f>IF(OR($A165="",Q165=""),"",ROUND(MAX(Q165-BA165,0),2))</f>
        <v/>
      </c>
      <c r="BC165">
        <f>IF(OR($A165="",Q165="",MEMORIA_RESULTADOS!$I$261=""),"",ROUND(Q165*$C165*(MEMORIA_RESULTADOS!$I$261-1),2))</f>
        <v/>
      </c>
      <c r="BD165">
        <f>IF(OR($A165="",BB165="",MEMORIA_RESULTADOS!$I$261=""),"",ROUND(BB165*$C165*(parametros!$F$5-MEMORIA_RESULTADOS!$I$261),2))</f>
        <v/>
      </c>
      <c r="BE165">
        <f>IF($A165="","",ROUND(SUMIFS(itens_Consumidos!$M$2:$M$200,itens_Consumidos!$A$2:$A$200,$A165),2))</f>
        <v/>
      </c>
      <c r="BF165">
        <f>IF(OR($A165="",S165=""),"",ROUND(MAX(S165-BE165,0),2))</f>
        <v/>
      </c>
      <c r="BG165">
        <f>IF(OR($A165="",S165="",MEMORIA_RESULTADOS!$I$262=""),"",ROUND(S165*$C165*(MEMORIA_RESULTADOS!$I$262-1),2))</f>
        <v/>
      </c>
      <c r="BH165">
        <f>IF(OR($A165="",BF165="",MEMORIA_RESULTADOS!$I$262=""),"",ROUND(BF165*$C165*(parametros!$F$6-MEMORIA_RESULTADOS!$I$262),2))</f>
        <v/>
      </c>
    </row>
    <row r="166">
      <c r="A166" s="86" t="n"/>
      <c r="B166" s="87">
        <f>IF(AND(LEN(TRIM($A166))=4,LEFT(TRIM($A166),1)="N",ISNUMBER(--MID(TRIM($A166),2,3)),ISERROR(FIND(".",$A166)),ISERROR(FIND(",",$A166)),ISERROR(FIND("-",$A166)),ISERROR(FIND("+",$A166)),ISERROR(SEARCH("E",$A166,2)),ISERROR(FIND(" ",TRIM($A166)))),0,"")</f>
        <v/>
      </c>
      <c r="C166" s="339" t="n"/>
      <c r="D166" s="335">
        <f>IF(AND(A166="",A165&lt;&gt;"",COUNTIF(A167:$A$200,"&lt;&gt;")=0),ROUND(SUMIF($A$2:A165,"&lt;&gt;",$D$2:D165),2),IF(OR(A166="",B166="",C166=""),"",ROUND(B166*C166,2)))</f>
        <v/>
      </c>
      <c r="E166" s="89" t="n"/>
      <c r="F166" s="335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 t="n"/>
      <c r="H166" s="335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 t="n"/>
      <c r="J166" s="335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 t="n"/>
      <c r="L166" s="335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>
        <f>IF(OR(posicao_contratual!J166="",posicao_contratual!N166=""),"",ROUND(MAX(posicao_contratual!J166+posicao_contratual!H166-posicao_contratual!N166,0),2))</f>
        <v/>
      </c>
      <c r="N166" s="335">
        <f>IF(AND(A166="",A165&lt;&gt;"",COUNTIF(A167:$A$200,"&lt;&gt;")=0),ROUND(SUMIF($A$2:A165,"&lt;&gt;",$N$2:N165),2),IF(OR(M166="",C166="",NOT(ISNUMBER($Z$3))),"",ROUND(M166*C166*$Z$3,2)))</f>
        <v/>
      </c>
      <c r="O166" s="90">
        <f>IF(OR(posicao_contratual!N166="",posicao_contratual!R166=""),"",ROUND(MAX(posicao_contratual!N166+posicao_contratual!L166-posicao_contratual!R166,0),2))</f>
        <v/>
      </c>
      <c r="P166" s="335">
        <f>IF(AND(A166="",A165&lt;&gt;"",COUNTIF(A167:$A$200,"&lt;&gt;")=0),ROUND(SUMIF($A$2:A165,"&lt;&gt;",$P$2:P165),2),IF(OR(O166="",C166="",NOT(ISNUMBER($Z$4))),"",ROUND(O166*C166*$Z$4,2)))</f>
        <v/>
      </c>
      <c r="Q166" s="90">
        <f>IF(OR(posicao_contratual!R166="",posicao_contratual!V166=""),"",ROUND(MAX(posicao_contratual!R166+posicao_contratual!P166-posicao_contratual!V166,0),2))</f>
        <v/>
      </c>
      <c r="R166" s="335">
        <f>IF(AND(A166="",A165&lt;&gt;"",COUNTIF(A167:$A$200,"&lt;&gt;")=0),ROUND(SUMIF($A$2:A165,"&lt;&gt;",$R$2:R165),2),IF(OR(Q166="",C166="",NOT(ISNUMBER($Z$5))),"",ROUND(Q166*C166*$Z$5,2)))</f>
        <v/>
      </c>
      <c r="S166" s="43" t="n"/>
      <c r="T166" s="342" t="n"/>
      <c r="U166" s="91">
        <f>IF(AND(A166="",A165&lt;&gt;"",COUNTIF(A167:$A$200,"&lt;&gt;")=0),"TOTAL",IF(A166="","",posicao_contratual!X166))</f>
        <v/>
      </c>
      <c r="V166" s="91">
        <f>IF(A166="","",posicao_contratual!X166)</f>
        <v/>
      </c>
      <c r="W166" s="13" t="n"/>
      <c r="X166" s="13" t="n"/>
      <c r="Y166" s="13" t="n"/>
      <c r="Z166" s="13" t="n"/>
      <c r="AA166" s="13" t="n"/>
      <c r="AB166" s="90">
        <f>IF(OR(A166="",posicao_contratual!E166="",posicao_contratual!J166=""),"",ROUND(MAX(posicao_contratual!E166-posicao_contratual!J166,0),2))</f>
        <v/>
      </c>
      <c r="AC166" s="335">
        <f>IF(AND(A166="",A165&lt;&gt;"",COUNTIF(A167:$A$200,"&lt;&gt;")=0),ROUND(SUMIF($A$2:A165,"&lt;&gt;",$AC$2:AC165),2),IF(OR(AB166="",C166="",NOT(ISNUMBER($Z$2))),"",ROUND(AB166*C166*$Z$2,2)))</f>
        <v/>
      </c>
      <c r="AD166" s="155">
        <f>IF(A166="","",posicao_contratual!E166)</f>
        <v/>
      </c>
      <c r="AE166" s="155">
        <f>IF(A166="","",posicao_contratual!I166)</f>
        <v/>
      </c>
      <c r="AF166" s="155">
        <f>IF(A166="","",posicao_contratual!M166)</f>
        <v/>
      </c>
      <c r="AG166" s="155">
        <f>IF(A166="","",posicao_contratual!Q166)</f>
        <v/>
      </c>
      <c r="AH166" s="155">
        <f>IF(A166="","",posicao_contratual!U166)</f>
        <v/>
      </c>
      <c r="AI166" s="155">
        <f>IF(A166="","",posicao_contratual!G166)</f>
        <v/>
      </c>
      <c r="AJ166" s="155">
        <f>IF(A166="","",posicao_contratual!K166)</f>
        <v/>
      </c>
      <c r="AK166" s="155">
        <f>IF(A166="","",posicao_contratual!O166)</f>
        <v/>
      </c>
      <c r="AL166" s="155">
        <f>IF(A166="","",posicao_contratual!S166)</f>
        <v/>
      </c>
      <c r="AM166" s="155">
        <f>IF(A166="","",posicao_contratual!W166)</f>
        <v/>
      </c>
      <c r="AN166" s="156">
        <f>IF(A166="","",posicao_contratual!X166)</f>
        <v/>
      </c>
      <c r="AO166">
        <f>IF($A166="","",ROUND(SUMIFS(itens_Consumidos!$E$2:$E$200,itens_Consumidos!$A$2:$A$200,$A166),2))</f>
        <v/>
      </c>
      <c r="AP166">
        <f>IF(OR($A166="",AB166=""),"",ROUND(MAX(AB166-AO166,0),2))</f>
        <v/>
      </c>
      <c r="AQ166">
        <f>IF(OR($A166="",AB166="",MEMORIA_RESULTADOS!$I$258=""),"",ROUND(AB166*$C166*(MEMORIA_RESULTADOS!$I$258-1),2))</f>
        <v/>
      </c>
      <c r="AR166">
        <f>IF(OR($A166="",AP166="",MEMORIA_RESULTADOS!$I$258=""),"",ROUND(AP166*$C166*(parametros!$F$2-MEMORIA_RESULTADOS!$I$258),2))</f>
        <v/>
      </c>
      <c r="AS166">
        <f>IF($A166="","",ROUND(SUMIFS(itens_Consumidos!$G$2:$G$200,itens_Consumidos!$A$2:$A$200,$A166),2))</f>
        <v/>
      </c>
      <c r="AT166">
        <f>IF(OR($A166="",M166=""),"",ROUND(MAX(M166-AS166,0),2))</f>
        <v/>
      </c>
      <c r="AU166">
        <f>IF(OR($A166="",M166="",MEMORIA_RESULTADOS!$I$259=""),"",ROUND(M166*$C166*(MEMORIA_RESULTADOS!$I$259-1),2))</f>
        <v/>
      </c>
      <c r="AV166">
        <f>IF(OR($A166="",AT166="",MEMORIA_RESULTADOS!$I$259=""),"",ROUND(AT166*$C166*(parametros!$F$3-MEMORIA_RESULTADOS!$I$259),2))</f>
        <v/>
      </c>
      <c r="AW166">
        <f>IF($A166="","",ROUND(SUMIFS(itens_Consumidos!$I$2:$I$200,itens_Consumidos!$A$2:$A$200,$A166),2))</f>
        <v/>
      </c>
      <c r="AX166">
        <f>IF(OR($A166="",O166=""),"",ROUND(MAX(O166-AW166,0),2))</f>
        <v/>
      </c>
      <c r="AY166">
        <f>IF(OR($A166="",O166="",MEMORIA_RESULTADOS!$I$260=""),"",ROUND(O166*$C166*(MEMORIA_RESULTADOS!$I$260-1),2))</f>
        <v/>
      </c>
      <c r="AZ166">
        <f>IF(OR($A166="",AX166="",MEMORIA_RESULTADOS!$I$260=""),"",ROUND(AX166*$C166*(parametros!$F$4-MEMORIA_RESULTADOS!$I$260),2))</f>
        <v/>
      </c>
      <c r="BA166">
        <f>IF($A166="","",ROUND(SUMIFS(itens_Consumidos!$K$2:$K$200,itens_Consumidos!$A$2:$A$200,$A166),2))</f>
        <v/>
      </c>
      <c r="BB166">
        <f>IF(OR($A166="",Q166=""),"",ROUND(MAX(Q166-BA166,0),2))</f>
        <v/>
      </c>
      <c r="BC166">
        <f>IF(OR($A166="",Q166="",MEMORIA_RESULTADOS!$I$261=""),"",ROUND(Q166*$C166*(MEMORIA_RESULTADOS!$I$261-1),2))</f>
        <v/>
      </c>
      <c r="BD166">
        <f>IF(OR($A166="",BB166="",MEMORIA_RESULTADOS!$I$261=""),"",ROUND(BB166*$C166*(parametros!$F$5-MEMORIA_RESULTADOS!$I$261),2))</f>
        <v/>
      </c>
      <c r="BE166">
        <f>IF($A166="","",ROUND(SUMIFS(itens_Consumidos!$M$2:$M$200,itens_Consumidos!$A$2:$A$200,$A166),2))</f>
        <v/>
      </c>
      <c r="BF166">
        <f>IF(OR($A166="",S166=""),"",ROUND(MAX(S166-BE166,0),2))</f>
        <v/>
      </c>
      <c r="BG166">
        <f>IF(OR($A166="",S166="",MEMORIA_RESULTADOS!$I$262=""),"",ROUND(S166*$C166*(MEMORIA_RESULTADOS!$I$262-1),2))</f>
        <v/>
      </c>
      <c r="BH166">
        <f>IF(OR($A166="",BF166="",MEMORIA_RESULTADOS!$I$262=""),"",ROUND(BF166*$C166*(parametros!$F$6-MEMORIA_RESULTADOS!$I$262),2))</f>
        <v/>
      </c>
    </row>
    <row r="167">
      <c r="A167" s="86" t="n"/>
      <c r="B167" s="87">
        <f>IF(AND(LEN(TRIM($A167))=4,LEFT(TRIM($A167),1)="N",ISNUMBER(--MID(TRIM($A167),2,3)),ISERROR(FIND(".",$A167)),ISERROR(FIND(",",$A167)),ISERROR(FIND("-",$A167)),ISERROR(FIND("+",$A167)),ISERROR(SEARCH("E",$A167,2)),ISERROR(FIND(" ",TRIM($A167)))),0,"")</f>
        <v/>
      </c>
      <c r="C167" s="339" t="n"/>
      <c r="D167" s="335">
        <f>IF(AND(A167="",A166&lt;&gt;"",COUNTIF(A168:$A$200,"&lt;&gt;")=0),ROUND(SUMIF($A$2:A166,"&lt;&gt;",$D$2:D166),2),IF(OR(A167="",B167="",C167=""),"",ROUND(B167*C167,2)))</f>
        <v/>
      </c>
      <c r="E167" s="89" t="n"/>
      <c r="F167" s="335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 t="n"/>
      <c r="H167" s="335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 t="n"/>
      <c r="J167" s="335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 t="n"/>
      <c r="L167" s="335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>
        <f>IF(OR(posicao_contratual!J167="",posicao_contratual!N167=""),"",ROUND(MAX(posicao_contratual!J167+posicao_contratual!H167-posicao_contratual!N167,0),2))</f>
        <v/>
      </c>
      <c r="N167" s="335">
        <f>IF(AND(A167="",A166&lt;&gt;"",COUNTIF(A168:$A$200,"&lt;&gt;")=0),ROUND(SUMIF($A$2:A166,"&lt;&gt;",$N$2:N166),2),IF(OR(M167="",C167="",NOT(ISNUMBER($Z$3))),"",ROUND(M167*C167*$Z$3,2)))</f>
        <v/>
      </c>
      <c r="O167" s="90">
        <f>IF(OR(posicao_contratual!N167="",posicao_contratual!R167=""),"",ROUND(MAX(posicao_contratual!N167+posicao_contratual!L167-posicao_contratual!R167,0),2))</f>
        <v/>
      </c>
      <c r="P167" s="335">
        <f>IF(AND(A167="",A166&lt;&gt;"",COUNTIF(A168:$A$200,"&lt;&gt;")=0),ROUND(SUMIF($A$2:A166,"&lt;&gt;",$P$2:P166),2),IF(OR(O167="",C167="",NOT(ISNUMBER($Z$4))),"",ROUND(O167*C167*$Z$4,2)))</f>
        <v/>
      </c>
      <c r="Q167" s="90">
        <f>IF(OR(posicao_contratual!R167="",posicao_contratual!V167=""),"",ROUND(MAX(posicao_contratual!R167+posicao_contratual!P167-posicao_contratual!V167,0),2))</f>
        <v/>
      </c>
      <c r="R167" s="335">
        <f>IF(AND(A167="",A166&lt;&gt;"",COUNTIF(A168:$A$200,"&lt;&gt;")=0),ROUND(SUMIF($A$2:A166,"&lt;&gt;",$R$2:R166),2),IF(OR(Q167="",C167="",NOT(ISNUMBER($Z$5))),"",ROUND(Q167*C167*$Z$5,2)))</f>
        <v/>
      </c>
      <c r="S167" s="43" t="n"/>
      <c r="T167" s="342" t="n"/>
      <c r="U167" s="91">
        <f>IF(AND(A167="",A166&lt;&gt;"",COUNTIF(A168:$A$200,"&lt;&gt;")=0),"TOTAL",IF(A167="","",posicao_contratual!X167))</f>
        <v/>
      </c>
      <c r="V167" s="91">
        <f>IF(A167="","",posicao_contratual!X167)</f>
        <v/>
      </c>
      <c r="W167" s="13" t="n"/>
      <c r="X167" s="13" t="n"/>
      <c r="Y167" s="13" t="n"/>
      <c r="Z167" s="13" t="n"/>
      <c r="AA167" s="13" t="n"/>
      <c r="AB167" s="90">
        <f>IF(OR(A167="",posicao_contratual!E167="",posicao_contratual!J167=""),"",ROUND(MAX(posicao_contratual!E167-posicao_contratual!J167,0),2))</f>
        <v/>
      </c>
      <c r="AC167" s="335">
        <f>IF(AND(A167="",A166&lt;&gt;"",COUNTIF(A168:$A$200,"&lt;&gt;")=0),ROUND(SUMIF($A$2:A166,"&lt;&gt;",$AC$2:AC166),2),IF(OR(AB167="",C167="",NOT(ISNUMBER($Z$2))),"",ROUND(AB167*C167*$Z$2,2)))</f>
        <v/>
      </c>
      <c r="AD167" s="155">
        <f>IF(A167="","",posicao_contratual!E167)</f>
        <v/>
      </c>
      <c r="AE167" s="155">
        <f>IF(A167="","",posicao_contratual!I167)</f>
        <v/>
      </c>
      <c r="AF167" s="155">
        <f>IF(A167="","",posicao_contratual!M167)</f>
        <v/>
      </c>
      <c r="AG167" s="155">
        <f>IF(A167="","",posicao_contratual!Q167)</f>
        <v/>
      </c>
      <c r="AH167" s="155">
        <f>IF(A167="","",posicao_contratual!U167)</f>
        <v/>
      </c>
      <c r="AI167" s="155">
        <f>IF(A167="","",posicao_contratual!G167)</f>
        <v/>
      </c>
      <c r="AJ167" s="155">
        <f>IF(A167="","",posicao_contratual!K167)</f>
        <v/>
      </c>
      <c r="AK167" s="155">
        <f>IF(A167="","",posicao_contratual!O167)</f>
        <v/>
      </c>
      <c r="AL167" s="155">
        <f>IF(A167="","",posicao_contratual!S167)</f>
        <v/>
      </c>
      <c r="AM167" s="155">
        <f>IF(A167="","",posicao_contratual!W167)</f>
        <v/>
      </c>
      <c r="AN167" s="156">
        <f>IF(A167="","",posicao_contratual!X167)</f>
        <v/>
      </c>
      <c r="AO167">
        <f>IF($A167="","",ROUND(SUMIFS(itens_Consumidos!$E$2:$E$200,itens_Consumidos!$A$2:$A$200,$A167),2))</f>
        <v/>
      </c>
      <c r="AP167">
        <f>IF(OR($A167="",AB167=""),"",ROUND(MAX(AB167-AO167,0),2))</f>
        <v/>
      </c>
      <c r="AQ167">
        <f>IF(OR($A167="",AB167="",MEMORIA_RESULTADOS!$I$258=""),"",ROUND(AB167*$C167*(MEMORIA_RESULTADOS!$I$258-1),2))</f>
        <v/>
      </c>
      <c r="AR167">
        <f>IF(OR($A167="",AP167="",MEMORIA_RESULTADOS!$I$258=""),"",ROUND(AP167*$C167*(parametros!$F$2-MEMORIA_RESULTADOS!$I$258),2))</f>
        <v/>
      </c>
      <c r="AS167">
        <f>IF($A167="","",ROUND(SUMIFS(itens_Consumidos!$G$2:$G$200,itens_Consumidos!$A$2:$A$200,$A167),2))</f>
        <v/>
      </c>
      <c r="AT167">
        <f>IF(OR($A167="",M167=""),"",ROUND(MAX(M167-AS167,0),2))</f>
        <v/>
      </c>
      <c r="AU167">
        <f>IF(OR($A167="",M167="",MEMORIA_RESULTADOS!$I$259=""),"",ROUND(M167*$C167*(MEMORIA_RESULTADOS!$I$259-1),2))</f>
        <v/>
      </c>
      <c r="AV167">
        <f>IF(OR($A167="",AT167="",MEMORIA_RESULTADOS!$I$259=""),"",ROUND(AT167*$C167*(parametros!$F$3-MEMORIA_RESULTADOS!$I$259),2))</f>
        <v/>
      </c>
      <c r="AW167">
        <f>IF($A167="","",ROUND(SUMIFS(itens_Consumidos!$I$2:$I$200,itens_Consumidos!$A$2:$A$200,$A167),2))</f>
        <v/>
      </c>
      <c r="AX167">
        <f>IF(OR($A167="",O167=""),"",ROUND(MAX(O167-AW167,0),2))</f>
        <v/>
      </c>
      <c r="AY167">
        <f>IF(OR($A167="",O167="",MEMORIA_RESULTADOS!$I$260=""),"",ROUND(O167*$C167*(MEMORIA_RESULTADOS!$I$260-1),2))</f>
        <v/>
      </c>
      <c r="AZ167">
        <f>IF(OR($A167="",AX167="",MEMORIA_RESULTADOS!$I$260=""),"",ROUND(AX167*$C167*(parametros!$F$4-MEMORIA_RESULTADOS!$I$260),2))</f>
        <v/>
      </c>
      <c r="BA167">
        <f>IF($A167="","",ROUND(SUMIFS(itens_Consumidos!$K$2:$K$200,itens_Consumidos!$A$2:$A$200,$A167),2))</f>
        <v/>
      </c>
      <c r="BB167">
        <f>IF(OR($A167="",Q167=""),"",ROUND(MAX(Q167-BA167,0),2))</f>
        <v/>
      </c>
      <c r="BC167">
        <f>IF(OR($A167="",Q167="",MEMORIA_RESULTADOS!$I$261=""),"",ROUND(Q167*$C167*(MEMORIA_RESULTADOS!$I$261-1),2))</f>
        <v/>
      </c>
      <c r="BD167">
        <f>IF(OR($A167="",BB167="",MEMORIA_RESULTADOS!$I$261=""),"",ROUND(BB167*$C167*(parametros!$F$5-MEMORIA_RESULTADOS!$I$261),2))</f>
        <v/>
      </c>
      <c r="BE167">
        <f>IF($A167="","",ROUND(SUMIFS(itens_Consumidos!$M$2:$M$200,itens_Consumidos!$A$2:$A$200,$A167),2))</f>
        <v/>
      </c>
      <c r="BF167">
        <f>IF(OR($A167="",S167=""),"",ROUND(MAX(S167-BE167,0),2))</f>
        <v/>
      </c>
      <c r="BG167">
        <f>IF(OR($A167="",S167="",MEMORIA_RESULTADOS!$I$262=""),"",ROUND(S167*$C167*(MEMORIA_RESULTADOS!$I$262-1),2))</f>
        <v/>
      </c>
      <c r="BH167">
        <f>IF(OR($A167="",BF167="",MEMORIA_RESULTADOS!$I$262=""),"",ROUND(BF167*$C167*(parametros!$F$6-MEMORIA_RESULTADOS!$I$262),2))</f>
        <v/>
      </c>
    </row>
    <row r="168">
      <c r="A168" s="86" t="n"/>
      <c r="B168" s="87">
        <f>IF(AND(LEN(TRIM($A168))=4,LEFT(TRIM($A168),1)="N",ISNUMBER(--MID(TRIM($A168),2,3)),ISERROR(FIND(".",$A168)),ISERROR(FIND(",",$A168)),ISERROR(FIND("-",$A168)),ISERROR(FIND("+",$A168)),ISERROR(SEARCH("E",$A168,2)),ISERROR(FIND(" ",TRIM($A168)))),0,"")</f>
        <v/>
      </c>
      <c r="C168" s="339" t="n"/>
      <c r="D168" s="335">
        <f>IF(AND(A168="",A167&lt;&gt;"",COUNTIF(A169:$A$200,"&lt;&gt;")=0),ROUND(SUMIF($A$2:A167,"&lt;&gt;",$D$2:D167),2),IF(OR(A168="",B168="",C168=""),"",ROUND(B168*C168,2)))</f>
        <v/>
      </c>
      <c r="E168" s="89" t="n"/>
      <c r="F168" s="335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 t="n"/>
      <c r="H168" s="335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 t="n"/>
      <c r="J168" s="335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 t="n"/>
      <c r="L168" s="335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>
        <f>IF(OR(posicao_contratual!J168="",posicao_contratual!N168=""),"",ROUND(MAX(posicao_contratual!J168+posicao_contratual!H168-posicao_contratual!N168,0),2))</f>
        <v/>
      </c>
      <c r="N168" s="335">
        <f>IF(AND(A168="",A167&lt;&gt;"",COUNTIF(A169:$A$200,"&lt;&gt;")=0),ROUND(SUMIF($A$2:A167,"&lt;&gt;",$N$2:N167),2),IF(OR(M168="",C168="",NOT(ISNUMBER($Z$3))),"",ROUND(M168*C168*$Z$3,2)))</f>
        <v/>
      </c>
      <c r="O168" s="90">
        <f>IF(OR(posicao_contratual!N168="",posicao_contratual!R168=""),"",ROUND(MAX(posicao_contratual!N168+posicao_contratual!L168-posicao_contratual!R168,0),2))</f>
        <v/>
      </c>
      <c r="P168" s="335">
        <f>IF(AND(A168="",A167&lt;&gt;"",COUNTIF(A169:$A$200,"&lt;&gt;")=0),ROUND(SUMIF($A$2:A167,"&lt;&gt;",$P$2:P167),2),IF(OR(O168="",C168="",NOT(ISNUMBER($Z$4))),"",ROUND(O168*C168*$Z$4,2)))</f>
        <v/>
      </c>
      <c r="Q168" s="90">
        <f>IF(OR(posicao_contratual!R168="",posicao_contratual!V168=""),"",ROUND(MAX(posicao_contratual!R168+posicao_contratual!P168-posicao_contratual!V168,0),2))</f>
        <v/>
      </c>
      <c r="R168" s="335">
        <f>IF(AND(A168="",A167&lt;&gt;"",COUNTIF(A169:$A$200,"&lt;&gt;")=0),ROUND(SUMIF($A$2:A167,"&lt;&gt;",$R$2:R167),2),IF(OR(Q168="",C168="",NOT(ISNUMBER($Z$5))),"",ROUND(Q168*C168*$Z$5,2)))</f>
        <v/>
      </c>
      <c r="S168" s="43" t="n"/>
      <c r="T168" s="342" t="n"/>
      <c r="U168" s="91">
        <f>IF(AND(A168="",A167&lt;&gt;"",COUNTIF(A169:$A$200,"&lt;&gt;")=0),"TOTAL",IF(A168="","",posicao_contratual!X168))</f>
        <v/>
      </c>
      <c r="V168" s="91">
        <f>IF(A168="","",posicao_contratual!X168)</f>
        <v/>
      </c>
      <c r="W168" s="13" t="n"/>
      <c r="X168" s="13" t="n"/>
      <c r="Y168" s="13" t="n"/>
      <c r="Z168" s="13" t="n"/>
      <c r="AA168" s="13" t="n"/>
      <c r="AB168" s="90">
        <f>IF(OR(A168="",posicao_contratual!E168="",posicao_contratual!J168=""),"",ROUND(MAX(posicao_contratual!E168-posicao_contratual!J168,0),2))</f>
        <v/>
      </c>
      <c r="AC168" s="335">
        <f>IF(AND(A168="",A167&lt;&gt;"",COUNTIF(A169:$A$200,"&lt;&gt;")=0),ROUND(SUMIF($A$2:A167,"&lt;&gt;",$AC$2:AC167),2),IF(OR(AB168="",C168="",NOT(ISNUMBER($Z$2))),"",ROUND(AB168*C168*$Z$2,2)))</f>
        <v/>
      </c>
      <c r="AD168" s="155">
        <f>IF(A168="","",posicao_contratual!E168)</f>
        <v/>
      </c>
      <c r="AE168" s="155">
        <f>IF(A168="","",posicao_contratual!I168)</f>
        <v/>
      </c>
      <c r="AF168" s="155">
        <f>IF(A168="","",posicao_contratual!M168)</f>
        <v/>
      </c>
      <c r="AG168" s="155">
        <f>IF(A168="","",posicao_contratual!Q168)</f>
        <v/>
      </c>
      <c r="AH168" s="155">
        <f>IF(A168="","",posicao_contratual!U168)</f>
        <v/>
      </c>
      <c r="AI168" s="155">
        <f>IF(A168="","",posicao_contratual!G168)</f>
        <v/>
      </c>
      <c r="AJ168" s="155">
        <f>IF(A168="","",posicao_contratual!K168)</f>
        <v/>
      </c>
      <c r="AK168" s="155">
        <f>IF(A168="","",posicao_contratual!O168)</f>
        <v/>
      </c>
      <c r="AL168" s="155">
        <f>IF(A168="","",posicao_contratual!S168)</f>
        <v/>
      </c>
      <c r="AM168" s="155">
        <f>IF(A168="","",posicao_contratual!W168)</f>
        <v/>
      </c>
      <c r="AN168" s="156">
        <f>IF(A168="","",posicao_contratual!X168)</f>
        <v/>
      </c>
      <c r="AO168">
        <f>IF($A168="","",ROUND(SUMIFS(itens_Consumidos!$E$2:$E$200,itens_Consumidos!$A$2:$A$200,$A168),2))</f>
        <v/>
      </c>
      <c r="AP168">
        <f>IF(OR($A168="",AB168=""),"",ROUND(MAX(AB168-AO168,0),2))</f>
        <v/>
      </c>
      <c r="AQ168">
        <f>IF(OR($A168="",AB168="",MEMORIA_RESULTADOS!$I$258=""),"",ROUND(AB168*$C168*(MEMORIA_RESULTADOS!$I$258-1),2))</f>
        <v/>
      </c>
      <c r="AR168">
        <f>IF(OR($A168="",AP168="",MEMORIA_RESULTADOS!$I$258=""),"",ROUND(AP168*$C168*(parametros!$F$2-MEMORIA_RESULTADOS!$I$258),2))</f>
        <v/>
      </c>
      <c r="AS168">
        <f>IF($A168="","",ROUND(SUMIFS(itens_Consumidos!$G$2:$G$200,itens_Consumidos!$A$2:$A$200,$A168),2))</f>
        <v/>
      </c>
      <c r="AT168">
        <f>IF(OR($A168="",M168=""),"",ROUND(MAX(M168-AS168,0),2))</f>
        <v/>
      </c>
      <c r="AU168">
        <f>IF(OR($A168="",M168="",MEMORIA_RESULTADOS!$I$259=""),"",ROUND(M168*$C168*(MEMORIA_RESULTADOS!$I$259-1),2))</f>
        <v/>
      </c>
      <c r="AV168">
        <f>IF(OR($A168="",AT168="",MEMORIA_RESULTADOS!$I$259=""),"",ROUND(AT168*$C168*(parametros!$F$3-MEMORIA_RESULTADOS!$I$259),2))</f>
        <v/>
      </c>
      <c r="AW168">
        <f>IF($A168="","",ROUND(SUMIFS(itens_Consumidos!$I$2:$I$200,itens_Consumidos!$A$2:$A$200,$A168),2))</f>
        <v/>
      </c>
      <c r="AX168">
        <f>IF(OR($A168="",O168=""),"",ROUND(MAX(O168-AW168,0),2))</f>
        <v/>
      </c>
      <c r="AY168">
        <f>IF(OR($A168="",O168="",MEMORIA_RESULTADOS!$I$260=""),"",ROUND(O168*$C168*(MEMORIA_RESULTADOS!$I$260-1),2))</f>
        <v/>
      </c>
      <c r="AZ168">
        <f>IF(OR($A168="",AX168="",MEMORIA_RESULTADOS!$I$260=""),"",ROUND(AX168*$C168*(parametros!$F$4-MEMORIA_RESULTADOS!$I$260),2))</f>
        <v/>
      </c>
      <c r="BA168">
        <f>IF($A168="","",ROUND(SUMIFS(itens_Consumidos!$K$2:$K$200,itens_Consumidos!$A$2:$A$200,$A168),2))</f>
        <v/>
      </c>
      <c r="BB168">
        <f>IF(OR($A168="",Q168=""),"",ROUND(MAX(Q168-BA168,0),2))</f>
        <v/>
      </c>
      <c r="BC168">
        <f>IF(OR($A168="",Q168="",MEMORIA_RESULTADOS!$I$261=""),"",ROUND(Q168*$C168*(MEMORIA_RESULTADOS!$I$261-1),2))</f>
        <v/>
      </c>
      <c r="BD168">
        <f>IF(OR($A168="",BB168="",MEMORIA_RESULTADOS!$I$261=""),"",ROUND(BB168*$C168*(parametros!$F$5-MEMORIA_RESULTADOS!$I$261),2))</f>
        <v/>
      </c>
      <c r="BE168">
        <f>IF($A168="","",ROUND(SUMIFS(itens_Consumidos!$M$2:$M$200,itens_Consumidos!$A$2:$A$200,$A168),2))</f>
        <v/>
      </c>
      <c r="BF168">
        <f>IF(OR($A168="",S168=""),"",ROUND(MAX(S168-BE168,0),2))</f>
        <v/>
      </c>
      <c r="BG168">
        <f>IF(OR($A168="",S168="",MEMORIA_RESULTADOS!$I$262=""),"",ROUND(S168*$C168*(MEMORIA_RESULTADOS!$I$262-1),2))</f>
        <v/>
      </c>
      <c r="BH168">
        <f>IF(OR($A168="",BF168="",MEMORIA_RESULTADOS!$I$262=""),"",ROUND(BF168*$C168*(parametros!$F$6-MEMORIA_RESULTADOS!$I$262),2))</f>
        <v/>
      </c>
    </row>
    <row r="169">
      <c r="A169" s="86" t="n"/>
      <c r="B169" s="87">
        <f>IF(AND(LEN(TRIM($A169))=4,LEFT(TRIM($A169),1)="N",ISNUMBER(--MID(TRIM($A169),2,3)),ISERROR(FIND(".",$A169)),ISERROR(FIND(",",$A169)),ISERROR(FIND("-",$A169)),ISERROR(FIND("+",$A169)),ISERROR(SEARCH("E",$A169,2)),ISERROR(FIND(" ",TRIM($A169)))),0,"")</f>
        <v/>
      </c>
      <c r="C169" s="339" t="n"/>
      <c r="D169" s="335">
        <f>IF(AND(A169="",A168&lt;&gt;"",COUNTIF(A170:$A$200,"&lt;&gt;")=0),ROUND(SUMIF($A$2:A168,"&lt;&gt;",$D$2:D168),2),IF(OR(A169="",B169="",C169=""),"",ROUND(B169*C169,2)))</f>
        <v/>
      </c>
      <c r="E169" s="89" t="n"/>
      <c r="F169" s="335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 t="n"/>
      <c r="H169" s="335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 t="n"/>
      <c r="J169" s="335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 t="n"/>
      <c r="L169" s="335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>
        <f>IF(OR(posicao_contratual!J169="",posicao_contratual!N169=""),"",ROUND(MAX(posicao_contratual!J169+posicao_contratual!H169-posicao_contratual!N169,0),2))</f>
        <v/>
      </c>
      <c r="N169" s="335">
        <f>IF(AND(A169="",A168&lt;&gt;"",COUNTIF(A170:$A$200,"&lt;&gt;")=0),ROUND(SUMIF($A$2:A168,"&lt;&gt;",$N$2:N168),2),IF(OR(M169="",C169="",NOT(ISNUMBER($Z$3))),"",ROUND(M169*C169*$Z$3,2)))</f>
        <v/>
      </c>
      <c r="O169" s="90">
        <f>IF(OR(posicao_contratual!N169="",posicao_contratual!R169=""),"",ROUND(MAX(posicao_contratual!N169+posicao_contratual!L169-posicao_contratual!R169,0),2))</f>
        <v/>
      </c>
      <c r="P169" s="335">
        <f>IF(AND(A169="",A168&lt;&gt;"",COUNTIF(A170:$A$200,"&lt;&gt;")=0),ROUND(SUMIF($A$2:A168,"&lt;&gt;",$P$2:P168),2),IF(OR(O169="",C169="",NOT(ISNUMBER($Z$4))),"",ROUND(O169*C169*$Z$4,2)))</f>
        <v/>
      </c>
      <c r="Q169" s="90">
        <f>IF(OR(posicao_contratual!R169="",posicao_contratual!V169=""),"",ROUND(MAX(posicao_contratual!R169+posicao_contratual!P169-posicao_contratual!V169,0),2))</f>
        <v/>
      </c>
      <c r="R169" s="335">
        <f>IF(AND(A169="",A168&lt;&gt;"",COUNTIF(A170:$A$200,"&lt;&gt;")=0),ROUND(SUMIF($A$2:A168,"&lt;&gt;",$R$2:R168),2),IF(OR(Q169="",C169="",NOT(ISNUMBER($Z$5))),"",ROUND(Q169*C169*$Z$5,2)))</f>
        <v/>
      </c>
      <c r="S169" s="43" t="n"/>
      <c r="T169" s="342" t="n"/>
      <c r="U169" s="91">
        <f>IF(AND(A169="",A168&lt;&gt;"",COUNTIF(A170:$A$200,"&lt;&gt;")=0),"TOTAL",IF(A169="","",posicao_contratual!X169))</f>
        <v/>
      </c>
      <c r="V169" s="91">
        <f>IF(A169="","",posicao_contratual!X169)</f>
        <v/>
      </c>
      <c r="W169" s="13" t="n"/>
      <c r="X169" s="13" t="n"/>
      <c r="Y169" s="13" t="n"/>
      <c r="Z169" s="13" t="n"/>
      <c r="AA169" s="13" t="n"/>
      <c r="AB169" s="90">
        <f>IF(OR(A169="",posicao_contratual!E169="",posicao_contratual!J169=""),"",ROUND(MAX(posicao_contratual!E169-posicao_contratual!J169,0),2))</f>
        <v/>
      </c>
      <c r="AC169" s="335">
        <f>IF(AND(A169="",A168&lt;&gt;"",COUNTIF(A170:$A$200,"&lt;&gt;")=0),ROUND(SUMIF($A$2:A168,"&lt;&gt;",$AC$2:AC168),2),IF(OR(AB169="",C169="",NOT(ISNUMBER($Z$2))),"",ROUND(AB169*C169*$Z$2,2)))</f>
        <v/>
      </c>
      <c r="AD169" s="155">
        <f>IF(A169="","",posicao_contratual!E169)</f>
        <v/>
      </c>
      <c r="AE169" s="155">
        <f>IF(A169="","",posicao_contratual!I169)</f>
        <v/>
      </c>
      <c r="AF169" s="155">
        <f>IF(A169="","",posicao_contratual!M169)</f>
        <v/>
      </c>
      <c r="AG169" s="155">
        <f>IF(A169="","",posicao_contratual!Q169)</f>
        <v/>
      </c>
      <c r="AH169" s="155">
        <f>IF(A169="","",posicao_contratual!U169)</f>
        <v/>
      </c>
      <c r="AI169" s="155">
        <f>IF(A169="","",posicao_contratual!G169)</f>
        <v/>
      </c>
      <c r="AJ169" s="155">
        <f>IF(A169="","",posicao_contratual!K169)</f>
        <v/>
      </c>
      <c r="AK169" s="155">
        <f>IF(A169="","",posicao_contratual!O169)</f>
        <v/>
      </c>
      <c r="AL169" s="155">
        <f>IF(A169="","",posicao_contratual!S169)</f>
        <v/>
      </c>
      <c r="AM169" s="155">
        <f>IF(A169="","",posicao_contratual!W169)</f>
        <v/>
      </c>
      <c r="AN169" s="156">
        <f>IF(A169="","",posicao_contratual!X169)</f>
        <v/>
      </c>
      <c r="AO169">
        <f>IF($A169="","",ROUND(SUMIFS(itens_Consumidos!$E$2:$E$200,itens_Consumidos!$A$2:$A$200,$A169),2))</f>
        <v/>
      </c>
      <c r="AP169">
        <f>IF(OR($A169="",AB169=""),"",ROUND(MAX(AB169-AO169,0),2))</f>
        <v/>
      </c>
      <c r="AQ169">
        <f>IF(OR($A169="",AB169="",MEMORIA_RESULTADOS!$I$258=""),"",ROUND(AB169*$C169*(MEMORIA_RESULTADOS!$I$258-1),2))</f>
        <v/>
      </c>
      <c r="AR169">
        <f>IF(OR($A169="",AP169="",MEMORIA_RESULTADOS!$I$258=""),"",ROUND(AP169*$C169*(parametros!$F$2-MEMORIA_RESULTADOS!$I$258),2))</f>
        <v/>
      </c>
      <c r="AS169">
        <f>IF($A169="","",ROUND(SUMIFS(itens_Consumidos!$G$2:$G$200,itens_Consumidos!$A$2:$A$200,$A169),2))</f>
        <v/>
      </c>
      <c r="AT169">
        <f>IF(OR($A169="",M169=""),"",ROUND(MAX(M169-AS169,0),2))</f>
        <v/>
      </c>
      <c r="AU169">
        <f>IF(OR($A169="",M169="",MEMORIA_RESULTADOS!$I$259=""),"",ROUND(M169*$C169*(MEMORIA_RESULTADOS!$I$259-1),2))</f>
        <v/>
      </c>
      <c r="AV169">
        <f>IF(OR($A169="",AT169="",MEMORIA_RESULTADOS!$I$259=""),"",ROUND(AT169*$C169*(parametros!$F$3-MEMORIA_RESULTADOS!$I$259),2))</f>
        <v/>
      </c>
      <c r="AW169">
        <f>IF($A169="","",ROUND(SUMIFS(itens_Consumidos!$I$2:$I$200,itens_Consumidos!$A$2:$A$200,$A169),2))</f>
        <v/>
      </c>
      <c r="AX169">
        <f>IF(OR($A169="",O169=""),"",ROUND(MAX(O169-AW169,0),2))</f>
        <v/>
      </c>
      <c r="AY169">
        <f>IF(OR($A169="",O169="",MEMORIA_RESULTADOS!$I$260=""),"",ROUND(O169*$C169*(MEMORIA_RESULTADOS!$I$260-1),2))</f>
        <v/>
      </c>
      <c r="AZ169">
        <f>IF(OR($A169="",AX169="",MEMORIA_RESULTADOS!$I$260=""),"",ROUND(AX169*$C169*(parametros!$F$4-MEMORIA_RESULTADOS!$I$260),2))</f>
        <v/>
      </c>
      <c r="BA169">
        <f>IF($A169="","",ROUND(SUMIFS(itens_Consumidos!$K$2:$K$200,itens_Consumidos!$A$2:$A$200,$A169),2))</f>
        <v/>
      </c>
      <c r="BB169">
        <f>IF(OR($A169="",Q169=""),"",ROUND(MAX(Q169-BA169,0),2))</f>
        <v/>
      </c>
      <c r="BC169">
        <f>IF(OR($A169="",Q169="",MEMORIA_RESULTADOS!$I$261=""),"",ROUND(Q169*$C169*(MEMORIA_RESULTADOS!$I$261-1),2))</f>
        <v/>
      </c>
      <c r="BD169">
        <f>IF(OR($A169="",BB169="",MEMORIA_RESULTADOS!$I$261=""),"",ROUND(BB169*$C169*(parametros!$F$5-MEMORIA_RESULTADOS!$I$261),2))</f>
        <v/>
      </c>
      <c r="BE169">
        <f>IF($A169="","",ROUND(SUMIFS(itens_Consumidos!$M$2:$M$200,itens_Consumidos!$A$2:$A$200,$A169),2))</f>
        <v/>
      </c>
      <c r="BF169">
        <f>IF(OR($A169="",S169=""),"",ROUND(MAX(S169-BE169,0),2))</f>
        <v/>
      </c>
      <c r="BG169">
        <f>IF(OR($A169="",S169="",MEMORIA_RESULTADOS!$I$262=""),"",ROUND(S169*$C169*(MEMORIA_RESULTADOS!$I$262-1),2))</f>
        <v/>
      </c>
      <c r="BH169">
        <f>IF(OR($A169="",BF169="",MEMORIA_RESULTADOS!$I$262=""),"",ROUND(BF169*$C169*(parametros!$F$6-MEMORIA_RESULTADOS!$I$262),2))</f>
        <v/>
      </c>
    </row>
    <row r="170">
      <c r="A170" s="86" t="n"/>
      <c r="B170" s="87">
        <f>IF(AND(LEN(TRIM($A170))=4,LEFT(TRIM($A170),1)="N",ISNUMBER(--MID(TRIM($A170),2,3)),ISERROR(FIND(".",$A170)),ISERROR(FIND(",",$A170)),ISERROR(FIND("-",$A170)),ISERROR(FIND("+",$A170)),ISERROR(SEARCH("E",$A170,2)),ISERROR(FIND(" ",TRIM($A170)))),0,"")</f>
        <v/>
      </c>
      <c r="C170" s="339" t="n"/>
      <c r="D170" s="335">
        <f>IF(AND(A170="",A169&lt;&gt;"",COUNTIF(A171:$A$200,"&lt;&gt;")=0),ROUND(SUMIF($A$2:A169,"&lt;&gt;",$D$2:D169),2),IF(OR(A170="",B170="",C170=""),"",ROUND(B170*C170,2)))</f>
        <v/>
      </c>
      <c r="E170" s="89" t="n"/>
      <c r="F170" s="335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 t="n"/>
      <c r="H170" s="335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 t="n"/>
      <c r="J170" s="335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 t="n"/>
      <c r="L170" s="335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>
        <f>IF(OR(posicao_contratual!J170="",posicao_contratual!N170=""),"",ROUND(MAX(posicao_contratual!J170+posicao_contratual!H170-posicao_contratual!N170,0),2))</f>
        <v/>
      </c>
      <c r="N170" s="335">
        <f>IF(AND(A170="",A169&lt;&gt;"",COUNTIF(A171:$A$200,"&lt;&gt;")=0),ROUND(SUMIF($A$2:A169,"&lt;&gt;",$N$2:N169),2),IF(OR(M170="",C170="",NOT(ISNUMBER($Z$3))),"",ROUND(M170*C170*$Z$3,2)))</f>
        <v/>
      </c>
      <c r="O170" s="90">
        <f>IF(OR(posicao_contratual!N170="",posicao_contratual!R170=""),"",ROUND(MAX(posicao_contratual!N170+posicao_contratual!L170-posicao_contratual!R170,0),2))</f>
        <v/>
      </c>
      <c r="P170" s="335">
        <f>IF(AND(A170="",A169&lt;&gt;"",COUNTIF(A171:$A$200,"&lt;&gt;")=0),ROUND(SUMIF($A$2:A169,"&lt;&gt;",$P$2:P169),2),IF(OR(O170="",C170="",NOT(ISNUMBER($Z$4))),"",ROUND(O170*C170*$Z$4,2)))</f>
        <v/>
      </c>
      <c r="Q170" s="90">
        <f>IF(OR(posicao_contratual!R170="",posicao_contratual!V170=""),"",ROUND(MAX(posicao_contratual!R170+posicao_contratual!P170-posicao_contratual!V170,0),2))</f>
        <v/>
      </c>
      <c r="R170" s="335">
        <f>IF(AND(A170="",A169&lt;&gt;"",COUNTIF(A171:$A$200,"&lt;&gt;")=0),ROUND(SUMIF($A$2:A169,"&lt;&gt;",$R$2:R169),2),IF(OR(Q170="",C170="",NOT(ISNUMBER($Z$5))),"",ROUND(Q170*C170*$Z$5,2)))</f>
        <v/>
      </c>
      <c r="S170" s="43" t="n"/>
      <c r="T170" s="342" t="n"/>
      <c r="U170" s="91">
        <f>IF(AND(A170="",A169&lt;&gt;"",COUNTIF(A171:$A$200,"&lt;&gt;")=0),"TOTAL",IF(A170="","",posicao_contratual!X170))</f>
        <v/>
      </c>
      <c r="V170" s="91">
        <f>IF(A170="","",posicao_contratual!X170)</f>
        <v/>
      </c>
      <c r="W170" s="13" t="n"/>
      <c r="X170" s="13" t="n"/>
      <c r="Y170" s="13" t="n"/>
      <c r="Z170" s="13" t="n"/>
      <c r="AA170" s="13" t="n"/>
      <c r="AB170" s="90">
        <f>IF(OR(A170="",posicao_contratual!E170="",posicao_contratual!J170=""),"",ROUND(MAX(posicao_contratual!E170-posicao_contratual!J170,0),2))</f>
        <v/>
      </c>
      <c r="AC170" s="335">
        <f>IF(AND(A170="",A169&lt;&gt;"",COUNTIF(A171:$A$200,"&lt;&gt;")=0),ROUND(SUMIF($A$2:A169,"&lt;&gt;",$AC$2:AC169),2),IF(OR(AB170="",C170="",NOT(ISNUMBER($Z$2))),"",ROUND(AB170*C170*$Z$2,2)))</f>
        <v/>
      </c>
      <c r="AD170" s="155">
        <f>IF(A170="","",posicao_contratual!E170)</f>
        <v/>
      </c>
      <c r="AE170" s="155">
        <f>IF(A170="","",posicao_contratual!I170)</f>
        <v/>
      </c>
      <c r="AF170" s="155">
        <f>IF(A170="","",posicao_contratual!M170)</f>
        <v/>
      </c>
      <c r="AG170" s="155">
        <f>IF(A170="","",posicao_contratual!Q170)</f>
        <v/>
      </c>
      <c r="AH170" s="155">
        <f>IF(A170="","",posicao_contratual!U170)</f>
        <v/>
      </c>
      <c r="AI170" s="155">
        <f>IF(A170="","",posicao_contratual!G170)</f>
        <v/>
      </c>
      <c r="AJ170" s="155">
        <f>IF(A170="","",posicao_contratual!K170)</f>
        <v/>
      </c>
      <c r="AK170" s="155">
        <f>IF(A170="","",posicao_contratual!O170)</f>
        <v/>
      </c>
      <c r="AL170" s="155">
        <f>IF(A170="","",posicao_contratual!S170)</f>
        <v/>
      </c>
      <c r="AM170" s="155">
        <f>IF(A170="","",posicao_contratual!W170)</f>
        <v/>
      </c>
      <c r="AN170" s="156">
        <f>IF(A170="","",posicao_contratual!X170)</f>
        <v/>
      </c>
      <c r="AO170">
        <f>IF($A170="","",ROUND(SUMIFS(itens_Consumidos!$E$2:$E$200,itens_Consumidos!$A$2:$A$200,$A170),2))</f>
        <v/>
      </c>
      <c r="AP170">
        <f>IF(OR($A170="",AB170=""),"",ROUND(MAX(AB170-AO170,0),2))</f>
        <v/>
      </c>
      <c r="AQ170">
        <f>IF(OR($A170="",AB170="",MEMORIA_RESULTADOS!$I$258=""),"",ROUND(AB170*$C170*(MEMORIA_RESULTADOS!$I$258-1),2))</f>
        <v/>
      </c>
      <c r="AR170">
        <f>IF(OR($A170="",AP170="",MEMORIA_RESULTADOS!$I$258=""),"",ROUND(AP170*$C170*(parametros!$F$2-MEMORIA_RESULTADOS!$I$258),2))</f>
        <v/>
      </c>
      <c r="AS170">
        <f>IF($A170="","",ROUND(SUMIFS(itens_Consumidos!$G$2:$G$200,itens_Consumidos!$A$2:$A$200,$A170),2))</f>
        <v/>
      </c>
      <c r="AT170">
        <f>IF(OR($A170="",M170=""),"",ROUND(MAX(M170-AS170,0),2))</f>
        <v/>
      </c>
      <c r="AU170">
        <f>IF(OR($A170="",M170="",MEMORIA_RESULTADOS!$I$259=""),"",ROUND(M170*$C170*(MEMORIA_RESULTADOS!$I$259-1),2))</f>
        <v/>
      </c>
      <c r="AV170">
        <f>IF(OR($A170="",AT170="",MEMORIA_RESULTADOS!$I$259=""),"",ROUND(AT170*$C170*(parametros!$F$3-MEMORIA_RESULTADOS!$I$259),2))</f>
        <v/>
      </c>
      <c r="AW170">
        <f>IF($A170="","",ROUND(SUMIFS(itens_Consumidos!$I$2:$I$200,itens_Consumidos!$A$2:$A$200,$A170),2))</f>
        <v/>
      </c>
      <c r="AX170">
        <f>IF(OR($A170="",O170=""),"",ROUND(MAX(O170-AW170,0),2))</f>
        <v/>
      </c>
      <c r="AY170">
        <f>IF(OR($A170="",O170="",MEMORIA_RESULTADOS!$I$260=""),"",ROUND(O170*$C170*(MEMORIA_RESULTADOS!$I$260-1),2))</f>
        <v/>
      </c>
      <c r="AZ170">
        <f>IF(OR($A170="",AX170="",MEMORIA_RESULTADOS!$I$260=""),"",ROUND(AX170*$C170*(parametros!$F$4-MEMORIA_RESULTADOS!$I$260),2))</f>
        <v/>
      </c>
      <c r="BA170">
        <f>IF($A170="","",ROUND(SUMIFS(itens_Consumidos!$K$2:$K$200,itens_Consumidos!$A$2:$A$200,$A170),2))</f>
        <v/>
      </c>
      <c r="BB170">
        <f>IF(OR($A170="",Q170=""),"",ROUND(MAX(Q170-BA170,0),2))</f>
        <v/>
      </c>
      <c r="BC170">
        <f>IF(OR($A170="",Q170="",MEMORIA_RESULTADOS!$I$261=""),"",ROUND(Q170*$C170*(MEMORIA_RESULTADOS!$I$261-1),2))</f>
        <v/>
      </c>
      <c r="BD170">
        <f>IF(OR($A170="",BB170="",MEMORIA_RESULTADOS!$I$261=""),"",ROUND(BB170*$C170*(parametros!$F$5-MEMORIA_RESULTADOS!$I$261),2))</f>
        <v/>
      </c>
      <c r="BE170">
        <f>IF($A170="","",ROUND(SUMIFS(itens_Consumidos!$M$2:$M$200,itens_Consumidos!$A$2:$A$200,$A170),2))</f>
        <v/>
      </c>
      <c r="BF170">
        <f>IF(OR($A170="",S170=""),"",ROUND(MAX(S170-BE170,0),2))</f>
        <v/>
      </c>
      <c r="BG170">
        <f>IF(OR($A170="",S170="",MEMORIA_RESULTADOS!$I$262=""),"",ROUND(S170*$C170*(MEMORIA_RESULTADOS!$I$262-1),2))</f>
        <v/>
      </c>
      <c r="BH170">
        <f>IF(OR($A170="",BF170="",MEMORIA_RESULTADOS!$I$262=""),"",ROUND(BF170*$C170*(parametros!$F$6-MEMORIA_RESULTADOS!$I$262),2))</f>
        <v/>
      </c>
    </row>
    <row r="171">
      <c r="A171" s="86" t="n"/>
      <c r="B171" s="87">
        <f>IF(AND(LEN(TRIM($A171))=4,LEFT(TRIM($A171),1)="N",ISNUMBER(--MID(TRIM($A171),2,3)),ISERROR(FIND(".",$A171)),ISERROR(FIND(",",$A171)),ISERROR(FIND("-",$A171)),ISERROR(FIND("+",$A171)),ISERROR(SEARCH("E",$A171,2)),ISERROR(FIND(" ",TRIM($A171)))),0,"")</f>
        <v/>
      </c>
      <c r="C171" s="339" t="n"/>
      <c r="D171" s="335">
        <f>IF(AND(A171="",A170&lt;&gt;"",COUNTIF(A172:$A$200,"&lt;&gt;")=0),ROUND(SUMIF($A$2:A170,"&lt;&gt;",$D$2:D170),2),IF(OR(A171="",B171="",C171=""),"",ROUND(B171*C171,2)))</f>
        <v/>
      </c>
      <c r="E171" s="89" t="n"/>
      <c r="F171" s="335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 t="n"/>
      <c r="H171" s="335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 t="n"/>
      <c r="J171" s="335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 t="n"/>
      <c r="L171" s="335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>
        <f>IF(OR(posicao_contratual!J171="",posicao_contratual!N171=""),"",ROUND(MAX(posicao_contratual!J171+posicao_contratual!H171-posicao_contratual!N171,0),2))</f>
        <v/>
      </c>
      <c r="N171" s="335">
        <f>IF(AND(A171="",A170&lt;&gt;"",COUNTIF(A172:$A$200,"&lt;&gt;")=0),ROUND(SUMIF($A$2:A170,"&lt;&gt;",$N$2:N170),2),IF(OR(M171="",C171="",NOT(ISNUMBER($Z$3))),"",ROUND(M171*C171*$Z$3,2)))</f>
        <v/>
      </c>
      <c r="O171" s="90">
        <f>IF(OR(posicao_contratual!N171="",posicao_contratual!R171=""),"",ROUND(MAX(posicao_contratual!N171+posicao_contratual!L171-posicao_contratual!R171,0),2))</f>
        <v/>
      </c>
      <c r="P171" s="335">
        <f>IF(AND(A171="",A170&lt;&gt;"",COUNTIF(A172:$A$200,"&lt;&gt;")=0),ROUND(SUMIF($A$2:A170,"&lt;&gt;",$P$2:P170),2),IF(OR(O171="",C171="",NOT(ISNUMBER($Z$4))),"",ROUND(O171*C171*$Z$4,2)))</f>
        <v/>
      </c>
      <c r="Q171" s="90">
        <f>IF(OR(posicao_contratual!R171="",posicao_contratual!V171=""),"",ROUND(MAX(posicao_contratual!R171+posicao_contratual!P171-posicao_contratual!V171,0),2))</f>
        <v/>
      </c>
      <c r="R171" s="335">
        <f>IF(AND(A171="",A170&lt;&gt;"",COUNTIF(A172:$A$200,"&lt;&gt;")=0),ROUND(SUMIF($A$2:A170,"&lt;&gt;",$R$2:R170),2),IF(OR(Q171="",C171="",NOT(ISNUMBER($Z$5))),"",ROUND(Q171*C171*$Z$5,2)))</f>
        <v/>
      </c>
      <c r="S171" s="43" t="n"/>
      <c r="T171" s="342" t="n"/>
      <c r="U171" s="91">
        <f>IF(AND(A171="",A170&lt;&gt;"",COUNTIF(A172:$A$200,"&lt;&gt;")=0),"TOTAL",IF(A171="","",posicao_contratual!X171))</f>
        <v/>
      </c>
      <c r="V171" s="91">
        <f>IF(A171="","",posicao_contratual!X171)</f>
        <v/>
      </c>
      <c r="W171" s="13" t="n"/>
      <c r="X171" s="13" t="n"/>
      <c r="Y171" s="13" t="n"/>
      <c r="Z171" s="13" t="n"/>
      <c r="AA171" s="13" t="n"/>
      <c r="AB171" s="90">
        <f>IF(OR(A171="",posicao_contratual!E171="",posicao_contratual!J171=""),"",ROUND(MAX(posicao_contratual!E171-posicao_contratual!J171,0),2))</f>
        <v/>
      </c>
      <c r="AC171" s="335">
        <f>IF(AND(A171="",A170&lt;&gt;"",COUNTIF(A172:$A$200,"&lt;&gt;")=0),ROUND(SUMIF($A$2:A170,"&lt;&gt;",$AC$2:AC170),2),IF(OR(AB171="",C171="",NOT(ISNUMBER($Z$2))),"",ROUND(AB171*C171*$Z$2,2)))</f>
        <v/>
      </c>
      <c r="AD171" s="155">
        <f>IF(A171="","",posicao_contratual!E171)</f>
        <v/>
      </c>
      <c r="AE171" s="155">
        <f>IF(A171="","",posicao_contratual!I171)</f>
        <v/>
      </c>
      <c r="AF171" s="155">
        <f>IF(A171="","",posicao_contratual!M171)</f>
        <v/>
      </c>
      <c r="AG171" s="155">
        <f>IF(A171="","",posicao_contratual!Q171)</f>
        <v/>
      </c>
      <c r="AH171" s="155">
        <f>IF(A171="","",posicao_contratual!U171)</f>
        <v/>
      </c>
      <c r="AI171" s="155">
        <f>IF(A171="","",posicao_contratual!G171)</f>
        <v/>
      </c>
      <c r="AJ171" s="155">
        <f>IF(A171="","",posicao_contratual!K171)</f>
        <v/>
      </c>
      <c r="AK171" s="155">
        <f>IF(A171="","",posicao_contratual!O171)</f>
        <v/>
      </c>
      <c r="AL171" s="155">
        <f>IF(A171="","",posicao_contratual!S171)</f>
        <v/>
      </c>
      <c r="AM171" s="155">
        <f>IF(A171="","",posicao_contratual!W171)</f>
        <v/>
      </c>
      <c r="AN171" s="156">
        <f>IF(A171="","",posicao_contratual!X171)</f>
        <v/>
      </c>
      <c r="AO171">
        <f>IF($A171="","",ROUND(SUMIFS(itens_Consumidos!$E$2:$E$200,itens_Consumidos!$A$2:$A$200,$A171),2))</f>
        <v/>
      </c>
      <c r="AP171">
        <f>IF(OR($A171="",AB171=""),"",ROUND(MAX(AB171-AO171,0),2))</f>
        <v/>
      </c>
      <c r="AQ171">
        <f>IF(OR($A171="",AB171="",MEMORIA_RESULTADOS!$I$258=""),"",ROUND(AB171*$C171*(MEMORIA_RESULTADOS!$I$258-1),2))</f>
        <v/>
      </c>
      <c r="AR171">
        <f>IF(OR($A171="",AP171="",MEMORIA_RESULTADOS!$I$258=""),"",ROUND(AP171*$C171*(parametros!$F$2-MEMORIA_RESULTADOS!$I$258),2))</f>
        <v/>
      </c>
      <c r="AS171">
        <f>IF($A171="","",ROUND(SUMIFS(itens_Consumidos!$G$2:$G$200,itens_Consumidos!$A$2:$A$200,$A171),2))</f>
        <v/>
      </c>
      <c r="AT171">
        <f>IF(OR($A171="",M171=""),"",ROUND(MAX(M171-AS171,0),2))</f>
        <v/>
      </c>
      <c r="AU171">
        <f>IF(OR($A171="",M171="",MEMORIA_RESULTADOS!$I$259=""),"",ROUND(M171*$C171*(MEMORIA_RESULTADOS!$I$259-1),2))</f>
        <v/>
      </c>
      <c r="AV171">
        <f>IF(OR($A171="",AT171="",MEMORIA_RESULTADOS!$I$259=""),"",ROUND(AT171*$C171*(parametros!$F$3-MEMORIA_RESULTADOS!$I$259),2))</f>
        <v/>
      </c>
      <c r="AW171">
        <f>IF($A171="","",ROUND(SUMIFS(itens_Consumidos!$I$2:$I$200,itens_Consumidos!$A$2:$A$200,$A171),2))</f>
        <v/>
      </c>
      <c r="AX171">
        <f>IF(OR($A171="",O171=""),"",ROUND(MAX(O171-AW171,0),2))</f>
        <v/>
      </c>
      <c r="AY171">
        <f>IF(OR($A171="",O171="",MEMORIA_RESULTADOS!$I$260=""),"",ROUND(O171*$C171*(MEMORIA_RESULTADOS!$I$260-1),2))</f>
        <v/>
      </c>
      <c r="AZ171">
        <f>IF(OR($A171="",AX171="",MEMORIA_RESULTADOS!$I$260=""),"",ROUND(AX171*$C171*(parametros!$F$4-MEMORIA_RESULTADOS!$I$260),2))</f>
        <v/>
      </c>
      <c r="BA171">
        <f>IF($A171="","",ROUND(SUMIFS(itens_Consumidos!$K$2:$K$200,itens_Consumidos!$A$2:$A$200,$A171),2))</f>
        <v/>
      </c>
      <c r="BB171">
        <f>IF(OR($A171="",Q171=""),"",ROUND(MAX(Q171-BA171,0),2))</f>
        <v/>
      </c>
      <c r="BC171">
        <f>IF(OR($A171="",Q171="",MEMORIA_RESULTADOS!$I$261=""),"",ROUND(Q171*$C171*(MEMORIA_RESULTADOS!$I$261-1),2))</f>
        <v/>
      </c>
      <c r="BD171">
        <f>IF(OR($A171="",BB171="",MEMORIA_RESULTADOS!$I$261=""),"",ROUND(BB171*$C171*(parametros!$F$5-MEMORIA_RESULTADOS!$I$261),2))</f>
        <v/>
      </c>
      <c r="BE171">
        <f>IF($A171="","",ROUND(SUMIFS(itens_Consumidos!$M$2:$M$200,itens_Consumidos!$A$2:$A$200,$A171),2))</f>
        <v/>
      </c>
      <c r="BF171">
        <f>IF(OR($A171="",S171=""),"",ROUND(MAX(S171-BE171,0),2))</f>
        <v/>
      </c>
      <c r="BG171">
        <f>IF(OR($A171="",S171="",MEMORIA_RESULTADOS!$I$262=""),"",ROUND(S171*$C171*(MEMORIA_RESULTADOS!$I$262-1),2))</f>
        <v/>
      </c>
      <c r="BH171">
        <f>IF(OR($A171="",BF171="",MEMORIA_RESULTADOS!$I$262=""),"",ROUND(BF171*$C171*(parametros!$F$6-MEMORIA_RESULTADOS!$I$262),2))</f>
        <v/>
      </c>
    </row>
    <row r="172">
      <c r="A172" s="86" t="n"/>
      <c r="B172" s="87">
        <f>IF(AND(LEN(TRIM($A172))=4,LEFT(TRIM($A172),1)="N",ISNUMBER(--MID(TRIM($A172),2,3)),ISERROR(FIND(".",$A172)),ISERROR(FIND(",",$A172)),ISERROR(FIND("-",$A172)),ISERROR(FIND("+",$A172)),ISERROR(SEARCH("E",$A172,2)),ISERROR(FIND(" ",TRIM($A172)))),0,"")</f>
        <v/>
      </c>
      <c r="C172" s="339" t="n"/>
      <c r="D172" s="335">
        <f>IF(AND(A172="",A171&lt;&gt;"",COUNTIF(A173:$A$200,"&lt;&gt;")=0),ROUND(SUMIF($A$2:A171,"&lt;&gt;",$D$2:D171),2),IF(OR(A172="",B172="",C172=""),"",ROUND(B172*C172,2)))</f>
        <v/>
      </c>
      <c r="E172" s="89" t="n"/>
      <c r="F172" s="335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 t="n"/>
      <c r="H172" s="335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 t="n"/>
      <c r="J172" s="335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 t="n"/>
      <c r="L172" s="335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>
        <f>IF(OR(posicao_contratual!J172="",posicao_contratual!N172=""),"",ROUND(MAX(posicao_contratual!J172+posicao_contratual!H172-posicao_contratual!N172,0),2))</f>
        <v/>
      </c>
      <c r="N172" s="335">
        <f>IF(AND(A172="",A171&lt;&gt;"",COUNTIF(A173:$A$200,"&lt;&gt;")=0),ROUND(SUMIF($A$2:A171,"&lt;&gt;",$N$2:N171),2),IF(OR(M172="",C172="",NOT(ISNUMBER($Z$3))),"",ROUND(M172*C172*$Z$3,2)))</f>
        <v/>
      </c>
      <c r="O172" s="90">
        <f>IF(OR(posicao_contratual!N172="",posicao_contratual!R172=""),"",ROUND(MAX(posicao_contratual!N172+posicao_contratual!L172-posicao_contratual!R172,0),2))</f>
        <v/>
      </c>
      <c r="P172" s="335">
        <f>IF(AND(A172="",A171&lt;&gt;"",COUNTIF(A173:$A$200,"&lt;&gt;")=0),ROUND(SUMIF($A$2:A171,"&lt;&gt;",$P$2:P171),2),IF(OR(O172="",C172="",NOT(ISNUMBER($Z$4))),"",ROUND(O172*C172*$Z$4,2)))</f>
        <v/>
      </c>
      <c r="Q172" s="90">
        <f>IF(OR(posicao_contratual!R172="",posicao_contratual!V172=""),"",ROUND(MAX(posicao_contratual!R172+posicao_contratual!P172-posicao_contratual!V172,0),2))</f>
        <v/>
      </c>
      <c r="R172" s="335">
        <f>IF(AND(A172="",A171&lt;&gt;"",COUNTIF(A173:$A$200,"&lt;&gt;")=0),ROUND(SUMIF($A$2:A171,"&lt;&gt;",$R$2:R171),2),IF(OR(Q172="",C172="",NOT(ISNUMBER($Z$5))),"",ROUND(Q172*C172*$Z$5,2)))</f>
        <v/>
      </c>
      <c r="S172" s="43" t="n"/>
      <c r="T172" s="342" t="n"/>
      <c r="U172" s="91">
        <f>IF(AND(A172="",A171&lt;&gt;"",COUNTIF(A173:$A$200,"&lt;&gt;")=0),"TOTAL",IF(A172="","",posicao_contratual!X172))</f>
        <v/>
      </c>
      <c r="V172" s="91">
        <f>IF(A172="","",posicao_contratual!X172)</f>
        <v/>
      </c>
      <c r="W172" s="13" t="n"/>
      <c r="X172" s="13" t="n"/>
      <c r="Y172" s="13" t="n"/>
      <c r="Z172" s="13" t="n"/>
      <c r="AA172" s="13" t="n"/>
      <c r="AB172" s="90">
        <f>IF(OR(A172="",posicao_contratual!E172="",posicao_contratual!J172=""),"",ROUND(MAX(posicao_contratual!E172-posicao_contratual!J172,0),2))</f>
        <v/>
      </c>
      <c r="AC172" s="335">
        <f>IF(AND(A172="",A171&lt;&gt;"",COUNTIF(A173:$A$200,"&lt;&gt;")=0),ROUND(SUMIF($A$2:A171,"&lt;&gt;",$AC$2:AC171),2),IF(OR(AB172="",C172="",NOT(ISNUMBER($Z$2))),"",ROUND(AB172*C172*$Z$2,2)))</f>
        <v/>
      </c>
      <c r="AD172" s="155">
        <f>IF(A172="","",posicao_contratual!E172)</f>
        <v/>
      </c>
      <c r="AE172" s="155">
        <f>IF(A172="","",posicao_contratual!I172)</f>
        <v/>
      </c>
      <c r="AF172" s="155">
        <f>IF(A172="","",posicao_contratual!M172)</f>
        <v/>
      </c>
      <c r="AG172" s="155">
        <f>IF(A172="","",posicao_contratual!Q172)</f>
        <v/>
      </c>
      <c r="AH172" s="155">
        <f>IF(A172="","",posicao_contratual!U172)</f>
        <v/>
      </c>
      <c r="AI172" s="155">
        <f>IF(A172="","",posicao_contratual!G172)</f>
        <v/>
      </c>
      <c r="AJ172" s="155">
        <f>IF(A172="","",posicao_contratual!K172)</f>
        <v/>
      </c>
      <c r="AK172" s="155">
        <f>IF(A172="","",posicao_contratual!O172)</f>
        <v/>
      </c>
      <c r="AL172" s="155">
        <f>IF(A172="","",posicao_contratual!S172)</f>
        <v/>
      </c>
      <c r="AM172" s="155">
        <f>IF(A172="","",posicao_contratual!W172)</f>
        <v/>
      </c>
      <c r="AN172" s="156">
        <f>IF(A172="","",posicao_contratual!X172)</f>
        <v/>
      </c>
      <c r="AO172">
        <f>IF($A172="","",ROUND(SUMIFS(itens_Consumidos!$E$2:$E$200,itens_Consumidos!$A$2:$A$200,$A172),2))</f>
        <v/>
      </c>
      <c r="AP172">
        <f>IF(OR($A172="",AB172=""),"",ROUND(MAX(AB172-AO172,0),2))</f>
        <v/>
      </c>
      <c r="AQ172">
        <f>IF(OR($A172="",AB172="",MEMORIA_RESULTADOS!$I$258=""),"",ROUND(AB172*$C172*(MEMORIA_RESULTADOS!$I$258-1),2))</f>
        <v/>
      </c>
      <c r="AR172">
        <f>IF(OR($A172="",AP172="",MEMORIA_RESULTADOS!$I$258=""),"",ROUND(AP172*$C172*(parametros!$F$2-MEMORIA_RESULTADOS!$I$258),2))</f>
        <v/>
      </c>
      <c r="AS172">
        <f>IF($A172="","",ROUND(SUMIFS(itens_Consumidos!$G$2:$G$200,itens_Consumidos!$A$2:$A$200,$A172),2))</f>
        <v/>
      </c>
      <c r="AT172">
        <f>IF(OR($A172="",M172=""),"",ROUND(MAX(M172-AS172,0),2))</f>
        <v/>
      </c>
      <c r="AU172">
        <f>IF(OR($A172="",M172="",MEMORIA_RESULTADOS!$I$259=""),"",ROUND(M172*$C172*(MEMORIA_RESULTADOS!$I$259-1),2))</f>
        <v/>
      </c>
      <c r="AV172">
        <f>IF(OR($A172="",AT172="",MEMORIA_RESULTADOS!$I$259=""),"",ROUND(AT172*$C172*(parametros!$F$3-MEMORIA_RESULTADOS!$I$259),2))</f>
        <v/>
      </c>
      <c r="AW172">
        <f>IF($A172="","",ROUND(SUMIFS(itens_Consumidos!$I$2:$I$200,itens_Consumidos!$A$2:$A$200,$A172),2))</f>
        <v/>
      </c>
      <c r="AX172">
        <f>IF(OR($A172="",O172=""),"",ROUND(MAX(O172-AW172,0),2))</f>
        <v/>
      </c>
      <c r="AY172">
        <f>IF(OR($A172="",O172="",MEMORIA_RESULTADOS!$I$260=""),"",ROUND(O172*$C172*(MEMORIA_RESULTADOS!$I$260-1),2))</f>
        <v/>
      </c>
      <c r="AZ172">
        <f>IF(OR($A172="",AX172="",MEMORIA_RESULTADOS!$I$260=""),"",ROUND(AX172*$C172*(parametros!$F$4-MEMORIA_RESULTADOS!$I$260),2))</f>
        <v/>
      </c>
      <c r="BA172">
        <f>IF($A172="","",ROUND(SUMIFS(itens_Consumidos!$K$2:$K$200,itens_Consumidos!$A$2:$A$200,$A172),2))</f>
        <v/>
      </c>
      <c r="BB172">
        <f>IF(OR($A172="",Q172=""),"",ROUND(MAX(Q172-BA172,0),2))</f>
        <v/>
      </c>
      <c r="BC172">
        <f>IF(OR($A172="",Q172="",MEMORIA_RESULTADOS!$I$261=""),"",ROUND(Q172*$C172*(MEMORIA_RESULTADOS!$I$261-1),2))</f>
        <v/>
      </c>
      <c r="BD172">
        <f>IF(OR($A172="",BB172="",MEMORIA_RESULTADOS!$I$261=""),"",ROUND(BB172*$C172*(parametros!$F$5-MEMORIA_RESULTADOS!$I$261),2))</f>
        <v/>
      </c>
      <c r="BE172">
        <f>IF($A172="","",ROUND(SUMIFS(itens_Consumidos!$M$2:$M$200,itens_Consumidos!$A$2:$A$200,$A172),2))</f>
        <v/>
      </c>
      <c r="BF172">
        <f>IF(OR($A172="",S172=""),"",ROUND(MAX(S172-BE172,0),2))</f>
        <v/>
      </c>
      <c r="BG172">
        <f>IF(OR($A172="",S172="",MEMORIA_RESULTADOS!$I$262=""),"",ROUND(S172*$C172*(MEMORIA_RESULTADOS!$I$262-1),2))</f>
        <v/>
      </c>
      <c r="BH172">
        <f>IF(OR($A172="",BF172="",MEMORIA_RESULTADOS!$I$262=""),"",ROUND(BF172*$C172*(parametros!$F$6-MEMORIA_RESULTADOS!$I$262),2))</f>
        <v/>
      </c>
    </row>
    <row r="173">
      <c r="A173" s="86" t="n"/>
      <c r="B173" s="87">
        <f>IF(AND(LEN(TRIM($A173))=4,LEFT(TRIM($A173),1)="N",ISNUMBER(--MID(TRIM($A173),2,3)),ISERROR(FIND(".",$A173)),ISERROR(FIND(",",$A173)),ISERROR(FIND("-",$A173)),ISERROR(FIND("+",$A173)),ISERROR(SEARCH("E",$A173,2)),ISERROR(FIND(" ",TRIM($A173)))),0,"")</f>
        <v/>
      </c>
      <c r="C173" s="339" t="n"/>
      <c r="D173" s="335">
        <f>IF(AND(A173="",A172&lt;&gt;"",COUNTIF(A174:$A$200,"&lt;&gt;")=0),ROUND(SUMIF($A$2:A172,"&lt;&gt;",$D$2:D172),2),IF(OR(A173="",B173="",C173=""),"",ROUND(B173*C173,2)))</f>
        <v/>
      </c>
      <c r="E173" s="89" t="n"/>
      <c r="F173" s="335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 t="n"/>
      <c r="H173" s="335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 t="n"/>
      <c r="J173" s="335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 t="n"/>
      <c r="L173" s="335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>
        <f>IF(OR(posicao_contratual!J173="",posicao_contratual!N173=""),"",ROUND(MAX(posicao_contratual!J173+posicao_contratual!H173-posicao_contratual!N173,0),2))</f>
        <v/>
      </c>
      <c r="N173" s="335">
        <f>IF(AND(A173="",A172&lt;&gt;"",COUNTIF(A174:$A$200,"&lt;&gt;")=0),ROUND(SUMIF($A$2:A172,"&lt;&gt;",$N$2:N172),2),IF(OR(M173="",C173="",NOT(ISNUMBER($Z$3))),"",ROUND(M173*C173*$Z$3,2)))</f>
        <v/>
      </c>
      <c r="O173" s="90">
        <f>IF(OR(posicao_contratual!N173="",posicao_contratual!R173=""),"",ROUND(MAX(posicao_contratual!N173+posicao_contratual!L173-posicao_contratual!R173,0),2))</f>
        <v/>
      </c>
      <c r="P173" s="335">
        <f>IF(AND(A173="",A172&lt;&gt;"",COUNTIF(A174:$A$200,"&lt;&gt;")=0),ROUND(SUMIF($A$2:A172,"&lt;&gt;",$P$2:P172),2),IF(OR(O173="",C173="",NOT(ISNUMBER($Z$4))),"",ROUND(O173*C173*$Z$4,2)))</f>
        <v/>
      </c>
      <c r="Q173" s="90">
        <f>IF(OR(posicao_contratual!R173="",posicao_contratual!V173=""),"",ROUND(MAX(posicao_contratual!R173+posicao_contratual!P173-posicao_contratual!V173,0),2))</f>
        <v/>
      </c>
      <c r="R173" s="335">
        <f>IF(AND(A173="",A172&lt;&gt;"",COUNTIF(A174:$A$200,"&lt;&gt;")=0),ROUND(SUMIF($A$2:A172,"&lt;&gt;",$R$2:R172),2),IF(OR(Q173="",C173="",NOT(ISNUMBER($Z$5))),"",ROUND(Q173*C173*$Z$5,2)))</f>
        <v/>
      </c>
      <c r="S173" s="43" t="n"/>
      <c r="T173" s="342" t="n"/>
      <c r="U173" s="91">
        <f>IF(AND(A173="",A172&lt;&gt;"",COUNTIF(A174:$A$200,"&lt;&gt;")=0),"TOTAL",IF(A173="","",posicao_contratual!X173))</f>
        <v/>
      </c>
      <c r="V173" s="91">
        <f>IF(A173="","",posicao_contratual!X173)</f>
        <v/>
      </c>
      <c r="W173" s="13" t="n"/>
      <c r="X173" s="13" t="n"/>
      <c r="Y173" s="13" t="n"/>
      <c r="Z173" s="13" t="n"/>
      <c r="AA173" s="13" t="n"/>
      <c r="AB173" s="90">
        <f>IF(OR(A173="",posicao_contratual!E173="",posicao_contratual!J173=""),"",ROUND(MAX(posicao_contratual!E173-posicao_contratual!J173,0),2))</f>
        <v/>
      </c>
      <c r="AC173" s="335">
        <f>IF(AND(A173="",A172&lt;&gt;"",COUNTIF(A174:$A$200,"&lt;&gt;")=0),ROUND(SUMIF($A$2:A172,"&lt;&gt;",$AC$2:AC172),2),IF(OR(AB173="",C173="",NOT(ISNUMBER($Z$2))),"",ROUND(AB173*C173*$Z$2,2)))</f>
        <v/>
      </c>
      <c r="AD173" s="155">
        <f>IF(A173="","",posicao_contratual!E173)</f>
        <v/>
      </c>
      <c r="AE173" s="155">
        <f>IF(A173="","",posicao_contratual!I173)</f>
        <v/>
      </c>
      <c r="AF173" s="155">
        <f>IF(A173="","",posicao_contratual!M173)</f>
        <v/>
      </c>
      <c r="AG173" s="155">
        <f>IF(A173="","",posicao_contratual!Q173)</f>
        <v/>
      </c>
      <c r="AH173" s="155">
        <f>IF(A173="","",posicao_contratual!U173)</f>
        <v/>
      </c>
      <c r="AI173" s="155">
        <f>IF(A173="","",posicao_contratual!G173)</f>
        <v/>
      </c>
      <c r="AJ173" s="155">
        <f>IF(A173="","",posicao_contratual!K173)</f>
        <v/>
      </c>
      <c r="AK173" s="155">
        <f>IF(A173="","",posicao_contratual!O173)</f>
        <v/>
      </c>
      <c r="AL173" s="155">
        <f>IF(A173="","",posicao_contratual!S173)</f>
        <v/>
      </c>
      <c r="AM173" s="155">
        <f>IF(A173="","",posicao_contratual!W173)</f>
        <v/>
      </c>
      <c r="AN173" s="156">
        <f>IF(A173="","",posicao_contratual!X173)</f>
        <v/>
      </c>
      <c r="AO173">
        <f>IF($A173="","",ROUND(SUMIFS(itens_Consumidos!$E$2:$E$200,itens_Consumidos!$A$2:$A$200,$A173),2))</f>
        <v/>
      </c>
      <c r="AP173">
        <f>IF(OR($A173="",AB173=""),"",ROUND(MAX(AB173-AO173,0),2))</f>
        <v/>
      </c>
      <c r="AQ173">
        <f>IF(OR($A173="",AB173="",MEMORIA_RESULTADOS!$I$258=""),"",ROUND(AB173*$C173*(MEMORIA_RESULTADOS!$I$258-1),2))</f>
        <v/>
      </c>
      <c r="AR173">
        <f>IF(OR($A173="",AP173="",MEMORIA_RESULTADOS!$I$258=""),"",ROUND(AP173*$C173*(parametros!$F$2-MEMORIA_RESULTADOS!$I$258),2))</f>
        <v/>
      </c>
      <c r="AS173">
        <f>IF($A173="","",ROUND(SUMIFS(itens_Consumidos!$G$2:$G$200,itens_Consumidos!$A$2:$A$200,$A173),2))</f>
        <v/>
      </c>
      <c r="AT173">
        <f>IF(OR($A173="",M173=""),"",ROUND(MAX(M173-AS173,0),2))</f>
        <v/>
      </c>
      <c r="AU173">
        <f>IF(OR($A173="",M173="",MEMORIA_RESULTADOS!$I$259=""),"",ROUND(M173*$C173*(MEMORIA_RESULTADOS!$I$259-1),2))</f>
        <v/>
      </c>
      <c r="AV173">
        <f>IF(OR($A173="",AT173="",MEMORIA_RESULTADOS!$I$259=""),"",ROUND(AT173*$C173*(parametros!$F$3-MEMORIA_RESULTADOS!$I$259),2))</f>
        <v/>
      </c>
      <c r="AW173">
        <f>IF($A173="","",ROUND(SUMIFS(itens_Consumidos!$I$2:$I$200,itens_Consumidos!$A$2:$A$200,$A173),2))</f>
        <v/>
      </c>
      <c r="AX173">
        <f>IF(OR($A173="",O173=""),"",ROUND(MAX(O173-AW173,0),2))</f>
        <v/>
      </c>
      <c r="AY173">
        <f>IF(OR($A173="",O173="",MEMORIA_RESULTADOS!$I$260=""),"",ROUND(O173*$C173*(MEMORIA_RESULTADOS!$I$260-1),2))</f>
        <v/>
      </c>
      <c r="AZ173">
        <f>IF(OR($A173="",AX173="",MEMORIA_RESULTADOS!$I$260=""),"",ROUND(AX173*$C173*(parametros!$F$4-MEMORIA_RESULTADOS!$I$260),2))</f>
        <v/>
      </c>
      <c r="BA173">
        <f>IF($A173="","",ROUND(SUMIFS(itens_Consumidos!$K$2:$K$200,itens_Consumidos!$A$2:$A$200,$A173),2))</f>
        <v/>
      </c>
      <c r="BB173">
        <f>IF(OR($A173="",Q173=""),"",ROUND(MAX(Q173-BA173,0),2))</f>
        <v/>
      </c>
      <c r="BC173">
        <f>IF(OR($A173="",Q173="",MEMORIA_RESULTADOS!$I$261=""),"",ROUND(Q173*$C173*(MEMORIA_RESULTADOS!$I$261-1),2))</f>
        <v/>
      </c>
      <c r="BD173">
        <f>IF(OR($A173="",BB173="",MEMORIA_RESULTADOS!$I$261=""),"",ROUND(BB173*$C173*(parametros!$F$5-MEMORIA_RESULTADOS!$I$261),2))</f>
        <v/>
      </c>
      <c r="BE173">
        <f>IF($A173="","",ROUND(SUMIFS(itens_Consumidos!$M$2:$M$200,itens_Consumidos!$A$2:$A$200,$A173),2))</f>
        <v/>
      </c>
      <c r="BF173">
        <f>IF(OR($A173="",S173=""),"",ROUND(MAX(S173-BE173,0),2))</f>
        <v/>
      </c>
      <c r="BG173">
        <f>IF(OR($A173="",S173="",MEMORIA_RESULTADOS!$I$262=""),"",ROUND(S173*$C173*(MEMORIA_RESULTADOS!$I$262-1),2))</f>
        <v/>
      </c>
      <c r="BH173">
        <f>IF(OR($A173="",BF173="",MEMORIA_RESULTADOS!$I$262=""),"",ROUND(BF173*$C173*(parametros!$F$6-MEMORIA_RESULTADOS!$I$262),2))</f>
        <v/>
      </c>
    </row>
    <row r="174">
      <c r="A174" s="86" t="n"/>
      <c r="B174" s="87">
        <f>IF(AND(LEN(TRIM($A174))=4,LEFT(TRIM($A174),1)="N",ISNUMBER(--MID(TRIM($A174),2,3)),ISERROR(FIND(".",$A174)),ISERROR(FIND(",",$A174)),ISERROR(FIND("-",$A174)),ISERROR(FIND("+",$A174)),ISERROR(SEARCH("E",$A174,2)),ISERROR(FIND(" ",TRIM($A174)))),0,"")</f>
        <v/>
      </c>
      <c r="C174" s="339" t="n"/>
      <c r="D174" s="335">
        <f>IF(AND(A174="",A173&lt;&gt;"",COUNTIF(A175:$A$200,"&lt;&gt;")=0),ROUND(SUMIF($A$2:A173,"&lt;&gt;",$D$2:D173),2),IF(OR(A174="",B174="",C174=""),"",ROUND(B174*C174,2)))</f>
        <v/>
      </c>
      <c r="E174" s="89" t="n"/>
      <c r="F174" s="335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 t="n"/>
      <c r="H174" s="335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 t="n"/>
      <c r="J174" s="335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 t="n"/>
      <c r="L174" s="335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>
        <f>IF(OR(posicao_contratual!J174="",posicao_contratual!N174=""),"",ROUND(MAX(posicao_contratual!J174+posicao_contratual!H174-posicao_contratual!N174,0),2))</f>
        <v/>
      </c>
      <c r="N174" s="335">
        <f>IF(AND(A174="",A173&lt;&gt;"",COUNTIF(A175:$A$200,"&lt;&gt;")=0),ROUND(SUMIF($A$2:A173,"&lt;&gt;",$N$2:N173),2),IF(OR(M174="",C174="",NOT(ISNUMBER($Z$3))),"",ROUND(M174*C174*$Z$3,2)))</f>
        <v/>
      </c>
      <c r="O174" s="90">
        <f>IF(OR(posicao_contratual!N174="",posicao_contratual!R174=""),"",ROUND(MAX(posicao_contratual!N174+posicao_contratual!L174-posicao_contratual!R174,0),2))</f>
        <v/>
      </c>
      <c r="P174" s="335">
        <f>IF(AND(A174="",A173&lt;&gt;"",COUNTIF(A175:$A$200,"&lt;&gt;")=0),ROUND(SUMIF($A$2:A173,"&lt;&gt;",$P$2:P173),2),IF(OR(O174="",C174="",NOT(ISNUMBER($Z$4))),"",ROUND(O174*C174*$Z$4,2)))</f>
        <v/>
      </c>
      <c r="Q174" s="90">
        <f>IF(OR(posicao_contratual!R174="",posicao_contratual!V174=""),"",ROUND(MAX(posicao_contratual!R174+posicao_contratual!P174-posicao_contratual!V174,0),2))</f>
        <v/>
      </c>
      <c r="R174" s="335">
        <f>IF(AND(A174="",A173&lt;&gt;"",COUNTIF(A175:$A$200,"&lt;&gt;")=0),ROUND(SUMIF($A$2:A173,"&lt;&gt;",$R$2:R173),2),IF(OR(Q174="",C174="",NOT(ISNUMBER($Z$5))),"",ROUND(Q174*C174*$Z$5,2)))</f>
        <v/>
      </c>
      <c r="S174" s="43" t="n"/>
      <c r="T174" s="342" t="n"/>
      <c r="U174" s="91">
        <f>IF(AND(A174="",A173&lt;&gt;"",COUNTIF(A175:$A$200,"&lt;&gt;")=0),"TOTAL",IF(A174="","",posicao_contratual!X174))</f>
        <v/>
      </c>
      <c r="V174" s="91">
        <f>IF(A174="","",posicao_contratual!X174)</f>
        <v/>
      </c>
      <c r="W174" s="13" t="n"/>
      <c r="X174" s="13" t="n"/>
      <c r="Y174" s="13" t="n"/>
      <c r="Z174" s="13" t="n"/>
      <c r="AA174" s="13" t="n"/>
      <c r="AB174" s="90">
        <f>IF(OR(A174="",posicao_contratual!E174="",posicao_contratual!J174=""),"",ROUND(MAX(posicao_contratual!E174-posicao_contratual!J174,0),2))</f>
        <v/>
      </c>
      <c r="AC174" s="335">
        <f>IF(AND(A174="",A173&lt;&gt;"",COUNTIF(A175:$A$200,"&lt;&gt;")=0),ROUND(SUMIF($A$2:A173,"&lt;&gt;",$AC$2:AC173),2),IF(OR(AB174="",C174="",NOT(ISNUMBER($Z$2))),"",ROUND(AB174*C174*$Z$2,2)))</f>
        <v/>
      </c>
      <c r="AD174" s="155">
        <f>IF(A174="","",posicao_contratual!E174)</f>
        <v/>
      </c>
      <c r="AE174" s="155">
        <f>IF(A174="","",posicao_contratual!I174)</f>
        <v/>
      </c>
      <c r="AF174" s="155">
        <f>IF(A174="","",posicao_contratual!M174)</f>
        <v/>
      </c>
      <c r="AG174" s="155">
        <f>IF(A174="","",posicao_contratual!Q174)</f>
        <v/>
      </c>
      <c r="AH174" s="155">
        <f>IF(A174="","",posicao_contratual!U174)</f>
        <v/>
      </c>
      <c r="AI174" s="155">
        <f>IF(A174="","",posicao_contratual!G174)</f>
        <v/>
      </c>
      <c r="AJ174" s="155">
        <f>IF(A174="","",posicao_contratual!K174)</f>
        <v/>
      </c>
      <c r="AK174" s="155">
        <f>IF(A174="","",posicao_contratual!O174)</f>
        <v/>
      </c>
      <c r="AL174" s="155">
        <f>IF(A174="","",posicao_contratual!S174)</f>
        <v/>
      </c>
      <c r="AM174" s="155">
        <f>IF(A174="","",posicao_contratual!W174)</f>
        <v/>
      </c>
      <c r="AN174" s="156">
        <f>IF(A174="","",posicao_contratual!X174)</f>
        <v/>
      </c>
      <c r="AO174">
        <f>IF($A174="","",ROUND(SUMIFS(itens_Consumidos!$E$2:$E$200,itens_Consumidos!$A$2:$A$200,$A174),2))</f>
        <v/>
      </c>
      <c r="AP174">
        <f>IF(OR($A174="",AB174=""),"",ROUND(MAX(AB174-AO174,0),2))</f>
        <v/>
      </c>
      <c r="AQ174">
        <f>IF(OR($A174="",AB174="",MEMORIA_RESULTADOS!$I$258=""),"",ROUND(AB174*$C174*(MEMORIA_RESULTADOS!$I$258-1),2))</f>
        <v/>
      </c>
      <c r="AR174">
        <f>IF(OR($A174="",AP174="",MEMORIA_RESULTADOS!$I$258=""),"",ROUND(AP174*$C174*(parametros!$F$2-MEMORIA_RESULTADOS!$I$258),2))</f>
        <v/>
      </c>
      <c r="AS174">
        <f>IF($A174="","",ROUND(SUMIFS(itens_Consumidos!$G$2:$G$200,itens_Consumidos!$A$2:$A$200,$A174),2))</f>
        <v/>
      </c>
      <c r="AT174">
        <f>IF(OR($A174="",M174=""),"",ROUND(MAX(M174-AS174,0),2))</f>
        <v/>
      </c>
      <c r="AU174">
        <f>IF(OR($A174="",M174="",MEMORIA_RESULTADOS!$I$259=""),"",ROUND(M174*$C174*(MEMORIA_RESULTADOS!$I$259-1),2))</f>
        <v/>
      </c>
      <c r="AV174">
        <f>IF(OR($A174="",AT174="",MEMORIA_RESULTADOS!$I$259=""),"",ROUND(AT174*$C174*(parametros!$F$3-MEMORIA_RESULTADOS!$I$259),2))</f>
        <v/>
      </c>
      <c r="AW174">
        <f>IF($A174="","",ROUND(SUMIFS(itens_Consumidos!$I$2:$I$200,itens_Consumidos!$A$2:$A$200,$A174),2))</f>
        <v/>
      </c>
      <c r="AX174">
        <f>IF(OR($A174="",O174=""),"",ROUND(MAX(O174-AW174,0),2))</f>
        <v/>
      </c>
      <c r="AY174">
        <f>IF(OR($A174="",O174="",MEMORIA_RESULTADOS!$I$260=""),"",ROUND(O174*$C174*(MEMORIA_RESULTADOS!$I$260-1),2))</f>
        <v/>
      </c>
      <c r="AZ174">
        <f>IF(OR($A174="",AX174="",MEMORIA_RESULTADOS!$I$260=""),"",ROUND(AX174*$C174*(parametros!$F$4-MEMORIA_RESULTADOS!$I$260),2))</f>
        <v/>
      </c>
      <c r="BA174">
        <f>IF($A174="","",ROUND(SUMIFS(itens_Consumidos!$K$2:$K$200,itens_Consumidos!$A$2:$A$200,$A174),2))</f>
        <v/>
      </c>
      <c r="BB174">
        <f>IF(OR($A174="",Q174=""),"",ROUND(MAX(Q174-BA174,0),2))</f>
        <v/>
      </c>
      <c r="BC174">
        <f>IF(OR($A174="",Q174="",MEMORIA_RESULTADOS!$I$261=""),"",ROUND(Q174*$C174*(MEMORIA_RESULTADOS!$I$261-1),2))</f>
        <v/>
      </c>
      <c r="BD174">
        <f>IF(OR($A174="",BB174="",MEMORIA_RESULTADOS!$I$261=""),"",ROUND(BB174*$C174*(parametros!$F$5-MEMORIA_RESULTADOS!$I$261),2))</f>
        <v/>
      </c>
      <c r="BE174">
        <f>IF($A174="","",ROUND(SUMIFS(itens_Consumidos!$M$2:$M$200,itens_Consumidos!$A$2:$A$200,$A174),2))</f>
        <v/>
      </c>
      <c r="BF174">
        <f>IF(OR($A174="",S174=""),"",ROUND(MAX(S174-BE174,0),2))</f>
        <v/>
      </c>
      <c r="BG174">
        <f>IF(OR($A174="",S174="",MEMORIA_RESULTADOS!$I$262=""),"",ROUND(S174*$C174*(MEMORIA_RESULTADOS!$I$262-1),2))</f>
        <v/>
      </c>
      <c r="BH174">
        <f>IF(OR($A174="",BF174="",MEMORIA_RESULTADOS!$I$262=""),"",ROUND(BF174*$C174*(parametros!$F$6-MEMORIA_RESULTADOS!$I$262),2))</f>
        <v/>
      </c>
    </row>
    <row r="175">
      <c r="A175" s="86" t="n"/>
      <c r="B175" s="87">
        <f>IF(AND(LEN(TRIM($A175))=4,LEFT(TRIM($A175),1)="N",ISNUMBER(--MID(TRIM($A175),2,3)),ISERROR(FIND(".",$A175)),ISERROR(FIND(",",$A175)),ISERROR(FIND("-",$A175)),ISERROR(FIND("+",$A175)),ISERROR(SEARCH("E",$A175,2)),ISERROR(FIND(" ",TRIM($A175)))),0,"")</f>
        <v/>
      </c>
      <c r="C175" s="339" t="n"/>
      <c r="D175" s="335">
        <f>IF(AND(A175="",A174&lt;&gt;"",COUNTIF(A176:$A$200,"&lt;&gt;")=0),ROUND(SUMIF($A$2:A174,"&lt;&gt;",$D$2:D174),2),IF(OR(A175="",B175="",C175=""),"",ROUND(B175*C175,2)))</f>
        <v/>
      </c>
      <c r="E175" s="89" t="n"/>
      <c r="F175" s="335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 t="n"/>
      <c r="H175" s="335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 t="n"/>
      <c r="J175" s="335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 t="n"/>
      <c r="L175" s="335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>
        <f>IF(OR(posicao_contratual!J175="",posicao_contratual!N175=""),"",ROUND(MAX(posicao_contratual!J175+posicao_contratual!H175-posicao_contratual!N175,0),2))</f>
        <v/>
      </c>
      <c r="N175" s="335">
        <f>IF(AND(A175="",A174&lt;&gt;"",COUNTIF(A176:$A$200,"&lt;&gt;")=0),ROUND(SUMIF($A$2:A174,"&lt;&gt;",$N$2:N174),2),IF(OR(M175="",C175="",NOT(ISNUMBER($Z$3))),"",ROUND(M175*C175*$Z$3,2)))</f>
        <v/>
      </c>
      <c r="O175" s="90">
        <f>IF(OR(posicao_contratual!N175="",posicao_contratual!R175=""),"",ROUND(MAX(posicao_contratual!N175+posicao_contratual!L175-posicao_contratual!R175,0),2))</f>
        <v/>
      </c>
      <c r="P175" s="335">
        <f>IF(AND(A175="",A174&lt;&gt;"",COUNTIF(A176:$A$200,"&lt;&gt;")=0),ROUND(SUMIF($A$2:A174,"&lt;&gt;",$P$2:P174),2),IF(OR(O175="",C175="",NOT(ISNUMBER($Z$4))),"",ROUND(O175*C175*$Z$4,2)))</f>
        <v/>
      </c>
      <c r="Q175" s="90">
        <f>IF(OR(posicao_contratual!R175="",posicao_contratual!V175=""),"",ROUND(MAX(posicao_contratual!R175+posicao_contratual!P175-posicao_contratual!V175,0),2))</f>
        <v/>
      </c>
      <c r="R175" s="335">
        <f>IF(AND(A175="",A174&lt;&gt;"",COUNTIF(A176:$A$200,"&lt;&gt;")=0),ROUND(SUMIF($A$2:A174,"&lt;&gt;",$R$2:R174),2),IF(OR(Q175="",C175="",NOT(ISNUMBER($Z$5))),"",ROUND(Q175*C175*$Z$5,2)))</f>
        <v/>
      </c>
      <c r="S175" s="43" t="n"/>
      <c r="T175" s="342" t="n"/>
      <c r="U175" s="91">
        <f>IF(AND(A175="",A174&lt;&gt;"",COUNTIF(A176:$A$200,"&lt;&gt;")=0),"TOTAL",IF(A175="","",posicao_contratual!X175))</f>
        <v/>
      </c>
      <c r="V175" s="91">
        <f>IF(A175="","",posicao_contratual!X175)</f>
        <v/>
      </c>
      <c r="W175" s="13" t="n"/>
      <c r="X175" s="13" t="n"/>
      <c r="Y175" s="13" t="n"/>
      <c r="Z175" s="13" t="n"/>
      <c r="AA175" s="13" t="n"/>
      <c r="AB175" s="90">
        <f>IF(OR(A175="",posicao_contratual!E175="",posicao_contratual!J175=""),"",ROUND(MAX(posicao_contratual!E175-posicao_contratual!J175,0),2))</f>
        <v/>
      </c>
      <c r="AC175" s="335">
        <f>IF(AND(A175="",A174&lt;&gt;"",COUNTIF(A176:$A$200,"&lt;&gt;")=0),ROUND(SUMIF($A$2:A174,"&lt;&gt;",$AC$2:AC174),2),IF(OR(AB175="",C175="",NOT(ISNUMBER($Z$2))),"",ROUND(AB175*C175*$Z$2,2)))</f>
        <v/>
      </c>
      <c r="AD175" s="155">
        <f>IF(A175="","",posicao_contratual!E175)</f>
        <v/>
      </c>
      <c r="AE175" s="155">
        <f>IF(A175="","",posicao_contratual!I175)</f>
        <v/>
      </c>
      <c r="AF175" s="155">
        <f>IF(A175="","",posicao_contratual!M175)</f>
        <v/>
      </c>
      <c r="AG175" s="155">
        <f>IF(A175="","",posicao_contratual!Q175)</f>
        <v/>
      </c>
      <c r="AH175" s="155">
        <f>IF(A175="","",posicao_contratual!U175)</f>
        <v/>
      </c>
      <c r="AI175" s="155">
        <f>IF(A175="","",posicao_contratual!G175)</f>
        <v/>
      </c>
      <c r="AJ175" s="155">
        <f>IF(A175="","",posicao_contratual!K175)</f>
        <v/>
      </c>
      <c r="AK175" s="155">
        <f>IF(A175="","",posicao_contratual!O175)</f>
        <v/>
      </c>
      <c r="AL175" s="155">
        <f>IF(A175="","",posicao_contratual!S175)</f>
        <v/>
      </c>
      <c r="AM175" s="155">
        <f>IF(A175="","",posicao_contratual!W175)</f>
        <v/>
      </c>
      <c r="AN175" s="156">
        <f>IF(A175="","",posicao_contratual!X175)</f>
        <v/>
      </c>
      <c r="AO175">
        <f>IF($A175="","",ROUND(SUMIFS(itens_Consumidos!$E$2:$E$200,itens_Consumidos!$A$2:$A$200,$A175),2))</f>
        <v/>
      </c>
      <c r="AP175">
        <f>IF(OR($A175="",AB175=""),"",ROUND(MAX(AB175-AO175,0),2))</f>
        <v/>
      </c>
      <c r="AQ175">
        <f>IF(OR($A175="",AB175="",MEMORIA_RESULTADOS!$I$258=""),"",ROUND(AB175*$C175*(MEMORIA_RESULTADOS!$I$258-1),2))</f>
        <v/>
      </c>
      <c r="AR175">
        <f>IF(OR($A175="",AP175="",MEMORIA_RESULTADOS!$I$258=""),"",ROUND(AP175*$C175*(parametros!$F$2-MEMORIA_RESULTADOS!$I$258),2))</f>
        <v/>
      </c>
      <c r="AS175">
        <f>IF($A175="","",ROUND(SUMIFS(itens_Consumidos!$G$2:$G$200,itens_Consumidos!$A$2:$A$200,$A175),2))</f>
        <v/>
      </c>
      <c r="AT175">
        <f>IF(OR($A175="",M175=""),"",ROUND(MAX(M175-AS175,0),2))</f>
        <v/>
      </c>
      <c r="AU175">
        <f>IF(OR($A175="",M175="",MEMORIA_RESULTADOS!$I$259=""),"",ROUND(M175*$C175*(MEMORIA_RESULTADOS!$I$259-1),2))</f>
        <v/>
      </c>
      <c r="AV175">
        <f>IF(OR($A175="",AT175="",MEMORIA_RESULTADOS!$I$259=""),"",ROUND(AT175*$C175*(parametros!$F$3-MEMORIA_RESULTADOS!$I$259),2))</f>
        <v/>
      </c>
      <c r="AW175">
        <f>IF($A175="","",ROUND(SUMIFS(itens_Consumidos!$I$2:$I$200,itens_Consumidos!$A$2:$A$200,$A175),2))</f>
        <v/>
      </c>
      <c r="AX175">
        <f>IF(OR($A175="",O175=""),"",ROUND(MAX(O175-AW175,0),2))</f>
        <v/>
      </c>
      <c r="AY175">
        <f>IF(OR($A175="",O175="",MEMORIA_RESULTADOS!$I$260=""),"",ROUND(O175*$C175*(MEMORIA_RESULTADOS!$I$260-1),2))</f>
        <v/>
      </c>
      <c r="AZ175">
        <f>IF(OR($A175="",AX175="",MEMORIA_RESULTADOS!$I$260=""),"",ROUND(AX175*$C175*(parametros!$F$4-MEMORIA_RESULTADOS!$I$260),2))</f>
        <v/>
      </c>
      <c r="BA175">
        <f>IF($A175="","",ROUND(SUMIFS(itens_Consumidos!$K$2:$K$200,itens_Consumidos!$A$2:$A$200,$A175),2))</f>
        <v/>
      </c>
      <c r="BB175">
        <f>IF(OR($A175="",Q175=""),"",ROUND(MAX(Q175-BA175,0),2))</f>
        <v/>
      </c>
      <c r="BC175">
        <f>IF(OR($A175="",Q175="",MEMORIA_RESULTADOS!$I$261=""),"",ROUND(Q175*$C175*(MEMORIA_RESULTADOS!$I$261-1),2))</f>
        <v/>
      </c>
      <c r="BD175">
        <f>IF(OR($A175="",BB175="",MEMORIA_RESULTADOS!$I$261=""),"",ROUND(BB175*$C175*(parametros!$F$5-MEMORIA_RESULTADOS!$I$261),2))</f>
        <v/>
      </c>
      <c r="BE175">
        <f>IF($A175="","",ROUND(SUMIFS(itens_Consumidos!$M$2:$M$200,itens_Consumidos!$A$2:$A$200,$A175),2))</f>
        <v/>
      </c>
      <c r="BF175">
        <f>IF(OR($A175="",S175=""),"",ROUND(MAX(S175-BE175,0),2))</f>
        <v/>
      </c>
      <c r="BG175">
        <f>IF(OR($A175="",S175="",MEMORIA_RESULTADOS!$I$262=""),"",ROUND(S175*$C175*(MEMORIA_RESULTADOS!$I$262-1),2))</f>
        <v/>
      </c>
      <c r="BH175">
        <f>IF(OR($A175="",BF175="",MEMORIA_RESULTADOS!$I$262=""),"",ROUND(BF175*$C175*(parametros!$F$6-MEMORIA_RESULTADOS!$I$262),2))</f>
        <v/>
      </c>
    </row>
    <row r="176">
      <c r="A176" s="86" t="n"/>
      <c r="B176" s="87">
        <f>IF(AND(LEN(TRIM($A176))=4,LEFT(TRIM($A176),1)="N",ISNUMBER(--MID(TRIM($A176),2,3)),ISERROR(FIND(".",$A176)),ISERROR(FIND(",",$A176)),ISERROR(FIND("-",$A176)),ISERROR(FIND("+",$A176)),ISERROR(SEARCH("E",$A176,2)),ISERROR(FIND(" ",TRIM($A176)))),0,"")</f>
        <v/>
      </c>
      <c r="C176" s="339" t="n"/>
      <c r="D176" s="335">
        <f>IF(AND(A176="",A175&lt;&gt;"",COUNTIF(A177:$A$200,"&lt;&gt;")=0),ROUND(SUMIF($A$2:A175,"&lt;&gt;",$D$2:D175),2),IF(OR(A176="",B176="",C176=""),"",ROUND(B176*C176,2)))</f>
        <v/>
      </c>
      <c r="E176" s="89" t="n"/>
      <c r="F176" s="335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 t="n"/>
      <c r="H176" s="335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 t="n"/>
      <c r="J176" s="335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 t="n"/>
      <c r="L176" s="335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>
        <f>IF(OR(posicao_contratual!J176="",posicao_contratual!N176=""),"",ROUND(MAX(posicao_contratual!J176+posicao_contratual!H176-posicao_contratual!N176,0),2))</f>
        <v/>
      </c>
      <c r="N176" s="335">
        <f>IF(AND(A176="",A175&lt;&gt;"",COUNTIF(A177:$A$200,"&lt;&gt;")=0),ROUND(SUMIF($A$2:A175,"&lt;&gt;",$N$2:N175),2),IF(OR(M176="",C176="",NOT(ISNUMBER($Z$3))),"",ROUND(M176*C176*$Z$3,2)))</f>
        <v/>
      </c>
      <c r="O176" s="90">
        <f>IF(OR(posicao_contratual!N176="",posicao_contratual!R176=""),"",ROUND(MAX(posicao_contratual!N176+posicao_contratual!L176-posicao_contratual!R176,0),2))</f>
        <v/>
      </c>
      <c r="P176" s="335">
        <f>IF(AND(A176="",A175&lt;&gt;"",COUNTIF(A177:$A$200,"&lt;&gt;")=0),ROUND(SUMIF($A$2:A175,"&lt;&gt;",$P$2:P175),2),IF(OR(O176="",C176="",NOT(ISNUMBER($Z$4))),"",ROUND(O176*C176*$Z$4,2)))</f>
        <v/>
      </c>
      <c r="Q176" s="90">
        <f>IF(OR(posicao_contratual!R176="",posicao_contratual!V176=""),"",ROUND(MAX(posicao_contratual!R176+posicao_contratual!P176-posicao_contratual!V176,0),2))</f>
        <v/>
      </c>
      <c r="R176" s="335">
        <f>IF(AND(A176="",A175&lt;&gt;"",COUNTIF(A177:$A$200,"&lt;&gt;")=0),ROUND(SUMIF($A$2:A175,"&lt;&gt;",$R$2:R175),2),IF(OR(Q176="",C176="",NOT(ISNUMBER($Z$5))),"",ROUND(Q176*C176*$Z$5,2)))</f>
        <v/>
      </c>
      <c r="S176" s="43" t="n"/>
      <c r="T176" s="342" t="n"/>
      <c r="U176" s="91">
        <f>IF(AND(A176="",A175&lt;&gt;"",COUNTIF(A177:$A$200,"&lt;&gt;")=0),"TOTAL",IF(A176="","",posicao_contratual!X176))</f>
        <v/>
      </c>
      <c r="V176" s="91">
        <f>IF(A176="","",posicao_contratual!X176)</f>
        <v/>
      </c>
      <c r="W176" s="13" t="n"/>
      <c r="X176" s="13" t="n"/>
      <c r="Y176" s="13" t="n"/>
      <c r="Z176" s="13" t="n"/>
      <c r="AA176" s="13" t="n"/>
      <c r="AB176" s="90">
        <f>IF(OR(A176="",posicao_contratual!E176="",posicao_contratual!J176=""),"",ROUND(MAX(posicao_contratual!E176-posicao_contratual!J176,0),2))</f>
        <v/>
      </c>
      <c r="AC176" s="335">
        <f>IF(AND(A176="",A175&lt;&gt;"",COUNTIF(A177:$A$200,"&lt;&gt;")=0),ROUND(SUMIF($A$2:A175,"&lt;&gt;",$AC$2:AC175),2),IF(OR(AB176="",C176="",NOT(ISNUMBER($Z$2))),"",ROUND(AB176*C176*$Z$2,2)))</f>
        <v/>
      </c>
      <c r="AD176" s="155">
        <f>IF(A176="","",posicao_contratual!E176)</f>
        <v/>
      </c>
      <c r="AE176" s="155">
        <f>IF(A176="","",posicao_contratual!I176)</f>
        <v/>
      </c>
      <c r="AF176" s="155">
        <f>IF(A176="","",posicao_contratual!M176)</f>
        <v/>
      </c>
      <c r="AG176" s="155">
        <f>IF(A176="","",posicao_contratual!Q176)</f>
        <v/>
      </c>
      <c r="AH176" s="155">
        <f>IF(A176="","",posicao_contratual!U176)</f>
        <v/>
      </c>
      <c r="AI176" s="155">
        <f>IF(A176="","",posicao_contratual!G176)</f>
        <v/>
      </c>
      <c r="AJ176" s="155">
        <f>IF(A176="","",posicao_contratual!K176)</f>
        <v/>
      </c>
      <c r="AK176" s="155">
        <f>IF(A176="","",posicao_contratual!O176)</f>
        <v/>
      </c>
      <c r="AL176" s="155">
        <f>IF(A176="","",posicao_contratual!S176)</f>
        <v/>
      </c>
      <c r="AM176" s="155">
        <f>IF(A176="","",posicao_contratual!W176)</f>
        <v/>
      </c>
      <c r="AN176" s="156">
        <f>IF(A176="","",posicao_contratual!X176)</f>
        <v/>
      </c>
      <c r="AO176">
        <f>IF($A176="","",ROUND(SUMIFS(itens_Consumidos!$E$2:$E$200,itens_Consumidos!$A$2:$A$200,$A176),2))</f>
        <v/>
      </c>
      <c r="AP176">
        <f>IF(OR($A176="",AB176=""),"",ROUND(MAX(AB176-AO176,0),2))</f>
        <v/>
      </c>
      <c r="AQ176">
        <f>IF(OR($A176="",AB176="",MEMORIA_RESULTADOS!$I$258=""),"",ROUND(AB176*$C176*(MEMORIA_RESULTADOS!$I$258-1),2))</f>
        <v/>
      </c>
      <c r="AR176">
        <f>IF(OR($A176="",AP176="",MEMORIA_RESULTADOS!$I$258=""),"",ROUND(AP176*$C176*(parametros!$F$2-MEMORIA_RESULTADOS!$I$258),2))</f>
        <v/>
      </c>
      <c r="AS176">
        <f>IF($A176="","",ROUND(SUMIFS(itens_Consumidos!$G$2:$G$200,itens_Consumidos!$A$2:$A$200,$A176),2))</f>
        <v/>
      </c>
      <c r="AT176">
        <f>IF(OR($A176="",M176=""),"",ROUND(MAX(M176-AS176,0),2))</f>
        <v/>
      </c>
      <c r="AU176">
        <f>IF(OR($A176="",M176="",MEMORIA_RESULTADOS!$I$259=""),"",ROUND(M176*$C176*(MEMORIA_RESULTADOS!$I$259-1),2))</f>
        <v/>
      </c>
      <c r="AV176">
        <f>IF(OR($A176="",AT176="",MEMORIA_RESULTADOS!$I$259=""),"",ROUND(AT176*$C176*(parametros!$F$3-MEMORIA_RESULTADOS!$I$259),2))</f>
        <v/>
      </c>
      <c r="AW176">
        <f>IF($A176="","",ROUND(SUMIFS(itens_Consumidos!$I$2:$I$200,itens_Consumidos!$A$2:$A$200,$A176),2))</f>
        <v/>
      </c>
      <c r="AX176">
        <f>IF(OR($A176="",O176=""),"",ROUND(MAX(O176-AW176,0),2))</f>
        <v/>
      </c>
      <c r="AY176">
        <f>IF(OR($A176="",O176="",MEMORIA_RESULTADOS!$I$260=""),"",ROUND(O176*$C176*(MEMORIA_RESULTADOS!$I$260-1),2))</f>
        <v/>
      </c>
      <c r="AZ176">
        <f>IF(OR($A176="",AX176="",MEMORIA_RESULTADOS!$I$260=""),"",ROUND(AX176*$C176*(parametros!$F$4-MEMORIA_RESULTADOS!$I$260),2))</f>
        <v/>
      </c>
      <c r="BA176">
        <f>IF($A176="","",ROUND(SUMIFS(itens_Consumidos!$K$2:$K$200,itens_Consumidos!$A$2:$A$200,$A176),2))</f>
        <v/>
      </c>
      <c r="BB176">
        <f>IF(OR($A176="",Q176=""),"",ROUND(MAX(Q176-BA176,0),2))</f>
        <v/>
      </c>
      <c r="BC176">
        <f>IF(OR($A176="",Q176="",MEMORIA_RESULTADOS!$I$261=""),"",ROUND(Q176*$C176*(MEMORIA_RESULTADOS!$I$261-1),2))</f>
        <v/>
      </c>
      <c r="BD176">
        <f>IF(OR($A176="",BB176="",MEMORIA_RESULTADOS!$I$261=""),"",ROUND(BB176*$C176*(parametros!$F$5-MEMORIA_RESULTADOS!$I$261),2))</f>
        <v/>
      </c>
      <c r="BE176">
        <f>IF($A176="","",ROUND(SUMIFS(itens_Consumidos!$M$2:$M$200,itens_Consumidos!$A$2:$A$200,$A176),2))</f>
        <v/>
      </c>
      <c r="BF176">
        <f>IF(OR($A176="",S176=""),"",ROUND(MAX(S176-BE176,0),2))</f>
        <v/>
      </c>
      <c r="BG176">
        <f>IF(OR($A176="",S176="",MEMORIA_RESULTADOS!$I$262=""),"",ROUND(S176*$C176*(MEMORIA_RESULTADOS!$I$262-1),2))</f>
        <v/>
      </c>
      <c r="BH176">
        <f>IF(OR($A176="",BF176="",MEMORIA_RESULTADOS!$I$262=""),"",ROUND(BF176*$C176*(parametros!$F$6-MEMORIA_RESULTADOS!$I$262),2))</f>
        <v/>
      </c>
    </row>
    <row r="177">
      <c r="A177" s="86" t="n"/>
      <c r="B177" s="87">
        <f>IF(AND(LEN(TRIM($A177))=4,LEFT(TRIM($A177),1)="N",ISNUMBER(--MID(TRIM($A177),2,3)),ISERROR(FIND(".",$A177)),ISERROR(FIND(",",$A177)),ISERROR(FIND("-",$A177)),ISERROR(FIND("+",$A177)),ISERROR(SEARCH("E",$A177,2)),ISERROR(FIND(" ",TRIM($A177)))),0,"")</f>
        <v/>
      </c>
      <c r="C177" s="339" t="n"/>
      <c r="D177" s="335">
        <f>IF(AND(A177="",A176&lt;&gt;"",COUNTIF(A178:$A$200,"&lt;&gt;")=0),ROUND(SUMIF($A$2:A176,"&lt;&gt;",$D$2:D176),2),IF(OR(A177="",B177="",C177=""),"",ROUND(B177*C177,2)))</f>
        <v/>
      </c>
      <c r="E177" s="89" t="n"/>
      <c r="F177" s="335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 t="n"/>
      <c r="H177" s="335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 t="n"/>
      <c r="J177" s="335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 t="n"/>
      <c r="L177" s="335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>
        <f>IF(OR(posicao_contratual!J177="",posicao_contratual!N177=""),"",ROUND(MAX(posicao_contratual!J177+posicao_contratual!H177-posicao_contratual!N177,0),2))</f>
        <v/>
      </c>
      <c r="N177" s="335">
        <f>IF(AND(A177="",A176&lt;&gt;"",COUNTIF(A178:$A$200,"&lt;&gt;")=0),ROUND(SUMIF($A$2:A176,"&lt;&gt;",$N$2:N176),2),IF(OR(M177="",C177="",NOT(ISNUMBER($Z$3))),"",ROUND(M177*C177*$Z$3,2)))</f>
        <v/>
      </c>
      <c r="O177" s="90">
        <f>IF(OR(posicao_contratual!N177="",posicao_contratual!R177=""),"",ROUND(MAX(posicao_contratual!N177+posicao_contratual!L177-posicao_contratual!R177,0),2))</f>
        <v/>
      </c>
      <c r="P177" s="335">
        <f>IF(AND(A177="",A176&lt;&gt;"",COUNTIF(A178:$A$200,"&lt;&gt;")=0),ROUND(SUMIF($A$2:A176,"&lt;&gt;",$P$2:P176),2),IF(OR(O177="",C177="",NOT(ISNUMBER($Z$4))),"",ROUND(O177*C177*$Z$4,2)))</f>
        <v/>
      </c>
      <c r="Q177" s="90">
        <f>IF(OR(posicao_contratual!R177="",posicao_contratual!V177=""),"",ROUND(MAX(posicao_contratual!R177+posicao_contratual!P177-posicao_contratual!V177,0),2))</f>
        <v/>
      </c>
      <c r="R177" s="335">
        <f>IF(AND(A177="",A176&lt;&gt;"",COUNTIF(A178:$A$200,"&lt;&gt;")=0),ROUND(SUMIF($A$2:A176,"&lt;&gt;",$R$2:R176),2),IF(OR(Q177="",C177="",NOT(ISNUMBER($Z$5))),"",ROUND(Q177*C177*$Z$5,2)))</f>
        <v/>
      </c>
      <c r="S177" s="43" t="n"/>
      <c r="T177" s="342" t="n"/>
      <c r="U177" s="91">
        <f>IF(AND(A177="",A176&lt;&gt;"",COUNTIF(A178:$A$200,"&lt;&gt;")=0),"TOTAL",IF(A177="","",posicao_contratual!X177))</f>
        <v/>
      </c>
      <c r="V177" s="91">
        <f>IF(A177="","",posicao_contratual!X177)</f>
        <v/>
      </c>
      <c r="W177" s="13" t="n"/>
      <c r="X177" s="13" t="n"/>
      <c r="Y177" s="13" t="n"/>
      <c r="Z177" s="13" t="n"/>
      <c r="AA177" s="13" t="n"/>
      <c r="AB177" s="90">
        <f>IF(OR(A177="",posicao_contratual!E177="",posicao_contratual!J177=""),"",ROUND(MAX(posicao_contratual!E177-posicao_contratual!J177,0),2))</f>
        <v/>
      </c>
      <c r="AC177" s="335">
        <f>IF(AND(A177="",A176&lt;&gt;"",COUNTIF(A178:$A$200,"&lt;&gt;")=0),ROUND(SUMIF($A$2:A176,"&lt;&gt;",$AC$2:AC176),2),IF(OR(AB177="",C177="",NOT(ISNUMBER($Z$2))),"",ROUND(AB177*C177*$Z$2,2)))</f>
        <v/>
      </c>
      <c r="AD177" s="155">
        <f>IF(A177="","",posicao_contratual!E177)</f>
        <v/>
      </c>
      <c r="AE177" s="155">
        <f>IF(A177="","",posicao_contratual!I177)</f>
        <v/>
      </c>
      <c r="AF177" s="155">
        <f>IF(A177="","",posicao_contratual!M177)</f>
        <v/>
      </c>
      <c r="AG177" s="155">
        <f>IF(A177="","",posicao_contratual!Q177)</f>
        <v/>
      </c>
      <c r="AH177" s="155">
        <f>IF(A177="","",posicao_contratual!U177)</f>
        <v/>
      </c>
      <c r="AI177" s="155">
        <f>IF(A177="","",posicao_contratual!G177)</f>
        <v/>
      </c>
      <c r="AJ177" s="155">
        <f>IF(A177="","",posicao_contratual!K177)</f>
        <v/>
      </c>
      <c r="AK177" s="155">
        <f>IF(A177="","",posicao_contratual!O177)</f>
        <v/>
      </c>
      <c r="AL177" s="155">
        <f>IF(A177="","",posicao_contratual!S177)</f>
        <v/>
      </c>
      <c r="AM177" s="155">
        <f>IF(A177="","",posicao_contratual!W177)</f>
        <v/>
      </c>
      <c r="AN177" s="156">
        <f>IF(A177="","",posicao_contratual!X177)</f>
        <v/>
      </c>
      <c r="AO177">
        <f>IF($A177="","",ROUND(SUMIFS(itens_Consumidos!$E$2:$E$200,itens_Consumidos!$A$2:$A$200,$A177),2))</f>
        <v/>
      </c>
      <c r="AP177">
        <f>IF(OR($A177="",AB177=""),"",ROUND(MAX(AB177-AO177,0),2))</f>
        <v/>
      </c>
      <c r="AQ177">
        <f>IF(OR($A177="",AB177="",MEMORIA_RESULTADOS!$I$258=""),"",ROUND(AB177*$C177*(MEMORIA_RESULTADOS!$I$258-1),2))</f>
        <v/>
      </c>
      <c r="AR177">
        <f>IF(OR($A177="",AP177="",MEMORIA_RESULTADOS!$I$258=""),"",ROUND(AP177*$C177*(parametros!$F$2-MEMORIA_RESULTADOS!$I$258),2))</f>
        <v/>
      </c>
      <c r="AS177">
        <f>IF($A177="","",ROUND(SUMIFS(itens_Consumidos!$G$2:$G$200,itens_Consumidos!$A$2:$A$200,$A177),2))</f>
        <v/>
      </c>
      <c r="AT177">
        <f>IF(OR($A177="",M177=""),"",ROUND(MAX(M177-AS177,0),2))</f>
        <v/>
      </c>
      <c r="AU177">
        <f>IF(OR($A177="",M177="",MEMORIA_RESULTADOS!$I$259=""),"",ROUND(M177*$C177*(MEMORIA_RESULTADOS!$I$259-1),2))</f>
        <v/>
      </c>
      <c r="AV177">
        <f>IF(OR($A177="",AT177="",MEMORIA_RESULTADOS!$I$259=""),"",ROUND(AT177*$C177*(parametros!$F$3-MEMORIA_RESULTADOS!$I$259),2))</f>
        <v/>
      </c>
      <c r="AW177">
        <f>IF($A177="","",ROUND(SUMIFS(itens_Consumidos!$I$2:$I$200,itens_Consumidos!$A$2:$A$200,$A177),2))</f>
        <v/>
      </c>
      <c r="AX177">
        <f>IF(OR($A177="",O177=""),"",ROUND(MAX(O177-AW177,0),2))</f>
        <v/>
      </c>
      <c r="AY177">
        <f>IF(OR($A177="",O177="",MEMORIA_RESULTADOS!$I$260=""),"",ROUND(O177*$C177*(MEMORIA_RESULTADOS!$I$260-1),2))</f>
        <v/>
      </c>
      <c r="AZ177">
        <f>IF(OR($A177="",AX177="",MEMORIA_RESULTADOS!$I$260=""),"",ROUND(AX177*$C177*(parametros!$F$4-MEMORIA_RESULTADOS!$I$260),2))</f>
        <v/>
      </c>
      <c r="BA177">
        <f>IF($A177="","",ROUND(SUMIFS(itens_Consumidos!$K$2:$K$200,itens_Consumidos!$A$2:$A$200,$A177),2))</f>
        <v/>
      </c>
      <c r="BB177">
        <f>IF(OR($A177="",Q177=""),"",ROUND(MAX(Q177-BA177,0),2))</f>
        <v/>
      </c>
      <c r="BC177">
        <f>IF(OR($A177="",Q177="",MEMORIA_RESULTADOS!$I$261=""),"",ROUND(Q177*$C177*(MEMORIA_RESULTADOS!$I$261-1),2))</f>
        <v/>
      </c>
      <c r="BD177">
        <f>IF(OR($A177="",BB177="",MEMORIA_RESULTADOS!$I$261=""),"",ROUND(BB177*$C177*(parametros!$F$5-MEMORIA_RESULTADOS!$I$261),2))</f>
        <v/>
      </c>
      <c r="BE177">
        <f>IF($A177="","",ROUND(SUMIFS(itens_Consumidos!$M$2:$M$200,itens_Consumidos!$A$2:$A$200,$A177),2))</f>
        <v/>
      </c>
      <c r="BF177">
        <f>IF(OR($A177="",S177=""),"",ROUND(MAX(S177-BE177,0),2))</f>
        <v/>
      </c>
      <c r="BG177">
        <f>IF(OR($A177="",S177="",MEMORIA_RESULTADOS!$I$262=""),"",ROUND(S177*$C177*(MEMORIA_RESULTADOS!$I$262-1),2))</f>
        <v/>
      </c>
      <c r="BH177">
        <f>IF(OR($A177="",BF177="",MEMORIA_RESULTADOS!$I$262=""),"",ROUND(BF177*$C177*(parametros!$F$6-MEMORIA_RESULTADOS!$I$262),2))</f>
        <v/>
      </c>
    </row>
    <row r="178">
      <c r="A178" s="86" t="n"/>
      <c r="B178" s="87">
        <f>IF(AND(LEN(TRIM($A178))=4,LEFT(TRIM($A178),1)="N",ISNUMBER(--MID(TRIM($A178),2,3)),ISERROR(FIND(".",$A178)),ISERROR(FIND(",",$A178)),ISERROR(FIND("-",$A178)),ISERROR(FIND("+",$A178)),ISERROR(SEARCH("E",$A178,2)),ISERROR(FIND(" ",TRIM($A178)))),0,"")</f>
        <v/>
      </c>
      <c r="C178" s="339" t="n"/>
      <c r="D178" s="335">
        <f>IF(AND(A178="",A177&lt;&gt;"",COUNTIF(A179:$A$200,"&lt;&gt;")=0),ROUND(SUMIF($A$2:A177,"&lt;&gt;",$D$2:D177),2),IF(OR(A178="",B178="",C178=""),"",ROUND(B178*C178,2)))</f>
        <v/>
      </c>
      <c r="E178" s="89" t="n"/>
      <c r="F178" s="335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 t="n"/>
      <c r="H178" s="335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 t="n"/>
      <c r="J178" s="335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 t="n"/>
      <c r="L178" s="335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>
        <f>IF(OR(posicao_contratual!J178="",posicao_contratual!N178=""),"",ROUND(MAX(posicao_contratual!J178+posicao_contratual!H178-posicao_contratual!N178,0),2))</f>
        <v/>
      </c>
      <c r="N178" s="335">
        <f>IF(AND(A178="",A177&lt;&gt;"",COUNTIF(A179:$A$200,"&lt;&gt;")=0),ROUND(SUMIF($A$2:A177,"&lt;&gt;",$N$2:N177),2),IF(OR(M178="",C178="",NOT(ISNUMBER($Z$3))),"",ROUND(M178*C178*$Z$3,2)))</f>
        <v/>
      </c>
      <c r="O178" s="90">
        <f>IF(OR(posicao_contratual!N178="",posicao_contratual!R178=""),"",ROUND(MAX(posicao_contratual!N178+posicao_contratual!L178-posicao_contratual!R178,0),2))</f>
        <v/>
      </c>
      <c r="P178" s="335">
        <f>IF(AND(A178="",A177&lt;&gt;"",COUNTIF(A179:$A$200,"&lt;&gt;")=0),ROUND(SUMIF($A$2:A177,"&lt;&gt;",$P$2:P177),2),IF(OR(O178="",C178="",NOT(ISNUMBER($Z$4))),"",ROUND(O178*C178*$Z$4,2)))</f>
        <v/>
      </c>
      <c r="Q178" s="90">
        <f>IF(OR(posicao_contratual!R178="",posicao_contratual!V178=""),"",ROUND(MAX(posicao_contratual!R178+posicao_contratual!P178-posicao_contratual!V178,0),2))</f>
        <v/>
      </c>
      <c r="R178" s="335">
        <f>IF(AND(A178="",A177&lt;&gt;"",COUNTIF(A179:$A$200,"&lt;&gt;")=0),ROUND(SUMIF($A$2:A177,"&lt;&gt;",$R$2:R177),2),IF(OR(Q178="",C178="",NOT(ISNUMBER($Z$5))),"",ROUND(Q178*C178*$Z$5,2)))</f>
        <v/>
      </c>
      <c r="S178" s="43" t="n"/>
      <c r="T178" s="342" t="n"/>
      <c r="U178" s="91">
        <f>IF(AND(A178="",A177&lt;&gt;"",COUNTIF(A179:$A$200,"&lt;&gt;")=0),"TOTAL",IF(A178="","",posicao_contratual!X178))</f>
        <v/>
      </c>
      <c r="V178" s="91">
        <f>IF(A178="","",posicao_contratual!X178)</f>
        <v/>
      </c>
      <c r="W178" s="13" t="n"/>
      <c r="X178" s="13" t="n"/>
      <c r="Y178" s="13" t="n"/>
      <c r="Z178" s="13" t="n"/>
      <c r="AA178" s="13" t="n"/>
      <c r="AB178" s="90">
        <f>IF(OR(A178="",posicao_contratual!E178="",posicao_contratual!J178=""),"",ROUND(MAX(posicao_contratual!E178-posicao_contratual!J178,0),2))</f>
        <v/>
      </c>
      <c r="AC178" s="335">
        <f>IF(AND(A178="",A177&lt;&gt;"",COUNTIF(A179:$A$200,"&lt;&gt;")=0),ROUND(SUMIF($A$2:A177,"&lt;&gt;",$AC$2:AC177),2),IF(OR(AB178="",C178="",NOT(ISNUMBER($Z$2))),"",ROUND(AB178*C178*$Z$2,2)))</f>
        <v/>
      </c>
      <c r="AD178" s="155">
        <f>IF(A178="","",posicao_contratual!E178)</f>
        <v/>
      </c>
      <c r="AE178" s="155">
        <f>IF(A178="","",posicao_contratual!I178)</f>
        <v/>
      </c>
      <c r="AF178" s="155">
        <f>IF(A178="","",posicao_contratual!M178)</f>
        <v/>
      </c>
      <c r="AG178" s="155">
        <f>IF(A178="","",posicao_contratual!Q178)</f>
        <v/>
      </c>
      <c r="AH178" s="155">
        <f>IF(A178="","",posicao_contratual!U178)</f>
        <v/>
      </c>
      <c r="AI178" s="155">
        <f>IF(A178="","",posicao_contratual!G178)</f>
        <v/>
      </c>
      <c r="AJ178" s="155">
        <f>IF(A178="","",posicao_contratual!K178)</f>
        <v/>
      </c>
      <c r="AK178" s="155">
        <f>IF(A178="","",posicao_contratual!O178)</f>
        <v/>
      </c>
      <c r="AL178" s="155">
        <f>IF(A178="","",posicao_contratual!S178)</f>
        <v/>
      </c>
      <c r="AM178" s="155">
        <f>IF(A178="","",posicao_contratual!W178)</f>
        <v/>
      </c>
      <c r="AN178" s="156">
        <f>IF(A178="","",posicao_contratual!X178)</f>
        <v/>
      </c>
      <c r="AO178">
        <f>IF($A178="","",ROUND(SUMIFS(itens_Consumidos!$E$2:$E$200,itens_Consumidos!$A$2:$A$200,$A178),2))</f>
        <v/>
      </c>
      <c r="AP178">
        <f>IF(OR($A178="",AB178=""),"",ROUND(MAX(AB178-AO178,0),2))</f>
        <v/>
      </c>
      <c r="AQ178">
        <f>IF(OR($A178="",AB178="",MEMORIA_RESULTADOS!$I$258=""),"",ROUND(AB178*$C178*(MEMORIA_RESULTADOS!$I$258-1),2))</f>
        <v/>
      </c>
      <c r="AR178">
        <f>IF(OR($A178="",AP178="",MEMORIA_RESULTADOS!$I$258=""),"",ROUND(AP178*$C178*(parametros!$F$2-MEMORIA_RESULTADOS!$I$258),2))</f>
        <v/>
      </c>
      <c r="AS178">
        <f>IF($A178="","",ROUND(SUMIFS(itens_Consumidos!$G$2:$G$200,itens_Consumidos!$A$2:$A$200,$A178),2))</f>
        <v/>
      </c>
      <c r="AT178">
        <f>IF(OR($A178="",M178=""),"",ROUND(MAX(M178-AS178,0),2))</f>
        <v/>
      </c>
      <c r="AU178">
        <f>IF(OR($A178="",M178="",MEMORIA_RESULTADOS!$I$259=""),"",ROUND(M178*$C178*(MEMORIA_RESULTADOS!$I$259-1),2))</f>
        <v/>
      </c>
      <c r="AV178">
        <f>IF(OR($A178="",AT178="",MEMORIA_RESULTADOS!$I$259=""),"",ROUND(AT178*$C178*(parametros!$F$3-MEMORIA_RESULTADOS!$I$259),2))</f>
        <v/>
      </c>
      <c r="AW178">
        <f>IF($A178="","",ROUND(SUMIFS(itens_Consumidos!$I$2:$I$200,itens_Consumidos!$A$2:$A$200,$A178),2))</f>
        <v/>
      </c>
      <c r="AX178">
        <f>IF(OR($A178="",O178=""),"",ROUND(MAX(O178-AW178,0),2))</f>
        <v/>
      </c>
      <c r="AY178">
        <f>IF(OR($A178="",O178="",MEMORIA_RESULTADOS!$I$260=""),"",ROUND(O178*$C178*(MEMORIA_RESULTADOS!$I$260-1),2))</f>
        <v/>
      </c>
      <c r="AZ178">
        <f>IF(OR($A178="",AX178="",MEMORIA_RESULTADOS!$I$260=""),"",ROUND(AX178*$C178*(parametros!$F$4-MEMORIA_RESULTADOS!$I$260),2))</f>
        <v/>
      </c>
      <c r="BA178">
        <f>IF($A178="","",ROUND(SUMIFS(itens_Consumidos!$K$2:$K$200,itens_Consumidos!$A$2:$A$200,$A178),2))</f>
        <v/>
      </c>
      <c r="BB178">
        <f>IF(OR($A178="",Q178=""),"",ROUND(MAX(Q178-BA178,0),2))</f>
        <v/>
      </c>
      <c r="BC178">
        <f>IF(OR($A178="",Q178="",MEMORIA_RESULTADOS!$I$261=""),"",ROUND(Q178*$C178*(MEMORIA_RESULTADOS!$I$261-1),2))</f>
        <v/>
      </c>
      <c r="BD178">
        <f>IF(OR($A178="",BB178="",MEMORIA_RESULTADOS!$I$261=""),"",ROUND(BB178*$C178*(parametros!$F$5-MEMORIA_RESULTADOS!$I$261),2))</f>
        <v/>
      </c>
      <c r="BE178">
        <f>IF($A178="","",ROUND(SUMIFS(itens_Consumidos!$M$2:$M$200,itens_Consumidos!$A$2:$A$200,$A178),2))</f>
        <v/>
      </c>
      <c r="BF178">
        <f>IF(OR($A178="",S178=""),"",ROUND(MAX(S178-BE178,0),2))</f>
        <v/>
      </c>
      <c r="BG178">
        <f>IF(OR($A178="",S178="",MEMORIA_RESULTADOS!$I$262=""),"",ROUND(S178*$C178*(MEMORIA_RESULTADOS!$I$262-1),2))</f>
        <v/>
      </c>
      <c r="BH178">
        <f>IF(OR($A178="",BF178="",MEMORIA_RESULTADOS!$I$262=""),"",ROUND(BF178*$C178*(parametros!$F$6-MEMORIA_RESULTADOS!$I$262),2))</f>
        <v/>
      </c>
    </row>
    <row r="179">
      <c r="A179" s="86" t="n"/>
      <c r="B179" s="87">
        <f>IF(AND(LEN(TRIM($A179))=4,LEFT(TRIM($A179),1)="N",ISNUMBER(--MID(TRIM($A179),2,3)),ISERROR(FIND(".",$A179)),ISERROR(FIND(",",$A179)),ISERROR(FIND("-",$A179)),ISERROR(FIND("+",$A179)),ISERROR(SEARCH("E",$A179,2)),ISERROR(FIND(" ",TRIM($A179)))),0,"")</f>
        <v/>
      </c>
      <c r="C179" s="339" t="n"/>
      <c r="D179" s="335">
        <f>IF(AND(A179="",A178&lt;&gt;"",COUNTIF(A180:$A$200,"&lt;&gt;")=0),ROUND(SUMIF($A$2:A178,"&lt;&gt;",$D$2:D178),2),IF(OR(A179="",B179="",C179=""),"",ROUND(B179*C179,2)))</f>
        <v/>
      </c>
      <c r="E179" s="89" t="n"/>
      <c r="F179" s="335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 t="n"/>
      <c r="H179" s="335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 t="n"/>
      <c r="J179" s="335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 t="n"/>
      <c r="L179" s="335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>
        <f>IF(OR(posicao_contratual!J179="",posicao_contratual!N179=""),"",ROUND(MAX(posicao_contratual!J179+posicao_contratual!H179-posicao_contratual!N179,0),2))</f>
        <v/>
      </c>
      <c r="N179" s="335">
        <f>IF(AND(A179="",A178&lt;&gt;"",COUNTIF(A180:$A$200,"&lt;&gt;")=0),ROUND(SUMIF($A$2:A178,"&lt;&gt;",$N$2:N178),2),IF(OR(M179="",C179="",NOT(ISNUMBER($Z$3))),"",ROUND(M179*C179*$Z$3,2)))</f>
        <v/>
      </c>
      <c r="O179" s="90">
        <f>IF(OR(posicao_contratual!N179="",posicao_contratual!R179=""),"",ROUND(MAX(posicao_contratual!N179+posicao_contratual!L179-posicao_contratual!R179,0),2))</f>
        <v/>
      </c>
      <c r="P179" s="335">
        <f>IF(AND(A179="",A178&lt;&gt;"",COUNTIF(A180:$A$200,"&lt;&gt;")=0),ROUND(SUMIF($A$2:A178,"&lt;&gt;",$P$2:P178),2),IF(OR(O179="",C179="",NOT(ISNUMBER($Z$4))),"",ROUND(O179*C179*$Z$4,2)))</f>
        <v/>
      </c>
      <c r="Q179" s="90">
        <f>IF(OR(posicao_contratual!R179="",posicao_contratual!V179=""),"",ROUND(MAX(posicao_contratual!R179+posicao_contratual!P179-posicao_contratual!V179,0),2))</f>
        <v/>
      </c>
      <c r="R179" s="335">
        <f>IF(AND(A179="",A178&lt;&gt;"",COUNTIF(A180:$A$200,"&lt;&gt;")=0),ROUND(SUMIF($A$2:A178,"&lt;&gt;",$R$2:R178),2),IF(OR(Q179="",C179="",NOT(ISNUMBER($Z$5))),"",ROUND(Q179*C179*$Z$5,2)))</f>
        <v/>
      </c>
      <c r="S179" s="43" t="n"/>
      <c r="T179" s="342" t="n"/>
      <c r="U179" s="91">
        <f>IF(AND(A179="",A178&lt;&gt;"",COUNTIF(A180:$A$200,"&lt;&gt;")=0),"TOTAL",IF(A179="","",posicao_contratual!X179))</f>
        <v/>
      </c>
      <c r="V179" s="91">
        <f>IF(A179="","",posicao_contratual!X179)</f>
        <v/>
      </c>
      <c r="W179" s="13" t="n"/>
      <c r="X179" s="13" t="n"/>
      <c r="Y179" s="13" t="n"/>
      <c r="Z179" s="13" t="n"/>
      <c r="AA179" s="13" t="n"/>
      <c r="AB179" s="90">
        <f>IF(OR(A179="",posicao_contratual!E179="",posicao_contratual!J179=""),"",ROUND(MAX(posicao_contratual!E179-posicao_contratual!J179,0),2))</f>
        <v/>
      </c>
      <c r="AC179" s="335">
        <f>IF(AND(A179="",A178&lt;&gt;"",COUNTIF(A180:$A$200,"&lt;&gt;")=0),ROUND(SUMIF($A$2:A178,"&lt;&gt;",$AC$2:AC178),2),IF(OR(AB179="",C179="",NOT(ISNUMBER($Z$2))),"",ROUND(AB179*C179*$Z$2,2)))</f>
        <v/>
      </c>
      <c r="AD179" s="155">
        <f>IF(A179="","",posicao_contratual!E179)</f>
        <v/>
      </c>
      <c r="AE179" s="155">
        <f>IF(A179="","",posicao_contratual!I179)</f>
        <v/>
      </c>
      <c r="AF179" s="155">
        <f>IF(A179="","",posicao_contratual!M179)</f>
        <v/>
      </c>
      <c r="AG179" s="155">
        <f>IF(A179="","",posicao_contratual!Q179)</f>
        <v/>
      </c>
      <c r="AH179" s="155">
        <f>IF(A179="","",posicao_contratual!U179)</f>
        <v/>
      </c>
      <c r="AI179" s="155">
        <f>IF(A179="","",posicao_contratual!G179)</f>
        <v/>
      </c>
      <c r="AJ179" s="155">
        <f>IF(A179="","",posicao_contratual!K179)</f>
        <v/>
      </c>
      <c r="AK179" s="155">
        <f>IF(A179="","",posicao_contratual!O179)</f>
        <v/>
      </c>
      <c r="AL179" s="155">
        <f>IF(A179="","",posicao_contratual!S179)</f>
        <v/>
      </c>
      <c r="AM179" s="155">
        <f>IF(A179="","",posicao_contratual!W179)</f>
        <v/>
      </c>
      <c r="AN179" s="156">
        <f>IF(A179="","",posicao_contratual!X179)</f>
        <v/>
      </c>
      <c r="AO179">
        <f>IF($A179="","",ROUND(SUMIFS(itens_Consumidos!$E$2:$E$200,itens_Consumidos!$A$2:$A$200,$A179),2))</f>
        <v/>
      </c>
      <c r="AP179">
        <f>IF(OR($A179="",AB179=""),"",ROUND(MAX(AB179-AO179,0),2))</f>
        <v/>
      </c>
      <c r="AQ179">
        <f>IF(OR($A179="",AB179="",MEMORIA_RESULTADOS!$I$258=""),"",ROUND(AB179*$C179*(MEMORIA_RESULTADOS!$I$258-1),2))</f>
        <v/>
      </c>
      <c r="AR179">
        <f>IF(OR($A179="",AP179="",MEMORIA_RESULTADOS!$I$258=""),"",ROUND(AP179*$C179*(parametros!$F$2-MEMORIA_RESULTADOS!$I$258),2))</f>
        <v/>
      </c>
      <c r="AS179">
        <f>IF($A179="","",ROUND(SUMIFS(itens_Consumidos!$G$2:$G$200,itens_Consumidos!$A$2:$A$200,$A179),2))</f>
        <v/>
      </c>
      <c r="AT179">
        <f>IF(OR($A179="",M179=""),"",ROUND(MAX(M179-AS179,0),2))</f>
        <v/>
      </c>
      <c r="AU179">
        <f>IF(OR($A179="",M179="",MEMORIA_RESULTADOS!$I$259=""),"",ROUND(M179*$C179*(MEMORIA_RESULTADOS!$I$259-1),2))</f>
        <v/>
      </c>
      <c r="AV179">
        <f>IF(OR($A179="",AT179="",MEMORIA_RESULTADOS!$I$259=""),"",ROUND(AT179*$C179*(parametros!$F$3-MEMORIA_RESULTADOS!$I$259),2))</f>
        <v/>
      </c>
      <c r="AW179">
        <f>IF($A179="","",ROUND(SUMIFS(itens_Consumidos!$I$2:$I$200,itens_Consumidos!$A$2:$A$200,$A179),2))</f>
        <v/>
      </c>
      <c r="AX179">
        <f>IF(OR($A179="",O179=""),"",ROUND(MAX(O179-AW179,0),2))</f>
        <v/>
      </c>
      <c r="AY179">
        <f>IF(OR($A179="",O179="",MEMORIA_RESULTADOS!$I$260=""),"",ROUND(O179*$C179*(MEMORIA_RESULTADOS!$I$260-1),2))</f>
        <v/>
      </c>
      <c r="AZ179">
        <f>IF(OR($A179="",AX179="",MEMORIA_RESULTADOS!$I$260=""),"",ROUND(AX179*$C179*(parametros!$F$4-MEMORIA_RESULTADOS!$I$260),2))</f>
        <v/>
      </c>
      <c r="BA179">
        <f>IF($A179="","",ROUND(SUMIFS(itens_Consumidos!$K$2:$K$200,itens_Consumidos!$A$2:$A$200,$A179),2))</f>
        <v/>
      </c>
      <c r="BB179">
        <f>IF(OR($A179="",Q179=""),"",ROUND(MAX(Q179-BA179,0),2))</f>
        <v/>
      </c>
      <c r="BC179">
        <f>IF(OR($A179="",Q179="",MEMORIA_RESULTADOS!$I$261=""),"",ROUND(Q179*$C179*(MEMORIA_RESULTADOS!$I$261-1),2))</f>
        <v/>
      </c>
      <c r="BD179">
        <f>IF(OR($A179="",BB179="",MEMORIA_RESULTADOS!$I$261=""),"",ROUND(BB179*$C179*(parametros!$F$5-MEMORIA_RESULTADOS!$I$261),2))</f>
        <v/>
      </c>
      <c r="BE179">
        <f>IF($A179="","",ROUND(SUMIFS(itens_Consumidos!$M$2:$M$200,itens_Consumidos!$A$2:$A$200,$A179),2))</f>
        <v/>
      </c>
      <c r="BF179">
        <f>IF(OR($A179="",S179=""),"",ROUND(MAX(S179-BE179,0),2))</f>
        <v/>
      </c>
      <c r="BG179">
        <f>IF(OR($A179="",S179="",MEMORIA_RESULTADOS!$I$262=""),"",ROUND(S179*$C179*(MEMORIA_RESULTADOS!$I$262-1),2))</f>
        <v/>
      </c>
      <c r="BH179">
        <f>IF(OR($A179="",BF179="",MEMORIA_RESULTADOS!$I$262=""),"",ROUND(BF179*$C179*(parametros!$F$6-MEMORIA_RESULTADOS!$I$262),2))</f>
        <v/>
      </c>
    </row>
    <row r="180">
      <c r="A180" s="86" t="n"/>
      <c r="B180" s="87">
        <f>IF(AND(LEN(TRIM($A180))=4,LEFT(TRIM($A180),1)="N",ISNUMBER(--MID(TRIM($A180),2,3)),ISERROR(FIND(".",$A180)),ISERROR(FIND(",",$A180)),ISERROR(FIND("-",$A180)),ISERROR(FIND("+",$A180)),ISERROR(SEARCH("E",$A180,2)),ISERROR(FIND(" ",TRIM($A180)))),0,"")</f>
        <v/>
      </c>
      <c r="C180" s="339" t="n"/>
      <c r="D180" s="335">
        <f>IF(AND(A180="",A179&lt;&gt;"",COUNTIF(A181:$A$200,"&lt;&gt;")=0),ROUND(SUMIF($A$2:A179,"&lt;&gt;",$D$2:D179),2),IF(OR(A180="",B180="",C180=""),"",ROUND(B180*C180,2)))</f>
        <v/>
      </c>
      <c r="E180" s="89" t="n"/>
      <c r="F180" s="335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 t="n"/>
      <c r="H180" s="335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 t="n"/>
      <c r="J180" s="335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 t="n"/>
      <c r="L180" s="335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>
        <f>IF(OR(posicao_contratual!J180="",posicao_contratual!N180=""),"",ROUND(MAX(posicao_contratual!J180+posicao_contratual!H180-posicao_contratual!N180,0),2))</f>
        <v/>
      </c>
      <c r="N180" s="335">
        <f>IF(AND(A180="",A179&lt;&gt;"",COUNTIF(A181:$A$200,"&lt;&gt;")=0),ROUND(SUMIF($A$2:A179,"&lt;&gt;",$N$2:N179),2),IF(OR(M180="",C180="",NOT(ISNUMBER($Z$3))),"",ROUND(M180*C180*$Z$3,2)))</f>
        <v/>
      </c>
      <c r="O180" s="90">
        <f>IF(OR(posicao_contratual!N180="",posicao_contratual!R180=""),"",ROUND(MAX(posicao_contratual!N180+posicao_contratual!L180-posicao_contratual!R180,0),2))</f>
        <v/>
      </c>
      <c r="P180" s="335">
        <f>IF(AND(A180="",A179&lt;&gt;"",COUNTIF(A181:$A$200,"&lt;&gt;")=0),ROUND(SUMIF($A$2:A179,"&lt;&gt;",$P$2:P179),2),IF(OR(O180="",C180="",NOT(ISNUMBER($Z$4))),"",ROUND(O180*C180*$Z$4,2)))</f>
        <v/>
      </c>
      <c r="Q180" s="90">
        <f>IF(OR(posicao_contratual!R180="",posicao_contratual!V180=""),"",ROUND(MAX(posicao_contratual!R180+posicao_contratual!P180-posicao_contratual!V180,0),2))</f>
        <v/>
      </c>
      <c r="R180" s="335">
        <f>IF(AND(A180="",A179&lt;&gt;"",COUNTIF(A181:$A$200,"&lt;&gt;")=0),ROUND(SUMIF($A$2:A179,"&lt;&gt;",$R$2:R179),2),IF(OR(Q180="",C180="",NOT(ISNUMBER($Z$5))),"",ROUND(Q180*C180*$Z$5,2)))</f>
        <v/>
      </c>
      <c r="S180" s="43" t="n"/>
      <c r="T180" s="342" t="n"/>
      <c r="U180" s="91">
        <f>IF(AND(A180="",A179&lt;&gt;"",COUNTIF(A181:$A$200,"&lt;&gt;")=0),"TOTAL",IF(A180="","",posicao_contratual!X180))</f>
        <v/>
      </c>
      <c r="V180" s="91">
        <f>IF(A180="","",posicao_contratual!X180)</f>
        <v/>
      </c>
      <c r="W180" s="13" t="n"/>
      <c r="X180" s="13" t="n"/>
      <c r="Y180" s="13" t="n"/>
      <c r="Z180" s="13" t="n"/>
      <c r="AA180" s="13" t="n"/>
      <c r="AB180" s="90">
        <f>IF(OR(A180="",posicao_contratual!E180="",posicao_contratual!J180=""),"",ROUND(MAX(posicao_contratual!E180-posicao_contratual!J180,0),2))</f>
        <v/>
      </c>
      <c r="AC180" s="335">
        <f>IF(AND(A180="",A179&lt;&gt;"",COUNTIF(A181:$A$200,"&lt;&gt;")=0),ROUND(SUMIF($A$2:A179,"&lt;&gt;",$AC$2:AC179),2),IF(OR(AB180="",C180="",NOT(ISNUMBER($Z$2))),"",ROUND(AB180*C180*$Z$2,2)))</f>
        <v/>
      </c>
      <c r="AD180" s="155">
        <f>IF(A180="","",posicao_contratual!E180)</f>
        <v/>
      </c>
      <c r="AE180" s="155">
        <f>IF(A180="","",posicao_contratual!I180)</f>
        <v/>
      </c>
      <c r="AF180" s="155">
        <f>IF(A180="","",posicao_contratual!M180)</f>
        <v/>
      </c>
      <c r="AG180" s="155">
        <f>IF(A180="","",posicao_contratual!Q180)</f>
        <v/>
      </c>
      <c r="AH180" s="155">
        <f>IF(A180="","",posicao_contratual!U180)</f>
        <v/>
      </c>
      <c r="AI180" s="155">
        <f>IF(A180="","",posicao_contratual!G180)</f>
        <v/>
      </c>
      <c r="AJ180" s="155">
        <f>IF(A180="","",posicao_contratual!K180)</f>
        <v/>
      </c>
      <c r="AK180" s="155">
        <f>IF(A180="","",posicao_contratual!O180)</f>
        <v/>
      </c>
      <c r="AL180" s="155">
        <f>IF(A180="","",posicao_contratual!S180)</f>
        <v/>
      </c>
      <c r="AM180" s="155">
        <f>IF(A180="","",posicao_contratual!W180)</f>
        <v/>
      </c>
      <c r="AN180" s="156">
        <f>IF(A180="","",posicao_contratual!X180)</f>
        <v/>
      </c>
      <c r="AO180">
        <f>IF($A180="","",ROUND(SUMIFS(itens_Consumidos!$E$2:$E$200,itens_Consumidos!$A$2:$A$200,$A180),2))</f>
        <v/>
      </c>
      <c r="AP180">
        <f>IF(OR($A180="",AB180=""),"",ROUND(MAX(AB180-AO180,0),2))</f>
        <v/>
      </c>
      <c r="AQ180">
        <f>IF(OR($A180="",AB180="",MEMORIA_RESULTADOS!$I$258=""),"",ROUND(AB180*$C180*(MEMORIA_RESULTADOS!$I$258-1),2))</f>
        <v/>
      </c>
      <c r="AR180">
        <f>IF(OR($A180="",AP180="",MEMORIA_RESULTADOS!$I$258=""),"",ROUND(AP180*$C180*(parametros!$F$2-MEMORIA_RESULTADOS!$I$258),2))</f>
        <v/>
      </c>
      <c r="AS180">
        <f>IF($A180="","",ROUND(SUMIFS(itens_Consumidos!$G$2:$G$200,itens_Consumidos!$A$2:$A$200,$A180),2))</f>
        <v/>
      </c>
      <c r="AT180">
        <f>IF(OR($A180="",M180=""),"",ROUND(MAX(M180-AS180,0),2))</f>
        <v/>
      </c>
      <c r="AU180">
        <f>IF(OR($A180="",M180="",MEMORIA_RESULTADOS!$I$259=""),"",ROUND(M180*$C180*(MEMORIA_RESULTADOS!$I$259-1),2))</f>
        <v/>
      </c>
      <c r="AV180">
        <f>IF(OR($A180="",AT180="",MEMORIA_RESULTADOS!$I$259=""),"",ROUND(AT180*$C180*(parametros!$F$3-MEMORIA_RESULTADOS!$I$259),2))</f>
        <v/>
      </c>
      <c r="AW180">
        <f>IF($A180="","",ROUND(SUMIFS(itens_Consumidos!$I$2:$I$200,itens_Consumidos!$A$2:$A$200,$A180),2))</f>
        <v/>
      </c>
      <c r="AX180">
        <f>IF(OR($A180="",O180=""),"",ROUND(MAX(O180-AW180,0),2))</f>
        <v/>
      </c>
      <c r="AY180">
        <f>IF(OR($A180="",O180="",MEMORIA_RESULTADOS!$I$260=""),"",ROUND(O180*$C180*(MEMORIA_RESULTADOS!$I$260-1),2))</f>
        <v/>
      </c>
      <c r="AZ180">
        <f>IF(OR($A180="",AX180="",MEMORIA_RESULTADOS!$I$260=""),"",ROUND(AX180*$C180*(parametros!$F$4-MEMORIA_RESULTADOS!$I$260),2))</f>
        <v/>
      </c>
      <c r="BA180">
        <f>IF($A180="","",ROUND(SUMIFS(itens_Consumidos!$K$2:$K$200,itens_Consumidos!$A$2:$A$200,$A180),2))</f>
        <v/>
      </c>
      <c r="BB180">
        <f>IF(OR($A180="",Q180=""),"",ROUND(MAX(Q180-BA180,0),2))</f>
        <v/>
      </c>
      <c r="BC180">
        <f>IF(OR($A180="",Q180="",MEMORIA_RESULTADOS!$I$261=""),"",ROUND(Q180*$C180*(MEMORIA_RESULTADOS!$I$261-1),2))</f>
        <v/>
      </c>
      <c r="BD180">
        <f>IF(OR($A180="",BB180="",MEMORIA_RESULTADOS!$I$261=""),"",ROUND(BB180*$C180*(parametros!$F$5-MEMORIA_RESULTADOS!$I$261),2))</f>
        <v/>
      </c>
      <c r="BE180">
        <f>IF($A180="","",ROUND(SUMIFS(itens_Consumidos!$M$2:$M$200,itens_Consumidos!$A$2:$A$200,$A180),2))</f>
        <v/>
      </c>
      <c r="BF180">
        <f>IF(OR($A180="",S180=""),"",ROUND(MAX(S180-BE180,0),2))</f>
        <v/>
      </c>
      <c r="BG180">
        <f>IF(OR($A180="",S180="",MEMORIA_RESULTADOS!$I$262=""),"",ROUND(S180*$C180*(MEMORIA_RESULTADOS!$I$262-1),2))</f>
        <v/>
      </c>
      <c r="BH180">
        <f>IF(OR($A180="",BF180="",MEMORIA_RESULTADOS!$I$262=""),"",ROUND(BF180*$C180*(parametros!$F$6-MEMORIA_RESULTADOS!$I$262),2))</f>
        <v/>
      </c>
    </row>
    <row r="181">
      <c r="A181" s="86" t="n"/>
      <c r="B181" s="87">
        <f>IF(AND(LEN(TRIM($A181))=4,LEFT(TRIM($A181),1)="N",ISNUMBER(--MID(TRIM($A181),2,3)),ISERROR(FIND(".",$A181)),ISERROR(FIND(",",$A181)),ISERROR(FIND("-",$A181)),ISERROR(FIND("+",$A181)),ISERROR(SEARCH("E",$A181,2)),ISERROR(FIND(" ",TRIM($A181)))),0,"")</f>
        <v/>
      </c>
      <c r="C181" s="339" t="n"/>
      <c r="D181" s="335">
        <f>IF(AND(A181="",A180&lt;&gt;"",COUNTIF(A182:$A$200,"&lt;&gt;")=0),ROUND(SUMIF($A$2:A180,"&lt;&gt;",$D$2:D180),2),IF(OR(A181="",B181="",C181=""),"",ROUND(B181*C181,2)))</f>
        <v/>
      </c>
      <c r="E181" s="89" t="n"/>
      <c r="F181" s="335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 t="n"/>
      <c r="H181" s="335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 t="n"/>
      <c r="J181" s="335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 t="n"/>
      <c r="L181" s="335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>
        <f>IF(OR(posicao_contratual!J181="",posicao_contratual!N181=""),"",ROUND(MAX(posicao_contratual!J181+posicao_contratual!H181-posicao_contratual!N181,0),2))</f>
        <v/>
      </c>
      <c r="N181" s="335">
        <f>IF(AND(A181="",A180&lt;&gt;"",COUNTIF(A182:$A$200,"&lt;&gt;")=0),ROUND(SUMIF($A$2:A180,"&lt;&gt;",$N$2:N180),2),IF(OR(M181="",C181="",NOT(ISNUMBER($Z$3))),"",ROUND(M181*C181*$Z$3,2)))</f>
        <v/>
      </c>
      <c r="O181" s="90">
        <f>IF(OR(posicao_contratual!N181="",posicao_contratual!R181=""),"",ROUND(MAX(posicao_contratual!N181+posicao_contratual!L181-posicao_contratual!R181,0),2))</f>
        <v/>
      </c>
      <c r="P181" s="335">
        <f>IF(AND(A181="",A180&lt;&gt;"",COUNTIF(A182:$A$200,"&lt;&gt;")=0),ROUND(SUMIF($A$2:A180,"&lt;&gt;",$P$2:P180),2),IF(OR(O181="",C181="",NOT(ISNUMBER($Z$4))),"",ROUND(O181*C181*$Z$4,2)))</f>
        <v/>
      </c>
      <c r="Q181" s="90">
        <f>IF(OR(posicao_contratual!R181="",posicao_contratual!V181=""),"",ROUND(MAX(posicao_contratual!R181+posicao_contratual!P181-posicao_contratual!V181,0),2))</f>
        <v/>
      </c>
      <c r="R181" s="335">
        <f>IF(AND(A181="",A180&lt;&gt;"",COUNTIF(A182:$A$200,"&lt;&gt;")=0),ROUND(SUMIF($A$2:A180,"&lt;&gt;",$R$2:R180),2),IF(OR(Q181="",C181="",NOT(ISNUMBER($Z$5))),"",ROUND(Q181*C181*$Z$5,2)))</f>
        <v/>
      </c>
      <c r="S181" s="43" t="n"/>
      <c r="T181" s="342" t="n"/>
      <c r="U181" s="91">
        <f>IF(AND(A181="",A180&lt;&gt;"",COUNTIF(A182:$A$200,"&lt;&gt;")=0),"TOTAL",IF(A181="","",posicao_contratual!X181))</f>
        <v/>
      </c>
      <c r="V181" s="91">
        <f>IF(A181="","",posicao_contratual!X181)</f>
        <v/>
      </c>
      <c r="W181" s="13" t="n"/>
      <c r="X181" s="13" t="n"/>
      <c r="Y181" s="13" t="n"/>
      <c r="Z181" s="13" t="n"/>
      <c r="AA181" s="13" t="n"/>
      <c r="AB181" s="90">
        <f>IF(OR(A181="",posicao_contratual!E181="",posicao_contratual!J181=""),"",ROUND(MAX(posicao_contratual!E181-posicao_contratual!J181,0),2))</f>
        <v/>
      </c>
      <c r="AC181" s="335">
        <f>IF(AND(A181="",A180&lt;&gt;"",COUNTIF(A182:$A$200,"&lt;&gt;")=0),ROUND(SUMIF($A$2:A180,"&lt;&gt;",$AC$2:AC180),2),IF(OR(AB181="",C181="",NOT(ISNUMBER($Z$2))),"",ROUND(AB181*C181*$Z$2,2)))</f>
        <v/>
      </c>
      <c r="AD181" s="155">
        <f>IF(A181="","",posicao_contratual!E181)</f>
        <v/>
      </c>
      <c r="AE181" s="155">
        <f>IF(A181="","",posicao_contratual!I181)</f>
        <v/>
      </c>
      <c r="AF181" s="155">
        <f>IF(A181="","",posicao_contratual!M181)</f>
        <v/>
      </c>
      <c r="AG181" s="155">
        <f>IF(A181="","",posicao_contratual!Q181)</f>
        <v/>
      </c>
      <c r="AH181" s="155">
        <f>IF(A181="","",posicao_contratual!U181)</f>
        <v/>
      </c>
      <c r="AI181" s="155">
        <f>IF(A181="","",posicao_contratual!G181)</f>
        <v/>
      </c>
      <c r="AJ181" s="155">
        <f>IF(A181="","",posicao_contratual!K181)</f>
        <v/>
      </c>
      <c r="AK181" s="155">
        <f>IF(A181="","",posicao_contratual!O181)</f>
        <v/>
      </c>
      <c r="AL181" s="155">
        <f>IF(A181="","",posicao_contratual!S181)</f>
        <v/>
      </c>
      <c r="AM181" s="155">
        <f>IF(A181="","",posicao_contratual!W181)</f>
        <v/>
      </c>
      <c r="AN181" s="156">
        <f>IF(A181="","",posicao_contratual!X181)</f>
        <v/>
      </c>
      <c r="AO181">
        <f>IF($A181="","",ROUND(SUMIFS(itens_Consumidos!$E$2:$E$200,itens_Consumidos!$A$2:$A$200,$A181),2))</f>
        <v/>
      </c>
      <c r="AP181">
        <f>IF(OR($A181="",AB181=""),"",ROUND(MAX(AB181-AO181,0),2))</f>
        <v/>
      </c>
      <c r="AQ181">
        <f>IF(OR($A181="",AB181="",MEMORIA_RESULTADOS!$I$258=""),"",ROUND(AB181*$C181*(MEMORIA_RESULTADOS!$I$258-1),2))</f>
        <v/>
      </c>
      <c r="AR181">
        <f>IF(OR($A181="",AP181="",MEMORIA_RESULTADOS!$I$258=""),"",ROUND(AP181*$C181*(parametros!$F$2-MEMORIA_RESULTADOS!$I$258),2))</f>
        <v/>
      </c>
      <c r="AS181">
        <f>IF($A181="","",ROUND(SUMIFS(itens_Consumidos!$G$2:$G$200,itens_Consumidos!$A$2:$A$200,$A181),2))</f>
        <v/>
      </c>
      <c r="AT181">
        <f>IF(OR($A181="",M181=""),"",ROUND(MAX(M181-AS181,0),2))</f>
        <v/>
      </c>
      <c r="AU181">
        <f>IF(OR($A181="",M181="",MEMORIA_RESULTADOS!$I$259=""),"",ROUND(M181*$C181*(MEMORIA_RESULTADOS!$I$259-1),2))</f>
        <v/>
      </c>
      <c r="AV181">
        <f>IF(OR($A181="",AT181="",MEMORIA_RESULTADOS!$I$259=""),"",ROUND(AT181*$C181*(parametros!$F$3-MEMORIA_RESULTADOS!$I$259),2))</f>
        <v/>
      </c>
      <c r="AW181">
        <f>IF($A181="","",ROUND(SUMIFS(itens_Consumidos!$I$2:$I$200,itens_Consumidos!$A$2:$A$200,$A181),2))</f>
        <v/>
      </c>
      <c r="AX181">
        <f>IF(OR($A181="",O181=""),"",ROUND(MAX(O181-AW181,0),2))</f>
        <v/>
      </c>
      <c r="AY181">
        <f>IF(OR($A181="",O181="",MEMORIA_RESULTADOS!$I$260=""),"",ROUND(O181*$C181*(MEMORIA_RESULTADOS!$I$260-1),2))</f>
        <v/>
      </c>
      <c r="AZ181">
        <f>IF(OR($A181="",AX181="",MEMORIA_RESULTADOS!$I$260=""),"",ROUND(AX181*$C181*(parametros!$F$4-MEMORIA_RESULTADOS!$I$260),2))</f>
        <v/>
      </c>
      <c r="BA181">
        <f>IF($A181="","",ROUND(SUMIFS(itens_Consumidos!$K$2:$K$200,itens_Consumidos!$A$2:$A$200,$A181),2))</f>
        <v/>
      </c>
      <c r="BB181">
        <f>IF(OR($A181="",Q181=""),"",ROUND(MAX(Q181-BA181,0),2))</f>
        <v/>
      </c>
      <c r="BC181">
        <f>IF(OR($A181="",Q181="",MEMORIA_RESULTADOS!$I$261=""),"",ROUND(Q181*$C181*(MEMORIA_RESULTADOS!$I$261-1),2))</f>
        <v/>
      </c>
      <c r="BD181">
        <f>IF(OR($A181="",BB181="",MEMORIA_RESULTADOS!$I$261=""),"",ROUND(BB181*$C181*(parametros!$F$5-MEMORIA_RESULTADOS!$I$261),2))</f>
        <v/>
      </c>
      <c r="BE181">
        <f>IF($A181="","",ROUND(SUMIFS(itens_Consumidos!$M$2:$M$200,itens_Consumidos!$A$2:$A$200,$A181),2))</f>
        <v/>
      </c>
      <c r="BF181">
        <f>IF(OR($A181="",S181=""),"",ROUND(MAX(S181-BE181,0),2))</f>
        <v/>
      </c>
      <c r="BG181">
        <f>IF(OR($A181="",S181="",MEMORIA_RESULTADOS!$I$262=""),"",ROUND(S181*$C181*(MEMORIA_RESULTADOS!$I$262-1),2))</f>
        <v/>
      </c>
      <c r="BH181">
        <f>IF(OR($A181="",BF181="",MEMORIA_RESULTADOS!$I$262=""),"",ROUND(BF181*$C181*(parametros!$F$6-MEMORIA_RESULTADOS!$I$262),2))</f>
        <v/>
      </c>
    </row>
    <row r="182">
      <c r="A182" s="86" t="n"/>
      <c r="B182" s="87">
        <f>IF(AND(LEN(TRIM($A182))=4,LEFT(TRIM($A182),1)="N",ISNUMBER(--MID(TRIM($A182),2,3)),ISERROR(FIND(".",$A182)),ISERROR(FIND(",",$A182)),ISERROR(FIND("-",$A182)),ISERROR(FIND("+",$A182)),ISERROR(SEARCH("E",$A182,2)),ISERROR(FIND(" ",TRIM($A182)))),0,"")</f>
        <v/>
      </c>
      <c r="C182" s="339" t="n"/>
      <c r="D182" s="335">
        <f>IF(AND(A182="",A181&lt;&gt;"",COUNTIF(A183:$A$200,"&lt;&gt;")=0),ROUND(SUMIF($A$2:A181,"&lt;&gt;",$D$2:D181),2),IF(OR(A182="",B182="",C182=""),"",ROUND(B182*C182,2)))</f>
        <v/>
      </c>
      <c r="E182" s="89" t="n"/>
      <c r="F182" s="335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 t="n"/>
      <c r="H182" s="335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 t="n"/>
      <c r="J182" s="335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 t="n"/>
      <c r="L182" s="335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>
        <f>IF(OR(posicao_contratual!J182="",posicao_contratual!N182=""),"",ROUND(MAX(posicao_contratual!J182+posicao_contratual!H182-posicao_contratual!N182,0),2))</f>
        <v/>
      </c>
      <c r="N182" s="335">
        <f>IF(AND(A182="",A181&lt;&gt;"",COUNTIF(A183:$A$200,"&lt;&gt;")=0),ROUND(SUMIF($A$2:A181,"&lt;&gt;",$N$2:N181),2),IF(OR(M182="",C182="",NOT(ISNUMBER($Z$3))),"",ROUND(M182*C182*$Z$3,2)))</f>
        <v/>
      </c>
      <c r="O182" s="90">
        <f>IF(OR(posicao_contratual!N182="",posicao_contratual!R182=""),"",ROUND(MAX(posicao_contratual!N182+posicao_contratual!L182-posicao_contratual!R182,0),2))</f>
        <v/>
      </c>
      <c r="P182" s="335">
        <f>IF(AND(A182="",A181&lt;&gt;"",COUNTIF(A183:$A$200,"&lt;&gt;")=0),ROUND(SUMIF($A$2:A181,"&lt;&gt;",$P$2:P181),2),IF(OR(O182="",C182="",NOT(ISNUMBER($Z$4))),"",ROUND(O182*C182*$Z$4,2)))</f>
        <v/>
      </c>
      <c r="Q182" s="90">
        <f>IF(OR(posicao_contratual!R182="",posicao_contratual!V182=""),"",ROUND(MAX(posicao_contratual!R182+posicao_contratual!P182-posicao_contratual!V182,0),2))</f>
        <v/>
      </c>
      <c r="R182" s="335">
        <f>IF(AND(A182="",A181&lt;&gt;"",COUNTIF(A183:$A$200,"&lt;&gt;")=0),ROUND(SUMIF($A$2:A181,"&lt;&gt;",$R$2:R181),2),IF(OR(Q182="",C182="",NOT(ISNUMBER($Z$5))),"",ROUND(Q182*C182*$Z$5,2)))</f>
        <v/>
      </c>
      <c r="S182" s="43" t="n"/>
      <c r="T182" s="342" t="n"/>
      <c r="U182" s="91">
        <f>IF(AND(A182="",A181&lt;&gt;"",COUNTIF(A183:$A$200,"&lt;&gt;")=0),"TOTAL",IF(A182="","",posicao_contratual!X182))</f>
        <v/>
      </c>
      <c r="V182" s="91">
        <f>IF(A182="","",posicao_contratual!X182)</f>
        <v/>
      </c>
      <c r="W182" s="13" t="n"/>
      <c r="X182" s="13" t="n"/>
      <c r="Y182" s="13" t="n"/>
      <c r="Z182" s="13" t="n"/>
      <c r="AA182" s="13" t="n"/>
      <c r="AB182" s="90">
        <f>IF(OR(A182="",posicao_contratual!E182="",posicao_contratual!J182=""),"",ROUND(MAX(posicao_contratual!E182-posicao_contratual!J182,0),2))</f>
        <v/>
      </c>
      <c r="AC182" s="335">
        <f>IF(AND(A182="",A181&lt;&gt;"",COUNTIF(A183:$A$200,"&lt;&gt;")=0),ROUND(SUMIF($A$2:A181,"&lt;&gt;",$AC$2:AC181),2),IF(OR(AB182="",C182="",NOT(ISNUMBER($Z$2))),"",ROUND(AB182*C182*$Z$2,2)))</f>
        <v/>
      </c>
      <c r="AD182" s="155">
        <f>IF(A182="","",posicao_contratual!E182)</f>
        <v/>
      </c>
      <c r="AE182" s="155">
        <f>IF(A182="","",posicao_contratual!I182)</f>
        <v/>
      </c>
      <c r="AF182" s="155">
        <f>IF(A182="","",posicao_contratual!M182)</f>
        <v/>
      </c>
      <c r="AG182" s="155">
        <f>IF(A182="","",posicao_contratual!Q182)</f>
        <v/>
      </c>
      <c r="AH182" s="155">
        <f>IF(A182="","",posicao_contratual!U182)</f>
        <v/>
      </c>
      <c r="AI182" s="155">
        <f>IF(A182="","",posicao_contratual!G182)</f>
        <v/>
      </c>
      <c r="AJ182" s="155">
        <f>IF(A182="","",posicao_contratual!K182)</f>
        <v/>
      </c>
      <c r="AK182" s="155">
        <f>IF(A182="","",posicao_contratual!O182)</f>
        <v/>
      </c>
      <c r="AL182" s="155">
        <f>IF(A182="","",posicao_contratual!S182)</f>
        <v/>
      </c>
      <c r="AM182" s="155">
        <f>IF(A182="","",posicao_contratual!W182)</f>
        <v/>
      </c>
      <c r="AN182" s="156">
        <f>IF(A182="","",posicao_contratual!X182)</f>
        <v/>
      </c>
      <c r="AO182">
        <f>IF($A182="","",ROUND(SUMIFS(itens_Consumidos!$E$2:$E$200,itens_Consumidos!$A$2:$A$200,$A182),2))</f>
        <v/>
      </c>
      <c r="AP182">
        <f>IF(OR($A182="",AB182=""),"",ROUND(MAX(AB182-AO182,0),2))</f>
        <v/>
      </c>
      <c r="AQ182">
        <f>IF(OR($A182="",AB182="",MEMORIA_RESULTADOS!$I$258=""),"",ROUND(AB182*$C182*(MEMORIA_RESULTADOS!$I$258-1),2))</f>
        <v/>
      </c>
      <c r="AR182">
        <f>IF(OR($A182="",AP182="",MEMORIA_RESULTADOS!$I$258=""),"",ROUND(AP182*$C182*(parametros!$F$2-MEMORIA_RESULTADOS!$I$258),2))</f>
        <v/>
      </c>
      <c r="AS182">
        <f>IF($A182="","",ROUND(SUMIFS(itens_Consumidos!$G$2:$G$200,itens_Consumidos!$A$2:$A$200,$A182),2))</f>
        <v/>
      </c>
      <c r="AT182">
        <f>IF(OR($A182="",M182=""),"",ROUND(MAX(M182-AS182,0),2))</f>
        <v/>
      </c>
      <c r="AU182">
        <f>IF(OR($A182="",M182="",MEMORIA_RESULTADOS!$I$259=""),"",ROUND(M182*$C182*(MEMORIA_RESULTADOS!$I$259-1),2))</f>
        <v/>
      </c>
      <c r="AV182">
        <f>IF(OR($A182="",AT182="",MEMORIA_RESULTADOS!$I$259=""),"",ROUND(AT182*$C182*(parametros!$F$3-MEMORIA_RESULTADOS!$I$259),2))</f>
        <v/>
      </c>
      <c r="AW182">
        <f>IF($A182="","",ROUND(SUMIFS(itens_Consumidos!$I$2:$I$200,itens_Consumidos!$A$2:$A$200,$A182),2))</f>
        <v/>
      </c>
      <c r="AX182">
        <f>IF(OR($A182="",O182=""),"",ROUND(MAX(O182-AW182,0),2))</f>
        <v/>
      </c>
      <c r="AY182">
        <f>IF(OR($A182="",O182="",MEMORIA_RESULTADOS!$I$260=""),"",ROUND(O182*$C182*(MEMORIA_RESULTADOS!$I$260-1),2))</f>
        <v/>
      </c>
      <c r="AZ182">
        <f>IF(OR($A182="",AX182="",MEMORIA_RESULTADOS!$I$260=""),"",ROUND(AX182*$C182*(parametros!$F$4-MEMORIA_RESULTADOS!$I$260),2))</f>
        <v/>
      </c>
      <c r="BA182">
        <f>IF($A182="","",ROUND(SUMIFS(itens_Consumidos!$K$2:$K$200,itens_Consumidos!$A$2:$A$200,$A182),2))</f>
        <v/>
      </c>
      <c r="BB182">
        <f>IF(OR($A182="",Q182=""),"",ROUND(MAX(Q182-BA182,0),2))</f>
        <v/>
      </c>
      <c r="BC182">
        <f>IF(OR($A182="",Q182="",MEMORIA_RESULTADOS!$I$261=""),"",ROUND(Q182*$C182*(MEMORIA_RESULTADOS!$I$261-1),2))</f>
        <v/>
      </c>
      <c r="BD182">
        <f>IF(OR($A182="",BB182="",MEMORIA_RESULTADOS!$I$261=""),"",ROUND(BB182*$C182*(parametros!$F$5-MEMORIA_RESULTADOS!$I$261),2))</f>
        <v/>
      </c>
      <c r="BE182">
        <f>IF($A182="","",ROUND(SUMIFS(itens_Consumidos!$M$2:$M$200,itens_Consumidos!$A$2:$A$200,$A182),2))</f>
        <v/>
      </c>
      <c r="BF182">
        <f>IF(OR($A182="",S182=""),"",ROUND(MAX(S182-BE182,0),2))</f>
        <v/>
      </c>
      <c r="BG182">
        <f>IF(OR($A182="",S182="",MEMORIA_RESULTADOS!$I$262=""),"",ROUND(S182*$C182*(MEMORIA_RESULTADOS!$I$262-1),2))</f>
        <v/>
      </c>
      <c r="BH182">
        <f>IF(OR($A182="",BF182="",MEMORIA_RESULTADOS!$I$262=""),"",ROUND(BF182*$C182*(parametros!$F$6-MEMORIA_RESULTADOS!$I$262),2))</f>
        <v/>
      </c>
    </row>
    <row r="183">
      <c r="A183" s="86" t="n"/>
      <c r="B183" s="87">
        <f>IF(AND(LEN(TRIM($A183))=4,LEFT(TRIM($A183),1)="N",ISNUMBER(--MID(TRIM($A183),2,3)),ISERROR(FIND(".",$A183)),ISERROR(FIND(",",$A183)),ISERROR(FIND("-",$A183)),ISERROR(FIND("+",$A183)),ISERROR(SEARCH("E",$A183,2)),ISERROR(FIND(" ",TRIM($A183)))),0,"")</f>
        <v/>
      </c>
      <c r="C183" s="339" t="n"/>
      <c r="D183" s="335">
        <f>IF(AND(A183="",A182&lt;&gt;"",COUNTIF(A184:$A$200,"&lt;&gt;")=0),ROUND(SUMIF($A$2:A182,"&lt;&gt;",$D$2:D182),2),IF(OR(A183="",B183="",C183=""),"",ROUND(B183*C183,2)))</f>
        <v/>
      </c>
      <c r="E183" s="89" t="n"/>
      <c r="F183" s="335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 t="n"/>
      <c r="H183" s="335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 t="n"/>
      <c r="J183" s="335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 t="n"/>
      <c r="L183" s="335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>
        <f>IF(OR(posicao_contratual!J183="",posicao_contratual!N183=""),"",ROUND(MAX(posicao_contratual!J183+posicao_contratual!H183-posicao_contratual!N183,0),2))</f>
        <v/>
      </c>
      <c r="N183" s="335">
        <f>IF(AND(A183="",A182&lt;&gt;"",COUNTIF(A184:$A$200,"&lt;&gt;")=0),ROUND(SUMIF($A$2:A182,"&lt;&gt;",$N$2:N182),2),IF(OR(M183="",C183="",NOT(ISNUMBER($Z$3))),"",ROUND(M183*C183*$Z$3,2)))</f>
        <v/>
      </c>
      <c r="O183" s="90">
        <f>IF(OR(posicao_contratual!N183="",posicao_contratual!R183=""),"",ROUND(MAX(posicao_contratual!N183+posicao_contratual!L183-posicao_contratual!R183,0),2))</f>
        <v/>
      </c>
      <c r="P183" s="335">
        <f>IF(AND(A183="",A182&lt;&gt;"",COUNTIF(A184:$A$200,"&lt;&gt;")=0),ROUND(SUMIF($A$2:A182,"&lt;&gt;",$P$2:P182),2),IF(OR(O183="",C183="",NOT(ISNUMBER($Z$4))),"",ROUND(O183*C183*$Z$4,2)))</f>
        <v/>
      </c>
      <c r="Q183" s="90">
        <f>IF(OR(posicao_contratual!R183="",posicao_contratual!V183=""),"",ROUND(MAX(posicao_contratual!R183+posicao_contratual!P183-posicao_contratual!V183,0),2))</f>
        <v/>
      </c>
      <c r="R183" s="335">
        <f>IF(AND(A183="",A182&lt;&gt;"",COUNTIF(A184:$A$200,"&lt;&gt;")=0),ROUND(SUMIF($A$2:A182,"&lt;&gt;",$R$2:R182),2),IF(OR(Q183="",C183="",NOT(ISNUMBER($Z$5))),"",ROUND(Q183*C183*$Z$5,2)))</f>
        <v/>
      </c>
      <c r="S183" s="43" t="n"/>
      <c r="T183" s="342" t="n"/>
      <c r="U183" s="91">
        <f>IF(AND(A183="",A182&lt;&gt;"",COUNTIF(A184:$A$200,"&lt;&gt;")=0),"TOTAL",IF(A183="","",posicao_contratual!X183))</f>
        <v/>
      </c>
      <c r="V183" s="91">
        <f>IF(A183="","",posicao_contratual!X183)</f>
        <v/>
      </c>
      <c r="W183" s="13" t="n"/>
      <c r="X183" s="13" t="n"/>
      <c r="Y183" s="13" t="n"/>
      <c r="Z183" s="13" t="n"/>
      <c r="AA183" s="13" t="n"/>
      <c r="AB183" s="90">
        <f>IF(OR(A183="",posicao_contratual!E183="",posicao_contratual!J183=""),"",ROUND(MAX(posicao_contratual!E183-posicao_contratual!J183,0),2))</f>
        <v/>
      </c>
      <c r="AC183" s="335">
        <f>IF(AND(A183="",A182&lt;&gt;"",COUNTIF(A184:$A$200,"&lt;&gt;")=0),ROUND(SUMIF($A$2:A182,"&lt;&gt;",$AC$2:AC182),2),IF(OR(AB183="",C183="",NOT(ISNUMBER($Z$2))),"",ROUND(AB183*C183*$Z$2,2)))</f>
        <v/>
      </c>
      <c r="AD183" s="155">
        <f>IF(A183="","",posicao_contratual!E183)</f>
        <v/>
      </c>
      <c r="AE183" s="155">
        <f>IF(A183="","",posicao_contratual!I183)</f>
        <v/>
      </c>
      <c r="AF183" s="155">
        <f>IF(A183="","",posicao_contratual!M183)</f>
        <v/>
      </c>
      <c r="AG183" s="155">
        <f>IF(A183="","",posicao_contratual!Q183)</f>
        <v/>
      </c>
      <c r="AH183" s="155">
        <f>IF(A183="","",posicao_contratual!U183)</f>
        <v/>
      </c>
      <c r="AI183" s="155">
        <f>IF(A183="","",posicao_contratual!G183)</f>
        <v/>
      </c>
      <c r="AJ183" s="155">
        <f>IF(A183="","",posicao_contratual!K183)</f>
        <v/>
      </c>
      <c r="AK183" s="155">
        <f>IF(A183="","",posicao_contratual!O183)</f>
        <v/>
      </c>
      <c r="AL183" s="155">
        <f>IF(A183="","",posicao_contratual!S183)</f>
        <v/>
      </c>
      <c r="AM183" s="155">
        <f>IF(A183="","",posicao_contratual!W183)</f>
        <v/>
      </c>
      <c r="AN183" s="156">
        <f>IF(A183="","",posicao_contratual!X183)</f>
        <v/>
      </c>
      <c r="AO183">
        <f>IF($A183="","",ROUND(SUMIFS(itens_Consumidos!$E$2:$E$200,itens_Consumidos!$A$2:$A$200,$A183),2))</f>
        <v/>
      </c>
      <c r="AP183">
        <f>IF(OR($A183="",AB183=""),"",ROUND(MAX(AB183-AO183,0),2))</f>
        <v/>
      </c>
      <c r="AQ183">
        <f>IF(OR($A183="",AB183="",MEMORIA_RESULTADOS!$I$258=""),"",ROUND(AB183*$C183*(MEMORIA_RESULTADOS!$I$258-1),2))</f>
        <v/>
      </c>
      <c r="AR183">
        <f>IF(OR($A183="",AP183="",MEMORIA_RESULTADOS!$I$258=""),"",ROUND(AP183*$C183*(parametros!$F$2-MEMORIA_RESULTADOS!$I$258),2))</f>
        <v/>
      </c>
      <c r="AS183">
        <f>IF($A183="","",ROUND(SUMIFS(itens_Consumidos!$G$2:$G$200,itens_Consumidos!$A$2:$A$200,$A183),2))</f>
        <v/>
      </c>
      <c r="AT183">
        <f>IF(OR($A183="",M183=""),"",ROUND(MAX(M183-AS183,0),2))</f>
        <v/>
      </c>
      <c r="AU183">
        <f>IF(OR($A183="",M183="",MEMORIA_RESULTADOS!$I$259=""),"",ROUND(M183*$C183*(MEMORIA_RESULTADOS!$I$259-1),2))</f>
        <v/>
      </c>
      <c r="AV183">
        <f>IF(OR($A183="",AT183="",MEMORIA_RESULTADOS!$I$259=""),"",ROUND(AT183*$C183*(parametros!$F$3-MEMORIA_RESULTADOS!$I$259),2))</f>
        <v/>
      </c>
      <c r="AW183">
        <f>IF($A183="","",ROUND(SUMIFS(itens_Consumidos!$I$2:$I$200,itens_Consumidos!$A$2:$A$200,$A183),2))</f>
        <v/>
      </c>
      <c r="AX183">
        <f>IF(OR($A183="",O183=""),"",ROUND(MAX(O183-AW183,0),2))</f>
        <v/>
      </c>
      <c r="AY183">
        <f>IF(OR($A183="",O183="",MEMORIA_RESULTADOS!$I$260=""),"",ROUND(O183*$C183*(MEMORIA_RESULTADOS!$I$260-1),2))</f>
        <v/>
      </c>
      <c r="AZ183">
        <f>IF(OR($A183="",AX183="",MEMORIA_RESULTADOS!$I$260=""),"",ROUND(AX183*$C183*(parametros!$F$4-MEMORIA_RESULTADOS!$I$260),2))</f>
        <v/>
      </c>
      <c r="BA183">
        <f>IF($A183="","",ROUND(SUMIFS(itens_Consumidos!$K$2:$K$200,itens_Consumidos!$A$2:$A$200,$A183),2))</f>
        <v/>
      </c>
      <c r="BB183">
        <f>IF(OR($A183="",Q183=""),"",ROUND(MAX(Q183-BA183,0),2))</f>
        <v/>
      </c>
      <c r="BC183">
        <f>IF(OR($A183="",Q183="",MEMORIA_RESULTADOS!$I$261=""),"",ROUND(Q183*$C183*(MEMORIA_RESULTADOS!$I$261-1),2))</f>
        <v/>
      </c>
      <c r="BD183">
        <f>IF(OR($A183="",BB183="",MEMORIA_RESULTADOS!$I$261=""),"",ROUND(BB183*$C183*(parametros!$F$5-MEMORIA_RESULTADOS!$I$261),2))</f>
        <v/>
      </c>
      <c r="BE183">
        <f>IF($A183="","",ROUND(SUMIFS(itens_Consumidos!$M$2:$M$200,itens_Consumidos!$A$2:$A$200,$A183),2))</f>
        <v/>
      </c>
      <c r="BF183">
        <f>IF(OR($A183="",S183=""),"",ROUND(MAX(S183-BE183,0),2))</f>
        <v/>
      </c>
      <c r="BG183">
        <f>IF(OR($A183="",S183="",MEMORIA_RESULTADOS!$I$262=""),"",ROUND(S183*$C183*(MEMORIA_RESULTADOS!$I$262-1),2))</f>
        <v/>
      </c>
      <c r="BH183">
        <f>IF(OR($A183="",BF183="",MEMORIA_RESULTADOS!$I$262=""),"",ROUND(BF183*$C183*(parametros!$F$6-MEMORIA_RESULTADOS!$I$262),2))</f>
        <v/>
      </c>
    </row>
    <row r="184">
      <c r="A184" s="86" t="n"/>
      <c r="B184" s="87">
        <f>IF(AND(LEN(TRIM($A184))=4,LEFT(TRIM($A184),1)="N",ISNUMBER(--MID(TRIM($A184),2,3)),ISERROR(FIND(".",$A184)),ISERROR(FIND(",",$A184)),ISERROR(FIND("-",$A184)),ISERROR(FIND("+",$A184)),ISERROR(SEARCH("E",$A184,2)),ISERROR(FIND(" ",TRIM($A184)))),0,"")</f>
        <v/>
      </c>
      <c r="C184" s="339" t="n"/>
      <c r="D184" s="335">
        <f>IF(AND(A184="",A183&lt;&gt;"",COUNTIF(A185:$A$200,"&lt;&gt;")=0),ROUND(SUMIF($A$2:A183,"&lt;&gt;",$D$2:D183),2),IF(OR(A184="",B184="",C184=""),"",ROUND(B184*C184,2)))</f>
        <v/>
      </c>
      <c r="E184" s="89" t="n"/>
      <c r="F184" s="335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 t="n"/>
      <c r="H184" s="335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 t="n"/>
      <c r="J184" s="335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 t="n"/>
      <c r="L184" s="335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>
        <f>IF(OR(posicao_contratual!J184="",posicao_contratual!N184=""),"",ROUND(MAX(posicao_contratual!J184+posicao_contratual!H184-posicao_contratual!N184,0),2))</f>
        <v/>
      </c>
      <c r="N184" s="335">
        <f>IF(AND(A184="",A183&lt;&gt;"",COUNTIF(A185:$A$200,"&lt;&gt;")=0),ROUND(SUMIF($A$2:A183,"&lt;&gt;",$N$2:N183),2),IF(OR(M184="",C184="",NOT(ISNUMBER($Z$3))),"",ROUND(M184*C184*$Z$3,2)))</f>
        <v/>
      </c>
      <c r="O184" s="90">
        <f>IF(OR(posicao_contratual!N184="",posicao_contratual!R184=""),"",ROUND(MAX(posicao_contratual!N184+posicao_contratual!L184-posicao_contratual!R184,0),2))</f>
        <v/>
      </c>
      <c r="P184" s="335">
        <f>IF(AND(A184="",A183&lt;&gt;"",COUNTIF(A185:$A$200,"&lt;&gt;")=0),ROUND(SUMIF($A$2:A183,"&lt;&gt;",$P$2:P183),2),IF(OR(O184="",C184="",NOT(ISNUMBER($Z$4))),"",ROUND(O184*C184*$Z$4,2)))</f>
        <v/>
      </c>
      <c r="Q184" s="90">
        <f>IF(OR(posicao_contratual!R184="",posicao_contratual!V184=""),"",ROUND(MAX(posicao_contratual!R184+posicao_contratual!P184-posicao_contratual!V184,0),2))</f>
        <v/>
      </c>
      <c r="R184" s="335">
        <f>IF(AND(A184="",A183&lt;&gt;"",COUNTIF(A185:$A$200,"&lt;&gt;")=0),ROUND(SUMIF($A$2:A183,"&lt;&gt;",$R$2:R183),2),IF(OR(Q184="",C184="",NOT(ISNUMBER($Z$5))),"",ROUND(Q184*C184*$Z$5,2)))</f>
        <v/>
      </c>
      <c r="S184" s="43" t="n"/>
      <c r="T184" s="342" t="n"/>
      <c r="U184" s="91">
        <f>IF(AND(A184="",A183&lt;&gt;"",COUNTIF(A185:$A$200,"&lt;&gt;")=0),"TOTAL",IF(A184="","",posicao_contratual!X184))</f>
        <v/>
      </c>
      <c r="V184" s="91">
        <f>IF(A184="","",posicao_contratual!X184)</f>
        <v/>
      </c>
      <c r="W184" s="13" t="n"/>
      <c r="X184" s="13" t="n"/>
      <c r="Y184" s="13" t="n"/>
      <c r="Z184" s="13" t="n"/>
      <c r="AA184" s="13" t="n"/>
      <c r="AB184" s="90">
        <f>IF(OR(A184="",posicao_contratual!E184="",posicao_contratual!J184=""),"",ROUND(MAX(posicao_contratual!E184-posicao_contratual!J184,0),2))</f>
        <v/>
      </c>
      <c r="AC184" s="335">
        <f>IF(AND(A184="",A183&lt;&gt;"",COUNTIF(A185:$A$200,"&lt;&gt;")=0),ROUND(SUMIF($A$2:A183,"&lt;&gt;",$AC$2:AC183),2),IF(OR(AB184="",C184="",NOT(ISNUMBER($Z$2))),"",ROUND(AB184*C184*$Z$2,2)))</f>
        <v/>
      </c>
      <c r="AD184" s="155">
        <f>IF(A184="","",posicao_contratual!E184)</f>
        <v/>
      </c>
      <c r="AE184" s="155">
        <f>IF(A184="","",posicao_contratual!I184)</f>
        <v/>
      </c>
      <c r="AF184" s="155">
        <f>IF(A184="","",posicao_contratual!M184)</f>
        <v/>
      </c>
      <c r="AG184" s="155">
        <f>IF(A184="","",posicao_contratual!Q184)</f>
        <v/>
      </c>
      <c r="AH184" s="155">
        <f>IF(A184="","",posicao_contratual!U184)</f>
        <v/>
      </c>
      <c r="AI184" s="155">
        <f>IF(A184="","",posicao_contratual!G184)</f>
        <v/>
      </c>
      <c r="AJ184" s="155">
        <f>IF(A184="","",posicao_contratual!K184)</f>
        <v/>
      </c>
      <c r="AK184" s="155">
        <f>IF(A184="","",posicao_contratual!O184)</f>
        <v/>
      </c>
      <c r="AL184" s="155">
        <f>IF(A184="","",posicao_contratual!S184)</f>
        <v/>
      </c>
      <c r="AM184" s="155">
        <f>IF(A184="","",posicao_contratual!W184)</f>
        <v/>
      </c>
      <c r="AN184" s="156">
        <f>IF(A184="","",posicao_contratual!X184)</f>
        <v/>
      </c>
      <c r="AO184">
        <f>IF($A184="","",ROUND(SUMIFS(itens_Consumidos!$E$2:$E$200,itens_Consumidos!$A$2:$A$200,$A184),2))</f>
        <v/>
      </c>
      <c r="AP184">
        <f>IF(OR($A184="",AB184=""),"",ROUND(MAX(AB184-AO184,0),2))</f>
        <v/>
      </c>
      <c r="AQ184">
        <f>IF(OR($A184="",AB184="",MEMORIA_RESULTADOS!$I$258=""),"",ROUND(AB184*$C184*(MEMORIA_RESULTADOS!$I$258-1),2))</f>
        <v/>
      </c>
      <c r="AR184">
        <f>IF(OR($A184="",AP184="",MEMORIA_RESULTADOS!$I$258=""),"",ROUND(AP184*$C184*(parametros!$F$2-MEMORIA_RESULTADOS!$I$258),2))</f>
        <v/>
      </c>
      <c r="AS184">
        <f>IF($A184="","",ROUND(SUMIFS(itens_Consumidos!$G$2:$G$200,itens_Consumidos!$A$2:$A$200,$A184),2))</f>
        <v/>
      </c>
      <c r="AT184">
        <f>IF(OR($A184="",M184=""),"",ROUND(MAX(M184-AS184,0),2))</f>
        <v/>
      </c>
      <c r="AU184">
        <f>IF(OR($A184="",M184="",MEMORIA_RESULTADOS!$I$259=""),"",ROUND(M184*$C184*(MEMORIA_RESULTADOS!$I$259-1),2))</f>
        <v/>
      </c>
      <c r="AV184">
        <f>IF(OR($A184="",AT184="",MEMORIA_RESULTADOS!$I$259=""),"",ROUND(AT184*$C184*(parametros!$F$3-MEMORIA_RESULTADOS!$I$259),2))</f>
        <v/>
      </c>
      <c r="AW184">
        <f>IF($A184="","",ROUND(SUMIFS(itens_Consumidos!$I$2:$I$200,itens_Consumidos!$A$2:$A$200,$A184),2))</f>
        <v/>
      </c>
      <c r="AX184">
        <f>IF(OR($A184="",O184=""),"",ROUND(MAX(O184-AW184,0),2))</f>
        <v/>
      </c>
      <c r="AY184">
        <f>IF(OR($A184="",O184="",MEMORIA_RESULTADOS!$I$260=""),"",ROUND(O184*$C184*(MEMORIA_RESULTADOS!$I$260-1),2))</f>
        <v/>
      </c>
      <c r="AZ184">
        <f>IF(OR($A184="",AX184="",MEMORIA_RESULTADOS!$I$260=""),"",ROUND(AX184*$C184*(parametros!$F$4-MEMORIA_RESULTADOS!$I$260),2))</f>
        <v/>
      </c>
      <c r="BA184">
        <f>IF($A184="","",ROUND(SUMIFS(itens_Consumidos!$K$2:$K$200,itens_Consumidos!$A$2:$A$200,$A184),2))</f>
        <v/>
      </c>
      <c r="BB184">
        <f>IF(OR($A184="",Q184=""),"",ROUND(MAX(Q184-BA184,0),2))</f>
        <v/>
      </c>
      <c r="BC184">
        <f>IF(OR($A184="",Q184="",MEMORIA_RESULTADOS!$I$261=""),"",ROUND(Q184*$C184*(MEMORIA_RESULTADOS!$I$261-1),2))</f>
        <v/>
      </c>
      <c r="BD184">
        <f>IF(OR($A184="",BB184="",MEMORIA_RESULTADOS!$I$261=""),"",ROUND(BB184*$C184*(parametros!$F$5-MEMORIA_RESULTADOS!$I$261),2))</f>
        <v/>
      </c>
      <c r="BE184">
        <f>IF($A184="","",ROUND(SUMIFS(itens_Consumidos!$M$2:$M$200,itens_Consumidos!$A$2:$A$200,$A184),2))</f>
        <v/>
      </c>
      <c r="BF184">
        <f>IF(OR($A184="",S184=""),"",ROUND(MAX(S184-BE184,0),2))</f>
        <v/>
      </c>
      <c r="BG184">
        <f>IF(OR($A184="",S184="",MEMORIA_RESULTADOS!$I$262=""),"",ROUND(S184*$C184*(MEMORIA_RESULTADOS!$I$262-1),2))</f>
        <v/>
      </c>
      <c r="BH184">
        <f>IF(OR($A184="",BF184="",MEMORIA_RESULTADOS!$I$262=""),"",ROUND(BF184*$C184*(parametros!$F$6-MEMORIA_RESULTADOS!$I$262),2))</f>
        <v/>
      </c>
    </row>
    <row r="185">
      <c r="A185" s="86" t="n"/>
      <c r="B185" s="87">
        <f>IF(AND(LEN(TRIM($A185))=4,LEFT(TRIM($A185),1)="N",ISNUMBER(--MID(TRIM($A185),2,3)),ISERROR(FIND(".",$A185)),ISERROR(FIND(",",$A185)),ISERROR(FIND("-",$A185)),ISERROR(FIND("+",$A185)),ISERROR(SEARCH("E",$A185,2)),ISERROR(FIND(" ",TRIM($A185)))),0,"")</f>
        <v/>
      </c>
      <c r="C185" s="339" t="n"/>
      <c r="D185" s="335">
        <f>IF(AND(A185="",A184&lt;&gt;"",COUNTIF(A186:$A$200,"&lt;&gt;")=0),ROUND(SUMIF($A$2:A184,"&lt;&gt;",$D$2:D184),2),IF(OR(A185="",B185="",C185=""),"",ROUND(B185*C185,2)))</f>
        <v/>
      </c>
      <c r="E185" s="89" t="n"/>
      <c r="F185" s="335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 t="n"/>
      <c r="H185" s="335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 t="n"/>
      <c r="J185" s="335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 t="n"/>
      <c r="L185" s="335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>
        <f>IF(OR(posicao_contratual!J185="",posicao_contratual!N185=""),"",ROUND(MAX(posicao_contratual!J185+posicao_contratual!H185-posicao_contratual!N185,0),2))</f>
        <v/>
      </c>
      <c r="N185" s="335">
        <f>IF(AND(A185="",A184&lt;&gt;"",COUNTIF(A186:$A$200,"&lt;&gt;")=0),ROUND(SUMIF($A$2:A184,"&lt;&gt;",$N$2:N184),2),IF(OR(M185="",C185="",NOT(ISNUMBER($Z$3))),"",ROUND(M185*C185*$Z$3,2)))</f>
        <v/>
      </c>
      <c r="O185" s="90">
        <f>IF(OR(posicao_contratual!N185="",posicao_contratual!R185=""),"",ROUND(MAX(posicao_contratual!N185+posicao_contratual!L185-posicao_contratual!R185,0),2))</f>
        <v/>
      </c>
      <c r="P185" s="335">
        <f>IF(AND(A185="",A184&lt;&gt;"",COUNTIF(A186:$A$200,"&lt;&gt;")=0),ROUND(SUMIF($A$2:A184,"&lt;&gt;",$P$2:P184),2),IF(OR(O185="",C185="",NOT(ISNUMBER($Z$4))),"",ROUND(O185*C185*$Z$4,2)))</f>
        <v/>
      </c>
      <c r="Q185" s="90">
        <f>IF(OR(posicao_contratual!R185="",posicao_contratual!V185=""),"",ROUND(MAX(posicao_contratual!R185+posicao_contratual!P185-posicao_contratual!V185,0),2))</f>
        <v/>
      </c>
      <c r="R185" s="335">
        <f>IF(AND(A185="",A184&lt;&gt;"",COUNTIF(A186:$A$200,"&lt;&gt;")=0),ROUND(SUMIF($A$2:A184,"&lt;&gt;",$R$2:R184),2),IF(OR(Q185="",C185="",NOT(ISNUMBER($Z$5))),"",ROUND(Q185*C185*$Z$5,2)))</f>
        <v/>
      </c>
      <c r="S185" s="43" t="n"/>
      <c r="T185" s="342" t="n"/>
      <c r="U185" s="91">
        <f>IF(AND(A185="",A184&lt;&gt;"",COUNTIF(A186:$A$200,"&lt;&gt;")=0),"TOTAL",IF(A185="","",posicao_contratual!X185))</f>
        <v/>
      </c>
      <c r="V185" s="91">
        <f>IF(A185="","",posicao_contratual!X185)</f>
        <v/>
      </c>
      <c r="W185" s="13" t="n"/>
      <c r="X185" s="13" t="n"/>
      <c r="Y185" s="13" t="n"/>
      <c r="Z185" s="13" t="n"/>
      <c r="AA185" s="13" t="n"/>
      <c r="AB185" s="90">
        <f>IF(OR(A185="",posicao_contratual!E185="",posicao_contratual!J185=""),"",ROUND(MAX(posicao_contratual!E185-posicao_contratual!J185,0),2))</f>
        <v/>
      </c>
      <c r="AC185" s="335">
        <f>IF(AND(A185="",A184&lt;&gt;"",COUNTIF(A186:$A$200,"&lt;&gt;")=0),ROUND(SUMIF($A$2:A184,"&lt;&gt;",$AC$2:AC184),2),IF(OR(AB185="",C185="",NOT(ISNUMBER($Z$2))),"",ROUND(AB185*C185*$Z$2,2)))</f>
        <v/>
      </c>
      <c r="AD185" s="155">
        <f>IF(A185="","",posicao_contratual!E185)</f>
        <v/>
      </c>
      <c r="AE185" s="155">
        <f>IF(A185="","",posicao_contratual!I185)</f>
        <v/>
      </c>
      <c r="AF185" s="155">
        <f>IF(A185="","",posicao_contratual!M185)</f>
        <v/>
      </c>
      <c r="AG185" s="155">
        <f>IF(A185="","",posicao_contratual!Q185)</f>
        <v/>
      </c>
      <c r="AH185" s="155">
        <f>IF(A185="","",posicao_contratual!U185)</f>
        <v/>
      </c>
      <c r="AI185" s="155">
        <f>IF(A185="","",posicao_contratual!G185)</f>
        <v/>
      </c>
      <c r="AJ185" s="155">
        <f>IF(A185="","",posicao_contratual!K185)</f>
        <v/>
      </c>
      <c r="AK185" s="155">
        <f>IF(A185="","",posicao_contratual!O185)</f>
        <v/>
      </c>
      <c r="AL185" s="155">
        <f>IF(A185="","",posicao_contratual!S185)</f>
        <v/>
      </c>
      <c r="AM185" s="155">
        <f>IF(A185="","",posicao_contratual!W185)</f>
        <v/>
      </c>
      <c r="AN185" s="156">
        <f>IF(A185="","",posicao_contratual!X185)</f>
        <v/>
      </c>
      <c r="AO185">
        <f>IF($A185="","",ROUND(SUMIFS(itens_Consumidos!$E$2:$E$200,itens_Consumidos!$A$2:$A$200,$A185),2))</f>
        <v/>
      </c>
      <c r="AP185">
        <f>IF(OR($A185="",AB185=""),"",ROUND(MAX(AB185-AO185,0),2))</f>
        <v/>
      </c>
      <c r="AQ185">
        <f>IF(OR($A185="",AB185="",MEMORIA_RESULTADOS!$I$258=""),"",ROUND(AB185*$C185*(MEMORIA_RESULTADOS!$I$258-1),2))</f>
        <v/>
      </c>
      <c r="AR185">
        <f>IF(OR($A185="",AP185="",MEMORIA_RESULTADOS!$I$258=""),"",ROUND(AP185*$C185*(parametros!$F$2-MEMORIA_RESULTADOS!$I$258),2))</f>
        <v/>
      </c>
      <c r="AS185">
        <f>IF($A185="","",ROUND(SUMIFS(itens_Consumidos!$G$2:$G$200,itens_Consumidos!$A$2:$A$200,$A185),2))</f>
        <v/>
      </c>
      <c r="AT185">
        <f>IF(OR($A185="",M185=""),"",ROUND(MAX(M185-AS185,0),2))</f>
        <v/>
      </c>
      <c r="AU185">
        <f>IF(OR($A185="",M185="",MEMORIA_RESULTADOS!$I$259=""),"",ROUND(M185*$C185*(MEMORIA_RESULTADOS!$I$259-1),2))</f>
        <v/>
      </c>
      <c r="AV185">
        <f>IF(OR($A185="",AT185="",MEMORIA_RESULTADOS!$I$259=""),"",ROUND(AT185*$C185*(parametros!$F$3-MEMORIA_RESULTADOS!$I$259),2))</f>
        <v/>
      </c>
      <c r="AW185">
        <f>IF($A185="","",ROUND(SUMIFS(itens_Consumidos!$I$2:$I$200,itens_Consumidos!$A$2:$A$200,$A185),2))</f>
        <v/>
      </c>
      <c r="AX185">
        <f>IF(OR($A185="",O185=""),"",ROUND(MAX(O185-AW185,0),2))</f>
        <v/>
      </c>
      <c r="AY185">
        <f>IF(OR($A185="",O185="",MEMORIA_RESULTADOS!$I$260=""),"",ROUND(O185*$C185*(MEMORIA_RESULTADOS!$I$260-1),2))</f>
        <v/>
      </c>
      <c r="AZ185">
        <f>IF(OR($A185="",AX185="",MEMORIA_RESULTADOS!$I$260=""),"",ROUND(AX185*$C185*(parametros!$F$4-MEMORIA_RESULTADOS!$I$260),2))</f>
        <v/>
      </c>
      <c r="BA185">
        <f>IF($A185="","",ROUND(SUMIFS(itens_Consumidos!$K$2:$K$200,itens_Consumidos!$A$2:$A$200,$A185),2))</f>
        <v/>
      </c>
      <c r="BB185">
        <f>IF(OR($A185="",Q185=""),"",ROUND(MAX(Q185-BA185,0),2))</f>
        <v/>
      </c>
      <c r="BC185">
        <f>IF(OR($A185="",Q185="",MEMORIA_RESULTADOS!$I$261=""),"",ROUND(Q185*$C185*(MEMORIA_RESULTADOS!$I$261-1),2))</f>
        <v/>
      </c>
      <c r="BD185">
        <f>IF(OR($A185="",BB185="",MEMORIA_RESULTADOS!$I$261=""),"",ROUND(BB185*$C185*(parametros!$F$5-MEMORIA_RESULTADOS!$I$261),2))</f>
        <v/>
      </c>
      <c r="BE185">
        <f>IF($A185="","",ROUND(SUMIFS(itens_Consumidos!$M$2:$M$200,itens_Consumidos!$A$2:$A$200,$A185),2))</f>
        <v/>
      </c>
      <c r="BF185">
        <f>IF(OR($A185="",S185=""),"",ROUND(MAX(S185-BE185,0),2))</f>
        <v/>
      </c>
      <c r="BG185">
        <f>IF(OR($A185="",S185="",MEMORIA_RESULTADOS!$I$262=""),"",ROUND(S185*$C185*(MEMORIA_RESULTADOS!$I$262-1),2))</f>
        <v/>
      </c>
      <c r="BH185">
        <f>IF(OR($A185="",BF185="",MEMORIA_RESULTADOS!$I$262=""),"",ROUND(BF185*$C185*(parametros!$F$6-MEMORIA_RESULTADOS!$I$262),2))</f>
        <v/>
      </c>
    </row>
    <row r="186">
      <c r="A186" s="86" t="n"/>
      <c r="B186" s="87">
        <f>IF(AND(LEN(TRIM($A186))=4,LEFT(TRIM($A186),1)="N",ISNUMBER(--MID(TRIM($A186),2,3)),ISERROR(FIND(".",$A186)),ISERROR(FIND(",",$A186)),ISERROR(FIND("-",$A186)),ISERROR(FIND("+",$A186)),ISERROR(SEARCH("E",$A186,2)),ISERROR(FIND(" ",TRIM($A186)))),0,"")</f>
        <v/>
      </c>
      <c r="C186" s="339" t="n"/>
      <c r="D186" s="335">
        <f>IF(AND(A186="",A185&lt;&gt;"",COUNTIF(A187:$A$200,"&lt;&gt;")=0),ROUND(SUMIF($A$2:A185,"&lt;&gt;",$D$2:D185),2),IF(OR(A186="",B186="",C186=""),"",ROUND(B186*C186,2)))</f>
        <v/>
      </c>
      <c r="E186" s="89" t="n"/>
      <c r="F186" s="335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 t="n"/>
      <c r="H186" s="335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 t="n"/>
      <c r="J186" s="335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 t="n"/>
      <c r="L186" s="335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>
        <f>IF(OR(posicao_contratual!J186="",posicao_contratual!N186=""),"",ROUND(MAX(posicao_contratual!J186+posicao_contratual!H186-posicao_contratual!N186,0),2))</f>
        <v/>
      </c>
      <c r="N186" s="335">
        <f>IF(AND(A186="",A185&lt;&gt;"",COUNTIF(A187:$A$200,"&lt;&gt;")=0),ROUND(SUMIF($A$2:A185,"&lt;&gt;",$N$2:N185),2),IF(OR(M186="",C186="",NOT(ISNUMBER($Z$3))),"",ROUND(M186*C186*$Z$3,2)))</f>
        <v/>
      </c>
      <c r="O186" s="90">
        <f>IF(OR(posicao_contratual!N186="",posicao_contratual!R186=""),"",ROUND(MAX(posicao_contratual!N186+posicao_contratual!L186-posicao_contratual!R186,0),2))</f>
        <v/>
      </c>
      <c r="P186" s="335">
        <f>IF(AND(A186="",A185&lt;&gt;"",COUNTIF(A187:$A$200,"&lt;&gt;")=0),ROUND(SUMIF($A$2:A185,"&lt;&gt;",$P$2:P185),2),IF(OR(O186="",C186="",NOT(ISNUMBER($Z$4))),"",ROUND(O186*C186*$Z$4,2)))</f>
        <v/>
      </c>
      <c r="Q186" s="90">
        <f>IF(OR(posicao_contratual!R186="",posicao_contratual!V186=""),"",ROUND(MAX(posicao_contratual!R186+posicao_contratual!P186-posicao_contratual!V186,0),2))</f>
        <v/>
      </c>
      <c r="R186" s="335">
        <f>IF(AND(A186="",A185&lt;&gt;"",COUNTIF(A187:$A$200,"&lt;&gt;")=0),ROUND(SUMIF($A$2:A185,"&lt;&gt;",$R$2:R185),2),IF(OR(Q186="",C186="",NOT(ISNUMBER($Z$5))),"",ROUND(Q186*C186*$Z$5,2)))</f>
        <v/>
      </c>
      <c r="S186" s="43" t="n"/>
      <c r="T186" s="342" t="n"/>
      <c r="U186" s="91">
        <f>IF(AND(A186="",A185&lt;&gt;"",COUNTIF(A187:$A$200,"&lt;&gt;")=0),"TOTAL",IF(A186="","",posicao_contratual!X186))</f>
        <v/>
      </c>
      <c r="V186" s="91">
        <f>IF(A186="","",posicao_contratual!X186)</f>
        <v/>
      </c>
      <c r="W186" s="13" t="n"/>
      <c r="X186" s="13" t="n"/>
      <c r="Y186" s="13" t="n"/>
      <c r="Z186" s="13" t="n"/>
      <c r="AA186" s="13" t="n"/>
      <c r="AB186" s="90">
        <f>IF(OR(A186="",posicao_contratual!E186="",posicao_contratual!J186=""),"",ROUND(MAX(posicao_contratual!E186-posicao_contratual!J186,0),2))</f>
        <v/>
      </c>
      <c r="AC186" s="335">
        <f>IF(AND(A186="",A185&lt;&gt;"",COUNTIF(A187:$A$200,"&lt;&gt;")=0),ROUND(SUMIF($A$2:A185,"&lt;&gt;",$AC$2:AC185),2),IF(OR(AB186="",C186="",NOT(ISNUMBER($Z$2))),"",ROUND(AB186*C186*$Z$2,2)))</f>
        <v/>
      </c>
      <c r="AD186" s="155">
        <f>IF(A186="","",posicao_contratual!E186)</f>
        <v/>
      </c>
      <c r="AE186" s="155">
        <f>IF(A186="","",posicao_contratual!I186)</f>
        <v/>
      </c>
      <c r="AF186" s="155">
        <f>IF(A186="","",posicao_contratual!M186)</f>
        <v/>
      </c>
      <c r="AG186" s="155">
        <f>IF(A186="","",posicao_contratual!Q186)</f>
        <v/>
      </c>
      <c r="AH186" s="155">
        <f>IF(A186="","",posicao_contratual!U186)</f>
        <v/>
      </c>
      <c r="AI186" s="155">
        <f>IF(A186="","",posicao_contratual!G186)</f>
        <v/>
      </c>
      <c r="AJ186" s="155">
        <f>IF(A186="","",posicao_contratual!K186)</f>
        <v/>
      </c>
      <c r="AK186" s="155">
        <f>IF(A186="","",posicao_contratual!O186)</f>
        <v/>
      </c>
      <c r="AL186" s="155">
        <f>IF(A186="","",posicao_contratual!S186)</f>
        <v/>
      </c>
      <c r="AM186" s="155">
        <f>IF(A186="","",posicao_contratual!W186)</f>
        <v/>
      </c>
      <c r="AN186" s="156">
        <f>IF(A186="","",posicao_contratual!X186)</f>
        <v/>
      </c>
      <c r="AO186">
        <f>IF($A186="","",ROUND(SUMIFS(itens_Consumidos!$E$2:$E$200,itens_Consumidos!$A$2:$A$200,$A186),2))</f>
        <v/>
      </c>
      <c r="AP186">
        <f>IF(OR($A186="",AB186=""),"",ROUND(MAX(AB186-AO186,0),2))</f>
        <v/>
      </c>
      <c r="AQ186">
        <f>IF(OR($A186="",AB186="",MEMORIA_RESULTADOS!$I$258=""),"",ROUND(AB186*$C186*(MEMORIA_RESULTADOS!$I$258-1),2))</f>
        <v/>
      </c>
      <c r="AR186">
        <f>IF(OR($A186="",AP186="",MEMORIA_RESULTADOS!$I$258=""),"",ROUND(AP186*$C186*(parametros!$F$2-MEMORIA_RESULTADOS!$I$258),2))</f>
        <v/>
      </c>
      <c r="AS186">
        <f>IF($A186="","",ROUND(SUMIFS(itens_Consumidos!$G$2:$G$200,itens_Consumidos!$A$2:$A$200,$A186),2))</f>
        <v/>
      </c>
      <c r="AT186">
        <f>IF(OR($A186="",M186=""),"",ROUND(MAX(M186-AS186,0),2))</f>
        <v/>
      </c>
      <c r="AU186">
        <f>IF(OR($A186="",M186="",MEMORIA_RESULTADOS!$I$259=""),"",ROUND(M186*$C186*(MEMORIA_RESULTADOS!$I$259-1),2))</f>
        <v/>
      </c>
      <c r="AV186">
        <f>IF(OR($A186="",AT186="",MEMORIA_RESULTADOS!$I$259=""),"",ROUND(AT186*$C186*(parametros!$F$3-MEMORIA_RESULTADOS!$I$259),2))</f>
        <v/>
      </c>
      <c r="AW186">
        <f>IF($A186="","",ROUND(SUMIFS(itens_Consumidos!$I$2:$I$200,itens_Consumidos!$A$2:$A$200,$A186),2))</f>
        <v/>
      </c>
      <c r="AX186">
        <f>IF(OR($A186="",O186=""),"",ROUND(MAX(O186-AW186,0),2))</f>
        <v/>
      </c>
      <c r="AY186">
        <f>IF(OR($A186="",O186="",MEMORIA_RESULTADOS!$I$260=""),"",ROUND(O186*$C186*(MEMORIA_RESULTADOS!$I$260-1),2))</f>
        <v/>
      </c>
      <c r="AZ186">
        <f>IF(OR($A186="",AX186="",MEMORIA_RESULTADOS!$I$260=""),"",ROUND(AX186*$C186*(parametros!$F$4-MEMORIA_RESULTADOS!$I$260),2))</f>
        <v/>
      </c>
      <c r="BA186">
        <f>IF($A186="","",ROUND(SUMIFS(itens_Consumidos!$K$2:$K$200,itens_Consumidos!$A$2:$A$200,$A186),2))</f>
        <v/>
      </c>
      <c r="BB186">
        <f>IF(OR($A186="",Q186=""),"",ROUND(MAX(Q186-BA186,0),2))</f>
        <v/>
      </c>
      <c r="BC186">
        <f>IF(OR($A186="",Q186="",MEMORIA_RESULTADOS!$I$261=""),"",ROUND(Q186*$C186*(MEMORIA_RESULTADOS!$I$261-1),2))</f>
        <v/>
      </c>
      <c r="BD186">
        <f>IF(OR($A186="",BB186="",MEMORIA_RESULTADOS!$I$261=""),"",ROUND(BB186*$C186*(parametros!$F$5-MEMORIA_RESULTADOS!$I$261),2))</f>
        <v/>
      </c>
      <c r="BE186">
        <f>IF($A186="","",ROUND(SUMIFS(itens_Consumidos!$M$2:$M$200,itens_Consumidos!$A$2:$A$200,$A186),2))</f>
        <v/>
      </c>
      <c r="BF186">
        <f>IF(OR($A186="",S186=""),"",ROUND(MAX(S186-BE186,0),2))</f>
        <v/>
      </c>
      <c r="BG186">
        <f>IF(OR($A186="",S186="",MEMORIA_RESULTADOS!$I$262=""),"",ROUND(S186*$C186*(MEMORIA_RESULTADOS!$I$262-1),2))</f>
        <v/>
      </c>
      <c r="BH186">
        <f>IF(OR($A186="",BF186="",MEMORIA_RESULTADOS!$I$262=""),"",ROUND(BF186*$C186*(parametros!$F$6-MEMORIA_RESULTADOS!$I$262),2))</f>
        <v/>
      </c>
    </row>
    <row r="187">
      <c r="A187" s="86" t="n"/>
      <c r="B187" s="87">
        <f>IF(AND(LEN(TRIM($A187))=4,LEFT(TRIM($A187),1)="N",ISNUMBER(--MID(TRIM($A187),2,3)),ISERROR(FIND(".",$A187)),ISERROR(FIND(",",$A187)),ISERROR(FIND("-",$A187)),ISERROR(FIND("+",$A187)),ISERROR(SEARCH("E",$A187,2)),ISERROR(FIND(" ",TRIM($A187)))),0,"")</f>
        <v/>
      </c>
      <c r="C187" s="339" t="n"/>
      <c r="D187" s="335">
        <f>IF(AND(A187="",A186&lt;&gt;"",COUNTIF(A188:$A$200,"&lt;&gt;")=0),ROUND(SUMIF($A$2:A186,"&lt;&gt;",$D$2:D186),2),IF(OR(A187="",B187="",C187=""),"",ROUND(B187*C187,2)))</f>
        <v/>
      </c>
      <c r="E187" s="89" t="n"/>
      <c r="F187" s="335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 t="n"/>
      <c r="H187" s="335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 t="n"/>
      <c r="J187" s="335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 t="n"/>
      <c r="L187" s="335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>
        <f>IF(OR(posicao_contratual!J187="",posicao_contratual!N187=""),"",ROUND(MAX(posicao_contratual!J187+posicao_contratual!H187-posicao_contratual!N187,0),2))</f>
        <v/>
      </c>
      <c r="N187" s="335">
        <f>IF(AND(A187="",A186&lt;&gt;"",COUNTIF(A188:$A$200,"&lt;&gt;")=0),ROUND(SUMIF($A$2:A186,"&lt;&gt;",$N$2:N186),2),IF(OR(M187="",C187="",NOT(ISNUMBER($Z$3))),"",ROUND(M187*C187*$Z$3,2)))</f>
        <v/>
      </c>
      <c r="O187" s="90">
        <f>IF(OR(posicao_contratual!N187="",posicao_contratual!R187=""),"",ROUND(MAX(posicao_contratual!N187+posicao_contratual!L187-posicao_contratual!R187,0),2))</f>
        <v/>
      </c>
      <c r="P187" s="335">
        <f>IF(AND(A187="",A186&lt;&gt;"",COUNTIF(A188:$A$200,"&lt;&gt;")=0),ROUND(SUMIF($A$2:A186,"&lt;&gt;",$P$2:P186),2),IF(OR(O187="",C187="",NOT(ISNUMBER($Z$4))),"",ROUND(O187*C187*$Z$4,2)))</f>
        <v/>
      </c>
      <c r="Q187" s="90">
        <f>IF(OR(posicao_contratual!R187="",posicao_contratual!V187=""),"",ROUND(MAX(posicao_contratual!R187+posicao_contratual!P187-posicao_contratual!V187,0),2))</f>
        <v/>
      </c>
      <c r="R187" s="335">
        <f>IF(AND(A187="",A186&lt;&gt;"",COUNTIF(A188:$A$200,"&lt;&gt;")=0),ROUND(SUMIF($A$2:A186,"&lt;&gt;",$R$2:R186),2),IF(OR(Q187="",C187="",NOT(ISNUMBER($Z$5))),"",ROUND(Q187*C187*$Z$5,2)))</f>
        <v/>
      </c>
      <c r="S187" s="43" t="n"/>
      <c r="T187" s="342" t="n"/>
      <c r="U187" s="91">
        <f>IF(AND(A187="",A186&lt;&gt;"",COUNTIF(A188:$A$200,"&lt;&gt;")=0),"TOTAL",IF(A187="","",posicao_contratual!X187))</f>
        <v/>
      </c>
      <c r="V187" s="91">
        <f>IF(A187="","",posicao_contratual!X187)</f>
        <v/>
      </c>
      <c r="W187" s="13" t="n"/>
      <c r="X187" s="13" t="n"/>
      <c r="Y187" s="13" t="n"/>
      <c r="Z187" s="13" t="n"/>
      <c r="AA187" s="13" t="n"/>
      <c r="AB187" s="90">
        <f>IF(OR(A187="",posicao_contratual!E187="",posicao_contratual!J187=""),"",ROUND(MAX(posicao_contratual!E187-posicao_contratual!J187,0),2))</f>
        <v/>
      </c>
      <c r="AC187" s="335">
        <f>IF(AND(A187="",A186&lt;&gt;"",COUNTIF(A188:$A$200,"&lt;&gt;")=0),ROUND(SUMIF($A$2:A186,"&lt;&gt;",$AC$2:AC186),2),IF(OR(AB187="",C187="",NOT(ISNUMBER($Z$2))),"",ROUND(AB187*C187*$Z$2,2)))</f>
        <v/>
      </c>
      <c r="AD187" s="155">
        <f>IF(A187="","",posicao_contratual!E187)</f>
        <v/>
      </c>
      <c r="AE187" s="155">
        <f>IF(A187="","",posicao_contratual!I187)</f>
        <v/>
      </c>
      <c r="AF187" s="155">
        <f>IF(A187="","",posicao_contratual!M187)</f>
        <v/>
      </c>
      <c r="AG187" s="155">
        <f>IF(A187="","",posicao_contratual!Q187)</f>
        <v/>
      </c>
      <c r="AH187" s="155">
        <f>IF(A187="","",posicao_contratual!U187)</f>
        <v/>
      </c>
      <c r="AI187" s="155">
        <f>IF(A187="","",posicao_contratual!G187)</f>
        <v/>
      </c>
      <c r="AJ187" s="155">
        <f>IF(A187="","",posicao_contratual!K187)</f>
        <v/>
      </c>
      <c r="AK187" s="155">
        <f>IF(A187="","",posicao_contratual!O187)</f>
        <v/>
      </c>
      <c r="AL187" s="155">
        <f>IF(A187="","",posicao_contratual!S187)</f>
        <v/>
      </c>
      <c r="AM187" s="155">
        <f>IF(A187="","",posicao_contratual!W187)</f>
        <v/>
      </c>
      <c r="AN187" s="156">
        <f>IF(A187="","",posicao_contratual!X187)</f>
        <v/>
      </c>
      <c r="AO187">
        <f>IF($A187="","",ROUND(SUMIFS(itens_Consumidos!$E$2:$E$200,itens_Consumidos!$A$2:$A$200,$A187),2))</f>
        <v/>
      </c>
      <c r="AP187">
        <f>IF(OR($A187="",AB187=""),"",ROUND(MAX(AB187-AO187,0),2))</f>
        <v/>
      </c>
      <c r="AQ187">
        <f>IF(OR($A187="",AB187="",MEMORIA_RESULTADOS!$I$258=""),"",ROUND(AB187*$C187*(MEMORIA_RESULTADOS!$I$258-1),2))</f>
        <v/>
      </c>
      <c r="AR187">
        <f>IF(OR($A187="",AP187="",MEMORIA_RESULTADOS!$I$258=""),"",ROUND(AP187*$C187*(parametros!$F$2-MEMORIA_RESULTADOS!$I$258),2))</f>
        <v/>
      </c>
      <c r="AS187">
        <f>IF($A187="","",ROUND(SUMIFS(itens_Consumidos!$G$2:$G$200,itens_Consumidos!$A$2:$A$200,$A187),2))</f>
        <v/>
      </c>
      <c r="AT187">
        <f>IF(OR($A187="",M187=""),"",ROUND(MAX(M187-AS187,0),2))</f>
        <v/>
      </c>
      <c r="AU187">
        <f>IF(OR($A187="",M187="",MEMORIA_RESULTADOS!$I$259=""),"",ROUND(M187*$C187*(MEMORIA_RESULTADOS!$I$259-1),2))</f>
        <v/>
      </c>
      <c r="AV187">
        <f>IF(OR($A187="",AT187="",MEMORIA_RESULTADOS!$I$259=""),"",ROUND(AT187*$C187*(parametros!$F$3-MEMORIA_RESULTADOS!$I$259),2))</f>
        <v/>
      </c>
      <c r="AW187">
        <f>IF($A187="","",ROUND(SUMIFS(itens_Consumidos!$I$2:$I$200,itens_Consumidos!$A$2:$A$200,$A187),2))</f>
        <v/>
      </c>
      <c r="AX187">
        <f>IF(OR($A187="",O187=""),"",ROUND(MAX(O187-AW187,0),2))</f>
        <v/>
      </c>
      <c r="AY187">
        <f>IF(OR($A187="",O187="",MEMORIA_RESULTADOS!$I$260=""),"",ROUND(O187*$C187*(MEMORIA_RESULTADOS!$I$260-1),2))</f>
        <v/>
      </c>
      <c r="AZ187">
        <f>IF(OR($A187="",AX187="",MEMORIA_RESULTADOS!$I$260=""),"",ROUND(AX187*$C187*(parametros!$F$4-MEMORIA_RESULTADOS!$I$260),2))</f>
        <v/>
      </c>
      <c r="BA187">
        <f>IF($A187="","",ROUND(SUMIFS(itens_Consumidos!$K$2:$K$200,itens_Consumidos!$A$2:$A$200,$A187),2))</f>
        <v/>
      </c>
      <c r="BB187">
        <f>IF(OR($A187="",Q187=""),"",ROUND(MAX(Q187-BA187,0),2))</f>
        <v/>
      </c>
      <c r="BC187">
        <f>IF(OR($A187="",Q187="",MEMORIA_RESULTADOS!$I$261=""),"",ROUND(Q187*$C187*(MEMORIA_RESULTADOS!$I$261-1),2))</f>
        <v/>
      </c>
      <c r="BD187">
        <f>IF(OR($A187="",BB187="",MEMORIA_RESULTADOS!$I$261=""),"",ROUND(BB187*$C187*(parametros!$F$5-MEMORIA_RESULTADOS!$I$261),2))</f>
        <v/>
      </c>
      <c r="BE187">
        <f>IF($A187="","",ROUND(SUMIFS(itens_Consumidos!$M$2:$M$200,itens_Consumidos!$A$2:$A$200,$A187),2))</f>
        <v/>
      </c>
      <c r="BF187">
        <f>IF(OR($A187="",S187=""),"",ROUND(MAX(S187-BE187,0),2))</f>
        <v/>
      </c>
      <c r="BG187">
        <f>IF(OR($A187="",S187="",MEMORIA_RESULTADOS!$I$262=""),"",ROUND(S187*$C187*(MEMORIA_RESULTADOS!$I$262-1),2))</f>
        <v/>
      </c>
      <c r="BH187">
        <f>IF(OR($A187="",BF187="",MEMORIA_RESULTADOS!$I$262=""),"",ROUND(BF187*$C187*(parametros!$F$6-MEMORIA_RESULTADOS!$I$262),2))</f>
        <v/>
      </c>
    </row>
    <row r="188">
      <c r="A188" s="86" t="n"/>
      <c r="B188" s="87">
        <f>IF(AND(LEN(TRIM($A188))=4,LEFT(TRIM($A188),1)="N",ISNUMBER(--MID(TRIM($A188),2,3)),ISERROR(FIND(".",$A188)),ISERROR(FIND(",",$A188)),ISERROR(FIND("-",$A188)),ISERROR(FIND("+",$A188)),ISERROR(SEARCH("E",$A188,2)),ISERROR(FIND(" ",TRIM($A188)))),0,"")</f>
        <v/>
      </c>
      <c r="C188" s="339" t="n"/>
      <c r="D188" s="335">
        <f>IF(AND(A188="",A187&lt;&gt;"",COUNTIF(A189:$A$200,"&lt;&gt;")=0),ROUND(SUMIF($A$2:A187,"&lt;&gt;",$D$2:D187),2),IF(OR(A188="",B188="",C188=""),"",ROUND(B188*C188,2)))</f>
        <v/>
      </c>
      <c r="E188" s="89" t="n"/>
      <c r="F188" s="335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 t="n"/>
      <c r="H188" s="335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 t="n"/>
      <c r="J188" s="335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 t="n"/>
      <c r="L188" s="335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>
        <f>IF(OR(posicao_contratual!J188="",posicao_contratual!N188=""),"",ROUND(MAX(posicao_contratual!J188+posicao_contratual!H188-posicao_contratual!N188,0),2))</f>
        <v/>
      </c>
      <c r="N188" s="335">
        <f>IF(AND(A188="",A187&lt;&gt;"",COUNTIF(A189:$A$200,"&lt;&gt;")=0),ROUND(SUMIF($A$2:A187,"&lt;&gt;",$N$2:N187),2),IF(OR(M188="",C188="",NOT(ISNUMBER($Z$3))),"",ROUND(M188*C188*$Z$3,2)))</f>
        <v/>
      </c>
      <c r="O188" s="90">
        <f>IF(OR(posicao_contratual!N188="",posicao_contratual!R188=""),"",ROUND(MAX(posicao_contratual!N188+posicao_contratual!L188-posicao_contratual!R188,0),2))</f>
        <v/>
      </c>
      <c r="P188" s="335">
        <f>IF(AND(A188="",A187&lt;&gt;"",COUNTIF(A189:$A$200,"&lt;&gt;")=0),ROUND(SUMIF($A$2:A187,"&lt;&gt;",$P$2:P187),2),IF(OR(O188="",C188="",NOT(ISNUMBER($Z$4))),"",ROUND(O188*C188*$Z$4,2)))</f>
        <v/>
      </c>
      <c r="Q188" s="90">
        <f>IF(OR(posicao_contratual!R188="",posicao_contratual!V188=""),"",ROUND(MAX(posicao_contratual!R188+posicao_contratual!P188-posicao_contratual!V188,0),2))</f>
        <v/>
      </c>
      <c r="R188" s="335">
        <f>IF(AND(A188="",A187&lt;&gt;"",COUNTIF(A189:$A$200,"&lt;&gt;")=0),ROUND(SUMIF($A$2:A187,"&lt;&gt;",$R$2:R187),2),IF(OR(Q188="",C188="",NOT(ISNUMBER($Z$5))),"",ROUND(Q188*C188*$Z$5,2)))</f>
        <v/>
      </c>
      <c r="S188" s="43" t="n"/>
      <c r="T188" s="342" t="n"/>
      <c r="U188" s="91">
        <f>IF(AND(A188="",A187&lt;&gt;"",COUNTIF(A189:$A$200,"&lt;&gt;")=0),"TOTAL",IF(A188="","",posicao_contratual!X188))</f>
        <v/>
      </c>
      <c r="V188" s="91">
        <f>IF(A188="","",posicao_contratual!X188)</f>
        <v/>
      </c>
      <c r="W188" s="13" t="n"/>
      <c r="X188" s="13" t="n"/>
      <c r="Y188" s="13" t="n"/>
      <c r="Z188" s="13" t="n"/>
      <c r="AA188" s="13" t="n"/>
      <c r="AB188" s="90">
        <f>IF(OR(A188="",posicao_contratual!E188="",posicao_contratual!J188=""),"",ROUND(MAX(posicao_contratual!E188-posicao_contratual!J188,0),2))</f>
        <v/>
      </c>
      <c r="AC188" s="335">
        <f>IF(AND(A188="",A187&lt;&gt;"",COUNTIF(A189:$A$200,"&lt;&gt;")=0),ROUND(SUMIF($A$2:A187,"&lt;&gt;",$AC$2:AC187),2),IF(OR(AB188="",C188="",NOT(ISNUMBER($Z$2))),"",ROUND(AB188*C188*$Z$2,2)))</f>
        <v/>
      </c>
      <c r="AD188" s="155">
        <f>IF(A188="","",posicao_contratual!E188)</f>
        <v/>
      </c>
      <c r="AE188" s="155">
        <f>IF(A188="","",posicao_contratual!I188)</f>
        <v/>
      </c>
      <c r="AF188" s="155">
        <f>IF(A188="","",posicao_contratual!M188)</f>
        <v/>
      </c>
      <c r="AG188" s="155">
        <f>IF(A188="","",posicao_contratual!Q188)</f>
        <v/>
      </c>
      <c r="AH188" s="155">
        <f>IF(A188="","",posicao_contratual!U188)</f>
        <v/>
      </c>
      <c r="AI188" s="155">
        <f>IF(A188="","",posicao_contratual!G188)</f>
        <v/>
      </c>
      <c r="AJ188" s="155">
        <f>IF(A188="","",posicao_contratual!K188)</f>
        <v/>
      </c>
      <c r="AK188" s="155">
        <f>IF(A188="","",posicao_contratual!O188)</f>
        <v/>
      </c>
      <c r="AL188" s="155">
        <f>IF(A188="","",posicao_contratual!S188)</f>
        <v/>
      </c>
      <c r="AM188" s="155">
        <f>IF(A188="","",posicao_contratual!W188)</f>
        <v/>
      </c>
      <c r="AN188" s="156">
        <f>IF(A188="","",posicao_contratual!X188)</f>
        <v/>
      </c>
      <c r="AO188">
        <f>IF($A188="","",ROUND(SUMIFS(itens_Consumidos!$E$2:$E$200,itens_Consumidos!$A$2:$A$200,$A188),2))</f>
        <v/>
      </c>
      <c r="AP188">
        <f>IF(OR($A188="",AB188=""),"",ROUND(MAX(AB188-AO188,0),2))</f>
        <v/>
      </c>
      <c r="AQ188">
        <f>IF(OR($A188="",AB188="",MEMORIA_RESULTADOS!$I$258=""),"",ROUND(AB188*$C188*(MEMORIA_RESULTADOS!$I$258-1),2))</f>
        <v/>
      </c>
      <c r="AR188">
        <f>IF(OR($A188="",AP188="",MEMORIA_RESULTADOS!$I$258=""),"",ROUND(AP188*$C188*(parametros!$F$2-MEMORIA_RESULTADOS!$I$258),2))</f>
        <v/>
      </c>
      <c r="AS188">
        <f>IF($A188="","",ROUND(SUMIFS(itens_Consumidos!$G$2:$G$200,itens_Consumidos!$A$2:$A$200,$A188),2))</f>
        <v/>
      </c>
      <c r="AT188">
        <f>IF(OR($A188="",M188=""),"",ROUND(MAX(M188-AS188,0),2))</f>
        <v/>
      </c>
      <c r="AU188">
        <f>IF(OR($A188="",M188="",MEMORIA_RESULTADOS!$I$259=""),"",ROUND(M188*$C188*(MEMORIA_RESULTADOS!$I$259-1),2))</f>
        <v/>
      </c>
      <c r="AV188">
        <f>IF(OR($A188="",AT188="",MEMORIA_RESULTADOS!$I$259=""),"",ROUND(AT188*$C188*(parametros!$F$3-MEMORIA_RESULTADOS!$I$259),2))</f>
        <v/>
      </c>
      <c r="AW188">
        <f>IF($A188="","",ROUND(SUMIFS(itens_Consumidos!$I$2:$I$200,itens_Consumidos!$A$2:$A$200,$A188),2))</f>
        <v/>
      </c>
      <c r="AX188">
        <f>IF(OR($A188="",O188=""),"",ROUND(MAX(O188-AW188,0),2))</f>
        <v/>
      </c>
      <c r="AY188">
        <f>IF(OR($A188="",O188="",MEMORIA_RESULTADOS!$I$260=""),"",ROUND(O188*$C188*(MEMORIA_RESULTADOS!$I$260-1),2))</f>
        <v/>
      </c>
      <c r="AZ188">
        <f>IF(OR($A188="",AX188="",MEMORIA_RESULTADOS!$I$260=""),"",ROUND(AX188*$C188*(parametros!$F$4-MEMORIA_RESULTADOS!$I$260),2))</f>
        <v/>
      </c>
      <c r="BA188">
        <f>IF($A188="","",ROUND(SUMIFS(itens_Consumidos!$K$2:$K$200,itens_Consumidos!$A$2:$A$200,$A188),2))</f>
        <v/>
      </c>
      <c r="BB188">
        <f>IF(OR($A188="",Q188=""),"",ROUND(MAX(Q188-BA188,0),2))</f>
        <v/>
      </c>
      <c r="BC188">
        <f>IF(OR($A188="",Q188="",MEMORIA_RESULTADOS!$I$261=""),"",ROUND(Q188*$C188*(MEMORIA_RESULTADOS!$I$261-1),2))</f>
        <v/>
      </c>
      <c r="BD188">
        <f>IF(OR($A188="",BB188="",MEMORIA_RESULTADOS!$I$261=""),"",ROUND(BB188*$C188*(parametros!$F$5-MEMORIA_RESULTADOS!$I$261),2))</f>
        <v/>
      </c>
      <c r="BE188">
        <f>IF($A188="","",ROUND(SUMIFS(itens_Consumidos!$M$2:$M$200,itens_Consumidos!$A$2:$A$200,$A188),2))</f>
        <v/>
      </c>
      <c r="BF188">
        <f>IF(OR($A188="",S188=""),"",ROUND(MAX(S188-BE188,0),2))</f>
        <v/>
      </c>
      <c r="BG188">
        <f>IF(OR($A188="",S188="",MEMORIA_RESULTADOS!$I$262=""),"",ROUND(S188*$C188*(MEMORIA_RESULTADOS!$I$262-1),2))</f>
        <v/>
      </c>
      <c r="BH188">
        <f>IF(OR($A188="",BF188="",MEMORIA_RESULTADOS!$I$262=""),"",ROUND(BF188*$C188*(parametros!$F$6-MEMORIA_RESULTADOS!$I$262),2))</f>
        <v/>
      </c>
    </row>
    <row r="189">
      <c r="A189" s="86" t="n"/>
      <c r="B189" s="87">
        <f>IF(AND(LEN(TRIM($A189))=4,LEFT(TRIM($A189),1)="N",ISNUMBER(--MID(TRIM($A189),2,3)),ISERROR(FIND(".",$A189)),ISERROR(FIND(",",$A189)),ISERROR(FIND("-",$A189)),ISERROR(FIND("+",$A189)),ISERROR(SEARCH("E",$A189,2)),ISERROR(FIND(" ",TRIM($A189)))),0,"")</f>
        <v/>
      </c>
      <c r="C189" s="339" t="n"/>
      <c r="D189" s="335">
        <f>IF(AND(A189="",A188&lt;&gt;"",COUNTIF(A190:$A$200,"&lt;&gt;")=0),ROUND(SUMIF($A$2:A188,"&lt;&gt;",$D$2:D188),2),IF(OR(A189="",B189="",C189=""),"",ROUND(B189*C189,2)))</f>
        <v/>
      </c>
      <c r="E189" s="89" t="n"/>
      <c r="F189" s="335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 t="n"/>
      <c r="H189" s="335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 t="n"/>
      <c r="J189" s="335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 t="n"/>
      <c r="L189" s="335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>
        <f>IF(OR(posicao_contratual!J189="",posicao_contratual!N189=""),"",ROUND(MAX(posicao_contratual!J189+posicao_contratual!H189-posicao_contratual!N189,0),2))</f>
        <v/>
      </c>
      <c r="N189" s="335">
        <f>IF(AND(A189="",A188&lt;&gt;"",COUNTIF(A190:$A$200,"&lt;&gt;")=0),ROUND(SUMIF($A$2:A188,"&lt;&gt;",$N$2:N188),2),IF(OR(M189="",C189="",NOT(ISNUMBER($Z$3))),"",ROUND(M189*C189*$Z$3,2)))</f>
        <v/>
      </c>
      <c r="O189" s="90">
        <f>IF(OR(posicao_contratual!N189="",posicao_contratual!R189=""),"",ROUND(MAX(posicao_contratual!N189+posicao_contratual!L189-posicao_contratual!R189,0),2))</f>
        <v/>
      </c>
      <c r="P189" s="335">
        <f>IF(AND(A189="",A188&lt;&gt;"",COUNTIF(A190:$A$200,"&lt;&gt;")=0),ROUND(SUMIF($A$2:A188,"&lt;&gt;",$P$2:P188),2),IF(OR(O189="",C189="",NOT(ISNUMBER($Z$4))),"",ROUND(O189*C189*$Z$4,2)))</f>
        <v/>
      </c>
      <c r="Q189" s="90">
        <f>IF(OR(posicao_contratual!R189="",posicao_contratual!V189=""),"",ROUND(MAX(posicao_contratual!R189+posicao_contratual!P189-posicao_contratual!V189,0),2))</f>
        <v/>
      </c>
      <c r="R189" s="335">
        <f>IF(AND(A189="",A188&lt;&gt;"",COUNTIF(A190:$A$200,"&lt;&gt;")=0),ROUND(SUMIF($A$2:A188,"&lt;&gt;",$R$2:R188),2),IF(OR(Q189="",C189="",NOT(ISNUMBER($Z$5))),"",ROUND(Q189*C189*$Z$5,2)))</f>
        <v/>
      </c>
      <c r="S189" s="43" t="n"/>
      <c r="T189" s="342" t="n"/>
      <c r="U189" s="91">
        <f>IF(AND(A189="",A188&lt;&gt;"",COUNTIF(A190:$A$200,"&lt;&gt;")=0),"TOTAL",IF(A189="","",posicao_contratual!X189))</f>
        <v/>
      </c>
      <c r="V189" s="91">
        <f>IF(A189="","",posicao_contratual!X189)</f>
        <v/>
      </c>
      <c r="W189" s="13" t="n"/>
      <c r="X189" s="13" t="n"/>
      <c r="Y189" s="13" t="n"/>
      <c r="Z189" s="13" t="n"/>
      <c r="AA189" s="13" t="n"/>
      <c r="AB189" s="90">
        <f>IF(OR(A189="",posicao_contratual!E189="",posicao_contratual!J189=""),"",ROUND(MAX(posicao_contratual!E189-posicao_contratual!J189,0),2))</f>
        <v/>
      </c>
      <c r="AC189" s="335">
        <f>IF(AND(A189="",A188&lt;&gt;"",COUNTIF(A190:$A$200,"&lt;&gt;")=0),ROUND(SUMIF($A$2:A188,"&lt;&gt;",$AC$2:AC188),2),IF(OR(AB189="",C189="",NOT(ISNUMBER($Z$2))),"",ROUND(AB189*C189*$Z$2,2)))</f>
        <v/>
      </c>
      <c r="AD189" s="155">
        <f>IF(A189="","",posicao_contratual!E189)</f>
        <v/>
      </c>
      <c r="AE189" s="155">
        <f>IF(A189="","",posicao_contratual!I189)</f>
        <v/>
      </c>
      <c r="AF189" s="155">
        <f>IF(A189="","",posicao_contratual!M189)</f>
        <v/>
      </c>
      <c r="AG189" s="155">
        <f>IF(A189="","",posicao_contratual!Q189)</f>
        <v/>
      </c>
      <c r="AH189" s="155">
        <f>IF(A189="","",posicao_contratual!U189)</f>
        <v/>
      </c>
      <c r="AI189" s="155">
        <f>IF(A189="","",posicao_contratual!G189)</f>
        <v/>
      </c>
      <c r="AJ189" s="155">
        <f>IF(A189="","",posicao_contratual!K189)</f>
        <v/>
      </c>
      <c r="AK189" s="155">
        <f>IF(A189="","",posicao_contratual!O189)</f>
        <v/>
      </c>
      <c r="AL189" s="155">
        <f>IF(A189="","",posicao_contratual!S189)</f>
        <v/>
      </c>
      <c r="AM189" s="155">
        <f>IF(A189="","",posicao_contratual!W189)</f>
        <v/>
      </c>
      <c r="AN189" s="156">
        <f>IF(A189="","",posicao_contratual!X189)</f>
        <v/>
      </c>
      <c r="AO189">
        <f>IF($A189="","",ROUND(SUMIFS(itens_Consumidos!$E$2:$E$200,itens_Consumidos!$A$2:$A$200,$A189),2))</f>
        <v/>
      </c>
      <c r="AP189">
        <f>IF(OR($A189="",AB189=""),"",ROUND(MAX(AB189-AO189,0),2))</f>
        <v/>
      </c>
      <c r="AQ189">
        <f>IF(OR($A189="",AB189="",MEMORIA_RESULTADOS!$I$258=""),"",ROUND(AB189*$C189*(MEMORIA_RESULTADOS!$I$258-1),2))</f>
        <v/>
      </c>
      <c r="AR189">
        <f>IF(OR($A189="",AP189="",MEMORIA_RESULTADOS!$I$258=""),"",ROUND(AP189*$C189*(parametros!$F$2-MEMORIA_RESULTADOS!$I$258),2))</f>
        <v/>
      </c>
      <c r="AS189">
        <f>IF($A189="","",ROUND(SUMIFS(itens_Consumidos!$G$2:$G$200,itens_Consumidos!$A$2:$A$200,$A189),2))</f>
        <v/>
      </c>
      <c r="AT189">
        <f>IF(OR($A189="",M189=""),"",ROUND(MAX(M189-AS189,0),2))</f>
        <v/>
      </c>
      <c r="AU189">
        <f>IF(OR($A189="",M189="",MEMORIA_RESULTADOS!$I$259=""),"",ROUND(M189*$C189*(MEMORIA_RESULTADOS!$I$259-1),2))</f>
        <v/>
      </c>
      <c r="AV189">
        <f>IF(OR($A189="",AT189="",MEMORIA_RESULTADOS!$I$259=""),"",ROUND(AT189*$C189*(parametros!$F$3-MEMORIA_RESULTADOS!$I$259),2))</f>
        <v/>
      </c>
      <c r="AW189">
        <f>IF($A189="","",ROUND(SUMIFS(itens_Consumidos!$I$2:$I$200,itens_Consumidos!$A$2:$A$200,$A189),2))</f>
        <v/>
      </c>
      <c r="AX189">
        <f>IF(OR($A189="",O189=""),"",ROUND(MAX(O189-AW189,0),2))</f>
        <v/>
      </c>
      <c r="AY189">
        <f>IF(OR($A189="",O189="",MEMORIA_RESULTADOS!$I$260=""),"",ROUND(O189*$C189*(MEMORIA_RESULTADOS!$I$260-1),2))</f>
        <v/>
      </c>
      <c r="AZ189">
        <f>IF(OR($A189="",AX189="",MEMORIA_RESULTADOS!$I$260=""),"",ROUND(AX189*$C189*(parametros!$F$4-MEMORIA_RESULTADOS!$I$260),2))</f>
        <v/>
      </c>
      <c r="BA189">
        <f>IF($A189="","",ROUND(SUMIFS(itens_Consumidos!$K$2:$K$200,itens_Consumidos!$A$2:$A$200,$A189),2))</f>
        <v/>
      </c>
      <c r="BB189">
        <f>IF(OR($A189="",Q189=""),"",ROUND(MAX(Q189-BA189,0),2))</f>
        <v/>
      </c>
      <c r="BC189">
        <f>IF(OR($A189="",Q189="",MEMORIA_RESULTADOS!$I$261=""),"",ROUND(Q189*$C189*(MEMORIA_RESULTADOS!$I$261-1),2))</f>
        <v/>
      </c>
      <c r="BD189">
        <f>IF(OR($A189="",BB189="",MEMORIA_RESULTADOS!$I$261=""),"",ROUND(BB189*$C189*(parametros!$F$5-MEMORIA_RESULTADOS!$I$261),2))</f>
        <v/>
      </c>
      <c r="BE189">
        <f>IF($A189="","",ROUND(SUMIFS(itens_Consumidos!$M$2:$M$200,itens_Consumidos!$A$2:$A$200,$A189),2))</f>
        <v/>
      </c>
      <c r="BF189">
        <f>IF(OR($A189="",S189=""),"",ROUND(MAX(S189-BE189,0),2))</f>
        <v/>
      </c>
      <c r="BG189">
        <f>IF(OR($A189="",S189="",MEMORIA_RESULTADOS!$I$262=""),"",ROUND(S189*$C189*(MEMORIA_RESULTADOS!$I$262-1),2))</f>
        <v/>
      </c>
      <c r="BH189">
        <f>IF(OR($A189="",BF189="",MEMORIA_RESULTADOS!$I$262=""),"",ROUND(BF189*$C189*(parametros!$F$6-MEMORIA_RESULTADOS!$I$262),2))</f>
        <v/>
      </c>
    </row>
    <row r="190">
      <c r="A190" s="86" t="n"/>
      <c r="B190" s="87">
        <f>IF(AND(LEN(TRIM($A190))=4,LEFT(TRIM($A190),1)="N",ISNUMBER(--MID(TRIM($A190),2,3)),ISERROR(FIND(".",$A190)),ISERROR(FIND(",",$A190)),ISERROR(FIND("-",$A190)),ISERROR(FIND("+",$A190)),ISERROR(SEARCH("E",$A190,2)),ISERROR(FIND(" ",TRIM($A190)))),0,"")</f>
        <v/>
      </c>
      <c r="C190" s="339" t="n"/>
      <c r="D190" s="335">
        <f>IF(AND(A190="",A189&lt;&gt;"",COUNTIF(A191:$A$200,"&lt;&gt;")=0),ROUND(SUMIF($A$2:A189,"&lt;&gt;",$D$2:D189),2),IF(OR(A190="",B190="",C190=""),"",ROUND(B190*C190,2)))</f>
        <v/>
      </c>
      <c r="E190" s="89" t="n"/>
      <c r="F190" s="335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 t="n"/>
      <c r="H190" s="335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 t="n"/>
      <c r="J190" s="335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 t="n"/>
      <c r="L190" s="335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>
        <f>IF(OR(posicao_contratual!J190="",posicao_contratual!N190=""),"",ROUND(MAX(posicao_contratual!J190+posicao_contratual!H190-posicao_contratual!N190,0),2))</f>
        <v/>
      </c>
      <c r="N190" s="335">
        <f>IF(AND(A190="",A189&lt;&gt;"",COUNTIF(A191:$A$200,"&lt;&gt;")=0),ROUND(SUMIF($A$2:A189,"&lt;&gt;",$N$2:N189),2),IF(OR(M190="",C190="",NOT(ISNUMBER($Z$3))),"",ROUND(M190*C190*$Z$3,2)))</f>
        <v/>
      </c>
      <c r="O190" s="90">
        <f>IF(OR(posicao_contratual!N190="",posicao_contratual!R190=""),"",ROUND(MAX(posicao_contratual!N190+posicao_contratual!L190-posicao_contratual!R190,0),2))</f>
        <v/>
      </c>
      <c r="P190" s="335">
        <f>IF(AND(A190="",A189&lt;&gt;"",COUNTIF(A191:$A$200,"&lt;&gt;")=0),ROUND(SUMIF($A$2:A189,"&lt;&gt;",$P$2:P189),2),IF(OR(O190="",C190="",NOT(ISNUMBER($Z$4))),"",ROUND(O190*C190*$Z$4,2)))</f>
        <v/>
      </c>
      <c r="Q190" s="90">
        <f>IF(OR(posicao_contratual!R190="",posicao_contratual!V190=""),"",ROUND(MAX(posicao_contratual!R190+posicao_contratual!P190-posicao_contratual!V190,0),2))</f>
        <v/>
      </c>
      <c r="R190" s="335">
        <f>IF(AND(A190="",A189&lt;&gt;"",COUNTIF(A191:$A$200,"&lt;&gt;")=0),ROUND(SUMIF($A$2:A189,"&lt;&gt;",$R$2:R189),2),IF(OR(Q190="",C190="",NOT(ISNUMBER($Z$5))),"",ROUND(Q190*C190*$Z$5,2)))</f>
        <v/>
      </c>
      <c r="S190" s="43" t="n"/>
      <c r="T190" s="342" t="n"/>
      <c r="U190" s="91">
        <f>IF(AND(A190="",A189&lt;&gt;"",COUNTIF(A191:$A$200,"&lt;&gt;")=0),"TOTAL",IF(A190="","",posicao_contratual!X190))</f>
        <v/>
      </c>
      <c r="V190" s="91">
        <f>IF(A190="","",posicao_contratual!X190)</f>
        <v/>
      </c>
      <c r="W190" s="13" t="n"/>
      <c r="X190" s="13" t="n"/>
      <c r="Y190" s="13" t="n"/>
      <c r="Z190" s="13" t="n"/>
      <c r="AA190" s="13" t="n"/>
      <c r="AB190" s="90">
        <f>IF(OR(A190="",posicao_contratual!E190="",posicao_contratual!J190=""),"",ROUND(MAX(posicao_contratual!E190-posicao_contratual!J190,0),2))</f>
        <v/>
      </c>
      <c r="AC190" s="335">
        <f>IF(AND(A190="",A189&lt;&gt;"",COUNTIF(A191:$A$200,"&lt;&gt;")=0),ROUND(SUMIF($A$2:A189,"&lt;&gt;",$AC$2:AC189),2),IF(OR(AB190="",C190="",NOT(ISNUMBER($Z$2))),"",ROUND(AB190*C190*$Z$2,2)))</f>
        <v/>
      </c>
      <c r="AD190" s="155">
        <f>IF(A190="","",posicao_contratual!E190)</f>
        <v/>
      </c>
      <c r="AE190" s="155">
        <f>IF(A190="","",posicao_contratual!I190)</f>
        <v/>
      </c>
      <c r="AF190" s="155">
        <f>IF(A190="","",posicao_contratual!M190)</f>
        <v/>
      </c>
      <c r="AG190" s="155">
        <f>IF(A190="","",posicao_contratual!Q190)</f>
        <v/>
      </c>
      <c r="AH190" s="155">
        <f>IF(A190="","",posicao_contratual!U190)</f>
        <v/>
      </c>
      <c r="AI190" s="155">
        <f>IF(A190="","",posicao_contratual!G190)</f>
        <v/>
      </c>
      <c r="AJ190" s="155">
        <f>IF(A190="","",posicao_contratual!K190)</f>
        <v/>
      </c>
      <c r="AK190" s="155">
        <f>IF(A190="","",posicao_contratual!O190)</f>
        <v/>
      </c>
      <c r="AL190" s="155">
        <f>IF(A190="","",posicao_contratual!S190)</f>
        <v/>
      </c>
      <c r="AM190" s="155">
        <f>IF(A190="","",posicao_contratual!W190)</f>
        <v/>
      </c>
      <c r="AN190" s="156">
        <f>IF(A190="","",posicao_contratual!X190)</f>
        <v/>
      </c>
      <c r="AO190">
        <f>IF($A190="","",ROUND(SUMIFS(itens_Consumidos!$E$2:$E$200,itens_Consumidos!$A$2:$A$200,$A190),2))</f>
        <v/>
      </c>
      <c r="AP190">
        <f>IF(OR($A190="",AB190=""),"",ROUND(MAX(AB190-AO190,0),2))</f>
        <v/>
      </c>
      <c r="AQ190">
        <f>IF(OR($A190="",AB190="",MEMORIA_RESULTADOS!$I$258=""),"",ROUND(AB190*$C190*(MEMORIA_RESULTADOS!$I$258-1),2))</f>
        <v/>
      </c>
      <c r="AR190">
        <f>IF(OR($A190="",AP190="",MEMORIA_RESULTADOS!$I$258=""),"",ROUND(AP190*$C190*(parametros!$F$2-MEMORIA_RESULTADOS!$I$258),2))</f>
        <v/>
      </c>
      <c r="AS190">
        <f>IF($A190="","",ROUND(SUMIFS(itens_Consumidos!$G$2:$G$200,itens_Consumidos!$A$2:$A$200,$A190),2))</f>
        <v/>
      </c>
      <c r="AT190">
        <f>IF(OR($A190="",M190=""),"",ROUND(MAX(M190-AS190,0),2))</f>
        <v/>
      </c>
      <c r="AU190">
        <f>IF(OR($A190="",M190="",MEMORIA_RESULTADOS!$I$259=""),"",ROUND(M190*$C190*(MEMORIA_RESULTADOS!$I$259-1),2))</f>
        <v/>
      </c>
      <c r="AV190">
        <f>IF(OR($A190="",AT190="",MEMORIA_RESULTADOS!$I$259=""),"",ROUND(AT190*$C190*(parametros!$F$3-MEMORIA_RESULTADOS!$I$259),2))</f>
        <v/>
      </c>
      <c r="AW190">
        <f>IF($A190="","",ROUND(SUMIFS(itens_Consumidos!$I$2:$I$200,itens_Consumidos!$A$2:$A$200,$A190),2))</f>
        <v/>
      </c>
      <c r="AX190">
        <f>IF(OR($A190="",O190=""),"",ROUND(MAX(O190-AW190,0),2))</f>
        <v/>
      </c>
      <c r="AY190">
        <f>IF(OR($A190="",O190="",MEMORIA_RESULTADOS!$I$260=""),"",ROUND(O190*$C190*(MEMORIA_RESULTADOS!$I$260-1),2))</f>
        <v/>
      </c>
      <c r="AZ190">
        <f>IF(OR($A190="",AX190="",MEMORIA_RESULTADOS!$I$260=""),"",ROUND(AX190*$C190*(parametros!$F$4-MEMORIA_RESULTADOS!$I$260),2))</f>
        <v/>
      </c>
      <c r="BA190">
        <f>IF($A190="","",ROUND(SUMIFS(itens_Consumidos!$K$2:$K$200,itens_Consumidos!$A$2:$A$200,$A190),2))</f>
        <v/>
      </c>
      <c r="BB190">
        <f>IF(OR($A190="",Q190=""),"",ROUND(MAX(Q190-BA190,0),2))</f>
        <v/>
      </c>
      <c r="BC190">
        <f>IF(OR($A190="",Q190="",MEMORIA_RESULTADOS!$I$261=""),"",ROUND(Q190*$C190*(MEMORIA_RESULTADOS!$I$261-1),2))</f>
        <v/>
      </c>
      <c r="BD190">
        <f>IF(OR($A190="",BB190="",MEMORIA_RESULTADOS!$I$261=""),"",ROUND(BB190*$C190*(parametros!$F$5-MEMORIA_RESULTADOS!$I$261),2))</f>
        <v/>
      </c>
      <c r="BE190">
        <f>IF($A190="","",ROUND(SUMIFS(itens_Consumidos!$M$2:$M$200,itens_Consumidos!$A$2:$A$200,$A190),2))</f>
        <v/>
      </c>
      <c r="BF190">
        <f>IF(OR($A190="",S190=""),"",ROUND(MAX(S190-BE190,0),2))</f>
        <v/>
      </c>
      <c r="BG190">
        <f>IF(OR($A190="",S190="",MEMORIA_RESULTADOS!$I$262=""),"",ROUND(S190*$C190*(MEMORIA_RESULTADOS!$I$262-1),2))</f>
        <v/>
      </c>
      <c r="BH190">
        <f>IF(OR($A190="",BF190="",MEMORIA_RESULTADOS!$I$262=""),"",ROUND(BF190*$C190*(parametros!$F$6-MEMORIA_RESULTADOS!$I$262),2))</f>
        <v/>
      </c>
    </row>
    <row r="191">
      <c r="A191" s="86" t="n"/>
      <c r="B191" s="87">
        <f>IF(AND(LEN(TRIM($A191))=4,LEFT(TRIM($A191),1)="N",ISNUMBER(--MID(TRIM($A191),2,3)),ISERROR(FIND(".",$A191)),ISERROR(FIND(",",$A191)),ISERROR(FIND("-",$A191)),ISERROR(FIND("+",$A191)),ISERROR(SEARCH("E",$A191,2)),ISERROR(FIND(" ",TRIM($A191)))),0,"")</f>
        <v/>
      </c>
      <c r="C191" s="339" t="n"/>
      <c r="D191" s="335">
        <f>IF(AND(A191="",A190&lt;&gt;"",COUNTIF(A192:$A$200,"&lt;&gt;")=0),ROUND(SUMIF($A$2:A190,"&lt;&gt;",$D$2:D190),2),IF(OR(A191="",B191="",C191=""),"",ROUND(B191*C191,2)))</f>
        <v/>
      </c>
      <c r="E191" s="89" t="n"/>
      <c r="F191" s="335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 t="n"/>
      <c r="H191" s="335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 t="n"/>
      <c r="J191" s="335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 t="n"/>
      <c r="L191" s="335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>
        <f>IF(OR(posicao_contratual!J191="",posicao_contratual!N191=""),"",ROUND(MAX(posicao_contratual!J191+posicao_contratual!H191-posicao_contratual!N191,0),2))</f>
        <v/>
      </c>
      <c r="N191" s="335">
        <f>IF(AND(A191="",A190&lt;&gt;"",COUNTIF(A192:$A$200,"&lt;&gt;")=0),ROUND(SUMIF($A$2:A190,"&lt;&gt;",$N$2:N190),2),IF(OR(M191="",C191="",NOT(ISNUMBER($Z$3))),"",ROUND(M191*C191*$Z$3,2)))</f>
        <v/>
      </c>
      <c r="O191" s="90">
        <f>IF(OR(posicao_contratual!N191="",posicao_contratual!R191=""),"",ROUND(MAX(posicao_contratual!N191+posicao_contratual!L191-posicao_contratual!R191,0),2))</f>
        <v/>
      </c>
      <c r="P191" s="335">
        <f>IF(AND(A191="",A190&lt;&gt;"",COUNTIF(A192:$A$200,"&lt;&gt;")=0),ROUND(SUMIF($A$2:A190,"&lt;&gt;",$P$2:P190),2),IF(OR(O191="",C191="",NOT(ISNUMBER($Z$4))),"",ROUND(O191*C191*$Z$4,2)))</f>
        <v/>
      </c>
      <c r="Q191" s="90">
        <f>IF(OR(posicao_contratual!R191="",posicao_contratual!V191=""),"",ROUND(MAX(posicao_contratual!R191+posicao_contratual!P191-posicao_contratual!V191,0),2))</f>
        <v/>
      </c>
      <c r="R191" s="335">
        <f>IF(AND(A191="",A190&lt;&gt;"",COUNTIF(A192:$A$200,"&lt;&gt;")=0),ROUND(SUMIF($A$2:A190,"&lt;&gt;",$R$2:R190),2),IF(OR(Q191="",C191="",NOT(ISNUMBER($Z$5))),"",ROUND(Q191*C191*$Z$5,2)))</f>
        <v/>
      </c>
      <c r="S191" s="43" t="n"/>
      <c r="T191" s="342" t="n"/>
      <c r="U191" s="91">
        <f>IF(AND(A191="",A190&lt;&gt;"",COUNTIF(A192:$A$200,"&lt;&gt;")=0),"TOTAL",IF(A191="","",posicao_contratual!X191))</f>
        <v/>
      </c>
      <c r="V191" s="91">
        <f>IF(A191="","",posicao_contratual!X191)</f>
        <v/>
      </c>
      <c r="W191" s="13" t="n"/>
      <c r="X191" s="13" t="n"/>
      <c r="Y191" s="13" t="n"/>
      <c r="Z191" s="13" t="n"/>
      <c r="AA191" s="13" t="n"/>
      <c r="AB191" s="90">
        <f>IF(OR(A191="",posicao_contratual!E191="",posicao_contratual!J191=""),"",ROUND(MAX(posicao_contratual!E191-posicao_contratual!J191,0),2))</f>
        <v/>
      </c>
      <c r="AC191" s="335">
        <f>IF(AND(A191="",A190&lt;&gt;"",COUNTIF(A192:$A$200,"&lt;&gt;")=0),ROUND(SUMIF($A$2:A190,"&lt;&gt;",$AC$2:AC190),2),IF(OR(AB191="",C191="",NOT(ISNUMBER($Z$2))),"",ROUND(AB191*C191*$Z$2,2)))</f>
        <v/>
      </c>
      <c r="AD191" s="155">
        <f>IF(A191="","",posicao_contratual!E191)</f>
        <v/>
      </c>
      <c r="AE191" s="155">
        <f>IF(A191="","",posicao_contratual!I191)</f>
        <v/>
      </c>
      <c r="AF191" s="155">
        <f>IF(A191="","",posicao_contratual!M191)</f>
        <v/>
      </c>
      <c r="AG191" s="155">
        <f>IF(A191="","",posicao_contratual!Q191)</f>
        <v/>
      </c>
      <c r="AH191" s="155">
        <f>IF(A191="","",posicao_contratual!U191)</f>
        <v/>
      </c>
      <c r="AI191" s="155">
        <f>IF(A191="","",posicao_contratual!G191)</f>
        <v/>
      </c>
      <c r="AJ191" s="155">
        <f>IF(A191="","",posicao_contratual!K191)</f>
        <v/>
      </c>
      <c r="AK191" s="155">
        <f>IF(A191="","",posicao_contratual!O191)</f>
        <v/>
      </c>
      <c r="AL191" s="155">
        <f>IF(A191="","",posicao_contratual!S191)</f>
        <v/>
      </c>
      <c r="AM191" s="155">
        <f>IF(A191="","",posicao_contratual!W191)</f>
        <v/>
      </c>
      <c r="AN191" s="156">
        <f>IF(A191="","",posicao_contratual!X191)</f>
        <v/>
      </c>
      <c r="AO191">
        <f>IF($A191="","",ROUND(SUMIFS(itens_Consumidos!$E$2:$E$200,itens_Consumidos!$A$2:$A$200,$A191),2))</f>
        <v/>
      </c>
      <c r="AP191">
        <f>IF(OR($A191="",AB191=""),"",ROUND(MAX(AB191-AO191,0),2))</f>
        <v/>
      </c>
      <c r="AQ191">
        <f>IF(OR($A191="",AB191="",MEMORIA_RESULTADOS!$I$258=""),"",ROUND(AB191*$C191*(MEMORIA_RESULTADOS!$I$258-1),2))</f>
        <v/>
      </c>
      <c r="AR191">
        <f>IF(OR($A191="",AP191="",MEMORIA_RESULTADOS!$I$258=""),"",ROUND(AP191*$C191*(parametros!$F$2-MEMORIA_RESULTADOS!$I$258),2))</f>
        <v/>
      </c>
      <c r="AS191">
        <f>IF($A191="","",ROUND(SUMIFS(itens_Consumidos!$G$2:$G$200,itens_Consumidos!$A$2:$A$200,$A191),2))</f>
        <v/>
      </c>
      <c r="AT191">
        <f>IF(OR($A191="",M191=""),"",ROUND(MAX(M191-AS191,0),2))</f>
        <v/>
      </c>
      <c r="AU191">
        <f>IF(OR($A191="",M191="",MEMORIA_RESULTADOS!$I$259=""),"",ROUND(M191*$C191*(MEMORIA_RESULTADOS!$I$259-1),2))</f>
        <v/>
      </c>
      <c r="AV191">
        <f>IF(OR($A191="",AT191="",MEMORIA_RESULTADOS!$I$259=""),"",ROUND(AT191*$C191*(parametros!$F$3-MEMORIA_RESULTADOS!$I$259),2))</f>
        <v/>
      </c>
      <c r="AW191">
        <f>IF($A191="","",ROUND(SUMIFS(itens_Consumidos!$I$2:$I$200,itens_Consumidos!$A$2:$A$200,$A191),2))</f>
        <v/>
      </c>
      <c r="AX191">
        <f>IF(OR($A191="",O191=""),"",ROUND(MAX(O191-AW191,0),2))</f>
        <v/>
      </c>
      <c r="AY191">
        <f>IF(OR($A191="",O191="",MEMORIA_RESULTADOS!$I$260=""),"",ROUND(O191*$C191*(MEMORIA_RESULTADOS!$I$260-1),2))</f>
        <v/>
      </c>
      <c r="AZ191">
        <f>IF(OR($A191="",AX191="",MEMORIA_RESULTADOS!$I$260=""),"",ROUND(AX191*$C191*(parametros!$F$4-MEMORIA_RESULTADOS!$I$260),2))</f>
        <v/>
      </c>
      <c r="BA191">
        <f>IF($A191="","",ROUND(SUMIFS(itens_Consumidos!$K$2:$K$200,itens_Consumidos!$A$2:$A$200,$A191),2))</f>
        <v/>
      </c>
      <c r="BB191">
        <f>IF(OR($A191="",Q191=""),"",ROUND(MAX(Q191-BA191,0),2))</f>
        <v/>
      </c>
      <c r="BC191">
        <f>IF(OR($A191="",Q191="",MEMORIA_RESULTADOS!$I$261=""),"",ROUND(Q191*$C191*(MEMORIA_RESULTADOS!$I$261-1),2))</f>
        <v/>
      </c>
      <c r="BD191">
        <f>IF(OR($A191="",BB191="",MEMORIA_RESULTADOS!$I$261=""),"",ROUND(BB191*$C191*(parametros!$F$5-MEMORIA_RESULTADOS!$I$261),2))</f>
        <v/>
      </c>
      <c r="BE191">
        <f>IF($A191="","",ROUND(SUMIFS(itens_Consumidos!$M$2:$M$200,itens_Consumidos!$A$2:$A$200,$A191),2))</f>
        <v/>
      </c>
      <c r="BF191">
        <f>IF(OR($A191="",S191=""),"",ROUND(MAX(S191-BE191,0),2))</f>
        <v/>
      </c>
      <c r="BG191">
        <f>IF(OR($A191="",S191="",MEMORIA_RESULTADOS!$I$262=""),"",ROUND(S191*$C191*(MEMORIA_RESULTADOS!$I$262-1),2))</f>
        <v/>
      </c>
      <c r="BH191">
        <f>IF(OR($A191="",BF191="",MEMORIA_RESULTADOS!$I$262=""),"",ROUND(BF191*$C191*(parametros!$F$6-MEMORIA_RESULTADOS!$I$262),2))</f>
        <v/>
      </c>
    </row>
    <row r="192">
      <c r="A192" s="86" t="n"/>
      <c r="B192" s="87">
        <f>IF(AND(LEN(TRIM($A192))=4,LEFT(TRIM($A192),1)="N",ISNUMBER(--MID(TRIM($A192),2,3)),ISERROR(FIND(".",$A192)),ISERROR(FIND(",",$A192)),ISERROR(FIND("-",$A192)),ISERROR(FIND("+",$A192)),ISERROR(SEARCH("E",$A192,2)),ISERROR(FIND(" ",TRIM($A192)))),0,"")</f>
        <v/>
      </c>
      <c r="C192" s="339" t="n"/>
      <c r="D192" s="335">
        <f>IF(AND(A192="",A191&lt;&gt;"",COUNTIF(A193:$A$200,"&lt;&gt;")=0),ROUND(SUMIF($A$2:A191,"&lt;&gt;",$D$2:D191),2),IF(OR(A192="",B192="",C192=""),"",ROUND(B192*C192,2)))</f>
        <v/>
      </c>
      <c r="E192" s="89" t="n"/>
      <c r="F192" s="335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 t="n"/>
      <c r="H192" s="335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 t="n"/>
      <c r="J192" s="335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 t="n"/>
      <c r="L192" s="335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>
        <f>IF(OR(posicao_contratual!J192="",posicao_contratual!N192=""),"",ROUND(MAX(posicao_contratual!J192+posicao_contratual!H192-posicao_contratual!N192,0),2))</f>
        <v/>
      </c>
      <c r="N192" s="335">
        <f>IF(AND(A192="",A191&lt;&gt;"",COUNTIF(A193:$A$200,"&lt;&gt;")=0),ROUND(SUMIF($A$2:A191,"&lt;&gt;",$N$2:N191),2),IF(OR(M192="",C192="",NOT(ISNUMBER($Z$3))),"",ROUND(M192*C192*$Z$3,2)))</f>
        <v/>
      </c>
      <c r="O192" s="90">
        <f>IF(OR(posicao_contratual!N192="",posicao_contratual!R192=""),"",ROUND(MAX(posicao_contratual!N192+posicao_contratual!L192-posicao_contratual!R192,0),2))</f>
        <v/>
      </c>
      <c r="P192" s="335">
        <f>IF(AND(A192="",A191&lt;&gt;"",COUNTIF(A193:$A$200,"&lt;&gt;")=0),ROUND(SUMIF($A$2:A191,"&lt;&gt;",$P$2:P191),2),IF(OR(O192="",C192="",NOT(ISNUMBER($Z$4))),"",ROUND(O192*C192*$Z$4,2)))</f>
        <v/>
      </c>
      <c r="Q192" s="90">
        <f>IF(OR(posicao_contratual!R192="",posicao_contratual!V192=""),"",ROUND(MAX(posicao_contratual!R192+posicao_contratual!P192-posicao_contratual!V192,0),2))</f>
        <v/>
      </c>
      <c r="R192" s="335">
        <f>IF(AND(A192="",A191&lt;&gt;"",COUNTIF(A193:$A$200,"&lt;&gt;")=0),ROUND(SUMIF($A$2:A191,"&lt;&gt;",$R$2:R191),2),IF(OR(Q192="",C192="",NOT(ISNUMBER($Z$5))),"",ROUND(Q192*C192*$Z$5,2)))</f>
        <v/>
      </c>
      <c r="S192" s="43" t="n"/>
      <c r="T192" s="342" t="n"/>
      <c r="U192" s="91">
        <f>IF(AND(A192="",A191&lt;&gt;"",COUNTIF(A193:$A$200,"&lt;&gt;")=0),"TOTAL",IF(A192="","",posicao_contratual!X192))</f>
        <v/>
      </c>
      <c r="V192" s="91">
        <f>IF(A192="","",posicao_contratual!X192)</f>
        <v/>
      </c>
      <c r="W192" s="13" t="n"/>
      <c r="X192" s="13" t="n"/>
      <c r="Y192" s="13" t="n"/>
      <c r="Z192" s="13" t="n"/>
      <c r="AA192" s="13" t="n"/>
      <c r="AB192" s="90">
        <f>IF(OR(A192="",posicao_contratual!E192="",posicao_contratual!J192=""),"",ROUND(MAX(posicao_contratual!E192-posicao_contratual!J192,0),2))</f>
        <v/>
      </c>
      <c r="AC192" s="335">
        <f>IF(AND(A192="",A191&lt;&gt;"",COUNTIF(A193:$A$200,"&lt;&gt;")=0),ROUND(SUMIF($A$2:A191,"&lt;&gt;",$AC$2:AC191),2),IF(OR(AB192="",C192="",NOT(ISNUMBER($Z$2))),"",ROUND(AB192*C192*$Z$2,2)))</f>
        <v/>
      </c>
      <c r="AD192" s="155">
        <f>IF(A192="","",posicao_contratual!E192)</f>
        <v/>
      </c>
      <c r="AE192" s="155">
        <f>IF(A192="","",posicao_contratual!I192)</f>
        <v/>
      </c>
      <c r="AF192" s="155">
        <f>IF(A192="","",posicao_contratual!M192)</f>
        <v/>
      </c>
      <c r="AG192" s="155">
        <f>IF(A192="","",posicao_contratual!Q192)</f>
        <v/>
      </c>
      <c r="AH192" s="155">
        <f>IF(A192="","",posicao_contratual!U192)</f>
        <v/>
      </c>
      <c r="AI192" s="155">
        <f>IF(A192="","",posicao_contratual!G192)</f>
        <v/>
      </c>
      <c r="AJ192" s="155">
        <f>IF(A192="","",posicao_contratual!K192)</f>
        <v/>
      </c>
      <c r="AK192" s="155">
        <f>IF(A192="","",posicao_contratual!O192)</f>
        <v/>
      </c>
      <c r="AL192" s="155">
        <f>IF(A192="","",posicao_contratual!S192)</f>
        <v/>
      </c>
      <c r="AM192" s="155">
        <f>IF(A192="","",posicao_contratual!W192)</f>
        <v/>
      </c>
      <c r="AN192" s="156">
        <f>IF(A192="","",posicao_contratual!X192)</f>
        <v/>
      </c>
      <c r="AO192">
        <f>IF($A192="","",ROUND(SUMIFS(itens_Consumidos!$E$2:$E$200,itens_Consumidos!$A$2:$A$200,$A192),2))</f>
        <v/>
      </c>
      <c r="AP192">
        <f>IF(OR($A192="",AB192=""),"",ROUND(MAX(AB192-AO192,0),2))</f>
        <v/>
      </c>
      <c r="AQ192">
        <f>IF(OR($A192="",AB192="",MEMORIA_RESULTADOS!$I$258=""),"",ROUND(AB192*$C192*(MEMORIA_RESULTADOS!$I$258-1),2))</f>
        <v/>
      </c>
      <c r="AR192">
        <f>IF(OR($A192="",AP192="",MEMORIA_RESULTADOS!$I$258=""),"",ROUND(AP192*$C192*(parametros!$F$2-MEMORIA_RESULTADOS!$I$258),2))</f>
        <v/>
      </c>
      <c r="AS192">
        <f>IF($A192="","",ROUND(SUMIFS(itens_Consumidos!$G$2:$G$200,itens_Consumidos!$A$2:$A$200,$A192),2))</f>
        <v/>
      </c>
      <c r="AT192">
        <f>IF(OR($A192="",M192=""),"",ROUND(MAX(M192-AS192,0),2))</f>
        <v/>
      </c>
      <c r="AU192">
        <f>IF(OR($A192="",M192="",MEMORIA_RESULTADOS!$I$259=""),"",ROUND(M192*$C192*(MEMORIA_RESULTADOS!$I$259-1),2))</f>
        <v/>
      </c>
      <c r="AV192">
        <f>IF(OR($A192="",AT192="",MEMORIA_RESULTADOS!$I$259=""),"",ROUND(AT192*$C192*(parametros!$F$3-MEMORIA_RESULTADOS!$I$259),2))</f>
        <v/>
      </c>
      <c r="AW192">
        <f>IF($A192="","",ROUND(SUMIFS(itens_Consumidos!$I$2:$I$200,itens_Consumidos!$A$2:$A$200,$A192),2))</f>
        <v/>
      </c>
      <c r="AX192">
        <f>IF(OR($A192="",O192=""),"",ROUND(MAX(O192-AW192,0),2))</f>
        <v/>
      </c>
      <c r="AY192">
        <f>IF(OR($A192="",O192="",MEMORIA_RESULTADOS!$I$260=""),"",ROUND(O192*$C192*(MEMORIA_RESULTADOS!$I$260-1),2))</f>
        <v/>
      </c>
      <c r="AZ192">
        <f>IF(OR($A192="",AX192="",MEMORIA_RESULTADOS!$I$260=""),"",ROUND(AX192*$C192*(parametros!$F$4-MEMORIA_RESULTADOS!$I$260),2))</f>
        <v/>
      </c>
      <c r="BA192">
        <f>IF($A192="","",ROUND(SUMIFS(itens_Consumidos!$K$2:$K$200,itens_Consumidos!$A$2:$A$200,$A192),2))</f>
        <v/>
      </c>
      <c r="BB192">
        <f>IF(OR($A192="",Q192=""),"",ROUND(MAX(Q192-BA192,0),2))</f>
        <v/>
      </c>
      <c r="BC192">
        <f>IF(OR($A192="",Q192="",MEMORIA_RESULTADOS!$I$261=""),"",ROUND(Q192*$C192*(MEMORIA_RESULTADOS!$I$261-1),2))</f>
        <v/>
      </c>
      <c r="BD192">
        <f>IF(OR($A192="",BB192="",MEMORIA_RESULTADOS!$I$261=""),"",ROUND(BB192*$C192*(parametros!$F$5-MEMORIA_RESULTADOS!$I$261),2))</f>
        <v/>
      </c>
      <c r="BE192">
        <f>IF($A192="","",ROUND(SUMIFS(itens_Consumidos!$M$2:$M$200,itens_Consumidos!$A$2:$A$200,$A192),2))</f>
        <v/>
      </c>
      <c r="BF192">
        <f>IF(OR($A192="",S192=""),"",ROUND(MAX(S192-BE192,0),2))</f>
        <v/>
      </c>
      <c r="BG192">
        <f>IF(OR($A192="",S192="",MEMORIA_RESULTADOS!$I$262=""),"",ROUND(S192*$C192*(MEMORIA_RESULTADOS!$I$262-1),2))</f>
        <v/>
      </c>
      <c r="BH192">
        <f>IF(OR($A192="",BF192="",MEMORIA_RESULTADOS!$I$262=""),"",ROUND(BF192*$C192*(parametros!$F$6-MEMORIA_RESULTADOS!$I$262),2))</f>
        <v/>
      </c>
    </row>
    <row r="193">
      <c r="A193" s="86" t="n"/>
      <c r="B193" s="87">
        <f>IF(AND(LEN(TRIM($A193))=4,LEFT(TRIM($A193),1)="N",ISNUMBER(--MID(TRIM($A193),2,3)),ISERROR(FIND(".",$A193)),ISERROR(FIND(",",$A193)),ISERROR(FIND("-",$A193)),ISERROR(FIND("+",$A193)),ISERROR(SEARCH("E",$A193,2)),ISERROR(FIND(" ",TRIM($A193)))),0,"")</f>
        <v/>
      </c>
      <c r="C193" s="339" t="n"/>
      <c r="D193" s="335">
        <f>IF(AND(A193="",A192&lt;&gt;"",COUNTIF(A194:$A$200,"&lt;&gt;")=0),ROUND(SUMIF($A$2:A192,"&lt;&gt;",$D$2:D192),2),IF(OR(A193="",B193="",C193=""),"",ROUND(B193*C193,2)))</f>
        <v/>
      </c>
      <c r="E193" s="89" t="n"/>
      <c r="F193" s="335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 t="n"/>
      <c r="H193" s="335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 t="n"/>
      <c r="J193" s="335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 t="n"/>
      <c r="L193" s="335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>
        <f>IF(OR(posicao_contratual!J193="",posicao_contratual!N193=""),"",ROUND(MAX(posicao_contratual!J193+posicao_contratual!H193-posicao_contratual!N193,0),2))</f>
        <v/>
      </c>
      <c r="N193" s="335">
        <f>IF(AND(A193="",A192&lt;&gt;"",COUNTIF(A194:$A$200,"&lt;&gt;")=0),ROUND(SUMIF($A$2:A192,"&lt;&gt;",$N$2:N192),2),IF(OR(M193="",C193="",NOT(ISNUMBER($Z$3))),"",ROUND(M193*C193*$Z$3,2)))</f>
        <v/>
      </c>
      <c r="O193" s="90">
        <f>IF(OR(posicao_contratual!N193="",posicao_contratual!R193=""),"",ROUND(MAX(posicao_contratual!N193+posicao_contratual!L193-posicao_contratual!R193,0),2))</f>
        <v/>
      </c>
      <c r="P193" s="335">
        <f>IF(AND(A193="",A192&lt;&gt;"",COUNTIF(A194:$A$200,"&lt;&gt;")=0),ROUND(SUMIF($A$2:A192,"&lt;&gt;",$P$2:P192),2),IF(OR(O193="",C193="",NOT(ISNUMBER($Z$4))),"",ROUND(O193*C193*$Z$4,2)))</f>
        <v/>
      </c>
      <c r="Q193" s="90">
        <f>IF(OR(posicao_contratual!R193="",posicao_contratual!V193=""),"",ROUND(MAX(posicao_contratual!R193+posicao_contratual!P193-posicao_contratual!V193,0),2))</f>
        <v/>
      </c>
      <c r="R193" s="335">
        <f>IF(AND(A193="",A192&lt;&gt;"",COUNTIF(A194:$A$200,"&lt;&gt;")=0),ROUND(SUMIF($A$2:A192,"&lt;&gt;",$R$2:R192),2),IF(OR(Q193="",C193="",NOT(ISNUMBER($Z$5))),"",ROUND(Q193*C193*$Z$5,2)))</f>
        <v/>
      </c>
      <c r="S193" s="43" t="n"/>
      <c r="T193" s="342" t="n"/>
      <c r="U193" s="91">
        <f>IF(AND(A193="",A192&lt;&gt;"",COUNTIF(A194:$A$200,"&lt;&gt;")=0),"TOTAL",IF(A193="","",posicao_contratual!X193))</f>
        <v/>
      </c>
      <c r="V193" s="91">
        <f>IF(A193="","",posicao_contratual!X193)</f>
        <v/>
      </c>
      <c r="W193" s="13" t="n"/>
      <c r="X193" s="13" t="n"/>
      <c r="Y193" s="13" t="n"/>
      <c r="Z193" s="13" t="n"/>
      <c r="AA193" s="13" t="n"/>
      <c r="AB193" s="90">
        <f>IF(OR(A193="",posicao_contratual!E193="",posicao_contratual!J193=""),"",ROUND(MAX(posicao_contratual!E193-posicao_contratual!J193,0),2))</f>
        <v/>
      </c>
      <c r="AC193" s="335">
        <f>IF(AND(A193="",A192&lt;&gt;"",COUNTIF(A194:$A$200,"&lt;&gt;")=0),ROUND(SUMIF($A$2:A192,"&lt;&gt;",$AC$2:AC192),2),IF(OR(AB193="",C193="",NOT(ISNUMBER($Z$2))),"",ROUND(AB193*C193*$Z$2,2)))</f>
        <v/>
      </c>
      <c r="AD193" s="155">
        <f>IF(A193="","",posicao_contratual!E193)</f>
        <v/>
      </c>
      <c r="AE193" s="155">
        <f>IF(A193="","",posicao_contratual!I193)</f>
        <v/>
      </c>
      <c r="AF193" s="155">
        <f>IF(A193="","",posicao_contratual!M193)</f>
        <v/>
      </c>
      <c r="AG193" s="155">
        <f>IF(A193="","",posicao_contratual!Q193)</f>
        <v/>
      </c>
      <c r="AH193" s="155">
        <f>IF(A193="","",posicao_contratual!U193)</f>
        <v/>
      </c>
      <c r="AI193" s="155">
        <f>IF(A193="","",posicao_contratual!G193)</f>
        <v/>
      </c>
      <c r="AJ193" s="155">
        <f>IF(A193="","",posicao_contratual!K193)</f>
        <v/>
      </c>
      <c r="AK193" s="155">
        <f>IF(A193="","",posicao_contratual!O193)</f>
        <v/>
      </c>
      <c r="AL193" s="155">
        <f>IF(A193="","",posicao_contratual!S193)</f>
        <v/>
      </c>
      <c r="AM193" s="155">
        <f>IF(A193="","",posicao_contratual!W193)</f>
        <v/>
      </c>
      <c r="AN193" s="156">
        <f>IF(A193="","",posicao_contratual!X193)</f>
        <v/>
      </c>
      <c r="AO193">
        <f>IF($A193="","",ROUND(SUMIFS(itens_Consumidos!$E$2:$E$200,itens_Consumidos!$A$2:$A$200,$A193),2))</f>
        <v/>
      </c>
      <c r="AP193">
        <f>IF(OR($A193="",AB193=""),"",ROUND(MAX(AB193-AO193,0),2))</f>
        <v/>
      </c>
      <c r="AQ193">
        <f>IF(OR($A193="",AB193="",MEMORIA_RESULTADOS!$I$258=""),"",ROUND(AB193*$C193*(MEMORIA_RESULTADOS!$I$258-1),2))</f>
        <v/>
      </c>
      <c r="AR193">
        <f>IF(OR($A193="",AP193="",MEMORIA_RESULTADOS!$I$258=""),"",ROUND(AP193*$C193*(parametros!$F$2-MEMORIA_RESULTADOS!$I$258),2))</f>
        <v/>
      </c>
      <c r="AS193">
        <f>IF($A193="","",ROUND(SUMIFS(itens_Consumidos!$G$2:$G$200,itens_Consumidos!$A$2:$A$200,$A193),2))</f>
        <v/>
      </c>
      <c r="AT193">
        <f>IF(OR($A193="",M193=""),"",ROUND(MAX(M193-AS193,0),2))</f>
        <v/>
      </c>
      <c r="AU193">
        <f>IF(OR($A193="",M193="",MEMORIA_RESULTADOS!$I$259=""),"",ROUND(M193*$C193*(MEMORIA_RESULTADOS!$I$259-1),2))</f>
        <v/>
      </c>
      <c r="AV193">
        <f>IF(OR($A193="",AT193="",MEMORIA_RESULTADOS!$I$259=""),"",ROUND(AT193*$C193*(parametros!$F$3-MEMORIA_RESULTADOS!$I$259),2))</f>
        <v/>
      </c>
      <c r="AW193">
        <f>IF($A193="","",ROUND(SUMIFS(itens_Consumidos!$I$2:$I$200,itens_Consumidos!$A$2:$A$200,$A193),2))</f>
        <v/>
      </c>
      <c r="AX193">
        <f>IF(OR($A193="",O193=""),"",ROUND(MAX(O193-AW193,0),2))</f>
        <v/>
      </c>
      <c r="AY193">
        <f>IF(OR($A193="",O193="",MEMORIA_RESULTADOS!$I$260=""),"",ROUND(O193*$C193*(MEMORIA_RESULTADOS!$I$260-1),2))</f>
        <v/>
      </c>
      <c r="AZ193">
        <f>IF(OR($A193="",AX193="",MEMORIA_RESULTADOS!$I$260=""),"",ROUND(AX193*$C193*(parametros!$F$4-MEMORIA_RESULTADOS!$I$260),2))</f>
        <v/>
      </c>
      <c r="BA193">
        <f>IF($A193="","",ROUND(SUMIFS(itens_Consumidos!$K$2:$K$200,itens_Consumidos!$A$2:$A$200,$A193),2))</f>
        <v/>
      </c>
      <c r="BB193">
        <f>IF(OR($A193="",Q193=""),"",ROUND(MAX(Q193-BA193,0),2))</f>
        <v/>
      </c>
      <c r="BC193">
        <f>IF(OR($A193="",Q193="",MEMORIA_RESULTADOS!$I$261=""),"",ROUND(Q193*$C193*(MEMORIA_RESULTADOS!$I$261-1),2))</f>
        <v/>
      </c>
      <c r="BD193">
        <f>IF(OR($A193="",BB193="",MEMORIA_RESULTADOS!$I$261=""),"",ROUND(BB193*$C193*(parametros!$F$5-MEMORIA_RESULTADOS!$I$261),2))</f>
        <v/>
      </c>
      <c r="BE193">
        <f>IF($A193="","",ROUND(SUMIFS(itens_Consumidos!$M$2:$M$200,itens_Consumidos!$A$2:$A$200,$A193),2))</f>
        <v/>
      </c>
      <c r="BF193">
        <f>IF(OR($A193="",S193=""),"",ROUND(MAX(S193-BE193,0),2))</f>
        <v/>
      </c>
      <c r="BG193">
        <f>IF(OR($A193="",S193="",MEMORIA_RESULTADOS!$I$262=""),"",ROUND(S193*$C193*(MEMORIA_RESULTADOS!$I$262-1),2))</f>
        <v/>
      </c>
      <c r="BH193">
        <f>IF(OR($A193="",BF193="",MEMORIA_RESULTADOS!$I$262=""),"",ROUND(BF193*$C193*(parametros!$F$6-MEMORIA_RESULTADOS!$I$262),2))</f>
        <v/>
      </c>
    </row>
    <row r="194">
      <c r="A194" s="86" t="n"/>
      <c r="B194" s="87">
        <f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339" t="n"/>
      <c r="D194" s="335">
        <f>IF(AND(A194="",A193&lt;&gt;"",COUNTIF(A195:$A$200,"&lt;&gt;")=0),ROUND(SUMIF($A$2:A193,"&lt;&gt;",$D$2:D193),2),IF(OR(A194="",B194="",C194=""),"",ROUND(B194*C194,2)))</f>
        <v/>
      </c>
      <c r="E194" s="89" t="n"/>
      <c r="F194" s="335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 t="n"/>
      <c r="H194" s="335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 t="n"/>
      <c r="J194" s="335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 t="n"/>
      <c r="L194" s="335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>
        <f>IF(OR(posicao_contratual!J194="",posicao_contratual!N194=""),"",ROUND(MAX(posicao_contratual!J194+posicao_contratual!H194-posicao_contratual!N194,0),2))</f>
        <v/>
      </c>
      <c r="N194" s="335">
        <f>IF(AND(A194="",A193&lt;&gt;"",COUNTIF(A195:$A$200,"&lt;&gt;")=0),ROUND(SUMIF($A$2:A193,"&lt;&gt;",$N$2:N193),2),IF(OR(M194="",C194="",NOT(ISNUMBER($Z$3))),"",ROUND(M194*C194*$Z$3,2)))</f>
        <v/>
      </c>
      <c r="O194" s="90">
        <f>IF(OR(posicao_contratual!N194="",posicao_contratual!R194=""),"",ROUND(MAX(posicao_contratual!N194+posicao_contratual!L194-posicao_contratual!R194,0),2))</f>
        <v/>
      </c>
      <c r="P194" s="335">
        <f>IF(AND(A194="",A193&lt;&gt;"",COUNTIF(A195:$A$200,"&lt;&gt;")=0),ROUND(SUMIF($A$2:A193,"&lt;&gt;",$P$2:P193),2),IF(OR(O194="",C194="",NOT(ISNUMBER($Z$4))),"",ROUND(O194*C194*$Z$4,2)))</f>
        <v/>
      </c>
      <c r="Q194" s="90">
        <f>IF(OR(posicao_contratual!R194="",posicao_contratual!V194=""),"",ROUND(MAX(posicao_contratual!R194+posicao_contratual!P194-posicao_contratual!V194,0),2))</f>
        <v/>
      </c>
      <c r="R194" s="335">
        <f>IF(AND(A194="",A193&lt;&gt;"",COUNTIF(A195:$A$200,"&lt;&gt;")=0),ROUND(SUMIF($A$2:A193,"&lt;&gt;",$R$2:R193),2),IF(OR(Q194="",C194="",NOT(ISNUMBER($Z$5))),"",ROUND(Q194*C194*$Z$5,2)))</f>
        <v/>
      </c>
      <c r="S194" s="43" t="n"/>
      <c r="T194" s="342" t="n"/>
      <c r="U194" s="91">
        <f>IF(AND(A194="",A193&lt;&gt;"",COUNTIF(A195:$A$200,"&lt;&gt;")=0),"TOTAL",IF(A194="","",posicao_contratual!X194))</f>
        <v/>
      </c>
      <c r="V194" s="91">
        <f>IF(A194="","",posicao_contratual!X194)</f>
        <v/>
      </c>
      <c r="W194" s="13" t="n"/>
      <c r="X194" s="13" t="n"/>
      <c r="Y194" s="13" t="n"/>
      <c r="Z194" s="13" t="n"/>
      <c r="AA194" s="13" t="n"/>
      <c r="AB194" s="90">
        <f>IF(OR(A194="",posicao_contratual!E194="",posicao_contratual!J194=""),"",ROUND(MAX(posicao_contratual!E194-posicao_contratual!J194,0),2))</f>
        <v/>
      </c>
      <c r="AC194" s="335">
        <f>IF(AND(A194="",A193&lt;&gt;"",COUNTIF(A195:$A$200,"&lt;&gt;")=0),ROUND(SUMIF($A$2:A193,"&lt;&gt;",$AC$2:AC193),2),IF(OR(AB194="",C194="",NOT(ISNUMBER($Z$2))),"",ROUND(AB194*C194*$Z$2,2)))</f>
        <v/>
      </c>
      <c r="AD194" s="155">
        <f>IF(A194="","",posicao_contratual!E194)</f>
        <v/>
      </c>
      <c r="AE194" s="155">
        <f>IF(A194="","",posicao_contratual!I194)</f>
        <v/>
      </c>
      <c r="AF194" s="155">
        <f>IF(A194="","",posicao_contratual!M194)</f>
        <v/>
      </c>
      <c r="AG194" s="155">
        <f>IF(A194="","",posicao_contratual!Q194)</f>
        <v/>
      </c>
      <c r="AH194" s="155">
        <f>IF(A194="","",posicao_contratual!U194)</f>
        <v/>
      </c>
      <c r="AI194" s="155">
        <f>IF(A194="","",posicao_contratual!G194)</f>
        <v/>
      </c>
      <c r="AJ194" s="155">
        <f>IF(A194="","",posicao_contratual!K194)</f>
        <v/>
      </c>
      <c r="AK194" s="155">
        <f>IF(A194="","",posicao_contratual!O194)</f>
        <v/>
      </c>
      <c r="AL194" s="155">
        <f>IF(A194="","",posicao_contratual!S194)</f>
        <v/>
      </c>
      <c r="AM194" s="155">
        <f>IF(A194="","",posicao_contratual!W194)</f>
        <v/>
      </c>
      <c r="AN194" s="156">
        <f>IF(A194="","",posicao_contratual!X194)</f>
        <v/>
      </c>
      <c r="AO194">
        <f>IF($A194="","",ROUND(SUMIFS(itens_Consumidos!$E$2:$E$200,itens_Consumidos!$A$2:$A$200,$A194),2))</f>
        <v/>
      </c>
      <c r="AP194">
        <f>IF(OR($A194="",AB194=""),"",ROUND(MAX(AB194-AO194,0),2))</f>
        <v/>
      </c>
      <c r="AQ194">
        <f>IF(OR($A194="",AB194="",MEMORIA_RESULTADOS!$I$258=""),"",ROUND(AB194*$C194*(MEMORIA_RESULTADOS!$I$258-1),2))</f>
        <v/>
      </c>
      <c r="AR194">
        <f>IF(OR($A194="",AP194="",MEMORIA_RESULTADOS!$I$258=""),"",ROUND(AP194*$C194*(parametros!$F$2-MEMORIA_RESULTADOS!$I$258),2))</f>
        <v/>
      </c>
      <c r="AS194">
        <f>IF($A194="","",ROUND(SUMIFS(itens_Consumidos!$G$2:$G$200,itens_Consumidos!$A$2:$A$200,$A194),2))</f>
        <v/>
      </c>
      <c r="AT194">
        <f>IF(OR($A194="",M194=""),"",ROUND(MAX(M194-AS194,0),2))</f>
        <v/>
      </c>
      <c r="AU194">
        <f>IF(OR($A194="",M194="",MEMORIA_RESULTADOS!$I$259=""),"",ROUND(M194*$C194*(MEMORIA_RESULTADOS!$I$259-1),2))</f>
        <v/>
      </c>
      <c r="AV194">
        <f>IF(OR($A194="",AT194="",MEMORIA_RESULTADOS!$I$259=""),"",ROUND(AT194*$C194*(parametros!$F$3-MEMORIA_RESULTADOS!$I$259),2))</f>
        <v/>
      </c>
      <c r="AW194">
        <f>IF($A194="","",ROUND(SUMIFS(itens_Consumidos!$I$2:$I$200,itens_Consumidos!$A$2:$A$200,$A194),2))</f>
        <v/>
      </c>
      <c r="AX194">
        <f>IF(OR($A194="",O194=""),"",ROUND(MAX(O194-AW194,0),2))</f>
        <v/>
      </c>
      <c r="AY194">
        <f>IF(OR($A194="",O194="",MEMORIA_RESULTADOS!$I$260=""),"",ROUND(O194*$C194*(MEMORIA_RESULTADOS!$I$260-1),2))</f>
        <v/>
      </c>
      <c r="AZ194">
        <f>IF(OR($A194="",AX194="",MEMORIA_RESULTADOS!$I$260=""),"",ROUND(AX194*$C194*(parametros!$F$4-MEMORIA_RESULTADOS!$I$260),2))</f>
        <v/>
      </c>
      <c r="BA194">
        <f>IF($A194="","",ROUND(SUMIFS(itens_Consumidos!$K$2:$K$200,itens_Consumidos!$A$2:$A$200,$A194),2))</f>
        <v/>
      </c>
      <c r="BB194">
        <f>IF(OR($A194="",Q194=""),"",ROUND(MAX(Q194-BA194,0),2))</f>
        <v/>
      </c>
      <c r="BC194">
        <f>IF(OR($A194="",Q194="",MEMORIA_RESULTADOS!$I$261=""),"",ROUND(Q194*$C194*(MEMORIA_RESULTADOS!$I$261-1),2))</f>
        <v/>
      </c>
      <c r="BD194">
        <f>IF(OR($A194="",BB194="",MEMORIA_RESULTADOS!$I$261=""),"",ROUND(BB194*$C194*(parametros!$F$5-MEMORIA_RESULTADOS!$I$261),2))</f>
        <v/>
      </c>
      <c r="BE194">
        <f>IF($A194="","",ROUND(SUMIFS(itens_Consumidos!$M$2:$M$200,itens_Consumidos!$A$2:$A$200,$A194),2))</f>
        <v/>
      </c>
      <c r="BF194">
        <f>IF(OR($A194="",S194=""),"",ROUND(MAX(S194-BE194,0),2))</f>
        <v/>
      </c>
      <c r="BG194">
        <f>IF(OR($A194="",S194="",MEMORIA_RESULTADOS!$I$262=""),"",ROUND(S194*$C194*(MEMORIA_RESULTADOS!$I$262-1),2))</f>
        <v/>
      </c>
      <c r="BH194">
        <f>IF(OR($A194="",BF194="",MEMORIA_RESULTADOS!$I$262=""),"",ROUND(BF194*$C194*(parametros!$F$6-MEMORIA_RESULTADOS!$I$262),2))</f>
        <v/>
      </c>
    </row>
    <row r="195">
      <c r="A195" s="86" t="n"/>
      <c r="B195" s="87">
        <f>IF(AND(LEN(TRIM($A195))=4,LEFT(TRIM($A195),1)="N",ISNUMBER(--MID(TRIM($A195),2,3)),ISERROR(FIND(".",$A195)),ISERROR(FIND(",",$A195)),ISERROR(FIND("-",$A195)),ISERROR(FIND("+",$A195)),ISERROR(SEARCH("E",$A195,2)),ISERROR(FIND(" ",TRIM($A195)))),0,"")</f>
        <v/>
      </c>
      <c r="C195" s="339" t="n"/>
      <c r="D195" s="335">
        <f>IF(AND(A195="",A194&lt;&gt;"",COUNTIF(A196:$A$200,"&lt;&gt;")=0),ROUND(SUMIF($A$2:A194,"&lt;&gt;",$D$2:D194),2),IF(OR(A195="",B195="",C195=""),"",ROUND(B195*C195,2)))</f>
        <v/>
      </c>
      <c r="E195" s="89" t="n"/>
      <c r="F195" s="335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 t="n"/>
      <c r="H195" s="335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 t="n"/>
      <c r="J195" s="335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 t="n"/>
      <c r="L195" s="335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>
        <f>IF(OR(posicao_contratual!J195="",posicao_contratual!N195=""),"",ROUND(MAX(posicao_contratual!J195+posicao_contratual!H195-posicao_contratual!N195,0),2))</f>
        <v/>
      </c>
      <c r="N195" s="335">
        <f>IF(AND(A195="",A194&lt;&gt;"",COUNTIF(A196:$A$200,"&lt;&gt;")=0),ROUND(SUMIF($A$2:A194,"&lt;&gt;",$N$2:N194),2),IF(OR(M195="",C195="",NOT(ISNUMBER($Z$3))),"",ROUND(M195*C195*$Z$3,2)))</f>
        <v/>
      </c>
      <c r="O195" s="90">
        <f>IF(OR(posicao_contratual!N195="",posicao_contratual!R195=""),"",ROUND(MAX(posicao_contratual!N195+posicao_contratual!L195-posicao_contratual!R195,0),2))</f>
        <v/>
      </c>
      <c r="P195" s="335">
        <f>IF(AND(A195="",A194&lt;&gt;"",COUNTIF(A196:$A$200,"&lt;&gt;")=0),ROUND(SUMIF($A$2:A194,"&lt;&gt;",$P$2:P194),2),IF(OR(O195="",C195="",NOT(ISNUMBER($Z$4))),"",ROUND(O195*C195*$Z$4,2)))</f>
        <v/>
      </c>
      <c r="Q195" s="90">
        <f>IF(OR(posicao_contratual!R195="",posicao_contratual!V195=""),"",ROUND(MAX(posicao_contratual!R195+posicao_contratual!P195-posicao_contratual!V195,0),2))</f>
        <v/>
      </c>
      <c r="R195" s="335">
        <f>IF(AND(A195="",A194&lt;&gt;"",COUNTIF(A196:$A$200,"&lt;&gt;")=0),ROUND(SUMIF($A$2:A194,"&lt;&gt;",$R$2:R194),2),IF(OR(Q195="",C195="",NOT(ISNUMBER($Z$5))),"",ROUND(Q195*C195*$Z$5,2)))</f>
        <v/>
      </c>
      <c r="S195" s="43" t="n"/>
      <c r="T195" s="342" t="n"/>
      <c r="U195" s="91">
        <f>IF(AND(A195="",A194&lt;&gt;"",COUNTIF(A196:$A$200,"&lt;&gt;")=0),"TOTAL",IF(A195="","",posicao_contratual!X195))</f>
        <v/>
      </c>
      <c r="V195" s="91">
        <f>IF(A195="","",posicao_contratual!X195)</f>
        <v/>
      </c>
      <c r="W195" s="13" t="n"/>
      <c r="X195" s="13" t="n"/>
      <c r="Y195" s="13" t="n"/>
      <c r="Z195" s="13" t="n"/>
      <c r="AA195" s="13" t="n"/>
      <c r="AB195" s="90">
        <f>IF(OR(A195="",posicao_contratual!E195="",posicao_contratual!J195=""),"",ROUND(MAX(posicao_contratual!E195-posicao_contratual!J195,0),2))</f>
        <v/>
      </c>
      <c r="AC195" s="335">
        <f>IF(AND(A195="",A194&lt;&gt;"",COUNTIF(A196:$A$200,"&lt;&gt;")=0),ROUND(SUMIF($A$2:A194,"&lt;&gt;",$AC$2:AC194),2),IF(OR(AB195="",C195="",NOT(ISNUMBER($Z$2))),"",ROUND(AB195*C195*$Z$2,2)))</f>
        <v/>
      </c>
      <c r="AD195" s="155">
        <f>IF(A195="","",posicao_contratual!E195)</f>
        <v/>
      </c>
      <c r="AE195" s="155">
        <f>IF(A195="","",posicao_contratual!I195)</f>
        <v/>
      </c>
      <c r="AF195" s="155">
        <f>IF(A195="","",posicao_contratual!M195)</f>
        <v/>
      </c>
      <c r="AG195" s="155">
        <f>IF(A195="","",posicao_contratual!Q195)</f>
        <v/>
      </c>
      <c r="AH195" s="155">
        <f>IF(A195="","",posicao_contratual!U195)</f>
        <v/>
      </c>
      <c r="AI195" s="155">
        <f>IF(A195="","",posicao_contratual!G195)</f>
        <v/>
      </c>
      <c r="AJ195" s="155">
        <f>IF(A195="","",posicao_contratual!K195)</f>
        <v/>
      </c>
      <c r="AK195" s="155">
        <f>IF(A195="","",posicao_contratual!O195)</f>
        <v/>
      </c>
      <c r="AL195" s="155">
        <f>IF(A195="","",posicao_contratual!S195)</f>
        <v/>
      </c>
      <c r="AM195" s="155">
        <f>IF(A195="","",posicao_contratual!W195)</f>
        <v/>
      </c>
      <c r="AN195" s="156">
        <f>IF(A195="","",posicao_contratual!X195)</f>
        <v/>
      </c>
      <c r="AO195">
        <f>IF($A195="","",ROUND(SUMIFS(itens_Consumidos!$E$2:$E$200,itens_Consumidos!$A$2:$A$200,$A195),2))</f>
        <v/>
      </c>
      <c r="AP195">
        <f>IF(OR($A195="",AB195=""),"",ROUND(MAX(AB195-AO195,0),2))</f>
        <v/>
      </c>
      <c r="AQ195">
        <f>IF(OR($A195="",AB195="",MEMORIA_RESULTADOS!$I$258=""),"",ROUND(AB195*$C195*(MEMORIA_RESULTADOS!$I$258-1),2))</f>
        <v/>
      </c>
      <c r="AR195">
        <f>IF(OR($A195="",AP195="",MEMORIA_RESULTADOS!$I$258=""),"",ROUND(AP195*$C195*(parametros!$F$2-MEMORIA_RESULTADOS!$I$258),2))</f>
        <v/>
      </c>
      <c r="AS195">
        <f>IF($A195="","",ROUND(SUMIFS(itens_Consumidos!$G$2:$G$200,itens_Consumidos!$A$2:$A$200,$A195),2))</f>
        <v/>
      </c>
      <c r="AT195">
        <f>IF(OR($A195="",M195=""),"",ROUND(MAX(M195-AS195,0),2))</f>
        <v/>
      </c>
      <c r="AU195">
        <f>IF(OR($A195="",M195="",MEMORIA_RESULTADOS!$I$259=""),"",ROUND(M195*$C195*(MEMORIA_RESULTADOS!$I$259-1),2))</f>
        <v/>
      </c>
      <c r="AV195">
        <f>IF(OR($A195="",AT195="",MEMORIA_RESULTADOS!$I$259=""),"",ROUND(AT195*$C195*(parametros!$F$3-MEMORIA_RESULTADOS!$I$259),2))</f>
        <v/>
      </c>
      <c r="AW195">
        <f>IF($A195="","",ROUND(SUMIFS(itens_Consumidos!$I$2:$I$200,itens_Consumidos!$A$2:$A$200,$A195),2))</f>
        <v/>
      </c>
      <c r="AX195">
        <f>IF(OR($A195="",O195=""),"",ROUND(MAX(O195-AW195,0),2))</f>
        <v/>
      </c>
      <c r="AY195">
        <f>IF(OR($A195="",O195="",MEMORIA_RESULTADOS!$I$260=""),"",ROUND(O195*$C195*(MEMORIA_RESULTADOS!$I$260-1),2))</f>
        <v/>
      </c>
      <c r="AZ195">
        <f>IF(OR($A195="",AX195="",MEMORIA_RESULTADOS!$I$260=""),"",ROUND(AX195*$C195*(parametros!$F$4-MEMORIA_RESULTADOS!$I$260),2))</f>
        <v/>
      </c>
      <c r="BA195">
        <f>IF($A195="","",ROUND(SUMIFS(itens_Consumidos!$K$2:$K$200,itens_Consumidos!$A$2:$A$200,$A195),2))</f>
        <v/>
      </c>
      <c r="BB195">
        <f>IF(OR($A195="",Q195=""),"",ROUND(MAX(Q195-BA195,0),2))</f>
        <v/>
      </c>
      <c r="BC195">
        <f>IF(OR($A195="",Q195="",MEMORIA_RESULTADOS!$I$261=""),"",ROUND(Q195*$C195*(MEMORIA_RESULTADOS!$I$261-1),2))</f>
        <v/>
      </c>
      <c r="BD195">
        <f>IF(OR($A195="",BB195="",MEMORIA_RESULTADOS!$I$261=""),"",ROUND(BB195*$C195*(parametros!$F$5-MEMORIA_RESULTADOS!$I$261),2))</f>
        <v/>
      </c>
      <c r="BE195">
        <f>IF($A195="","",ROUND(SUMIFS(itens_Consumidos!$M$2:$M$200,itens_Consumidos!$A$2:$A$200,$A195),2))</f>
        <v/>
      </c>
      <c r="BF195">
        <f>IF(OR($A195="",S195=""),"",ROUND(MAX(S195-BE195,0),2))</f>
        <v/>
      </c>
      <c r="BG195">
        <f>IF(OR($A195="",S195="",MEMORIA_RESULTADOS!$I$262=""),"",ROUND(S195*$C195*(MEMORIA_RESULTADOS!$I$262-1),2))</f>
        <v/>
      </c>
      <c r="BH195">
        <f>IF(OR($A195="",BF195="",MEMORIA_RESULTADOS!$I$262=""),"",ROUND(BF195*$C195*(parametros!$F$6-MEMORIA_RESULTADOS!$I$262),2))</f>
        <v/>
      </c>
    </row>
    <row r="196">
      <c r="A196" s="86" t="n"/>
      <c r="B196" s="87">
        <f>IF(AND(LEN(TRIM($A196))=4,LEFT(TRIM($A196),1)="N",ISNUMBER(--MID(TRIM($A196),2,3)),ISERROR(FIND(".",$A196)),ISERROR(FIND(",",$A196)),ISERROR(FIND("-",$A196)),ISERROR(FIND("+",$A196)),ISERROR(SEARCH("E",$A196,2)),ISERROR(FIND(" ",TRIM($A196)))),0,"")</f>
        <v/>
      </c>
      <c r="C196" s="339" t="n"/>
      <c r="D196" s="335">
        <f>IF(AND(A196="",A195&lt;&gt;"",COUNTIF(A197:$A$200,"&lt;&gt;")=0),ROUND(SUMIF($A$2:A195,"&lt;&gt;",$D$2:D195),2),IF(OR(A196="",B196="",C196=""),"",ROUND(B196*C196,2)))</f>
        <v/>
      </c>
      <c r="E196" s="89" t="n"/>
      <c r="F196" s="335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 t="n"/>
      <c r="H196" s="335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 t="n"/>
      <c r="J196" s="335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 t="n"/>
      <c r="L196" s="335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>
        <f>IF(OR(posicao_contratual!J196="",posicao_contratual!N196=""),"",ROUND(MAX(posicao_contratual!J196+posicao_contratual!H196-posicao_contratual!N196,0),2))</f>
        <v/>
      </c>
      <c r="N196" s="335">
        <f>IF(AND(A196="",A195&lt;&gt;"",COUNTIF(A197:$A$200,"&lt;&gt;")=0),ROUND(SUMIF($A$2:A195,"&lt;&gt;",$N$2:N195),2),IF(OR(M196="",C196="",NOT(ISNUMBER($Z$3))),"",ROUND(M196*C196*$Z$3,2)))</f>
        <v/>
      </c>
      <c r="O196" s="90">
        <f>IF(OR(posicao_contratual!N196="",posicao_contratual!R196=""),"",ROUND(MAX(posicao_contratual!N196+posicao_contratual!L196-posicao_contratual!R196,0),2))</f>
        <v/>
      </c>
      <c r="P196" s="335">
        <f>IF(AND(A196="",A195&lt;&gt;"",COUNTIF(A197:$A$200,"&lt;&gt;")=0),ROUND(SUMIF($A$2:A195,"&lt;&gt;",$P$2:P195),2),IF(OR(O196="",C196="",NOT(ISNUMBER($Z$4))),"",ROUND(O196*C196*$Z$4,2)))</f>
        <v/>
      </c>
      <c r="Q196" s="90">
        <f>IF(OR(posicao_contratual!R196="",posicao_contratual!V196=""),"",ROUND(MAX(posicao_contratual!R196+posicao_contratual!P196-posicao_contratual!V196,0),2))</f>
        <v/>
      </c>
      <c r="R196" s="335">
        <f>IF(AND(A196="",A195&lt;&gt;"",COUNTIF(A197:$A$200,"&lt;&gt;")=0),ROUND(SUMIF($A$2:A195,"&lt;&gt;",$R$2:R195),2),IF(OR(Q196="",C196="",NOT(ISNUMBER($Z$5))),"",ROUND(Q196*C196*$Z$5,2)))</f>
        <v/>
      </c>
      <c r="S196" s="43" t="n"/>
      <c r="T196" s="342" t="n"/>
      <c r="U196" s="91">
        <f>IF(AND(A196="",A195&lt;&gt;"",COUNTIF(A197:$A$200,"&lt;&gt;")=0),"TOTAL",IF(A196="","",posicao_contratual!X196))</f>
        <v/>
      </c>
      <c r="V196" s="91">
        <f>IF(A196="","",posicao_contratual!X196)</f>
        <v/>
      </c>
      <c r="W196" s="13" t="n"/>
      <c r="X196" s="13" t="n"/>
      <c r="Y196" s="13" t="n"/>
      <c r="Z196" s="13" t="n"/>
      <c r="AA196" s="13" t="n"/>
      <c r="AB196" s="90">
        <f>IF(OR(A196="",posicao_contratual!E196="",posicao_contratual!J196=""),"",ROUND(MAX(posicao_contratual!E196-posicao_contratual!J196,0),2))</f>
        <v/>
      </c>
      <c r="AC196" s="335">
        <f>IF(AND(A196="",A195&lt;&gt;"",COUNTIF(A197:$A$200,"&lt;&gt;")=0),ROUND(SUMIF($A$2:A195,"&lt;&gt;",$AC$2:AC195),2),IF(OR(AB196="",C196="",NOT(ISNUMBER($Z$2))),"",ROUND(AB196*C196*$Z$2,2)))</f>
        <v/>
      </c>
      <c r="AD196" s="155">
        <f>IF(A196="","",posicao_contratual!E196)</f>
        <v/>
      </c>
      <c r="AE196" s="155">
        <f>IF(A196="","",posicao_contratual!I196)</f>
        <v/>
      </c>
      <c r="AF196" s="155">
        <f>IF(A196="","",posicao_contratual!M196)</f>
        <v/>
      </c>
      <c r="AG196" s="155">
        <f>IF(A196="","",posicao_contratual!Q196)</f>
        <v/>
      </c>
      <c r="AH196" s="155">
        <f>IF(A196="","",posicao_contratual!U196)</f>
        <v/>
      </c>
      <c r="AI196" s="155">
        <f>IF(A196="","",posicao_contratual!G196)</f>
        <v/>
      </c>
      <c r="AJ196" s="155">
        <f>IF(A196="","",posicao_contratual!K196)</f>
        <v/>
      </c>
      <c r="AK196" s="155">
        <f>IF(A196="","",posicao_contratual!O196)</f>
        <v/>
      </c>
      <c r="AL196" s="155">
        <f>IF(A196="","",posicao_contratual!S196)</f>
        <v/>
      </c>
      <c r="AM196" s="155">
        <f>IF(A196="","",posicao_contratual!W196)</f>
        <v/>
      </c>
      <c r="AN196" s="156">
        <f>IF(A196="","",posicao_contratual!X196)</f>
        <v/>
      </c>
      <c r="AO196">
        <f>IF($A196="","",ROUND(SUMIFS(itens_Consumidos!$E$2:$E$200,itens_Consumidos!$A$2:$A$200,$A196),2))</f>
        <v/>
      </c>
      <c r="AP196">
        <f>IF(OR($A196="",AB196=""),"",ROUND(MAX(AB196-AO196,0),2))</f>
        <v/>
      </c>
      <c r="AQ196">
        <f>IF(OR($A196="",AB196="",MEMORIA_RESULTADOS!$I$258=""),"",ROUND(AB196*$C196*(MEMORIA_RESULTADOS!$I$258-1),2))</f>
        <v/>
      </c>
      <c r="AR196">
        <f>IF(OR($A196="",AP196="",MEMORIA_RESULTADOS!$I$258=""),"",ROUND(AP196*$C196*(parametros!$F$2-MEMORIA_RESULTADOS!$I$258),2))</f>
        <v/>
      </c>
      <c r="AS196">
        <f>IF($A196="","",ROUND(SUMIFS(itens_Consumidos!$G$2:$G$200,itens_Consumidos!$A$2:$A$200,$A196),2))</f>
        <v/>
      </c>
      <c r="AT196">
        <f>IF(OR($A196="",M196=""),"",ROUND(MAX(M196-AS196,0),2))</f>
        <v/>
      </c>
      <c r="AU196">
        <f>IF(OR($A196="",M196="",MEMORIA_RESULTADOS!$I$259=""),"",ROUND(M196*$C196*(MEMORIA_RESULTADOS!$I$259-1),2))</f>
        <v/>
      </c>
      <c r="AV196">
        <f>IF(OR($A196="",AT196="",MEMORIA_RESULTADOS!$I$259=""),"",ROUND(AT196*$C196*(parametros!$F$3-MEMORIA_RESULTADOS!$I$259),2))</f>
        <v/>
      </c>
      <c r="AW196">
        <f>IF($A196="","",ROUND(SUMIFS(itens_Consumidos!$I$2:$I$200,itens_Consumidos!$A$2:$A$200,$A196),2))</f>
        <v/>
      </c>
      <c r="AX196">
        <f>IF(OR($A196="",O196=""),"",ROUND(MAX(O196-AW196,0),2))</f>
        <v/>
      </c>
      <c r="AY196">
        <f>IF(OR($A196="",O196="",MEMORIA_RESULTADOS!$I$260=""),"",ROUND(O196*$C196*(MEMORIA_RESULTADOS!$I$260-1),2))</f>
        <v/>
      </c>
      <c r="AZ196">
        <f>IF(OR($A196="",AX196="",MEMORIA_RESULTADOS!$I$260=""),"",ROUND(AX196*$C196*(parametros!$F$4-MEMORIA_RESULTADOS!$I$260),2))</f>
        <v/>
      </c>
      <c r="BA196">
        <f>IF($A196="","",ROUND(SUMIFS(itens_Consumidos!$K$2:$K$200,itens_Consumidos!$A$2:$A$200,$A196),2))</f>
        <v/>
      </c>
      <c r="BB196">
        <f>IF(OR($A196="",Q196=""),"",ROUND(MAX(Q196-BA196,0),2))</f>
        <v/>
      </c>
      <c r="BC196">
        <f>IF(OR($A196="",Q196="",MEMORIA_RESULTADOS!$I$261=""),"",ROUND(Q196*$C196*(MEMORIA_RESULTADOS!$I$261-1),2))</f>
        <v/>
      </c>
      <c r="BD196">
        <f>IF(OR($A196="",BB196="",MEMORIA_RESULTADOS!$I$261=""),"",ROUND(BB196*$C196*(parametros!$F$5-MEMORIA_RESULTADOS!$I$261),2))</f>
        <v/>
      </c>
      <c r="BE196">
        <f>IF($A196="","",ROUND(SUMIFS(itens_Consumidos!$M$2:$M$200,itens_Consumidos!$A$2:$A$200,$A196),2))</f>
        <v/>
      </c>
      <c r="BF196">
        <f>IF(OR($A196="",S196=""),"",ROUND(MAX(S196-BE196,0),2))</f>
        <v/>
      </c>
      <c r="BG196">
        <f>IF(OR($A196="",S196="",MEMORIA_RESULTADOS!$I$262=""),"",ROUND(S196*$C196*(MEMORIA_RESULTADOS!$I$262-1),2))</f>
        <v/>
      </c>
      <c r="BH196">
        <f>IF(OR($A196="",BF196="",MEMORIA_RESULTADOS!$I$262=""),"",ROUND(BF196*$C196*(parametros!$F$6-MEMORIA_RESULTADOS!$I$262),2))</f>
        <v/>
      </c>
    </row>
    <row r="197">
      <c r="A197" s="86" t="n"/>
      <c r="B197" s="87">
        <f>IF(AND(LEN(TRIM($A197))=4,LEFT(TRIM($A197),1)="N",ISNUMBER(--MID(TRIM($A197),2,3)),ISERROR(FIND(".",$A197)),ISERROR(FIND(",",$A197)),ISERROR(FIND("-",$A197)),ISERROR(FIND("+",$A197)),ISERROR(SEARCH("E",$A197,2)),ISERROR(FIND(" ",TRIM($A197)))),0,"")</f>
        <v/>
      </c>
      <c r="C197" s="339" t="n"/>
      <c r="D197" s="335">
        <f>IF(AND(A197="",A196&lt;&gt;"",COUNTIF(A198:$A$200,"&lt;&gt;")=0),ROUND(SUMIF($A$2:A196,"&lt;&gt;",$D$2:D196),2),IF(OR(A197="",B197="",C197=""),"",ROUND(B197*C197,2)))</f>
        <v/>
      </c>
      <c r="E197" s="89" t="n"/>
      <c r="F197" s="335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 t="n"/>
      <c r="H197" s="335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 t="n"/>
      <c r="J197" s="335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 t="n"/>
      <c r="L197" s="335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>
        <f>IF(OR(posicao_contratual!J197="",posicao_contratual!N197=""),"",ROUND(MAX(posicao_contratual!J197+posicao_contratual!H197-posicao_contratual!N197,0),2))</f>
        <v/>
      </c>
      <c r="N197" s="335">
        <f>IF(AND(A197="",A196&lt;&gt;"",COUNTIF(A198:$A$200,"&lt;&gt;")=0),ROUND(SUMIF($A$2:A196,"&lt;&gt;",$N$2:N196),2),IF(OR(M197="",C197="",NOT(ISNUMBER($Z$3))),"",ROUND(M197*C197*$Z$3,2)))</f>
        <v/>
      </c>
      <c r="O197" s="90">
        <f>IF(OR(posicao_contratual!N197="",posicao_contratual!R197=""),"",ROUND(MAX(posicao_contratual!N197+posicao_contratual!L197-posicao_contratual!R197,0),2))</f>
        <v/>
      </c>
      <c r="P197" s="335">
        <f>IF(AND(A197="",A196&lt;&gt;"",COUNTIF(A198:$A$200,"&lt;&gt;")=0),ROUND(SUMIF($A$2:A196,"&lt;&gt;",$P$2:P196),2),IF(OR(O197="",C197="",NOT(ISNUMBER($Z$4))),"",ROUND(O197*C197*$Z$4,2)))</f>
        <v/>
      </c>
      <c r="Q197" s="90">
        <f>IF(OR(posicao_contratual!R197="",posicao_contratual!V197=""),"",ROUND(MAX(posicao_contratual!R197+posicao_contratual!P197-posicao_contratual!V197,0),2))</f>
        <v/>
      </c>
      <c r="R197" s="335">
        <f>IF(AND(A197="",A196&lt;&gt;"",COUNTIF(A198:$A$200,"&lt;&gt;")=0),ROUND(SUMIF($A$2:A196,"&lt;&gt;",$R$2:R196),2),IF(OR(Q197="",C197="",NOT(ISNUMBER($Z$5))),"",ROUND(Q197*C197*$Z$5,2)))</f>
        <v/>
      </c>
      <c r="S197" s="43" t="n"/>
      <c r="T197" s="342" t="n"/>
      <c r="U197" s="91">
        <f>IF(AND(A197="",A196&lt;&gt;"",COUNTIF(A198:$A$200,"&lt;&gt;")=0),"TOTAL",IF(A197="","",posicao_contratual!X197))</f>
        <v/>
      </c>
      <c r="V197" s="91">
        <f>IF(A197="","",posicao_contratual!X197)</f>
        <v/>
      </c>
      <c r="W197" s="13" t="n"/>
      <c r="X197" s="13" t="n"/>
      <c r="Y197" s="13" t="n"/>
      <c r="Z197" s="13" t="n"/>
      <c r="AA197" s="13" t="n"/>
      <c r="AB197" s="90">
        <f>IF(OR(A197="",posicao_contratual!E197="",posicao_contratual!J197=""),"",ROUND(MAX(posicao_contratual!E197-posicao_contratual!J197,0),2))</f>
        <v/>
      </c>
      <c r="AC197" s="335">
        <f>IF(AND(A197="",A196&lt;&gt;"",COUNTIF(A198:$A$200,"&lt;&gt;")=0),ROUND(SUMIF($A$2:A196,"&lt;&gt;",$AC$2:AC196),2),IF(OR(AB197="",C197="",NOT(ISNUMBER($Z$2))),"",ROUND(AB197*C197*$Z$2,2)))</f>
        <v/>
      </c>
      <c r="AD197" s="155">
        <f>IF(A197="","",posicao_contratual!E197)</f>
        <v/>
      </c>
      <c r="AE197" s="155">
        <f>IF(A197="","",posicao_contratual!I197)</f>
        <v/>
      </c>
      <c r="AF197" s="155">
        <f>IF(A197="","",posicao_contratual!M197)</f>
        <v/>
      </c>
      <c r="AG197" s="155">
        <f>IF(A197="","",posicao_contratual!Q197)</f>
        <v/>
      </c>
      <c r="AH197" s="155">
        <f>IF(A197="","",posicao_contratual!U197)</f>
        <v/>
      </c>
      <c r="AI197" s="155">
        <f>IF(A197="","",posicao_contratual!G197)</f>
        <v/>
      </c>
      <c r="AJ197" s="155">
        <f>IF(A197="","",posicao_contratual!K197)</f>
        <v/>
      </c>
      <c r="AK197" s="155">
        <f>IF(A197="","",posicao_contratual!O197)</f>
        <v/>
      </c>
      <c r="AL197" s="155">
        <f>IF(A197="","",posicao_contratual!S197)</f>
        <v/>
      </c>
      <c r="AM197" s="155">
        <f>IF(A197="","",posicao_contratual!W197)</f>
        <v/>
      </c>
      <c r="AN197" s="156">
        <f>IF(A197="","",posicao_contratual!X197)</f>
        <v/>
      </c>
      <c r="AO197">
        <f>IF($A197="","",ROUND(SUMIFS(itens_Consumidos!$E$2:$E$200,itens_Consumidos!$A$2:$A$200,$A197),2))</f>
        <v/>
      </c>
      <c r="AP197">
        <f>IF(OR($A197="",AB197=""),"",ROUND(MAX(AB197-AO197,0),2))</f>
        <v/>
      </c>
      <c r="AQ197">
        <f>IF(OR($A197="",AB197="",MEMORIA_RESULTADOS!$I$258=""),"",ROUND(AB197*$C197*(MEMORIA_RESULTADOS!$I$258-1),2))</f>
        <v/>
      </c>
      <c r="AR197">
        <f>IF(OR($A197="",AP197="",MEMORIA_RESULTADOS!$I$258=""),"",ROUND(AP197*$C197*(parametros!$F$2-MEMORIA_RESULTADOS!$I$258),2))</f>
        <v/>
      </c>
      <c r="AS197">
        <f>IF($A197="","",ROUND(SUMIFS(itens_Consumidos!$G$2:$G$200,itens_Consumidos!$A$2:$A$200,$A197),2))</f>
        <v/>
      </c>
      <c r="AT197">
        <f>IF(OR($A197="",M197=""),"",ROUND(MAX(M197-AS197,0),2))</f>
        <v/>
      </c>
      <c r="AU197">
        <f>IF(OR($A197="",M197="",MEMORIA_RESULTADOS!$I$259=""),"",ROUND(M197*$C197*(MEMORIA_RESULTADOS!$I$259-1),2))</f>
        <v/>
      </c>
      <c r="AV197">
        <f>IF(OR($A197="",AT197="",MEMORIA_RESULTADOS!$I$259=""),"",ROUND(AT197*$C197*(parametros!$F$3-MEMORIA_RESULTADOS!$I$259),2))</f>
        <v/>
      </c>
      <c r="AW197">
        <f>IF($A197="","",ROUND(SUMIFS(itens_Consumidos!$I$2:$I$200,itens_Consumidos!$A$2:$A$200,$A197),2))</f>
        <v/>
      </c>
      <c r="AX197">
        <f>IF(OR($A197="",O197=""),"",ROUND(MAX(O197-AW197,0),2))</f>
        <v/>
      </c>
      <c r="AY197">
        <f>IF(OR($A197="",O197="",MEMORIA_RESULTADOS!$I$260=""),"",ROUND(O197*$C197*(MEMORIA_RESULTADOS!$I$260-1),2))</f>
        <v/>
      </c>
      <c r="AZ197">
        <f>IF(OR($A197="",AX197="",MEMORIA_RESULTADOS!$I$260=""),"",ROUND(AX197*$C197*(parametros!$F$4-MEMORIA_RESULTADOS!$I$260),2))</f>
        <v/>
      </c>
      <c r="BA197">
        <f>IF($A197="","",ROUND(SUMIFS(itens_Consumidos!$K$2:$K$200,itens_Consumidos!$A$2:$A$200,$A197),2))</f>
        <v/>
      </c>
      <c r="BB197">
        <f>IF(OR($A197="",Q197=""),"",ROUND(MAX(Q197-BA197,0),2))</f>
        <v/>
      </c>
      <c r="BC197">
        <f>IF(OR($A197="",Q197="",MEMORIA_RESULTADOS!$I$261=""),"",ROUND(Q197*$C197*(MEMORIA_RESULTADOS!$I$261-1),2))</f>
        <v/>
      </c>
      <c r="BD197">
        <f>IF(OR($A197="",BB197="",MEMORIA_RESULTADOS!$I$261=""),"",ROUND(BB197*$C197*(parametros!$F$5-MEMORIA_RESULTADOS!$I$261),2))</f>
        <v/>
      </c>
      <c r="BE197">
        <f>IF($A197="","",ROUND(SUMIFS(itens_Consumidos!$M$2:$M$200,itens_Consumidos!$A$2:$A$200,$A197),2))</f>
        <v/>
      </c>
      <c r="BF197">
        <f>IF(OR($A197="",S197=""),"",ROUND(MAX(S197-BE197,0),2))</f>
        <v/>
      </c>
      <c r="BG197">
        <f>IF(OR($A197="",S197="",MEMORIA_RESULTADOS!$I$262=""),"",ROUND(S197*$C197*(MEMORIA_RESULTADOS!$I$262-1),2))</f>
        <v/>
      </c>
      <c r="BH197">
        <f>IF(OR($A197="",BF197="",MEMORIA_RESULTADOS!$I$262=""),"",ROUND(BF197*$C197*(parametros!$F$6-MEMORIA_RESULTADOS!$I$262),2))</f>
        <v/>
      </c>
    </row>
    <row r="198">
      <c r="A198" s="86" t="n"/>
      <c r="B198" s="87">
        <f>IF(AND(LEN(TRIM($A198))=4,LEFT(TRIM($A198),1)="N",ISNUMBER(--MID(TRIM($A198),2,3)),ISERROR(FIND(".",$A198)),ISERROR(FIND(",",$A198)),ISERROR(FIND("-",$A198)),ISERROR(FIND("+",$A198)),ISERROR(SEARCH("E",$A198,2)),ISERROR(FIND(" ",TRIM($A198)))),0,"")</f>
        <v/>
      </c>
      <c r="C198" s="339" t="n"/>
      <c r="D198" s="335">
        <f>IF(AND(A198="",A197&lt;&gt;"",COUNTIF(A199:$A$200,"&lt;&gt;")=0),ROUND(SUMIF($A$2:A197,"&lt;&gt;",$D$2:D197),2),IF(OR(A198="",B198="",C198=""),"",ROUND(B198*C198,2)))</f>
        <v/>
      </c>
      <c r="E198" s="89" t="n"/>
      <c r="F198" s="335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 t="n"/>
      <c r="H198" s="335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 t="n"/>
      <c r="J198" s="335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 t="n"/>
      <c r="L198" s="335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>
        <f>IF(OR(posicao_contratual!J198="",posicao_contratual!N198=""),"",ROUND(MAX(posicao_contratual!J198+posicao_contratual!H198-posicao_contratual!N198,0),2))</f>
        <v/>
      </c>
      <c r="N198" s="335">
        <f>IF(AND(A198="",A197&lt;&gt;"",COUNTIF(A199:$A$200,"&lt;&gt;")=0),ROUND(SUMIF($A$2:A197,"&lt;&gt;",$N$2:N197),2),IF(OR(M198="",C198="",NOT(ISNUMBER($Z$3))),"",ROUND(M198*C198*$Z$3,2)))</f>
        <v/>
      </c>
      <c r="O198" s="90">
        <f>IF(OR(posicao_contratual!N198="",posicao_contratual!R198=""),"",ROUND(MAX(posicao_contratual!N198+posicao_contratual!L198-posicao_contratual!R198,0),2))</f>
        <v/>
      </c>
      <c r="P198" s="335">
        <f>IF(AND(A198="",A197&lt;&gt;"",COUNTIF(A199:$A$200,"&lt;&gt;")=0),ROUND(SUMIF($A$2:A197,"&lt;&gt;",$P$2:P197),2),IF(OR(O198="",C198="",NOT(ISNUMBER($Z$4))),"",ROUND(O198*C198*$Z$4,2)))</f>
        <v/>
      </c>
      <c r="Q198" s="90">
        <f>IF(OR(posicao_contratual!R198="",posicao_contratual!V198=""),"",ROUND(MAX(posicao_contratual!R198+posicao_contratual!P198-posicao_contratual!V198,0),2))</f>
        <v/>
      </c>
      <c r="R198" s="335">
        <f>IF(AND(A198="",A197&lt;&gt;"",COUNTIF(A199:$A$200,"&lt;&gt;")=0),ROUND(SUMIF($A$2:A197,"&lt;&gt;",$R$2:R197),2),IF(OR(Q198="",C198="",NOT(ISNUMBER($Z$5))),"",ROUND(Q198*C198*$Z$5,2)))</f>
        <v/>
      </c>
      <c r="S198" s="43" t="n"/>
      <c r="T198" s="342" t="n"/>
      <c r="U198" s="91">
        <f>IF(AND(A198="",A197&lt;&gt;"",COUNTIF(A199:$A$200,"&lt;&gt;")=0),"TOTAL",IF(A198="","",posicao_contratual!X198))</f>
        <v/>
      </c>
      <c r="V198" s="91">
        <f>IF(A198="","",posicao_contratual!X198)</f>
        <v/>
      </c>
      <c r="W198" s="13" t="n"/>
      <c r="X198" s="13" t="n"/>
      <c r="Y198" s="13" t="n"/>
      <c r="Z198" s="13" t="n"/>
      <c r="AA198" s="13" t="n"/>
      <c r="AB198" s="90">
        <f>IF(OR(A198="",posicao_contratual!E198="",posicao_contratual!J198=""),"",ROUND(MAX(posicao_contratual!E198-posicao_contratual!J198,0),2))</f>
        <v/>
      </c>
      <c r="AC198" s="335">
        <f>IF(AND(A198="",A197&lt;&gt;"",COUNTIF(A199:$A$200,"&lt;&gt;")=0),ROUND(SUMIF($A$2:A197,"&lt;&gt;",$AC$2:AC197),2),IF(OR(AB198="",C198="",NOT(ISNUMBER($Z$2))),"",ROUND(AB198*C198*$Z$2,2)))</f>
        <v/>
      </c>
      <c r="AD198" s="155">
        <f>IF(A198="","",posicao_contratual!E198)</f>
        <v/>
      </c>
      <c r="AE198" s="155">
        <f>IF(A198="","",posicao_contratual!I198)</f>
        <v/>
      </c>
      <c r="AF198" s="155">
        <f>IF(A198="","",posicao_contratual!M198)</f>
        <v/>
      </c>
      <c r="AG198" s="155">
        <f>IF(A198="","",posicao_contratual!Q198)</f>
        <v/>
      </c>
      <c r="AH198" s="155">
        <f>IF(A198="","",posicao_contratual!U198)</f>
        <v/>
      </c>
      <c r="AI198" s="155">
        <f>IF(A198="","",posicao_contratual!G198)</f>
        <v/>
      </c>
      <c r="AJ198" s="155">
        <f>IF(A198="","",posicao_contratual!K198)</f>
        <v/>
      </c>
      <c r="AK198" s="155">
        <f>IF(A198="","",posicao_contratual!O198)</f>
        <v/>
      </c>
      <c r="AL198" s="155">
        <f>IF(A198="","",posicao_contratual!S198)</f>
        <v/>
      </c>
      <c r="AM198" s="155">
        <f>IF(A198="","",posicao_contratual!W198)</f>
        <v/>
      </c>
      <c r="AN198" s="156">
        <f>IF(A198="","",posicao_contratual!X198)</f>
        <v/>
      </c>
      <c r="AO198">
        <f>IF($A198="","",ROUND(SUMIFS(itens_Consumidos!$E$2:$E$200,itens_Consumidos!$A$2:$A$200,$A198),2))</f>
        <v/>
      </c>
      <c r="AP198">
        <f>IF(OR($A198="",AB198=""),"",ROUND(MAX(AB198-AO198,0),2))</f>
        <v/>
      </c>
      <c r="AQ198">
        <f>IF(OR($A198="",AB198="",MEMORIA_RESULTADOS!$I$258=""),"",ROUND(AB198*$C198*(MEMORIA_RESULTADOS!$I$258-1),2))</f>
        <v/>
      </c>
      <c r="AR198">
        <f>IF(OR($A198="",AP198="",MEMORIA_RESULTADOS!$I$258=""),"",ROUND(AP198*$C198*(parametros!$F$2-MEMORIA_RESULTADOS!$I$258),2))</f>
        <v/>
      </c>
      <c r="AS198">
        <f>IF($A198="","",ROUND(SUMIFS(itens_Consumidos!$G$2:$G$200,itens_Consumidos!$A$2:$A$200,$A198),2))</f>
        <v/>
      </c>
      <c r="AT198">
        <f>IF(OR($A198="",M198=""),"",ROUND(MAX(M198-AS198,0),2))</f>
        <v/>
      </c>
      <c r="AU198">
        <f>IF(OR($A198="",M198="",MEMORIA_RESULTADOS!$I$259=""),"",ROUND(M198*$C198*(MEMORIA_RESULTADOS!$I$259-1),2))</f>
        <v/>
      </c>
      <c r="AV198">
        <f>IF(OR($A198="",AT198="",MEMORIA_RESULTADOS!$I$259=""),"",ROUND(AT198*$C198*(parametros!$F$3-MEMORIA_RESULTADOS!$I$259),2))</f>
        <v/>
      </c>
      <c r="AW198">
        <f>IF($A198="","",ROUND(SUMIFS(itens_Consumidos!$I$2:$I$200,itens_Consumidos!$A$2:$A$200,$A198),2))</f>
        <v/>
      </c>
      <c r="AX198">
        <f>IF(OR($A198="",O198=""),"",ROUND(MAX(O198-AW198,0),2))</f>
        <v/>
      </c>
      <c r="AY198">
        <f>IF(OR($A198="",O198="",MEMORIA_RESULTADOS!$I$260=""),"",ROUND(O198*$C198*(MEMORIA_RESULTADOS!$I$260-1),2))</f>
        <v/>
      </c>
      <c r="AZ198">
        <f>IF(OR($A198="",AX198="",MEMORIA_RESULTADOS!$I$260=""),"",ROUND(AX198*$C198*(parametros!$F$4-MEMORIA_RESULTADOS!$I$260),2))</f>
        <v/>
      </c>
      <c r="BA198">
        <f>IF($A198="","",ROUND(SUMIFS(itens_Consumidos!$K$2:$K$200,itens_Consumidos!$A$2:$A$200,$A198),2))</f>
        <v/>
      </c>
      <c r="BB198">
        <f>IF(OR($A198="",Q198=""),"",ROUND(MAX(Q198-BA198,0),2))</f>
        <v/>
      </c>
      <c r="BC198">
        <f>IF(OR($A198="",Q198="",MEMORIA_RESULTADOS!$I$261=""),"",ROUND(Q198*$C198*(MEMORIA_RESULTADOS!$I$261-1),2))</f>
        <v/>
      </c>
      <c r="BD198">
        <f>IF(OR($A198="",BB198="",MEMORIA_RESULTADOS!$I$261=""),"",ROUND(BB198*$C198*(parametros!$F$5-MEMORIA_RESULTADOS!$I$261),2))</f>
        <v/>
      </c>
      <c r="BE198">
        <f>IF($A198="","",ROUND(SUMIFS(itens_Consumidos!$M$2:$M$200,itens_Consumidos!$A$2:$A$200,$A198),2))</f>
        <v/>
      </c>
      <c r="BF198">
        <f>IF(OR($A198="",S198=""),"",ROUND(MAX(S198-BE198,0),2))</f>
        <v/>
      </c>
      <c r="BG198">
        <f>IF(OR($A198="",S198="",MEMORIA_RESULTADOS!$I$262=""),"",ROUND(S198*$C198*(MEMORIA_RESULTADOS!$I$262-1),2))</f>
        <v/>
      </c>
      <c r="BH198">
        <f>IF(OR($A198="",BF198="",MEMORIA_RESULTADOS!$I$262=""),"",ROUND(BF198*$C198*(parametros!$F$6-MEMORIA_RESULTADOS!$I$262),2))</f>
        <v/>
      </c>
    </row>
    <row r="199">
      <c r="A199" s="86" t="n"/>
      <c r="B199" s="87">
        <f>IF(AND(LEN(TRIM($A199))=4,LEFT(TRIM($A199),1)="N",ISNUMBER(--MID(TRIM($A199),2,3)),ISERROR(FIND(".",$A199)),ISERROR(FIND(",",$A199)),ISERROR(FIND("-",$A199)),ISERROR(FIND("+",$A199)),ISERROR(SEARCH("E",$A199,2)),ISERROR(FIND(" ",TRIM($A199)))),0,"")</f>
        <v/>
      </c>
      <c r="C199" s="339" t="n"/>
      <c r="D199" s="335">
        <f>IF(AND(A199="",A198&lt;&gt;"",COUNTIF(A200:$A$200,"&lt;&gt;")=0),ROUND(SUMIF($A$2:A198,"&lt;&gt;",$D$2:D198),2),IF(OR(A199="",B199="",C199=""),"",ROUND(B199*C199,2)))</f>
        <v/>
      </c>
      <c r="E199" s="89" t="n"/>
      <c r="F199" s="335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 t="n"/>
      <c r="H199" s="335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 t="n"/>
      <c r="J199" s="335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 t="n"/>
      <c r="L199" s="335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>
        <f>IF(OR(posicao_contratual!J199="",posicao_contratual!N199=""),"",ROUND(MAX(posicao_contratual!J199+posicao_contratual!H199-posicao_contratual!N199,0),2))</f>
        <v/>
      </c>
      <c r="N199" s="335">
        <f>IF(AND(A199="",A198&lt;&gt;"",COUNTIF(A200:$A$200,"&lt;&gt;")=0),ROUND(SUMIF($A$2:A198,"&lt;&gt;",$N$2:N198),2),IF(OR(M199="",C199="",NOT(ISNUMBER($Z$3))),"",ROUND(M199*C199*$Z$3,2)))</f>
        <v/>
      </c>
      <c r="O199" s="90">
        <f>IF(OR(posicao_contratual!N199="",posicao_contratual!R199=""),"",ROUND(MAX(posicao_contratual!N199+posicao_contratual!L199-posicao_contratual!R199,0),2))</f>
        <v/>
      </c>
      <c r="P199" s="335">
        <f>IF(AND(A199="",A198&lt;&gt;"",COUNTIF(A200:$A$200,"&lt;&gt;")=0),ROUND(SUMIF($A$2:A198,"&lt;&gt;",$P$2:P198),2),IF(OR(O199="",C199="",NOT(ISNUMBER($Z$4))),"",ROUND(O199*C199*$Z$4,2)))</f>
        <v/>
      </c>
      <c r="Q199" s="90">
        <f>IF(OR(posicao_contratual!R199="",posicao_contratual!V199=""),"",ROUND(MAX(posicao_contratual!R199+posicao_contratual!P199-posicao_contratual!V199,0),2))</f>
        <v/>
      </c>
      <c r="R199" s="335">
        <f>IF(AND(A199="",A198&lt;&gt;"",COUNTIF(A200:$A$200,"&lt;&gt;")=0),ROUND(SUMIF($A$2:A198,"&lt;&gt;",$R$2:R198),2),IF(OR(Q199="",C199="",NOT(ISNUMBER($Z$5))),"",ROUND(Q199*C199*$Z$5,2)))</f>
        <v/>
      </c>
      <c r="S199" s="43" t="n"/>
      <c r="T199" s="342" t="n"/>
      <c r="U199" s="91">
        <f>IF(AND(A199="",A198&lt;&gt;"",COUNTIF(A200:$A$200,"&lt;&gt;")=0),"TOTAL",IF(A199="","",posicao_contratual!X199))</f>
        <v/>
      </c>
      <c r="V199" s="91">
        <f>IF(A199="","",posicao_contratual!X199)</f>
        <v/>
      </c>
      <c r="W199" s="13" t="n"/>
      <c r="X199" s="13" t="n"/>
      <c r="Y199" s="13" t="n"/>
      <c r="Z199" s="13" t="n"/>
      <c r="AA199" s="13" t="n"/>
      <c r="AB199" s="90">
        <f>IF(OR(A199="",posicao_contratual!E199="",posicao_contratual!J199=""),"",ROUND(MAX(posicao_contratual!E199-posicao_contratual!J199,0),2))</f>
        <v/>
      </c>
      <c r="AC199" s="335">
        <f>IF(AND(A199="",A198&lt;&gt;"",COUNTIF(A200:$A$200,"&lt;&gt;")=0),ROUND(SUMIF($A$2:A198,"&lt;&gt;",$AC$2:AC198),2),IF(OR(AB199="",C199="",NOT(ISNUMBER($Z$2))),"",ROUND(AB199*C199*$Z$2,2)))</f>
        <v/>
      </c>
      <c r="AD199" s="155">
        <f>IF(A199="","",posicao_contratual!E199)</f>
        <v/>
      </c>
      <c r="AE199" s="155">
        <f>IF(A199="","",posicao_contratual!I199)</f>
        <v/>
      </c>
      <c r="AF199" s="155">
        <f>IF(A199="","",posicao_contratual!M199)</f>
        <v/>
      </c>
      <c r="AG199" s="155">
        <f>IF(A199="","",posicao_contratual!Q199)</f>
        <v/>
      </c>
      <c r="AH199" s="155">
        <f>IF(A199="","",posicao_contratual!U199)</f>
        <v/>
      </c>
      <c r="AI199" s="155">
        <f>IF(A199="","",posicao_contratual!G199)</f>
        <v/>
      </c>
      <c r="AJ199" s="155">
        <f>IF(A199="","",posicao_contratual!K199)</f>
        <v/>
      </c>
      <c r="AK199" s="155">
        <f>IF(A199="","",posicao_contratual!O199)</f>
        <v/>
      </c>
      <c r="AL199" s="155">
        <f>IF(A199="","",posicao_contratual!S199)</f>
        <v/>
      </c>
      <c r="AM199" s="155">
        <f>IF(A199="","",posicao_contratual!W199)</f>
        <v/>
      </c>
      <c r="AN199" s="156">
        <f>IF(A199="","",posicao_contratual!X199)</f>
        <v/>
      </c>
      <c r="AO199">
        <f>IF($A199="","",ROUND(SUMIFS(itens_Consumidos!$E$2:$E$200,itens_Consumidos!$A$2:$A$200,$A199),2))</f>
        <v/>
      </c>
      <c r="AP199">
        <f>IF(OR($A199="",AB199=""),"",ROUND(MAX(AB199-AO199,0),2))</f>
        <v/>
      </c>
      <c r="AQ199">
        <f>IF(OR($A199="",AB199="",MEMORIA_RESULTADOS!$I$258=""),"",ROUND(AB199*$C199*(MEMORIA_RESULTADOS!$I$258-1),2))</f>
        <v/>
      </c>
      <c r="AR199">
        <f>IF(OR($A199="",AP199="",MEMORIA_RESULTADOS!$I$258=""),"",ROUND(AP199*$C199*(parametros!$F$2-MEMORIA_RESULTADOS!$I$258),2))</f>
        <v/>
      </c>
      <c r="AS199">
        <f>IF($A199="","",ROUND(SUMIFS(itens_Consumidos!$G$2:$G$200,itens_Consumidos!$A$2:$A$200,$A199),2))</f>
        <v/>
      </c>
      <c r="AT199">
        <f>IF(OR($A199="",M199=""),"",ROUND(MAX(M199-AS199,0),2))</f>
        <v/>
      </c>
      <c r="AU199">
        <f>IF(OR($A199="",M199="",MEMORIA_RESULTADOS!$I$259=""),"",ROUND(M199*$C199*(MEMORIA_RESULTADOS!$I$259-1),2))</f>
        <v/>
      </c>
      <c r="AV199">
        <f>IF(OR($A199="",AT199="",MEMORIA_RESULTADOS!$I$259=""),"",ROUND(AT199*$C199*(parametros!$F$3-MEMORIA_RESULTADOS!$I$259),2))</f>
        <v/>
      </c>
      <c r="AW199">
        <f>IF($A199="","",ROUND(SUMIFS(itens_Consumidos!$I$2:$I$200,itens_Consumidos!$A$2:$A$200,$A199),2))</f>
        <v/>
      </c>
      <c r="AX199">
        <f>IF(OR($A199="",O199=""),"",ROUND(MAX(O199-AW199,0),2))</f>
        <v/>
      </c>
      <c r="AY199">
        <f>IF(OR($A199="",O199="",MEMORIA_RESULTADOS!$I$260=""),"",ROUND(O199*$C199*(MEMORIA_RESULTADOS!$I$260-1),2))</f>
        <v/>
      </c>
      <c r="AZ199">
        <f>IF(OR($A199="",AX199="",MEMORIA_RESULTADOS!$I$260=""),"",ROUND(AX199*$C199*(parametros!$F$4-MEMORIA_RESULTADOS!$I$260),2))</f>
        <v/>
      </c>
      <c r="BA199">
        <f>IF($A199="","",ROUND(SUMIFS(itens_Consumidos!$K$2:$K$200,itens_Consumidos!$A$2:$A$200,$A199),2))</f>
        <v/>
      </c>
      <c r="BB199">
        <f>IF(OR($A199="",Q199=""),"",ROUND(MAX(Q199-BA199,0),2))</f>
        <v/>
      </c>
      <c r="BC199">
        <f>IF(OR($A199="",Q199="",MEMORIA_RESULTADOS!$I$261=""),"",ROUND(Q199*$C199*(MEMORIA_RESULTADOS!$I$261-1),2))</f>
        <v/>
      </c>
      <c r="BD199">
        <f>IF(OR($A199="",BB199="",MEMORIA_RESULTADOS!$I$261=""),"",ROUND(BB199*$C199*(parametros!$F$5-MEMORIA_RESULTADOS!$I$261),2))</f>
        <v/>
      </c>
      <c r="BE199">
        <f>IF($A199="","",ROUND(SUMIFS(itens_Consumidos!$M$2:$M$200,itens_Consumidos!$A$2:$A$200,$A199),2))</f>
        <v/>
      </c>
      <c r="BF199">
        <f>IF(OR($A199="",S199=""),"",ROUND(MAX(S199-BE199,0),2))</f>
        <v/>
      </c>
      <c r="BG199">
        <f>IF(OR($A199="",S199="",MEMORIA_RESULTADOS!$I$262=""),"",ROUND(S199*$C199*(MEMORIA_RESULTADOS!$I$262-1),2))</f>
        <v/>
      </c>
      <c r="BH199">
        <f>IF(OR($A199="",BF199="",MEMORIA_RESULTADOS!$I$262=""),"",ROUND(BF199*$C199*(parametros!$F$6-MEMORIA_RESULTADOS!$I$262),2))</f>
        <v/>
      </c>
    </row>
    <row r="200">
      <c r="A200" s="86" t="n"/>
      <c r="B200" s="87">
        <f>IF(AND(LEN(TRIM($A200))=4,LEFT(TRIM($A200),1)="N",ISNUMBER(--MID(TRIM($A200),2,3)),ISERROR(FIND(".",$A200)),ISERROR(FIND(",",$A200)),ISERROR(FIND("-",$A200)),ISERROR(FIND("+",$A200)),ISERROR(SEARCH("E",$A200,2)),ISERROR(FIND(" ",TRIM($A200)))),0,"")</f>
        <v/>
      </c>
      <c r="C200" s="339" t="n"/>
      <c r="D200" s="335">
        <f>IF(AND(A200="",A199&lt;&gt;"",COUNTIF(A$200:$A201,"&lt;&gt;")=0),ROUND(SUMIF($A$2:A199,"&lt;&gt;",$D$2:D199),2),IF(OR(A200="",B200="",C200=""),"",ROUND(B200*C200,2)))</f>
        <v/>
      </c>
      <c r="E200" s="89" t="n"/>
      <c r="F200" s="335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 t="n"/>
      <c r="H200" s="335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 t="n"/>
      <c r="J200" s="335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 t="n"/>
      <c r="L200" s="335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>
        <f>IF(OR(posicao_contratual!J200="",posicao_contratual!N200=""),"",ROUND(MAX(posicao_contratual!J200+posicao_contratual!H200-posicao_contratual!N200,0),2))</f>
        <v/>
      </c>
      <c r="N200" s="335">
        <f>IF(AND(A200="",A199&lt;&gt;"",COUNTIF(A$200:$A201,"&lt;&gt;")=0),ROUND(SUMIF($A$2:A199,"&lt;&gt;",$N$2:N199),2),IF(OR(M200="",C200="",NOT(ISNUMBER($Z$3))),"",ROUND(M200*C200*$Z$3,2)))</f>
        <v/>
      </c>
      <c r="O200" s="90">
        <f>IF(OR(posicao_contratual!N200="",posicao_contratual!R200=""),"",ROUND(MAX(posicao_contratual!N200+posicao_contratual!L200-posicao_contratual!R200,0),2))</f>
        <v/>
      </c>
      <c r="P200" s="335">
        <f>IF(AND(A200="",A199&lt;&gt;"",COUNTIF(A$200:$A201,"&lt;&gt;")=0),ROUND(SUMIF($A$2:A199,"&lt;&gt;",$P$2:P199),2),IF(OR(O200="",C200="",NOT(ISNUMBER($Z$4))),"",ROUND(O200*C200*$Z$4,2)))</f>
        <v/>
      </c>
      <c r="Q200" s="90">
        <f>IF(OR(posicao_contratual!R200="",posicao_contratual!V200=""),"",ROUND(MAX(posicao_contratual!R200+posicao_contratual!P200-posicao_contratual!V200,0),2))</f>
        <v/>
      </c>
      <c r="R200" s="335">
        <f>IF(AND(A200="",A199&lt;&gt;"",COUNTIF(A$200:$A201,"&lt;&gt;")=0),ROUND(SUMIF($A$2:A199,"&lt;&gt;",$R$2:R199),2),IF(OR(Q200="",C200="",NOT(ISNUMBER($Z$5))),"",ROUND(Q200*C200*$Z$5,2)))</f>
        <v/>
      </c>
      <c r="S200" s="43" t="n"/>
      <c r="T200" s="342" t="n"/>
      <c r="U200" s="91">
        <f>IF(AND(A200="",A199&lt;&gt;"",COUNTIF(A$200:$A201,"&lt;&gt;")=0),"TOTAL",IF(A200="","",posicao_contratual!X200))</f>
        <v/>
      </c>
      <c r="V200" s="91">
        <f>IF(A200="","",posicao_contratual!X200)</f>
        <v/>
      </c>
      <c r="W200" s="13" t="n"/>
      <c r="X200" s="13" t="n"/>
      <c r="Y200" s="13" t="n"/>
      <c r="Z200" s="13" t="n"/>
      <c r="AA200" s="13" t="n"/>
      <c r="AB200" s="90">
        <f>IF(OR(A200="",posicao_contratual!E200="",posicao_contratual!J200=""),"",ROUND(MAX(posicao_contratual!E200-posicao_contratual!J200,0),2))</f>
        <v/>
      </c>
      <c r="AC200" s="335">
        <f>IF(AND(A200="",A199&lt;&gt;"",COUNTIF(A$200:$A201,"&lt;&gt;")=0),ROUND(SUMIF($A$2:A199,"&lt;&gt;",$AC$2:AC199),2),IF(OR(AB200="",C200="",NOT(ISNUMBER($Z$2))),"",ROUND(AB200*C200*$Z$2,2)))</f>
        <v/>
      </c>
      <c r="AD200" s="155">
        <f>IF(A200="","",posicao_contratual!E200)</f>
        <v/>
      </c>
      <c r="AE200" s="155">
        <f>IF(A200="","",posicao_contratual!I200)</f>
        <v/>
      </c>
      <c r="AF200" s="155">
        <f>IF(A200="","",posicao_contratual!M200)</f>
        <v/>
      </c>
      <c r="AG200" s="155">
        <f>IF(A200="","",posicao_contratual!Q200)</f>
        <v/>
      </c>
      <c r="AH200" s="155">
        <f>IF(A200="","",posicao_contratual!U200)</f>
        <v/>
      </c>
      <c r="AI200" s="155">
        <f>IF(A200="","",posicao_contratual!G200)</f>
        <v/>
      </c>
      <c r="AJ200" s="155">
        <f>IF(A200="","",posicao_contratual!K200)</f>
        <v/>
      </c>
      <c r="AK200" s="155">
        <f>IF(A200="","",posicao_contratual!O200)</f>
        <v/>
      </c>
      <c r="AL200" s="155">
        <f>IF(A200="","",posicao_contratual!S200)</f>
        <v/>
      </c>
      <c r="AM200" s="155">
        <f>IF(A200="","",posicao_contratual!W200)</f>
        <v/>
      </c>
      <c r="AN200" s="156">
        <f>IF(A200="","",posicao_contratual!X200)</f>
        <v/>
      </c>
      <c r="AO200">
        <f>IF($A200="","",ROUND(SUMIFS(itens_Consumidos!$E$2:$E$200,itens_Consumidos!$A$2:$A$200,$A200),2))</f>
        <v/>
      </c>
      <c r="AP200">
        <f>IF(OR($A200="",AB200=""),"",ROUND(MAX(AB200-AO200,0),2))</f>
        <v/>
      </c>
      <c r="AQ200">
        <f>IF(OR($A200="",AB200="",MEMORIA_RESULTADOS!$I$258=""),"",ROUND(AB200*$C200*(MEMORIA_RESULTADOS!$I$258-1),2))</f>
        <v/>
      </c>
      <c r="AR200">
        <f>IF(OR($A200="",AP200="",MEMORIA_RESULTADOS!$I$258=""),"",ROUND(AP200*$C200*(parametros!$F$2-MEMORIA_RESULTADOS!$I$258),2))</f>
        <v/>
      </c>
      <c r="AS200">
        <f>IF($A200="","",ROUND(SUMIFS(itens_Consumidos!$G$2:$G$200,itens_Consumidos!$A$2:$A$200,$A200),2))</f>
        <v/>
      </c>
      <c r="AT200">
        <f>IF(OR($A200="",M200=""),"",ROUND(MAX(M200-AS200,0),2))</f>
        <v/>
      </c>
      <c r="AU200">
        <f>IF(OR($A200="",M200="",MEMORIA_RESULTADOS!$I$259=""),"",ROUND(M200*$C200*(MEMORIA_RESULTADOS!$I$259-1),2))</f>
        <v/>
      </c>
      <c r="AV200">
        <f>IF(OR($A200="",AT200="",MEMORIA_RESULTADOS!$I$259=""),"",ROUND(AT200*$C200*(parametros!$F$3-MEMORIA_RESULTADOS!$I$259),2))</f>
        <v/>
      </c>
      <c r="AW200">
        <f>IF($A200="","",ROUND(SUMIFS(itens_Consumidos!$I$2:$I$200,itens_Consumidos!$A$2:$A$200,$A200),2))</f>
        <v/>
      </c>
      <c r="AX200">
        <f>IF(OR($A200="",O200=""),"",ROUND(MAX(O200-AW200,0),2))</f>
        <v/>
      </c>
      <c r="AY200">
        <f>IF(OR($A200="",O200="",MEMORIA_RESULTADOS!$I$260=""),"",ROUND(O200*$C200*(MEMORIA_RESULTADOS!$I$260-1),2))</f>
        <v/>
      </c>
      <c r="AZ200">
        <f>IF(OR($A200="",AX200="",MEMORIA_RESULTADOS!$I$260=""),"",ROUND(AX200*$C200*(parametros!$F$4-MEMORIA_RESULTADOS!$I$260),2))</f>
        <v/>
      </c>
      <c r="BA200">
        <f>IF($A200="","",ROUND(SUMIFS(itens_Consumidos!$K$2:$K$200,itens_Consumidos!$A$2:$A$200,$A200),2))</f>
        <v/>
      </c>
      <c r="BB200">
        <f>IF(OR($A200="",Q200=""),"",ROUND(MAX(Q200-BA200,0),2))</f>
        <v/>
      </c>
      <c r="BC200">
        <f>IF(OR($A200="",Q200="",MEMORIA_RESULTADOS!$I$261=""),"",ROUND(Q200*$C200*(MEMORIA_RESULTADOS!$I$261-1),2))</f>
        <v/>
      </c>
      <c r="BD200">
        <f>IF(OR($A200="",BB200="",MEMORIA_RESULTADOS!$I$261=""),"",ROUND(BB200*$C200*(parametros!$F$5-MEMORIA_RESULTADOS!$I$261),2))</f>
        <v/>
      </c>
      <c r="BE200">
        <f>IF($A200="","",ROUND(SUMIFS(itens_Consumidos!$M$2:$M$200,itens_Consumidos!$A$2:$A$200,$A200),2))</f>
        <v/>
      </c>
      <c r="BF200">
        <f>IF(OR($A200="",S200=""),"",ROUND(MAX(S200-BE200,0),2))</f>
        <v/>
      </c>
      <c r="BG200">
        <f>IF(OR($A200="",S200="",MEMORIA_RESULTADOS!$I$262=""),"",ROUND(S200*$C200*(MEMORIA_RESULTADOS!$I$262-1),2))</f>
        <v/>
      </c>
      <c r="BH200">
        <f>IF(OR($A200="",BF200="",MEMORIA_RESULTADOS!$I$262=""),"",ROUND(BF200*$C200*(parametros!$F$6-MEMORIA_RESULTADOS!$I$262),2))</f>
        <v/>
      </c>
    </row>
    <row r="201">
      <c r="A201" s="25" t="n"/>
      <c r="B201" s="25" t="n"/>
      <c r="C201" s="25" t="n"/>
      <c r="D201" s="91">
        <f>IF($A$200&lt;&gt;"",ROUND(SUMIF($A$2:$A$200,"&lt;&gt;",$D$2:$D$200),2),"")</f>
        <v/>
      </c>
      <c r="E201" s="26" t="n"/>
      <c r="F201" s="91">
        <f>IF($A$200&lt;&gt;"",ROUND(SUMIF($A$2:$A$200,"&lt;&gt;",$F$2:$F$200),2),"")</f>
        <v/>
      </c>
      <c r="G201" s="26" t="n"/>
      <c r="H201" s="91">
        <f>IF($A$200&lt;&gt;"",ROUND(SUMIF($A$2:$A$200,"&lt;&gt;",$H$2:$H$200),2),"")</f>
        <v/>
      </c>
      <c r="I201" s="26" t="n"/>
      <c r="J201" s="91">
        <f>IF($A$200&lt;&gt;"",ROUND(SUMIF($A$2:$A$200,"&lt;&gt;",$J$2:$J$200),2),"")</f>
        <v/>
      </c>
      <c r="K201" s="26" t="n"/>
      <c r="L201" s="91">
        <f>IF($A$200&lt;&gt;"",ROUND(SUMIF($A$2:$A$200,"&lt;&gt;",$L$2:$L$200),2),"")</f>
        <v/>
      </c>
      <c r="M201" s="26" t="n"/>
      <c r="N201" s="91">
        <f>IF($A$200&lt;&gt;"",ROUND(SUMIF($A$2:$A$200,"&lt;&gt;",$N$2:$N$200),2),"")</f>
        <v/>
      </c>
      <c r="O201" s="17" t="n"/>
      <c r="P201" s="91">
        <f>IF($A$200&lt;&gt;"",ROUND(SUMIF($A$2:$A$200,"&lt;&gt;",$P$2:$P$200),2),"")</f>
        <v/>
      </c>
      <c r="Q201" s="25" t="n"/>
      <c r="R201" s="91">
        <f>IF($A$200&lt;&gt;"",ROUND(SUMIF($A$2:$A$200,"&lt;&gt;",$R$2:$R$200),2),"")</f>
        <v/>
      </c>
      <c r="S201" s="25" t="n"/>
      <c r="T201" s="25" t="n"/>
      <c r="U201" s="17">
        <f>IF($A$200&lt;&gt;"","TOTAL","")</f>
        <v/>
      </c>
      <c r="V201" s="13" t="n"/>
      <c r="W201" s="13" t="n"/>
      <c r="X201" s="13" t="n"/>
      <c r="Y201" s="13" t="n"/>
      <c r="Z201" s="13" t="n"/>
      <c r="AA201" s="13" t="n"/>
      <c r="AB201" s="13" t="n"/>
      <c r="AC201" s="91">
        <f>IF(AND(A201="",A200&lt;&gt;"",COUNTIF(A$200:$A202,"&lt;&gt;")=0),ROUND(SUMIF($A$2:A200,"&lt;&gt;",$AC$2:AC200),2),IF(OR(AB201="",C201="",NOT(ISNUMBER($Z$2))),"",ROUND(AB201*C201*$Z$2,2)))</f>
        <v/>
      </c>
      <c r="AD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  <c r="AA202" s="13" t="n"/>
      <c r="AB202" s="13" t="n"/>
      <c r="AC202" s="13" t="n"/>
      <c r="AD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  <c r="AA203" s="13" t="n"/>
      <c r="AB203" s="13" t="n"/>
      <c r="AC203" s="13" t="n"/>
      <c r="AD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</row>
  </sheetData>
  <conditionalFormatting sqref="A2:AC201">
    <cfRule type="expression" priority="2" dxfId="21">
      <formula>$U2="TOTAL"</formula>
    </cfRule>
  </conditionalFormatting>
  <conditionalFormatting sqref="E2:E201">
    <cfRule type="expression" priority="2" dxfId="36" stopIfTrue="1">
      <formula>AND($A2&lt;&gt;"",ISNUMBER(posicao_contratual!$Y2),posicao_contratual!$Y2&gt;1)</formula>
    </cfRule>
    <cfRule type="expression" priority="3" dxfId="37">
      <formula>AND($A2&lt;&gt;"",ISNUMBER(E2),E2&gt;0)</formula>
    </cfRule>
    <cfRule type="expression" priority="4" dxfId="38">
      <formula>AND($A2&lt;&gt;"",E2=0)</formula>
    </cfRule>
    <cfRule type="expression" priority="5" dxfId="39">
      <formula>AND($A2&lt;&gt;"",E2="",OR(NOT(ISNUMBER(posicao_contratual!$Y2)),posicao_contratual!$Y2&lt;=1))</formula>
    </cfRule>
  </conditionalFormatting>
  <conditionalFormatting sqref="G2:G201">
    <cfRule type="expression" priority="6" dxfId="36" stopIfTrue="1">
      <formula>AND($A2&lt;&gt;"",ISNUMBER(posicao_contratual!$Y2),posicao_contratual!$Y2&gt;2)</formula>
    </cfRule>
    <cfRule type="expression" priority="7" dxfId="37">
      <formula>AND($A2&lt;&gt;"",ISNUMBER(G2),G2&gt;0)</formula>
    </cfRule>
    <cfRule type="expression" priority="8" dxfId="38">
      <formula>AND($A2&lt;&gt;"",G2=0)</formula>
    </cfRule>
    <cfRule type="expression" priority="9" dxfId="39">
      <formula>AND($A2&lt;&gt;"",G2="",OR(NOT(ISNUMBER(posicao_contratual!$Y2)),posicao_contratual!$Y2&lt;=2))</formula>
    </cfRule>
  </conditionalFormatting>
  <conditionalFormatting sqref="I2:I201">
    <cfRule type="expression" priority="10" dxfId="36" stopIfTrue="1">
      <formula>AND($A2&lt;&gt;"",ISNUMBER(posicao_contratual!$Y2),posicao_contratual!$Y2&gt;3)</formula>
    </cfRule>
    <cfRule type="expression" priority="11" dxfId="37">
      <formula>AND($A2&lt;&gt;"",ISNUMBER(I2),I2&gt;0)</formula>
    </cfRule>
    <cfRule type="expression" priority="12" dxfId="38">
      <formula>AND($A2&lt;&gt;"",I2=0)</formula>
    </cfRule>
    <cfRule type="expression" priority="13" dxfId="39">
      <formula>AND($A2&lt;&gt;"",I2="",OR(NOT(ISNUMBER(posicao_contratual!$Y2)),posicao_contratual!$Y2&lt;=3))</formula>
    </cfRule>
  </conditionalFormatting>
  <conditionalFormatting sqref="K2:K201">
    <cfRule type="expression" priority="14" dxfId="36" stopIfTrue="1">
      <formula>AND($A2&lt;&gt;"",ISNUMBER(posicao_contratual!$Y2),posicao_contratual!$Y2&gt;4)</formula>
    </cfRule>
    <cfRule type="expression" priority="15" dxfId="37">
      <formula>AND($A2&lt;&gt;"",ISNUMBER(K2),K2&gt;0)</formula>
    </cfRule>
    <cfRule type="expression" priority="16" dxfId="38">
      <formula>AND($A2&lt;&gt;"",K2=0)</formula>
    </cfRule>
    <cfRule type="expression" priority="17" dxfId="39">
      <formula>AND($A2&lt;&gt;"",K2="",OR(NOT(ISNUMBER(posicao_contratual!$Y2)),posicao_contratual!$Y2&lt;=4))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289" min="1" max="1"/>
    <col width="20" customWidth="1" style="289" min="2" max="2"/>
    <col width="18" customWidth="1" style="289" min="3" max="4"/>
    <col width="16" customWidth="1" style="289" min="5" max="5"/>
    <col width="17" customWidth="1" style="289" min="6" max="6"/>
    <col width="16" customWidth="1" style="289" min="7" max="7"/>
    <col width="17" customWidth="1" style="289" min="8" max="8"/>
    <col width="16" customWidth="1" style="289" min="9" max="9"/>
    <col width="17" customWidth="1" style="289" min="10" max="10"/>
    <col width="16" customWidth="1" style="289" min="11" max="11"/>
    <col width="17" customWidth="1" style="289" min="12" max="12"/>
    <col width="16" customWidth="1" style="289" min="13" max="13"/>
    <col width="17" customWidth="1" style="289" min="14" max="14"/>
    <col width="18" customWidth="1" style="289" min="15" max="15"/>
    <col width="20" customWidth="1" style="289" min="16" max="16"/>
    <col width="34" customWidth="1" style="289" min="17" max="17"/>
    <col width="10" customWidth="1" style="289" min="18" max="18"/>
    <col width="24" customWidth="1" style="289" min="19" max="19"/>
    <col width="16" customWidth="1" style="289" min="20" max="21"/>
  </cols>
  <sheetData>
    <row r="1" ht="24" customHeight="1" s="289">
      <c r="A1" s="45" t="inlineStr">
        <is>
          <t>ITEM</t>
        </is>
      </c>
      <c r="B1" s="46" t="inlineStr">
        <is>
          <t>QTD_CONTRATADA</t>
        </is>
      </c>
      <c r="C1" s="343" t="inlineStr">
        <is>
          <t>VU_ORIGINAL</t>
        </is>
      </c>
      <c r="D1" s="343" t="inlineStr">
        <is>
          <t>VALOR_TOTAL</t>
        </is>
      </c>
      <c r="E1" s="48" t="inlineStr">
        <is>
          <t>QTD_CONS_C0</t>
        </is>
      </c>
      <c r="F1" s="344" t="inlineStr">
        <is>
          <t>VALOR_CONS_C0</t>
        </is>
      </c>
      <c r="G1" s="50" t="inlineStr">
        <is>
          <t>QTD_CONS_C1</t>
        </is>
      </c>
      <c r="H1" s="345" t="inlineStr">
        <is>
          <t>VALOR_CONS_C1</t>
        </is>
      </c>
      <c r="I1" s="48" t="inlineStr">
        <is>
          <t>QTD_CONS_C2</t>
        </is>
      </c>
      <c r="J1" s="344" t="inlineStr">
        <is>
          <t>VALOR_CONS_C2</t>
        </is>
      </c>
      <c r="K1" s="50" t="inlineStr">
        <is>
          <t>QTD_CONS_C3</t>
        </is>
      </c>
      <c r="L1" s="345" t="inlineStr">
        <is>
          <t>VALOR_CONS_C3</t>
        </is>
      </c>
      <c r="M1" s="48" t="inlineStr">
        <is>
          <t>QTD_CONS_C4</t>
        </is>
      </c>
      <c r="N1" s="344" t="inlineStr">
        <is>
          <t>VALOR_CONS_C4</t>
        </is>
      </c>
      <c r="O1" s="46" t="inlineStr">
        <is>
          <t>CONS_QTD_TOTAL</t>
        </is>
      </c>
      <c r="P1" s="343" t="inlineStr">
        <is>
          <t>CONS_VALOR_TOTAL</t>
        </is>
      </c>
      <c r="Q1" s="52" t="inlineStr">
        <is>
          <t>CHECK</t>
        </is>
      </c>
      <c r="R1" s="53" t="inlineStr">
        <is>
          <t>CICLO</t>
        </is>
      </c>
      <c r="S1" s="53" t="inlineStr">
        <is>
          <t>COMPUTAR_NESTA_APURACAO</t>
        </is>
      </c>
      <c r="T1" s="53" t="inlineStr">
        <is>
          <t>FATOR_PROPRIO</t>
        </is>
      </c>
      <c r="U1" s="53" t="inlineStr">
        <is>
          <t>FATOR_ACUMULADO</t>
        </is>
      </c>
      <c r="V1" s="13" t="n"/>
      <c r="W1" s="13" t="n"/>
    </row>
    <row r="2">
      <c r="A2" s="98" t="n"/>
      <c r="B2" s="99" t="n"/>
      <c r="C2" s="346" t="n"/>
      <c r="D2" s="335">
        <f>IF(OR(A2="",B2="",C2=""),"",ROUND(B2*C2,2))</f>
        <v/>
      </c>
      <c r="E2" s="99" t="n"/>
      <c r="F2" s="335">
        <f>IF(OR(A2="",E2="",C2="",NOT(ISNUMBER($U$2))),"",ROUND(E2*C2*$U$2,2))</f>
        <v/>
      </c>
      <c r="G2" s="99" t="n"/>
      <c r="H2" s="335">
        <f>IF(OR(A2="",G2="",C2="",NOT(ISNUMBER($U$3))),"",ROUND(G2*C2*$U$3,2))</f>
        <v/>
      </c>
      <c r="I2" s="99" t="n"/>
      <c r="J2" s="335">
        <f>IF(OR(A2="",I2="",C2="",NOT(ISNUMBER($U$4))),"",ROUND(I2*C2*$U$4,2))</f>
        <v/>
      </c>
      <c r="K2" s="99" t="n"/>
      <c r="L2" s="335">
        <f>IF(OR(A2="",K2="",C2="",NOT(ISNUMBER($U$5))),"",ROUND(K2*C2*$U$5,2))</f>
        <v/>
      </c>
      <c r="M2" s="99" t="n"/>
      <c r="N2" s="335">
        <f>IF(OR(A2="",M2="",C2="",NOT(ISNUMBER($U$6))),"",ROUND(M2*C2*$U$6,2))</f>
        <v/>
      </c>
      <c r="O2" s="90">
        <f>IF(A2="","",SUM(E2,G2,I2,K2,M2))</f>
        <v/>
      </c>
      <c r="P2" s="335">
        <f>IF(A2="","",SUM(F2,H2,J2,L2,N2))</f>
        <v/>
      </c>
      <c r="Q2" s="198">
        <f>IF(A2="","",IF(O2&gt;B2,"DIVERGENCIA: CONSUMO MAIOR QUE CONTRATADO","OK"))</f>
        <v/>
      </c>
      <c r="R2" s="24" t="inlineStr">
        <is>
          <t>C0</t>
        </is>
      </c>
      <c r="S2" s="101">
        <f>parametros!$A$2</f>
        <v/>
      </c>
      <c r="T2" s="102">
        <f>IF(ISNUMBER(parametros!$E$2),parametros!$E$2,"")</f>
        <v/>
      </c>
      <c r="U2" s="347">
        <f>IF(ISNUMBER(parametros!$F$2),parametros!$F$2,"")</f>
        <v/>
      </c>
      <c r="V2" s="14" t="n"/>
      <c r="W2" s="14" t="n"/>
    </row>
    <row r="3">
      <c r="A3" s="98" t="n"/>
      <c r="B3" s="99" t="n"/>
      <c r="C3" s="346" t="n"/>
      <c r="D3" s="335">
        <f>IF(OR(A3="",B3="",C3=""),"",ROUND(B3*C3,2))</f>
        <v/>
      </c>
      <c r="E3" s="99" t="n"/>
      <c r="F3" s="335">
        <f>IF(OR(A3="",E3="",C3="",NOT(ISNUMBER($U$2))),"",ROUND(E3*C3*$U$2,2))</f>
        <v/>
      </c>
      <c r="G3" s="99" t="n"/>
      <c r="H3" s="335">
        <f>IF(OR(A3="",G3="",C3="",NOT(ISNUMBER($U$3))),"",ROUND(G3*C3*$U$3,2))</f>
        <v/>
      </c>
      <c r="I3" s="99" t="n"/>
      <c r="J3" s="335">
        <f>IF(OR(A3="",I3="",C3="",NOT(ISNUMBER($U$4))),"",ROUND(I3*C3*$U$4,2))</f>
        <v/>
      </c>
      <c r="K3" s="99" t="n"/>
      <c r="L3" s="335">
        <f>IF(OR(A3="",K3="",C3="",NOT(ISNUMBER($U$5))),"",ROUND(K3*C3*$U$5,2))</f>
        <v/>
      </c>
      <c r="M3" s="99" t="n"/>
      <c r="N3" s="335">
        <f>IF(OR(A3="",M3="",C3="",NOT(ISNUMBER($U$6))),"",ROUND(M3*C3*$U$6,2))</f>
        <v/>
      </c>
      <c r="O3" s="90">
        <f>IF(A3="","",SUM(E3,G3,I3,K3,M3))</f>
        <v/>
      </c>
      <c r="P3" s="335">
        <f>IF(A3="","",SUM(F3,H3,J3,L3,N3))</f>
        <v/>
      </c>
      <c r="Q3" s="198">
        <f>IF(A3="","",IF(O3&gt;B3,"DIVERGENCIA: CONSUMO MAIOR QUE CONTRATADO","OK"))</f>
        <v/>
      </c>
      <c r="R3" s="24" t="inlineStr">
        <is>
          <t>C1</t>
        </is>
      </c>
      <c r="S3" s="101">
        <f>parametros!$A$3</f>
        <v/>
      </c>
      <c r="T3" s="102">
        <f>IF(ISNUMBER(parametros!$E$3),parametros!$E$3,"")</f>
        <v/>
      </c>
      <c r="U3" s="347">
        <f>IF(ISNUMBER(parametros!$F$3),parametros!$F$3,"")</f>
        <v/>
      </c>
      <c r="V3" s="14" t="n"/>
      <c r="W3" s="14" t="n"/>
    </row>
    <row r="4">
      <c r="A4" s="98" t="n"/>
      <c r="B4" s="99" t="n"/>
      <c r="C4" s="346" t="n"/>
      <c r="D4" s="335">
        <f>IF(OR(A4="",B4="",C4=""),"",ROUND(B4*C4,2))</f>
        <v/>
      </c>
      <c r="E4" s="99" t="n"/>
      <c r="F4" s="335">
        <f>IF(OR(A4="",E4="",C4="",NOT(ISNUMBER($U$2))),"",ROUND(E4*C4*$U$2,2))</f>
        <v/>
      </c>
      <c r="G4" s="99" t="n"/>
      <c r="H4" s="335">
        <f>IF(OR(A4="",G4="",C4="",NOT(ISNUMBER($U$3))),"",ROUND(G4*C4*$U$3,2))</f>
        <v/>
      </c>
      <c r="I4" s="99" t="n"/>
      <c r="J4" s="335">
        <f>IF(OR(A4="",I4="",C4="",NOT(ISNUMBER($U$4))),"",ROUND(I4*C4*$U$4,2))</f>
        <v/>
      </c>
      <c r="K4" s="99" t="n"/>
      <c r="L4" s="335">
        <f>IF(OR(A4="",K4="",C4="",NOT(ISNUMBER($U$5))),"",ROUND(K4*C4*$U$5,2))</f>
        <v/>
      </c>
      <c r="M4" s="99" t="n"/>
      <c r="N4" s="335">
        <f>IF(OR(A4="",M4="",C4="",NOT(ISNUMBER($U$6))),"",ROUND(M4*C4*$U$6,2))</f>
        <v/>
      </c>
      <c r="O4" s="90">
        <f>IF(A4="","",SUM(E4,G4,I4,K4,M4))</f>
        <v/>
      </c>
      <c r="P4" s="335">
        <f>IF(A4="","",SUM(F4,H4,J4,L4,N4))</f>
        <v/>
      </c>
      <c r="Q4" s="198">
        <f>IF(A4="","",IF(O4&gt;B4,"DIVERGENCIA: CONSUMO MAIOR QUE CONTRATADO","OK"))</f>
        <v/>
      </c>
      <c r="R4" s="24" t="inlineStr">
        <is>
          <t>C2</t>
        </is>
      </c>
      <c r="S4" s="101">
        <f>parametros!$A$4</f>
        <v/>
      </c>
      <c r="T4" s="102">
        <f>IF(ISNUMBER(parametros!$E$4),parametros!$E$4,"")</f>
        <v/>
      </c>
      <c r="U4" s="347">
        <f>IF(ISNUMBER(parametros!$F$4),parametros!$F$4,"")</f>
        <v/>
      </c>
      <c r="V4" s="14" t="n"/>
      <c r="W4" s="14" t="n"/>
    </row>
    <row r="5">
      <c r="A5" s="98" t="n"/>
      <c r="B5" s="99" t="n"/>
      <c r="C5" s="346" t="n"/>
      <c r="D5" s="335">
        <f>IF(OR(A5="",B5="",C5=""),"",ROUND(B5*C5,2))</f>
        <v/>
      </c>
      <c r="E5" s="99" t="n"/>
      <c r="F5" s="335">
        <f>IF(OR(A5="",E5="",C5="",NOT(ISNUMBER($U$2))),"",ROUND(E5*C5*$U$2,2))</f>
        <v/>
      </c>
      <c r="G5" s="99" t="n"/>
      <c r="H5" s="335">
        <f>IF(OR(A5="",G5="",C5="",NOT(ISNUMBER($U$3))),"",ROUND(G5*C5*$U$3,2))</f>
        <v/>
      </c>
      <c r="I5" s="99" t="n"/>
      <c r="J5" s="335">
        <f>IF(OR(A5="",I5="",C5="",NOT(ISNUMBER($U$4))),"",ROUND(I5*C5*$U$4,2))</f>
        <v/>
      </c>
      <c r="K5" s="99" t="n"/>
      <c r="L5" s="335">
        <f>IF(OR(A5="",K5="",C5="",NOT(ISNUMBER($U$5))),"",ROUND(K5*C5*$U$5,2))</f>
        <v/>
      </c>
      <c r="M5" s="99" t="n"/>
      <c r="N5" s="335">
        <f>IF(OR(A5="",M5="",C5="",NOT(ISNUMBER($U$6))),"",ROUND(M5*C5*$U$6,2))</f>
        <v/>
      </c>
      <c r="O5" s="90">
        <f>IF(A5="","",SUM(E5,G5,I5,K5,M5))</f>
        <v/>
      </c>
      <c r="P5" s="335">
        <f>IF(A5="","",SUM(F5,H5,J5,L5,N5))</f>
        <v/>
      </c>
      <c r="Q5" s="198">
        <f>IF(A5="","",IF(O5&gt;B5,"DIVERGENCIA: CONSUMO MAIOR QUE CONTRATADO","OK"))</f>
        <v/>
      </c>
      <c r="R5" s="24" t="inlineStr">
        <is>
          <t>C3</t>
        </is>
      </c>
      <c r="S5" s="101">
        <f>parametros!$A$5</f>
        <v/>
      </c>
      <c r="T5" s="102">
        <f>IF(ISNUMBER(parametros!$E$5),parametros!$E$5,"")</f>
        <v/>
      </c>
      <c r="U5" s="347">
        <f>IF(ISNUMBER(parametros!$F$5),parametros!$F$5,"")</f>
        <v/>
      </c>
      <c r="V5" s="14" t="n"/>
      <c r="W5" s="14" t="n"/>
    </row>
    <row r="6">
      <c r="A6" s="98" t="n"/>
      <c r="B6" s="99" t="n"/>
      <c r="C6" s="346" t="n"/>
      <c r="D6" s="335">
        <f>IF(OR(A6="",B6="",C6=""),"",ROUND(B6*C6,2))</f>
        <v/>
      </c>
      <c r="E6" s="99" t="n"/>
      <c r="F6" s="335">
        <f>IF(OR(A6="",E6="",C6="",NOT(ISNUMBER($U$2))),"",ROUND(E6*C6*$U$2,2))</f>
        <v/>
      </c>
      <c r="G6" s="99" t="n"/>
      <c r="H6" s="335">
        <f>IF(OR(A6="",G6="",C6="",NOT(ISNUMBER($U$3))),"",ROUND(G6*C6*$U$3,2))</f>
        <v/>
      </c>
      <c r="I6" s="99" t="n"/>
      <c r="J6" s="335">
        <f>IF(OR(A6="",I6="",C6="",NOT(ISNUMBER($U$4))),"",ROUND(I6*C6*$U$4,2))</f>
        <v/>
      </c>
      <c r="K6" s="99" t="n"/>
      <c r="L6" s="335">
        <f>IF(OR(A6="",K6="",C6="",NOT(ISNUMBER($U$5))),"",ROUND(K6*C6*$U$5,2))</f>
        <v/>
      </c>
      <c r="M6" s="99" t="n"/>
      <c r="N6" s="335">
        <f>IF(OR(A6="",M6="",C6="",NOT(ISNUMBER($U$6))),"",ROUND(M6*C6*$U$6,2))</f>
        <v/>
      </c>
      <c r="O6" s="90">
        <f>IF(A6="","",SUM(E6,G6,I6,K6,M6))</f>
        <v/>
      </c>
      <c r="P6" s="335">
        <f>IF(A6="","",SUM(F6,H6,J6,L6,N6))</f>
        <v/>
      </c>
      <c r="Q6" s="198">
        <f>IF(A6="","",IF(O6&gt;B6,"DIVERGENCIA: CONSUMO MAIOR QUE CONTRATADO","OK"))</f>
        <v/>
      </c>
      <c r="R6" s="24" t="inlineStr">
        <is>
          <t>C4</t>
        </is>
      </c>
      <c r="S6" s="101">
        <f>parametros!$A$6</f>
        <v/>
      </c>
      <c r="T6" s="102">
        <f>IF(ISNUMBER(parametros!$E$6),parametros!$E$6,"")</f>
        <v/>
      </c>
      <c r="U6" s="347">
        <f>IF(ISNUMBER(parametros!$F$6),parametros!$F$6,"")</f>
        <v/>
      </c>
      <c r="V6" s="14" t="n"/>
      <c r="W6" s="14" t="n"/>
    </row>
    <row r="7">
      <c r="A7" s="98" t="n"/>
      <c r="B7" s="99" t="n"/>
      <c r="C7" s="346" t="n"/>
      <c r="D7" s="335">
        <f>IF(OR(A7="",B7="",C7=""),"",ROUND(B7*C7,2))</f>
        <v/>
      </c>
      <c r="E7" s="99" t="n"/>
      <c r="F7" s="335">
        <f>IF(OR(A7="",E7="",C7="",NOT(ISNUMBER($U$2))),"",ROUND(E7*C7*$U$2,2))</f>
        <v/>
      </c>
      <c r="G7" s="99" t="n"/>
      <c r="H7" s="335">
        <f>IF(OR(A7="",G7="",C7="",NOT(ISNUMBER($U$3))),"",ROUND(G7*C7*$U$3,2))</f>
        <v/>
      </c>
      <c r="I7" s="99" t="n"/>
      <c r="J7" s="335">
        <f>IF(OR(A7="",I7="",C7="",NOT(ISNUMBER($U$4))),"",ROUND(I7*C7*$U$4,2))</f>
        <v/>
      </c>
      <c r="K7" s="99" t="n"/>
      <c r="L7" s="335">
        <f>IF(OR(A7="",K7="",C7="",NOT(ISNUMBER($U$5))),"",ROUND(K7*C7*$U$5,2))</f>
        <v/>
      </c>
      <c r="M7" s="99" t="n"/>
      <c r="N7" s="335">
        <f>IF(OR(A7="",M7="",C7="",NOT(ISNUMBER($U$6))),"",ROUND(M7*C7*$U$6,2))</f>
        <v/>
      </c>
      <c r="O7" s="90">
        <f>IF(A7="","",SUM(E7,G7,I7,K7,M7))</f>
        <v/>
      </c>
      <c r="P7" s="335">
        <f>IF(A7="","",SUM(F7,H7,J7,L7,N7))</f>
        <v/>
      </c>
      <c r="Q7" s="198">
        <f>IF(A7="","",IF(O7&gt;B7,"DIVERGENCIA: CONSUMO MAIOR QUE CONTRATADO","OK"))</f>
        <v/>
      </c>
      <c r="R7" s="14" t="n"/>
      <c r="S7" s="14" t="n"/>
      <c r="T7" s="14" t="n"/>
      <c r="U7" s="14" t="n"/>
      <c r="V7" s="14" t="n"/>
      <c r="W7" s="14" t="n"/>
    </row>
    <row r="8">
      <c r="A8" s="98" t="n"/>
      <c r="B8" s="99" t="n"/>
      <c r="C8" s="346" t="n"/>
      <c r="D8" s="335">
        <f>IF(OR(A8="",B8="",C8=""),"",ROUND(B8*C8,2))</f>
        <v/>
      </c>
      <c r="E8" s="99" t="n"/>
      <c r="F8" s="335">
        <f>IF(OR(A8="",E8="",C8="",NOT(ISNUMBER($U$2))),"",ROUND(E8*C8*$U$2,2))</f>
        <v/>
      </c>
      <c r="G8" s="99" t="n"/>
      <c r="H8" s="335">
        <f>IF(OR(A8="",G8="",C8="",NOT(ISNUMBER($U$3))),"",ROUND(G8*C8*$U$3,2))</f>
        <v/>
      </c>
      <c r="I8" s="99" t="n"/>
      <c r="J8" s="335">
        <f>IF(OR(A8="",I8="",C8="",NOT(ISNUMBER($U$4))),"",ROUND(I8*C8*$U$4,2))</f>
        <v/>
      </c>
      <c r="K8" s="99" t="n"/>
      <c r="L8" s="335">
        <f>IF(OR(A8="",K8="",C8="",NOT(ISNUMBER($U$5))),"",ROUND(K8*C8*$U$5,2))</f>
        <v/>
      </c>
      <c r="M8" s="99" t="n"/>
      <c r="N8" s="335">
        <f>IF(OR(A8="",M8="",C8="",NOT(ISNUMBER($U$6))),"",ROUND(M8*C8*$U$6,2))</f>
        <v/>
      </c>
      <c r="O8" s="90">
        <f>IF(A8="","",SUM(E8,G8,I8,K8,M8))</f>
        <v/>
      </c>
      <c r="P8" s="335">
        <f>IF(A8="","",SUM(F8,H8,J8,L8,N8))</f>
        <v/>
      </c>
      <c r="Q8" s="198">
        <f>IF(A8="","",IF(O8&gt;B8,"DIVERGENCIA: CONSUMO MAIOR QUE CONTRATADO","OK"))</f>
        <v/>
      </c>
      <c r="R8" s="14" t="n"/>
      <c r="S8" s="14" t="n"/>
      <c r="T8" s="14" t="n"/>
      <c r="U8" s="14" t="n"/>
      <c r="V8" s="14" t="n"/>
      <c r="W8" s="14" t="n"/>
    </row>
    <row r="9">
      <c r="A9" s="98" t="n"/>
      <c r="B9" s="99" t="n"/>
      <c r="C9" s="346" t="n"/>
      <c r="D9" s="335">
        <f>IF(OR(A9="",B9="",C9=""),"",ROUND(B9*C9,2))</f>
        <v/>
      </c>
      <c r="E9" s="99" t="n"/>
      <c r="F9" s="335">
        <f>IF(OR(A9="",E9="",C9="",NOT(ISNUMBER($U$2))),"",ROUND(E9*C9*$U$2,2))</f>
        <v/>
      </c>
      <c r="G9" s="99" t="n"/>
      <c r="H9" s="335">
        <f>IF(OR(A9="",G9="",C9="",NOT(ISNUMBER($U$3))),"",ROUND(G9*C9*$U$3,2))</f>
        <v/>
      </c>
      <c r="I9" s="99" t="n"/>
      <c r="J9" s="335">
        <f>IF(OR(A9="",I9="",C9="",NOT(ISNUMBER($U$4))),"",ROUND(I9*C9*$U$4,2))</f>
        <v/>
      </c>
      <c r="K9" s="99" t="n"/>
      <c r="L9" s="335">
        <f>IF(OR(A9="",K9="",C9="",NOT(ISNUMBER($U$5))),"",ROUND(K9*C9*$U$5,2))</f>
        <v/>
      </c>
      <c r="M9" s="99" t="n"/>
      <c r="N9" s="335">
        <f>IF(OR(A9="",M9="",C9="",NOT(ISNUMBER($U$6))),"",ROUND(M9*C9*$U$6,2))</f>
        <v/>
      </c>
      <c r="O9" s="90">
        <f>IF(A9="","",SUM(E9,G9,I9,K9,M9))</f>
        <v/>
      </c>
      <c r="P9" s="335">
        <f>IF(A9="","",SUM(F9,H9,J9,L9,N9))</f>
        <v/>
      </c>
      <c r="Q9" s="198">
        <f>IF(A9="","",IF(O9&gt;B9,"DIVERGENCIA: CONSUMO MAIOR QUE CONTRATADO","OK"))</f>
        <v/>
      </c>
      <c r="R9" s="14" t="n"/>
      <c r="S9" s="14" t="n"/>
      <c r="T9" s="14" t="n"/>
      <c r="U9" s="14" t="n"/>
      <c r="V9" s="14" t="n"/>
      <c r="W9" s="14" t="n"/>
    </row>
    <row r="10">
      <c r="A10" s="98" t="n"/>
      <c r="B10" s="99" t="n"/>
      <c r="C10" s="346" t="n"/>
      <c r="D10" s="335">
        <f>IF(OR(A10="",B10="",C10=""),"",ROUND(B10*C10,2))</f>
        <v/>
      </c>
      <c r="E10" s="99" t="n"/>
      <c r="F10" s="335">
        <f>IF(OR(A10="",E10="",C10="",NOT(ISNUMBER($U$2))),"",ROUND(E10*C10*$U$2,2))</f>
        <v/>
      </c>
      <c r="G10" s="99" t="n"/>
      <c r="H10" s="335">
        <f>IF(OR(A10="",G10="",C10="",NOT(ISNUMBER($U$3))),"",ROUND(G10*C10*$U$3,2))</f>
        <v/>
      </c>
      <c r="I10" s="99" t="n"/>
      <c r="J10" s="335">
        <f>IF(OR(A10="",I10="",C10="",NOT(ISNUMBER($U$4))),"",ROUND(I10*C10*$U$4,2))</f>
        <v/>
      </c>
      <c r="K10" s="99" t="n"/>
      <c r="L10" s="335">
        <f>IF(OR(A10="",K10="",C10="",NOT(ISNUMBER($U$5))),"",ROUND(K10*C10*$U$5,2))</f>
        <v/>
      </c>
      <c r="M10" s="99" t="n"/>
      <c r="N10" s="335">
        <f>IF(OR(A10="",M10="",C10="",NOT(ISNUMBER($U$6))),"",ROUND(M10*C10*$U$6,2))</f>
        <v/>
      </c>
      <c r="O10" s="90">
        <f>IF(A10="","",SUM(E10,G10,I10,K10,M10))</f>
        <v/>
      </c>
      <c r="P10" s="335">
        <f>IF(A10="","",SUM(F10,H10,J10,L10,N10))</f>
        <v/>
      </c>
      <c r="Q10" s="198">
        <f>IF(A10="","",IF(O10&gt;B10,"DIVERGENCIA: CONSUMO MAIOR QUE CONTRATADO","OK"))</f>
        <v/>
      </c>
      <c r="R10" s="14" t="n"/>
      <c r="S10" s="14" t="n"/>
      <c r="T10" s="14" t="n"/>
      <c r="U10" s="14" t="n"/>
      <c r="V10" s="14" t="n"/>
      <c r="W10" s="14" t="n"/>
    </row>
    <row r="11">
      <c r="A11" s="98" t="n"/>
      <c r="B11" s="99" t="n"/>
      <c r="C11" s="346" t="n"/>
      <c r="D11" s="335">
        <f>IF(OR(A11="",B11="",C11=""),"",ROUND(B11*C11,2))</f>
        <v/>
      </c>
      <c r="E11" s="99" t="n"/>
      <c r="F11" s="335">
        <f>IF(OR(A11="",E11="",C11="",NOT(ISNUMBER($U$2))),"",ROUND(E11*C11*$U$2,2))</f>
        <v/>
      </c>
      <c r="G11" s="99" t="n"/>
      <c r="H11" s="335">
        <f>IF(OR(A11="",G11="",C11="",NOT(ISNUMBER($U$3))),"",ROUND(G11*C11*$U$3,2))</f>
        <v/>
      </c>
      <c r="I11" s="99" t="n"/>
      <c r="J11" s="335">
        <f>IF(OR(A11="",I11="",C11="",NOT(ISNUMBER($U$4))),"",ROUND(I11*C11*$U$4,2))</f>
        <v/>
      </c>
      <c r="K11" s="99" t="n"/>
      <c r="L11" s="335">
        <f>IF(OR(A11="",K11="",C11="",NOT(ISNUMBER($U$5))),"",ROUND(K11*C11*$U$5,2))</f>
        <v/>
      </c>
      <c r="M11" s="99" t="n"/>
      <c r="N11" s="335">
        <f>IF(OR(A11="",M11="",C11="",NOT(ISNUMBER($U$6))),"",ROUND(M11*C11*$U$6,2))</f>
        <v/>
      </c>
      <c r="O11" s="90">
        <f>IF(A11="","",SUM(E11,G11,I11,K11,M11))</f>
        <v/>
      </c>
      <c r="P11" s="335">
        <f>IF(A11="","",SUM(F11,H11,J11,L11,N11))</f>
        <v/>
      </c>
      <c r="Q11" s="198">
        <f>IF(A11="","",IF(O11&gt;B11,"DIVERGENCIA: CONSUMO MAIOR QUE CONTRATADO","OK"))</f>
        <v/>
      </c>
      <c r="R11" s="14" t="n"/>
      <c r="S11" s="14" t="n"/>
      <c r="T11" s="14" t="n"/>
      <c r="U11" s="14" t="n"/>
      <c r="V11" s="14" t="n"/>
      <c r="W11" s="14" t="n"/>
    </row>
    <row r="12">
      <c r="A12" s="98" t="n"/>
      <c r="B12" s="99" t="n"/>
      <c r="C12" s="346" t="n"/>
      <c r="D12" s="335">
        <f>IF(OR(A12="",B12="",C12=""),"",ROUND(B12*C12,2))</f>
        <v/>
      </c>
      <c r="E12" s="99" t="n"/>
      <c r="F12" s="335">
        <f>IF(OR(A12="",E12="",C12="",NOT(ISNUMBER($U$2))),"",ROUND(E12*C12*$U$2,2))</f>
        <v/>
      </c>
      <c r="G12" s="99" t="n"/>
      <c r="H12" s="335">
        <f>IF(OR(A12="",G12="",C12="",NOT(ISNUMBER($U$3))),"",ROUND(G12*C12*$U$3,2))</f>
        <v/>
      </c>
      <c r="I12" s="99" t="n"/>
      <c r="J12" s="335">
        <f>IF(OR(A12="",I12="",C12="",NOT(ISNUMBER($U$4))),"",ROUND(I12*C12*$U$4,2))</f>
        <v/>
      </c>
      <c r="K12" s="99" t="n"/>
      <c r="L12" s="335">
        <f>IF(OR(A12="",K12="",C12="",NOT(ISNUMBER($U$5))),"",ROUND(K12*C12*$U$5,2))</f>
        <v/>
      </c>
      <c r="M12" s="99" t="n"/>
      <c r="N12" s="335">
        <f>IF(OR(A12="",M12="",C12="",NOT(ISNUMBER($U$6))),"",ROUND(M12*C12*$U$6,2))</f>
        <v/>
      </c>
      <c r="O12" s="90">
        <f>IF(A12="","",SUM(E12,G12,I12,K12,M12))</f>
        <v/>
      </c>
      <c r="P12" s="335">
        <f>IF(A12="","",SUM(F12,H12,J12,L12,N12))</f>
        <v/>
      </c>
      <c r="Q12" s="198">
        <f>IF(A12="","",IF(O12&gt;B12,"DIVERGENCIA: CONSUMO MAIOR QUE CONTRATADO","OK"))</f>
        <v/>
      </c>
      <c r="R12" s="14" t="n"/>
      <c r="S12" s="14" t="n"/>
      <c r="T12" s="14" t="n"/>
      <c r="U12" s="14" t="n"/>
      <c r="V12" s="14" t="n"/>
      <c r="W12" s="14" t="n"/>
    </row>
    <row r="13">
      <c r="A13" s="98" t="n"/>
      <c r="B13" s="99" t="n"/>
      <c r="C13" s="346" t="n"/>
      <c r="D13" s="335">
        <f>IF(OR(A13="",B13="",C13=""),"",ROUND(B13*C13,2))</f>
        <v/>
      </c>
      <c r="E13" s="99" t="n"/>
      <c r="F13" s="335">
        <f>IF(OR(A13="",E13="",C13="",NOT(ISNUMBER($U$2))),"",ROUND(E13*C13*$U$2,2))</f>
        <v/>
      </c>
      <c r="G13" s="99" t="n"/>
      <c r="H13" s="335">
        <f>IF(OR(A13="",G13="",C13="",NOT(ISNUMBER($U$3))),"",ROUND(G13*C13*$U$3,2))</f>
        <v/>
      </c>
      <c r="I13" s="99" t="n"/>
      <c r="J13" s="335">
        <f>IF(OR(A13="",I13="",C13="",NOT(ISNUMBER($U$4))),"",ROUND(I13*C13*$U$4,2))</f>
        <v/>
      </c>
      <c r="K13" s="99" t="n"/>
      <c r="L13" s="335">
        <f>IF(OR(A13="",K13="",C13="",NOT(ISNUMBER($U$5))),"",ROUND(K13*C13*$U$5,2))</f>
        <v/>
      </c>
      <c r="M13" s="99" t="n"/>
      <c r="N13" s="335">
        <f>IF(OR(A13="",M13="",C13="",NOT(ISNUMBER($U$6))),"",ROUND(M13*C13*$U$6,2))</f>
        <v/>
      </c>
      <c r="O13" s="90">
        <f>IF(A13="","",SUM(E13,G13,I13,K13,M13))</f>
        <v/>
      </c>
      <c r="P13" s="335">
        <f>IF(A13="","",SUM(F13,H13,J13,L13,N13))</f>
        <v/>
      </c>
      <c r="Q13" s="198">
        <f>IF(A13="","",IF(O13&gt;B13,"DIVERGENCIA: CONSUMO MAIOR QUE CONTRATADO","OK"))</f>
        <v/>
      </c>
      <c r="R13" s="14" t="n"/>
      <c r="S13" s="14" t="n"/>
      <c r="T13" s="14" t="n"/>
      <c r="U13" s="14" t="n"/>
      <c r="V13" s="14" t="n"/>
      <c r="W13" s="14" t="n"/>
    </row>
    <row r="14">
      <c r="A14" s="98" t="n"/>
      <c r="B14" s="99" t="n"/>
      <c r="C14" s="346" t="n"/>
      <c r="D14" s="335">
        <f>IF(OR(A14="",B14="",C14=""),"",ROUND(B14*C14,2))</f>
        <v/>
      </c>
      <c r="E14" s="99" t="n"/>
      <c r="F14" s="335">
        <f>IF(OR(A14="",E14="",C14="",NOT(ISNUMBER($U$2))),"",ROUND(E14*C14*$U$2,2))</f>
        <v/>
      </c>
      <c r="G14" s="99" t="n"/>
      <c r="H14" s="335">
        <f>IF(OR(A14="",G14="",C14="",NOT(ISNUMBER($U$3))),"",ROUND(G14*C14*$U$3,2))</f>
        <v/>
      </c>
      <c r="I14" s="99" t="n"/>
      <c r="J14" s="335">
        <f>IF(OR(A14="",I14="",C14="",NOT(ISNUMBER($U$4))),"",ROUND(I14*C14*$U$4,2))</f>
        <v/>
      </c>
      <c r="K14" s="99" t="n"/>
      <c r="L14" s="335">
        <f>IF(OR(A14="",K14="",C14="",NOT(ISNUMBER($U$5))),"",ROUND(K14*C14*$U$5,2))</f>
        <v/>
      </c>
      <c r="M14" s="99" t="n"/>
      <c r="N14" s="335">
        <f>IF(OR(A14="",M14="",C14="",NOT(ISNUMBER($U$6))),"",ROUND(M14*C14*$U$6,2))</f>
        <v/>
      </c>
      <c r="O14" s="90">
        <f>IF(A14="","",SUM(E14,G14,I14,K14,M14))</f>
        <v/>
      </c>
      <c r="P14" s="335">
        <f>IF(A14="","",SUM(F14,H14,J14,L14,N14))</f>
        <v/>
      </c>
      <c r="Q14" s="198">
        <f>IF(A14="","",IF(O14&gt;B14,"DIVERGENCIA: CONSUMO MAIOR QUE CONTRATADO","OK"))</f>
        <v/>
      </c>
      <c r="R14" s="14" t="n"/>
      <c r="S14" s="14" t="n"/>
      <c r="T14" s="14" t="n"/>
      <c r="U14" s="14" t="n"/>
      <c r="V14" s="14" t="n"/>
      <c r="W14" s="14" t="n"/>
    </row>
    <row r="15">
      <c r="A15" s="98" t="n"/>
      <c r="B15" s="99" t="n"/>
      <c r="C15" s="346" t="n"/>
      <c r="D15" s="335">
        <f>IF(OR(A15="",B15="",C15=""),"",ROUND(B15*C15,2))</f>
        <v/>
      </c>
      <c r="E15" s="99" t="n"/>
      <c r="F15" s="335">
        <f>IF(OR(A15="",E15="",C15="",NOT(ISNUMBER($U$2))),"",ROUND(E15*C15*$U$2,2))</f>
        <v/>
      </c>
      <c r="G15" s="99" t="n"/>
      <c r="H15" s="335">
        <f>IF(OR(A15="",G15="",C15="",NOT(ISNUMBER($U$3))),"",ROUND(G15*C15*$U$3,2))</f>
        <v/>
      </c>
      <c r="I15" s="99" t="n"/>
      <c r="J15" s="335">
        <f>IF(OR(A15="",I15="",C15="",NOT(ISNUMBER($U$4))),"",ROUND(I15*C15*$U$4,2))</f>
        <v/>
      </c>
      <c r="K15" s="99" t="n"/>
      <c r="L15" s="335">
        <f>IF(OR(A15="",K15="",C15="",NOT(ISNUMBER($U$5))),"",ROUND(K15*C15*$U$5,2))</f>
        <v/>
      </c>
      <c r="M15" s="99" t="n"/>
      <c r="N15" s="335">
        <f>IF(OR(A15="",M15="",C15="",NOT(ISNUMBER($U$6))),"",ROUND(M15*C15*$U$6,2))</f>
        <v/>
      </c>
      <c r="O15" s="90">
        <f>IF(A15="","",SUM(E15,G15,I15,K15,M15))</f>
        <v/>
      </c>
      <c r="P15" s="335">
        <f>IF(A15="","",SUM(F15,H15,J15,L15,N15))</f>
        <v/>
      </c>
      <c r="Q15" s="198">
        <f>IF(A15="","",IF(O15&gt;B15,"DIVERGENCIA: CONSUMO MAIOR QUE CONTRATADO","OK"))</f>
        <v/>
      </c>
      <c r="R15" s="14" t="n"/>
      <c r="S15" s="14" t="n"/>
      <c r="T15" s="14" t="n"/>
      <c r="U15" s="14" t="n"/>
      <c r="V15" s="14" t="n"/>
      <c r="W15" s="14" t="n"/>
    </row>
    <row r="16">
      <c r="A16" s="98" t="n"/>
      <c r="B16" s="99" t="n"/>
      <c r="C16" s="346" t="n"/>
      <c r="D16" s="335">
        <f>IF(OR(A16="",B16="",C16=""),"",ROUND(B16*C16,2))</f>
        <v/>
      </c>
      <c r="E16" s="99" t="n"/>
      <c r="F16" s="335">
        <f>IF(OR(A16="",E16="",C16="",NOT(ISNUMBER($U$2))),"",ROUND(E16*C16*$U$2,2))</f>
        <v/>
      </c>
      <c r="G16" s="99" t="n"/>
      <c r="H16" s="335">
        <f>IF(OR(A16="",G16="",C16="",NOT(ISNUMBER($U$3))),"",ROUND(G16*C16*$U$3,2))</f>
        <v/>
      </c>
      <c r="I16" s="99" t="n"/>
      <c r="J16" s="335">
        <f>IF(OR(A16="",I16="",C16="",NOT(ISNUMBER($U$4))),"",ROUND(I16*C16*$U$4,2))</f>
        <v/>
      </c>
      <c r="K16" s="99" t="n"/>
      <c r="L16" s="335">
        <f>IF(OR(A16="",K16="",C16="",NOT(ISNUMBER($U$5))),"",ROUND(K16*C16*$U$5,2))</f>
        <v/>
      </c>
      <c r="M16" s="99" t="n"/>
      <c r="N16" s="335">
        <f>IF(OR(A16="",M16="",C16="",NOT(ISNUMBER($U$6))),"",ROUND(M16*C16*$U$6,2))</f>
        <v/>
      </c>
      <c r="O16" s="90">
        <f>IF(A16="","",SUM(E16,G16,I16,K16,M16))</f>
        <v/>
      </c>
      <c r="P16" s="335">
        <f>IF(A16="","",SUM(F16,H16,J16,L16,N16))</f>
        <v/>
      </c>
      <c r="Q16" s="198">
        <f>IF(A16="","",IF(O16&gt;B16,"DIVERGENCIA: CONSUMO MAIOR QUE CONTRATADO","OK"))</f>
        <v/>
      </c>
      <c r="R16" s="14" t="n"/>
      <c r="S16" s="14" t="n"/>
      <c r="T16" s="14" t="n"/>
      <c r="U16" s="14" t="n"/>
      <c r="V16" s="14" t="n"/>
      <c r="W16" s="14" t="n"/>
    </row>
    <row r="17">
      <c r="A17" s="98" t="n"/>
      <c r="B17" s="99" t="n"/>
      <c r="C17" s="346" t="n"/>
      <c r="D17" s="335">
        <f>IF(OR(A17="",B17="",C17=""),"",ROUND(B17*C17,2))</f>
        <v/>
      </c>
      <c r="E17" s="99" t="n"/>
      <c r="F17" s="335">
        <f>IF(OR(A17="",E17="",C17="",NOT(ISNUMBER($U$2))),"",ROUND(E17*C17*$U$2,2))</f>
        <v/>
      </c>
      <c r="G17" s="99" t="n"/>
      <c r="H17" s="335">
        <f>IF(OR(A17="",G17="",C17="",NOT(ISNUMBER($U$3))),"",ROUND(G17*C17*$U$3,2))</f>
        <v/>
      </c>
      <c r="I17" s="99" t="n"/>
      <c r="J17" s="335">
        <f>IF(OR(A17="",I17="",C17="",NOT(ISNUMBER($U$4))),"",ROUND(I17*C17*$U$4,2))</f>
        <v/>
      </c>
      <c r="K17" s="99" t="n"/>
      <c r="L17" s="335">
        <f>IF(OR(A17="",K17="",C17="",NOT(ISNUMBER($U$5))),"",ROUND(K17*C17*$U$5,2))</f>
        <v/>
      </c>
      <c r="M17" s="99" t="n"/>
      <c r="N17" s="335">
        <f>IF(OR(A17="",M17="",C17="",NOT(ISNUMBER($U$6))),"",ROUND(M17*C17*$U$6,2))</f>
        <v/>
      </c>
      <c r="O17" s="90">
        <f>IF(A17="","",SUM(E17,G17,I17,K17,M17))</f>
        <v/>
      </c>
      <c r="P17" s="335">
        <f>IF(A17="","",SUM(F17,H17,J17,L17,N17))</f>
        <v/>
      </c>
      <c r="Q17" s="198">
        <f>IF(A17="","",IF(O17&gt;B17,"DIVERGENCIA: CONSUMO MAIOR QUE CONTRATADO","OK"))</f>
        <v/>
      </c>
      <c r="R17" s="14" t="n"/>
      <c r="S17" s="14" t="n"/>
      <c r="T17" s="14" t="n"/>
      <c r="U17" s="14" t="n"/>
      <c r="V17" s="14" t="n"/>
      <c r="W17" s="14" t="n"/>
    </row>
    <row r="18">
      <c r="A18" s="98" t="n"/>
      <c r="B18" s="99" t="n"/>
      <c r="C18" s="346" t="n"/>
      <c r="D18" s="335">
        <f>IF(OR(A18="",B18="",C18=""),"",ROUND(B18*C18,2))</f>
        <v/>
      </c>
      <c r="E18" s="99" t="n"/>
      <c r="F18" s="335">
        <f>IF(OR(A18="",E18="",C18="",NOT(ISNUMBER($U$2))),"",ROUND(E18*C18*$U$2,2))</f>
        <v/>
      </c>
      <c r="G18" s="99" t="n"/>
      <c r="H18" s="335">
        <f>IF(OR(A18="",G18="",C18="",NOT(ISNUMBER($U$3))),"",ROUND(G18*C18*$U$3,2))</f>
        <v/>
      </c>
      <c r="I18" s="99" t="n"/>
      <c r="J18" s="335">
        <f>IF(OR(A18="",I18="",C18="",NOT(ISNUMBER($U$4))),"",ROUND(I18*C18*$U$4,2))</f>
        <v/>
      </c>
      <c r="K18" s="99" t="n"/>
      <c r="L18" s="335">
        <f>IF(OR(A18="",K18="",C18="",NOT(ISNUMBER($U$5))),"",ROUND(K18*C18*$U$5,2))</f>
        <v/>
      </c>
      <c r="M18" s="99" t="n"/>
      <c r="N18" s="335">
        <f>IF(OR(A18="",M18="",C18="",NOT(ISNUMBER($U$6))),"",ROUND(M18*C18*$U$6,2))</f>
        <v/>
      </c>
      <c r="O18" s="90">
        <f>IF(A18="","",SUM(E18,G18,I18,K18,M18))</f>
        <v/>
      </c>
      <c r="P18" s="335">
        <f>IF(A18="","",SUM(F18,H18,J18,L18,N18))</f>
        <v/>
      </c>
      <c r="Q18" s="198">
        <f>IF(A18="","",IF(O18&gt;B18,"DIVERGENCIA: CONSUMO MAIOR QUE CONTRATADO","OK"))</f>
        <v/>
      </c>
      <c r="R18" s="14" t="n"/>
      <c r="S18" s="14" t="n"/>
      <c r="T18" s="14" t="n"/>
      <c r="U18" s="14" t="n"/>
      <c r="V18" s="14" t="n"/>
      <c r="W18" s="14" t="n"/>
    </row>
    <row r="19">
      <c r="A19" s="98" t="n"/>
      <c r="B19" s="99" t="n"/>
      <c r="C19" s="346" t="n"/>
      <c r="D19" s="335">
        <f>IF(OR(A19="",B19="",C19=""),"",ROUND(B19*C19,2))</f>
        <v/>
      </c>
      <c r="E19" s="99" t="n"/>
      <c r="F19" s="335">
        <f>IF(OR(A19="",E19="",C19="",NOT(ISNUMBER($U$2))),"",ROUND(E19*C19*$U$2,2))</f>
        <v/>
      </c>
      <c r="G19" s="99" t="n"/>
      <c r="H19" s="335">
        <f>IF(OR(A19="",G19="",C19="",NOT(ISNUMBER($U$3))),"",ROUND(G19*C19*$U$3,2))</f>
        <v/>
      </c>
      <c r="I19" s="99" t="n"/>
      <c r="J19" s="335">
        <f>IF(OR(A19="",I19="",C19="",NOT(ISNUMBER($U$4))),"",ROUND(I19*C19*$U$4,2))</f>
        <v/>
      </c>
      <c r="K19" s="99" t="n"/>
      <c r="L19" s="335">
        <f>IF(OR(A19="",K19="",C19="",NOT(ISNUMBER($U$5))),"",ROUND(K19*C19*$U$5,2))</f>
        <v/>
      </c>
      <c r="M19" s="99" t="n"/>
      <c r="N19" s="335">
        <f>IF(OR(A19="",M19="",C19="",NOT(ISNUMBER($U$6))),"",ROUND(M19*C19*$U$6,2))</f>
        <v/>
      </c>
      <c r="O19" s="90">
        <f>IF(A19="","",SUM(E19,G19,I19,K19,M19))</f>
        <v/>
      </c>
      <c r="P19" s="335">
        <f>IF(A19="","",SUM(F19,H19,J19,L19,N19))</f>
        <v/>
      </c>
      <c r="Q19" s="198">
        <f>IF(A19="","",IF(O19&gt;B19,"DIVERGENCIA: CONSUMO MAIOR QUE CONTRATADO","OK"))</f>
        <v/>
      </c>
      <c r="R19" s="14" t="n"/>
      <c r="S19" s="14" t="n"/>
      <c r="T19" s="14" t="n"/>
      <c r="U19" s="14" t="n"/>
      <c r="V19" s="14" t="n"/>
      <c r="W19" s="14" t="n"/>
    </row>
    <row r="20">
      <c r="A20" s="98" t="n"/>
      <c r="B20" s="99" t="n"/>
      <c r="C20" s="346" t="n"/>
      <c r="D20" s="335">
        <f>IF(OR(A20="",B20="",C20=""),"",ROUND(B20*C20,2))</f>
        <v/>
      </c>
      <c r="E20" s="99" t="n"/>
      <c r="F20" s="335">
        <f>IF(OR(A20="",E20="",C20="",NOT(ISNUMBER($U$2))),"",ROUND(E20*C20*$U$2,2))</f>
        <v/>
      </c>
      <c r="G20" s="99" t="n"/>
      <c r="H20" s="335">
        <f>IF(OR(A20="",G20="",C20="",NOT(ISNUMBER($U$3))),"",ROUND(G20*C20*$U$3,2))</f>
        <v/>
      </c>
      <c r="I20" s="99" t="n"/>
      <c r="J20" s="335">
        <f>IF(OR(A20="",I20="",C20="",NOT(ISNUMBER($U$4))),"",ROUND(I20*C20*$U$4,2))</f>
        <v/>
      </c>
      <c r="K20" s="99" t="n"/>
      <c r="L20" s="335">
        <f>IF(OR(A20="",K20="",C20="",NOT(ISNUMBER($U$5))),"",ROUND(K20*C20*$U$5,2))</f>
        <v/>
      </c>
      <c r="M20" s="99" t="n"/>
      <c r="N20" s="335">
        <f>IF(OR(A20="",M20="",C20="",NOT(ISNUMBER($U$6))),"",ROUND(M20*C20*$U$6,2))</f>
        <v/>
      </c>
      <c r="O20" s="90">
        <f>IF(A20="","",SUM(E20,G20,I20,K20,M20))</f>
        <v/>
      </c>
      <c r="P20" s="335">
        <f>IF(A20="","",SUM(F20,H20,J20,L20,N20))</f>
        <v/>
      </c>
      <c r="Q20" s="198">
        <f>IF(A20="","",IF(O20&gt;B20,"DIVERGENCIA: CONSUMO MAIOR QUE CONTRATADO","OK"))</f>
        <v/>
      </c>
      <c r="R20" s="14" t="n"/>
      <c r="S20" s="14" t="n"/>
      <c r="T20" s="14" t="n"/>
      <c r="U20" s="14" t="n"/>
      <c r="V20" s="14" t="n"/>
      <c r="W20" s="14" t="n"/>
    </row>
    <row r="21">
      <c r="A21" s="98" t="n"/>
      <c r="B21" s="99" t="n"/>
      <c r="C21" s="346" t="n"/>
      <c r="D21" s="335">
        <f>IF(OR(A21="",B21="",C21=""),"",ROUND(B21*C21,2))</f>
        <v/>
      </c>
      <c r="E21" s="99" t="n"/>
      <c r="F21" s="335">
        <f>IF(OR(A21="",E21="",C21="",NOT(ISNUMBER($U$2))),"",ROUND(E21*C21*$U$2,2))</f>
        <v/>
      </c>
      <c r="G21" s="99" t="n"/>
      <c r="H21" s="335">
        <f>IF(OR(A21="",G21="",C21="",NOT(ISNUMBER($U$3))),"",ROUND(G21*C21*$U$3,2))</f>
        <v/>
      </c>
      <c r="I21" s="99" t="n"/>
      <c r="J21" s="335">
        <f>IF(OR(A21="",I21="",C21="",NOT(ISNUMBER($U$4))),"",ROUND(I21*C21*$U$4,2))</f>
        <v/>
      </c>
      <c r="K21" s="99" t="n"/>
      <c r="L21" s="335">
        <f>IF(OR(A21="",K21="",C21="",NOT(ISNUMBER($U$5))),"",ROUND(K21*C21*$U$5,2))</f>
        <v/>
      </c>
      <c r="M21" s="99" t="n"/>
      <c r="N21" s="335">
        <f>IF(OR(A21="",M21="",C21="",NOT(ISNUMBER($U$6))),"",ROUND(M21*C21*$U$6,2))</f>
        <v/>
      </c>
      <c r="O21" s="90">
        <f>IF(A21="","",SUM(E21,G21,I21,K21,M21))</f>
        <v/>
      </c>
      <c r="P21" s="335">
        <f>IF(A21="","",SUM(F21,H21,J21,L21,N21))</f>
        <v/>
      </c>
      <c r="Q21" s="198">
        <f>IF(A21="","",IF(O21&gt;B21,"DIVERGENCIA: CONSUMO MAIOR QUE CONTRATADO","OK"))</f>
        <v/>
      </c>
      <c r="R21" s="14" t="n"/>
      <c r="S21" s="14" t="n"/>
      <c r="T21" s="14" t="n"/>
      <c r="U21" s="14" t="n"/>
      <c r="V21" s="14" t="n"/>
      <c r="W21" s="14" t="n"/>
    </row>
    <row r="22">
      <c r="A22" s="98" t="n"/>
      <c r="B22" s="99" t="n"/>
      <c r="C22" s="346" t="n"/>
      <c r="D22" s="335">
        <f>IF(OR(A22="",B22="",C22=""),"",ROUND(B22*C22,2))</f>
        <v/>
      </c>
      <c r="E22" s="99" t="n"/>
      <c r="F22" s="335">
        <f>IF(OR(A22="",E22="",C22="",NOT(ISNUMBER($U$2))),"",ROUND(E22*C22*$U$2,2))</f>
        <v/>
      </c>
      <c r="G22" s="99" t="n"/>
      <c r="H22" s="335">
        <f>IF(OR(A22="",G22="",C22="",NOT(ISNUMBER($U$3))),"",ROUND(G22*C22*$U$3,2))</f>
        <v/>
      </c>
      <c r="I22" s="99" t="n"/>
      <c r="J22" s="335">
        <f>IF(OR(A22="",I22="",C22="",NOT(ISNUMBER($U$4))),"",ROUND(I22*C22*$U$4,2))</f>
        <v/>
      </c>
      <c r="K22" s="99" t="n"/>
      <c r="L22" s="335">
        <f>IF(OR(A22="",K22="",C22="",NOT(ISNUMBER($U$5))),"",ROUND(K22*C22*$U$5,2))</f>
        <v/>
      </c>
      <c r="M22" s="99" t="n"/>
      <c r="N22" s="335">
        <f>IF(OR(A22="",M22="",C22="",NOT(ISNUMBER($U$6))),"",ROUND(M22*C22*$U$6,2))</f>
        <v/>
      </c>
      <c r="O22" s="90">
        <f>IF(A22="","",SUM(E22,G22,I22,K22,M22))</f>
        <v/>
      </c>
      <c r="P22" s="335">
        <f>IF(A22="","",SUM(F22,H22,J22,L22,N22))</f>
        <v/>
      </c>
      <c r="Q22" s="198">
        <f>IF(A22="","",IF(O22&gt;B22,"DIVERGENCIA: CONSUMO MAIOR QUE CONTRATADO","OK"))</f>
        <v/>
      </c>
      <c r="R22" s="14" t="n"/>
      <c r="S22" s="14" t="n"/>
      <c r="T22" s="14" t="n"/>
      <c r="U22" s="14" t="n"/>
      <c r="V22" s="14" t="n"/>
      <c r="W22" s="14" t="n"/>
    </row>
    <row r="23">
      <c r="A23" s="98" t="n"/>
      <c r="B23" s="99" t="n"/>
      <c r="C23" s="346" t="n"/>
      <c r="D23" s="335">
        <f>IF(OR(A23="",B23="",C23=""),"",ROUND(B23*C23,2))</f>
        <v/>
      </c>
      <c r="E23" s="99" t="n"/>
      <c r="F23" s="335">
        <f>IF(OR(A23="",E23="",C23="",NOT(ISNUMBER($U$2))),"",ROUND(E23*C23*$U$2,2))</f>
        <v/>
      </c>
      <c r="G23" s="99" t="n"/>
      <c r="H23" s="335">
        <f>IF(OR(A23="",G23="",C23="",NOT(ISNUMBER($U$3))),"",ROUND(G23*C23*$U$3,2))</f>
        <v/>
      </c>
      <c r="I23" s="99" t="n"/>
      <c r="J23" s="335">
        <f>IF(OR(A23="",I23="",C23="",NOT(ISNUMBER($U$4))),"",ROUND(I23*C23*$U$4,2))</f>
        <v/>
      </c>
      <c r="K23" s="99" t="n"/>
      <c r="L23" s="335">
        <f>IF(OR(A23="",K23="",C23="",NOT(ISNUMBER($U$5))),"",ROUND(K23*C23*$U$5,2))</f>
        <v/>
      </c>
      <c r="M23" s="99" t="n"/>
      <c r="N23" s="335">
        <f>IF(OR(A23="",M23="",C23="",NOT(ISNUMBER($U$6))),"",ROUND(M23*C23*$U$6,2))</f>
        <v/>
      </c>
      <c r="O23" s="90">
        <f>IF(A23="","",SUM(E23,G23,I23,K23,M23))</f>
        <v/>
      </c>
      <c r="P23" s="335">
        <f>IF(A23="","",SUM(F23,H23,J23,L23,N23))</f>
        <v/>
      </c>
      <c r="Q23" s="198">
        <f>IF(A23="","",IF(O23&gt;B23,"DIVERGENCIA: CONSUMO MAIOR QUE CONTRATADO","OK"))</f>
        <v/>
      </c>
      <c r="R23" s="14" t="n"/>
      <c r="S23" s="14" t="n"/>
      <c r="T23" s="14" t="n"/>
      <c r="U23" s="14" t="n"/>
      <c r="V23" s="14" t="n"/>
      <c r="W23" s="14" t="n"/>
    </row>
    <row r="24">
      <c r="A24" s="98" t="n"/>
      <c r="B24" s="99" t="n"/>
      <c r="C24" s="346" t="n"/>
      <c r="D24" s="335">
        <f>IF(OR(A24="",B24="",C24=""),"",ROUND(B24*C24,2))</f>
        <v/>
      </c>
      <c r="E24" s="99" t="n"/>
      <c r="F24" s="335">
        <f>IF(OR(A24="",E24="",C24="",NOT(ISNUMBER($U$2))),"",ROUND(E24*C24*$U$2,2))</f>
        <v/>
      </c>
      <c r="G24" s="99" t="n"/>
      <c r="H24" s="335">
        <f>IF(OR(A24="",G24="",C24="",NOT(ISNUMBER($U$3))),"",ROUND(G24*C24*$U$3,2))</f>
        <v/>
      </c>
      <c r="I24" s="99" t="n"/>
      <c r="J24" s="335">
        <f>IF(OR(A24="",I24="",C24="",NOT(ISNUMBER($U$4))),"",ROUND(I24*C24*$U$4,2))</f>
        <v/>
      </c>
      <c r="K24" s="99" t="n"/>
      <c r="L24" s="335">
        <f>IF(OR(A24="",K24="",C24="",NOT(ISNUMBER($U$5))),"",ROUND(K24*C24*$U$5,2))</f>
        <v/>
      </c>
      <c r="M24" s="99" t="n"/>
      <c r="N24" s="335">
        <f>IF(OR(A24="",M24="",C24="",NOT(ISNUMBER($U$6))),"",ROUND(M24*C24*$U$6,2))</f>
        <v/>
      </c>
      <c r="O24" s="90">
        <f>IF(A24="","",SUM(E24,G24,I24,K24,M24))</f>
        <v/>
      </c>
      <c r="P24" s="335">
        <f>IF(A24="","",SUM(F24,H24,J24,L24,N24))</f>
        <v/>
      </c>
      <c r="Q24" s="198">
        <f>IF(A24="","",IF(O24&gt;B24,"DIVERGENCIA: CONSUMO MAIOR QUE CONTRATADO","OK"))</f>
        <v/>
      </c>
      <c r="R24" s="14" t="n"/>
      <c r="S24" s="14" t="n"/>
      <c r="T24" s="14" t="n"/>
      <c r="U24" s="14" t="n"/>
      <c r="V24" s="14" t="n"/>
      <c r="W24" s="14" t="n"/>
    </row>
    <row r="25">
      <c r="A25" s="98" t="n"/>
      <c r="B25" s="99" t="n"/>
      <c r="C25" s="346" t="n"/>
      <c r="D25" s="335">
        <f>IF(OR(A25="",B25="",C25=""),"",ROUND(B25*C25,2))</f>
        <v/>
      </c>
      <c r="E25" s="99" t="n"/>
      <c r="F25" s="335">
        <f>IF(OR(A25="",E25="",C25="",NOT(ISNUMBER($U$2))),"",ROUND(E25*C25*$U$2,2))</f>
        <v/>
      </c>
      <c r="G25" s="99" t="n"/>
      <c r="H25" s="335">
        <f>IF(OR(A25="",G25="",C25="",NOT(ISNUMBER($U$3))),"",ROUND(G25*C25*$U$3,2))</f>
        <v/>
      </c>
      <c r="I25" s="99" t="n"/>
      <c r="J25" s="335">
        <f>IF(OR(A25="",I25="",C25="",NOT(ISNUMBER($U$4))),"",ROUND(I25*C25*$U$4,2))</f>
        <v/>
      </c>
      <c r="K25" s="99" t="n"/>
      <c r="L25" s="335">
        <f>IF(OR(A25="",K25="",C25="",NOT(ISNUMBER($U$5))),"",ROUND(K25*C25*$U$5,2))</f>
        <v/>
      </c>
      <c r="M25" s="99" t="n"/>
      <c r="N25" s="335">
        <f>IF(OR(A25="",M25="",C25="",NOT(ISNUMBER($U$6))),"",ROUND(M25*C25*$U$6,2))</f>
        <v/>
      </c>
      <c r="O25" s="90">
        <f>IF(A25="","",SUM(E25,G25,I25,K25,M25))</f>
        <v/>
      </c>
      <c r="P25" s="335">
        <f>IF(A25="","",SUM(F25,H25,J25,L25,N25))</f>
        <v/>
      </c>
      <c r="Q25" s="198">
        <f>IF(A25="","",IF(O25&gt;B25,"DIVERGENCIA: CONSUMO MAIOR QUE CONTRATADO","OK"))</f>
        <v/>
      </c>
      <c r="R25" s="14" t="n"/>
      <c r="S25" s="14" t="n"/>
      <c r="T25" s="14" t="n"/>
      <c r="U25" s="14" t="n"/>
      <c r="V25" s="14" t="n"/>
      <c r="W25" s="14" t="n"/>
    </row>
    <row r="26">
      <c r="A26" s="98" t="n"/>
      <c r="B26" s="99" t="n"/>
      <c r="C26" s="346" t="n"/>
      <c r="D26" s="335">
        <f>IF(OR(A26="",B26="",C26=""),"",ROUND(B26*C26,2))</f>
        <v/>
      </c>
      <c r="E26" s="99" t="n"/>
      <c r="F26" s="335">
        <f>IF(OR(A26="",E26="",C26="",NOT(ISNUMBER($U$2))),"",ROUND(E26*C26*$U$2,2))</f>
        <v/>
      </c>
      <c r="G26" s="99" t="n"/>
      <c r="H26" s="335">
        <f>IF(OR(A26="",G26="",C26="",NOT(ISNUMBER($U$3))),"",ROUND(G26*C26*$U$3,2))</f>
        <v/>
      </c>
      <c r="I26" s="99" t="n"/>
      <c r="J26" s="335">
        <f>IF(OR(A26="",I26="",C26="",NOT(ISNUMBER($U$4))),"",ROUND(I26*C26*$U$4,2))</f>
        <v/>
      </c>
      <c r="K26" s="99" t="n"/>
      <c r="L26" s="335">
        <f>IF(OR(A26="",K26="",C26="",NOT(ISNUMBER($U$5))),"",ROUND(K26*C26*$U$5,2))</f>
        <v/>
      </c>
      <c r="M26" s="99" t="n"/>
      <c r="N26" s="335">
        <f>IF(OR(A26="",M26="",C26="",NOT(ISNUMBER($U$6))),"",ROUND(M26*C26*$U$6,2))</f>
        <v/>
      </c>
      <c r="O26" s="90">
        <f>IF(A26="","",SUM(E26,G26,I26,K26,M26))</f>
        <v/>
      </c>
      <c r="P26" s="335">
        <f>IF(A26="","",SUM(F26,H26,J26,L26,N26))</f>
        <v/>
      </c>
      <c r="Q26" s="198">
        <f>IF(A26="","",IF(O26&gt;B26,"DIVERGENCIA: CONSUMO MAIOR QUE CONTRATADO","OK"))</f>
        <v/>
      </c>
      <c r="R26" s="14" t="n"/>
      <c r="S26" s="14" t="n"/>
      <c r="T26" s="14" t="n"/>
      <c r="U26" s="14" t="n"/>
      <c r="V26" s="14" t="n"/>
      <c r="W26" s="14" t="n"/>
    </row>
    <row r="27">
      <c r="A27" s="98" t="n"/>
      <c r="B27" s="99" t="n"/>
      <c r="C27" s="346" t="n"/>
      <c r="D27" s="335">
        <f>IF(OR(A27="",B27="",C27=""),"",ROUND(B27*C27,2))</f>
        <v/>
      </c>
      <c r="E27" s="99" t="n"/>
      <c r="F27" s="335">
        <f>IF(OR(A27="",E27="",C27="",NOT(ISNUMBER($U$2))),"",ROUND(E27*C27*$U$2,2))</f>
        <v/>
      </c>
      <c r="G27" s="99" t="n"/>
      <c r="H27" s="335">
        <f>IF(OR(A27="",G27="",C27="",NOT(ISNUMBER($U$3))),"",ROUND(G27*C27*$U$3,2))</f>
        <v/>
      </c>
      <c r="I27" s="99" t="n"/>
      <c r="J27" s="335">
        <f>IF(OR(A27="",I27="",C27="",NOT(ISNUMBER($U$4))),"",ROUND(I27*C27*$U$4,2))</f>
        <v/>
      </c>
      <c r="K27" s="99" t="n"/>
      <c r="L27" s="335">
        <f>IF(OR(A27="",K27="",C27="",NOT(ISNUMBER($U$5))),"",ROUND(K27*C27*$U$5,2))</f>
        <v/>
      </c>
      <c r="M27" s="99" t="n"/>
      <c r="N27" s="335">
        <f>IF(OR(A27="",M27="",C27="",NOT(ISNUMBER($U$6))),"",ROUND(M27*C27*$U$6,2))</f>
        <v/>
      </c>
      <c r="O27" s="90">
        <f>IF(A27="","",SUM(E27,G27,I27,K27,M27))</f>
        <v/>
      </c>
      <c r="P27" s="335">
        <f>IF(A27="","",SUM(F27,H27,J27,L27,N27))</f>
        <v/>
      </c>
      <c r="Q27" s="198">
        <f>IF(A27="","",IF(O27&gt;B27,"DIVERGENCIA: CONSUMO MAIOR QUE CONTRATADO","OK"))</f>
        <v/>
      </c>
      <c r="R27" s="14" t="n"/>
      <c r="S27" s="14" t="n"/>
      <c r="T27" s="14" t="n"/>
      <c r="U27" s="14" t="n"/>
      <c r="V27" s="14" t="n"/>
      <c r="W27" s="14" t="n"/>
    </row>
    <row r="28">
      <c r="A28" s="98" t="n"/>
      <c r="B28" s="99" t="n"/>
      <c r="C28" s="346" t="n"/>
      <c r="D28" s="335">
        <f>IF(OR(A28="",B28="",C28=""),"",ROUND(B28*C28,2))</f>
        <v/>
      </c>
      <c r="E28" s="99" t="n"/>
      <c r="F28" s="335">
        <f>IF(OR(A28="",E28="",C28="",NOT(ISNUMBER($U$2))),"",ROUND(E28*C28*$U$2,2))</f>
        <v/>
      </c>
      <c r="G28" s="99" t="n"/>
      <c r="H28" s="335">
        <f>IF(OR(A28="",G28="",C28="",NOT(ISNUMBER($U$3))),"",ROUND(G28*C28*$U$3,2))</f>
        <v/>
      </c>
      <c r="I28" s="99" t="n"/>
      <c r="J28" s="335">
        <f>IF(OR(A28="",I28="",C28="",NOT(ISNUMBER($U$4))),"",ROUND(I28*C28*$U$4,2))</f>
        <v/>
      </c>
      <c r="K28" s="99" t="n"/>
      <c r="L28" s="335">
        <f>IF(OR(A28="",K28="",C28="",NOT(ISNUMBER($U$5))),"",ROUND(K28*C28*$U$5,2))</f>
        <v/>
      </c>
      <c r="M28" s="99" t="n"/>
      <c r="N28" s="335">
        <f>IF(OR(A28="",M28="",C28="",NOT(ISNUMBER($U$6))),"",ROUND(M28*C28*$U$6,2))</f>
        <v/>
      </c>
      <c r="O28" s="90">
        <f>IF(A28="","",SUM(E28,G28,I28,K28,M28))</f>
        <v/>
      </c>
      <c r="P28" s="335">
        <f>IF(A28="","",SUM(F28,H28,J28,L28,N28))</f>
        <v/>
      </c>
      <c r="Q28" s="198">
        <f>IF(A28="","",IF(O28&gt;B28,"DIVERGENCIA: CONSUMO MAIOR QUE CONTRATADO","OK"))</f>
        <v/>
      </c>
      <c r="R28" s="14" t="n"/>
      <c r="S28" s="14" t="n"/>
      <c r="T28" s="14" t="n"/>
      <c r="U28" s="14" t="n"/>
      <c r="V28" s="14" t="n"/>
      <c r="W28" s="14" t="n"/>
    </row>
    <row r="29">
      <c r="A29" s="98" t="n"/>
      <c r="B29" s="99" t="n"/>
      <c r="C29" s="346" t="n"/>
      <c r="D29" s="335">
        <f>IF(OR(A29="",B29="",C29=""),"",ROUND(B29*C29,2))</f>
        <v/>
      </c>
      <c r="E29" s="99" t="n"/>
      <c r="F29" s="335">
        <f>IF(OR(A29="",E29="",C29="",NOT(ISNUMBER($U$2))),"",ROUND(E29*C29*$U$2,2))</f>
        <v/>
      </c>
      <c r="G29" s="99" t="n"/>
      <c r="H29" s="335">
        <f>IF(OR(A29="",G29="",C29="",NOT(ISNUMBER($U$3))),"",ROUND(G29*C29*$U$3,2))</f>
        <v/>
      </c>
      <c r="I29" s="99" t="n"/>
      <c r="J29" s="335">
        <f>IF(OR(A29="",I29="",C29="",NOT(ISNUMBER($U$4))),"",ROUND(I29*C29*$U$4,2))</f>
        <v/>
      </c>
      <c r="K29" s="99" t="n"/>
      <c r="L29" s="335">
        <f>IF(OR(A29="",K29="",C29="",NOT(ISNUMBER($U$5))),"",ROUND(K29*C29*$U$5,2))</f>
        <v/>
      </c>
      <c r="M29" s="99" t="n"/>
      <c r="N29" s="335">
        <f>IF(OR(A29="",M29="",C29="",NOT(ISNUMBER($U$6))),"",ROUND(M29*C29*$U$6,2))</f>
        <v/>
      </c>
      <c r="O29" s="90">
        <f>IF(A29="","",SUM(E29,G29,I29,K29,M29))</f>
        <v/>
      </c>
      <c r="P29" s="335">
        <f>IF(A29="","",SUM(F29,H29,J29,L29,N29))</f>
        <v/>
      </c>
      <c r="Q29" s="198">
        <f>IF(A29="","",IF(O29&gt;B29,"DIVERGENCIA: CONSUMO MAIOR QUE CONTRATADO","OK"))</f>
        <v/>
      </c>
      <c r="R29" s="14" t="n"/>
      <c r="S29" s="14" t="n"/>
      <c r="T29" s="14" t="n"/>
      <c r="U29" s="14" t="n"/>
      <c r="V29" s="14" t="n"/>
      <c r="W29" s="14" t="n"/>
    </row>
    <row r="30">
      <c r="A30" s="98" t="n"/>
      <c r="B30" s="99" t="n"/>
      <c r="C30" s="346" t="n"/>
      <c r="D30" s="335">
        <f>IF(OR(A30="",B30="",C30=""),"",ROUND(B30*C30,2))</f>
        <v/>
      </c>
      <c r="E30" s="99" t="n"/>
      <c r="F30" s="335">
        <f>IF(OR(A30="",E30="",C30="",NOT(ISNUMBER($U$2))),"",ROUND(E30*C30*$U$2,2))</f>
        <v/>
      </c>
      <c r="G30" s="99" t="n"/>
      <c r="H30" s="335">
        <f>IF(OR(A30="",G30="",C30="",NOT(ISNUMBER($U$3))),"",ROUND(G30*C30*$U$3,2))</f>
        <v/>
      </c>
      <c r="I30" s="99" t="n"/>
      <c r="J30" s="335">
        <f>IF(OR(A30="",I30="",C30="",NOT(ISNUMBER($U$4))),"",ROUND(I30*C30*$U$4,2))</f>
        <v/>
      </c>
      <c r="K30" s="99" t="n"/>
      <c r="L30" s="335">
        <f>IF(OR(A30="",K30="",C30="",NOT(ISNUMBER($U$5))),"",ROUND(K30*C30*$U$5,2))</f>
        <v/>
      </c>
      <c r="M30" s="99" t="n"/>
      <c r="N30" s="335">
        <f>IF(OR(A30="",M30="",C30="",NOT(ISNUMBER($U$6))),"",ROUND(M30*C30*$U$6,2))</f>
        <v/>
      </c>
      <c r="O30" s="90">
        <f>IF(A30="","",SUM(E30,G30,I30,K30,M30))</f>
        <v/>
      </c>
      <c r="P30" s="335">
        <f>IF(A30="","",SUM(F30,H30,J30,L30,N30))</f>
        <v/>
      </c>
      <c r="Q30" s="198">
        <f>IF(A30="","",IF(O30&gt;B30,"DIVERGENCIA: CONSUMO MAIOR QUE CONTRATADO","OK"))</f>
        <v/>
      </c>
      <c r="R30" s="14" t="n"/>
      <c r="S30" s="14" t="n"/>
      <c r="T30" s="14" t="n"/>
      <c r="U30" s="14" t="n"/>
      <c r="V30" s="14" t="n"/>
      <c r="W30" s="14" t="n"/>
    </row>
    <row r="31">
      <c r="A31" s="98" t="n"/>
      <c r="B31" s="99" t="n"/>
      <c r="C31" s="346" t="n"/>
      <c r="D31" s="335">
        <f>IF(OR(A31="",B31="",C31=""),"",ROUND(B31*C31,2))</f>
        <v/>
      </c>
      <c r="E31" s="99" t="n"/>
      <c r="F31" s="335">
        <f>IF(OR(A31="",E31="",C31="",NOT(ISNUMBER($U$2))),"",ROUND(E31*C31*$U$2,2))</f>
        <v/>
      </c>
      <c r="G31" s="99" t="n"/>
      <c r="H31" s="335">
        <f>IF(OR(A31="",G31="",C31="",NOT(ISNUMBER($U$3))),"",ROUND(G31*C31*$U$3,2))</f>
        <v/>
      </c>
      <c r="I31" s="99" t="n"/>
      <c r="J31" s="335">
        <f>IF(OR(A31="",I31="",C31="",NOT(ISNUMBER($U$4))),"",ROUND(I31*C31*$U$4,2))</f>
        <v/>
      </c>
      <c r="K31" s="99" t="n"/>
      <c r="L31" s="335">
        <f>IF(OR(A31="",K31="",C31="",NOT(ISNUMBER($U$5))),"",ROUND(K31*C31*$U$5,2))</f>
        <v/>
      </c>
      <c r="M31" s="99" t="n"/>
      <c r="N31" s="335">
        <f>IF(OR(A31="",M31="",C31="",NOT(ISNUMBER($U$6))),"",ROUND(M31*C31*$U$6,2))</f>
        <v/>
      </c>
      <c r="O31" s="90">
        <f>IF(A31="","",SUM(E31,G31,I31,K31,M31))</f>
        <v/>
      </c>
      <c r="P31" s="335">
        <f>IF(A31="","",SUM(F31,H31,J31,L31,N31))</f>
        <v/>
      </c>
      <c r="Q31" s="198">
        <f>IF(A31="","",IF(O31&gt;B31,"DIVERGENCIA: CONSUMO MAIOR QUE CONTRATADO","OK"))</f>
        <v/>
      </c>
      <c r="R31" s="14" t="n"/>
      <c r="S31" s="14" t="n"/>
      <c r="T31" s="14" t="n"/>
      <c r="U31" s="14" t="n"/>
      <c r="V31" s="14" t="n"/>
      <c r="W31" s="14" t="n"/>
    </row>
    <row r="32">
      <c r="A32" s="98" t="n"/>
      <c r="B32" s="99" t="n"/>
      <c r="C32" s="346" t="n"/>
      <c r="D32" s="335">
        <f>IF(OR(A32="",B32="",C32=""),"",ROUND(B32*C32,2))</f>
        <v/>
      </c>
      <c r="E32" s="99" t="n"/>
      <c r="F32" s="335">
        <f>IF(OR(A32="",E32="",C32="",NOT(ISNUMBER($U$2))),"",ROUND(E32*C32*$U$2,2))</f>
        <v/>
      </c>
      <c r="G32" s="99" t="n"/>
      <c r="H32" s="335">
        <f>IF(OR(A32="",G32="",C32="",NOT(ISNUMBER($U$3))),"",ROUND(G32*C32*$U$3,2))</f>
        <v/>
      </c>
      <c r="I32" s="99" t="n"/>
      <c r="J32" s="335">
        <f>IF(OR(A32="",I32="",C32="",NOT(ISNUMBER($U$4))),"",ROUND(I32*C32*$U$4,2))</f>
        <v/>
      </c>
      <c r="K32" s="99" t="n"/>
      <c r="L32" s="335">
        <f>IF(OR(A32="",K32="",C32="",NOT(ISNUMBER($U$5))),"",ROUND(K32*C32*$U$5,2))</f>
        <v/>
      </c>
      <c r="M32" s="99" t="n"/>
      <c r="N32" s="335">
        <f>IF(OR(A32="",M32="",C32="",NOT(ISNUMBER($U$6))),"",ROUND(M32*C32*$U$6,2))</f>
        <v/>
      </c>
      <c r="O32" s="90">
        <f>IF(A32="","",SUM(E32,G32,I32,K32,M32))</f>
        <v/>
      </c>
      <c r="P32" s="335">
        <f>IF(A32="","",SUM(F32,H32,J32,L32,N32))</f>
        <v/>
      </c>
      <c r="Q32" s="198">
        <f>IF(A32="","",IF(O32&gt;B32,"DIVERGENCIA: CONSUMO MAIOR QUE CONTRATADO","OK"))</f>
        <v/>
      </c>
      <c r="R32" s="14" t="n"/>
      <c r="S32" s="14" t="n"/>
      <c r="T32" s="14" t="n"/>
      <c r="U32" s="14" t="n"/>
      <c r="V32" s="14" t="n"/>
      <c r="W32" s="14" t="n"/>
    </row>
    <row r="33">
      <c r="A33" s="98" t="n"/>
      <c r="B33" s="99" t="n"/>
      <c r="C33" s="346" t="n"/>
      <c r="D33" s="335">
        <f>IF(OR(A33="",B33="",C33=""),"",ROUND(B33*C33,2))</f>
        <v/>
      </c>
      <c r="E33" s="99" t="n"/>
      <c r="F33" s="335">
        <f>IF(OR(A33="",E33="",C33="",NOT(ISNUMBER($U$2))),"",ROUND(E33*C33*$U$2,2))</f>
        <v/>
      </c>
      <c r="G33" s="99" t="n"/>
      <c r="H33" s="335">
        <f>IF(OR(A33="",G33="",C33="",NOT(ISNUMBER($U$3))),"",ROUND(G33*C33*$U$3,2))</f>
        <v/>
      </c>
      <c r="I33" s="99" t="n"/>
      <c r="J33" s="335">
        <f>IF(OR(A33="",I33="",C33="",NOT(ISNUMBER($U$4))),"",ROUND(I33*C33*$U$4,2))</f>
        <v/>
      </c>
      <c r="K33" s="99" t="n"/>
      <c r="L33" s="335">
        <f>IF(OR(A33="",K33="",C33="",NOT(ISNUMBER($U$5))),"",ROUND(K33*C33*$U$5,2))</f>
        <v/>
      </c>
      <c r="M33" s="99" t="n"/>
      <c r="N33" s="335">
        <f>IF(OR(A33="",M33="",C33="",NOT(ISNUMBER($U$6))),"",ROUND(M33*C33*$U$6,2))</f>
        <v/>
      </c>
      <c r="O33" s="90">
        <f>IF(A33="","",SUM(E33,G33,I33,K33,M33))</f>
        <v/>
      </c>
      <c r="P33" s="335">
        <f>IF(A33="","",SUM(F33,H33,J33,L33,N33))</f>
        <v/>
      </c>
      <c r="Q33" s="198">
        <f>IF(A33="","",IF(O33&gt;B33,"DIVERGENCIA: CONSUMO MAIOR QUE CONTRATADO","OK"))</f>
        <v/>
      </c>
      <c r="R33" s="14" t="n"/>
      <c r="S33" s="14" t="n"/>
      <c r="T33" s="14" t="n"/>
      <c r="U33" s="14" t="n"/>
      <c r="V33" s="14" t="n"/>
      <c r="W33" s="14" t="n"/>
    </row>
    <row r="34">
      <c r="A34" s="98" t="n"/>
      <c r="B34" s="99" t="n"/>
      <c r="C34" s="346" t="n"/>
      <c r="D34" s="335">
        <f>IF(OR(A34="",B34="",C34=""),"",ROUND(B34*C34,2))</f>
        <v/>
      </c>
      <c r="E34" s="99" t="n"/>
      <c r="F34" s="335">
        <f>IF(OR(A34="",E34="",C34="",NOT(ISNUMBER($U$2))),"",ROUND(E34*C34*$U$2,2))</f>
        <v/>
      </c>
      <c r="G34" s="99" t="n"/>
      <c r="H34" s="335">
        <f>IF(OR(A34="",G34="",C34="",NOT(ISNUMBER($U$3))),"",ROUND(G34*C34*$U$3,2))</f>
        <v/>
      </c>
      <c r="I34" s="99" t="n"/>
      <c r="J34" s="335">
        <f>IF(OR(A34="",I34="",C34="",NOT(ISNUMBER($U$4))),"",ROUND(I34*C34*$U$4,2))</f>
        <v/>
      </c>
      <c r="K34" s="99" t="n"/>
      <c r="L34" s="335">
        <f>IF(OR(A34="",K34="",C34="",NOT(ISNUMBER($U$5))),"",ROUND(K34*C34*$U$5,2))</f>
        <v/>
      </c>
      <c r="M34" s="99" t="n"/>
      <c r="N34" s="335">
        <f>IF(OR(A34="",M34="",C34="",NOT(ISNUMBER($U$6))),"",ROUND(M34*C34*$U$6,2))</f>
        <v/>
      </c>
      <c r="O34" s="90">
        <f>IF(A34="","",SUM(E34,G34,I34,K34,M34))</f>
        <v/>
      </c>
      <c r="P34" s="335">
        <f>IF(A34="","",SUM(F34,H34,J34,L34,N34))</f>
        <v/>
      </c>
      <c r="Q34" s="198">
        <f>IF(A34="","",IF(O34&gt;B34,"DIVERGENCIA: CONSUMO MAIOR QUE CONTRATADO","OK"))</f>
        <v/>
      </c>
      <c r="R34" s="14" t="n"/>
      <c r="S34" s="14" t="n"/>
      <c r="T34" s="14" t="n"/>
      <c r="U34" s="14" t="n"/>
      <c r="V34" s="14" t="n"/>
      <c r="W34" s="14" t="n"/>
    </row>
    <row r="35">
      <c r="A35" s="98" t="n"/>
      <c r="B35" s="99" t="n"/>
      <c r="C35" s="346" t="n"/>
      <c r="D35" s="335">
        <f>IF(OR(A35="",B35="",C35=""),"",ROUND(B35*C35,2))</f>
        <v/>
      </c>
      <c r="E35" s="99" t="n"/>
      <c r="F35" s="335">
        <f>IF(OR(A35="",E35="",C35="",NOT(ISNUMBER($U$2))),"",ROUND(E35*C35*$U$2,2))</f>
        <v/>
      </c>
      <c r="G35" s="99" t="n"/>
      <c r="H35" s="335">
        <f>IF(OR(A35="",G35="",C35="",NOT(ISNUMBER($U$3))),"",ROUND(G35*C35*$U$3,2))</f>
        <v/>
      </c>
      <c r="I35" s="99" t="n"/>
      <c r="J35" s="335">
        <f>IF(OR(A35="",I35="",C35="",NOT(ISNUMBER($U$4))),"",ROUND(I35*C35*$U$4,2))</f>
        <v/>
      </c>
      <c r="K35" s="99" t="n"/>
      <c r="L35" s="335">
        <f>IF(OR(A35="",K35="",C35="",NOT(ISNUMBER($U$5))),"",ROUND(K35*C35*$U$5,2))</f>
        <v/>
      </c>
      <c r="M35" s="99" t="n"/>
      <c r="N35" s="335">
        <f>IF(OR(A35="",M35="",C35="",NOT(ISNUMBER($U$6))),"",ROUND(M35*C35*$U$6,2))</f>
        <v/>
      </c>
      <c r="O35" s="90">
        <f>IF(A35="","",SUM(E35,G35,I35,K35,M35))</f>
        <v/>
      </c>
      <c r="P35" s="335">
        <f>IF(A35="","",SUM(F35,H35,J35,L35,N35))</f>
        <v/>
      </c>
      <c r="Q35" s="198">
        <f>IF(A35="","",IF(O35&gt;B35,"DIVERGENCIA: CONSUMO MAIOR QUE CONTRATADO","OK"))</f>
        <v/>
      </c>
      <c r="R35" s="14" t="n"/>
      <c r="S35" s="14" t="n"/>
      <c r="T35" s="14" t="n"/>
      <c r="U35" s="14" t="n"/>
      <c r="V35" s="14" t="n"/>
      <c r="W35" s="14" t="n"/>
    </row>
    <row r="36">
      <c r="A36" s="98" t="n"/>
      <c r="B36" s="99" t="n"/>
      <c r="C36" s="346" t="n"/>
      <c r="D36" s="335">
        <f>IF(OR(A36="",B36="",C36=""),"",ROUND(B36*C36,2))</f>
        <v/>
      </c>
      <c r="E36" s="99" t="n"/>
      <c r="F36" s="335">
        <f>IF(OR(A36="",E36="",C36="",NOT(ISNUMBER($U$2))),"",ROUND(E36*C36*$U$2,2))</f>
        <v/>
      </c>
      <c r="G36" s="99" t="n"/>
      <c r="H36" s="335">
        <f>IF(OR(A36="",G36="",C36="",NOT(ISNUMBER($U$3))),"",ROUND(G36*C36*$U$3,2))</f>
        <v/>
      </c>
      <c r="I36" s="99" t="n"/>
      <c r="J36" s="335">
        <f>IF(OR(A36="",I36="",C36="",NOT(ISNUMBER($U$4))),"",ROUND(I36*C36*$U$4,2))</f>
        <v/>
      </c>
      <c r="K36" s="99" t="n"/>
      <c r="L36" s="335">
        <f>IF(OR(A36="",K36="",C36="",NOT(ISNUMBER($U$5))),"",ROUND(K36*C36*$U$5,2))</f>
        <v/>
      </c>
      <c r="M36" s="99" t="n"/>
      <c r="N36" s="335">
        <f>IF(OR(A36="",M36="",C36="",NOT(ISNUMBER($U$6))),"",ROUND(M36*C36*$U$6,2))</f>
        <v/>
      </c>
      <c r="O36" s="90">
        <f>IF(A36="","",SUM(E36,G36,I36,K36,M36))</f>
        <v/>
      </c>
      <c r="P36" s="335">
        <f>IF(A36="","",SUM(F36,H36,J36,L36,N36))</f>
        <v/>
      </c>
      <c r="Q36" s="198">
        <f>IF(A36="","",IF(O36&gt;B36,"DIVERGENCIA: CONSUMO MAIOR QUE CONTRATADO","OK"))</f>
        <v/>
      </c>
      <c r="R36" s="14" t="n"/>
      <c r="S36" s="14" t="n"/>
      <c r="T36" s="14" t="n"/>
      <c r="U36" s="14" t="n"/>
      <c r="V36" s="14" t="n"/>
      <c r="W36" s="14" t="n"/>
    </row>
    <row r="37">
      <c r="A37" s="98" t="n"/>
      <c r="B37" s="99" t="n"/>
      <c r="C37" s="346" t="n"/>
      <c r="D37" s="335">
        <f>IF(OR(A37="",B37="",C37=""),"",ROUND(B37*C37,2))</f>
        <v/>
      </c>
      <c r="E37" s="99" t="n"/>
      <c r="F37" s="335">
        <f>IF(OR(A37="",E37="",C37="",NOT(ISNUMBER($U$2))),"",ROUND(E37*C37*$U$2,2))</f>
        <v/>
      </c>
      <c r="G37" s="99" t="n"/>
      <c r="H37" s="335">
        <f>IF(OR(A37="",G37="",C37="",NOT(ISNUMBER($U$3))),"",ROUND(G37*C37*$U$3,2))</f>
        <v/>
      </c>
      <c r="I37" s="99" t="n"/>
      <c r="J37" s="335">
        <f>IF(OR(A37="",I37="",C37="",NOT(ISNUMBER($U$4))),"",ROUND(I37*C37*$U$4,2))</f>
        <v/>
      </c>
      <c r="K37" s="99" t="n"/>
      <c r="L37" s="335">
        <f>IF(OR(A37="",K37="",C37="",NOT(ISNUMBER($U$5))),"",ROUND(K37*C37*$U$5,2))</f>
        <v/>
      </c>
      <c r="M37" s="99" t="n"/>
      <c r="N37" s="335">
        <f>IF(OR(A37="",M37="",C37="",NOT(ISNUMBER($U$6))),"",ROUND(M37*C37*$U$6,2))</f>
        <v/>
      </c>
      <c r="O37" s="90">
        <f>IF(A37="","",SUM(E37,G37,I37,K37,M37))</f>
        <v/>
      </c>
      <c r="P37" s="335">
        <f>IF(A37="","",SUM(F37,H37,J37,L37,N37))</f>
        <v/>
      </c>
      <c r="Q37" s="198">
        <f>IF(A37="","",IF(O37&gt;B37,"DIVERGENCIA: CONSUMO MAIOR QUE CONTRATADO","OK"))</f>
        <v/>
      </c>
      <c r="R37" s="14" t="n"/>
      <c r="S37" s="14" t="n"/>
      <c r="T37" s="14" t="n"/>
      <c r="U37" s="14" t="n"/>
      <c r="V37" s="14" t="n"/>
      <c r="W37" s="14" t="n"/>
    </row>
    <row r="38">
      <c r="A38" s="98" t="n"/>
      <c r="B38" s="99" t="n"/>
      <c r="C38" s="346" t="n"/>
      <c r="D38" s="335">
        <f>IF(OR(A38="",B38="",C38=""),"",ROUND(B38*C38,2))</f>
        <v/>
      </c>
      <c r="E38" s="99" t="n"/>
      <c r="F38" s="335">
        <f>IF(OR(A38="",E38="",C38="",NOT(ISNUMBER($U$2))),"",ROUND(E38*C38*$U$2,2))</f>
        <v/>
      </c>
      <c r="G38" s="99" t="n"/>
      <c r="H38" s="335">
        <f>IF(OR(A38="",G38="",C38="",NOT(ISNUMBER($U$3))),"",ROUND(G38*C38*$U$3,2))</f>
        <v/>
      </c>
      <c r="I38" s="99" t="n"/>
      <c r="J38" s="335">
        <f>IF(OR(A38="",I38="",C38="",NOT(ISNUMBER($U$4))),"",ROUND(I38*C38*$U$4,2))</f>
        <v/>
      </c>
      <c r="K38" s="99" t="n"/>
      <c r="L38" s="335">
        <f>IF(OR(A38="",K38="",C38="",NOT(ISNUMBER($U$5))),"",ROUND(K38*C38*$U$5,2))</f>
        <v/>
      </c>
      <c r="M38" s="99" t="n"/>
      <c r="N38" s="335">
        <f>IF(OR(A38="",M38="",C38="",NOT(ISNUMBER($U$6))),"",ROUND(M38*C38*$U$6,2))</f>
        <v/>
      </c>
      <c r="O38" s="90">
        <f>IF(A38="","",SUM(E38,G38,I38,K38,M38))</f>
        <v/>
      </c>
      <c r="P38" s="335">
        <f>IF(A38="","",SUM(F38,H38,J38,L38,N38))</f>
        <v/>
      </c>
      <c r="Q38" s="198">
        <f>IF(A38="","",IF(O38&gt;B38,"DIVERGENCIA: CONSUMO MAIOR QUE CONTRATADO","OK"))</f>
        <v/>
      </c>
      <c r="R38" s="14" t="n"/>
      <c r="S38" s="14" t="n"/>
      <c r="T38" s="14" t="n"/>
      <c r="U38" s="14" t="n"/>
      <c r="V38" s="14" t="n"/>
      <c r="W38" s="14" t="n"/>
    </row>
    <row r="39">
      <c r="A39" s="98" t="n"/>
      <c r="B39" s="99" t="n"/>
      <c r="C39" s="346" t="n"/>
      <c r="D39" s="335">
        <f>IF(OR(A39="",B39="",C39=""),"",ROUND(B39*C39,2))</f>
        <v/>
      </c>
      <c r="E39" s="99" t="n"/>
      <c r="F39" s="335">
        <f>IF(OR(A39="",E39="",C39="",NOT(ISNUMBER($U$2))),"",ROUND(E39*C39*$U$2,2))</f>
        <v/>
      </c>
      <c r="G39" s="99" t="n"/>
      <c r="H39" s="335">
        <f>IF(OR(A39="",G39="",C39="",NOT(ISNUMBER($U$3))),"",ROUND(G39*C39*$U$3,2))</f>
        <v/>
      </c>
      <c r="I39" s="99" t="n"/>
      <c r="J39" s="335">
        <f>IF(OR(A39="",I39="",C39="",NOT(ISNUMBER($U$4))),"",ROUND(I39*C39*$U$4,2))</f>
        <v/>
      </c>
      <c r="K39" s="99" t="n"/>
      <c r="L39" s="335">
        <f>IF(OR(A39="",K39="",C39="",NOT(ISNUMBER($U$5))),"",ROUND(K39*C39*$U$5,2))</f>
        <v/>
      </c>
      <c r="M39" s="99" t="n"/>
      <c r="N39" s="335">
        <f>IF(OR(A39="",M39="",C39="",NOT(ISNUMBER($U$6))),"",ROUND(M39*C39*$U$6,2))</f>
        <v/>
      </c>
      <c r="O39" s="90">
        <f>IF(A39="","",SUM(E39,G39,I39,K39,M39))</f>
        <v/>
      </c>
      <c r="P39" s="335">
        <f>IF(A39="","",SUM(F39,H39,J39,L39,N39))</f>
        <v/>
      </c>
      <c r="Q39" s="198">
        <f>IF(A39="","",IF(O39&gt;B39,"DIVERGENCIA: CONSUMO MAIOR QUE CONTRATADO","OK"))</f>
        <v/>
      </c>
      <c r="R39" s="14" t="n"/>
      <c r="S39" s="14" t="n"/>
      <c r="T39" s="14" t="n"/>
      <c r="U39" s="14" t="n"/>
      <c r="V39" s="14" t="n"/>
      <c r="W39" s="14" t="n"/>
    </row>
    <row r="40">
      <c r="A40" s="98" t="n"/>
      <c r="B40" s="99" t="n"/>
      <c r="C40" s="346" t="n"/>
      <c r="D40" s="335">
        <f>IF(OR(A40="",B40="",C40=""),"",ROUND(B40*C40,2))</f>
        <v/>
      </c>
      <c r="E40" s="99" t="n"/>
      <c r="F40" s="335">
        <f>IF(OR(A40="",E40="",C40="",NOT(ISNUMBER($U$2))),"",ROUND(E40*C40*$U$2,2))</f>
        <v/>
      </c>
      <c r="G40" s="99" t="n"/>
      <c r="H40" s="335">
        <f>IF(OR(A40="",G40="",C40="",NOT(ISNUMBER($U$3))),"",ROUND(G40*C40*$U$3,2))</f>
        <v/>
      </c>
      <c r="I40" s="99" t="n"/>
      <c r="J40" s="335">
        <f>IF(OR(A40="",I40="",C40="",NOT(ISNUMBER($U$4))),"",ROUND(I40*C40*$U$4,2))</f>
        <v/>
      </c>
      <c r="K40" s="99" t="n"/>
      <c r="L40" s="335">
        <f>IF(OR(A40="",K40="",C40="",NOT(ISNUMBER($U$5))),"",ROUND(K40*C40*$U$5,2))</f>
        <v/>
      </c>
      <c r="M40" s="99" t="n"/>
      <c r="N40" s="335">
        <f>IF(OR(A40="",M40="",C40="",NOT(ISNUMBER($U$6))),"",ROUND(M40*C40*$U$6,2))</f>
        <v/>
      </c>
      <c r="O40" s="90">
        <f>IF(A40="","",SUM(E40,G40,I40,K40,M40))</f>
        <v/>
      </c>
      <c r="P40" s="335">
        <f>IF(A40="","",SUM(F40,H40,J40,L40,N40))</f>
        <v/>
      </c>
      <c r="Q40" s="198">
        <f>IF(A40="","",IF(O40&gt;B40,"DIVERGENCIA: CONSUMO MAIOR QUE CONTRATADO","OK"))</f>
        <v/>
      </c>
      <c r="R40" s="14" t="n"/>
      <c r="S40" s="14" t="n"/>
      <c r="T40" s="14" t="n"/>
      <c r="U40" s="14" t="n"/>
      <c r="V40" s="14" t="n"/>
      <c r="W40" s="14" t="n"/>
    </row>
    <row r="41">
      <c r="A41" s="98" t="n"/>
      <c r="B41" s="99" t="n"/>
      <c r="C41" s="346" t="n"/>
      <c r="D41" s="335">
        <f>IF(OR(A41="",B41="",C41=""),"",ROUND(B41*C41,2))</f>
        <v/>
      </c>
      <c r="E41" s="99" t="n"/>
      <c r="F41" s="335">
        <f>IF(OR(A41="",E41="",C41="",NOT(ISNUMBER($U$2))),"",ROUND(E41*C41*$U$2,2))</f>
        <v/>
      </c>
      <c r="G41" s="99" t="n"/>
      <c r="H41" s="335">
        <f>IF(OR(A41="",G41="",C41="",NOT(ISNUMBER($U$3))),"",ROUND(G41*C41*$U$3,2))</f>
        <v/>
      </c>
      <c r="I41" s="99" t="n"/>
      <c r="J41" s="335">
        <f>IF(OR(A41="",I41="",C41="",NOT(ISNUMBER($U$4))),"",ROUND(I41*C41*$U$4,2))</f>
        <v/>
      </c>
      <c r="K41" s="99" t="n"/>
      <c r="L41" s="335">
        <f>IF(OR(A41="",K41="",C41="",NOT(ISNUMBER($U$5))),"",ROUND(K41*C41*$U$5,2))</f>
        <v/>
      </c>
      <c r="M41" s="99" t="n"/>
      <c r="N41" s="335">
        <f>IF(OR(A41="",M41="",C41="",NOT(ISNUMBER($U$6))),"",ROUND(M41*C41*$U$6,2))</f>
        <v/>
      </c>
      <c r="O41" s="90">
        <f>IF(A41="","",SUM(E41,G41,I41,K41,M41))</f>
        <v/>
      </c>
      <c r="P41" s="335">
        <f>IF(A41="","",SUM(F41,H41,J41,L41,N41))</f>
        <v/>
      </c>
      <c r="Q41" s="198">
        <f>IF(A41="","",IF(O41&gt;B41,"DIVERGENCIA: CONSUMO MAIOR QUE CONTRATADO","OK"))</f>
        <v/>
      </c>
      <c r="R41" s="14" t="n"/>
      <c r="S41" s="14" t="n"/>
      <c r="T41" s="14" t="n"/>
      <c r="U41" s="14" t="n"/>
      <c r="V41" s="14" t="n"/>
      <c r="W41" s="14" t="n"/>
    </row>
    <row r="42">
      <c r="A42" s="98" t="n"/>
      <c r="B42" s="99" t="n"/>
      <c r="C42" s="346" t="n"/>
      <c r="D42" s="335">
        <f>IF(OR(A42="",B42="",C42=""),"",ROUND(B42*C42,2))</f>
        <v/>
      </c>
      <c r="E42" s="99" t="n"/>
      <c r="F42" s="335">
        <f>IF(OR(A42="",E42="",C42="",NOT(ISNUMBER($U$2))),"",ROUND(E42*C42*$U$2,2))</f>
        <v/>
      </c>
      <c r="G42" s="99" t="n"/>
      <c r="H42" s="335">
        <f>IF(OR(A42="",G42="",C42="",NOT(ISNUMBER($U$3))),"",ROUND(G42*C42*$U$3,2))</f>
        <v/>
      </c>
      <c r="I42" s="99" t="n"/>
      <c r="J42" s="335">
        <f>IF(OR(A42="",I42="",C42="",NOT(ISNUMBER($U$4))),"",ROUND(I42*C42*$U$4,2))</f>
        <v/>
      </c>
      <c r="K42" s="99" t="n"/>
      <c r="L42" s="335">
        <f>IF(OR(A42="",K42="",C42="",NOT(ISNUMBER($U$5))),"",ROUND(K42*C42*$U$5,2))</f>
        <v/>
      </c>
      <c r="M42" s="99" t="n"/>
      <c r="N42" s="335">
        <f>IF(OR(A42="",M42="",C42="",NOT(ISNUMBER($U$6))),"",ROUND(M42*C42*$U$6,2))</f>
        <v/>
      </c>
      <c r="O42" s="90">
        <f>IF(A42="","",SUM(E42,G42,I42,K42,M42))</f>
        <v/>
      </c>
      <c r="P42" s="335">
        <f>IF(A42="","",SUM(F42,H42,J42,L42,N42))</f>
        <v/>
      </c>
      <c r="Q42" s="198">
        <f>IF(A42="","",IF(O42&gt;B42,"DIVERGENCIA: CONSUMO MAIOR QUE CONTRATADO","OK"))</f>
        <v/>
      </c>
      <c r="R42" s="14" t="n"/>
      <c r="S42" s="14" t="n"/>
      <c r="T42" s="14" t="n"/>
      <c r="U42" s="14" t="n"/>
      <c r="V42" s="14" t="n"/>
      <c r="W42" s="14" t="n"/>
    </row>
    <row r="43">
      <c r="A43" s="98" t="n"/>
      <c r="B43" s="99" t="n"/>
      <c r="C43" s="346" t="n"/>
      <c r="D43" s="335">
        <f>IF(OR(A43="",B43="",C43=""),"",ROUND(B43*C43,2))</f>
        <v/>
      </c>
      <c r="E43" s="99" t="n"/>
      <c r="F43" s="335">
        <f>IF(OR(A43="",E43="",C43="",NOT(ISNUMBER($U$2))),"",ROUND(E43*C43*$U$2,2))</f>
        <v/>
      </c>
      <c r="G43" s="99" t="n"/>
      <c r="H43" s="335">
        <f>IF(OR(A43="",G43="",C43="",NOT(ISNUMBER($U$3))),"",ROUND(G43*C43*$U$3,2))</f>
        <v/>
      </c>
      <c r="I43" s="99" t="n"/>
      <c r="J43" s="335">
        <f>IF(OR(A43="",I43="",C43="",NOT(ISNUMBER($U$4))),"",ROUND(I43*C43*$U$4,2))</f>
        <v/>
      </c>
      <c r="K43" s="99" t="n"/>
      <c r="L43" s="335">
        <f>IF(OR(A43="",K43="",C43="",NOT(ISNUMBER($U$5))),"",ROUND(K43*C43*$U$5,2))</f>
        <v/>
      </c>
      <c r="M43" s="99" t="n"/>
      <c r="N43" s="335">
        <f>IF(OR(A43="",M43="",C43="",NOT(ISNUMBER($U$6))),"",ROUND(M43*C43*$U$6,2))</f>
        <v/>
      </c>
      <c r="O43" s="90">
        <f>IF(A43="","",SUM(E43,G43,I43,K43,M43))</f>
        <v/>
      </c>
      <c r="P43" s="335">
        <f>IF(A43="","",SUM(F43,H43,J43,L43,N43))</f>
        <v/>
      </c>
      <c r="Q43" s="198">
        <f>IF(A43="","",IF(O43&gt;B43,"DIVERGENCIA: CONSUMO MAIOR QUE CONTRATADO","OK"))</f>
        <v/>
      </c>
      <c r="R43" s="14" t="n"/>
      <c r="S43" s="14" t="n"/>
      <c r="T43" s="14" t="n"/>
      <c r="U43" s="14" t="n"/>
      <c r="V43" s="14" t="n"/>
      <c r="W43" s="14" t="n"/>
    </row>
    <row r="44">
      <c r="A44" s="98" t="n"/>
      <c r="B44" s="99" t="n"/>
      <c r="C44" s="346" t="n"/>
      <c r="D44" s="335">
        <f>IF(OR(A44="",B44="",C44=""),"",ROUND(B44*C44,2))</f>
        <v/>
      </c>
      <c r="E44" s="99" t="n"/>
      <c r="F44" s="335">
        <f>IF(OR(A44="",E44="",C44="",NOT(ISNUMBER($U$2))),"",ROUND(E44*C44*$U$2,2))</f>
        <v/>
      </c>
      <c r="G44" s="99" t="n"/>
      <c r="H44" s="335">
        <f>IF(OR(A44="",G44="",C44="",NOT(ISNUMBER($U$3))),"",ROUND(G44*C44*$U$3,2))</f>
        <v/>
      </c>
      <c r="I44" s="99" t="n"/>
      <c r="J44" s="335">
        <f>IF(OR(A44="",I44="",C44="",NOT(ISNUMBER($U$4))),"",ROUND(I44*C44*$U$4,2))</f>
        <v/>
      </c>
      <c r="K44" s="99" t="n"/>
      <c r="L44" s="335">
        <f>IF(OR(A44="",K44="",C44="",NOT(ISNUMBER($U$5))),"",ROUND(K44*C44*$U$5,2))</f>
        <v/>
      </c>
      <c r="M44" s="99" t="n"/>
      <c r="N44" s="335">
        <f>IF(OR(A44="",M44="",C44="",NOT(ISNUMBER($U$6))),"",ROUND(M44*C44*$U$6,2))</f>
        <v/>
      </c>
      <c r="O44" s="90">
        <f>IF(A44="","",SUM(E44,G44,I44,K44,M44))</f>
        <v/>
      </c>
      <c r="P44" s="335">
        <f>IF(A44="","",SUM(F44,H44,J44,L44,N44))</f>
        <v/>
      </c>
      <c r="Q44" s="198">
        <f>IF(A44="","",IF(O44&gt;B44,"DIVERGENCIA: CONSUMO MAIOR QUE CONTRATADO","OK"))</f>
        <v/>
      </c>
      <c r="R44" s="14" t="n"/>
      <c r="S44" s="14" t="n"/>
      <c r="T44" s="14" t="n"/>
      <c r="U44" s="14" t="n"/>
      <c r="V44" s="14" t="n"/>
      <c r="W44" s="14" t="n"/>
    </row>
    <row r="45">
      <c r="A45" s="98" t="n"/>
      <c r="B45" s="99" t="n"/>
      <c r="C45" s="346" t="n"/>
      <c r="D45" s="335">
        <f>IF(OR(A45="",B45="",C45=""),"",ROUND(B45*C45,2))</f>
        <v/>
      </c>
      <c r="E45" s="99" t="n"/>
      <c r="F45" s="335">
        <f>IF(OR(A45="",E45="",C45="",NOT(ISNUMBER($U$2))),"",ROUND(E45*C45*$U$2,2))</f>
        <v/>
      </c>
      <c r="G45" s="99" t="n"/>
      <c r="H45" s="335">
        <f>IF(OR(A45="",G45="",C45="",NOT(ISNUMBER($U$3))),"",ROUND(G45*C45*$U$3,2))</f>
        <v/>
      </c>
      <c r="I45" s="99" t="n"/>
      <c r="J45" s="335">
        <f>IF(OR(A45="",I45="",C45="",NOT(ISNUMBER($U$4))),"",ROUND(I45*C45*$U$4,2))</f>
        <v/>
      </c>
      <c r="K45" s="99" t="n"/>
      <c r="L45" s="335">
        <f>IF(OR(A45="",K45="",C45="",NOT(ISNUMBER($U$5))),"",ROUND(K45*C45*$U$5,2))</f>
        <v/>
      </c>
      <c r="M45" s="99" t="n"/>
      <c r="N45" s="335">
        <f>IF(OR(A45="",M45="",C45="",NOT(ISNUMBER($U$6))),"",ROUND(M45*C45*$U$6,2))</f>
        <v/>
      </c>
      <c r="O45" s="90">
        <f>IF(A45="","",SUM(E45,G45,I45,K45,M45))</f>
        <v/>
      </c>
      <c r="P45" s="335">
        <f>IF(A45="","",SUM(F45,H45,J45,L45,N45))</f>
        <v/>
      </c>
      <c r="Q45" s="198">
        <f>IF(A45="","",IF(O45&gt;B45,"DIVERGENCIA: CONSUMO MAIOR QUE CONTRATADO","OK"))</f>
        <v/>
      </c>
      <c r="R45" s="14" t="n"/>
      <c r="S45" s="14" t="n"/>
      <c r="T45" s="14" t="n"/>
      <c r="U45" s="14" t="n"/>
      <c r="V45" s="14" t="n"/>
      <c r="W45" s="14" t="n"/>
    </row>
    <row r="46">
      <c r="A46" s="98" t="n"/>
      <c r="B46" s="99" t="n"/>
      <c r="C46" s="346" t="n"/>
      <c r="D46" s="335">
        <f>IF(OR(A46="",B46="",C46=""),"",ROUND(B46*C46,2))</f>
        <v/>
      </c>
      <c r="E46" s="99" t="n"/>
      <c r="F46" s="335">
        <f>IF(OR(A46="",E46="",C46="",NOT(ISNUMBER($U$2))),"",ROUND(E46*C46*$U$2,2))</f>
        <v/>
      </c>
      <c r="G46" s="99" t="n"/>
      <c r="H46" s="335">
        <f>IF(OR(A46="",G46="",C46="",NOT(ISNUMBER($U$3))),"",ROUND(G46*C46*$U$3,2))</f>
        <v/>
      </c>
      <c r="I46" s="99" t="n"/>
      <c r="J46" s="335">
        <f>IF(OR(A46="",I46="",C46="",NOT(ISNUMBER($U$4))),"",ROUND(I46*C46*$U$4,2))</f>
        <v/>
      </c>
      <c r="K46" s="99" t="n"/>
      <c r="L46" s="335">
        <f>IF(OR(A46="",K46="",C46="",NOT(ISNUMBER($U$5))),"",ROUND(K46*C46*$U$5,2))</f>
        <v/>
      </c>
      <c r="M46" s="99" t="n"/>
      <c r="N46" s="335">
        <f>IF(OR(A46="",M46="",C46="",NOT(ISNUMBER($U$6))),"",ROUND(M46*C46*$U$6,2))</f>
        <v/>
      </c>
      <c r="O46" s="90">
        <f>IF(A46="","",SUM(E46,G46,I46,K46,M46))</f>
        <v/>
      </c>
      <c r="P46" s="335">
        <f>IF(A46="","",SUM(F46,H46,J46,L46,N46))</f>
        <v/>
      </c>
      <c r="Q46" s="198">
        <f>IF(A46="","",IF(O46&gt;B46,"DIVERGENCIA: CONSUMO MAIOR QUE CONTRATADO","OK"))</f>
        <v/>
      </c>
      <c r="R46" s="14" t="n"/>
      <c r="S46" s="14" t="n"/>
      <c r="T46" s="14" t="n"/>
      <c r="U46" s="14" t="n"/>
      <c r="V46" s="14" t="n"/>
      <c r="W46" s="14" t="n"/>
    </row>
    <row r="47">
      <c r="A47" s="98" t="n"/>
      <c r="B47" s="99" t="n"/>
      <c r="C47" s="346" t="n"/>
      <c r="D47" s="335">
        <f>IF(OR(A47="",B47="",C47=""),"",ROUND(B47*C47,2))</f>
        <v/>
      </c>
      <c r="E47" s="99" t="n"/>
      <c r="F47" s="335">
        <f>IF(OR(A47="",E47="",C47="",NOT(ISNUMBER($U$2))),"",ROUND(E47*C47*$U$2,2))</f>
        <v/>
      </c>
      <c r="G47" s="99" t="n"/>
      <c r="H47" s="335">
        <f>IF(OR(A47="",G47="",C47="",NOT(ISNUMBER($U$3))),"",ROUND(G47*C47*$U$3,2))</f>
        <v/>
      </c>
      <c r="I47" s="99" t="n"/>
      <c r="J47" s="335">
        <f>IF(OR(A47="",I47="",C47="",NOT(ISNUMBER($U$4))),"",ROUND(I47*C47*$U$4,2))</f>
        <v/>
      </c>
      <c r="K47" s="99" t="n"/>
      <c r="L47" s="335">
        <f>IF(OR(A47="",K47="",C47="",NOT(ISNUMBER($U$5))),"",ROUND(K47*C47*$U$5,2))</f>
        <v/>
      </c>
      <c r="M47" s="99" t="n"/>
      <c r="N47" s="335">
        <f>IF(OR(A47="",M47="",C47="",NOT(ISNUMBER($U$6))),"",ROUND(M47*C47*$U$6,2))</f>
        <v/>
      </c>
      <c r="O47" s="90">
        <f>IF(A47="","",SUM(E47,G47,I47,K47,M47))</f>
        <v/>
      </c>
      <c r="P47" s="335">
        <f>IF(A47="","",SUM(F47,H47,J47,L47,N47))</f>
        <v/>
      </c>
      <c r="Q47" s="198">
        <f>IF(A47="","",IF(O47&gt;B47,"DIVERGENCIA: CONSUMO MAIOR QUE CONTRATADO","OK"))</f>
        <v/>
      </c>
      <c r="R47" s="14" t="n"/>
      <c r="S47" s="14" t="n"/>
      <c r="T47" s="14" t="n"/>
      <c r="U47" s="14" t="n"/>
      <c r="V47" s="14" t="n"/>
      <c r="W47" s="14" t="n"/>
    </row>
    <row r="48">
      <c r="A48" s="98" t="n"/>
      <c r="B48" s="99" t="n"/>
      <c r="C48" s="346" t="n"/>
      <c r="D48" s="335">
        <f>IF(OR(A48="",B48="",C48=""),"",ROUND(B48*C48,2))</f>
        <v/>
      </c>
      <c r="E48" s="99" t="n"/>
      <c r="F48" s="335">
        <f>IF(OR(A48="",E48="",C48="",NOT(ISNUMBER($U$2))),"",ROUND(E48*C48*$U$2,2))</f>
        <v/>
      </c>
      <c r="G48" s="99" t="n"/>
      <c r="H48" s="335">
        <f>IF(OR(A48="",G48="",C48="",NOT(ISNUMBER($U$3))),"",ROUND(G48*C48*$U$3,2))</f>
        <v/>
      </c>
      <c r="I48" s="99" t="n"/>
      <c r="J48" s="335">
        <f>IF(OR(A48="",I48="",C48="",NOT(ISNUMBER($U$4))),"",ROUND(I48*C48*$U$4,2))</f>
        <v/>
      </c>
      <c r="K48" s="99" t="n"/>
      <c r="L48" s="335">
        <f>IF(OR(A48="",K48="",C48="",NOT(ISNUMBER($U$5))),"",ROUND(K48*C48*$U$5,2))</f>
        <v/>
      </c>
      <c r="M48" s="99" t="n"/>
      <c r="N48" s="335">
        <f>IF(OR(A48="",M48="",C48="",NOT(ISNUMBER($U$6))),"",ROUND(M48*C48*$U$6,2))</f>
        <v/>
      </c>
      <c r="O48" s="90">
        <f>IF(A48="","",SUM(E48,G48,I48,K48,M48))</f>
        <v/>
      </c>
      <c r="P48" s="335">
        <f>IF(A48="","",SUM(F48,H48,J48,L48,N48))</f>
        <v/>
      </c>
      <c r="Q48" s="198">
        <f>IF(A48="","",IF(O48&gt;B48,"DIVERGENCIA: CONSUMO MAIOR QUE CONTRATADO","OK"))</f>
        <v/>
      </c>
      <c r="R48" s="14" t="n"/>
      <c r="S48" s="14" t="n"/>
      <c r="T48" s="14" t="n"/>
      <c r="U48" s="14" t="n"/>
      <c r="V48" s="14" t="n"/>
      <c r="W48" s="14" t="n"/>
    </row>
    <row r="49">
      <c r="A49" s="98" t="n"/>
      <c r="B49" s="99" t="n"/>
      <c r="C49" s="346" t="n"/>
      <c r="D49" s="335">
        <f>IF(OR(A49="",B49="",C49=""),"",ROUND(B49*C49,2))</f>
        <v/>
      </c>
      <c r="E49" s="99" t="n"/>
      <c r="F49" s="335">
        <f>IF(OR(A49="",E49="",C49="",NOT(ISNUMBER($U$2))),"",ROUND(E49*C49*$U$2,2))</f>
        <v/>
      </c>
      <c r="G49" s="99" t="n"/>
      <c r="H49" s="335">
        <f>IF(OR(A49="",G49="",C49="",NOT(ISNUMBER($U$3))),"",ROUND(G49*C49*$U$3,2))</f>
        <v/>
      </c>
      <c r="I49" s="99" t="n"/>
      <c r="J49" s="335">
        <f>IF(OR(A49="",I49="",C49="",NOT(ISNUMBER($U$4))),"",ROUND(I49*C49*$U$4,2))</f>
        <v/>
      </c>
      <c r="K49" s="99" t="n"/>
      <c r="L49" s="335">
        <f>IF(OR(A49="",K49="",C49="",NOT(ISNUMBER($U$5))),"",ROUND(K49*C49*$U$5,2))</f>
        <v/>
      </c>
      <c r="M49" s="99" t="n"/>
      <c r="N49" s="335">
        <f>IF(OR(A49="",M49="",C49="",NOT(ISNUMBER($U$6))),"",ROUND(M49*C49*$U$6,2))</f>
        <v/>
      </c>
      <c r="O49" s="90">
        <f>IF(A49="","",SUM(E49,G49,I49,K49,M49))</f>
        <v/>
      </c>
      <c r="P49" s="335">
        <f>IF(A49="","",SUM(F49,H49,J49,L49,N49))</f>
        <v/>
      </c>
      <c r="Q49" s="198">
        <f>IF(A49="","",IF(O49&gt;B49,"DIVERGENCIA: CONSUMO MAIOR QUE CONTRATADO","OK"))</f>
        <v/>
      </c>
      <c r="R49" s="14" t="n"/>
      <c r="S49" s="14" t="n"/>
      <c r="T49" s="14" t="n"/>
      <c r="U49" s="14" t="n"/>
      <c r="V49" s="14" t="n"/>
      <c r="W49" s="14" t="n"/>
    </row>
    <row r="50">
      <c r="A50" s="98" t="n"/>
      <c r="B50" s="99" t="n"/>
      <c r="C50" s="346" t="n"/>
      <c r="D50" s="335">
        <f>IF(OR(A50="",B50="",C50=""),"",ROUND(B50*C50,2))</f>
        <v/>
      </c>
      <c r="E50" s="99" t="n"/>
      <c r="F50" s="335">
        <f>IF(OR(A50="",E50="",C50="",NOT(ISNUMBER($U$2))),"",ROUND(E50*C50*$U$2,2))</f>
        <v/>
      </c>
      <c r="G50" s="99" t="n"/>
      <c r="H50" s="335">
        <f>IF(OR(A50="",G50="",C50="",NOT(ISNUMBER($U$3))),"",ROUND(G50*C50*$U$3,2))</f>
        <v/>
      </c>
      <c r="I50" s="99" t="n"/>
      <c r="J50" s="335">
        <f>IF(OR(A50="",I50="",C50="",NOT(ISNUMBER($U$4))),"",ROUND(I50*C50*$U$4,2))</f>
        <v/>
      </c>
      <c r="K50" s="99" t="n"/>
      <c r="L50" s="335">
        <f>IF(OR(A50="",K50="",C50="",NOT(ISNUMBER($U$5))),"",ROUND(K50*C50*$U$5,2))</f>
        <v/>
      </c>
      <c r="M50" s="99" t="n"/>
      <c r="N50" s="335">
        <f>IF(OR(A50="",M50="",C50="",NOT(ISNUMBER($U$6))),"",ROUND(M50*C50*$U$6,2))</f>
        <v/>
      </c>
      <c r="O50" s="90">
        <f>IF(A50="","",SUM(E50,G50,I50,K50,M50))</f>
        <v/>
      </c>
      <c r="P50" s="335">
        <f>IF(A50="","",SUM(F50,H50,J50,L50,N50))</f>
        <v/>
      </c>
      <c r="Q50" s="198">
        <f>IF(A50="","",IF(O50&gt;B50,"DIVERGENCIA: CONSUMO MAIOR QUE CONTRATADO","OK"))</f>
        <v/>
      </c>
      <c r="R50" s="14" t="n"/>
      <c r="S50" s="14" t="n"/>
      <c r="T50" s="14" t="n"/>
      <c r="U50" s="14" t="n"/>
      <c r="V50" s="14" t="n"/>
      <c r="W50" s="14" t="n"/>
    </row>
    <row r="51">
      <c r="A51" s="98" t="n"/>
      <c r="B51" s="99" t="n"/>
      <c r="C51" s="346" t="n"/>
      <c r="D51" s="335">
        <f>IF(OR(A51="",B51="",C51=""),"",ROUND(B51*C51,2))</f>
        <v/>
      </c>
      <c r="E51" s="99" t="n"/>
      <c r="F51" s="335">
        <f>IF(OR(A51="",E51="",C51="",NOT(ISNUMBER($U$2))),"",ROUND(E51*C51*$U$2,2))</f>
        <v/>
      </c>
      <c r="G51" s="99" t="n"/>
      <c r="H51" s="335">
        <f>IF(OR(A51="",G51="",C51="",NOT(ISNUMBER($U$3))),"",ROUND(G51*C51*$U$3,2))</f>
        <v/>
      </c>
      <c r="I51" s="99" t="n"/>
      <c r="J51" s="335">
        <f>IF(OR(A51="",I51="",C51="",NOT(ISNUMBER($U$4))),"",ROUND(I51*C51*$U$4,2))</f>
        <v/>
      </c>
      <c r="K51" s="99" t="n"/>
      <c r="L51" s="335">
        <f>IF(OR(A51="",K51="",C51="",NOT(ISNUMBER($U$5))),"",ROUND(K51*C51*$U$5,2))</f>
        <v/>
      </c>
      <c r="M51" s="99" t="n"/>
      <c r="N51" s="335">
        <f>IF(OR(A51="",M51="",C51="",NOT(ISNUMBER($U$6))),"",ROUND(M51*C51*$U$6,2))</f>
        <v/>
      </c>
      <c r="O51" s="90">
        <f>IF(A51="","",SUM(E51,G51,I51,K51,M51))</f>
        <v/>
      </c>
      <c r="P51" s="335">
        <f>IF(A51="","",SUM(F51,H51,J51,L51,N51))</f>
        <v/>
      </c>
      <c r="Q51" s="198">
        <f>IF(A51="","",IF(O51&gt;B51,"DIVERGENCIA: CONSUMO MAIOR QUE CONTRATADO","OK"))</f>
        <v/>
      </c>
      <c r="R51" s="14" t="n"/>
      <c r="S51" s="14" t="n"/>
      <c r="T51" s="14" t="n"/>
      <c r="U51" s="14" t="n"/>
      <c r="V51" s="14" t="n"/>
      <c r="W51" s="14" t="n"/>
    </row>
    <row r="52">
      <c r="A52" s="98" t="n"/>
      <c r="B52" s="99" t="n"/>
      <c r="C52" s="346" t="n"/>
      <c r="D52" s="335">
        <f>IF(OR(A52="",B52="",C52=""),"",ROUND(B52*C52,2))</f>
        <v/>
      </c>
      <c r="E52" s="99" t="n"/>
      <c r="F52" s="335">
        <f>IF(OR(A52="",E52="",C52="",NOT(ISNUMBER($U$2))),"",ROUND(E52*C52*$U$2,2))</f>
        <v/>
      </c>
      <c r="G52" s="99" t="n"/>
      <c r="H52" s="335">
        <f>IF(OR(A52="",G52="",C52="",NOT(ISNUMBER($U$3))),"",ROUND(G52*C52*$U$3,2))</f>
        <v/>
      </c>
      <c r="I52" s="99" t="n"/>
      <c r="J52" s="335">
        <f>IF(OR(A52="",I52="",C52="",NOT(ISNUMBER($U$4))),"",ROUND(I52*C52*$U$4,2))</f>
        <v/>
      </c>
      <c r="K52" s="99" t="n"/>
      <c r="L52" s="335">
        <f>IF(OR(A52="",K52="",C52="",NOT(ISNUMBER($U$5))),"",ROUND(K52*C52*$U$5,2))</f>
        <v/>
      </c>
      <c r="M52" s="99" t="n"/>
      <c r="N52" s="335">
        <f>IF(OR(A52="",M52="",C52="",NOT(ISNUMBER($U$6))),"",ROUND(M52*C52*$U$6,2))</f>
        <v/>
      </c>
      <c r="O52" s="90">
        <f>IF(A52="","",SUM(E52,G52,I52,K52,M52))</f>
        <v/>
      </c>
      <c r="P52" s="335">
        <f>IF(A52="","",SUM(F52,H52,J52,L52,N52))</f>
        <v/>
      </c>
      <c r="Q52" s="198">
        <f>IF(A52="","",IF(O52&gt;B52,"DIVERGENCIA: CONSUMO MAIOR QUE CONTRATADO","OK"))</f>
        <v/>
      </c>
      <c r="R52" s="14" t="n"/>
      <c r="S52" s="14" t="n"/>
      <c r="T52" s="14" t="n"/>
      <c r="U52" s="14" t="n"/>
      <c r="V52" s="14" t="n"/>
      <c r="W52" s="14" t="n"/>
    </row>
    <row r="53">
      <c r="A53" s="98" t="n"/>
      <c r="B53" s="99" t="n"/>
      <c r="C53" s="346" t="n"/>
      <c r="D53" s="335">
        <f>IF(OR(A53="",B53="",C53=""),"",ROUND(B53*C53,2))</f>
        <v/>
      </c>
      <c r="E53" s="99" t="n"/>
      <c r="F53" s="335">
        <f>IF(OR(A53="",E53="",C53="",NOT(ISNUMBER($U$2))),"",ROUND(E53*C53*$U$2,2))</f>
        <v/>
      </c>
      <c r="G53" s="99" t="n"/>
      <c r="H53" s="335">
        <f>IF(OR(A53="",G53="",C53="",NOT(ISNUMBER($U$3))),"",ROUND(G53*C53*$U$3,2))</f>
        <v/>
      </c>
      <c r="I53" s="99" t="n"/>
      <c r="J53" s="335">
        <f>IF(OR(A53="",I53="",C53="",NOT(ISNUMBER($U$4))),"",ROUND(I53*C53*$U$4,2))</f>
        <v/>
      </c>
      <c r="K53" s="99" t="n"/>
      <c r="L53" s="335">
        <f>IF(OR(A53="",K53="",C53="",NOT(ISNUMBER($U$5))),"",ROUND(K53*C53*$U$5,2))</f>
        <v/>
      </c>
      <c r="M53" s="99" t="n"/>
      <c r="N53" s="335">
        <f>IF(OR(A53="",M53="",C53="",NOT(ISNUMBER($U$6))),"",ROUND(M53*C53*$U$6,2))</f>
        <v/>
      </c>
      <c r="O53" s="90">
        <f>IF(A53="","",SUM(E53,G53,I53,K53,M53))</f>
        <v/>
      </c>
      <c r="P53" s="335">
        <f>IF(A53="","",SUM(F53,H53,J53,L53,N53))</f>
        <v/>
      </c>
      <c r="Q53" s="198">
        <f>IF(A53="","",IF(O53&gt;B53,"DIVERGENCIA: CONSUMO MAIOR QUE CONTRATADO","OK"))</f>
        <v/>
      </c>
      <c r="R53" s="14" t="n"/>
      <c r="S53" s="14" t="n"/>
      <c r="T53" s="14" t="n"/>
      <c r="U53" s="14" t="n"/>
      <c r="V53" s="14" t="n"/>
      <c r="W53" s="14" t="n"/>
    </row>
    <row r="54">
      <c r="A54" s="98" t="n"/>
      <c r="B54" s="99" t="n"/>
      <c r="C54" s="346" t="n"/>
      <c r="D54" s="335">
        <f>IF(OR(A54="",B54="",C54=""),"",ROUND(B54*C54,2))</f>
        <v/>
      </c>
      <c r="E54" s="99" t="n"/>
      <c r="F54" s="335">
        <f>IF(OR(A54="",E54="",C54="",NOT(ISNUMBER($U$2))),"",ROUND(E54*C54*$U$2,2))</f>
        <v/>
      </c>
      <c r="G54" s="99" t="n"/>
      <c r="H54" s="335">
        <f>IF(OR(A54="",G54="",C54="",NOT(ISNUMBER($U$3))),"",ROUND(G54*C54*$U$3,2))</f>
        <v/>
      </c>
      <c r="I54" s="99" t="n"/>
      <c r="J54" s="335">
        <f>IF(OR(A54="",I54="",C54="",NOT(ISNUMBER($U$4))),"",ROUND(I54*C54*$U$4,2))</f>
        <v/>
      </c>
      <c r="K54" s="99" t="n"/>
      <c r="L54" s="335">
        <f>IF(OR(A54="",K54="",C54="",NOT(ISNUMBER($U$5))),"",ROUND(K54*C54*$U$5,2))</f>
        <v/>
      </c>
      <c r="M54" s="99" t="n"/>
      <c r="N54" s="335">
        <f>IF(OR(A54="",M54="",C54="",NOT(ISNUMBER($U$6))),"",ROUND(M54*C54*$U$6,2))</f>
        <v/>
      </c>
      <c r="O54" s="90">
        <f>IF(A54="","",SUM(E54,G54,I54,K54,M54))</f>
        <v/>
      </c>
      <c r="P54" s="335">
        <f>IF(A54="","",SUM(F54,H54,J54,L54,N54))</f>
        <v/>
      </c>
      <c r="Q54" s="198">
        <f>IF(A54="","",IF(O54&gt;B54,"DIVERGENCIA: CONSUMO MAIOR QUE CONTRATADO","OK"))</f>
        <v/>
      </c>
      <c r="R54" s="14" t="n"/>
      <c r="S54" s="14" t="n"/>
      <c r="T54" s="14" t="n"/>
      <c r="U54" s="14" t="n"/>
      <c r="V54" s="14" t="n"/>
      <c r="W54" s="14" t="n"/>
    </row>
    <row r="55">
      <c r="A55" s="98" t="n"/>
      <c r="B55" s="99" t="n"/>
      <c r="C55" s="346" t="n"/>
      <c r="D55" s="335">
        <f>IF(OR(A55="",B55="",C55=""),"",ROUND(B55*C55,2))</f>
        <v/>
      </c>
      <c r="E55" s="99" t="n"/>
      <c r="F55" s="335">
        <f>IF(OR(A55="",E55="",C55="",NOT(ISNUMBER($U$2))),"",ROUND(E55*C55*$U$2,2))</f>
        <v/>
      </c>
      <c r="G55" s="99" t="n"/>
      <c r="H55" s="335">
        <f>IF(OR(A55="",G55="",C55="",NOT(ISNUMBER($U$3))),"",ROUND(G55*C55*$U$3,2))</f>
        <v/>
      </c>
      <c r="I55" s="99" t="n"/>
      <c r="J55" s="335">
        <f>IF(OR(A55="",I55="",C55="",NOT(ISNUMBER($U$4))),"",ROUND(I55*C55*$U$4,2))</f>
        <v/>
      </c>
      <c r="K55" s="99" t="n"/>
      <c r="L55" s="335">
        <f>IF(OR(A55="",K55="",C55="",NOT(ISNUMBER($U$5))),"",ROUND(K55*C55*$U$5,2))</f>
        <v/>
      </c>
      <c r="M55" s="99" t="n"/>
      <c r="N55" s="335">
        <f>IF(OR(A55="",M55="",C55="",NOT(ISNUMBER($U$6))),"",ROUND(M55*C55*$U$6,2))</f>
        <v/>
      </c>
      <c r="O55" s="90">
        <f>IF(A55="","",SUM(E55,G55,I55,K55,M55))</f>
        <v/>
      </c>
      <c r="P55" s="335">
        <f>IF(A55="","",SUM(F55,H55,J55,L55,N55))</f>
        <v/>
      </c>
      <c r="Q55" s="198">
        <f>IF(A55="","",IF(O55&gt;B55,"DIVERGENCIA: CONSUMO MAIOR QUE CONTRATADO","OK"))</f>
        <v/>
      </c>
      <c r="R55" s="14" t="n"/>
      <c r="S55" s="14" t="n"/>
      <c r="T55" s="14" t="n"/>
      <c r="U55" s="14" t="n"/>
      <c r="V55" s="14" t="n"/>
      <c r="W55" s="14" t="n"/>
    </row>
    <row r="56">
      <c r="A56" s="98" t="n"/>
      <c r="B56" s="99" t="n"/>
      <c r="C56" s="346" t="n"/>
      <c r="D56" s="335">
        <f>IF(OR(A56="",B56="",C56=""),"",ROUND(B56*C56,2))</f>
        <v/>
      </c>
      <c r="E56" s="99" t="n"/>
      <c r="F56" s="335">
        <f>IF(OR(A56="",E56="",C56="",NOT(ISNUMBER($U$2))),"",ROUND(E56*C56*$U$2,2))</f>
        <v/>
      </c>
      <c r="G56" s="99" t="n"/>
      <c r="H56" s="335">
        <f>IF(OR(A56="",G56="",C56="",NOT(ISNUMBER($U$3))),"",ROUND(G56*C56*$U$3,2))</f>
        <v/>
      </c>
      <c r="I56" s="99" t="n"/>
      <c r="J56" s="335">
        <f>IF(OR(A56="",I56="",C56="",NOT(ISNUMBER($U$4))),"",ROUND(I56*C56*$U$4,2))</f>
        <v/>
      </c>
      <c r="K56" s="99" t="n"/>
      <c r="L56" s="335">
        <f>IF(OR(A56="",K56="",C56="",NOT(ISNUMBER($U$5))),"",ROUND(K56*C56*$U$5,2))</f>
        <v/>
      </c>
      <c r="M56" s="99" t="n"/>
      <c r="N56" s="335">
        <f>IF(OR(A56="",M56="",C56="",NOT(ISNUMBER($U$6))),"",ROUND(M56*C56*$U$6,2))</f>
        <v/>
      </c>
      <c r="O56" s="90">
        <f>IF(A56="","",SUM(E56,G56,I56,K56,M56))</f>
        <v/>
      </c>
      <c r="P56" s="335">
        <f>IF(A56="","",SUM(F56,H56,J56,L56,N56))</f>
        <v/>
      </c>
      <c r="Q56" s="198">
        <f>IF(A56="","",IF(O56&gt;B56,"DIVERGENCIA: CONSUMO MAIOR QUE CONTRATADO","OK"))</f>
        <v/>
      </c>
      <c r="R56" s="14" t="n"/>
      <c r="S56" s="14" t="n"/>
      <c r="T56" s="14" t="n"/>
      <c r="U56" s="14" t="n"/>
      <c r="V56" s="14" t="n"/>
      <c r="W56" s="14" t="n"/>
    </row>
    <row r="57">
      <c r="A57" s="98" t="n"/>
      <c r="B57" s="99" t="n"/>
      <c r="C57" s="346" t="n"/>
      <c r="D57" s="335">
        <f>IF(OR(A57="",B57="",C57=""),"",ROUND(B57*C57,2))</f>
        <v/>
      </c>
      <c r="E57" s="99" t="n"/>
      <c r="F57" s="335">
        <f>IF(OR(A57="",E57="",C57="",NOT(ISNUMBER($U$2))),"",ROUND(E57*C57*$U$2,2))</f>
        <v/>
      </c>
      <c r="G57" s="99" t="n"/>
      <c r="H57" s="335">
        <f>IF(OR(A57="",G57="",C57="",NOT(ISNUMBER($U$3))),"",ROUND(G57*C57*$U$3,2))</f>
        <v/>
      </c>
      <c r="I57" s="99" t="n"/>
      <c r="J57" s="335">
        <f>IF(OR(A57="",I57="",C57="",NOT(ISNUMBER($U$4))),"",ROUND(I57*C57*$U$4,2))</f>
        <v/>
      </c>
      <c r="K57" s="99" t="n"/>
      <c r="L57" s="335">
        <f>IF(OR(A57="",K57="",C57="",NOT(ISNUMBER($U$5))),"",ROUND(K57*C57*$U$5,2))</f>
        <v/>
      </c>
      <c r="M57" s="99" t="n"/>
      <c r="N57" s="335">
        <f>IF(OR(A57="",M57="",C57="",NOT(ISNUMBER($U$6))),"",ROUND(M57*C57*$U$6,2))</f>
        <v/>
      </c>
      <c r="O57" s="90">
        <f>IF(A57="","",SUM(E57,G57,I57,K57,M57))</f>
        <v/>
      </c>
      <c r="P57" s="335">
        <f>IF(A57="","",SUM(F57,H57,J57,L57,N57))</f>
        <v/>
      </c>
      <c r="Q57" s="198">
        <f>IF(A57="","",IF(O57&gt;B57,"DIVERGENCIA: CONSUMO MAIOR QUE CONTRATADO","OK"))</f>
        <v/>
      </c>
      <c r="R57" s="14" t="n"/>
      <c r="S57" s="14" t="n"/>
      <c r="T57" s="14" t="n"/>
      <c r="U57" s="14" t="n"/>
      <c r="V57" s="14" t="n"/>
      <c r="W57" s="14" t="n"/>
    </row>
    <row r="58">
      <c r="A58" s="98" t="n"/>
      <c r="B58" s="99" t="n"/>
      <c r="C58" s="346" t="n"/>
      <c r="D58" s="335">
        <f>IF(OR(A58="",B58="",C58=""),"",ROUND(B58*C58,2))</f>
        <v/>
      </c>
      <c r="E58" s="99" t="n"/>
      <c r="F58" s="335">
        <f>IF(OR(A58="",E58="",C58="",NOT(ISNUMBER($U$2))),"",ROUND(E58*C58*$U$2,2))</f>
        <v/>
      </c>
      <c r="G58" s="99" t="n"/>
      <c r="H58" s="335">
        <f>IF(OR(A58="",G58="",C58="",NOT(ISNUMBER($U$3))),"",ROUND(G58*C58*$U$3,2))</f>
        <v/>
      </c>
      <c r="I58" s="99" t="n"/>
      <c r="J58" s="335">
        <f>IF(OR(A58="",I58="",C58="",NOT(ISNUMBER($U$4))),"",ROUND(I58*C58*$U$4,2))</f>
        <v/>
      </c>
      <c r="K58" s="99" t="n"/>
      <c r="L58" s="335">
        <f>IF(OR(A58="",K58="",C58="",NOT(ISNUMBER($U$5))),"",ROUND(K58*C58*$U$5,2))</f>
        <v/>
      </c>
      <c r="M58" s="99" t="n"/>
      <c r="N58" s="335">
        <f>IF(OR(A58="",M58="",C58="",NOT(ISNUMBER($U$6))),"",ROUND(M58*C58*$U$6,2))</f>
        <v/>
      </c>
      <c r="O58" s="90">
        <f>IF(A58="","",SUM(E58,G58,I58,K58,M58))</f>
        <v/>
      </c>
      <c r="P58" s="335">
        <f>IF(A58="","",SUM(F58,H58,J58,L58,N58))</f>
        <v/>
      </c>
      <c r="Q58" s="198">
        <f>IF(A58="","",IF(O58&gt;B58,"DIVERGENCIA: CONSUMO MAIOR QUE CONTRATADO","OK"))</f>
        <v/>
      </c>
      <c r="R58" s="14" t="n"/>
      <c r="S58" s="14" t="n"/>
      <c r="T58" s="14" t="n"/>
      <c r="U58" s="14" t="n"/>
      <c r="V58" s="14" t="n"/>
      <c r="W58" s="14" t="n"/>
    </row>
    <row r="59">
      <c r="A59" s="98" t="n"/>
      <c r="B59" s="99" t="n"/>
      <c r="C59" s="346" t="n"/>
      <c r="D59" s="335">
        <f>IF(OR(A59="",B59="",C59=""),"",ROUND(B59*C59,2))</f>
        <v/>
      </c>
      <c r="E59" s="99" t="n"/>
      <c r="F59" s="335">
        <f>IF(OR(A59="",E59="",C59="",NOT(ISNUMBER($U$2))),"",ROUND(E59*C59*$U$2,2))</f>
        <v/>
      </c>
      <c r="G59" s="99" t="n"/>
      <c r="H59" s="335">
        <f>IF(OR(A59="",G59="",C59="",NOT(ISNUMBER($U$3))),"",ROUND(G59*C59*$U$3,2))</f>
        <v/>
      </c>
      <c r="I59" s="99" t="n"/>
      <c r="J59" s="335">
        <f>IF(OR(A59="",I59="",C59="",NOT(ISNUMBER($U$4))),"",ROUND(I59*C59*$U$4,2))</f>
        <v/>
      </c>
      <c r="K59" s="99" t="n"/>
      <c r="L59" s="335">
        <f>IF(OR(A59="",K59="",C59="",NOT(ISNUMBER($U$5))),"",ROUND(K59*C59*$U$5,2))</f>
        <v/>
      </c>
      <c r="M59" s="99" t="n"/>
      <c r="N59" s="335">
        <f>IF(OR(A59="",M59="",C59="",NOT(ISNUMBER($U$6))),"",ROUND(M59*C59*$U$6,2))</f>
        <v/>
      </c>
      <c r="O59" s="90">
        <f>IF(A59="","",SUM(E59,G59,I59,K59,M59))</f>
        <v/>
      </c>
      <c r="P59" s="335">
        <f>IF(A59="","",SUM(F59,H59,J59,L59,N59))</f>
        <v/>
      </c>
      <c r="Q59" s="198">
        <f>IF(A59="","",IF(O59&gt;B59,"DIVERGENCIA: CONSUMO MAIOR QUE CONTRATADO","OK"))</f>
        <v/>
      </c>
      <c r="R59" s="14" t="n"/>
      <c r="S59" s="14" t="n"/>
      <c r="T59" s="14" t="n"/>
      <c r="U59" s="14" t="n"/>
      <c r="V59" s="14" t="n"/>
      <c r="W59" s="14" t="n"/>
    </row>
    <row r="60">
      <c r="A60" s="98" t="n"/>
      <c r="B60" s="99" t="n"/>
      <c r="C60" s="346" t="n"/>
      <c r="D60" s="335">
        <f>IF(OR(A60="",B60="",C60=""),"",ROUND(B60*C60,2))</f>
        <v/>
      </c>
      <c r="E60" s="99" t="n"/>
      <c r="F60" s="335">
        <f>IF(OR(A60="",E60="",C60="",NOT(ISNUMBER($U$2))),"",ROUND(E60*C60*$U$2,2))</f>
        <v/>
      </c>
      <c r="G60" s="99" t="n"/>
      <c r="H60" s="335">
        <f>IF(OR(A60="",G60="",C60="",NOT(ISNUMBER($U$3))),"",ROUND(G60*C60*$U$3,2))</f>
        <v/>
      </c>
      <c r="I60" s="99" t="n"/>
      <c r="J60" s="335">
        <f>IF(OR(A60="",I60="",C60="",NOT(ISNUMBER($U$4))),"",ROUND(I60*C60*$U$4,2))</f>
        <v/>
      </c>
      <c r="K60" s="99" t="n"/>
      <c r="L60" s="335">
        <f>IF(OR(A60="",K60="",C60="",NOT(ISNUMBER($U$5))),"",ROUND(K60*C60*$U$5,2))</f>
        <v/>
      </c>
      <c r="M60" s="99" t="n"/>
      <c r="N60" s="335">
        <f>IF(OR(A60="",M60="",C60="",NOT(ISNUMBER($U$6))),"",ROUND(M60*C60*$U$6,2))</f>
        <v/>
      </c>
      <c r="O60" s="90">
        <f>IF(A60="","",SUM(E60,G60,I60,K60,M60))</f>
        <v/>
      </c>
      <c r="P60" s="335">
        <f>IF(A60="","",SUM(F60,H60,J60,L60,N60))</f>
        <v/>
      </c>
      <c r="Q60" s="198">
        <f>IF(A60="","",IF(O60&gt;B60,"DIVERGENCIA: CONSUMO MAIOR QUE CONTRATADO","OK"))</f>
        <v/>
      </c>
      <c r="R60" s="14" t="n"/>
      <c r="S60" s="14" t="n"/>
      <c r="T60" s="14" t="n"/>
      <c r="U60" s="14" t="n"/>
      <c r="V60" s="14" t="n"/>
      <c r="W60" s="14" t="n"/>
    </row>
    <row r="61">
      <c r="A61" s="98" t="n"/>
      <c r="B61" s="99" t="n"/>
      <c r="C61" s="346" t="n"/>
      <c r="D61" s="335">
        <f>IF(OR(A61="",B61="",C61=""),"",ROUND(B61*C61,2))</f>
        <v/>
      </c>
      <c r="E61" s="99" t="n"/>
      <c r="F61" s="335">
        <f>IF(OR(A61="",E61="",C61="",NOT(ISNUMBER($U$2))),"",ROUND(E61*C61*$U$2,2))</f>
        <v/>
      </c>
      <c r="G61" s="99" t="n"/>
      <c r="H61" s="335">
        <f>IF(OR(A61="",G61="",C61="",NOT(ISNUMBER($U$3))),"",ROUND(G61*C61*$U$3,2))</f>
        <v/>
      </c>
      <c r="I61" s="99" t="n"/>
      <c r="J61" s="335">
        <f>IF(OR(A61="",I61="",C61="",NOT(ISNUMBER($U$4))),"",ROUND(I61*C61*$U$4,2))</f>
        <v/>
      </c>
      <c r="K61" s="99" t="n"/>
      <c r="L61" s="335">
        <f>IF(OR(A61="",K61="",C61="",NOT(ISNUMBER($U$5))),"",ROUND(K61*C61*$U$5,2))</f>
        <v/>
      </c>
      <c r="M61" s="99" t="n"/>
      <c r="N61" s="335">
        <f>IF(OR(A61="",M61="",C61="",NOT(ISNUMBER($U$6))),"",ROUND(M61*C61*$U$6,2))</f>
        <v/>
      </c>
      <c r="O61" s="90">
        <f>IF(A61="","",SUM(E61,G61,I61,K61,M61))</f>
        <v/>
      </c>
      <c r="P61" s="335">
        <f>IF(A61="","",SUM(F61,H61,J61,L61,N61))</f>
        <v/>
      </c>
      <c r="Q61" s="198">
        <f>IF(A61="","",IF(O61&gt;B61,"DIVERGENCIA: CONSUMO MAIOR QUE CONTRATADO","OK"))</f>
        <v/>
      </c>
      <c r="R61" s="14" t="n"/>
      <c r="S61" s="14" t="n"/>
      <c r="T61" s="14" t="n"/>
      <c r="U61" s="14" t="n"/>
      <c r="V61" s="14" t="n"/>
      <c r="W61" s="14" t="n"/>
    </row>
    <row r="62">
      <c r="A62" s="98" t="n"/>
      <c r="B62" s="99" t="n"/>
      <c r="C62" s="346" t="n"/>
      <c r="D62" s="335">
        <f>IF(OR(A62="",B62="",C62=""),"",ROUND(B62*C62,2))</f>
        <v/>
      </c>
      <c r="E62" s="99" t="n"/>
      <c r="F62" s="335">
        <f>IF(OR(A62="",E62="",C62="",NOT(ISNUMBER($U$2))),"",ROUND(E62*C62*$U$2,2))</f>
        <v/>
      </c>
      <c r="G62" s="99" t="n"/>
      <c r="H62" s="335">
        <f>IF(OR(A62="",G62="",C62="",NOT(ISNUMBER($U$3))),"",ROUND(G62*C62*$U$3,2))</f>
        <v/>
      </c>
      <c r="I62" s="99" t="n"/>
      <c r="J62" s="335">
        <f>IF(OR(A62="",I62="",C62="",NOT(ISNUMBER($U$4))),"",ROUND(I62*C62*$U$4,2))</f>
        <v/>
      </c>
      <c r="K62" s="99" t="n"/>
      <c r="L62" s="335">
        <f>IF(OR(A62="",K62="",C62="",NOT(ISNUMBER($U$5))),"",ROUND(K62*C62*$U$5,2))</f>
        <v/>
      </c>
      <c r="M62" s="99" t="n"/>
      <c r="N62" s="335">
        <f>IF(OR(A62="",M62="",C62="",NOT(ISNUMBER($U$6))),"",ROUND(M62*C62*$U$6,2))</f>
        <v/>
      </c>
      <c r="O62" s="90">
        <f>IF(A62="","",SUM(E62,G62,I62,K62,M62))</f>
        <v/>
      </c>
      <c r="P62" s="335">
        <f>IF(A62="","",SUM(F62,H62,J62,L62,N62))</f>
        <v/>
      </c>
      <c r="Q62" s="198">
        <f>IF(A62="","",IF(O62&gt;B62,"DIVERGENCIA: CONSUMO MAIOR QUE CONTRATADO","OK"))</f>
        <v/>
      </c>
      <c r="R62" s="14" t="n"/>
      <c r="S62" s="14" t="n"/>
      <c r="T62" s="14" t="n"/>
      <c r="U62" s="14" t="n"/>
      <c r="V62" s="14" t="n"/>
      <c r="W62" s="14" t="n"/>
    </row>
    <row r="63">
      <c r="A63" s="98" t="n"/>
      <c r="B63" s="99" t="n"/>
      <c r="C63" s="346" t="n"/>
      <c r="D63" s="335">
        <f>IF(OR(A63="",B63="",C63=""),"",ROUND(B63*C63,2))</f>
        <v/>
      </c>
      <c r="E63" s="99" t="n"/>
      <c r="F63" s="335">
        <f>IF(OR(A63="",E63="",C63="",NOT(ISNUMBER($U$2))),"",ROUND(E63*C63*$U$2,2))</f>
        <v/>
      </c>
      <c r="G63" s="99" t="n"/>
      <c r="H63" s="335">
        <f>IF(OR(A63="",G63="",C63="",NOT(ISNUMBER($U$3))),"",ROUND(G63*C63*$U$3,2))</f>
        <v/>
      </c>
      <c r="I63" s="99" t="n"/>
      <c r="J63" s="335">
        <f>IF(OR(A63="",I63="",C63="",NOT(ISNUMBER($U$4))),"",ROUND(I63*C63*$U$4,2))</f>
        <v/>
      </c>
      <c r="K63" s="99" t="n"/>
      <c r="L63" s="335">
        <f>IF(OR(A63="",K63="",C63="",NOT(ISNUMBER($U$5))),"",ROUND(K63*C63*$U$5,2))</f>
        <v/>
      </c>
      <c r="M63" s="99" t="n"/>
      <c r="N63" s="335">
        <f>IF(OR(A63="",M63="",C63="",NOT(ISNUMBER($U$6))),"",ROUND(M63*C63*$U$6,2))</f>
        <v/>
      </c>
      <c r="O63" s="90">
        <f>IF(A63="","",SUM(E63,G63,I63,K63,M63))</f>
        <v/>
      </c>
      <c r="P63" s="335">
        <f>IF(A63="","",SUM(F63,H63,J63,L63,N63))</f>
        <v/>
      </c>
      <c r="Q63" s="198">
        <f>IF(A63="","",IF(O63&gt;B63,"DIVERGENCIA: CONSUMO MAIOR QUE CONTRATADO","OK"))</f>
        <v/>
      </c>
      <c r="R63" s="14" t="n"/>
      <c r="S63" s="14" t="n"/>
      <c r="T63" s="14" t="n"/>
      <c r="U63" s="14" t="n"/>
      <c r="V63" s="14" t="n"/>
      <c r="W63" s="14" t="n"/>
    </row>
    <row r="64">
      <c r="A64" s="98" t="n"/>
      <c r="B64" s="99" t="n"/>
      <c r="C64" s="346" t="n"/>
      <c r="D64" s="335">
        <f>IF(OR(A64="",B64="",C64=""),"",ROUND(B64*C64,2))</f>
        <v/>
      </c>
      <c r="E64" s="99" t="n"/>
      <c r="F64" s="335">
        <f>IF(OR(A64="",E64="",C64="",NOT(ISNUMBER($U$2))),"",ROUND(E64*C64*$U$2,2))</f>
        <v/>
      </c>
      <c r="G64" s="99" t="n"/>
      <c r="H64" s="335">
        <f>IF(OR(A64="",G64="",C64="",NOT(ISNUMBER($U$3))),"",ROUND(G64*C64*$U$3,2))</f>
        <v/>
      </c>
      <c r="I64" s="99" t="n"/>
      <c r="J64" s="335">
        <f>IF(OR(A64="",I64="",C64="",NOT(ISNUMBER($U$4))),"",ROUND(I64*C64*$U$4,2))</f>
        <v/>
      </c>
      <c r="K64" s="99" t="n"/>
      <c r="L64" s="335">
        <f>IF(OR(A64="",K64="",C64="",NOT(ISNUMBER($U$5))),"",ROUND(K64*C64*$U$5,2))</f>
        <v/>
      </c>
      <c r="M64" s="99" t="n"/>
      <c r="N64" s="335">
        <f>IF(OR(A64="",M64="",C64="",NOT(ISNUMBER($U$6))),"",ROUND(M64*C64*$U$6,2))</f>
        <v/>
      </c>
      <c r="O64" s="90">
        <f>IF(A64="","",SUM(E64,G64,I64,K64,M64))</f>
        <v/>
      </c>
      <c r="P64" s="335">
        <f>IF(A64="","",SUM(F64,H64,J64,L64,N64))</f>
        <v/>
      </c>
      <c r="Q64" s="198">
        <f>IF(A64="","",IF(O64&gt;B64,"DIVERGENCIA: CONSUMO MAIOR QUE CONTRATADO","OK"))</f>
        <v/>
      </c>
      <c r="R64" s="14" t="n"/>
      <c r="S64" s="14" t="n"/>
      <c r="T64" s="14" t="n"/>
      <c r="U64" s="14" t="n"/>
      <c r="V64" s="14" t="n"/>
      <c r="W64" s="14" t="n"/>
    </row>
    <row r="65">
      <c r="A65" s="98" t="n"/>
      <c r="B65" s="99" t="n"/>
      <c r="C65" s="346" t="n"/>
      <c r="D65" s="335">
        <f>IF(OR(A65="",B65="",C65=""),"",ROUND(B65*C65,2))</f>
        <v/>
      </c>
      <c r="E65" s="99" t="n"/>
      <c r="F65" s="335">
        <f>IF(OR(A65="",E65="",C65="",NOT(ISNUMBER($U$2))),"",ROUND(E65*C65*$U$2,2))</f>
        <v/>
      </c>
      <c r="G65" s="99" t="n"/>
      <c r="H65" s="335">
        <f>IF(OR(A65="",G65="",C65="",NOT(ISNUMBER($U$3))),"",ROUND(G65*C65*$U$3,2))</f>
        <v/>
      </c>
      <c r="I65" s="99" t="n"/>
      <c r="J65" s="335">
        <f>IF(OR(A65="",I65="",C65="",NOT(ISNUMBER($U$4))),"",ROUND(I65*C65*$U$4,2))</f>
        <v/>
      </c>
      <c r="K65" s="99" t="n"/>
      <c r="L65" s="335">
        <f>IF(OR(A65="",K65="",C65="",NOT(ISNUMBER($U$5))),"",ROUND(K65*C65*$U$5,2))</f>
        <v/>
      </c>
      <c r="M65" s="99" t="n"/>
      <c r="N65" s="335">
        <f>IF(OR(A65="",M65="",C65="",NOT(ISNUMBER($U$6))),"",ROUND(M65*C65*$U$6,2))</f>
        <v/>
      </c>
      <c r="O65" s="90">
        <f>IF(A65="","",SUM(E65,G65,I65,K65,M65))</f>
        <v/>
      </c>
      <c r="P65" s="335">
        <f>IF(A65="","",SUM(F65,H65,J65,L65,N65))</f>
        <v/>
      </c>
      <c r="Q65" s="198">
        <f>IF(A65="","",IF(O65&gt;B65,"DIVERGENCIA: CONSUMO MAIOR QUE CONTRATADO","OK"))</f>
        <v/>
      </c>
      <c r="R65" s="14" t="n"/>
      <c r="S65" s="14" t="n"/>
      <c r="T65" s="14" t="n"/>
      <c r="U65" s="14" t="n"/>
      <c r="V65" s="14" t="n"/>
      <c r="W65" s="14" t="n"/>
    </row>
    <row r="66">
      <c r="A66" s="98" t="n"/>
      <c r="B66" s="99" t="n"/>
      <c r="C66" s="346" t="n"/>
      <c r="D66" s="335">
        <f>IF(OR(A66="",B66="",C66=""),"",ROUND(B66*C66,2))</f>
        <v/>
      </c>
      <c r="E66" s="99" t="n"/>
      <c r="F66" s="335">
        <f>IF(OR(A66="",E66="",C66="",NOT(ISNUMBER($U$2))),"",ROUND(E66*C66*$U$2,2))</f>
        <v/>
      </c>
      <c r="G66" s="99" t="n"/>
      <c r="H66" s="335">
        <f>IF(OR(A66="",G66="",C66="",NOT(ISNUMBER($U$3))),"",ROUND(G66*C66*$U$3,2))</f>
        <v/>
      </c>
      <c r="I66" s="99" t="n"/>
      <c r="J66" s="335">
        <f>IF(OR(A66="",I66="",C66="",NOT(ISNUMBER($U$4))),"",ROUND(I66*C66*$U$4,2))</f>
        <v/>
      </c>
      <c r="K66" s="99" t="n"/>
      <c r="L66" s="335">
        <f>IF(OR(A66="",K66="",C66="",NOT(ISNUMBER($U$5))),"",ROUND(K66*C66*$U$5,2))</f>
        <v/>
      </c>
      <c r="M66" s="99" t="n"/>
      <c r="N66" s="335">
        <f>IF(OR(A66="",M66="",C66="",NOT(ISNUMBER($U$6))),"",ROUND(M66*C66*$U$6,2))</f>
        <v/>
      </c>
      <c r="O66" s="90">
        <f>IF(A66="","",SUM(E66,G66,I66,K66,M66))</f>
        <v/>
      </c>
      <c r="P66" s="335">
        <f>IF(A66="","",SUM(F66,H66,J66,L66,N66))</f>
        <v/>
      </c>
      <c r="Q66" s="198">
        <f>IF(A66="","",IF(O66&gt;B66,"DIVERGENCIA: CONSUMO MAIOR QUE CONTRATADO","OK"))</f>
        <v/>
      </c>
      <c r="R66" s="14" t="n"/>
      <c r="S66" s="14" t="n"/>
      <c r="T66" s="14" t="n"/>
      <c r="U66" s="14" t="n"/>
      <c r="V66" s="14" t="n"/>
      <c r="W66" s="14" t="n"/>
    </row>
    <row r="67">
      <c r="A67" s="98" t="n"/>
      <c r="B67" s="99" t="n"/>
      <c r="C67" s="346" t="n"/>
      <c r="D67" s="335">
        <f>IF(OR(A67="",B67="",C67=""),"",ROUND(B67*C67,2))</f>
        <v/>
      </c>
      <c r="E67" s="99" t="n"/>
      <c r="F67" s="335">
        <f>IF(OR(A67="",E67="",C67="",NOT(ISNUMBER($U$2))),"",ROUND(E67*C67*$U$2,2))</f>
        <v/>
      </c>
      <c r="G67" s="99" t="n"/>
      <c r="H67" s="335">
        <f>IF(OR(A67="",G67="",C67="",NOT(ISNUMBER($U$3))),"",ROUND(G67*C67*$U$3,2))</f>
        <v/>
      </c>
      <c r="I67" s="99" t="n"/>
      <c r="J67" s="335">
        <f>IF(OR(A67="",I67="",C67="",NOT(ISNUMBER($U$4))),"",ROUND(I67*C67*$U$4,2))</f>
        <v/>
      </c>
      <c r="K67" s="99" t="n"/>
      <c r="L67" s="335">
        <f>IF(OR(A67="",K67="",C67="",NOT(ISNUMBER($U$5))),"",ROUND(K67*C67*$U$5,2))</f>
        <v/>
      </c>
      <c r="M67" s="99" t="n"/>
      <c r="N67" s="335">
        <f>IF(OR(A67="",M67="",C67="",NOT(ISNUMBER($U$6))),"",ROUND(M67*C67*$U$6,2))</f>
        <v/>
      </c>
      <c r="O67" s="90">
        <f>IF(A67="","",SUM(E67,G67,I67,K67,M67))</f>
        <v/>
      </c>
      <c r="P67" s="335">
        <f>IF(A67="","",SUM(F67,H67,J67,L67,N67))</f>
        <v/>
      </c>
      <c r="Q67" s="198">
        <f>IF(A67="","",IF(O67&gt;B67,"DIVERGENCIA: CONSUMO MAIOR QUE CONTRATADO","OK"))</f>
        <v/>
      </c>
      <c r="R67" s="14" t="n"/>
      <c r="S67" s="14" t="n"/>
      <c r="T67" s="14" t="n"/>
      <c r="U67" s="14" t="n"/>
      <c r="V67" s="14" t="n"/>
      <c r="W67" s="14" t="n"/>
    </row>
    <row r="68">
      <c r="A68" s="98" t="n"/>
      <c r="B68" s="99" t="n"/>
      <c r="C68" s="346" t="n"/>
      <c r="D68" s="335">
        <f>IF(OR(A68="",B68="",C68=""),"",ROUND(B68*C68,2))</f>
        <v/>
      </c>
      <c r="E68" s="99" t="n"/>
      <c r="F68" s="335">
        <f>IF(OR(A68="",E68="",C68="",NOT(ISNUMBER($U$2))),"",ROUND(E68*C68*$U$2,2))</f>
        <v/>
      </c>
      <c r="G68" s="99" t="n"/>
      <c r="H68" s="335">
        <f>IF(OR(A68="",G68="",C68="",NOT(ISNUMBER($U$3))),"",ROUND(G68*C68*$U$3,2))</f>
        <v/>
      </c>
      <c r="I68" s="99" t="n"/>
      <c r="J68" s="335">
        <f>IF(OR(A68="",I68="",C68="",NOT(ISNUMBER($U$4))),"",ROUND(I68*C68*$U$4,2))</f>
        <v/>
      </c>
      <c r="K68" s="99" t="n"/>
      <c r="L68" s="335">
        <f>IF(OR(A68="",K68="",C68="",NOT(ISNUMBER($U$5))),"",ROUND(K68*C68*$U$5,2))</f>
        <v/>
      </c>
      <c r="M68" s="99" t="n"/>
      <c r="N68" s="335">
        <f>IF(OR(A68="",M68="",C68="",NOT(ISNUMBER($U$6))),"",ROUND(M68*C68*$U$6,2))</f>
        <v/>
      </c>
      <c r="O68" s="90">
        <f>IF(A68="","",SUM(E68,G68,I68,K68,M68))</f>
        <v/>
      </c>
      <c r="P68" s="335">
        <f>IF(A68="","",SUM(F68,H68,J68,L68,N68))</f>
        <v/>
      </c>
      <c r="Q68" s="198">
        <f>IF(A68="","",IF(O68&gt;B68,"DIVERGENCIA: CONSUMO MAIOR QUE CONTRATADO","OK"))</f>
        <v/>
      </c>
      <c r="R68" s="14" t="n"/>
      <c r="S68" s="14" t="n"/>
      <c r="T68" s="14" t="n"/>
      <c r="U68" s="14" t="n"/>
      <c r="V68" s="14" t="n"/>
      <c r="W68" s="14" t="n"/>
    </row>
    <row r="69">
      <c r="A69" s="98" t="n"/>
      <c r="B69" s="99" t="n"/>
      <c r="C69" s="346" t="n"/>
      <c r="D69" s="335">
        <f>IF(OR(A69="",B69="",C69=""),"",ROUND(B69*C69,2))</f>
        <v/>
      </c>
      <c r="E69" s="99" t="n"/>
      <c r="F69" s="335">
        <f>IF(OR(A69="",E69="",C69="",NOT(ISNUMBER($U$2))),"",ROUND(E69*C69*$U$2,2))</f>
        <v/>
      </c>
      <c r="G69" s="99" t="n"/>
      <c r="H69" s="335">
        <f>IF(OR(A69="",G69="",C69="",NOT(ISNUMBER($U$3))),"",ROUND(G69*C69*$U$3,2))</f>
        <v/>
      </c>
      <c r="I69" s="99" t="n"/>
      <c r="J69" s="335">
        <f>IF(OR(A69="",I69="",C69="",NOT(ISNUMBER($U$4))),"",ROUND(I69*C69*$U$4,2))</f>
        <v/>
      </c>
      <c r="K69" s="99" t="n"/>
      <c r="L69" s="335">
        <f>IF(OR(A69="",K69="",C69="",NOT(ISNUMBER($U$5))),"",ROUND(K69*C69*$U$5,2))</f>
        <v/>
      </c>
      <c r="M69" s="99" t="n"/>
      <c r="N69" s="335">
        <f>IF(OR(A69="",M69="",C69="",NOT(ISNUMBER($U$6))),"",ROUND(M69*C69*$U$6,2))</f>
        <v/>
      </c>
      <c r="O69" s="90">
        <f>IF(A69="","",SUM(E69,G69,I69,K69,M69))</f>
        <v/>
      </c>
      <c r="P69" s="335">
        <f>IF(A69="","",SUM(F69,H69,J69,L69,N69))</f>
        <v/>
      </c>
      <c r="Q69" s="198">
        <f>IF(A69="","",IF(O69&gt;B69,"DIVERGENCIA: CONSUMO MAIOR QUE CONTRATADO","OK"))</f>
        <v/>
      </c>
      <c r="R69" s="14" t="n"/>
      <c r="S69" s="14" t="n"/>
      <c r="T69" s="14" t="n"/>
      <c r="U69" s="14" t="n"/>
      <c r="V69" s="14" t="n"/>
      <c r="W69" s="14" t="n"/>
    </row>
    <row r="70">
      <c r="A70" s="98" t="n"/>
      <c r="B70" s="99" t="n"/>
      <c r="C70" s="346" t="n"/>
      <c r="D70" s="335">
        <f>IF(OR(A70="",B70="",C70=""),"",ROUND(B70*C70,2))</f>
        <v/>
      </c>
      <c r="E70" s="99" t="n"/>
      <c r="F70" s="335">
        <f>IF(OR(A70="",E70="",C70="",NOT(ISNUMBER($U$2))),"",ROUND(E70*C70*$U$2,2))</f>
        <v/>
      </c>
      <c r="G70" s="99" t="n"/>
      <c r="H70" s="335">
        <f>IF(OR(A70="",G70="",C70="",NOT(ISNUMBER($U$3))),"",ROUND(G70*C70*$U$3,2))</f>
        <v/>
      </c>
      <c r="I70" s="99" t="n"/>
      <c r="J70" s="335">
        <f>IF(OR(A70="",I70="",C70="",NOT(ISNUMBER($U$4))),"",ROUND(I70*C70*$U$4,2))</f>
        <v/>
      </c>
      <c r="K70" s="99" t="n"/>
      <c r="L70" s="335">
        <f>IF(OR(A70="",K70="",C70="",NOT(ISNUMBER($U$5))),"",ROUND(K70*C70*$U$5,2))</f>
        <v/>
      </c>
      <c r="M70" s="99" t="n"/>
      <c r="N70" s="335">
        <f>IF(OR(A70="",M70="",C70="",NOT(ISNUMBER($U$6))),"",ROUND(M70*C70*$U$6,2))</f>
        <v/>
      </c>
      <c r="O70" s="90">
        <f>IF(A70="","",SUM(E70,G70,I70,K70,M70))</f>
        <v/>
      </c>
      <c r="P70" s="335">
        <f>IF(A70="","",SUM(F70,H70,J70,L70,N70))</f>
        <v/>
      </c>
      <c r="Q70" s="198">
        <f>IF(A70="","",IF(O70&gt;B70,"DIVERGENCIA: CONSUMO MAIOR QUE CONTRATADO","OK"))</f>
        <v/>
      </c>
      <c r="R70" s="14" t="n"/>
      <c r="S70" s="14" t="n"/>
      <c r="T70" s="14" t="n"/>
      <c r="U70" s="14" t="n"/>
      <c r="V70" s="14" t="n"/>
      <c r="W70" s="14" t="n"/>
    </row>
    <row r="71">
      <c r="A71" s="98" t="n"/>
      <c r="B71" s="99" t="n"/>
      <c r="C71" s="346" t="n"/>
      <c r="D71" s="335">
        <f>IF(OR(A71="",B71="",C71=""),"",ROUND(B71*C71,2))</f>
        <v/>
      </c>
      <c r="E71" s="99" t="n"/>
      <c r="F71" s="335">
        <f>IF(OR(A71="",E71="",C71="",NOT(ISNUMBER($U$2))),"",ROUND(E71*C71*$U$2,2))</f>
        <v/>
      </c>
      <c r="G71" s="99" t="n"/>
      <c r="H71" s="335">
        <f>IF(OR(A71="",G71="",C71="",NOT(ISNUMBER($U$3))),"",ROUND(G71*C71*$U$3,2))</f>
        <v/>
      </c>
      <c r="I71" s="99" t="n"/>
      <c r="J71" s="335">
        <f>IF(OR(A71="",I71="",C71="",NOT(ISNUMBER($U$4))),"",ROUND(I71*C71*$U$4,2))</f>
        <v/>
      </c>
      <c r="K71" s="99" t="n"/>
      <c r="L71" s="335">
        <f>IF(OR(A71="",K71="",C71="",NOT(ISNUMBER($U$5))),"",ROUND(K71*C71*$U$5,2))</f>
        <v/>
      </c>
      <c r="M71" s="99" t="n"/>
      <c r="N71" s="335">
        <f>IF(OR(A71="",M71="",C71="",NOT(ISNUMBER($U$6))),"",ROUND(M71*C71*$U$6,2))</f>
        <v/>
      </c>
      <c r="O71" s="90">
        <f>IF(A71="","",SUM(E71,G71,I71,K71,M71))</f>
        <v/>
      </c>
      <c r="P71" s="335">
        <f>IF(A71="","",SUM(F71,H71,J71,L71,N71))</f>
        <v/>
      </c>
      <c r="Q71" s="198">
        <f>IF(A71="","",IF(O71&gt;B71,"DIVERGENCIA: CONSUMO MAIOR QUE CONTRATADO","OK"))</f>
        <v/>
      </c>
      <c r="R71" s="14" t="n"/>
      <c r="S71" s="14" t="n"/>
      <c r="T71" s="14" t="n"/>
      <c r="U71" s="14" t="n"/>
      <c r="V71" s="14" t="n"/>
      <c r="W71" s="14" t="n"/>
    </row>
    <row r="72">
      <c r="A72" s="98" t="n"/>
      <c r="B72" s="99" t="n"/>
      <c r="C72" s="346" t="n"/>
      <c r="D72" s="335">
        <f>IF(OR(A72="",B72="",C72=""),"",ROUND(B72*C72,2))</f>
        <v/>
      </c>
      <c r="E72" s="99" t="n"/>
      <c r="F72" s="335">
        <f>IF(OR(A72="",E72="",C72="",NOT(ISNUMBER($U$2))),"",ROUND(E72*C72*$U$2,2))</f>
        <v/>
      </c>
      <c r="G72" s="99" t="n"/>
      <c r="H72" s="335">
        <f>IF(OR(A72="",G72="",C72="",NOT(ISNUMBER($U$3))),"",ROUND(G72*C72*$U$3,2))</f>
        <v/>
      </c>
      <c r="I72" s="99" t="n"/>
      <c r="J72" s="335">
        <f>IF(OR(A72="",I72="",C72="",NOT(ISNUMBER($U$4))),"",ROUND(I72*C72*$U$4,2))</f>
        <v/>
      </c>
      <c r="K72" s="99" t="n"/>
      <c r="L72" s="335">
        <f>IF(OR(A72="",K72="",C72="",NOT(ISNUMBER($U$5))),"",ROUND(K72*C72*$U$5,2))</f>
        <v/>
      </c>
      <c r="M72" s="99" t="n"/>
      <c r="N72" s="335">
        <f>IF(OR(A72="",M72="",C72="",NOT(ISNUMBER($U$6))),"",ROUND(M72*C72*$U$6,2))</f>
        <v/>
      </c>
      <c r="O72" s="90">
        <f>IF(A72="","",SUM(E72,G72,I72,K72,M72))</f>
        <v/>
      </c>
      <c r="P72" s="335">
        <f>IF(A72="","",SUM(F72,H72,J72,L72,N72))</f>
        <v/>
      </c>
      <c r="Q72" s="198">
        <f>IF(A72="","",IF(O72&gt;B72,"DIVERGENCIA: CONSUMO MAIOR QUE CONTRATADO","OK"))</f>
        <v/>
      </c>
      <c r="R72" s="14" t="n"/>
      <c r="S72" s="14" t="n"/>
      <c r="T72" s="14" t="n"/>
      <c r="U72" s="14" t="n"/>
      <c r="V72" s="14" t="n"/>
      <c r="W72" s="14" t="n"/>
    </row>
    <row r="73">
      <c r="A73" s="98" t="n"/>
      <c r="B73" s="99" t="n"/>
      <c r="C73" s="346" t="n"/>
      <c r="D73" s="335">
        <f>IF(OR(A73="",B73="",C73=""),"",ROUND(B73*C73,2))</f>
        <v/>
      </c>
      <c r="E73" s="99" t="n"/>
      <c r="F73" s="335">
        <f>IF(OR(A73="",E73="",C73="",NOT(ISNUMBER($U$2))),"",ROUND(E73*C73*$U$2,2))</f>
        <v/>
      </c>
      <c r="G73" s="99" t="n"/>
      <c r="H73" s="335">
        <f>IF(OR(A73="",G73="",C73="",NOT(ISNUMBER($U$3))),"",ROUND(G73*C73*$U$3,2))</f>
        <v/>
      </c>
      <c r="I73" s="99" t="n"/>
      <c r="J73" s="335">
        <f>IF(OR(A73="",I73="",C73="",NOT(ISNUMBER($U$4))),"",ROUND(I73*C73*$U$4,2))</f>
        <v/>
      </c>
      <c r="K73" s="99" t="n"/>
      <c r="L73" s="335">
        <f>IF(OR(A73="",K73="",C73="",NOT(ISNUMBER($U$5))),"",ROUND(K73*C73*$U$5,2))</f>
        <v/>
      </c>
      <c r="M73" s="99" t="n"/>
      <c r="N73" s="335">
        <f>IF(OR(A73="",M73="",C73="",NOT(ISNUMBER($U$6))),"",ROUND(M73*C73*$U$6,2))</f>
        <v/>
      </c>
      <c r="O73" s="90">
        <f>IF(A73="","",SUM(E73,G73,I73,K73,M73))</f>
        <v/>
      </c>
      <c r="P73" s="335">
        <f>IF(A73="","",SUM(F73,H73,J73,L73,N73))</f>
        <v/>
      </c>
      <c r="Q73" s="198">
        <f>IF(A73="","",IF(O73&gt;B73,"DIVERGENCIA: CONSUMO MAIOR QUE CONTRATADO","OK"))</f>
        <v/>
      </c>
      <c r="R73" s="14" t="n"/>
      <c r="S73" s="14" t="n"/>
      <c r="T73" s="14" t="n"/>
      <c r="U73" s="14" t="n"/>
      <c r="V73" s="14" t="n"/>
      <c r="W73" s="14" t="n"/>
    </row>
    <row r="74">
      <c r="A74" s="98" t="n"/>
      <c r="B74" s="99" t="n"/>
      <c r="C74" s="346" t="n"/>
      <c r="D74" s="335">
        <f>IF(OR(A74="",B74="",C74=""),"",ROUND(B74*C74,2))</f>
        <v/>
      </c>
      <c r="E74" s="99" t="n"/>
      <c r="F74" s="335">
        <f>IF(OR(A74="",E74="",C74="",NOT(ISNUMBER($U$2))),"",ROUND(E74*C74*$U$2,2))</f>
        <v/>
      </c>
      <c r="G74" s="99" t="n"/>
      <c r="H74" s="335">
        <f>IF(OR(A74="",G74="",C74="",NOT(ISNUMBER($U$3))),"",ROUND(G74*C74*$U$3,2))</f>
        <v/>
      </c>
      <c r="I74" s="99" t="n"/>
      <c r="J74" s="335">
        <f>IF(OR(A74="",I74="",C74="",NOT(ISNUMBER($U$4))),"",ROUND(I74*C74*$U$4,2))</f>
        <v/>
      </c>
      <c r="K74" s="99" t="n"/>
      <c r="L74" s="335">
        <f>IF(OR(A74="",K74="",C74="",NOT(ISNUMBER($U$5))),"",ROUND(K74*C74*$U$5,2))</f>
        <v/>
      </c>
      <c r="M74" s="99" t="n"/>
      <c r="N74" s="335">
        <f>IF(OR(A74="",M74="",C74="",NOT(ISNUMBER($U$6))),"",ROUND(M74*C74*$U$6,2))</f>
        <v/>
      </c>
      <c r="O74" s="90">
        <f>IF(A74="","",SUM(E74,G74,I74,K74,M74))</f>
        <v/>
      </c>
      <c r="P74" s="335">
        <f>IF(A74="","",SUM(F74,H74,J74,L74,N74))</f>
        <v/>
      </c>
      <c r="Q74" s="198">
        <f>IF(A74="","",IF(O74&gt;B74,"DIVERGENCIA: CONSUMO MAIOR QUE CONTRATADO","OK"))</f>
        <v/>
      </c>
      <c r="R74" s="14" t="n"/>
      <c r="S74" s="14" t="n"/>
      <c r="T74" s="14" t="n"/>
      <c r="U74" s="14" t="n"/>
      <c r="V74" s="14" t="n"/>
      <c r="W74" s="14" t="n"/>
    </row>
    <row r="75">
      <c r="A75" s="98" t="n"/>
      <c r="B75" s="99" t="n"/>
      <c r="C75" s="346" t="n"/>
      <c r="D75" s="335">
        <f>IF(OR(A75="",B75="",C75=""),"",ROUND(B75*C75,2))</f>
        <v/>
      </c>
      <c r="E75" s="99" t="n"/>
      <c r="F75" s="335">
        <f>IF(OR(A75="",E75="",C75="",NOT(ISNUMBER($U$2))),"",ROUND(E75*C75*$U$2,2))</f>
        <v/>
      </c>
      <c r="G75" s="99" t="n"/>
      <c r="H75" s="335">
        <f>IF(OR(A75="",G75="",C75="",NOT(ISNUMBER($U$3))),"",ROUND(G75*C75*$U$3,2))</f>
        <v/>
      </c>
      <c r="I75" s="99" t="n"/>
      <c r="J75" s="335">
        <f>IF(OR(A75="",I75="",C75="",NOT(ISNUMBER($U$4))),"",ROUND(I75*C75*$U$4,2))</f>
        <v/>
      </c>
      <c r="K75" s="99" t="n"/>
      <c r="L75" s="335">
        <f>IF(OR(A75="",K75="",C75="",NOT(ISNUMBER($U$5))),"",ROUND(K75*C75*$U$5,2))</f>
        <v/>
      </c>
      <c r="M75" s="99" t="n"/>
      <c r="N75" s="335">
        <f>IF(OR(A75="",M75="",C75="",NOT(ISNUMBER($U$6))),"",ROUND(M75*C75*$U$6,2))</f>
        <v/>
      </c>
      <c r="O75" s="90">
        <f>IF(A75="","",SUM(E75,G75,I75,K75,M75))</f>
        <v/>
      </c>
      <c r="P75" s="335">
        <f>IF(A75="","",SUM(F75,H75,J75,L75,N75))</f>
        <v/>
      </c>
      <c r="Q75" s="198">
        <f>IF(A75="","",IF(O75&gt;B75,"DIVERGENCIA: CONSUMO MAIOR QUE CONTRATADO","OK"))</f>
        <v/>
      </c>
      <c r="R75" s="14" t="n"/>
      <c r="S75" s="14" t="n"/>
      <c r="T75" s="14" t="n"/>
      <c r="U75" s="14" t="n"/>
      <c r="V75" s="14" t="n"/>
      <c r="W75" s="14" t="n"/>
    </row>
    <row r="76">
      <c r="A76" s="98" t="n"/>
      <c r="B76" s="99" t="n"/>
      <c r="C76" s="346" t="n"/>
      <c r="D76" s="335">
        <f>IF(OR(A76="",B76="",C76=""),"",ROUND(B76*C76,2))</f>
        <v/>
      </c>
      <c r="E76" s="99" t="n"/>
      <c r="F76" s="335">
        <f>IF(OR(A76="",E76="",C76="",NOT(ISNUMBER($U$2))),"",ROUND(E76*C76*$U$2,2))</f>
        <v/>
      </c>
      <c r="G76" s="99" t="n"/>
      <c r="H76" s="335">
        <f>IF(OR(A76="",G76="",C76="",NOT(ISNUMBER($U$3))),"",ROUND(G76*C76*$U$3,2))</f>
        <v/>
      </c>
      <c r="I76" s="99" t="n"/>
      <c r="J76" s="335">
        <f>IF(OR(A76="",I76="",C76="",NOT(ISNUMBER($U$4))),"",ROUND(I76*C76*$U$4,2))</f>
        <v/>
      </c>
      <c r="K76" s="99" t="n"/>
      <c r="L76" s="335">
        <f>IF(OR(A76="",K76="",C76="",NOT(ISNUMBER($U$5))),"",ROUND(K76*C76*$U$5,2))</f>
        <v/>
      </c>
      <c r="M76" s="99" t="n"/>
      <c r="N76" s="335">
        <f>IF(OR(A76="",M76="",C76="",NOT(ISNUMBER($U$6))),"",ROUND(M76*C76*$U$6,2))</f>
        <v/>
      </c>
      <c r="O76" s="90">
        <f>IF(A76="","",SUM(E76,G76,I76,K76,M76))</f>
        <v/>
      </c>
      <c r="P76" s="335">
        <f>IF(A76="","",SUM(F76,H76,J76,L76,N76))</f>
        <v/>
      </c>
      <c r="Q76" s="198">
        <f>IF(A76="","",IF(O76&gt;B76,"DIVERGENCIA: CONSUMO MAIOR QUE CONTRATADO","OK"))</f>
        <v/>
      </c>
      <c r="R76" s="14" t="n"/>
      <c r="S76" s="14" t="n"/>
      <c r="T76" s="14" t="n"/>
      <c r="U76" s="14" t="n"/>
      <c r="V76" s="14" t="n"/>
      <c r="W76" s="14" t="n"/>
    </row>
    <row r="77">
      <c r="A77" s="98" t="n"/>
      <c r="B77" s="99" t="n"/>
      <c r="C77" s="346" t="n"/>
      <c r="D77" s="335">
        <f>IF(OR(A77="",B77="",C77=""),"",ROUND(B77*C77,2))</f>
        <v/>
      </c>
      <c r="E77" s="99" t="n"/>
      <c r="F77" s="335">
        <f>IF(OR(A77="",E77="",C77="",NOT(ISNUMBER($U$2))),"",ROUND(E77*C77*$U$2,2))</f>
        <v/>
      </c>
      <c r="G77" s="99" t="n"/>
      <c r="H77" s="335">
        <f>IF(OR(A77="",G77="",C77="",NOT(ISNUMBER($U$3))),"",ROUND(G77*C77*$U$3,2))</f>
        <v/>
      </c>
      <c r="I77" s="99" t="n"/>
      <c r="J77" s="335">
        <f>IF(OR(A77="",I77="",C77="",NOT(ISNUMBER($U$4))),"",ROUND(I77*C77*$U$4,2))</f>
        <v/>
      </c>
      <c r="K77" s="99" t="n"/>
      <c r="L77" s="335">
        <f>IF(OR(A77="",K77="",C77="",NOT(ISNUMBER($U$5))),"",ROUND(K77*C77*$U$5,2))</f>
        <v/>
      </c>
      <c r="M77" s="99" t="n"/>
      <c r="N77" s="335">
        <f>IF(OR(A77="",M77="",C77="",NOT(ISNUMBER($U$6))),"",ROUND(M77*C77*$U$6,2))</f>
        <v/>
      </c>
      <c r="O77" s="90">
        <f>IF(A77="","",SUM(E77,G77,I77,K77,M77))</f>
        <v/>
      </c>
      <c r="P77" s="335">
        <f>IF(A77="","",SUM(F77,H77,J77,L77,N77))</f>
        <v/>
      </c>
      <c r="Q77" s="198">
        <f>IF(A77="","",IF(O77&gt;B77,"DIVERGENCIA: CONSUMO MAIOR QUE CONTRATADO","OK"))</f>
        <v/>
      </c>
      <c r="R77" s="14" t="n"/>
      <c r="S77" s="14" t="n"/>
      <c r="T77" s="14" t="n"/>
      <c r="U77" s="14" t="n"/>
      <c r="V77" s="14" t="n"/>
      <c r="W77" s="14" t="n"/>
    </row>
    <row r="78">
      <c r="A78" s="98" t="n"/>
      <c r="B78" s="99" t="n"/>
      <c r="C78" s="346" t="n"/>
      <c r="D78" s="335">
        <f>IF(OR(A78="",B78="",C78=""),"",ROUND(B78*C78,2))</f>
        <v/>
      </c>
      <c r="E78" s="99" t="n"/>
      <c r="F78" s="335">
        <f>IF(OR(A78="",E78="",C78="",NOT(ISNUMBER($U$2))),"",ROUND(E78*C78*$U$2,2))</f>
        <v/>
      </c>
      <c r="G78" s="99" t="n"/>
      <c r="H78" s="335">
        <f>IF(OR(A78="",G78="",C78="",NOT(ISNUMBER($U$3))),"",ROUND(G78*C78*$U$3,2))</f>
        <v/>
      </c>
      <c r="I78" s="99" t="n"/>
      <c r="J78" s="335">
        <f>IF(OR(A78="",I78="",C78="",NOT(ISNUMBER($U$4))),"",ROUND(I78*C78*$U$4,2))</f>
        <v/>
      </c>
      <c r="K78" s="99" t="n"/>
      <c r="L78" s="335">
        <f>IF(OR(A78="",K78="",C78="",NOT(ISNUMBER($U$5))),"",ROUND(K78*C78*$U$5,2))</f>
        <v/>
      </c>
      <c r="M78" s="99" t="n"/>
      <c r="N78" s="335">
        <f>IF(OR(A78="",M78="",C78="",NOT(ISNUMBER($U$6))),"",ROUND(M78*C78*$U$6,2))</f>
        <v/>
      </c>
      <c r="O78" s="90">
        <f>IF(A78="","",SUM(E78,G78,I78,K78,M78))</f>
        <v/>
      </c>
      <c r="P78" s="335">
        <f>IF(A78="","",SUM(F78,H78,J78,L78,N78))</f>
        <v/>
      </c>
      <c r="Q78" s="198">
        <f>IF(A78="","",IF(O78&gt;B78,"DIVERGENCIA: CONSUMO MAIOR QUE CONTRATADO","OK"))</f>
        <v/>
      </c>
      <c r="R78" s="14" t="n"/>
      <c r="S78" s="14" t="n"/>
      <c r="T78" s="14" t="n"/>
      <c r="U78" s="14" t="n"/>
      <c r="V78" s="14" t="n"/>
      <c r="W78" s="14" t="n"/>
    </row>
    <row r="79">
      <c r="A79" s="98" t="n"/>
      <c r="B79" s="99" t="n"/>
      <c r="C79" s="346" t="n"/>
      <c r="D79" s="335">
        <f>IF(OR(A79="",B79="",C79=""),"",ROUND(B79*C79,2))</f>
        <v/>
      </c>
      <c r="E79" s="99" t="n"/>
      <c r="F79" s="335">
        <f>IF(OR(A79="",E79="",C79="",NOT(ISNUMBER($U$2))),"",ROUND(E79*C79*$U$2,2))</f>
        <v/>
      </c>
      <c r="G79" s="99" t="n"/>
      <c r="H79" s="335">
        <f>IF(OR(A79="",G79="",C79="",NOT(ISNUMBER($U$3))),"",ROUND(G79*C79*$U$3,2))</f>
        <v/>
      </c>
      <c r="I79" s="99" t="n"/>
      <c r="J79" s="335">
        <f>IF(OR(A79="",I79="",C79="",NOT(ISNUMBER($U$4))),"",ROUND(I79*C79*$U$4,2))</f>
        <v/>
      </c>
      <c r="K79" s="99" t="n"/>
      <c r="L79" s="335">
        <f>IF(OR(A79="",K79="",C79="",NOT(ISNUMBER($U$5))),"",ROUND(K79*C79*$U$5,2))</f>
        <v/>
      </c>
      <c r="M79" s="99" t="n"/>
      <c r="N79" s="335">
        <f>IF(OR(A79="",M79="",C79="",NOT(ISNUMBER($U$6))),"",ROUND(M79*C79*$U$6,2))</f>
        <v/>
      </c>
      <c r="O79" s="90">
        <f>IF(A79="","",SUM(E79,G79,I79,K79,M79))</f>
        <v/>
      </c>
      <c r="P79" s="335">
        <f>IF(A79="","",SUM(F79,H79,J79,L79,N79))</f>
        <v/>
      </c>
      <c r="Q79" s="198">
        <f>IF(A79="","",IF(O79&gt;B79,"DIVERGENCIA: CONSUMO MAIOR QUE CONTRATADO","OK"))</f>
        <v/>
      </c>
      <c r="R79" s="14" t="n"/>
      <c r="S79" s="14" t="n"/>
      <c r="T79" s="14" t="n"/>
      <c r="U79" s="14" t="n"/>
      <c r="V79" s="14" t="n"/>
      <c r="W79" s="14" t="n"/>
    </row>
    <row r="80">
      <c r="A80" s="98" t="n"/>
      <c r="B80" s="99" t="n"/>
      <c r="C80" s="346" t="n"/>
      <c r="D80" s="335">
        <f>IF(OR(A80="",B80="",C80=""),"",ROUND(B80*C80,2))</f>
        <v/>
      </c>
      <c r="E80" s="99" t="n"/>
      <c r="F80" s="335">
        <f>IF(OR(A80="",E80="",C80="",NOT(ISNUMBER($U$2))),"",ROUND(E80*C80*$U$2,2))</f>
        <v/>
      </c>
      <c r="G80" s="99" t="n"/>
      <c r="H80" s="335">
        <f>IF(OR(A80="",G80="",C80="",NOT(ISNUMBER($U$3))),"",ROUND(G80*C80*$U$3,2))</f>
        <v/>
      </c>
      <c r="I80" s="99" t="n"/>
      <c r="J80" s="335">
        <f>IF(OR(A80="",I80="",C80="",NOT(ISNUMBER($U$4))),"",ROUND(I80*C80*$U$4,2))</f>
        <v/>
      </c>
      <c r="K80" s="99" t="n"/>
      <c r="L80" s="335">
        <f>IF(OR(A80="",K80="",C80="",NOT(ISNUMBER($U$5))),"",ROUND(K80*C80*$U$5,2))</f>
        <v/>
      </c>
      <c r="M80" s="99" t="n"/>
      <c r="N80" s="335">
        <f>IF(OR(A80="",M80="",C80="",NOT(ISNUMBER($U$6))),"",ROUND(M80*C80*$U$6,2))</f>
        <v/>
      </c>
      <c r="O80" s="90">
        <f>IF(A80="","",SUM(E80,G80,I80,K80,M80))</f>
        <v/>
      </c>
      <c r="P80" s="335">
        <f>IF(A80="","",SUM(F80,H80,J80,L80,N80))</f>
        <v/>
      </c>
      <c r="Q80" s="198">
        <f>IF(A80="","",IF(O80&gt;B80,"DIVERGENCIA: CONSUMO MAIOR QUE CONTRATADO","OK"))</f>
        <v/>
      </c>
      <c r="R80" s="14" t="n"/>
      <c r="S80" s="14" t="n"/>
      <c r="T80" s="14" t="n"/>
      <c r="U80" s="14" t="n"/>
      <c r="V80" s="14" t="n"/>
      <c r="W80" s="14" t="n"/>
    </row>
    <row r="81">
      <c r="A81" s="98" t="n"/>
      <c r="B81" s="99" t="n"/>
      <c r="C81" s="346" t="n"/>
      <c r="D81" s="335">
        <f>IF(OR(A81="",B81="",C81=""),"",ROUND(B81*C81,2))</f>
        <v/>
      </c>
      <c r="E81" s="99" t="n"/>
      <c r="F81" s="335">
        <f>IF(OR(A81="",E81="",C81="",NOT(ISNUMBER($U$2))),"",ROUND(E81*C81*$U$2,2))</f>
        <v/>
      </c>
      <c r="G81" s="99" t="n"/>
      <c r="H81" s="335">
        <f>IF(OR(A81="",G81="",C81="",NOT(ISNUMBER($U$3))),"",ROUND(G81*C81*$U$3,2))</f>
        <v/>
      </c>
      <c r="I81" s="99" t="n"/>
      <c r="J81" s="335">
        <f>IF(OR(A81="",I81="",C81="",NOT(ISNUMBER($U$4))),"",ROUND(I81*C81*$U$4,2))</f>
        <v/>
      </c>
      <c r="K81" s="99" t="n"/>
      <c r="L81" s="335">
        <f>IF(OR(A81="",K81="",C81="",NOT(ISNUMBER($U$5))),"",ROUND(K81*C81*$U$5,2))</f>
        <v/>
      </c>
      <c r="M81" s="99" t="n"/>
      <c r="N81" s="335">
        <f>IF(OR(A81="",M81="",C81="",NOT(ISNUMBER($U$6))),"",ROUND(M81*C81*$U$6,2))</f>
        <v/>
      </c>
      <c r="O81" s="90">
        <f>IF(A81="","",SUM(E81,G81,I81,K81,M81))</f>
        <v/>
      </c>
      <c r="P81" s="335">
        <f>IF(A81="","",SUM(F81,H81,J81,L81,N81))</f>
        <v/>
      </c>
      <c r="Q81" s="198">
        <f>IF(A81="","",IF(O81&gt;B81,"DIVERGENCIA: CONSUMO MAIOR QUE CONTRATADO","OK"))</f>
        <v/>
      </c>
      <c r="R81" s="14" t="n"/>
      <c r="S81" s="14" t="n"/>
      <c r="T81" s="14" t="n"/>
      <c r="U81" s="14" t="n"/>
      <c r="V81" s="14" t="n"/>
      <c r="W81" s="14" t="n"/>
    </row>
    <row r="82">
      <c r="A82" s="98" t="n"/>
      <c r="B82" s="99" t="n"/>
      <c r="C82" s="346" t="n"/>
      <c r="D82" s="335">
        <f>IF(OR(A82="",B82="",C82=""),"",ROUND(B82*C82,2))</f>
        <v/>
      </c>
      <c r="E82" s="99" t="n"/>
      <c r="F82" s="335">
        <f>IF(OR(A82="",E82="",C82="",NOT(ISNUMBER($U$2))),"",ROUND(E82*C82*$U$2,2))</f>
        <v/>
      </c>
      <c r="G82" s="99" t="n"/>
      <c r="H82" s="335">
        <f>IF(OR(A82="",G82="",C82="",NOT(ISNUMBER($U$3))),"",ROUND(G82*C82*$U$3,2))</f>
        <v/>
      </c>
      <c r="I82" s="99" t="n"/>
      <c r="J82" s="335">
        <f>IF(OR(A82="",I82="",C82="",NOT(ISNUMBER($U$4))),"",ROUND(I82*C82*$U$4,2))</f>
        <v/>
      </c>
      <c r="K82" s="99" t="n"/>
      <c r="L82" s="335">
        <f>IF(OR(A82="",K82="",C82="",NOT(ISNUMBER($U$5))),"",ROUND(K82*C82*$U$5,2))</f>
        <v/>
      </c>
      <c r="M82" s="99" t="n"/>
      <c r="N82" s="335">
        <f>IF(OR(A82="",M82="",C82="",NOT(ISNUMBER($U$6))),"",ROUND(M82*C82*$U$6,2))</f>
        <v/>
      </c>
      <c r="O82" s="90">
        <f>IF(A82="","",SUM(E82,G82,I82,K82,M82))</f>
        <v/>
      </c>
      <c r="P82" s="335">
        <f>IF(A82="","",SUM(F82,H82,J82,L82,N82))</f>
        <v/>
      </c>
      <c r="Q82" s="198">
        <f>IF(A82="","",IF(O82&gt;B82,"DIVERGENCIA: CONSUMO MAIOR QUE CONTRATADO","OK"))</f>
        <v/>
      </c>
      <c r="R82" s="14" t="n"/>
      <c r="S82" s="14" t="n"/>
      <c r="T82" s="14" t="n"/>
      <c r="U82" s="14" t="n"/>
      <c r="V82" s="14" t="n"/>
      <c r="W82" s="14" t="n"/>
    </row>
    <row r="83">
      <c r="A83" s="98" t="n"/>
      <c r="B83" s="99" t="n"/>
      <c r="C83" s="346" t="n"/>
      <c r="D83" s="335">
        <f>IF(OR(A83="",B83="",C83=""),"",ROUND(B83*C83,2))</f>
        <v/>
      </c>
      <c r="E83" s="99" t="n"/>
      <c r="F83" s="335">
        <f>IF(OR(A83="",E83="",C83="",NOT(ISNUMBER($U$2))),"",ROUND(E83*C83*$U$2,2))</f>
        <v/>
      </c>
      <c r="G83" s="99" t="n"/>
      <c r="H83" s="335">
        <f>IF(OR(A83="",G83="",C83="",NOT(ISNUMBER($U$3))),"",ROUND(G83*C83*$U$3,2))</f>
        <v/>
      </c>
      <c r="I83" s="99" t="n"/>
      <c r="J83" s="335">
        <f>IF(OR(A83="",I83="",C83="",NOT(ISNUMBER($U$4))),"",ROUND(I83*C83*$U$4,2))</f>
        <v/>
      </c>
      <c r="K83" s="99" t="n"/>
      <c r="L83" s="335">
        <f>IF(OR(A83="",K83="",C83="",NOT(ISNUMBER($U$5))),"",ROUND(K83*C83*$U$5,2))</f>
        <v/>
      </c>
      <c r="M83" s="99" t="n"/>
      <c r="N83" s="335">
        <f>IF(OR(A83="",M83="",C83="",NOT(ISNUMBER($U$6))),"",ROUND(M83*C83*$U$6,2))</f>
        <v/>
      </c>
      <c r="O83" s="90">
        <f>IF(A83="","",SUM(E83,G83,I83,K83,M83))</f>
        <v/>
      </c>
      <c r="P83" s="335">
        <f>IF(A83="","",SUM(F83,H83,J83,L83,N83))</f>
        <v/>
      </c>
      <c r="Q83" s="198">
        <f>IF(A83="","",IF(O83&gt;B83,"DIVERGENCIA: CONSUMO MAIOR QUE CONTRATADO","OK"))</f>
        <v/>
      </c>
      <c r="R83" s="14" t="n"/>
      <c r="S83" s="14" t="n"/>
      <c r="T83" s="14" t="n"/>
      <c r="U83" s="14" t="n"/>
      <c r="V83" s="14" t="n"/>
      <c r="W83" s="14" t="n"/>
    </row>
    <row r="84">
      <c r="A84" s="98" t="n"/>
      <c r="B84" s="99" t="n"/>
      <c r="C84" s="346" t="n"/>
      <c r="D84" s="335">
        <f>IF(OR(A84="",B84="",C84=""),"",ROUND(B84*C84,2))</f>
        <v/>
      </c>
      <c r="E84" s="99" t="n"/>
      <c r="F84" s="335">
        <f>IF(OR(A84="",E84="",C84="",NOT(ISNUMBER($U$2))),"",ROUND(E84*C84*$U$2,2))</f>
        <v/>
      </c>
      <c r="G84" s="99" t="n"/>
      <c r="H84" s="335">
        <f>IF(OR(A84="",G84="",C84="",NOT(ISNUMBER($U$3))),"",ROUND(G84*C84*$U$3,2))</f>
        <v/>
      </c>
      <c r="I84" s="99" t="n"/>
      <c r="J84" s="335">
        <f>IF(OR(A84="",I84="",C84="",NOT(ISNUMBER($U$4))),"",ROUND(I84*C84*$U$4,2))</f>
        <v/>
      </c>
      <c r="K84" s="99" t="n"/>
      <c r="L84" s="335">
        <f>IF(OR(A84="",K84="",C84="",NOT(ISNUMBER($U$5))),"",ROUND(K84*C84*$U$5,2))</f>
        <v/>
      </c>
      <c r="M84" s="99" t="n"/>
      <c r="N84" s="335">
        <f>IF(OR(A84="",M84="",C84="",NOT(ISNUMBER($U$6))),"",ROUND(M84*C84*$U$6,2))</f>
        <v/>
      </c>
      <c r="O84" s="90">
        <f>IF(A84="","",SUM(E84,G84,I84,K84,M84))</f>
        <v/>
      </c>
      <c r="P84" s="335">
        <f>IF(A84="","",SUM(F84,H84,J84,L84,N84))</f>
        <v/>
      </c>
      <c r="Q84" s="198">
        <f>IF(A84="","",IF(O84&gt;B84,"DIVERGENCIA: CONSUMO MAIOR QUE CONTRATADO","OK"))</f>
        <v/>
      </c>
      <c r="R84" s="14" t="n"/>
      <c r="S84" s="14" t="n"/>
      <c r="T84" s="14" t="n"/>
      <c r="U84" s="14" t="n"/>
      <c r="V84" s="14" t="n"/>
      <c r="W84" s="14" t="n"/>
    </row>
    <row r="85">
      <c r="A85" s="98" t="n"/>
      <c r="B85" s="99" t="n"/>
      <c r="C85" s="346" t="n"/>
      <c r="D85" s="335">
        <f>IF(OR(A85="",B85="",C85=""),"",ROUND(B85*C85,2))</f>
        <v/>
      </c>
      <c r="E85" s="99" t="n"/>
      <c r="F85" s="335">
        <f>IF(OR(A85="",E85="",C85="",NOT(ISNUMBER($U$2))),"",ROUND(E85*C85*$U$2,2))</f>
        <v/>
      </c>
      <c r="G85" s="99" t="n"/>
      <c r="H85" s="335">
        <f>IF(OR(A85="",G85="",C85="",NOT(ISNUMBER($U$3))),"",ROUND(G85*C85*$U$3,2))</f>
        <v/>
      </c>
      <c r="I85" s="99" t="n"/>
      <c r="J85" s="335">
        <f>IF(OR(A85="",I85="",C85="",NOT(ISNUMBER($U$4))),"",ROUND(I85*C85*$U$4,2))</f>
        <v/>
      </c>
      <c r="K85" s="99" t="n"/>
      <c r="L85" s="335">
        <f>IF(OR(A85="",K85="",C85="",NOT(ISNUMBER($U$5))),"",ROUND(K85*C85*$U$5,2))</f>
        <v/>
      </c>
      <c r="M85" s="99" t="n"/>
      <c r="N85" s="335">
        <f>IF(OR(A85="",M85="",C85="",NOT(ISNUMBER($U$6))),"",ROUND(M85*C85*$U$6,2))</f>
        <v/>
      </c>
      <c r="O85" s="90">
        <f>IF(A85="","",SUM(E85,G85,I85,K85,M85))</f>
        <v/>
      </c>
      <c r="P85" s="335">
        <f>IF(A85="","",SUM(F85,H85,J85,L85,N85))</f>
        <v/>
      </c>
      <c r="Q85" s="198">
        <f>IF(A85="","",IF(O85&gt;B85,"DIVERGENCIA: CONSUMO MAIOR QUE CONTRATADO","OK"))</f>
        <v/>
      </c>
      <c r="R85" s="14" t="n"/>
      <c r="S85" s="14" t="n"/>
      <c r="T85" s="14" t="n"/>
      <c r="U85" s="14" t="n"/>
      <c r="V85" s="14" t="n"/>
      <c r="W85" s="14" t="n"/>
    </row>
    <row r="86">
      <c r="A86" s="98" t="n"/>
      <c r="B86" s="99" t="n"/>
      <c r="C86" s="346" t="n"/>
      <c r="D86" s="335">
        <f>IF(OR(A86="",B86="",C86=""),"",ROUND(B86*C86,2))</f>
        <v/>
      </c>
      <c r="E86" s="99" t="n"/>
      <c r="F86" s="335">
        <f>IF(OR(A86="",E86="",C86="",NOT(ISNUMBER($U$2))),"",ROUND(E86*C86*$U$2,2))</f>
        <v/>
      </c>
      <c r="G86" s="99" t="n"/>
      <c r="H86" s="335">
        <f>IF(OR(A86="",G86="",C86="",NOT(ISNUMBER($U$3))),"",ROUND(G86*C86*$U$3,2))</f>
        <v/>
      </c>
      <c r="I86" s="99" t="n"/>
      <c r="J86" s="335">
        <f>IF(OR(A86="",I86="",C86="",NOT(ISNUMBER($U$4))),"",ROUND(I86*C86*$U$4,2))</f>
        <v/>
      </c>
      <c r="K86" s="99" t="n"/>
      <c r="L86" s="335">
        <f>IF(OR(A86="",K86="",C86="",NOT(ISNUMBER($U$5))),"",ROUND(K86*C86*$U$5,2))</f>
        <v/>
      </c>
      <c r="M86" s="99" t="n"/>
      <c r="N86" s="335">
        <f>IF(OR(A86="",M86="",C86="",NOT(ISNUMBER($U$6))),"",ROUND(M86*C86*$U$6,2))</f>
        <v/>
      </c>
      <c r="O86" s="90">
        <f>IF(A86="","",SUM(E86,G86,I86,K86,M86))</f>
        <v/>
      </c>
      <c r="P86" s="335">
        <f>IF(A86="","",SUM(F86,H86,J86,L86,N86))</f>
        <v/>
      </c>
      <c r="Q86" s="198">
        <f>IF(A86="","",IF(O86&gt;B86,"DIVERGENCIA: CONSUMO MAIOR QUE CONTRATADO","OK"))</f>
        <v/>
      </c>
      <c r="R86" s="14" t="n"/>
      <c r="S86" s="14" t="n"/>
      <c r="T86" s="14" t="n"/>
      <c r="U86" s="14" t="n"/>
      <c r="V86" s="14" t="n"/>
      <c r="W86" s="14" t="n"/>
    </row>
    <row r="87">
      <c r="A87" s="98" t="n"/>
      <c r="B87" s="99" t="n"/>
      <c r="C87" s="346" t="n"/>
      <c r="D87" s="335">
        <f>IF(OR(A87="",B87="",C87=""),"",ROUND(B87*C87,2))</f>
        <v/>
      </c>
      <c r="E87" s="99" t="n"/>
      <c r="F87" s="335">
        <f>IF(OR(A87="",E87="",C87="",NOT(ISNUMBER($U$2))),"",ROUND(E87*C87*$U$2,2))</f>
        <v/>
      </c>
      <c r="G87" s="99" t="n"/>
      <c r="H87" s="335">
        <f>IF(OR(A87="",G87="",C87="",NOT(ISNUMBER($U$3))),"",ROUND(G87*C87*$U$3,2))</f>
        <v/>
      </c>
      <c r="I87" s="99" t="n"/>
      <c r="J87" s="335">
        <f>IF(OR(A87="",I87="",C87="",NOT(ISNUMBER($U$4))),"",ROUND(I87*C87*$U$4,2))</f>
        <v/>
      </c>
      <c r="K87" s="99" t="n"/>
      <c r="L87" s="335">
        <f>IF(OR(A87="",K87="",C87="",NOT(ISNUMBER($U$5))),"",ROUND(K87*C87*$U$5,2))</f>
        <v/>
      </c>
      <c r="M87" s="99" t="n"/>
      <c r="N87" s="335">
        <f>IF(OR(A87="",M87="",C87="",NOT(ISNUMBER($U$6))),"",ROUND(M87*C87*$U$6,2))</f>
        <v/>
      </c>
      <c r="O87" s="90">
        <f>IF(A87="","",SUM(E87,G87,I87,K87,M87))</f>
        <v/>
      </c>
      <c r="P87" s="335">
        <f>IF(A87="","",SUM(F87,H87,J87,L87,N87))</f>
        <v/>
      </c>
      <c r="Q87" s="198">
        <f>IF(A87="","",IF(O87&gt;B87,"DIVERGENCIA: CONSUMO MAIOR QUE CONTRATADO","OK"))</f>
        <v/>
      </c>
      <c r="R87" s="14" t="n"/>
      <c r="S87" s="14" t="n"/>
      <c r="T87" s="14" t="n"/>
      <c r="U87" s="14" t="n"/>
      <c r="V87" s="14" t="n"/>
      <c r="W87" s="14" t="n"/>
    </row>
    <row r="88">
      <c r="A88" s="98" t="n"/>
      <c r="B88" s="99" t="n"/>
      <c r="C88" s="346" t="n"/>
      <c r="D88" s="335">
        <f>IF(OR(A88="",B88="",C88=""),"",ROUND(B88*C88,2))</f>
        <v/>
      </c>
      <c r="E88" s="99" t="n"/>
      <c r="F88" s="335">
        <f>IF(OR(A88="",E88="",C88="",NOT(ISNUMBER($U$2))),"",ROUND(E88*C88*$U$2,2))</f>
        <v/>
      </c>
      <c r="G88" s="99" t="n"/>
      <c r="H88" s="335">
        <f>IF(OR(A88="",G88="",C88="",NOT(ISNUMBER($U$3))),"",ROUND(G88*C88*$U$3,2))</f>
        <v/>
      </c>
      <c r="I88" s="99" t="n"/>
      <c r="J88" s="335">
        <f>IF(OR(A88="",I88="",C88="",NOT(ISNUMBER($U$4))),"",ROUND(I88*C88*$U$4,2))</f>
        <v/>
      </c>
      <c r="K88" s="99" t="n"/>
      <c r="L88" s="335">
        <f>IF(OR(A88="",K88="",C88="",NOT(ISNUMBER($U$5))),"",ROUND(K88*C88*$U$5,2))</f>
        <v/>
      </c>
      <c r="M88" s="99" t="n"/>
      <c r="N88" s="335">
        <f>IF(OR(A88="",M88="",C88="",NOT(ISNUMBER($U$6))),"",ROUND(M88*C88*$U$6,2))</f>
        <v/>
      </c>
      <c r="O88" s="90">
        <f>IF(A88="","",SUM(E88,G88,I88,K88,M88))</f>
        <v/>
      </c>
      <c r="P88" s="335">
        <f>IF(A88="","",SUM(F88,H88,J88,L88,N88))</f>
        <v/>
      </c>
      <c r="Q88" s="198">
        <f>IF(A88="","",IF(O88&gt;B88,"DIVERGENCIA: CONSUMO MAIOR QUE CONTRATADO","OK"))</f>
        <v/>
      </c>
      <c r="R88" s="14" t="n"/>
      <c r="S88" s="14" t="n"/>
      <c r="T88" s="14" t="n"/>
      <c r="U88" s="14" t="n"/>
      <c r="V88" s="14" t="n"/>
      <c r="W88" s="14" t="n"/>
    </row>
    <row r="89">
      <c r="A89" s="98" t="n"/>
      <c r="B89" s="99" t="n"/>
      <c r="C89" s="346" t="n"/>
      <c r="D89" s="335">
        <f>IF(OR(A89="",B89="",C89=""),"",ROUND(B89*C89,2))</f>
        <v/>
      </c>
      <c r="E89" s="99" t="n"/>
      <c r="F89" s="335">
        <f>IF(OR(A89="",E89="",C89="",NOT(ISNUMBER($U$2))),"",ROUND(E89*C89*$U$2,2))</f>
        <v/>
      </c>
      <c r="G89" s="99" t="n"/>
      <c r="H89" s="335">
        <f>IF(OR(A89="",G89="",C89="",NOT(ISNUMBER($U$3))),"",ROUND(G89*C89*$U$3,2))</f>
        <v/>
      </c>
      <c r="I89" s="99" t="n"/>
      <c r="J89" s="335">
        <f>IF(OR(A89="",I89="",C89="",NOT(ISNUMBER($U$4))),"",ROUND(I89*C89*$U$4,2))</f>
        <v/>
      </c>
      <c r="K89" s="99" t="n"/>
      <c r="L89" s="335">
        <f>IF(OR(A89="",K89="",C89="",NOT(ISNUMBER($U$5))),"",ROUND(K89*C89*$U$5,2))</f>
        <v/>
      </c>
      <c r="M89" s="99" t="n"/>
      <c r="N89" s="335">
        <f>IF(OR(A89="",M89="",C89="",NOT(ISNUMBER($U$6))),"",ROUND(M89*C89*$U$6,2))</f>
        <v/>
      </c>
      <c r="O89" s="90">
        <f>IF(A89="","",SUM(E89,G89,I89,K89,M89))</f>
        <v/>
      </c>
      <c r="P89" s="335">
        <f>IF(A89="","",SUM(F89,H89,J89,L89,N89))</f>
        <v/>
      </c>
      <c r="Q89" s="198">
        <f>IF(A89="","",IF(O89&gt;B89,"DIVERGENCIA: CONSUMO MAIOR QUE CONTRATADO","OK"))</f>
        <v/>
      </c>
      <c r="R89" s="14" t="n"/>
      <c r="S89" s="14" t="n"/>
      <c r="T89" s="14" t="n"/>
      <c r="U89" s="14" t="n"/>
      <c r="V89" s="14" t="n"/>
      <c r="W89" s="14" t="n"/>
    </row>
    <row r="90">
      <c r="A90" s="98" t="n"/>
      <c r="B90" s="99" t="n"/>
      <c r="C90" s="346" t="n"/>
      <c r="D90" s="335">
        <f>IF(OR(A90="",B90="",C90=""),"",ROUND(B90*C90,2))</f>
        <v/>
      </c>
      <c r="E90" s="99" t="n"/>
      <c r="F90" s="335">
        <f>IF(OR(A90="",E90="",C90="",NOT(ISNUMBER($U$2))),"",ROUND(E90*C90*$U$2,2))</f>
        <v/>
      </c>
      <c r="G90" s="99" t="n"/>
      <c r="H90" s="335">
        <f>IF(OR(A90="",G90="",C90="",NOT(ISNUMBER($U$3))),"",ROUND(G90*C90*$U$3,2))</f>
        <v/>
      </c>
      <c r="I90" s="99" t="n"/>
      <c r="J90" s="335">
        <f>IF(OR(A90="",I90="",C90="",NOT(ISNUMBER($U$4))),"",ROUND(I90*C90*$U$4,2))</f>
        <v/>
      </c>
      <c r="K90" s="99" t="n"/>
      <c r="L90" s="335">
        <f>IF(OR(A90="",K90="",C90="",NOT(ISNUMBER($U$5))),"",ROUND(K90*C90*$U$5,2))</f>
        <v/>
      </c>
      <c r="M90" s="99" t="n"/>
      <c r="N90" s="335">
        <f>IF(OR(A90="",M90="",C90="",NOT(ISNUMBER($U$6))),"",ROUND(M90*C90*$U$6,2))</f>
        <v/>
      </c>
      <c r="O90" s="90">
        <f>IF(A90="","",SUM(E90,G90,I90,K90,M90))</f>
        <v/>
      </c>
      <c r="P90" s="335">
        <f>IF(A90="","",SUM(F90,H90,J90,L90,N90))</f>
        <v/>
      </c>
      <c r="Q90" s="198">
        <f>IF(A90="","",IF(O90&gt;B90,"DIVERGENCIA: CONSUMO MAIOR QUE CONTRATADO","OK"))</f>
        <v/>
      </c>
      <c r="R90" s="14" t="n"/>
      <c r="S90" s="14" t="n"/>
      <c r="T90" s="14" t="n"/>
      <c r="U90" s="14" t="n"/>
      <c r="V90" s="14" t="n"/>
      <c r="W90" s="14" t="n"/>
    </row>
    <row r="91">
      <c r="A91" s="98" t="n"/>
      <c r="B91" s="99" t="n"/>
      <c r="C91" s="346" t="n"/>
      <c r="D91" s="335">
        <f>IF(OR(A91="",B91="",C91=""),"",ROUND(B91*C91,2))</f>
        <v/>
      </c>
      <c r="E91" s="99" t="n"/>
      <c r="F91" s="335">
        <f>IF(OR(A91="",E91="",C91="",NOT(ISNUMBER($U$2))),"",ROUND(E91*C91*$U$2,2))</f>
        <v/>
      </c>
      <c r="G91" s="99" t="n"/>
      <c r="H91" s="335">
        <f>IF(OR(A91="",G91="",C91="",NOT(ISNUMBER($U$3))),"",ROUND(G91*C91*$U$3,2))</f>
        <v/>
      </c>
      <c r="I91" s="99" t="n"/>
      <c r="J91" s="335">
        <f>IF(OR(A91="",I91="",C91="",NOT(ISNUMBER($U$4))),"",ROUND(I91*C91*$U$4,2))</f>
        <v/>
      </c>
      <c r="K91" s="99" t="n"/>
      <c r="L91" s="335">
        <f>IF(OR(A91="",K91="",C91="",NOT(ISNUMBER($U$5))),"",ROUND(K91*C91*$U$5,2))</f>
        <v/>
      </c>
      <c r="M91" s="99" t="n"/>
      <c r="N91" s="335">
        <f>IF(OR(A91="",M91="",C91="",NOT(ISNUMBER($U$6))),"",ROUND(M91*C91*$U$6,2))</f>
        <v/>
      </c>
      <c r="O91" s="90">
        <f>IF(A91="","",SUM(E91,G91,I91,K91,M91))</f>
        <v/>
      </c>
      <c r="P91" s="335">
        <f>IF(A91="","",SUM(F91,H91,J91,L91,N91))</f>
        <v/>
      </c>
      <c r="Q91" s="198">
        <f>IF(A91="","",IF(O91&gt;B91,"DIVERGENCIA: CONSUMO MAIOR QUE CONTRATADO","OK"))</f>
        <v/>
      </c>
      <c r="R91" s="14" t="n"/>
      <c r="S91" s="14" t="n"/>
      <c r="T91" s="14" t="n"/>
      <c r="U91" s="14" t="n"/>
      <c r="V91" s="14" t="n"/>
      <c r="W91" s="14" t="n"/>
    </row>
    <row r="92">
      <c r="A92" s="98" t="n"/>
      <c r="B92" s="99" t="n"/>
      <c r="C92" s="346" t="n"/>
      <c r="D92" s="335">
        <f>IF(OR(A92="",B92="",C92=""),"",ROUND(B92*C92,2))</f>
        <v/>
      </c>
      <c r="E92" s="99" t="n"/>
      <c r="F92" s="335">
        <f>IF(OR(A92="",E92="",C92="",NOT(ISNUMBER($U$2))),"",ROUND(E92*C92*$U$2,2))</f>
        <v/>
      </c>
      <c r="G92" s="99" t="n"/>
      <c r="H92" s="335">
        <f>IF(OR(A92="",G92="",C92="",NOT(ISNUMBER($U$3))),"",ROUND(G92*C92*$U$3,2))</f>
        <v/>
      </c>
      <c r="I92" s="99" t="n"/>
      <c r="J92" s="335">
        <f>IF(OR(A92="",I92="",C92="",NOT(ISNUMBER($U$4))),"",ROUND(I92*C92*$U$4,2))</f>
        <v/>
      </c>
      <c r="K92" s="99" t="n"/>
      <c r="L92" s="335">
        <f>IF(OR(A92="",K92="",C92="",NOT(ISNUMBER($U$5))),"",ROUND(K92*C92*$U$5,2))</f>
        <v/>
      </c>
      <c r="M92" s="99" t="n"/>
      <c r="N92" s="335">
        <f>IF(OR(A92="",M92="",C92="",NOT(ISNUMBER($U$6))),"",ROUND(M92*C92*$U$6,2))</f>
        <v/>
      </c>
      <c r="O92" s="90">
        <f>IF(A92="","",SUM(E92,G92,I92,K92,M92))</f>
        <v/>
      </c>
      <c r="P92" s="335">
        <f>IF(A92="","",SUM(F92,H92,J92,L92,N92))</f>
        <v/>
      </c>
      <c r="Q92" s="198">
        <f>IF(A92="","",IF(O92&gt;B92,"DIVERGENCIA: CONSUMO MAIOR QUE CONTRATADO","OK"))</f>
        <v/>
      </c>
      <c r="R92" s="14" t="n"/>
      <c r="S92" s="14" t="n"/>
      <c r="T92" s="14" t="n"/>
      <c r="U92" s="14" t="n"/>
      <c r="V92" s="14" t="n"/>
      <c r="W92" s="14" t="n"/>
    </row>
    <row r="93">
      <c r="A93" s="98" t="n"/>
      <c r="B93" s="99" t="n"/>
      <c r="C93" s="346" t="n"/>
      <c r="D93" s="335">
        <f>IF(OR(A93="",B93="",C93=""),"",ROUND(B93*C93,2))</f>
        <v/>
      </c>
      <c r="E93" s="99" t="n"/>
      <c r="F93" s="335">
        <f>IF(OR(A93="",E93="",C93="",NOT(ISNUMBER($U$2))),"",ROUND(E93*C93*$U$2,2))</f>
        <v/>
      </c>
      <c r="G93" s="99" t="n"/>
      <c r="H93" s="335">
        <f>IF(OR(A93="",G93="",C93="",NOT(ISNUMBER($U$3))),"",ROUND(G93*C93*$U$3,2))</f>
        <v/>
      </c>
      <c r="I93" s="99" t="n"/>
      <c r="J93" s="335">
        <f>IF(OR(A93="",I93="",C93="",NOT(ISNUMBER($U$4))),"",ROUND(I93*C93*$U$4,2))</f>
        <v/>
      </c>
      <c r="K93" s="99" t="n"/>
      <c r="L93" s="335">
        <f>IF(OR(A93="",K93="",C93="",NOT(ISNUMBER($U$5))),"",ROUND(K93*C93*$U$5,2))</f>
        <v/>
      </c>
      <c r="M93" s="99" t="n"/>
      <c r="N93" s="335">
        <f>IF(OR(A93="",M93="",C93="",NOT(ISNUMBER($U$6))),"",ROUND(M93*C93*$U$6,2))</f>
        <v/>
      </c>
      <c r="O93" s="90">
        <f>IF(A93="","",SUM(E93,G93,I93,K93,M93))</f>
        <v/>
      </c>
      <c r="P93" s="335">
        <f>IF(A93="","",SUM(F93,H93,J93,L93,N93))</f>
        <v/>
      </c>
      <c r="Q93" s="198">
        <f>IF(A93="","",IF(O93&gt;B93,"DIVERGENCIA: CONSUMO MAIOR QUE CONTRATADO","OK"))</f>
        <v/>
      </c>
      <c r="R93" s="14" t="n"/>
      <c r="S93" s="14" t="n"/>
      <c r="T93" s="14" t="n"/>
      <c r="U93" s="14" t="n"/>
      <c r="V93" s="14" t="n"/>
      <c r="W93" s="14" t="n"/>
    </row>
    <row r="94">
      <c r="A94" s="98" t="n"/>
      <c r="B94" s="99" t="n"/>
      <c r="C94" s="346" t="n"/>
      <c r="D94" s="335">
        <f>IF(OR(A94="",B94="",C94=""),"",ROUND(B94*C94,2))</f>
        <v/>
      </c>
      <c r="E94" s="99" t="n"/>
      <c r="F94" s="335">
        <f>IF(OR(A94="",E94="",C94="",NOT(ISNUMBER($U$2))),"",ROUND(E94*C94*$U$2,2))</f>
        <v/>
      </c>
      <c r="G94" s="99" t="n"/>
      <c r="H94" s="335">
        <f>IF(OR(A94="",G94="",C94="",NOT(ISNUMBER($U$3))),"",ROUND(G94*C94*$U$3,2))</f>
        <v/>
      </c>
      <c r="I94" s="99" t="n"/>
      <c r="J94" s="335">
        <f>IF(OR(A94="",I94="",C94="",NOT(ISNUMBER($U$4))),"",ROUND(I94*C94*$U$4,2))</f>
        <v/>
      </c>
      <c r="K94" s="99" t="n"/>
      <c r="L94" s="335">
        <f>IF(OR(A94="",K94="",C94="",NOT(ISNUMBER($U$5))),"",ROUND(K94*C94*$U$5,2))</f>
        <v/>
      </c>
      <c r="M94" s="99" t="n"/>
      <c r="N94" s="335">
        <f>IF(OR(A94="",M94="",C94="",NOT(ISNUMBER($U$6))),"",ROUND(M94*C94*$U$6,2))</f>
        <v/>
      </c>
      <c r="O94" s="90">
        <f>IF(A94="","",SUM(E94,G94,I94,K94,M94))</f>
        <v/>
      </c>
      <c r="P94" s="335">
        <f>IF(A94="","",SUM(F94,H94,J94,L94,N94))</f>
        <v/>
      </c>
      <c r="Q94" s="198">
        <f>IF(A94="","",IF(O94&gt;B94,"DIVERGENCIA: CONSUMO MAIOR QUE CONTRATADO","OK"))</f>
        <v/>
      </c>
      <c r="R94" s="14" t="n"/>
      <c r="S94" s="14" t="n"/>
      <c r="T94" s="14" t="n"/>
      <c r="U94" s="14" t="n"/>
      <c r="V94" s="14" t="n"/>
      <c r="W94" s="14" t="n"/>
    </row>
    <row r="95">
      <c r="A95" s="98" t="n"/>
      <c r="B95" s="99" t="n"/>
      <c r="C95" s="346" t="n"/>
      <c r="D95" s="335">
        <f>IF(OR(A95="",B95="",C95=""),"",ROUND(B95*C95,2))</f>
        <v/>
      </c>
      <c r="E95" s="99" t="n"/>
      <c r="F95" s="335">
        <f>IF(OR(A95="",E95="",C95="",NOT(ISNUMBER($U$2))),"",ROUND(E95*C95*$U$2,2))</f>
        <v/>
      </c>
      <c r="G95" s="99" t="n"/>
      <c r="H95" s="335">
        <f>IF(OR(A95="",G95="",C95="",NOT(ISNUMBER($U$3))),"",ROUND(G95*C95*$U$3,2))</f>
        <v/>
      </c>
      <c r="I95" s="99" t="n"/>
      <c r="J95" s="335">
        <f>IF(OR(A95="",I95="",C95="",NOT(ISNUMBER($U$4))),"",ROUND(I95*C95*$U$4,2))</f>
        <v/>
      </c>
      <c r="K95" s="99" t="n"/>
      <c r="L95" s="335">
        <f>IF(OR(A95="",K95="",C95="",NOT(ISNUMBER($U$5))),"",ROUND(K95*C95*$U$5,2))</f>
        <v/>
      </c>
      <c r="M95" s="99" t="n"/>
      <c r="N95" s="335">
        <f>IF(OR(A95="",M95="",C95="",NOT(ISNUMBER($U$6))),"",ROUND(M95*C95*$U$6,2))</f>
        <v/>
      </c>
      <c r="O95" s="90">
        <f>IF(A95="","",SUM(E95,G95,I95,K95,M95))</f>
        <v/>
      </c>
      <c r="P95" s="335">
        <f>IF(A95="","",SUM(F95,H95,J95,L95,N95))</f>
        <v/>
      </c>
      <c r="Q95" s="198">
        <f>IF(A95="","",IF(O95&gt;B95,"DIVERGENCIA: CONSUMO MAIOR QUE CONTRATADO","OK"))</f>
        <v/>
      </c>
      <c r="R95" s="14" t="n"/>
      <c r="S95" s="14" t="n"/>
      <c r="T95" s="14" t="n"/>
      <c r="U95" s="14" t="n"/>
      <c r="V95" s="14" t="n"/>
      <c r="W95" s="14" t="n"/>
    </row>
    <row r="96">
      <c r="A96" s="98" t="n"/>
      <c r="B96" s="99" t="n"/>
      <c r="C96" s="346" t="n"/>
      <c r="D96" s="335">
        <f>IF(OR(A96="",B96="",C96=""),"",ROUND(B96*C96,2))</f>
        <v/>
      </c>
      <c r="E96" s="99" t="n"/>
      <c r="F96" s="335">
        <f>IF(OR(A96="",E96="",C96="",NOT(ISNUMBER($U$2))),"",ROUND(E96*C96*$U$2,2))</f>
        <v/>
      </c>
      <c r="G96" s="99" t="n"/>
      <c r="H96" s="335">
        <f>IF(OR(A96="",G96="",C96="",NOT(ISNUMBER($U$3))),"",ROUND(G96*C96*$U$3,2))</f>
        <v/>
      </c>
      <c r="I96" s="99" t="n"/>
      <c r="J96" s="335">
        <f>IF(OR(A96="",I96="",C96="",NOT(ISNUMBER($U$4))),"",ROUND(I96*C96*$U$4,2))</f>
        <v/>
      </c>
      <c r="K96" s="99" t="n"/>
      <c r="L96" s="335">
        <f>IF(OR(A96="",K96="",C96="",NOT(ISNUMBER($U$5))),"",ROUND(K96*C96*$U$5,2))</f>
        <v/>
      </c>
      <c r="M96" s="99" t="n"/>
      <c r="N96" s="335">
        <f>IF(OR(A96="",M96="",C96="",NOT(ISNUMBER($U$6))),"",ROUND(M96*C96*$U$6,2))</f>
        <v/>
      </c>
      <c r="O96" s="90">
        <f>IF(A96="","",SUM(E96,G96,I96,K96,M96))</f>
        <v/>
      </c>
      <c r="P96" s="335">
        <f>IF(A96="","",SUM(F96,H96,J96,L96,N96))</f>
        <v/>
      </c>
      <c r="Q96" s="198">
        <f>IF(A96="","",IF(O96&gt;B96,"DIVERGENCIA: CONSUMO MAIOR QUE CONTRATADO","OK"))</f>
        <v/>
      </c>
      <c r="R96" s="14" t="n"/>
      <c r="S96" s="14" t="n"/>
      <c r="T96" s="14" t="n"/>
      <c r="U96" s="14" t="n"/>
      <c r="V96" s="14" t="n"/>
      <c r="W96" s="14" t="n"/>
    </row>
    <row r="97">
      <c r="A97" s="98" t="n"/>
      <c r="B97" s="99" t="n"/>
      <c r="C97" s="346" t="n"/>
      <c r="D97" s="335">
        <f>IF(OR(A97="",B97="",C97=""),"",ROUND(B97*C97,2))</f>
        <v/>
      </c>
      <c r="E97" s="99" t="n"/>
      <c r="F97" s="335">
        <f>IF(OR(A97="",E97="",C97="",NOT(ISNUMBER($U$2))),"",ROUND(E97*C97*$U$2,2))</f>
        <v/>
      </c>
      <c r="G97" s="99" t="n"/>
      <c r="H97" s="335">
        <f>IF(OR(A97="",G97="",C97="",NOT(ISNUMBER($U$3))),"",ROUND(G97*C97*$U$3,2))</f>
        <v/>
      </c>
      <c r="I97" s="99" t="n"/>
      <c r="J97" s="335">
        <f>IF(OR(A97="",I97="",C97="",NOT(ISNUMBER($U$4))),"",ROUND(I97*C97*$U$4,2))</f>
        <v/>
      </c>
      <c r="K97" s="99" t="n"/>
      <c r="L97" s="335">
        <f>IF(OR(A97="",K97="",C97="",NOT(ISNUMBER($U$5))),"",ROUND(K97*C97*$U$5,2))</f>
        <v/>
      </c>
      <c r="M97" s="99" t="n"/>
      <c r="N97" s="335">
        <f>IF(OR(A97="",M97="",C97="",NOT(ISNUMBER($U$6))),"",ROUND(M97*C97*$U$6,2))</f>
        <v/>
      </c>
      <c r="O97" s="90">
        <f>IF(A97="","",SUM(E97,G97,I97,K97,M97))</f>
        <v/>
      </c>
      <c r="P97" s="335">
        <f>IF(A97="","",SUM(F97,H97,J97,L97,N97))</f>
        <v/>
      </c>
      <c r="Q97" s="198">
        <f>IF(A97="","",IF(O97&gt;B97,"DIVERGENCIA: CONSUMO MAIOR QUE CONTRATADO","OK"))</f>
        <v/>
      </c>
      <c r="R97" s="14" t="n"/>
      <c r="S97" s="14" t="n"/>
      <c r="T97" s="14" t="n"/>
      <c r="U97" s="14" t="n"/>
      <c r="V97" s="14" t="n"/>
      <c r="W97" s="14" t="n"/>
    </row>
    <row r="98">
      <c r="A98" s="98" t="n"/>
      <c r="B98" s="99" t="n"/>
      <c r="C98" s="346" t="n"/>
      <c r="D98" s="335">
        <f>IF(OR(A98="",B98="",C98=""),"",ROUND(B98*C98,2))</f>
        <v/>
      </c>
      <c r="E98" s="99" t="n"/>
      <c r="F98" s="335">
        <f>IF(OR(A98="",E98="",C98="",NOT(ISNUMBER($U$2))),"",ROUND(E98*C98*$U$2,2))</f>
        <v/>
      </c>
      <c r="G98" s="99" t="n"/>
      <c r="H98" s="335">
        <f>IF(OR(A98="",G98="",C98="",NOT(ISNUMBER($U$3))),"",ROUND(G98*C98*$U$3,2))</f>
        <v/>
      </c>
      <c r="I98" s="99" t="n"/>
      <c r="J98" s="335">
        <f>IF(OR(A98="",I98="",C98="",NOT(ISNUMBER($U$4))),"",ROUND(I98*C98*$U$4,2))</f>
        <v/>
      </c>
      <c r="K98" s="99" t="n"/>
      <c r="L98" s="335">
        <f>IF(OR(A98="",K98="",C98="",NOT(ISNUMBER($U$5))),"",ROUND(K98*C98*$U$5,2))</f>
        <v/>
      </c>
      <c r="M98" s="99" t="n"/>
      <c r="N98" s="335">
        <f>IF(OR(A98="",M98="",C98="",NOT(ISNUMBER($U$6))),"",ROUND(M98*C98*$U$6,2))</f>
        <v/>
      </c>
      <c r="O98" s="90">
        <f>IF(A98="","",SUM(E98,G98,I98,K98,M98))</f>
        <v/>
      </c>
      <c r="P98" s="335">
        <f>IF(A98="","",SUM(F98,H98,J98,L98,N98))</f>
        <v/>
      </c>
      <c r="Q98" s="198">
        <f>IF(A98="","",IF(O98&gt;B98,"DIVERGENCIA: CONSUMO MAIOR QUE CONTRATADO","OK"))</f>
        <v/>
      </c>
      <c r="R98" s="14" t="n"/>
      <c r="S98" s="14" t="n"/>
      <c r="T98" s="14" t="n"/>
      <c r="U98" s="14" t="n"/>
      <c r="V98" s="14" t="n"/>
      <c r="W98" s="14" t="n"/>
    </row>
    <row r="99">
      <c r="A99" s="98" t="n"/>
      <c r="B99" s="99" t="n"/>
      <c r="C99" s="346" t="n"/>
      <c r="D99" s="335">
        <f>IF(OR(A99="",B99="",C99=""),"",ROUND(B99*C99,2))</f>
        <v/>
      </c>
      <c r="E99" s="99" t="n"/>
      <c r="F99" s="335">
        <f>IF(OR(A99="",E99="",C99="",NOT(ISNUMBER($U$2))),"",ROUND(E99*C99*$U$2,2))</f>
        <v/>
      </c>
      <c r="G99" s="99" t="n"/>
      <c r="H99" s="335">
        <f>IF(OR(A99="",G99="",C99="",NOT(ISNUMBER($U$3))),"",ROUND(G99*C99*$U$3,2))</f>
        <v/>
      </c>
      <c r="I99" s="99" t="n"/>
      <c r="J99" s="335">
        <f>IF(OR(A99="",I99="",C99="",NOT(ISNUMBER($U$4))),"",ROUND(I99*C99*$U$4,2))</f>
        <v/>
      </c>
      <c r="K99" s="99" t="n"/>
      <c r="L99" s="335">
        <f>IF(OR(A99="",K99="",C99="",NOT(ISNUMBER($U$5))),"",ROUND(K99*C99*$U$5,2))</f>
        <v/>
      </c>
      <c r="M99" s="99" t="n"/>
      <c r="N99" s="335">
        <f>IF(OR(A99="",M99="",C99="",NOT(ISNUMBER($U$6))),"",ROUND(M99*C99*$U$6,2))</f>
        <v/>
      </c>
      <c r="O99" s="90">
        <f>IF(A99="","",SUM(E99,G99,I99,K99,M99))</f>
        <v/>
      </c>
      <c r="P99" s="335">
        <f>IF(A99="","",SUM(F99,H99,J99,L99,N99))</f>
        <v/>
      </c>
      <c r="Q99" s="198">
        <f>IF(A99="","",IF(O99&gt;B99,"DIVERGENCIA: CONSUMO MAIOR QUE CONTRATADO","OK"))</f>
        <v/>
      </c>
      <c r="R99" s="14" t="n"/>
      <c r="S99" s="14" t="n"/>
      <c r="T99" s="14" t="n"/>
      <c r="U99" s="14" t="n"/>
      <c r="V99" s="14" t="n"/>
      <c r="W99" s="14" t="n"/>
    </row>
    <row r="100">
      <c r="A100" s="98" t="n"/>
      <c r="B100" s="99" t="n"/>
      <c r="C100" s="346" t="n"/>
      <c r="D100" s="335">
        <f>IF(OR(A100="",B100="",C100=""),"",ROUND(B100*C100,2))</f>
        <v/>
      </c>
      <c r="E100" s="99" t="n"/>
      <c r="F100" s="335">
        <f>IF(OR(A100="",E100="",C100="",NOT(ISNUMBER($U$2))),"",ROUND(E100*C100*$U$2,2))</f>
        <v/>
      </c>
      <c r="G100" s="99" t="n"/>
      <c r="H100" s="335">
        <f>IF(OR(A100="",G100="",C100="",NOT(ISNUMBER($U$3))),"",ROUND(G100*C100*$U$3,2))</f>
        <v/>
      </c>
      <c r="I100" s="99" t="n"/>
      <c r="J100" s="335">
        <f>IF(OR(A100="",I100="",C100="",NOT(ISNUMBER($U$4))),"",ROUND(I100*C100*$U$4,2))</f>
        <v/>
      </c>
      <c r="K100" s="99" t="n"/>
      <c r="L100" s="335">
        <f>IF(OR(A100="",K100="",C100="",NOT(ISNUMBER($U$5))),"",ROUND(K100*C100*$U$5,2))</f>
        <v/>
      </c>
      <c r="M100" s="99" t="n"/>
      <c r="N100" s="335">
        <f>IF(OR(A100="",M100="",C100="",NOT(ISNUMBER($U$6))),"",ROUND(M100*C100*$U$6,2))</f>
        <v/>
      </c>
      <c r="O100" s="90">
        <f>IF(A100="","",SUM(E100,G100,I100,K100,M100))</f>
        <v/>
      </c>
      <c r="P100" s="335">
        <f>IF(A100="","",SUM(F100,H100,J100,L100,N100))</f>
        <v/>
      </c>
      <c r="Q100" s="198">
        <f>IF(A100="","",IF(O100&gt;B100,"DIVERGENCIA: CONSUMO MAIOR QUE CONTRATADO","OK"))</f>
        <v/>
      </c>
      <c r="R100" s="14" t="n"/>
      <c r="S100" s="14" t="n"/>
      <c r="T100" s="14" t="n"/>
      <c r="U100" s="14" t="n"/>
      <c r="V100" s="14" t="n"/>
      <c r="W100" s="14" t="n"/>
    </row>
    <row r="101">
      <c r="A101" s="98" t="n"/>
      <c r="B101" s="99" t="n"/>
      <c r="C101" s="346" t="n"/>
      <c r="D101" s="335">
        <f>IF(OR(A101="",B101="",C101=""),"",ROUND(B101*C101,2))</f>
        <v/>
      </c>
      <c r="E101" s="99" t="n"/>
      <c r="F101" s="335">
        <f>IF(OR(A101="",E101="",C101="",NOT(ISNUMBER($U$2))),"",ROUND(E101*C101*$U$2,2))</f>
        <v/>
      </c>
      <c r="G101" s="99" t="n"/>
      <c r="H101" s="335">
        <f>IF(OR(A101="",G101="",C101="",NOT(ISNUMBER($U$3))),"",ROUND(G101*C101*$U$3,2))</f>
        <v/>
      </c>
      <c r="I101" s="99" t="n"/>
      <c r="J101" s="335">
        <f>IF(OR(A101="",I101="",C101="",NOT(ISNUMBER($U$4))),"",ROUND(I101*C101*$U$4,2))</f>
        <v/>
      </c>
      <c r="K101" s="99" t="n"/>
      <c r="L101" s="335">
        <f>IF(OR(A101="",K101="",C101="",NOT(ISNUMBER($U$5))),"",ROUND(K101*C101*$U$5,2))</f>
        <v/>
      </c>
      <c r="M101" s="99" t="n"/>
      <c r="N101" s="335">
        <f>IF(OR(A101="",M101="",C101="",NOT(ISNUMBER($U$6))),"",ROUND(M101*C101*$U$6,2))</f>
        <v/>
      </c>
      <c r="O101" s="90">
        <f>IF(A101="","",SUM(E101,G101,I101,K101,M101))</f>
        <v/>
      </c>
      <c r="P101" s="335">
        <f>IF(A101="","",SUM(F101,H101,J101,L101,N101))</f>
        <v/>
      </c>
      <c r="Q101" s="198">
        <f>IF(A101="","",IF(O101&gt;B101,"DIVERGENCIA: CONSUMO MAIOR QUE CONTRATADO","OK"))</f>
        <v/>
      </c>
      <c r="R101" s="27" t="n"/>
      <c r="S101" s="27" t="n"/>
      <c r="T101" s="27" t="n"/>
      <c r="U101" s="27" t="n"/>
      <c r="V101" s="27" t="n"/>
      <c r="W101" s="27" t="n"/>
    </row>
    <row r="102">
      <c r="A102" s="98" t="n"/>
      <c r="B102" s="99" t="n"/>
      <c r="C102" s="346" t="n"/>
      <c r="D102" s="335">
        <f>IF(OR(A102="",B102="",C102=""),"",ROUND(B102*C102,2))</f>
        <v/>
      </c>
      <c r="E102" s="99" t="n"/>
      <c r="F102" s="335">
        <f>IF(OR(A102="",E102="",C102="",NOT(ISNUMBER($U$2))),"",ROUND(E102*C102*$U$2,2))</f>
        <v/>
      </c>
      <c r="G102" s="99" t="n"/>
      <c r="H102" s="335">
        <f>IF(OR(A102="",G102="",C102="",NOT(ISNUMBER($U$3))),"",ROUND(G102*C102*$U$3,2))</f>
        <v/>
      </c>
      <c r="I102" s="99" t="n"/>
      <c r="J102" s="335">
        <f>IF(OR(A102="",I102="",C102="",NOT(ISNUMBER($U$4))),"",ROUND(I102*C102*$U$4,2))</f>
        <v/>
      </c>
      <c r="K102" s="99" t="n"/>
      <c r="L102" s="335">
        <f>IF(OR(A102="",K102="",C102="",NOT(ISNUMBER($U$5))),"",ROUND(K102*C102*$U$5,2))</f>
        <v/>
      </c>
      <c r="M102" s="99" t="n"/>
      <c r="N102" s="335">
        <f>IF(OR(A102="",M102="",C102="",NOT(ISNUMBER($U$6))),"",ROUND(M102*C102*$U$6,2))</f>
        <v/>
      </c>
      <c r="O102" s="90">
        <f>IF(A102="","",SUM(E102,G102,I102,K102,M102))</f>
        <v/>
      </c>
      <c r="P102" s="335">
        <f>IF(A102="","",SUM(F102,H102,J102,L102,N102))</f>
        <v/>
      </c>
      <c r="Q102" s="198">
        <f>IF(A102="","",IF(O102&gt;B102,"DIVERGENCIA: CONSUMO MAIOR QUE CONTRATADO","OK"))</f>
        <v/>
      </c>
      <c r="R102" s="27" t="n"/>
      <c r="S102" s="27" t="n"/>
      <c r="T102" s="27" t="n"/>
      <c r="U102" s="27" t="n"/>
      <c r="V102" s="27" t="n"/>
      <c r="W102" s="27" t="n"/>
    </row>
    <row r="103">
      <c r="A103" s="98" t="n"/>
      <c r="B103" s="99" t="n"/>
      <c r="C103" s="346" t="n"/>
      <c r="D103" s="335">
        <f>IF(OR(A103="",B103="",C103=""),"",ROUND(B103*C103,2))</f>
        <v/>
      </c>
      <c r="E103" s="99" t="n"/>
      <c r="F103" s="335">
        <f>IF(OR(A103="",E103="",C103="",NOT(ISNUMBER($U$2))),"",ROUND(E103*C103*$U$2,2))</f>
        <v/>
      </c>
      <c r="G103" s="99" t="n"/>
      <c r="H103" s="335">
        <f>IF(OR(A103="",G103="",C103="",NOT(ISNUMBER($U$3))),"",ROUND(G103*C103*$U$3,2))</f>
        <v/>
      </c>
      <c r="I103" s="99" t="n"/>
      <c r="J103" s="335">
        <f>IF(OR(A103="",I103="",C103="",NOT(ISNUMBER($U$4))),"",ROUND(I103*C103*$U$4,2))</f>
        <v/>
      </c>
      <c r="K103" s="99" t="n"/>
      <c r="L103" s="335">
        <f>IF(OR(A103="",K103="",C103="",NOT(ISNUMBER($U$5))),"",ROUND(K103*C103*$U$5,2))</f>
        <v/>
      </c>
      <c r="M103" s="99" t="n"/>
      <c r="N103" s="335">
        <f>IF(OR(A103="",M103="",C103="",NOT(ISNUMBER($U$6))),"",ROUND(M103*C103*$U$6,2))</f>
        <v/>
      </c>
      <c r="O103" s="90">
        <f>IF(A103="","",SUM(E103,G103,I103,K103,M103))</f>
        <v/>
      </c>
      <c r="P103" s="335">
        <f>IF(A103="","",SUM(F103,H103,J103,L103,N103))</f>
        <v/>
      </c>
      <c r="Q103" s="198">
        <f>IF(A103="","",IF(O103&gt;B103,"DIVERGENCIA: CONSUMO MAIOR QUE CONTRATADO","OK"))</f>
        <v/>
      </c>
      <c r="R103" s="27" t="n"/>
      <c r="S103" s="27" t="n"/>
      <c r="T103" s="27" t="n"/>
      <c r="U103" s="27" t="n"/>
      <c r="V103" s="27" t="n"/>
      <c r="W103" s="27" t="n"/>
    </row>
    <row r="104">
      <c r="A104" s="98" t="n"/>
      <c r="B104" s="99" t="n"/>
      <c r="C104" s="346" t="n"/>
      <c r="D104" s="335">
        <f>IF(OR(A104="",B104="",C104=""),"",ROUND(B104*C104,2))</f>
        <v/>
      </c>
      <c r="E104" s="99" t="n"/>
      <c r="F104" s="335">
        <f>IF(OR(A104="",E104="",C104="",NOT(ISNUMBER($U$2))),"",ROUND(E104*C104*$U$2,2))</f>
        <v/>
      </c>
      <c r="G104" s="99" t="n"/>
      <c r="H104" s="335">
        <f>IF(OR(A104="",G104="",C104="",NOT(ISNUMBER($U$3))),"",ROUND(G104*C104*$U$3,2))</f>
        <v/>
      </c>
      <c r="I104" s="99" t="n"/>
      <c r="J104" s="335">
        <f>IF(OR(A104="",I104="",C104="",NOT(ISNUMBER($U$4))),"",ROUND(I104*C104*$U$4,2))</f>
        <v/>
      </c>
      <c r="K104" s="99" t="n"/>
      <c r="L104" s="335">
        <f>IF(OR(A104="",K104="",C104="",NOT(ISNUMBER($U$5))),"",ROUND(K104*C104*$U$5,2))</f>
        <v/>
      </c>
      <c r="M104" s="99" t="n"/>
      <c r="N104" s="335">
        <f>IF(OR(A104="",M104="",C104="",NOT(ISNUMBER($U$6))),"",ROUND(M104*C104*$U$6,2))</f>
        <v/>
      </c>
      <c r="O104" s="90">
        <f>IF(A104="","",SUM(E104,G104,I104,K104,M104))</f>
        <v/>
      </c>
      <c r="P104" s="335">
        <f>IF(A104="","",SUM(F104,H104,J104,L104,N104))</f>
        <v/>
      </c>
      <c r="Q104" s="198">
        <f>IF(A104="","",IF(O104&gt;B104,"DIVERGENCIA: CONSUMO MAIOR QUE CONTRATADO","OK"))</f>
        <v/>
      </c>
      <c r="R104" s="27" t="n"/>
      <c r="S104" s="27" t="n"/>
      <c r="T104" s="27" t="n"/>
      <c r="U104" s="27" t="n"/>
      <c r="V104" s="27" t="n"/>
      <c r="W104" s="27" t="n"/>
    </row>
    <row r="105">
      <c r="A105" s="98" t="n"/>
      <c r="B105" s="99" t="n"/>
      <c r="C105" s="346" t="n"/>
      <c r="D105" s="335">
        <f>IF(OR(A105="",B105="",C105=""),"",ROUND(B105*C105,2))</f>
        <v/>
      </c>
      <c r="E105" s="99" t="n"/>
      <c r="F105" s="335">
        <f>IF(OR(A105="",E105="",C105="",NOT(ISNUMBER($U$2))),"",ROUND(E105*C105*$U$2,2))</f>
        <v/>
      </c>
      <c r="G105" s="99" t="n"/>
      <c r="H105" s="335">
        <f>IF(OR(A105="",G105="",C105="",NOT(ISNUMBER($U$3))),"",ROUND(G105*C105*$U$3,2))</f>
        <v/>
      </c>
      <c r="I105" s="99" t="n"/>
      <c r="J105" s="335">
        <f>IF(OR(A105="",I105="",C105="",NOT(ISNUMBER($U$4))),"",ROUND(I105*C105*$U$4,2))</f>
        <v/>
      </c>
      <c r="K105" s="99" t="n"/>
      <c r="L105" s="335">
        <f>IF(OR(A105="",K105="",C105="",NOT(ISNUMBER($U$5))),"",ROUND(K105*C105*$U$5,2))</f>
        <v/>
      </c>
      <c r="M105" s="99" t="n"/>
      <c r="N105" s="335">
        <f>IF(OR(A105="",M105="",C105="",NOT(ISNUMBER($U$6))),"",ROUND(M105*C105*$U$6,2))</f>
        <v/>
      </c>
      <c r="O105" s="90">
        <f>IF(A105="","",SUM(E105,G105,I105,K105,M105))</f>
        <v/>
      </c>
      <c r="P105" s="335">
        <f>IF(A105="","",SUM(F105,H105,J105,L105,N105))</f>
        <v/>
      </c>
      <c r="Q105" s="198">
        <f>IF(A105="","",IF(O105&gt;B105,"DIVERGENCIA: CONSUMO MAIOR QUE CONTRATADO","OK"))</f>
        <v/>
      </c>
      <c r="R105" s="27" t="n"/>
      <c r="S105" s="27" t="n"/>
      <c r="T105" s="27" t="n"/>
      <c r="U105" s="27" t="n"/>
      <c r="V105" s="27" t="n"/>
      <c r="W105" s="27" t="n"/>
    </row>
    <row r="106">
      <c r="A106" s="98" t="n"/>
      <c r="B106" s="99" t="n"/>
      <c r="C106" s="346" t="n"/>
      <c r="D106" s="335">
        <f>IF(OR(A106="",B106="",C106=""),"",ROUND(B106*C106,2))</f>
        <v/>
      </c>
      <c r="E106" s="99" t="n"/>
      <c r="F106" s="335">
        <f>IF(OR(A106="",E106="",C106="",NOT(ISNUMBER($U$2))),"",ROUND(E106*C106*$U$2,2))</f>
        <v/>
      </c>
      <c r="G106" s="99" t="n"/>
      <c r="H106" s="335">
        <f>IF(OR(A106="",G106="",C106="",NOT(ISNUMBER($U$3))),"",ROUND(G106*C106*$U$3,2))</f>
        <v/>
      </c>
      <c r="I106" s="99" t="n"/>
      <c r="J106" s="335">
        <f>IF(OR(A106="",I106="",C106="",NOT(ISNUMBER($U$4))),"",ROUND(I106*C106*$U$4,2))</f>
        <v/>
      </c>
      <c r="K106" s="99" t="n"/>
      <c r="L106" s="335">
        <f>IF(OR(A106="",K106="",C106="",NOT(ISNUMBER($U$5))),"",ROUND(K106*C106*$U$5,2))</f>
        <v/>
      </c>
      <c r="M106" s="99" t="n"/>
      <c r="N106" s="335">
        <f>IF(OR(A106="",M106="",C106="",NOT(ISNUMBER($U$6))),"",ROUND(M106*C106*$U$6,2))</f>
        <v/>
      </c>
      <c r="O106" s="90">
        <f>IF(A106="","",SUM(E106,G106,I106,K106,M106))</f>
        <v/>
      </c>
      <c r="P106" s="335">
        <f>IF(A106="","",SUM(F106,H106,J106,L106,N106))</f>
        <v/>
      </c>
      <c r="Q106" s="198">
        <f>IF(A106="","",IF(O106&gt;B106,"DIVERGENCIA: CONSUMO MAIOR QUE CONTRATADO","OK"))</f>
        <v/>
      </c>
      <c r="R106" s="27" t="n"/>
      <c r="S106" s="27" t="n"/>
      <c r="T106" s="27" t="n"/>
      <c r="U106" s="27" t="n"/>
      <c r="V106" s="27" t="n"/>
      <c r="W106" s="27" t="n"/>
    </row>
    <row r="107">
      <c r="A107" s="98" t="n"/>
      <c r="B107" s="99" t="n"/>
      <c r="C107" s="346" t="n"/>
      <c r="D107" s="335">
        <f>IF(OR(A107="",B107="",C107=""),"",ROUND(B107*C107,2))</f>
        <v/>
      </c>
      <c r="E107" s="99" t="n"/>
      <c r="F107" s="335">
        <f>IF(OR(A107="",E107="",C107="",NOT(ISNUMBER($U$2))),"",ROUND(E107*C107*$U$2,2))</f>
        <v/>
      </c>
      <c r="G107" s="99" t="n"/>
      <c r="H107" s="335">
        <f>IF(OR(A107="",G107="",C107="",NOT(ISNUMBER($U$3))),"",ROUND(G107*C107*$U$3,2))</f>
        <v/>
      </c>
      <c r="I107" s="99" t="n"/>
      <c r="J107" s="335">
        <f>IF(OR(A107="",I107="",C107="",NOT(ISNUMBER($U$4))),"",ROUND(I107*C107*$U$4,2))</f>
        <v/>
      </c>
      <c r="K107" s="99" t="n"/>
      <c r="L107" s="335">
        <f>IF(OR(A107="",K107="",C107="",NOT(ISNUMBER($U$5))),"",ROUND(K107*C107*$U$5,2))</f>
        <v/>
      </c>
      <c r="M107" s="99" t="n"/>
      <c r="N107" s="335">
        <f>IF(OR(A107="",M107="",C107="",NOT(ISNUMBER($U$6))),"",ROUND(M107*C107*$U$6,2))</f>
        <v/>
      </c>
      <c r="O107" s="90">
        <f>IF(A107="","",SUM(E107,G107,I107,K107,M107))</f>
        <v/>
      </c>
      <c r="P107" s="335">
        <f>IF(A107="","",SUM(F107,H107,J107,L107,N107))</f>
        <v/>
      </c>
      <c r="Q107" s="198">
        <f>IF(A107="","",IF(O107&gt;B107,"DIVERGENCIA: CONSUMO MAIOR QUE CONTRATADO","OK"))</f>
        <v/>
      </c>
      <c r="R107" s="27" t="n"/>
      <c r="S107" s="27" t="n"/>
      <c r="T107" s="27" t="n"/>
      <c r="U107" s="27" t="n"/>
      <c r="V107" s="27" t="n"/>
      <c r="W107" s="27" t="n"/>
    </row>
    <row r="108">
      <c r="A108" s="98" t="n"/>
      <c r="B108" s="99" t="n"/>
      <c r="C108" s="346" t="n"/>
      <c r="D108" s="335">
        <f>IF(OR(A108="",B108="",C108=""),"",ROUND(B108*C108,2))</f>
        <v/>
      </c>
      <c r="E108" s="99" t="n"/>
      <c r="F108" s="335">
        <f>IF(OR(A108="",E108="",C108="",NOT(ISNUMBER($U$2))),"",ROUND(E108*C108*$U$2,2))</f>
        <v/>
      </c>
      <c r="G108" s="99" t="n"/>
      <c r="H108" s="335">
        <f>IF(OR(A108="",G108="",C108="",NOT(ISNUMBER($U$3))),"",ROUND(G108*C108*$U$3,2))</f>
        <v/>
      </c>
      <c r="I108" s="99" t="n"/>
      <c r="J108" s="335">
        <f>IF(OR(A108="",I108="",C108="",NOT(ISNUMBER($U$4))),"",ROUND(I108*C108*$U$4,2))</f>
        <v/>
      </c>
      <c r="K108" s="99" t="n"/>
      <c r="L108" s="335">
        <f>IF(OR(A108="",K108="",C108="",NOT(ISNUMBER($U$5))),"",ROUND(K108*C108*$U$5,2))</f>
        <v/>
      </c>
      <c r="M108" s="99" t="n"/>
      <c r="N108" s="335">
        <f>IF(OR(A108="",M108="",C108="",NOT(ISNUMBER($U$6))),"",ROUND(M108*C108*$U$6,2))</f>
        <v/>
      </c>
      <c r="O108" s="90">
        <f>IF(A108="","",SUM(E108,G108,I108,K108,M108))</f>
        <v/>
      </c>
      <c r="P108" s="335">
        <f>IF(A108="","",SUM(F108,H108,J108,L108,N108))</f>
        <v/>
      </c>
      <c r="Q108" s="198">
        <f>IF(A108="","",IF(O108&gt;B108,"DIVERGENCIA: CONSUMO MAIOR QUE CONTRATADO","OK"))</f>
        <v/>
      </c>
      <c r="R108" s="27" t="n"/>
      <c r="S108" s="27" t="n"/>
      <c r="T108" s="27" t="n"/>
      <c r="U108" s="27" t="n"/>
      <c r="V108" s="27" t="n"/>
      <c r="W108" s="27" t="n"/>
    </row>
    <row r="109">
      <c r="A109" s="98" t="n"/>
      <c r="B109" s="99" t="n"/>
      <c r="C109" s="346" t="n"/>
      <c r="D109" s="335">
        <f>IF(OR(A109="",B109="",C109=""),"",ROUND(B109*C109,2))</f>
        <v/>
      </c>
      <c r="E109" s="99" t="n"/>
      <c r="F109" s="335">
        <f>IF(OR(A109="",E109="",C109="",NOT(ISNUMBER($U$2))),"",ROUND(E109*C109*$U$2,2))</f>
        <v/>
      </c>
      <c r="G109" s="99" t="n"/>
      <c r="H109" s="335">
        <f>IF(OR(A109="",G109="",C109="",NOT(ISNUMBER($U$3))),"",ROUND(G109*C109*$U$3,2))</f>
        <v/>
      </c>
      <c r="I109" s="99" t="n"/>
      <c r="J109" s="335">
        <f>IF(OR(A109="",I109="",C109="",NOT(ISNUMBER($U$4))),"",ROUND(I109*C109*$U$4,2))</f>
        <v/>
      </c>
      <c r="K109" s="99" t="n"/>
      <c r="L109" s="335">
        <f>IF(OR(A109="",K109="",C109="",NOT(ISNUMBER($U$5))),"",ROUND(K109*C109*$U$5,2))</f>
        <v/>
      </c>
      <c r="M109" s="99" t="n"/>
      <c r="N109" s="335">
        <f>IF(OR(A109="",M109="",C109="",NOT(ISNUMBER($U$6))),"",ROUND(M109*C109*$U$6,2))</f>
        <v/>
      </c>
      <c r="O109" s="90">
        <f>IF(A109="","",SUM(E109,G109,I109,K109,M109))</f>
        <v/>
      </c>
      <c r="P109" s="335">
        <f>IF(A109="","",SUM(F109,H109,J109,L109,N109))</f>
        <v/>
      </c>
      <c r="Q109" s="198">
        <f>IF(A109="","",IF(O109&gt;B109,"DIVERGENCIA: CONSUMO MAIOR QUE CONTRATADO","OK"))</f>
        <v/>
      </c>
      <c r="R109" s="27" t="n"/>
      <c r="S109" s="27" t="n"/>
      <c r="T109" s="27" t="n"/>
      <c r="U109" s="27" t="n"/>
      <c r="V109" s="27" t="n"/>
      <c r="W109" s="27" t="n"/>
    </row>
    <row r="110">
      <c r="A110" s="98" t="n"/>
      <c r="B110" s="99" t="n"/>
      <c r="C110" s="346" t="n"/>
      <c r="D110" s="335">
        <f>IF(OR(A110="",B110="",C110=""),"",ROUND(B110*C110,2))</f>
        <v/>
      </c>
      <c r="E110" s="99" t="n"/>
      <c r="F110" s="335">
        <f>IF(OR(A110="",E110="",C110="",NOT(ISNUMBER($U$2))),"",ROUND(E110*C110*$U$2,2))</f>
        <v/>
      </c>
      <c r="G110" s="99" t="n"/>
      <c r="H110" s="335">
        <f>IF(OR(A110="",G110="",C110="",NOT(ISNUMBER($U$3))),"",ROUND(G110*C110*$U$3,2))</f>
        <v/>
      </c>
      <c r="I110" s="99" t="n"/>
      <c r="J110" s="335">
        <f>IF(OR(A110="",I110="",C110="",NOT(ISNUMBER($U$4))),"",ROUND(I110*C110*$U$4,2))</f>
        <v/>
      </c>
      <c r="K110" s="99" t="n"/>
      <c r="L110" s="335">
        <f>IF(OR(A110="",K110="",C110="",NOT(ISNUMBER($U$5))),"",ROUND(K110*C110*$U$5,2))</f>
        <v/>
      </c>
      <c r="M110" s="99" t="n"/>
      <c r="N110" s="335">
        <f>IF(OR(A110="",M110="",C110="",NOT(ISNUMBER($U$6))),"",ROUND(M110*C110*$U$6,2))</f>
        <v/>
      </c>
      <c r="O110" s="90">
        <f>IF(A110="","",SUM(E110,G110,I110,K110,M110))</f>
        <v/>
      </c>
      <c r="P110" s="335">
        <f>IF(A110="","",SUM(F110,H110,J110,L110,N110))</f>
        <v/>
      </c>
      <c r="Q110" s="198">
        <f>IF(A110="","",IF(O110&gt;B110,"DIVERGENCIA: CONSUMO MAIOR QUE CONTRATADO","OK"))</f>
        <v/>
      </c>
      <c r="R110" s="27" t="n"/>
      <c r="S110" s="27" t="n"/>
      <c r="T110" s="27" t="n"/>
      <c r="U110" s="27" t="n"/>
      <c r="V110" s="27" t="n"/>
      <c r="W110" s="27" t="n"/>
    </row>
    <row r="111">
      <c r="A111" s="98" t="n"/>
      <c r="B111" s="99" t="n"/>
      <c r="C111" s="346" t="n"/>
      <c r="D111" s="335">
        <f>IF(OR(A111="",B111="",C111=""),"",ROUND(B111*C111,2))</f>
        <v/>
      </c>
      <c r="E111" s="99" t="n"/>
      <c r="F111" s="335">
        <f>IF(OR(A111="",E111="",C111="",NOT(ISNUMBER($U$2))),"",ROUND(E111*C111*$U$2,2))</f>
        <v/>
      </c>
      <c r="G111" s="99" t="n"/>
      <c r="H111" s="335">
        <f>IF(OR(A111="",G111="",C111="",NOT(ISNUMBER($U$3))),"",ROUND(G111*C111*$U$3,2))</f>
        <v/>
      </c>
      <c r="I111" s="99" t="n"/>
      <c r="J111" s="335">
        <f>IF(OR(A111="",I111="",C111="",NOT(ISNUMBER($U$4))),"",ROUND(I111*C111*$U$4,2))</f>
        <v/>
      </c>
      <c r="K111" s="99" t="n"/>
      <c r="L111" s="335">
        <f>IF(OR(A111="",K111="",C111="",NOT(ISNUMBER($U$5))),"",ROUND(K111*C111*$U$5,2))</f>
        <v/>
      </c>
      <c r="M111" s="99" t="n"/>
      <c r="N111" s="335">
        <f>IF(OR(A111="",M111="",C111="",NOT(ISNUMBER($U$6))),"",ROUND(M111*C111*$U$6,2))</f>
        <v/>
      </c>
      <c r="O111" s="90">
        <f>IF(A111="","",SUM(E111,G111,I111,K111,M111))</f>
        <v/>
      </c>
      <c r="P111" s="335">
        <f>IF(A111="","",SUM(F111,H111,J111,L111,N111))</f>
        <v/>
      </c>
      <c r="Q111" s="198">
        <f>IF(A111="","",IF(O111&gt;B111,"DIVERGENCIA: CONSUMO MAIOR QUE CONTRATADO","OK"))</f>
        <v/>
      </c>
      <c r="R111" s="27" t="n"/>
      <c r="S111" s="27" t="n"/>
      <c r="T111" s="27" t="n"/>
      <c r="U111" s="27" t="n"/>
      <c r="V111" s="27" t="n"/>
      <c r="W111" s="27" t="n"/>
    </row>
    <row r="112">
      <c r="A112" s="98" t="n"/>
      <c r="B112" s="99" t="n"/>
      <c r="C112" s="346" t="n"/>
      <c r="D112" s="335">
        <f>IF(OR(A112="",B112="",C112=""),"",ROUND(B112*C112,2))</f>
        <v/>
      </c>
      <c r="E112" s="99" t="n"/>
      <c r="F112" s="335">
        <f>IF(OR(A112="",E112="",C112="",NOT(ISNUMBER($U$2))),"",ROUND(E112*C112*$U$2,2))</f>
        <v/>
      </c>
      <c r="G112" s="99" t="n"/>
      <c r="H112" s="335">
        <f>IF(OR(A112="",G112="",C112="",NOT(ISNUMBER($U$3))),"",ROUND(G112*C112*$U$3,2))</f>
        <v/>
      </c>
      <c r="I112" s="99" t="n"/>
      <c r="J112" s="335">
        <f>IF(OR(A112="",I112="",C112="",NOT(ISNUMBER($U$4))),"",ROUND(I112*C112*$U$4,2))</f>
        <v/>
      </c>
      <c r="K112" s="99" t="n"/>
      <c r="L112" s="335">
        <f>IF(OR(A112="",K112="",C112="",NOT(ISNUMBER($U$5))),"",ROUND(K112*C112*$U$5,2))</f>
        <v/>
      </c>
      <c r="M112" s="99" t="n"/>
      <c r="N112" s="335">
        <f>IF(OR(A112="",M112="",C112="",NOT(ISNUMBER($U$6))),"",ROUND(M112*C112*$U$6,2))</f>
        <v/>
      </c>
      <c r="O112" s="90">
        <f>IF(A112="","",SUM(E112,G112,I112,K112,M112))</f>
        <v/>
      </c>
      <c r="P112" s="335">
        <f>IF(A112="","",SUM(F112,H112,J112,L112,N112))</f>
        <v/>
      </c>
      <c r="Q112" s="198">
        <f>IF(A112="","",IF(O112&gt;B112,"DIVERGENCIA: CONSUMO MAIOR QUE CONTRATADO","OK"))</f>
        <v/>
      </c>
      <c r="R112" s="27" t="n"/>
      <c r="S112" s="27" t="n"/>
      <c r="T112" s="27" t="n"/>
      <c r="U112" s="27" t="n"/>
      <c r="V112" s="27" t="n"/>
      <c r="W112" s="27" t="n"/>
    </row>
    <row r="113">
      <c r="A113" s="98" t="n"/>
      <c r="B113" s="99" t="n"/>
      <c r="C113" s="346" t="n"/>
      <c r="D113" s="335">
        <f>IF(OR(A113="",B113="",C113=""),"",ROUND(B113*C113,2))</f>
        <v/>
      </c>
      <c r="E113" s="99" t="n"/>
      <c r="F113" s="335">
        <f>IF(OR(A113="",E113="",C113="",NOT(ISNUMBER($U$2))),"",ROUND(E113*C113*$U$2,2))</f>
        <v/>
      </c>
      <c r="G113" s="99" t="n"/>
      <c r="H113" s="335">
        <f>IF(OR(A113="",G113="",C113="",NOT(ISNUMBER($U$3))),"",ROUND(G113*C113*$U$3,2))</f>
        <v/>
      </c>
      <c r="I113" s="99" t="n"/>
      <c r="J113" s="335">
        <f>IF(OR(A113="",I113="",C113="",NOT(ISNUMBER($U$4))),"",ROUND(I113*C113*$U$4,2))</f>
        <v/>
      </c>
      <c r="K113" s="99" t="n"/>
      <c r="L113" s="335">
        <f>IF(OR(A113="",K113="",C113="",NOT(ISNUMBER($U$5))),"",ROUND(K113*C113*$U$5,2))</f>
        <v/>
      </c>
      <c r="M113" s="99" t="n"/>
      <c r="N113" s="335">
        <f>IF(OR(A113="",M113="",C113="",NOT(ISNUMBER($U$6))),"",ROUND(M113*C113*$U$6,2))</f>
        <v/>
      </c>
      <c r="O113" s="90">
        <f>IF(A113="","",SUM(E113,G113,I113,K113,M113))</f>
        <v/>
      </c>
      <c r="P113" s="335">
        <f>IF(A113="","",SUM(F113,H113,J113,L113,N113))</f>
        <v/>
      </c>
      <c r="Q113" s="198">
        <f>IF(A113="","",IF(O113&gt;B113,"DIVERGENCIA: CONSUMO MAIOR QUE CONTRATADO","OK"))</f>
        <v/>
      </c>
      <c r="R113" s="27" t="n"/>
      <c r="S113" s="27" t="n"/>
      <c r="T113" s="27" t="n"/>
      <c r="U113" s="27" t="n"/>
      <c r="V113" s="27" t="n"/>
      <c r="W113" s="27" t="n"/>
    </row>
    <row r="114">
      <c r="A114" s="98" t="n"/>
      <c r="B114" s="99" t="n"/>
      <c r="C114" s="346" t="n"/>
      <c r="D114" s="335">
        <f>IF(OR(A114="",B114="",C114=""),"",ROUND(B114*C114,2))</f>
        <v/>
      </c>
      <c r="E114" s="99" t="n"/>
      <c r="F114" s="335">
        <f>IF(OR(A114="",E114="",C114="",NOT(ISNUMBER($U$2))),"",ROUND(E114*C114*$U$2,2))</f>
        <v/>
      </c>
      <c r="G114" s="99" t="n"/>
      <c r="H114" s="335">
        <f>IF(OR(A114="",G114="",C114="",NOT(ISNUMBER($U$3))),"",ROUND(G114*C114*$U$3,2))</f>
        <v/>
      </c>
      <c r="I114" s="99" t="n"/>
      <c r="J114" s="335">
        <f>IF(OR(A114="",I114="",C114="",NOT(ISNUMBER($U$4))),"",ROUND(I114*C114*$U$4,2))</f>
        <v/>
      </c>
      <c r="K114" s="99" t="n"/>
      <c r="L114" s="335">
        <f>IF(OR(A114="",K114="",C114="",NOT(ISNUMBER($U$5))),"",ROUND(K114*C114*$U$5,2))</f>
        <v/>
      </c>
      <c r="M114" s="99" t="n"/>
      <c r="N114" s="335">
        <f>IF(OR(A114="",M114="",C114="",NOT(ISNUMBER($U$6))),"",ROUND(M114*C114*$U$6,2))</f>
        <v/>
      </c>
      <c r="O114" s="90">
        <f>IF(A114="","",SUM(E114,G114,I114,K114,M114))</f>
        <v/>
      </c>
      <c r="P114" s="335">
        <f>IF(A114="","",SUM(F114,H114,J114,L114,N114))</f>
        <v/>
      </c>
      <c r="Q114" s="198">
        <f>IF(A114="","",IF(O114&gt;B114,"DIVERGENCIA: CONSUMO MAIOR QUE CONTRATADO","OK"))</f>
        <v/>
      </c>
      <c r="R114" s="27" t="n"/>
      <c r="S114" s="27" t="n"/>
      <c r="T114" s="27" t="n"/>
      <c r="U114" s="27" t="n"/>
      <c r="V114" s="27" t="n"/>
      <c r="W114" s="27" t="n"/>
    </row>
    <row r="115">
      <c r="A115" s="98" t="n"/>
      <c r="B115" s="99" t="n"/>
      <c r="C115" s="346" t="n"/>
      <c r="D115" s="335">
        <f>IF(OR(A115="",B115="",C115=""),"",ROUND(B115*C115,2))</f>
        <v/>
      </c>
      <c r="E115" s="99" t="n"/>
      <c r="F115" s="335">
        <f>IF(OR(A115="",E115="",C115="",NOT(ISNUMBER($U$2))),"",ROUND(E115*C115*$U$2,2))</f>
        <v/>
      </c>
      <c r="G115" s="99" t="n"/>
      <c r="H115" s="335">
        <f>IF(OR(A115="",G115="",C115="",NOT(ISNUMBER($U$3))),"",ROUND(G115*C115*$U$3,2))</f>
        <v/>
      </c>
      <c r="I115" s="99" t="n"/>
      <c r="J115" s="335">
        <f>IF(OR(A115="",I115="",C115="",NOT(ISNUMBER($U$4))),"",ROUND(I115*C115*$U$4,2))</f>
        <v/>
      </c>
      <c r="K115" s="99" t="n"/>
      <c r="L115" s="335">
        <f>IF(OR(A115="",K115="",C115="",NOT(ISNUMBER($U$5))),"",ROUND(K115*C115*$U$5,2))</f>
        <v/>
      </c>
      <c r="M115" s="99" t="n"/>
      <c r="N115" s="335">
        <f>IF(OR(A115="",M115="",C115="",NOT(ISNUMBER($U$6))),"",ROUND(M115*C115*$U$6,2))</f>
        <v/>
      </c>
      <c r="O115" s="90">
        <f>IF(A115="","",SUM(E115,G115,I115,K115,M115))</f>
        <v/>
      </c>
      <c r="P115" s="335">
        <f>IF(A115="","",SUM(F115,H115,J115,L115,N115))</f>
        <v/>
      </c>
      <c r="Q115" s="198">
        <f>IF(A115="","",IF(O115&gt;B115,"DIVERGENCIA: CONSUMO MAIOR QUE CONTRATADO","OK"))</f>
        <v/>
      </c>
      <c r="R115" s="27" t="n"/>
      <c r="S115" s="27" t="n"/>
      <c r="T115" s="27" t="n"/>
      <c r="U115" s="27" t="n"/>
      <c r="V115" s="27" t="n"/>
      <c r="W115" s="27" t="n"/>
    </row>
    <row r="116">
      <c r="A116" s="98" t="n"/>
      <c r="B116" s="99" t="n"/>
      <c r="C116" s="346" t="n"/>
      <c r="D116" s="335">
        <f>IF(OR(A116="",B116="",C116=""),"",ROUND(B116*C116,2))</f>
        <v/>
      </c>
      <c r="E116" s="99" t="n"/>
      <c r="F116" s="335">
        <f>IF(OR(A116="",E116="",C116="",NOT(ISNUMBER($U$2))),"",ROUND(E116*C116*$U$2,2))</f>
        <v/>
      </c>
      <c r="G116" s="99" t="n"/>
      <c r="H116" s="335">
        <f>IF(OR(A116="",G116="",C116="",NOT(ISNUMBER($U$3))),"",ROUND(G116*C116*$U$3,2))</f>
        <v/>
      </c>
      <c r="I116" s="99" t="n"/>
      <c r="J116" s="335">
        <f>IF(OR(A116="",I116="",C116="",NOT(ISNUMBER($U$4))),"",ROUND(I116*C116*$U$4,2))</f>
        <v/>
      </c>
      <c r="K116" s="99" t="n"/>
      <c r="L116" s="335">
        <f>IF(OR(A116="",K116="",C116="",NOT(ISNUMBER($U$5))),"",ROUND(K116*C116*$U$5,2))</f>
        <v/>
      </c>
      <c r="M116" s="99" t="n"/>
      <c r="N116" s="335">
        <f>IF(OR(A116="",M116="",C116="",NOT(ISNUMBER($U$6))),"",ROUND(M116*C116*$U$6,2))</f>
        <v/>
      </c>
      <c r="O116" s="90">
        <f>IF(A116="","",SUM(E116,G116,I116,K116,M116))</f>
        <v/>
      </c>
      <c r="P116" s="335">
        <f>IF(A116="","",SUM(F116,H116,J116,L116,N116))</f>
        <v/>
      </c>
      <c r="Q116" s="198">
        <f>IF(A116="","",IF(O116&gt;B116,"DIVERGENCIA: CONSUMO MAIOR QUE CONTRATADO","OK"))</f>
        <v/>
      </c>
      <c r="R116" s="27" t="n"/>
      <c r="S116" s="27" t="n"/>
      <c r="T116" s="27" t="n"/>
      <c r="U116" s="27" t="n"/>
      <c r="V116" s="27" t="n"/>
      <c r="W116" s="27" t="n"/>
    </row>
    <row r="117">
      <c r="A117" s="98" t="n"/>
      <c r="B117" s="99" t="n"/>
      <c r="C117" s="346" t="n"/>
      <c r="D117" s="335">
        <f>IF(OR(A117="",B117="",C117=""),"",ROUND(B117*C117,2))</f>
        <v/>
      </c>
      <c r="E117" s="99" t="n"/>
      <c r="F117" s="335">
        <f>IF(OR(A117="",E117="",C117="",NOT(ISNUMBER($U$2))),"",ROUND(E117*C117*$U$2,2))</f>
        <v/>
      </c>
      <c r="G117" s="99" t="n"/>
      <c r="H117" s="335">
        <f>IF(OR(A117="",G117="",C117="",NOT(ISNUMBER($U$3))),"",ROUND(G117*C117*$U$3,2))</f>
        <v/>
      </c>
      <c r="I117" s="99" t="n"/>
      <c r="J117" s="335">
        <f>IF(OR(A117="",I117="",C117="",NOT(ISNUMBER($U$4))),"",ROUND(I117*C117*$U$4,2))</f>
        <v/>
      </c>
      <c r="K117" s="99" t="n"/>
      <c r="L117" s="335">
        <f>IF(OR(A117="",K117="",C117="",NOT(ISNUMBER($U$5))),"",ROUND(K117*C117*$U$5,2))</f>
        <v/>
      </c>
      <c r="M117" s="99" t="n"/>
      <c r="N117" s="335">
        <f>IF(OR(A117="",M117="",C117="",NOT(ISNUMBER($U$6))),"",ROUND(M117*C117*$U$6,2))</f>
        <v/>
      </c>
      <c r="O117" s="90">
        <f>IF(A117="","",SUM(E117,G117,I117,K117,M117))</f>
        <v/>
      </c>
      <c r="P117" s="335">
        <f>IF(A117="","",SUM(F117,H117,J117,L117,N117))</f>
        <v/>
      </c>
      <c r="Q117" s="198">
        <f>IF(A117="","",IF(O117&gt;B117,"DIVERGENCIA: CONSUMO MAIOR QUE CONTRATADO","OK"))</f>
        <v/>
      </c>
      <c r="R117" s="27" t="n"/>
      <c r="S117" s="27" t="n"/>
      <c r="T117" s="27" t="n"/>
      <c r="U117" s="27" t="n"/>
      <c r="V117" s="27" t="n"/>
      <c r="W117" s="27" t="n"/>
    </row>
    <row r="118">
      <c r="A118" s="98" t="n"/>
      <c r="B118" s="99" t="n"/>
      <c r="C118" s="346" t="n"/>
      <c r="D118" s="335">
        <f>IF(OR(A118="",B118="",C118=""),"",ROUND(B118*C118,2))</f>
        <v/>
      </c>
      <c r="E118" s="99" t="n"/>
      <c r="F118" s="335">
        <f>IF(OR(A118="",E118="",C118="",NOT(ISNUMBER($U$2))),"",ROUND(E118*C118*$U$2,2))</f>
        <v/>
      </c>
      <c r="G118" s="99" t="n"/>
      <c r="H118" s="335">
        <f>IF(OR(A118="",G118="",C118="",NOT(ISNUMBER($U$3))),"",ROUND(G118*C118*$U$3,2))</f>
        <v/>
      </c>
      <c r="I118" s="99" t="n"/>
      <c r="J118" s="335">
        <f>IF(OR(A118="",I118="",C118="",NOT(ISNUMBER($U$4))),"",ROUND(I118*C118*$U$4,2))</f>
        <v/>
      </c>
      <c r="K118" s="99" t="n"/>
      <c r="L118" s="335">
        <f>IF(OR(A118="",K118="",C118="",NOT(ISNUMBER($U$5))),"",ROUND(K118*C118*$U$5,2))</f>
        <v/>
      </c>
      <c r="M118" s="99" t="n"/>
      <c r="N118" s="335">
        <f>IF(OR(A118="",M118="",C118="",NOT(ISNUMBER($U$6))),"",ROUND(M118*C118*$U$6,2))</f>
        <v/>
      </c>
      <c r="O118" s="90">
        <f>IF(A118="","",SUM(E118,G118,I118,K118,M118))</f>
        <v/>
      </c>
      <c r="P118" s="335">
        <f>IF(A118="","",SUM(F118,H118,J118,L118,N118))</f>
        <v/>
      </c>
      <c r="Q118" s="198">
        <f>IF(A118="","",IF(O118&gt;B118,"DIVERGENCIA: CONSUMO MAIOR QUE CONTRATADO","OK"))</f>
        <v/>
      </c>
      <c r="R118" s="27" t="n"/>
      <c r="S118" s="27" t="n"/>
      <c r="T118" s="27" t="n"/>
      <c r="U118" s="27" t="n"/>
      <c r="V118" s="27" t="n"/>
      <c r="W118" s="27" t="n"/>
    </row>
    <row r="119">
      <c r="A119" s="98" t="n"/>
      <c r="B119" s="99" t="n"/>
      <c r="C119" s="346" t="n"/>
      <c r="D119" s="335">
        <f>IF(OR(A119="",B119="",C119=""),"",ROUND(B119*C119,2))</f>
        <v/>
      </c>
      <c r="E119" s="99" t="n"/>
      <c r="F119" s="335">
        <f>IF(OR(A119="",E119="",C119="",NOT(ISNUMBER($U$2))),"",ROUND(E119*C119*$U$2,2))</f>
        <v/>
      </c>
      <c r="G119" s="99" t="n"/>
      <c r="H119" s="335">
        <f>IF(OR(A119="",G119="",C119="",NOT(ISNUMBER($U$3))),"",ROUND(G119*C119*$U$3,2))</f>
        <v/>
      </c>
      <c r="I119" s="99" t="n"/>
      <c r="J119" s="335">
        <f>IF(OR(A119="",I119="",C119="",NOT(ISNUMBER($U$4))),"",ROUND(I119*C119*$U$4,2))</f>
        <v/>
      </c>
      <c r="K119" s="99" t="n"/>
      <c r="L119" s="335">
        <f>IF(OR(A119="",K119="",C119="",NOT(ISNUMBER($U$5))),"",ROUND(K119*C119*$U$5,2))</f>
        <v/>
      </c>
      <c r="M119" s="99" t="n"/>
      <c r="N119" s="335">
        <f>IF(OR(A119="",M119="",C119="",NOT(ISNUMBER($U$6))),"",ROUND(M119*C119*$U$6,2))</f>
        <v/>
      </c>
      <c r="O119" s="90">
        <f>IF(A119="","",SUM(E119,G119,I119,K119,M119))</f>
        <v/>
      </c>
      <c r="P119" s="335">
        <f>IF(A119="","",SUM(F119,H119,J119,L119,N119))</f>
        <v/>
      </c>
      <c r="Q119" s="198">
        <f>IF(A119="","",IF(O119&gt;B119,"DIVERGENCIA: CONSUMO MAIOR QUE CONTRATADO","OK"))</f>
        <v/>
      </c>
      <c r="R119" s="27" t="n"/>
      <c r="S119" s="27" t="n"/>
      <c r="T119" s="27" t="n"/>
      <c r="U119" s="27" t="n"/>
      <c r="V119" s="27" t="n"/>
      <c r="W119" s="27" t="n"/>
    </row>
    <row r="120">
      <c r="A120" s="98" t="n"/>
      <c r="B120" s="99" t="n"/>
      <c r="C120" s="346" t="n"/>
      <c r="D120" s="335">
        <f>IF(OR(A120="",B120="",C120=""),"",ROUND(B120*C120,2))</f>
        <v/>
      </c>
      <c r="E120" s="99" t="n"/>
      <c r="F120" s="335">
        <f>IF(OR(A120="",E120="",C120="",NOT(ISNUMBER($U$2))),"",ROUND(E120*C120*$U$2,2))</f>
        <v/>
      </c>
      <c r="G120" s="99" t="n"/>
      <c r="H120" s="335">
        <f>IF(OR(A120="",G120="",C120="",NOT(ISNUMBER($U$3))),"",ROUND(G120*C120*$U$3,2))</f>
        <v/>
      </c>
      <c r="I120" s="99" t="n"/>
      <c r="J120" s="335">
        <f>IF(OR(A120="",I120="",C120="",NOT(ISNUMBER($U$4))),"",ROUND(I120*C120*$U$4,2))</f>
        <v/>
      </c>
      <c r="K120" s="99" t="n"/>
      <c r="L120" s="335">
        <f>IF(OR(A120="",K120="",C120="",NOT(ISNUMBER($U$5))),"",ROUND(K120*C120*$U$5,2))</f>
        <v/>
      </c>
      <c r="M120" s="99" t="n"/>
      <c r="N120" s="335">
        <f>IF(OR(A120="",M120="",C120="",NOT(ISNUMBER($U$6))),"",ROUND(M120*C120*$U$6,2))</f>
        <v/>
      </c>
      <c r="O120" s="90">
        <f>IF(A120="","",SUM(E120,G120,I120,K120,M120))</f>
        <v/>
      </c>
      <c r="P120" s="335">
        <f>IF(A120="","",SUM(F120,H120,J120,L120,N120))</f>
        <v/>
      </c>
      <c r="Q120" s="198">
        <f>IF(A120="","",IF(O120&gt;B120,"DIVERGENCIA: CONSUMO MAIOR QUE CONTRATADO","OK"))</f>
        <v/>
      </c>
      <c r="R120" s="27" t="n"/>
      <c r="S120" s="27" t="n"/>
      <c r="T120" s="27" t="n"/>
      <c r="U120" s="27" t="n"/>
      <c r="V120" s="27" t="n"/>
      <c r="W120" s="27" t="n"/>
    </row>
    <row r="121">
      <c r="A121" s="98" t="n"/>
      <c r="B121" s="99" t="n"/>
      <c r="C121" s="346" t="n"/>
      <c r="D121" s="335">
        <f>IF(OR(A121="",B121="",C121=""),"",ROUND(B121*C121,2))</f>
        <v/>
      </c>
      <c r="E121" s="99" t="n"/>
      <c r="F121" s="335">
        <f>IF(OR(A121="",E121="",C121="",NOT(ISNUMBER($U$2))),"",ROUND(E121*C121*$U$2,2))</f>
        <v/>
      </c>
      <c r="G121" s="99" t="n"/>
      <c r="H121" s="335">
        <f>IF(OR(A121="",G121="",C121="",NOT(ISNUMBER($U$3))),"",ROUND(G121*C121*$U$3,2))</f>
        <v/>
      </c>
      <c r="I121" s="99" t="n"/>
      <c r="J121" s="335">
        <f>IF(OR(A121="",I121="",C121="",NOT(ISNUMBER($U$4))),"",ROUND(I121*C121*$U$4,2))</f>
        <v/>
      </c>
      <c r="K121" s="99" t="n"/>
      <c r="L121" s="335">
        <f>IF(OR(A121="",K121="",C121="",NOT(ISNUMBER($U$5))),"",ROUND(K121*C121*$U$5,2))</f>
        <v/>
      </c>
      <c r="M121" s="99" t="n"/>
      <c r="N121" s="335">
        <f>IF(OR(A121="",M121="",C121="",NOT(ISNUMBER($U$6))),"",ROUND(M121*C121*$U$6,2))</f>
        <v/>
      </c>
      <c r="O121" s="90">
        <f>IF(A121="","",SUM(E121,G121,I121,K121,M121))</f>
        <v/>
      </c>
      <c r="P121" s="335">
        <f>IF(A121="","",SUM(F121,H121,J121,L121,N121))</f>
        <v/>
      </c>
      <c r="Q121" s="198">
        <f>IF(A121="","",IF(O121&gt;B121,"DIVERGENCIA: CONSUMO MAIOR QUE CONTRATADO","OK"))</f>
        <v/>
      </c>
      <c r="R121" s="27" t="n"/>
      <c r="S121" s="27" t="n"/>
      <c r="T121" s="27" t="n"/>
      <c r="U121" s="27" t="n"/>
      <c r="V121" s="27" t="n"/>
      <c r="W121" s="27" t="n"/>
    </row>
    <row r="122">
      <c r="A122" s="98" t="n"/>
      <c r="B122" s="99" t="n"/>
      <c r="C122" s="346" t="n"/>
      <c r="D122" s="335">
        <f>IF(OR(A122="",B122="",C122=""),"",ROUND(B122*C122,2))</f>
        <v/>
      </c>
      <c r="E122" s="99" t="n"/>
      <c r="F122" s="335">
        <f>IF(OR(A122="",E122="",C122="",NOT(ISNUMBER($U$2))),"",ROUND(E122*C122*$U$2,2))</f>
        <v/>
      </c>
      <c r="G122" s="99" t="n"/>
      <c r="H122" s="335">
        <f>IF(OR(A122="",G122="",C122="",NOT(ISNUMBER($U$3))),"",ROUND(G122*C122*$U$3,2))</f>
        <v/>
      </c>
      <c r="I122" s="99" t="n"/>
      <c r="J122" s="335">
        <f>IF(OR(A122="",I122="",C122="",NOT(ISNUMBER($U$4))),"",ROUND(I122*C122*$U$4,2))</f>
        <v/>
      </c>
      <c r="K122" s="99" t="n"/>
      <c r="L122" s="335">
        <f>IF(OR(A122="",K122="",C122="",NOT(ISNUMBER($U$5))),"",ROUND(K122*C122*$U$5,2))</f>
        <v/>
      </c>
      <c r="M122" s="99" t="n"/>
      <c r="N122" s="335">
        <f>IF(OR(A122="",M122="",C122="",NOT(ISNUMBER($U$6))),"",ROUND(M122*C122*$U$6,2))</f>
        <v/>
      </c>
      <c r="O122" s="90">
        <f>IF(A122="","",SUM(E122,G122,I122,K122,M122))</f>
        <v/>
      </c>
      <c r="P122" s="335">
        <f>IF(A122="","",SUM(F122,H122,J122,L122,N122))</f>
        <v/>
      </c>
      <c r="Q122" s="198">
        <f>IF(A122="","",IF(O122&gt;B122,"DIVERGENCIA: CONSUMO MAIOR QUE CONTRATADO","OK"))</f>
        <v/>
      </c>
      <c r="R122" s="27" t="n"/>
      <c r="S122" s="27" t="n"/>
      <c r="T122" s="27" t="n"/>
      <c r="U122" s="27" t="n"/>
      <c r="V122" s="27" t="n"/>
      <c r="W122" s="27" t="n"/>
    </row>
    <row r="123">
      <c r="A123" s="98" t="n"/>
      <c r="B123" s="99" t="n"/>
      <c r="C123" s="346" t="n"/>
      <c r="D123" s="335">
        <f>IF(OR(A123="",B123="",C123=""),"",ROUND(B123*C123,2))</f>
        <v/>
      </c>
      <c r="E123" s="99" t="n"/>
      <c r="F123" s="335">
        <f>IF(OR(A123="",E123="",C123="",NOT(ISNUMBER($U$2))),"",ROUND(E123*C123*$U$2,2))</f>
        <v/>
      </c>
      <c r="G123" s="99" t="n"/>
      <c r="H123" s="335">
        <f>IF(OR(A123="",G123="",C123="",NOT(ISNUMBER($U$3))),"",ROUND(G123*C123*$U$3,2))</f>
        <v/>
      </c>
      <c r="I123" s="99" t="n"/>
      <c r="J123" s="335">
        <f>IF(OR(A123="",I123="",C123="",NOT(ISNUMBER($U$4))),"",ROUND(I123*C123*$U$4,2))</f>
        <v/>
      </c>
      <c r="K123" s="99" t="n"/>
      <c r="L123" s="335">
        <f>IF(OR(A123="",K123="",C123="",NOT(ISNUMBER($U$5))),"",ROUND(K123*C123*$U$5,2))</f>
        <v/>
      </c>
      <c r="M123" s="99" t="n"/>
      <c r="N123" s="335">
        <f>IF(OR(A123="",M123="",C123="",NOT(ISNUMBER($U$6))),"",ROUND(M123*C123*$U$6,2))</f>
        <v/>
      </c>
      <c r="O123" s="90">
        <f>IF(A123="","",SUM(E123,G123,I123,K123,M123))</f>
        <v/>
      </c>
      <c r="P123" s="335">
        <f>IF(A123="","",SUM(F123,H123,J123,L123,N123))</f>
        <v/>
      </c>
      <c r="Q123" s="198">
        <f>IF(A123="","",IF(O123&gt;B123,"DIVERGENCIA: CONSUMO MAIOR QUE CONTRATADO","OK"))</f>
        <v/>
      </c>
      <c r="R123" s="27" t="n"/>
      <c r="S123" s="27" t="n"/>
      <c r="T123" s="27" t="n"/>
      <c r="U123" s="27" t="n"/>
      <c r="V123" s="27" t="n"/>
      <c r="W123" s="27" t="n"/>
    </row>
    <row r="124">
      <c r="A124" s="98" t="n"/>
      <c r="B124" s="99" t="n"/>
      <c r="C124" s="346" t="n"/>
      <c r="D124" s="335">
        <f>IF(OR(A124="",B124="",C124=""),"",ROUND(B124*C124,2))</f>
        <v/>
      </c>
      <c r="E124" s="99" t="n"/>
      <c r="F124" s="335">
        <f>IF(OR(A124="",E124="",C124="",NOT(ISNUMBER($U$2))),"",ROUND(E124*C124*$U$2,2))</f>
        <v/>
      </c>
      <c r="G124" s="99" t="n"/>
      <c r="H124" s="335">
        <f>IF(OR(A124="",G124="",C124="",NOT(ISNUMBER($U$3))),"",ROUND(G124*C124*$U$3,2))</f>
        <v/>
      </c>
      <c r="I124" s="99" t="n"/>
      <c r="J124" s="335">
        <f>IF(OR(A124="",I124="",C124="",NOT(ISNUMBER($U$4))),"",ROUND(I124*C124*$U$4,2))</f>
        <v/>
      </c>
      <c r="K124" s="99" t="n"/>
      <c r="L124" s="335">
        <f>IF(OR(A124="",K124="",C124="",NOT(ISNUMBER($U$5))),"",ROUND(K124*C124*$U$5,2))</f>
        <v/>
      </c>
      <c r="M124" s="99" t="n"/>
      <c r="N124" s="335">
        <f>IF(OR(A124="",M124="",C124="",NOT(ISNUMBER($U$6))),"",ROUND(M124*C124*$U$6,2))</f>
        <v/>
      </c>
      <c r="O124" s="90">
        <f>IF(A124="","",SUM(E124,G124,I124,K124,M124))</f>
        <v/>
      </c>
      <c r="P124" s="335">
        <f>IF(A124="","",SUM(F124,H124,J124,L124,N124))</f>
        <v/>
      </c>
      <c r="Q124" s="198">
        <f>IF(A124="","",IF(O124&gt;B124,"DIVERGENCIA: CONSUMO MAIOR QUE CONTRATADO","OK"))</f>
        <v/>
      </c>
      <c r="R124" s="27" t="n"/>
      <c r="S124" s="27" t="n"/>
      <c r="T124" s="27" t="n"/>
      <c r="U124" s="27" t="n"/>
      <c r="V124" s="27" t="n"/>
      <c r="W124" s="27" t="n"/>
    </row>
    <row r="125">
      <c r="A125" s="98" t="n"/>
      <c r="B125" s="99" t="n"/>
      <c r="C125" s="346" t="n"/>
      <c r="D125" s="335">
        <f>IF(OR(A125="",B125="",C125=""),"",ROUND(B125*C125,2))</f>
        <v/>
      </c>
      <c r="E125" s="99" t="n"/>
      <c r="F125" s="335">
        <f>IF(OR(A125="",E125="",C125="",NOT(ISNUMBER($U$2))),"",ROUND(E125*C125*$U$2,2))</f>
        <v/>
      </c>
      <c r="G125" s="99" t="n"/>
      <c r="H125" s="335">
        <f>IF(OR(A125="",G125="",C125="",NOT(ISNUMBER($U$3))),"",ROUND(G125*C125*$U$3,2))</f>
        <v/>
      </c>
      <c r="I125" s="99" t="n"/>
      <c r="J125" s="335">
        <f>IF(OR(A125="",I125="",C125="",NOT(ISNUMBER($U$4))),"",ROUND(I125*C125*$U$4,2))</f>
        <v/>
      </c>
      <c r="K125" s="99" t="n"/>
      <c r="L125" s="335">
        <f>IF(OR(A125="",K125="",C125="",NOT(ISNUMBER($U$5))),"",ROUND(K125*C125*$U$5,2))</f>
        <v/>
      </c>
      <c r="M125" s="99" t="n"/>
      <c r="N125" s="335">
        <f>IF(OR(A125="",M125="",C125="",NOT(ISNUMBER($U$6))),"",ROUND(M125*C125*$U$6,2))</f>
        <v/>
      </c>
      <c r="O125" s="90">
        <f>IF(A125="","",SUM(E125,G125,I125,K125,M125))</f>
        <v/>
      </c>
      <c r="P125" s="335">
        <f>IF(A125="","",SUM(F125,H125,J125,L125,N125))</f>
        <v/>
      </c>
      <c r="Q125" s="198">
        <f>IF(A125="","",IF(O125&gt;B125,"DIVERGENCIA: CONSUMO MAIOR QUE CONTRATADO","OK"))</f>
        <v/>
      </c>
      <c r="R125" s="27" t="n"/>
      <c r="S125" s="27" t="n"/>
      <c r="T125" s="27" t="n"/>
      <c r="U125" s="27" t="n"/>
      <c r="V125" s="27" t="n"/>
      <c r="W125" s="27" t="n"/>
    </row>
    <row r="126">
      <c r="A126" s="98" t="n"/>
      <c r="B126" s="99" t="n"/>
      <c r="C126" s="346" t="n"/>
      <c r="D126" s="335">
        <f>IF(OR(A126="",B126="",C126=""),"",ROUND(B126*C126,2))</f>
        <v/>
      </c>
      <c r="E126" s="99" t="n"/>
      <c r="F126" s="335">
        <f>IF(OR(A126="",E126="",C126="",NOT(ISNUMBER($U$2))),"",ROUND(E126*C126*$U$2,2))</f>
        <v/>
      </c>
      <c r="G126" s="99" t="n"/>
      <c r="H126" s="335">
        <f>IF(OR(A126="",G126="",C126="",NOT(ISNUMBER($U$3))),"",ROUND(G126*C126*$U$3,2))</f>
        <v/>
      </c>
      <c r="I126" s="99" t="n"/>
      <c r="J126" s="335">
        <f>IF(OR(A126="",I126="",C126="",NOT(ISNUMBER($U$4))),"",ROUND(I126*C126*$U$4,2))</f>
        <v/>
      </c>
      <c r="K126" s="99" t="n"/>
      <c r="L126" s="335">
        <f>IF(OR(A126="",K126="",C126="",NOT(ISNUMBER($U$5))),"",ROUND(K126*C126*$U$5,2))</f>
        <v/>
      </c>
      <c r="M126" s="99" t="n"/>
      <c r="N126" s="335">
        <f>IF(OR(A126="",M126="",C126="",NOT(ISNUMBER($U$6))),"",ROUND(M126*C126*$U$6,2))</f>
        <v/>
      </c>
      <c r="O126" s="90">
        <f>IF(A126="","",SUM(E126,G126,I126,K126,M126))</f>
        <v/>
      </c>
      <c r="P126" s="335">
        <f>IF(A126="","",SUM(F126,H126,J126,L126,N126))</f>
        <v/>
      </c>
      <c r="Q126" s="198">
        <f>IF(A126="","",IF(O126&gt;B126,"DIVERGENCIA: CONSUMO MAIOR QUE CONTRATADO","OK"))</f>
        <v/>
      </c>
      <c r="R126" s="27" t="n"/>
      <c r="S126" s="27" t="n"/>
      <c r="T126" s="27" t="n"/>
      <c r="U126" s="27" t="n"/>
      <c r="V126" s="27" t="n"/>
      <c r="W126" s="27" t="n"/>
    </row>
    <row r="127">
      <c r="A127" s="98" t="n"/>
      <c r="B127" s="99" t="n"/>
      <c r="C127" s="346" t="n"/>
      <c r="D127" s="335">
        <f>IF(OR(A127="",B127="",C127=""),"",ROUND(B127*C127,2))</f>
        <v/>
      </c>
      <c r="E127" s="99" t="n"/>
      <c r="F127" s="335">
        <f>IF(OR(A127="",E127="",C127="",NOT(ISNUMBER($U$2))),"",ROUND(E127*C127*$U$2,2))</f>
        <v/>
      </c>
      <c r="G127" s="99" t="n"/>
      <c r="H127" s="335">
        <f>IF(OR(A127="",G127="",C127="",NOT(ISNUMBER($U$3))),"",ROUND(G127*C127*$U$3,2))</f>
        <v/>
      </c>
      <c r="I127" s="99" t="n"/>
      <c r="J127" s="335">
        <f>IF(OR(A127="",I127="",C127="",NOT(ISNUMBER($U$4))),"",ROUND(I127*C127*$U$4,2))</f>
        <v/>
      </c>
      <c r="K127" s="99" t="n"/>
      <c r="L127" s="335">
        <f>IF(OR(A127="",K127="",C127="",NOT(ISNUMBER($U$5))),"",ROUND(K127*C127*$U$5,2))</f>
        <v/>
      </c>
      <c r="M127" s="99" t="n"/>
      <c r="N127" s="335">
        <f>IF(OR(A127="",M127="",C127="",NOT(ISNUMBER($U$6))),"",ROUND(M127*C127*$U$6,2))</f>
        <v/>
      </c>
      <c r="O127" s="90">
        <f>IF(A127="","",SUM(E127,G127,I127,K127,M127))</f>
        <v/>
      </c>
      <c r="P127" s="335">
        <f>IF(A127="","",SUM(F127,H127,J127,L127,N127))</f>
        <v/>
      </c>
      <c r="Q127" s="198">
        <f>IF(A127="","",IF(O127&gt;B127,"DIVERGENCIA: CONSUMO MAIOR QUE CONTRATADO","OK"))</f>
        <v/>
      </c>
      <c r="R127" s="27" t="n"/>
      <c r="S127" s="27" t="n"/>
      <c r="T127" s="27" t="n"/>
      <c r="U127" s="27" t="n"/>
      <c r="V127" s="27" t="n"/>
      <c r="W127" s="27" t="n"/>
    </row>
    <row r="128">
      <c r="A128" s="98" t="n"/>
      <c r="B128" s="99" t="n"/>
      <c r="C128" s="346" t="n"/>
      <c r="D128" s="335">
        <f>IF(OR(A128="",B128="",C128=""),"",ROUND(B128*C128,2))</f>
        <v/>
      </c>
      <c r="E128" s="99" t="n"/>
      <c r="F128" s="335">
        <f>IF(OR(A128="",E128="",C128="",NOT(ISNUMBER($U$2))),"",ROUND(E128*C128*$U$2,2))</f>
        <v/>
      </c>
      <c r="G128" s="99" t="n"/>
      <c r="H128" s="335">
        <f>IF(OR(A128="",G128="",C128="",NOT(ISNUMBER($U$3))),"",ROUND(G128*C128*$U$3,2))</f>
        <v/>
      </c>
      <c r="I128" s="99" t="n"/>
      <c r="J128" s="335">
        <f>IF(OR(A128="",I128="",C128="",NOT(ISNUMBER($U$4))),"",ROUND(I128*C128*$U$4,2))</f>
        <v/>
      </c>
      <c r="K128" s="99" t="n"/>
      <c r="L128" s="335">
        <f>IF(OR(A128="",K128="",C128="",NOT(ISNUMBER($U$5))),"",ROUND(K128*C128*$U$5,2))</f>
        <v/>
      </c>
      <c r="M128" s="99" t="n"/>
      <c r="N128" s="335">
        <f>IF(OR(A128="",M128="",C128="",NOT(ISNUMBER($U$6))),"",ROUND(M128*C128*$U$6,2))</f>
        <v/>
      </c>
      <c r="O128" s="90">
        <f>IF(A128="","",SUM(E128,G128,I128,K128,M128))</f>
        <v/>
      </c>
      <c r="P128" s="335">
        <f>IF(A128="","",SUM(F128,H128,J128,L128,N128))</f>
        <v/>
      </c>
      <c r="Q128" s="198">
        <f>IF(A128="","",IF(O128&gt;B128,"DIVERGENCIA: CONSUMO MAIOR QUE CONTRATADO","OK"))</f>
        <v/>
      </c>
      <c r="R128" s="27" t="n"/>
      <c r="S128" s="27" t="n"/>
      <c r="T128" s="27" t="n"/>
      <c r="U128" s="27" t="n"/>
      <c r="V128" s="27" t="n"/>
      <c r="W128" s="27" t="n"/>
    </row>
    <row r="129">
      <c r="A129" s="98" t="n"/>
      <c r="B129" s="99" t="n"/>
      <c r="C129" s="346" t="n"/>
      <c r="D129" s="335">
        <f>IF(OR(A129="",B129="",C129=""),"",ROUND(B129*C129,2))</f>
        <v/>
      </c>
      <c r="E129" s="99" t="n"/>
      <c r="F129" s="335">
        <f>IF(OR(A129="",E129="",C129="",NOT(ISNUMBER($U$2))),"",ROUND(E129*C129*$U$2,2))</f>
        <v/>
      </c>
      <c r="G129" s="99" t="n"/>
      <c r="H129" s="335">
        <f>IF(OR(A129="",G129="",C129="",NOT(ISNUMBER($U$3))),"",ROUND(G129*C129*$U$3,2))</f>
        <v/>
      </c>
      <c r="I129" s="99" t="n"/>
      <c r="J129" s="335">
        <f>IF(OR(A129="",I129="",C129="",NOT(ISNUMBER($U$4))),"",ROUND(I129*C129*$U$4,2))</f>
        <v/>
      </c>
      <c r="K129" s="99" t="n"/>
      <c r="L129" s="335">
        <f>IF(OR(A129="",K129="",C129="",NOT(ISNUMBER($U$5))),"",ROUND(K129*C129*$U$5,2))</f>
        <v/>
      </c>
      <c r="M129" s="99" t="n"/>
      <c r="N129" s="335">
        <f>IF(OR(A129="",M129="",C129="",NOT(ISNUMBER($U$6))),"",ROUND(M129*C129*$U$6,2))</f>
        <v/>
      </c>
      <c r="O129" s="90">
        <f>IF(A129="","",SUM(E129,G129,I129,K129,M129))</f>
        <v/>
      </c>
      <c r="P129" s="335">
        <f>IF(A129="","",SUM(F129,H129,J129,L129,N129))</f>
        <v/>
      </c>
      <c r="Q129" s="198">
        <f>IF(A129="","",IF(O129&gt;B129,"DIVERGENCIA: CONSUMO MAIOR QUE CONTRATADO","OK"))</f>
        <v/>
      </c>
      <c r="R129" s="27" t="n"/>
      <c r="S129" s="27" t="n"/>
      <c r="T129" s="27" t="n"/>
      <c r="U129" s="27" t="n"/>
      <c r="V129" s="27" t="n"/>
      <c r="W129" s="27" t="n"/>
    </row>
    <row r="130">
      <c r="A130" s="98" t="n"/>
      <c r="B130" s="99" t="n"/>
      <c r="C130" s="346" t="n"/>
      <c r="D130" s="335">
        <f>IF(OR(A130="",B130="",C130=""),"",ROUND(B130*C130,2))</f>
        <v/>
      </c>
      <c r="E130" s="99" t="n"/>
      <c r="F130" s="335">
        <f>IF(OR(A130="",E130="",C130="",NOT(ISNUMBER($U$2))),"",ROUND(E130*C130*$U$2,2))</f>
        <v/>
      </c>
      <c r="G130" s="99" t="n"/>
      <c r="H130" s="335">
        <f>IF(OR(A130="",G130="",C130="",NOT(ISNUMBER($U$3))),"",ROUND(G130*C130*$U$3,2))</f>
        <v/>
      </c>
      <c r="I130" s="99" t="n"/>
      <c r="J130" s="335">
        <f>IF(OR(A130="",I130="",C130="",NOT(ISNUMBER($U$4))),"",ROUND(I130*C130*$U$4,2))</f>
        <v/>
      </c>
      <c r="K130" s="99" t="n"/>
      <c r="L130" s="335">
        <f>IF(OR(A130="",K130="",C130="",NOT(ISNUMBER($U$5))),"",ROUND(K130*C130*$U$5,2))</f>
        <v/>
      </c>
      <c r="M130" s="99" t="n"/>
      <c r="N130" s="335">
        <f>IF(OR(A130="",M130="",C130="",NOT(ISNUMBER($U$6))),"",ROUND(M130*C130*$U$6,2))</f>
        <v/>
      </c>
      <c r="O130" s="90">
        <f>IF(A130="","",SUM(E130,G130,I130,K130,M130))</f>
        <v/>
      </c>
      <c r="P130" s="335">
        <f>IF(A130="","",SUM(F130,H130,J130,L130,N130))</f>
        <v/>
      </c>
      <c r="Q130" s="198">
        <f>IF(A130="","",IF(O130&gt;B130,"DIVERGENCIA: CONSUMO MAIOR QUE CONTRATADO","OK"))</f>
        <v/>
      </c>
      <c r="R130" s="27" t="n"/>
      <c r="S130" s="27" t="n"/>
      <c r="T130" s="27" t="n"/>
      <c r="U130" s="27" t="n"/>
      <c r="V130" s="27" t="n"/>
      <c r="W130" s="27" t="n"/>
    </row>
    <row r="131">
      <c r="A131" s="98" t="n"/>
      <c r="B131" s="99" t="n"/>
      <c r="C131" s="346" t="n"/>
      <c r="D131" s="335">
        <f>IF(OR(A131="",B131="",C131=""),"",ROUND(B131*C131,2))</f>
        <v/>
      </c>
      <c r="E131" s="99" t="n"/>
      <c r="F131" s="335">
        <f>IF(OR(A131="",E131="",C131="",NOT(ISNUMBER($U$2))),"",ROUND(E131*C131*$U$2,2))</f>
        <v/>
      </c>
      <c r="G131" s="99" t="n"/>
      <c r="H131" s="335">
        <f>IF(OR(A131="",G131="",C131="",NOT(ISNUMBER($U$3))),"",ROUND(G131*C131*$U$3,2))</f>
        <v/>
      </c>
      <c r="I131" s="99" t="n"/>
      <c r="J131" s="335">
        <f>IF(OR(A131="",I131="",C131="",NOT(ISNUMBER($U$4))),"",ROUND(I131*C131*$U$4,2))</f>
        <v/>
      </c>
      <c r="K131" s="99" t="n"/>
      <c r="L131" s="335">
        <f>IF(OR(A131="",K131="",C131="",NOT(ISNUMBER($U$5))),"",ROUND(K131*C131*$U$5,2))</f>
        <v/>
      </c>
      <c r="M131" s="99" t="n"/>
      <c r="N131" s="335">
        <f>IF(OR(A131="",M131="",C131="",NOT(ISNUMBER($U$6))),"",ROUND(M131*C131*$U$6,2))</f>
        <v/>
      </c>
      <c r="O131" s="90">
        <f>IF(A131="","",SUM(E131,G131,I131,K131,M131))</f>
        <v/>
      </c>
      <c r="P131" s="335">
        <f>IF(A131="","",SUM(F131,H131,J131,L131,N131))</f>
        <v/>
      </c>
      <c r="Q131" s="198">
        <f>IF(A131="","",IF(O131&gt;B131,"DIVERGENCIA: CONSUMO MAIOR QUE CONTRATADO","OK"))</f>
        <v/>
      </c>
      <c r="R131" s="27" t="n"/>
      <c r="S131" s="27" t="n"/>
      <c r="T131" s="27" t="n"/>
      <c r="U131" s="27" t="n"/>
      <c r="V131" s="27" t="n"/>
      <c r="W131" s="27" t="n"/>
    </row>
    <row r="132">
      <c r="A132" s="98" t="n"/>
      <c r="B132" s="99" t="n"/>
      <c r="C132" s="346" t="n"/>
      <c r="D132" s="335">
        <f>IF(OR(A132="",B132="",C132=""),"",ROUND(B132*C132,2))</f>
        <v/>
      </c>
      <c r="E132" s="99" t="n"/>
      <c r="F132" s="335">
        <f>IF(OR(A132="",E132="",C132="",NOT(ISNUMBER($U$2))),"",ROUND(E132*C132*$U$2,2))</f>
        <v/>
      </c>
      <c r="G132" s="99" t="n"/>
      <c r="H132" s="335">
        <f>IF(OR(A132="",G132="",C132="",NOT(ISNUMBER($U$3))),"",ROUND(G132*C132*$U$3,2))</f>
        <v/>
      </c>
      <c r="I132" s="99" t="n"/>
      <c r="J132" s="335">
        <f>IF(OR(A132="",I132="",C132="",NOT(ISNUMBER($U$4))),"",ROUND(I132*C132*$U$4,2))</f>
        <v/>
      </c>
      <c r="K132" s="99" t="n"/>
      <c r="L132" s="335">
        <f>IF(OR(A132="",K132="",C132="",NOT(ISNUMBER($U$5))),"",ROUND(K132*C132*$U$5,2))</f>
        <v/>
      </c>
      <c r="M132" s="99" t="n"/>
      <c r="N132" s="335">
        <f>IF(OR(A132="",M132="",C132="",NOT(ISNUMBER($U$6))),"",ROUND(M132*C132*$U$6,2))</f>
        <v/>
      </c>
      <c r="O132" s="90">
        <f>IF(A132="","",SUM(E132,G132,I132,K132,M132))</f>
        <v/>
      </c>
      <c r="P132" s="335">
        <f>IF(A132="","",SUM(F132,H132,J132,L132,N132))</f>
        <v/>
      </c>
      <c r="Q132" s="198">
        <f>IF(A132="","",IF(O132&gt;B132,"DIVERGENCIA: CONSUMO MAIOR QUE CONTRATADO","OK"))</f>
        <v/>
      </c>
      <c r="R132" s="27" t="n"/>
      <c r="S132" s="27" t="n"/>
      <c r="T132" s="27" t="n"/>
      <c r="U132" s="27" t="n"/>
      <c r="V132" s="27" t="n"/>
      <c r="W132" s="27" t="n"/>
    </row>
    <row r="133">
      <c r="A133" s="98" t="n"/>
      <c r="B133" s="99" t="n"/>
      <c r="C133" s="346" t="n"/>
      <c r="D133" s="335">
        <f>IF(OR(A133="",B133="",C133=""),"",ROUND(B133*C133,2))</f>
        <v/>
      </c>
      <c r="E133" s="99" t="n"/>
      <c r="F133" s="335">
        <f>IF(OR(A133="",E133="",C133="",NOT(ISNUMBER($U$2))),"",ROUND(E133*C133*$U$2,2))</f>
        <v/>
      </c>
      <c r="G133" s="99" t="n"/>
      <c r="H133" s="335">
        <f>IF(OR(A133="",G133="",C133="",NOT(ISNUMBER($U$3))),"",ROUND(G133*C133*$U$3,2))</f>
        <v/>
      </c>
      <c r="I133" s="99" t="n"/>
      <c r="J133" s="335">
        <f>IF(OR(A133="",I133="",C133="",NOT(ISNUMBER($U$4))),"",ROUND(I133*C133*$U$4,2))</f>
        <v/>
      </c>
      <c r="K133" s="99" t="n"/>
      <c r="L133" s="335">
        <f>IF(OR(A133="",K133="",C133="",NOT(ISNUMBER($U$5))),"",ROUND(K133*C133*$U$5,2))</f>
        <v/>
      </c>
      <c r="M133" s="99" t="n"/>
      <c r="N133" s="335">
        <f>IF(OR(A133="",M133="",C133="",NOT(ISNUMBER($U$6))),"",ROUND(M133*C133*$U$6,2))</f>
        <v/>
      </c>
      <c r="O133" s="90">
        <f>IF(A133="","",SUM(E133,G133,I133,K133,M133))</f>
        <v/>
      </c>
      <c r="P133" s="335">
        <f>IF(A133="","",SUM(F133,H133,J133,L133,N133))</f>
        <v/>
      </c>
      <c r="Q133" s="198">
        <f>IF(A133="","",IF(O133&gt;B133,"DIVERGENCIA: CONSUMO MAIOR QUE CONTRATADO","OK"))</f>
        <v/>
      </c>
      <c r="R133" s="27" t="n"/>
      <c r="S133" s="27" t="n"/>
      <c r="T133" s="27" t="n"/>
      <c r="U133" s="27" t="n"/>
      <c r="V133" s="27" t="n"/>
      <c r="W133" s="27" t="n"/>
    </row>
    <row r="134">
      <c r="A134" s="98" t="n"/>
      <c r="B134" s="99" t="n"/>
      <c r="C134" s="346" t="n"/>
      <c r="D134" s="335">
        <f>IF(OR(A134="",B134="",C134=""),"",ROUND(B134*C134,2))</f>
        <v/>
      </c>
      <c r="E134" s="99" t="n"/>
      <c r="F134" s="335">
        <f>IF(OR(A134="",E134="",C134="",NOT(ISNUMBER($U$2))),"",ROUND(E134*C134*$U$2,2))</f>
        <v/>
      </c>
      <c r="G134" s="99" t="n"/>
      <c r="H134" s="335">
        <f>IF(OR(A134="",G134="",C134="",NOT(ISNUMBER($U$3))),"",ROUND(G134*C134*$U$3,2))</f>
        <v/>
      </c>
      <c r="I134" s="99" t="n"/>
      <c r="J134" s="335">
        <f>IF(OR(A134="",I134="",C134="",NOT(ISNUMBER($U$4))),"",ROUND(I134*C134*$U$4,2))</f>
        <v/>
      </c>
      <c r="K134" s="99" t="n"/>
      <c r="L134" s="335">
        <f>IF(OR(A134="",K134="",C134="",NOT(ISNUMBER($U$5))),"",ROUND(K134*C134*$U$5,2))</f>
        <v/>
      </c>
      <c r="M134" s="99" t="n"/>
      <c r="N134" s="335">
        <f>IF(OR(A134="",M134="",C134="",NOT(ISNUMBER($U$6))),"",ROUND(M134*C134*$U$6,2))</f>
        <v/>
      </c>
      <c r="O134" s="90">
        <f>IF(A134="","",SUM(E134,G134,I134,K134,M134))</f>
        <v/>
      </c>
      <c r="P134" s="335">
        <f>IF(A134="","",SUM(F134,H134,J134,L134,N134))</f>
        <v/>
      </c>
      <c r="Q134" s="198">
        <f>IF(A134="","",IF(O134&gt;B134,"DIVERGENCIA: CONSUMO MAIOR QUE CONTRATADO","OK"))</f>
        <v/>
      </c>
      <c r="R134" s="27" t="n"/>
      <c r="S134" s="27" t="n"/>
      <c r="T134" s="27" t="n"/>
      <c r="U134" s="27" t="n"/>
      <c r="V134" s="27" t="n"/>
      <c r="W134" s="27" t="n"/>
    </row>
    <row r="135">
      <c r="A135" s="98" t="n"/>
      <c r="B135" s="99" t="n"/>
      <c r="C135" s="346" t="n"/>
      <c r="D135" s="335">
        <f>IF(OR(A135="",B135="",C135=""),"",ROUND(B135*C135,2))</f>
        <v/>
      </c>
      <c r="E135" s="99" t="n"/>
      <c r="F135" s="335">
        <f>IF(OR(A135="",E135="",C135="",NOT(ISNUMBER($U$2))),"",ROUND(E135*C135*$U$2,2))</f>
        <v/>
      </c>
      <c r="G135" s="99" t="n"/>
      <c r="H135" s="335">
        <f>IF(OR(A135="",G135="",C135="",NOT(ISNUMBER($U$3))),"",ROUND(G135*C135*$U$3,2))</f>
        <v/>
      </c>
      <c r="I135" s="99" t="n"/>
      <c r="J135" s="335">
        <f>IF(OR(A135="",I135="",C135="",NOT(ISNUMBER($U$4))),"",ROUND(I135*C135*$U$4,2))</f>
        <v/>
      </c>
      <c r="K135" s="99" t="n"/>
      <c r="L135" s="335">
        <f>IF(OR(A135="",K135="",C135="",NOT(ISNUMBER($U$5))),"",ROUND(K135*C135*$U$5,2))</f>
        <v/>
      </c>
      <c r="M135" s="99" t="n"/>
      <c r="N135" s="335">
        <f>IF(OR(A135="",M135="",C135="",NOT(ISNUMBER($U$6))),"",ROUND(M135*C135*$U$6,2))</f>
        <v/>
      </c>
      <c r="O135" s="90">
        <f>IF(A135="","",SUM(E135,G135,I135,K135,M135))</f>
        <v/>
      </c>
      <c r="P135" s="335">
        <f>IF(A135="","",SUM(F135,H135,J135,L135,N135))</f>
        <v/>
      </c>
      <c r="Q135" s="198">
        <f>IF(A135="","",IF(O135&gt;B135,"DIVERGENCIA: CONSUMO MAIOR QUE CONTRATADO","OK"))</f>
        <v/>
      </c>
      <c r="R135" s="27" t="n"/>
      <c r="S135" s="27" t="n"/>
      <c r="T135" s="27" t="n"/>
      <c r="U135" s="27" t="n"/>
      <c r="V135" s="27" t="n"/>
      <c r="W135" s="27" t="n"/>
    </row>
    <row r="136">
      <c r="A136" s="98" t="n"/>
      <c r="B136" s="99" t="n"/>
      <c r="C136" s="346" t="n"/>
      <c r="D136" s="335">
        <f>IF(OR(A136="",B136="",C136=""),"",ROUND(B136*C136,2))</f>
        <v/>
      </c>
      <c r="E136" s="99" t="n"/>
      <c r="F136" s="335">
        <f>IF(OR(A136="",E136="",C136="",NOT(ISNUMBER($U$2))),"",ROUND(E136*C136*$U$2,2))</f>
        <v/>
      </c>
      <c r="G136" s="99" t="n"/>
      <c r="H136" s="335">
        <f>IF(OR(A136="",G136="",C136="",NOT(ISNUMBER($U$3))),"",ROUND(G136*C136*$U$3,2))</f>
        <v/>
      </c>
      <c r="I136" s="99" t="n"/>
      <c r="J136" s="335">
        <f>IF(OR(A136="",I136="",C136="",NOT(ISNUMBER($U$4))),"",ROUND(I136*C136*$U$4,2))</f>
        <v/>
      </c>
      <c r="K136" s="99" t="n"/>
      <c r="L136" s="335">
        <f>IF(OR(A136="",K136="",C136="",NOT(ISNUMBER($U$5))),"",ROUND(K136*C136*$U$5,2))</f>
        <v/>
      </c>
      <c r="M136" s="99" t="n"/>
      <c r="N136" s="335">
        <f>IF(OR(A136="",M136="",C136="",NOT(ISNUMBER($U$6))),"",ROUND(M136*C136*$U$6,2))</f>
        <v/>
      </c>
      <c r="O136" s="90">
        <f>IF(A136="","",SUM(E136,G136,I136,K136,M136))</f>
        <v/>
      </c>
      <c r="P136" s="335">
        <f>IF(A136="","",SUM(F136,H136,J136,L136,N136))</f>
        <v/>
      </c>
      <c r="Q136" s="198">
        <f>IF(A136="","",IF(O136&gt;B136,"DIVERGENCIA: CONSUMO MAIOR QUE CONTRATADO","OK"))</f>
        <v/>
      </c>
      <c r="R136" s="27" t="n"/>
      <c r="S136" s="27" t="n"/>
      <c r="T136" s="27" t="n"/>
      <c r="U136" s="27" t="n"/>
      <c r="V136" s="27" t="n"/>
      <c r="W136" s="27" t="n"/>
    </row>
    <row r="137">
      <c r="A137" s="98" t="n"/>
      <c r="B137" s="99" t="n"/>
      <c r="C137" s="346" t="n"/>
      <c r="D137" s="335">
        <f>IF(OR(A137="",B137="",C137=""),"",ROUND(B137*C137,2))</f>
        <v/>
      </c>
      <c r="E137" s="99" t="n"/>
      <c r="F137" s="335">
        <f>IF(OR(A137="",E137="",C137="",NOT(ISNUMBER($U$2))),"",ROUND(E137*C137*$U$2,2))</f>
        <v/>
      </c>
      <c r="G137" s="99" t="n"/>
      <c r="H137" s="335">
        <f>IF(OR(A137="",G137="",C137="",NOT(ISNUMBER($U$3))),"",ROUND(G137*C137*$U$3,2))</f>
        <v/>
      </c>
      <c r="I137" s="99" t="n"/>
      <c r="J137" s="335">
        <f>IF(OR(A137="",I137="",C137="",NOT(ISNUMBER($U$4))),"",ROUND(I137*C137*$U$4,2))</f>
        <v/>
      </c>
      <c r="K137" s="99" t="n"/>
      <c r="L137" s="335">
        <f>IF(OR(A137="",K137="",C137="",NOT(ISNUMBER($U$5))),"",ROUND(K137*C137*$U$5,2))</f>
        <v/>
      </c>
      <c r="M137" s="99" t="n"/>
      <c r="N137" s="335">
        <f>IF(OR(A137="",M137="",C137="",NOT(ISNUMBER($U$6))),"",ROUND(M137*C137*$U$6,2))</f>
        <v/>
      </c>
      <c r="O137" s="90">
        <f>IF(A137="","",SUM(E137,G137,I137,K137,M137))</f>
        <v/>
      </c>
      <c r="P137" s="335">
        <f>IF(A137="","",SUM(F137,H137,J137,L137,N137))</f>
        <v/>
      </c>
      <c r="Q137" s="198">
        <f>IF(A137="","",IF(O137&gt;B137,"DIVERGENCIA: CONSUMO MAIOR QUE CONTRATADO","OK"))</f>
        <v/>
      </c>
      <c r="R137" s="27" t="n"/>
      <c r="S137" s="27" t="n"/>
      <c r="T137" s="27" t="n"/>
      <c r="U137" s="27" t="n"/>
      <c r="V137" s="27" t="n"/>
      <c r="W137" s="27" t="n"/>
    </row>
    <row r="138">
      <c r="A138" s="98" t="n"/>
      <c r="B138" s="99" t="n"/>
      <c r="C138" s="346" t="n"/>
      <c r="D138" s="335">
        <f>IF(OR(A138="",B138="",C138=""),"",ROUND(B138*C138,2))</f>
        <v/>
      </c>
      <c r="E138" s="99" t="n"/>
      <c r="F138" s="335">
        <f>IF(OR(A138="",E138="",C138="",NOT(ISNUMBER($U$2))),"",ROUND(E138*C138*$U$2,2))</f>
        <v/>
      </c>
      <c r="G138" s="99" t="n"/>
      <c r="H138" s="335">
        <f>IF(OR(A138="",G138="",C138="",NOT(ISNUMBER($U$3))),"",ROUND(G138*C138*$U$3,2))</f>
        <v/>
      </c>
      <c r="I138" s="99" t="n"/>
      <c r="J138" s="335">
        <f>IF(OR(A138="",I138="",C138="",NOT(ISNUMBER($U$4))),"",ROUND(I138*C138*$U$4,2))</f>
        <v/>
      </c>
      <c r="K138" s="99" t="n"/>
      <c r="L138" s="335">
        <f>IF(OR(A138="",K138="",C138="",NOT(ISNUMBER($U$5))),"",ROUND(K138*C138*$U$5,2))</f>
        <v/>
      </c>
      <c r="M138" s="99" t="n"/>
      <c r="N138" s="335">
        <f>IF(OR(A138="",M138="",C138="",NOT(ISNUMBER($U$6))),"",ROUND(M138*C138*$U$6,2))</f>
        <v/>
      </c>
      <c r="O138" s="90">
        <f>IF(A138="","",SUM(E138,G138,I138,K138,M138))</f>
        <v/>
      </c>
      <c r="P138" s="335">
        <f>IF(A138="","",SUM(F138,H138,J138,L138,N138))</f>
        <v/>
      </c>
      <c r="Q138" s="198">
        <f>IF(A138="","",IF(O138&gt;B138,"DIVERGENCIA: CONSUMO MAIOR QUE CONTRATADO","OK"))</f>
        <v/>
      </c>
      <c r="R138" s="27" t="n"/>
      <c r="S138" s="27" t="n"/>
      <c r="T138" s="27" t="n"/>
      <c r="U138" s="27" t="n"/>
      <c r="V138" s="27" t="n"/>
      <c r="W138" s="27" t="n"/>
    </row>
    <row r="139">
      <c r="A139" s="98" t="n"/>
      <c r="B139" s="99" t="n"/>
      <c r="C139" s="346" t="n"/>
      <c r="D139" s="335">
        <f>IF(OR(A139="",B139="",C139=""),"",ROUND(B139*C139,2))</f>
        <v/>
      </c>
      <c r="E139" s="99" t="n"/>
      <c r="F139" s="335">
        <f>IF(OR(A139="",E139="",C139="",NOT(ISNUMBER($U$2))),"",ROUND(E139*C139*$U$2,2))</f>
        <v/>
      </c>
      <c r="G139" s="99" t="n"/>
      <c r="H139" s="335">
        <f>IF(OR(A139="",G139="",C139="",NOT(ISNUMBER($U$3))),"",ROUND(G139*C139*$U$3,2))</f>
        <v/>
      </c>
      <c r="I139" s="99" t="n"/>
      <c r="J139" s="335">
        <f>IF(OR(A139="",I139="",C139="",NOT(ISNUMBER($U$4))),"",ROUND(I139*C139*$U$4,2))</f>
        <v/>
      </c>
      <c r="K139" s="99" t="n"/>
      <c r="L139" s="335">
        <f>IF(OR(A139="",K139="",C139="",NOT(ISNUMBER($U$5))),"",ROUND(K139*C139*$U$5,2))</f>
        <v/>
      </c>
      <c r="M139" s="99" t="n"/>
      <c r="N139" s="335">
        <f>IF(OR(A139="",M139="",C139="",NOT(ISNUMBER($U$6))),"",ROUND(M139*C139*$U$6,2))</f>
        <v/>
      </c>
      <c r="O139" s="90">
        <f>IF(A139="","",SUM(E139,G139,I139,K139,M139))</f>
        <v/>
      </c>
      <c r="P139" s="335">
        <f>IF(A139="","",SUM(F139,H139,J139,L139,N139))</f>
        <v/>
      </c>
      <c r="Q139" s="198">
        <f>IF(A139="","",IF(O139&gt;B139,"DIVERGENCIA: CONSUMO MAIOR QUE CONTRATADO","OK"))</f>
        <v/>
      </c>
      <c r="R139" s="27" t="n"/>
      <c r="S139" s="27" t="n"/>
      <c r="T139" s="27" t="n"/>
      <c r="U139" s="27" t="n"/>
      <c r="V139" s="27" t="n"/>
      <c r="W139" s="27" t="n"/>
    </row>
    <row r="140">
      <c r="A140" s="98" t="n"/>
      <c r="B140" s="99" t="n"/>
      <c r="C140" s="346" t="n"/>
      <c r="D140" s="335">
        <f>IF(OR(A140="",B140="",C140=""),"",ROUND(B140*C140,2))</f>
        <v/>
      </c>
      <c r="E140" s="99" t="n"/>
      <c r="F140" s="335">
        <f>IF(OR(A140="",E140="",C140="",NOT(ISNUMBER($U$2))),"",ROUND(E140*C140*$U$2,2))</f>
        <v/>
      </c>
      <c r="G140" s="99" t="n"/>
      <c r="H140" s="335">
        <f>IF(OR(A140="",G140="",C140="",NOT(ISNUMBER($U$3))),"",ROUND(G140*C140*$U$3,2))</f>
        <v/>
      </c>
      <c r="I140" s="99" t="n"/>
      <c r="J140" s="335">
        <f>IF(OR(A140="",I140="",C140="",NOT(ISNUMBER($U$4))),"",ROUND(I140*C140*$U$4,2))</f>
        <v/>
      </c>
      <c r="K140" s="99" t="n"/>
      <c r="L140" s="335">
        <f>IF(OR(A140="",K140="",C140="",NOT(ISNUMBER($U$5))),"",ROUND(K140*C140*$U$5,2))</f>
        <v/>
      </c>
      <c r="M140" s="99" t="n"/>
      <c r="N140" s="335">
        <f>IF(OR(A140="",M140="",C140="",NOT(ISNUMBER($U$6))),"",ROUND(M140*C140*$U$6,2))</f>
        <v/>
      </c>
      <c r="O140" s="90">
        <f>IF(A140="","",SUM(E140,G140,I140,K140,M140))</f>
        <v/>
      </c>
      <c r="P140" s="335">
        <f>IF(A140="","",SUM(F140,H140,J140,L140,N140))</f>
        <v/>
      </c>
      <c r="Q140" s="198">
        <f>IF(A140="","",IF(O140&gt;B140,"DIVERGENCIA: CONSUMO MAIOR QUE CONTRATADO","OK"))</f>
        <v/>
      </c>
      <c r="R140" s="27" t="n"/>
      <c r="S140" s="27" t="n"/>
      <c r="T140" s="27" t="n"/>
      <c r="U140" s="27" t="n"/>
      <c r="V140" s="27" t="n"/>
      <c r="W140" s="27" t="n"/>
    </row>
    <row r="141">
      <c r="A141" s="98" t="n"/>
      <c r="B141" s="99" t="n"/>
      <c r="C141" s="346" t="n"/>
      <c r="D141" s="335">
        <f>IF(OR(A141="",B141="",C141=""),"",ROUND(B141*C141,2))</f>
        <v/>
      </c>
      <c r="E141" s="99" t="n"/>
      <c r="F141" s="335">
        <f>IF(OR(A141="",E141="",C141="",NOT(ISNUMBER($U$2))),"",ROUND(E141*C141*$U$2,2))</f>
        <v/>
      </c>
      <c r="G141" s="99" t="n"/>
      <c r="H141" s="335">
        <f>IF(OR(A141="",G141="",C141="",NOT(ISNUMBER($U$3))),"",ROUND(G141*C141*$U$3,2))</f>
        <v/>
      </c>
      <c r="I141" s="99" t="n"/>
      <c r="J141" s="335">
        <f>IF(OR(A141="",I141="",C141="",NOT(ISNUMBER($U$4))),"",ROUND(I141*C141*$U$4,2))</f>
        <v/>
      </c>
      <c r="K141" s="99" t="n"/>
      <c r="L141" s="335">
        <f>IF(OR(A141="",K141="",C141="",NOT(ISNUMBER($U$5))),"",ROUND(K141*C141*$U$5,2))</f>
        <v/>
      </c>
      <c r="M141" s="99" t="n"/>
      <c r="N141" s="335">
        <f>IF(OR(A141="",M141="",C141="",NOT(ISNUMBER($U$6))),"",ROUND(M141*C141*$U$6,2))</f>
        <v/>
      </c>
      <c r="O141" s="90">
        <f>IF(A141="","",SUM(E141,G141,I141,K141,M141))</f>
        <v/>
      </c>
      <c r="P141" s="335">
        <f>IF(A141="","",SUM(F141,H141,J141,L141,N141))</f>
        <v/>
      </c>
      <c r="Q141" s="198">
        <f>IF(A141="","",IF(O141&gt;B141,"DIVERGENCIA: CONSUMO MAIOR QUE CONTRATADO","OK"))</f>
        <v/>
      </c>
      <c r="R141" s="27" t="n"/>
      <c r="S141" s="27" t="n"/>
      <c r="T141" s="27" t="n"/>
      <c r="U141" s="27" t="n"/>
      <c r="V141" s="27" t="n"/>
      <c r="W141" s="27" t="n"/>
    </row>
    <row r="142">
      <c r="A142" s="98" t="n"/>
      <c r="B142" s="99" t="n"/>
      <c r="C142" s="346" t="n"/>
      <c r="D142" s="335">
        <f>IF(OR(A142="",B142="",C142=""),"",ROUND(B142*C142,2))</f>
        <v/>
      </c>
      <c r="E142" s="99" t="n"/>
      <c r="F142" s="335">
        <f>IF(OR(A142="",E142="",C142="",NOT(ISNUMBER($U$2))),"",ROUND(E142*C142*$U$2,2))</f>
        <v/>
      </c>
      <c r="G142" s="99" t="n"/>
      <c r="H142" s="335">
        <f>IF(OR(A142="",G142="",C142="",NOT(ISNUMBER($U$3))),"",ROUND(G142*C142*$U$3,2))</f>
        <v/>
      </c>
      <c r="I142" s="99" t="n"/>
      <c r="J142" s="335">
        <f>IF(OR(A142="",I142="",C142="",NOT(ISNUMBER($U$4))),"",ROUND(I142*C142*$U$4,2))</f>
        <v/>
      </c>
      <c r="K142" s="99" t="n"/>
      <c r="L142" s="335">
        <f>IF(OR(A142="",K142="",C142="",NOT(ISNUMBER($U$5))),"",ROUND(K142*C142*$U$5,2))</f>
        <v/>
      </c>
      <c r="M142" s="99" t="n"/>
      <c r="N142" s="335">
        <f>IF(OR(A142="",M142="",C142="",NOT(ISNUMBER($U$6))),"",ROUND(M142*C142*$U$6,2))</f>
        <v/>
      </c>
      <c r="O142" s="90">
        <f>IF(A142="","",SUM(E142,G142,I142,K142,M142))</f>
        <v/>
      </c>
      <c r="P142" s="335">
        <f>IF(A142="","",SUM(F142,H142,J142,L142,N142))</f>
        <v/>
      </c>
      <c r="Q142" s="198">
        <f>IF(A142="","",IF(O142&gt;B142,"DIVERGENCIA: CONSUMO MAIOR QUE CONTRATADO","OK"))</f>
        <v/>
      </c>
      <c r="R142" s="27" t="n"/>
      <c r="S142" s="27" t="n"/>
      <c r="T142" s="27" t="n"/>
      <c r="U142" s="27" t="n"/>
      <c r="V142" s="27" t="n"/>
      <c r="W142" s="27" t="n"/>
    </row>
    <row r="143">
      <c r="A143" s="98" t="n"/>
      <c r="B143" s="99" t="n"/>
      <c r="C143" s="346" t="n"/>
      <c r="D143" s="335">
        <f>IF(OR(A143="",B143="",C143=""),"",ROUND(B143*C143,2))</f>
        <v/>
      </c>
      <c r="E143" s="99" t="n"/>
      <c r="F143" s="335">
        <f>IF(OR(A143="",E143="",C143="",NOT(ISNUMBER($U$2))),"",ROUND(E143*C143*$U$2,2))</f>
        <v/>
      </c>
      <c r="G143" s="99" t="n"/>
      <c r="H143" s="335">
        <f>IF(OR(A143="",G143="",C143="",NOT(ISNUMBER($U$3))),"",ROUND(G143*C143*$U$3,2))</f>
        <v/>
      </c>
      <c r="I143" s="99" t="n"/>
      <c r="J143" s="335">
        <f>IF(OR(A143="",I143="",C143="",NOT(ISNUMBER($U$4))),"",ROUND(I143*C143*$U$4,2))</f>
        <v/>
      </c>
      <c r="K143" s="99" t="n"/>
      <c r="L143" s="335">
        <f>IF(OR(A143="",K143="",C143="",NOT(ISNUMBER($U$5))),"",ROUND(K143*C143*$U$5,2))</f>
        <v/>
      </c>
      <c r="M143" s="99" t="n"/>
      <c r="N143" s="335">
        <f>IF(OR(A143="",M143="",C143="",NOT(ISNUMBER($U$6))),"",ROUND(M143*C143*$U$6,2))</f>
        <v/>
      </c>
      <c r="O143" s="90">
        <f>IF(A143="","",SUM(E143,G143,I143,K143,M143))</f>
        <v/>
      </c>
      <c r="P143" s="335">
        <f>IF(A143="","",SUM(F143,H143,J143,L143,N143))</f>
        <v/>
      </c>
      <c r="Q143" s="198">
        <f>IF(A143="","",IF(O143&gt;B143,"DIVERGENCIA: CONSUMO MAIOR QUE CONTRATADO","OK"))</f>
        <v/>
      </c>
      <c r="R143" s="27" t="n"/>
      <c r="S143" s="27" t="n"/>
      <c r="T143" s="27" t="n"/>
      <c r="U143" s="27" t="n"/>
      <c r="V143" s="27" t="n"/>
      <c r="W143" s="27" t="n"/>
    </row>
    <row r="144">
      <c r="A144" s="98" t="n"/>
      <c r="B144" s="99" t="n"/>
      <c r="C144" s="346" t="n"/>
      <c r="D144" s="335">
        <f>IF(OR(A144="",B144="",C144=""),"",ROUND(B144*C144,2))</f>
        <v/>
      </c>
      <c r="E144" s="99" t="n"/>
      <c r="F144" s="335">
        <f>IF(OR(A144="",E144="",C144="",NOT(ISNUMBER($U$2))),"",ROUND(E144*C144*$U$2,2))</f>
        <v/>
      </c>
      <c r="G144" s="99" t="n"/>
      <c r="H144" s="335">
        <f>IF(OR(A144="",G144="",C144="",NOT(ISNUMBER($U$3))),"",ROUND(G144*C144*$U$3,2))</f>
        <v/>
      </c>
      <c r="I144" s="99" t="n"/>
      <c r="J144" s="335">
        <f>IF(OR(A144="",I144="",C144="",NOT(ISNUMBER($U$4))),"",ROUND(I144*C144*$U$4,2))</f>
        <v/>
      </c>
      <c r="K144" s="99" t="n"/>
      <c r="L144" s="335">
        <f>IF(OR(A144="",K144="",C144="",NOT(ISNUMBER($U$5))),"",ROUND(K144*C144*$U$5,2))</f>
        <v/>
      </c>
      <c r="M144" s="99" t="n"/>
      <c r="N144" s="335">
        <f>IF(OR(A144="",M144="",C144="",NOT(ISNUMBER($U$6))),"",ROUND(M144*C144*$U$6,2))</f>
        <v/>
      </c>
      <c r="O144" s="90">
        <f>IF(A144="","",SUM(E144,G144,I144,K144,M144))</f>
        <v/>
      </c>
      <c r="P144" s="335">
        <f>IF(A144="","",SUM(F144,H144,J144,L144,N144))</f>
        <v/>
      </c>
      <c r="Q144" s="198">
        <f>IF(A144="","",IF(O144&gt;B144,"DIVERGENCIA: CONSUMO MAIOR QUE CONTRATADO","OK"))</f>
        <v/>
      </c>
      <c r="R144" s="27" t="n"/>
      <c r="S144" s="27" t="n"/>
      <c r="T144" s="27" t="n"/>
      <c r="U144" s="27" t="n"/>
      <c r="V144" s="27" t="n"/>
      <c r="W144" s="27" t="n"/>
    </row>
    <row r="145">
      <c r="A145" s="98" t="n"/>
      <c r="B145" s="99" t="n"/>
      <c r="C145" s="346" t="n"/>
      <c r="D145" s="335">
        <f>IF(OR(A145="",B145="",C145=""),"",ROUND(B145*C145,2))</f>
        <v/>
      </c>
      <c r="E145" s="99" t="n"/>
      <c r="F145" s="335">
        <f>IF(OR(A145="",E145="",C145="",NOT(ISNUMBER($U$2))),"",ROUND(E145*C145*$U$2,2))</f>
        <v/>
      </c>
      <c r="G145" s="99" t="n"/>
      <c r="H145" s="335">
        <f>IF(OR(A145="",G145="",C145="",NOT(ISNUMBER($U$3))),"",ROUND(G145*C145*$U$3,2))</f>
        <v/>
      </c>
      <c r="I145" s="99" t="n"/>
      <c r="J145" s="335">
        <f>IF(OR(A145="",I145="",C145="",NOT(ISNUMBER($U$4))),"",ROUND(I145*C145*$U$4,2))</f>
        <v/>
      </c>
      <c r="K145" s="99" t="n"/>
      <c r="L145" s="335">
        <f>IF(OR(A145="",K145="",C145="",NOT(ISNUMBER($U$5))),"",ROUND(K145*C145*$U$5,2))</f>
        <v/>
      </c>
      <c r="M145" s="99" t="n"/>
      <c r="N145" s="335">
        <f>IF(OR(A145="",M145="",C145="",NOT(ISNUMBER($U$6))),"",ROUND(M145*C145*$U$6,2))</f>
        <v/>
      </c>
      <c r="O145" s="90">
        <f>IF(A145="","",SUM(E145,G145,I145,K145,M145))</f>
        <v/>
      </c>
      <c r="P145" s="335">
        <f>IF(A145="","",SUM(F145,H145,J145,L145,N145))</f>
        <v/>
      </c>
      <c r="Q145" s="198">
        <f>IF(A145="","",IF(O145&gt;B145,"DIVERGENCIA: CONSUMO MAIOR QUE CONTRATADO","OK"))</f>
        <v/>
      </c>
      <c r="R145" s="27" t="n"/>
      <c r="S145" s="27" t="n"/>
      <c r="T145" s="27" t="n"/>
      <c r="U145" s="27" t="n"/>
      <c r="V145" s="27" t="n"/>
      <c r="W145" s="27" t="n"/>
    </row>
    <row r="146">
      <c r="A146" s="98" t="n"/>
      <c r="B146" s="99" t="n"/>
      <c r="C146" s="346" t="n"/>
      <c r="D146" s="335">
        <f>IF(OR(A146="",B146="",C146=""),"",ROUND(B146*C146,2))</f>
        <v/>
      </c>
      <c r="E146" s="99" t="n"/>
      <c r="F146" s="335">
        <f>IF(OR(A146="",E146="",C146="",NOT(ISNUMBER($U$2))),"",ROUND(E146*C146*$U$2,2))</f>
        <v/>
      </c>
      <c r="G146" s="99" t="n"/>
      <c r="H146" s="335">
        <f>IF(OR(A146="",G146="",C146="",NOT(ISNUMBER($U$3))),"",ROUND(G146*C146*$U$3,2))</f>
        <v/>
      </c>
      <c r="I146" s="99" t="n"/>
      <c r="J146" s="335">
        <f>IF(OR(A146="",I146="",C146="",NOT(ISNUMBER($U$4))),"",ROUND(I146*C146*$U$4,2))</f>
        <v/>
      </c>
      <c r="K146" s="99" t="n"/>
      <c r="L146" s="335">
        <f>IF(OR(A146="",K146="",C146="",NOT(ISNUMBER($U$5))),"",ROUND(K146*C146*$U$5,2))</f>
        <v/>
      </c>
      <c r="M146" s="99" t="n"/>
      <c r="N146" s="335">
        <f>IF(OR(A146="",M146="",C146="",NOT(ISNUMBER($U$6))),"",ROUND(M146*C146*$U$6,2))</f>
        <v/>
      </c>
      <c r="O146" s="90">
        <f>IF(A146="","",SUM(E146,G146,I146,K146,M146))</f>
        <v/>
      </c>
      <c r="P146" s="335">
        <f>IF(A146="","",SUM(F146,H146,J146,L146,N146))</f>
        <v/>
      </c>
      <c r="Q146" s="198">
        <f>IF(A146="","",IF(O146&gt;B146,"DIVERGENCIA: CONSUMO MAIOR QUE CONTRATADO","OK"))</f>
        <v/>
      </c>
      <c r="R146" s="27" t="n"/>
      <c r="S146" s="27" t="n"/>
      <c r="T146" s="27" t="n"/>
      <c r="U146" s="27" t="n"/>
      <c r="V146" s="27" t="n"/>
      <c r="W146" s="27" t="n"/>
    </row>
    <row r="147">
      <c r="A147" s="98" t="n"/>
      <c r="B147" s="99" t="n"/>
      <c r="C147" s="346" t="n"/>
      <c r="D147" s="335">
        <f>IF(OR(A147="",B147="",C147=""),"",ROUND(B147*C147,2))</f>
        <v/>
      </c>
      <c r="E147" s="99" t="n"/>
      <c r="F147" s="335">
        <f>IF(OR(A147="",E147="",C147="",NOT(ISNUMBER($U$2))),"",ROUND(E147*C147*$U$2,2))</f>
        <v/>
      </c>
      <c r="G147" s="99" t="n"/>
      <c r="H147" s="335">
        <f>IF(OR(A147="",G147="",C147="",NOT(ISNUMBER($U$3))),"",ROUND(G147*C147*$U$3,2))</f>
        <v/>
      </c>
      <c r="I147" s="99" t="n"/>
      <c r="J147" s="335">
        <f>IF(OR(A147="",I147="",C147="",NOT(ISNUMBER($U$4))),"",ROUND(I147*C147*$U$4,2))</f>
        <v/>
      </c>
      <c r="K147" s="99" t="n"/>
      <c r="L147" s="335">
        <f>IF(OR(A147="",K147="",C147="",NOT(ISNUMBER($U$5))),"",ROUND(K147*C147*$U$5,2))</f>
        <v/>
      </c>
      <c r="M147" s="99" t="n"/>
      <c r="N147" s="335">
        <f>IF(OR(A147="",M147="",C147="",NOT(ISNUMBER($U$6))),"",ROUND(M147*C147*$U$6,2))</f>
        <v/>
      </c>
      <c r="O147" s="90">
        <f>IF(A147="","",SUM(E147,G147,I147,K147,M147))</f>
        <v/>
      </c>
      <c r="P147" s="335">
        <f>IF(A147="","",SUM(F147,H147,J147,L147,N147))</f>
        <v/>
      </c>
      <c r="Q147" s="198">
        <f>IF(A147="","",IF(O147&gt;B147,"DIVERGENCIA: CONSUMO MAIOR QUE CONTRATADO","OK"))</f>
        <v/>
      </c>
      <c r="R147" s="27" t="n"/>
      <c r="S147" s="27" t="n"/>
      <c r="T147" s="27" t="n"/>
      <c r="U147" s="27" t="n"/>
      <c r="V147" s="27" t="n"/>
      <c r="W147" s="27" t="n"/>
    </row>
    <row r="148">
      <c r="A148" s="98" t="n"/>
      <c r="B148" s="99" t="n"/>
      <c r="C148" s="346" t="n"/>
      <c r="D148" s="335">
        <f>IF(OR(A148="",B148="",C148=""),"",ROUND(B148*C148,2))</f>
        <v/>
      </c>
      <c r="E148" s="99" t="n"/>
      <c r="F148" s="335">
        <f>IF(OR(A148="",E148="",C148="",NOT(ISNUMBER($U$2))),"",ROUND(E148*C148*$U$2,2))</f>
        <v/>
      </c>
      <c r="G148" s="99" t="n"/>
      <c r="H148" s="335">
        <f>IF(OR(A148="",G148="",C148="",NOT(ISNUMBER($U$3))),"",ROUND(G148*C148*$U$3,2))</f>
        <v/>
      </c>
      <c r="I148" s="99" t="n"/>
      <c r="J148" s="335">
        <f>IF(OR(A148="",I148="",C148="",NOT(ISNUMBER($U$4))),"",ROUND(I148*C148*$U$4,2))</f>
        <v/>
      </c>
      <c r="K148" s="99" t="n"/>
      <c r="L148" s="335">
        <f>IF(OR(A148="",K148="",C148="",NOT(ISNUMBER($U$5))),"",ROUND(K148*C148*$U$5,2))</f>
        <v/>
      </c>
      <c r="M148" s="99" t="n"/>
      <c r="N148" s="335">
        <f>IF(OR(A148="",M148="",C148="",NOT(ISNUMBER($U$6))),"",ROUND(M148*C148*$U$6,2))</f>
        <v/>
      </c>
      <c r="O148" s="90">
        <f>IF(A148="","",SUM(E148,G148,I148,K148,M148))</f>
        <v/>
      </c>
      <c r="P148" s="335">
        <f>IF(A148="","",SUM(F148,H148,J148,L148,N148))</f>
        <v/>
      </c>
      <c r="Q148" s="198">
        <f>IF(A148="","",IF(O148&gt;B148,"DIVERGENCIA: CONSUMO MAIOR QUE CONTRATADO","OK"))</f>
        <v/>
      </c>
      <c r="R148" s="27" t="n"/>
      <c r="S148" s="27" t="n"/>
      <c r="T148" s="27" t="n"/>
      <c r="U148" s="27" t="n"/>
      <c r="V148" s="27" t="n"/>
      <c r="W148" s="27" t="n"/>
    </row>
    <row r="149">
      <c r="A149" s="98" t="n"/>
      <c r="B149" s="99" t="n"/>
      <c r="C149" s="346" t="n"/>
      <c r="D149" s="335">
        <f>IF(OR(A149="",B149="",C149=""),"",ROUND(B149*C149,2))</f>
        <v/>
      </c>
      <c r="E149" s="99" t="n"/>
      <c r="F149" s="335">
        <f>IF(OR(A149="",E149="",C149="",NOT(ISNUMBER($U$2))),"",ROUND(E149*C149*$U$2,2))</f>
        <v/>
      </c>
      <c r="G149" s="99" t="n"/>
      <c r="H149" s="335">
        <f>IF(OR(A149="",G149="",C149="",NOT(ISNUMBER($U$3))),"",ROUND(G149*C149*$U$3,2))</f>
        <v/>
      </c>
      <c r="I149" s="99" t="n"/>
      <c r="J149" s="335">
        <f>IF(OR(A149="",I149="",C149="",NOT(ISNUMBER($U$4))),"",ROUND(I149*C149*$U$4,2))</f>
        <v/>
      </c>
      <c r="K149" s="99" t="n"/>
      <c r="L149" s="335">
        <f>IF(OR(A149="",K149="",C149="",NOT(ISNUMBER($U$5))),"",ROUND(K149*C149*$U$5,2))</f>
        <v/>
      </c>
      <c r="M149" s="99" t="n"/>
      <c r="N149" s="335">
        <f>IF(OR(A149="",M149="",C149="",NOT(ISNUMBER($U$6))),"",ROUND(M149*C149*$U$6,2))</f>
        <v/>
      </c>
      <c r="O149" s="90">
        <f>IF(A149="","",SUM(E149,G149,I149,K149,M149))</f>
        <v/>
      </c>
      <c r="P149" s="335">
        <f>IF(A149="","",SUM(F149,H149,J149,L149,N149))</f>
        <v/>
      </c>
      <c r="Q149" s="198">
        <f>IF(A149="","",IF(O149&gt;B149,"DIVERGENCIA: CONSUMO MAIOR QUE CONTRATADO","OK"))</f>
        <v/>
      </c>
      <c r="R149" s="27" t="n"/>
      <c r="S149" s="27" t="n"/>
      <c r="T149" s="27" t="n"/>
      <c r="U149" s="27" t="n"/>
      <c r="V149" s="27" t="n"/>
      <c r="W149" s="27" t="n"/>
    </row>
    <row r="150">
      <c r="A150" s="98" t="n"/>
      <c r="B150" s="99" t="n"/>
      <c r="C150" s="346" t="n"/>
      <c r="D150" s="335">
        <f>IF(OR(A150="",B150="",C150=""),"",ROUND(B150*C150,2))</f>
        <v/>
      </c>
      <c r="E150" s="99" t="n"/>
      <c r="F150" s="335">
        <f>IF(OR(A150="",E150="",C150="",NOT(ISNUMBER($U$2))),"",ROUND(E150*C150*$U$2,2))</f>
        <v/>
      </c>
      <c r="G150" s="99" t="n"/>
      <c r="H150" s="335">
        <f>IF(OR(A150="",G150="",C150="",NOT(ISNUMBER($U$3))),"",ROUND(G150*C150*$U$3,2))</f>
        <v/>
      </c>
      <c r="I150" s="99" t="n"/>
      <c r="J150" s="335">
        <f>IF(OR(A150="",I150="",C150="",NOT(ISNUMBER($U$4))),"",ROUND(I150*C150*$U$4,2))</f>
        <v/>
      </c>
      <c r="K150" s="99" t="n"/>
      <c r="L150" s="335">
        <f>IF(OR(A150="",K150="",C150="",NOT(ISNUMBER($U$5))),"",ROUND(K150*C150*$U$5,2))</f>
        <v/>
      </c>
      <c r="M150" s="99" t="n"/>
      <c r="N150" s="335">
        <f>IF(OR(A150="",M150="",C150="",NOT(ISNUMBER($U$6))),"",ROUND(M150*C150*$U$6,2))</f>
        <v/>
      </c>
      <c r="O150" s="90">
        <f>IF(A150="","",SUM(E150,G150,I150,K150,M150))</f>
        <v/>
      </c>
      <c r="P150" s="335">
        <f>IF(A150="","",SUM(F150,H150,J150,L150,N150))</f>
        <v/>
      </c>
      <c r="Q150" s="198">
        <f>IF(A150="","",IF(O150&gt;B150,"DIVERGENCIA: CONSUMO MAIOR QUE CONTRATADO","OK"))</f>
        <v/>
      </c>
      <c r="R150" s="27" t="n"/>
      <c r="S150" s="27" t="n"/>
      <c r="T150" s="27" t="n"/>
      <c r="U150" s="27" t="n"/>
      <c r="V150" s="27" t="n"/>
      <c r="W150" s="27" t="n"/>
    </row>
    <row r="151">
      <c r="A151" s="98" t="n"/>
      <c r="B151" s="99" t="n"/>
      <c r="C151" s="346" t="n"/>
      <c r="D151" s="335">
        <f>IF(OR(A151="",B151="",C151=""),"",ROUND(B151*C151,2))</f>
        <v/>
      </c>
      <c r="E151" s="99" t="n"/>
      <c r="F151" s="335">
        <f>IF(OR(A151="",E151="",C151="",NOT(ISNUMBER($U$2))),"",ROUND(E151*C151*$U$2,2))</f>
        <v/>
      </c>
      <c r="G151" s="99" t="n"/>
      <c r="H151" s="335">
        <f>IF(OR(A151="",G151="",C151="",NOT(ISNUMBER($U$3))),"",ROUND(G151*C151*$U$3,2))</f>
        <v/>
      </c>
      <c r="I151" s="99" t="n"/>
      <c r="J151" s="335">
        <f>IF(OR(A151="",I151="",C151="",NOT(ISNUMBER($U$4))),"",ROUND(I151*C151*$U$4,2))</f>
        <v/>
      </c>
      <c r="K151" s="99" t="n"/>
      <c r="L151" s="335">
        <f>IF(OR(A151="",K151="",C151="",NOT(ISNUMBER($U$5))),"",ROUND(K151*C151*$U$5,2))</f>
        <v/>
      </c>
      <c r="M151" s="99" t="n"/>
      <c r="N151" s="335">
        <f>IF(OR(A151="",M151="",C151="",NOT(ISNUMBER($U$6))),"",ROUND(M151*C151*$U$6,2))</f>
        <v/>
      </c>
      <c r="O151" s="90">
        <f>IF(A151="","",SUM(E151,G151,I151,K151,M151))</f>
        <v/>
      </c>
      <c r="P151" s="335">
        <f>IF(A151="","",SUM(F151,H151,J151,L151,N151))</f>
        <v/>
      </c>
      <c r="Q151" s="198">
        <f>IF(A151="","",IF(O151&gt;B151,"DIVERGENCIA: CONSUMO MAIOR QUE CONTRATADO","OK"))</f>
        <v/>
      </c>
      <c r="R151" s="27" t="n"/>
      <c r="S151" s="27" t="n"/>
      <c r="T151" s="27" t="n"/>
      <c r="U151" s="27" t="n"/>
      <c r="V151" s="27" t="n"/>
      <c r="W151" s="27" t="n"/>
    </row>
    <row r="152">
      <c r="A152" s="98" t="n"/>
      <c r="B152" s="99" t="n"/>
      <c r="C152" s="346" t="n"/>
      <c r="D152" s="335">
        <f>IF(OR(A152="",B152="",C152=""),"",ROUND(B152*C152,2))</f>
        <v/>
      </c>
      <c r="E152" s="99" t="n"/>
      <c r="F152" s="335">
        <f>IF(OR(A152="",E152="",C152="",NOT(ISNUMBER($U$2))),"",ROUND(E152*C152*$U$2,2))</f>
        <v/>
      </c>
      <c r="G152" s="99" t="n"/>
      <c r="H152" s="335">
        <f>IF(OR(A152="",G152="",C152="",NOT(ISNUMBER($U$3))),"",ROUND(G152*C152*$U$3,2))</f>
        <v/>
      </c>
      <c r="I152" s="99" t="n"/>
      <c r="J152" s="335">
        <f>IF(OR(A152="",I152="",C152="",NOT(ISNUMBER($U$4))),"",ROUND(I152*C152*$U$4,2))</f>
        <v/>
      </c>
      <c r="K152" s="99" t="n"/>
      <c r="L152" s="335">
        <f>IF(OR(A152="",K152="",C152="",NOT(ISNUMBER($U$5))),"",ROUND(K152*C152*$U$5,2))</f>
        <v/>
      </c>
      <c r="M152" s="99" t="n"/>
      <c r="N152" s="335">
        <f>IF(OR(A152="",M152="",C152="",NOT(ISNUMBER($U$6))),"",ROUND(M152*C152*$U$6,2))</f>
        <v/>
      </c>
      <c r="O152" s="90">
        <f>IF(A152="","",SUM(E152,G152,I152,K152,M152))</f>
        <v/>
      </c>
      <c r="P152" s="335">
        <f>IF(A152="","",SUM(F152,H152,J152,L152,N152))</f>
        <v/>
      </c>
      <c r="Q152" s="198">
        <f>IF(A152="","",IF(O152&gt;B152,"DIVERGENCIA: CONSUMO MAIOR QUE CONTRATADO","OK"))</f>
        <v/>
      </c>
      <c r="R152" s="27" t="n"/>
      <c r="S152" s="27" t="n"/>
      <c r="T152" s="27" t="n"/>
      <c r="U152" s="27" t="n"/>
      <c r="V152" s="27" t="n"/>
      <c r="W152" s="27" t="n"/>
    </row>
    <row r="153">
      <c r="A153" s="98" t="n"/>
      <c r="B153" s="99" t="n"/>
      <c r="C153" s="346" t="n"/>
      <c r="D153" s="335">
        <f>IF(OR(A153="",B153="",C153=""),"",ROUND(B153*C153,2))</f>
        <v/>
      </c>
      <c r="E153" s="99" t="n"/>
      <c r="F153" s="335">
        <f>IF(OR(A153="",E153="",C153="",NOT(ISNUMBER($U$2))),"",ROUND(E153*C153*$U$2,2))</f>
        <v/>
      </c>
      <c r="G153" s="99" t="n"/>
      <c r="H153" s="335">
        <f>IF(OR(A153="",G153="",C153="",NOT(ISNUMBER($U$3))),"",ROUND(G153*C153*$U$3,2))</f>
        <v/>
      </c>
      <c r="I153" s="99" t="n"/>
      <c r="J153" s="335">
        <f>IF(OR(A153="",I153="",C153="",NOT(ISNUMBER($U$4))),"",ROUND(I153*C153*$U$4,2))</f>
        <v/>
      </c>
      <c r="K153" s="99" t="n"/>
      <c r="L153" s="335">
        <f>IF(OR(A153="",K153="",C153="",NOT(ISNUMBER($U$5))),"",ROUND(K153*C153*$U$5,2))</f>
        <v/>
      </c>
      <c r="M153" s="99" t="n"/>
      <c r="N153" s="335">
        <f>IF(OR(A153="",M153="",C153="",NOT(ISNUMBER($U$6))),"",ROUND(M153*C153*$U$6,2))</f>
        <v/>
      </c>
      <c r="O153" s="90">
        <f>IF(A153="","",SUM(E153,G153,I153,K153,M153))</f>
        <v/>
      </c>
      <c r="P153" s="335">
        <f>IF(A153="","",SUM(F153,H153,J153,L153,N153))</f>
        <v/>
      </c>
      <c r="Q153" s="198">
        <f>IF(A153="","",IF(O153&gt;B153,"DIVERGENCIA: CONSUMO MAIOR QUE CONTRATADO","OK"))</f>
        <v/>
      </c>
      <c r="R153" s="27" t="n"/>
      <c r="S153" s="27" t="n"/>
      <c r="T153" s="27" t="n"/>
      <c r="U153" s="27" t="n"/>
      <c r="V153" s="27" t="n"/>
      <c r="W153" s="27" t="n"/>
    </row>
    <row r="154">
      <c r="A154" s="98" t="n"/>
      <c r="B154" s="99" t="n"/>
      <c r="C154" s="346" t="n"/>
      <c r="D154" s="335">
        <f>IF(OR(A154="",B154="",C154=""),"",ROUND(B154*C154,2))</f>
        <v/>
      </c>
      <c r="E154" s="99" t="n"/>
      <c r="F154" s="335">
        <f>IF(OR(A154="",E154="",C154="",NOT(ISNUMBER($U$2))),"",ROUND(E154*C154*$U$2,2))</f>
        <v/>
      </c>
      <c r="G154" s="99" t="n"/>
      <c r="H154" s="335">
        <f>IF(OR(A154="",G154="",C154="",NOT(ISNUMBER($U$3))),"",ROUND(G154*C154*$U$3,2))</f>
        <v/>
      </c>
      <c r="I154" s="99" t="n"/>
      <c r="J154" s="335">
        <f>IF(OR(A154="",I154="",C154="",NOT(ISNUMBER($U$4))),"",ROUND(I154*C154*$U$4,2))</f>
        <v/>
      </c>
      <c r="K154" s="99" t="n"/>
      <c r="L154" s="335">
        <f>IF(OR(A154="",K154="",C154="",NOT(ISNUMBER($U$5))),"",ROUND(K154*C154*$U$5,2))</f>
        <v/>
      </c>
      <c r="M154" s="99" t="n"/>
      <c r="N154" s="335">
        <f>IF(OR(A154="",M154="",C154="",NOT(ISNUMBER($U$6))),"",ROUND(M154*C154*$U$6,2))</f>
        <v/>
      </c>
      <c r="O154" s="90">
        <f>IF(A154="","",SUM(E154,G154,I154,K154,M154))</f>
        <v/>
      </c>
      <c r="P154" s="335">
        <f>IF(A154="","",SUM(F154,H154,J154,L154,N154))</f>
        <v/>
      </c>
      <c r="Q154" s="198">
        <f>IF(A154="","",IF(O154&gt;B154,"DIVERGENCIA: CONSUMO MAIOR QUE CONTRATADO","OK"))</f>
        <v/>
      </c>
      <c r="R154" s="27" t="n"/>
      <c r="S154" s="27" t="n"/>
      <c r="T154" s="27" t="n"/>
      <c r="U154" s="27" t="n"/>
      <c r="V154" s="27" t="n"/>
      <c r="W154" s="27" t="n"/>
    </row>
    <row r="155">
      <c r="A155" s="98" t="n"/>
      <c r="B155" s="99" t="n"/>
      <c r="C155" s="346" t="n"/>
      <c r="D155" s="335">
        <f>IF(OR(A155="",B155="",C155=""),"",ROUND(B155*C155,2))</f>
        <v/>
      </c>
      <c r="E155" s="99" t="n"/>
      <c r="F155" s="335">
        <f>IF(OR(A155="",E155="",C155="",NOT(ISNUMBER($U$2))),"",ROUND(E155*C155*$U$2,2))</f>
        <v/>
      </c>
      <c r="G155" s="99" t="n"/>
      <c r="H155" s="335">
        <f>IF(OR(A155="",G155="",C155="",NOT(ISNUMBER($U$3))),"",ROUND(G155*C155*$U$3,2))</f>
        <v/>
      </c>
      <c r="I155" s="99" t="n"/>
      <c r="J155" s="335">
        <f>IF(OR(A155="",I155="",C155="",NOT(ISNUMBER($U$4))),"",ROUND(I155*C155*$U$4,2))</f>
        <v/>
      </c>
      <c r="K155" s="99" t="n"/>
      <c r="L155" s="335">
        <f>IF(OR(A155="",K155="",C155="",NOT(ISNUMBER($U$5))),"",ROUND(K155*C155*$U$5,2))</f>
        <v/>
      </c>
      <c r="M155" s="99" t="n"/>
      <c r="N155" s="335">
        <f>IF(OR(A155="",M155="",C155="",NOT(ISNUMBER($U$6))),"",ROUND(M155*C155*$U$6,2))</f>
        <v/>
      </c>
      <c r="O155" s="90">
        <f>IF(A155="","",SUM(E155,G155,I155,K155,M155))</f>
        <v/>
      </c>
      <c r="P155" s="335">
        <f>IF(A155="","",SUM(F155,H155,J155,L155,N155))</f>
        <v/>
      </c>
      <c r="Q155" s="198">
        <f>IF(A155="","",IF(O155&gt;B155,"DIVERGENCIA: CONSUMO MAIOR QUE CONTRATADO","OK"))</f>
        <v/>
      </c>
      <c r="R155" s="27" t="n"/>
      <c r="S155" s="27" t="n"/>
      <c r="T155" s="27" t="n"/>
      <c r="U155" s="27" t="n"/>
      <c r="V155" s="27" t="n"/>
      <c r="W155" s="27" t="n"/>
    </row>
    <row r="156">
      <c r="A156" s="98" t="n"/>
      <c r="B156" s="99" t="n"/>
      <c r="C156" s="346" t="n"/>
      <c r="D156" s="335">
        <f>IF(OR(A156="",B156="",C156=""),"",ROUND(B156*C156,2))</f>
        <v/>
      </c>
      <c r="E156" s="99" t="n"/>
      <c r="F156" s="335">
        <f>IF(OR(A156="",E156="",C156="",NOT(ISNUMBER($U$2))),"",ROUND(E156*C156*$U$2,2))</f>
        <v/>
      </c>
      <c r="G156" s="99" t="n"/>
      <c r="H156" s="335">
        <f>IF(OR(A156="",G156="",C156="",NOT(ISNUMBER($U$3))),"",ROUND(G156*C156*$U$3,2))</f>
        <v/>
      </c>
      <c r="I156" s="99" t="n"/>
      <c r="J156" s="335">
        <f>IF(OR(A156="",I156="",C156="",NOT(ISNUMBER($U$4))),"",ROUND(I156*C156*$U$4,2))</f>
        <v/>
      </c>
      <c r="K156" s="99" t="n"/>
      <c r="L156" s="335">
        <f>IF(OR(A156="",K156="",C156="",NOT(ISNUMBER($U$5))),"",ROUND(K156*C156*$U$5,2))</f>
        <v/>
      </c>
      <c r="M156" s="99" t="n"/>
      <c r="N156" s="335">
        <f>IF(OR(A156="",M156="",C156="",NOT(ISNUMBER($U$6))),"",ROUND(M156*C156*$U$6,2))</f>
        <v/>
      </c>
      <c r="O156" s="90">
        <f>IF(A156="","",SUM(E156,G156,I156,K156,M156))</f>
        <v/>
      </c>
      <c r="P156" s="335">
        <f>IF(A156="","",SUM(F156,H156,J156,L156,N156))</f>
        <v/>
      </c>
      <c r="Q156" s="198">
        <f>IF(A156="","",IF(O156&gt;B156,"DIVERGENCIA: CONSUMO MAIOR QUE CONTRATADO","OK"))</f>
        <v/>
      </c>
      <c r="R156" s="27" t="n"/>
      <c r="S156" s="27" t="n"/>
      <c r="T156" s="27" t="n"/>
      <c r="U156" s="27" t="n"/>
      <c r="V156" s="27" t="n"/>
      <c r="W156" s="27" t="n"/>
    </row>
    <row r="157">
      <c r="A157" s="98" t="n"/>
      <c r="B157" s="99" t="n"/>
      <c r="C157" s="346" t="n"/>
      <c r="D157" s="335">
        <f>IF(OR(A157="",B157="",C157=""),"",ROUND(B157*C157,2))</f>
        <v/>
      </c>
      <c r="E157" s="99" t="n"/>
      <c r="F157" s="335">
        <f>IF(OR(A157="",E157="",C157="",NOT(ISNUMBER($U$2))),"",ROUND(E157*C157*$U$2,2))</f>
        <v/>
      </c>
      <c r="G157" s="99" t="n"/>
      <c r="H157" s="335">
        <f>IF(OR(A157="",G157="",C157="",NOT(ISNUMBER($U$3))),"",ROUND(G157*C157*$U$3,2))</f>
        <v/>
      </c>
      <c r="I157" s="99" t="n"/>
      <c r="J157" s="335">
        <f>IF(OR(A157="",I157="",C157="",NOT(ISNUMBER($U$4))),"",ROUND(I157*C157*$U$4,2))</f>
        <v/>
      </c>
      <c r="K157" s="99" t="n"/>
      <c r="L157" s="335">
        <f>IF(OR(A157="",K157="",C157="",NOT(ISNUMBER($U$5))),"",ROUND(K157*C157*$U$5,2))</f>
        <v/>
      </c>
      <c r="M157" s="99" t="n"/>
      <c r="N157" s="335">
        <f>IF(OR(A157="",M157="",C157="",NOT(ISNUMBER($U$6))),"",ROUND(M157*C157*$U$6,2))</f>
        <v/>
      </c>
      <c r="O157" s="90">
        <f>IF(A157="","",SUM(E157,G157,I157,K157,M157))</f>
        <v/>
      </c>
      <c r="P157" s="335">
        <f>IF(A157="","",SUM(F157,H157,J157,L157,N157))</f>
        <v/>
      </c>
      <c r="Q157" s="198">
        <f>IF(A157="","",IF(O157&gt;B157,"DIVERGENCIA: CONSUMO MAIOR QUE CONTRATADO","OK"))</f>
        <v/>
      </c>
      <c r="R157" s="27" t="n"/>
      <c r="S157" s="27" t="n"/>
      <c r="T157" s="27" t="n"/>
      <c r="U157" s="27" t="n"/>
      <c r="V157" s="27" t="n"/>
      <c r="W157" s="27" t="n"/>
    </row>
    <row r="158">
      <c r="A158" s="98" t="n"/>
      <c r="B158" s="99" t="n"/>
      <c r="C158" s="346" t="n"/>
      <c r="D158" s="335">
        <f>IF(OR(A158="",B158="",C158=""),"",ROUND(B158*C158,2))</f>
        <v/>
      </c>
      <c r="E158" s="99" t="n"/>
      <c r="F158" s="335">
        <f>IF(OR(A158="",E158="",C158="",NOT(ISNUMBER($U$2))),"",ROUND(E158*C158*$U$2,2))</f>
        <v/>
      </c>
      <c r="G158" s="99" t="n"/>
      <c r="H158" s="335">
        <f>IF(OR(A158="",G158="",C158="",NOT(ISNUMBER($U$3))),"",ROUND(G158*C158*$U$3,2))</f>
        <v/>
      </c>
      <c r="I158" s="99" t="n"/>
      <c r="J158" s="335">
        <f>IF(OR(A158="",I158="",C158="",NOT(ISNUMBER($U$4))),"",ROUND(I158*C158*$U$4,2))</f>
        <v/>
      </c>
      <c r="K158" s="99" t="n"/>
      <c r="L158" s="335">
        <f>IF(OR(A158="",K158="",C158="",NOT(ISNUMBER($U$5))),"",ROUND(K158*C158*$U$5,2))</f>
        <v/>
      </c>
      <c r="M158" s="99" t="n"/>
      <c r="N158" s="335">
        <f>IF(OR(A158="",M158="",C158="",NOT(ISNUMBER($U$6))),"",ROUND(M158*C158*$U$6,2))</f>
        <v/>
      </c>
      <c r="O158" s="90">
        <f>IF(A158="","",SUM(E158,G158,I158,K158,M158))</f>
        <v/>
      </c>
      <c r="P158" s="335">
        <f>IF(A158="","",SUM(F158,H158,J158,L158,N158))</f>
        <v/>
      </c>
      <c r="Q158" s="198">
        <f>IF(A158="","",IF(O158&gt;B158,"DIVERGENCIA: CONSUMO MAIOR QUE CONTRATADO","OK"))</f>
        <v/>
      </c>
      <c r="R158" s="27" t="n"/>
      <c r="S158" s="27" t="n"/>
      <c r="T158" s="27" t="n"/>
      <c r="U158" s="27" t="n"/>
      <c r="V158" s="27" t="n"/>
      <c r="W158" s="27" t="n"/>
    </row>
    <row r="159">
      <c r="A159" s="98" t="n"/>
      <c r="B159" s="99" t="n"/>
      <c r="C159" s="346" t="n"/>
      <c r="D159" s="335">
        <f>IF(OR(A159="",B159="",C159=""),"",ROUND(B159*C159,2))</f>
        <v/>
      </c>
      <c r="E159" s="99" t="n"/>
      <c r="F159" s="335">
        <f>IF(OR(A159="",E159="",C159="",NOT(ISNUMBER($U$2))),"",ROUND(E159*C159*$U$2,2))</f>
        <v/>
      </c>
      <c r="G159" s="99" t="n"/>
      <c r="H159" s="335">
        <f>IF(OR(A159="",G159="",C159="",NOT(ISNUMBER($U$3))),"",ROUND(G159*C159*$U$3,2))</f>
        <v/>
      </c>
      <c r="I159" s="99" t="n"/>
      <c r="J159" s="335">
        <f>IF(OR(A159="",I159="",C159="",NOT(ISNUMBER($U$4))),"",ROUND(I159*C159*$U$4,2))</f>
        <v/>
      </c>
      <c r="K159" s="99" t="n"/>
      <c r="L159" s="335">
        <f>IF(OR(A159="",K159="",C159="",NOT(ISNUMBER($U$5))),"",ROUND(K159*C159*$U$5,2))</f>
        <v/>
      </c>
      <c r="M159" s="99" t="n"/>
      <c r="N159" s="335">
        <f>IF(OR(A159="",M159="",C159="",NOT(ISNUMBER($U$6))),"",ROUND(M159*C159*$U$6,2))</f>
        <v/>
      </c>
      <c r="O159" s="90">
        <f>IF(A159="","",SUM(E159,G159,I159,K159,M159))</f>
        <v/>
      </c>
      <c r="P159" s="335">
        <f>IF(A159="","",SUM(F159,H159,J159,L159,N159))</f>
        <v/>
      </c>
      <c r="Q159" s="198">
        <f>IF(A159="","",IF(O159&gt;B159,"DIVERGENCIA: CONSUMO MAIOR QUE CONTRATADO","OK"))</f>
        <v/>
      </c>
      <c r="R159" s="27" t="n"/>
      <c r="S159" s="27" t="n"/>
      <c r="T159" s="27" t="n"/>
      <c r="U159" s="27" t="n"/>
      <c r="V159" s="27" t="n"/>
      <c r="W159" s="27" t="n"/>
    </row>
    <row r="160">
      <c r="A160" s="98" t="n"/>
      <c r="B160" s="99" t="n"/>
      <c r="C160" s="346" t="n"/>
      <c r="D160" s="335">
        <f>IF(OR(A160="",B160="",C160=""),"",ROUND(B160*C160,2))</f>
        <v/>
      </c>
      <c r="E160" s="99" t="n"/>
      <c r="F160" s="335">
        <f>IF(OR(A160="",E160="",C160="",NOT(ISNUMBER($U$2))),"",ROUND(E160*C160*$U$2,2))</f>
        <v/>
      </c>
      <c r="G160" s="99" t="n"/>
      <c r="H160" s="335">
        <f>IF(OR(A160="",G160="",C160="",NOT(ISNUMBER($U$3))),"",ROUND(G160*C160*$U$3,2))</f>
        <v/>
      </c>
      <c r="I160" s="99" t="n"/>
      <c r="J160" s="335">
        <f>IF(OR(A160="",I160="",C160="",NOT(ISNUMBER($U$4))),"",ROUND(I160*C160*$U$4,2))</f>
        <v/>
      </c>
      <c r="K160" s="99" t="n"/>
      <c r="L160" s="335">
        <f>IF(OR(A160="",K160="",C160="",NOT(ISNUMBER($U$5))),"",ROUND(K160*C160*$U$5,2))</f>
        <v/>
      </c>
      <c r="M160" s="99" t="n"/>
      <c r="N160" s="335">
        <f>IF(OR(A160="",M160="",C160="",NOT(ISNUMBER($U$6))),"",ROUND(M160*C160*$U$6,2))</f>
        <v/>
      </c>
      <c r="O160" s="90">
        <f>IF(A160="","",SUM(E160,G160,I160,K160,M160))</f>
        <v/>
      </c>
      <c r="P160" s="335">
        <f>IF(A160="","",SUM(F160,H160,J160,L160,N160))</f>
        <v/>
      </c>
      <c r="Q160" s="198">
        <f>IF(A160="","",IF(O160&gt;B160,"DIVERGENCIA: CONSUMO MAIOR QUE CONTRATADO","OK"))</f>
        <v/>
      </c>
      <c r="R160" s="27" t="n"/>
      <c r="S160" s="27" t="n"/>
      <c r="T160" s="27" t="n"/>
      <c r="U160" s="27" t="n"/>
      <c r="V160" s="27" t="n"/>
      <c r="W160" s="27" t="n"/>
    </row>
    <row r="161">
      <c r="A161" s="98" t="n"/>
      <c r="B161" s="99" t="n"/>
      <c r="C161" s="346" t="n"/>
      <c r="D161" s="335">
        <f>IF(OR(A161="",B161="",C161=""),"",ROUND(B161*C161,2))</f>
        <v/>
      </c>
      <c r="E161" s="99" t="n"/>
      <c r="F161" s="335">
        <f>IF(OR(A161="",E161="",C161="",NOT(ISNUMBER($U$2))),"",ROUND(E161*C161*$U$2,2))</f>
        <v/>
      </c>
      <c r="G161" s="99" t="n"/>
      <c r="H161" s="335">
        <f>IF(OR(A161="",G161="",C161="",NOT(ISNUMBER($U$3))),"",ROUND(G161*C161*$U$3,2))</f>
        <v/>
      </c>
      <c r="I161" s="99" t="n"/>
      <c r="J161" s="335">
        <f>IF(OR(A161="",I161="",C161="",NOT(ISNUMBER($U$4))),"",ROUND(I161*C161*$U$4,2))</f>
        <v/>
      </c>
      <c r="K161" s="99" t="n"/>
      <c r="L161" s="335">
        <f>IF(OR(A161="",K161="",C161="",NOT(ISNUMBER($U$5))),"",ROUND(K161*C161*$U$5,2))</f>
        <v/>
      </c>
      <c r="M161" s="99" t="n"/>
      <c r="N161" s="335">
        <f>IF(OR(A161="",M161="",C161="",NOT(ISNUMBER($U$6))),"",ROUND(M161*C161*$U$6,2))</f>
        <v/>
      </c>
      <c r="O161" s="90">
        <f>IF(A161="","",SUM(E161,G161,I161,K161,M161))</f>
        <v/>
      </c>
      <c r="P161" s="335">
        <f>IF(A161="","",SUM(F161,H161,J161,L161,N161))</f>
        <v/>
      </c>
      <c r="Q161" s="198">
        <f>IF(A161="","",IF(O161&gt;B161,"DIVERGENCIA: CONSUMO MAIOR QUE CONTRATADO","OK"))</f>
        <v/>
      </c>
      <c r="R161" s="27" t="n"/>
      <c r="S161" s="27" t="n"/>
      <c r="T161" s="27" t="n"/>
      <c r="U161" s="27" t="n"/>
      <c r="V161" s="27" t="n"/>
      <c r="W161" s="27" t="n"/>
    </row>
    <row r="162">
      <c r="A162" s="98" t="n"/>
      <c r="B162" s="99" t="n"/>
      <c r="C162" s="346" t="n"/>
      <c r="D162" s="335">
        <f>IF(OR(A162="",B162="",C162=""),"",ROUND(B162*C162,2))</f>
        <v/>
      </c>
      <c r="E162" s="99" t="n"/>
      <c r="F162" s="335">
        <f>IF(OR(A162="",E162="",C162="",NOT(ISNUMBER($U$2))),"",ROUND(E162*C162*$U$2,2))</f>
        <v/>
      </c>
      <c r="G162" s="99" t="n"/>
      <c r="H162" s="335">
        <f>IF(OR(A162="",G162="",C162="",NOT(ISNUMBER($U$3))),"",ROUND(G162*C162*$U$3,2))</f>
        <v/>
      </c>
      <c r="I162" s="99" t="n"/>
      <c r="J162" s="335">
        <f>IF(OR(A162="",I162="",C162="",NOT(ISNUMBER($U$4))),"",ROUND(I162*C162*$U$4,2))</f>
        <v/>
      </c>
      <c r="K162" s="99" t="n"/>
      <c r="L162" s="335">
        <f>IF(OR(A162="",K162="",C162="",NOT(ISNUMBER($U$5))),"",ROUND(K162*C162*$U$5,2))</f>
        <v/>
      </c>
      <c r="M162" s="99" t="n"/>
      <c r="N162" s="335">
        <f>IF(OR(A162="",M162="",C162="",NOT(ISNUMBER($U$6))),"",ROUND(M162*C162*$U$6,2))</f>
        <v/>
      </c>
      <c r="O162" s="90">
        <f>IF(A162="","",SUM(E162,G162,I162,K162,M162))</f>
        <v/>
      </c>
      <c r="P162" s="335">
        <f>IF(A162="","",SUM(F162,H162,J162,L162,N162))</f>
        <v/>
      </c>
      <c r="Q162" s="198">
        <f>IF(A162="","",IF(O162&gt;B162,"DIVERGENCIA: CONSUMO MAIOR QUE CONTRATADO","OK"))</f>
        <v/>
      </c>
      <c r="R162" s="27" t="n"/>
      <c r="S162" s="27" t="n"/>
      <c r="T162" s="27" t="n"/>
      <c r="U162" s="27" t="n"/>
      <c r="V162" s="27" t="n"/>
      <c r="W162" s="27" t="n"/>
    </row>
    <row r="163">
      <c r="A163" s="98" t="n"/>
      <c r="B163" s="99" t="n"/>
      <c r="C163" s="346" t="n"/>
      <c r="D163" s="335">
        <f>IF(OR(A163="",B163="",C163=""),"",ROUND(B163*C163,2))</f>
        <v/>
      </c>
      <c r="E163" s="99" t="n"/>
      <c r="F163" s="335">
        <f>IF(OR(A163="",E163="",C163="",NOT(ISNUMBER($U$2))),"",ROUND(E163*C163*$U$2,2))</f>
        <v/>
      </c>
      <c r="G163" s="99" t="n"/>
      <c r="H163" s="335">
        <f>IF(OR(A163="",G163="",C163="",NOT(ISNUMBER($U$3))),"",ROUND(G163*C163*$U$3,2))</f>
        <v/>
      </c>
      <c r="I163" s="99" t="n"/>
      <c r="J163" s="335">
        <f>IF(OR(A163="",I163="",C163="",NOT(ISNUMBER($U$4))),"",ROUND(I163*C163*$U$4,2))</f>
        <v/>
      </c>
      <c r="K163" s="99" t="n"/>
      <c r="L163" s="335">
        <f>IF(OR(A163="",K163="",C163="",NOT(ISNUMBER($U$5))),"",ROUND(K163*C163*$U$5,2))</f>
        <v/>
      </c>
      <c r="M163" s="99" t="n"/>
      <c r="N163" s="335">
        <f>IF(OR(A163="",M163="",C163="",NOT(ISNUMBER($U$6))),"",ROUND(M163*C163*$U$6,2))</f>
        <v/>
      </c>
      <c r="O163" s="90">
        <f>IF(A163="","",SUM(E163,G163,I163,K163,M163))</f>
        <v/>
      </c>
      <c r="P163" s="335">
        <f>IF(A163="","",SUM(F163,H163,J163,L163,N163))</f>
        <v/>
      </c>
      <c r="Q163" s="198">
        <f>IF(A163="","",IF(O163&gt;B163,"DIVERGENCIA: CONSUMO MAIOR QUE CONTRATADO","OK"))</f>
        <v/>
      </c>
      <c r="R163" s="27" t="n"/>
      <c r="S163" s="27" t="n"/>
      <c r="T163" s="27" t="n"/>
      <c r="U163" s="27" t="n"/>
      <c r="V163" s="27" t="n"/>
      <c r="W163" s="27" t="n"/>
    </row>
    <row r="164">
      <c r="A164" s="98" t="n"/>
      <c r="B164" s="99" t="n"/>
      <c r="C164" s="346" t="n"/>
      <c r="D164" s="335">
        <f>IF(OR(A164="",B164="",C164=""),"",ROUND(B164*C164,2))</f>
        <v/>
      </c>
      <c r="E164" s="99" t="n"/>
      <c r="F164" s="335">
        <f>IF(OR(A164="",E164="",C164="",NOT(ISNUMBER($U$2))),"",ROUND(E164*C164*$U$2,2))</f>
        <v/>
      </c>
      <c r="G164" s="99" t="n"/>
      <c r="H164" s="335">
        <f>IF(OR(A164="",G164="",C164="",NOT(ISNUMBER($U$3))),"",ROUND(G164*C164*$U$3,2))</f>
        <v/>
      </c>
      <c r="I164" s="99" t="n"/>
      <c r="J164" s="335">
        <f>IF(OR(A164="",I164="",C164="",NOT(ISNUMBER($U$4))),"",ROUND(I164*C164*$U$4,2))</f>
        <v/>
      </c>
      <c r="K164" s="99" t="n"/>
      <c r="L164" s="335">
        <f>IF(OR(A164="",K164="",C164="",NOT(ISNUMBER($U$5))),"",ROUND(K164*C164*$U$5,2))</f>
        <v/>
      </c>
      <c r="M164" s="99" t="n"/>
      <c r="N164" s="335">
        <f>IF(OR(A164="",M164="",C164="",NOT(ISNUMBER($U$6))),"",ROUND(M164*C164*$U$6,2))</f>
        <v/>
      </c>
      <c r="O164" s="90">
        <f>IF(A164="","",SUM(E164,G164,I164,K164,M164))</f>
        <v/>
      </c>
      <c r="P164" s="335">
        <f>IF(A164="","",SUM(F164,H164,J164,L164,N164))</f>
        <v/>
      </c>
      <c r="Q164" s="198">
        <f>IF(A164="","",IF(O164&gt;B164,"DIVERGENCIA: CONSUMO MAIOR QUE CONTRATADO","OK"))</f>
        <v/>
      </c>
      <c r="R164" s="27" t="n"/>
      <c r="S164" s="27" t="n"/>
      <c r="T164" s="27" t="n"/>
      <c r="U164" s="27" t="n"/>
      <c r="V164" s="27" t="n"/>
      <c r="W164" s="27" t="n"/>
    </row>
    <row r="165">
      <c r="A165" s="98" t="n"/>
      <c r="B165" s="99" t="n"/>
      <c r="C165" s="346" t="n"/>
      <c r="D165" s="335">
        <f>IF(OR(A165="",B165="",C165=""),"",ROUND(B165*C165,2))</f>
        <v/>
      </c>
      <c r="E165" s="99" t="n"/>
      <c r="F165" s="335">
        <f>IF(OR(A165="",E165="",C165="",NOT(ISNUMBER($U$2))),"",ROUND(E165*C165*$U$2,2))</f>
        <v/>
      </c>
      <c r="G165" s="99" t="n"/>
      <c r="H165" s="335">
        <f>IF(OR(A165="",G165="",C165="",NOT(ISNUMBER($U$3))),"",ROUND(G165*C165*$U$3,2))</f>
        <v/>
      </c>
      <c r="I165" s="99" t="n"/>
      <c r="J165" s="335">
        <f>IF(OR(A165="",I165="",C165="",NOT(ISNUMBER($U$4))),"",ROUND(I165*C165*$U$4,2))</f>
        <v/>
      </c>
      <c r="K165" s="99" t="n"/>
      <c r="L165" s="335">
        <f>IF(OR(A165="",K165="",C165="",NOT(ISNUMBER($U$5))),"",ROUND(K165*C165*$U$5,2))</f>
        <v/>
      </c>
      <c r="M165" s="99" t="n"/>
      <c r="N165" s="335">
        <f>IF(OR(A165="",M165="",C165="",NOT(ISNUMBER($U$6))),"",ROUND(M165*C165*$U$6,2))</f>
        <v/>
      </c>
      <c r="O165" s="90">
        <f>IF(A165="","",SUM(E165,G165,I165,K165,M165))</f>
        <v/>
      </c>
      <c r="P165" s="335">
        <f>IF(A165="","",SUM(F165,H165,J165,L165,N165))</f>
        <v/>
      </c>
      <c r="Q165" s="198">
        <f>IF(A165="","",IF(O165&gt;B165,"DIVERGENCIA: CONSUMO MAIOR QUE CONTRATADO","OK"))</f>
        <v/>
      </c>
      <c r="R165" s="27" t="n"/>
      <c r="S165" s="27" t="n"/>
      <c r="T165" s="27" t="n"/>
      <c r="U165" s="27" t="n"/>
      <c r="V165" s="27" t="n"/>
      <c r="W165" s="27" t="n"/>
    </row>
    <row r="166">
      <c r="A166" s="98" t="n"/>
      <c r="B166" s="99" t="n"/>
      <c r="C166" s="346" t="n"/>
      <c r="D166" s="335">
        <f>IF(OR(A166="",B166="",C166=""),"",ROUND(B166*C166,2))</f>
        <v/>
      </c>
      <c r="E166" s="99" t="n"/>
      <c r="F166" s="335">
        <f>IF(OR(A166="",E166="",C166="",NOT(ISNUMBER($U$2))),"",ROUND(E166*C166*$U$2,2))</f>
        <v/>
      </c>
      <c r="G166" s="99" t="n"/>
      <c r="H166" s="335">
        <f>IF(OR(A166="",G166="",C166="",NOT(ISNUMBER($U$3))),"",ROUND(G166*C166*$U$3,2))</f>
        <v/>
      </c>
      <c r="I166" s="99" t="n"/>
      <c r="J166" s="335">
        <f>IF(OR(A166="",I166="",C166="",NOT(ISNUMBER($U$4))),"",ROUND(I166*C166*$U$4,2))</f>
        <v/>
      </c>
      <c r="K166" s="99" t="n"/>
      <c r="L166" s="335">
        <f>IF(OR(A166="",K166="",C166="",NOT(ISNUMBER($U$5))),"",ROUND(K166*C166*$U$5,2))</f>
        <v/>
      </c>
      <c r="M166" s="99" t="n"/>
      <c r="N166" s="335">
        <f>IF(OR(A166="",M166="",C166="",NOT(ISNUMBER($U$6))),"",ROUND(M166*C166*$U$6,2))</f>
        <v/>
      </c>
      <c r="O166" s="90">
        <f>IF(A166="","",SUM(E166,G166,I166,K166,M166))</f>
        <v/>
      </c>
      <c r="P166" s="335">
        <f>IF(A166="","",SUM(F166,H166,J166,L166,N166))</f>
        <v/>
      </c>
      <c r="Q166" s="198">
        <f>IF(A166="","",IF(O166&gt;B166,"DIVERGENCIA: CONSUMO MAIOR QUE CONTRATADO","OK"))</f>
        <v/>
      </c>
      <c r="R166" s="27" t="n"/>
      <c r="S166" s="27" t="n"/>
      <c r="T166" s="27" t="n"/>
      <c r="U166" s="27" t="n"/>
      <c r="V166" s="27" t="n"/>
      <c r="W166" s="27" t="n"/>
    </row>
    <row r="167">
      <c r="A167" s="98" t="n"/>
      <c r="B167" s="99" t="n"/>
      <c r="C167" s="346" t="n"/>
      <c r="D167" s="335">
        <f>IF(OR(A167="",B167="",C167=""),"",ROUND(B167*C167,2))</f>
        <v/>
      </c>
      <c r="E167" s="99" t="n"/>
      <c r="F167" s="335">
        <f>IF(OR(A167="",E167="",C167="",NOT(ISNUMBER($U$2))),"",ROUND(E167*C167*$U$2,2))</f>
        <v/>
      </c>
      <c r="G167" s="99" t="n"/>
      <c r="H167" s="335">
        <f>IF(OR(A167="",G167="",C167="",NOT(ISNUMBER($U$3))),"",ROUND(G167*C167*$U$3,2))</f>
        <v/>
      </c>
      <c r="I167" s="99" t="n"/>
      <c r="J167" s="335">
        <f>IF(OR(A167="",I167="",C167="",NOT(ISNUMBER($U$4))),"",ROUND(I167*C167*$U$4,2))</f>
        <v/>
      </c>
      <c r="K167" s="99" t="n"/>
      <c r="L167" s="335">
        <f>IF(OR(A167="",K167="",C167="",NOT(ISNUMBER($U$5))),"",ROUND(K167*C167*$U$5,2))</f>
        <v/>
      </c>
      <c r="M167" s="99" t="n"/>
      <c r="N167" s="335">
        <f>IF(OR(A167="",M167="",C167="",NOT(ISNUMBER($U$6))),"",ROUND(M167*C167*$U$6,2))</f>
        <v/>
      </c>
      <c r="O167" s="90">
        <f>IF(A167="","",SUM(E167,G167,I167,K167,M167))</f>
        <v/>
      </c>
      <c r="P167" s="335">
        <f>IF(A167="","",SUM(F167,H167,J167,L167,N167))</f>
        <v/>
      </c>
      <c r="Q167" s="198">
        <f>IF(A167="","",IF(O167&gt;B167,"DIVERGENCIA: CONSUMO MAIOR QUE CONTRATADO","OK"))</f>
        <v/>
      </c>
      <c r="R167" s="27" t="n"/>
      <c r="S167" s="27" t="n"/>
      <c r="T167" s="27" t="n"/>
      <c r="U167" s="27" t="n"/>
      <c r="V167" s="27" t="n"/>
      <c r="W167" s="27" t="n"/>
    </row>
    <row r="168">
      <c r="A168" s="98" t="n"/>
      <c r="B168" s="99" t="n"/>
      <c r="C168" s="346" t="n"/>
      <c r="D168" s="335">
        <f>IF(OR(A168="",B168="",C168=""),"",ROUND(B168*C168,2))</f>
        <v/>
      </c>
      <c r="E168" s="99" t="n"/>
      <c r="F168" s="335">
        <f>IF(OR(A168="",E168="",C168="",NOT(ISNUMBER($U$2))),"",ROUND(E168*C168*$U$2,2))</f>
        <v/>
      </c>
      <c r="G168" s="99" t="n"/>
      <c r="H168" s="335">
        <f>IF(OR(A168="",G168="",C168="",NOT(ISNUMBER($U$3))),"",ROUND(G168*C168*$U$3,2))</f>
        <v/>
      </c>
      <c r="I168" s="99" t="n"/>
      <c r="J168" s="335">
        <f>IF(OR(A168="",I168="",C168="",NOT(ISNUMBER($U$4))),"",ROUND(I168*C168*$U$4,2))</f>
        <v/>
      </c>
      <c r="K168" s="99" t="n"/>
      <c r="L168" s="335">
        <f>IF(OR(A168="",K168="",C168="",NOT(ISNUMBER($U$5))),"",ROUND(K168*C168*$U$5,2))</f>
        <v/>
      </c>
      <c r="M168" s="99" t="n"/>
      <c r="N168" s="335">
        <f>IF(OR(A168="",M168="",C168="",NOT(ISNUMBER($U$6))),"",ROUND(M168*C168*$U$6,2))</f>
        <v/>
      </c>
      <c r="O168" s="90">
        <f>IF(A168="","",SUM(E168,G168,I168,K168,M168))</f>
        <v/>
      </c>
      <c r="P168" s="335">
        <f>IF(A168="","",SUM(F168,H168,J168,L168,N168))</f>
        <v/>
      </c>
      <c r="Q168" s="198">
        <f>IF(A168="","",IF(O168&gt;B168,"DIVERGENCIA: CONSUMO MAIOR QUE CONTRATADO","OK"))</f>
        <v/>
      </c>
      <c r="R168" s="27" t="n"/>
      <c r="S168" s="27" t="n"/>
      <c r="T168" s="27" t="n"/>
      <c r="U168" s="27" t="n"/>
      <c r="V168" s="27" t="n"/>
      <c r="W168" s="27" t="n"/>
    </row>
    <row r="169">
      <c r="A169" s="98" t="n"/>
      <c r="B169" s="99" t="n"/>
      <c r="C169" s="346" t="n"/>
      <c r="D169" s="335">
        <f>IF(OR(A169="",B169="",C169=""),"",ROUND(B169*C169,2))</f>
        <v/>
      </c>
      <c r="E169" s="99" t="n"/>
      <c r="F169" s="335">
        <f>IF(OR(A169="",E169="",C169="",NOT(ISNUMBER($U$2))),"",ROUND(E169*C169*$U$2,2))</f>
        <v/>
      </c>
      <c r="G169" s="99" t="n"/>
      <c r="H169" s="335">
        <f>IF(OR(A169="",G169="",C169="",NOT(ISNUMBER($U$3))),"",ROUND(G169*C169*$U$3,2))</f>
        <v/>
      </c>
      <c r="I169" s="99" t="n"/>
      <c r="J169" s="335">
        <f>IF(OR(A169="",I169="",C169="",NOT(ISNUMBER($U$4))),"",ROUND(I169*C169*$U$4,2))</f>
        <v/>
      </c>
      <c r="K169" s="99" t="n"/>
      <c r="L169" s="335">
        <f>IF(OR(A169="",K169="",C169="",NOT(ISNUMBER($U$5))),"",ROUND(K169*C169*$U$5,2))</f>
        <v/>
      </c>
      <c r="M169" s="99" t="n"/>
      <c r="N169" s="335">
        <f>IF(OR(A169="",M169="",C169="",NOT(ISNUMBER($U$6))),"",ROUND(M169*C169*$U$6,2))</f>
        <v/>
      </c>
      <c r="O169" s="90">
        <f>IF(A169="","",SUM(E169,G169,I169,K169,M169))</f>
        <v/>
      </c>
      <c r="P169" s="335">
        <f>IF(A169="","",SUM(F169,H169,J169,L169,N169))</f>
        <v/>
      </c>
      <c r="Q169" s="198">
        <f>IF(A169="","",IF(O169&gt;B169,"DIVERGENCIA: CONSUMO MAIOR QUE CONTRATADO","OK"))</f>
        <v/>
      </c>
      <c r="R169" s="27" t="n"/>
      <c r="S169" s="27" t="n"/>
      <c r="T169" s="27" t="n"/>
      <c r="U169" s="27" t="n"/>
      <c r="V169" s="27" t="n"/>
      <c r="W169" s="27" t="n"/>
    </row>
    <row r="170">
      <c r="A170" s="98" t="n"/>
      <c r="B170" s="99" t="n"/>
      <c r="C170" s="346" t="n"/>
      <c r="D170" s="335">
        <f>IF(OR(A170="",B170="",C170=""),"",ROUND(B170*C170,2))</f>
        <v/>
      </c>
      <c r="E170" s="99" t="n"/>
      <c r="F170" s="335">
        <f>IF(OR(A170="",E170="",C170="",NOT(ISNUMBER($U$2))),"",ROUND(E170*C170*$U$2,2))</f>
        <v/>
      </c>
      <c r="G170" s="99" t="n"/>
      <c r="H170" s="335">
        <f>IF(OR(A170="",G170="",C170="",NOT(ISNUMBER($U$3))),"",ROUND(G170*C170*$U$3,2))</f>
        <v/>
      </c>
      <c r="I170" s="99" t="n"/>
      <c r="J170" s="335">
        <f>IF(OR(A170="",I170="",C170="",NOT(ISNUMBER($U$4))),"",ROUND(I170*C170*$U$4,2))</f>
        <v/>
      </c>
      <c r="K170" s="99" t="n"/>
      <c r="L170" s="335">
        <f>IF(OR(A170="",K170="",C170="",NOT(ISNUMBER($U$5))),"",ROUND(K170*C170*$U$5,2))</f>
        <v/>
      </c>
      <c r="M170" s="99" t="n"/>
      <c r="N170" s="335">
        <f>IF(OR(A170="",M170="",C170="",NOT(ISNUMBER($U$6))),"",ROUND(M170*C170*$U$6,2))</f>
        <v/>
      </c>
      <c r="O170" s="90">
        <f>IF(A170="","",SUM(E170,G170,I170,K170,M170))</f>
        <v/>
      </c>
      <c r="P170" s="335">
        <f>IF(A170="","",SUM(F170,H170,J170,L170,N170))</f>
        <v/>
      </c>
      <c r="Q170" s="198">
        <f>IF(A170="","",IF(O170&gt;B170,"DIVERGENCIA: CONSUMO MAIOR QUE CONTRATADO","OK"))</f>
        <v/>
      </c>
      <c r="R170" s="27" t="n"/>
      <c r="S170" s="27" t="n"/>
      <c r="T170" s="27" t="n"/>
      <c r="U170" s="27" t="n"/>
      <c r="V170" s="27" t="n"/>
      <c r="W170" s="27" t="n"/>
    </row>
    <row r="171">
      <c r="A171" s="98" t="n"/>
      <c r="B171" s="99" t="n"/>
      <c r="C171" s="346" t="n"/>
      <c r="D171" s="335">
        <f>IF(OR(A171="",B171="",C171=""),"",ROUND(B171*C171,2))</f>
        <v/>
      </c>
      <c r="E171" s="99" t="n"/>
      <c r="F171" s="335">
        <f>IF(OR(A171="",E171="",C171="",NOT(ISNUMBER($U$2))),"",ROUND(E171*C171*$U$2,2))</f>
        <v/>
      </c>
      <c r="G171" s="99" t="n"/>
      <c r="H171" s="335">
        <f>IF(OR(A171="",G171="",C171="",NOT(ISNUMBER($U$3))),"",ROUND(G171*C171*$U$3,2))</f>
        <v/>
      </c>
      <c r="I171" s="99" t="n"/>
      <c r="J171" s="335">
        <f>IF(OR(A171="",I171="",C171="",NOT(ISNUMBER($U$4))),"",ROUND(I171*C171*$U$4,2))</f>
        <v/>
      </c>
      <c r="K171" s="99" t="n"/>
      <c r="L171" s="335">
        <f>IF(OR(A171="",K171="",C171="",NOT(ISNUMBER($U$5))),"",ROUND(K171*C171*$U$5,2))</f>
        <v/>
      </c>
      <c r="M171" s="99" t="n"/>
      <c r="N171" s="335">
        <f>IF(OR(A171="",M171="",C171="",NOT(ISNUMBER($U$6))),"",ROUND(M171*C171*$U$6,2))</f>
        <v/>
      </c>
      <c r="O171" s="90">
        <f>IF(A171="","",SUM(E171,G171,I171,K171,M171))</f>
        <v/>
      </c>
      <c r="P171" s="335">
        <f>IF(A171="","",SUM(F171,H171,J171,L171,N171))</f>
        <v/>
      </c>
      <c r="Q171" s="198">
        <f>IF(A171="","",IF(O171&gt;B171,"DIVERGENCIA: CONSUMO MAIOR QUE CONTRATADO","OK"))</f>
        <v/>
      </c>
      <c r="R171" s="27" t="n"/>
      <c r="S171" s="27" t="n"/>
      <c r="T171" s="27" t="n"/>
      <c r="U171" s="27" t="n"/>
      <c r="V171" s="27" t="n"/>
      <c r="W171" s="27" t="n"/>
    </row>
    <row r="172">
      <c r="A172" s="98" t="n"/>
      <c r="B172" s="99" t="n"/>
      <c r="C172" s="346" t="n"/>
      <c r="D172" s="335">
        <f>IF(OR(A172="",B172="",C172=""),"",ROUND(B172*C172,2))</f>
        <v/>
      </c>
      <c r="E172" s="99" t="n"/>
      <c r="F172" s="335">
        <f>IF(OR(A172="",E172="",C172="",NOT(ISNUMBER($U$2))),"",ROUND(E172*C172*$U$2,2))</f>
        <v/>
      </c>
      <c r="G172" s="99" t="n"/>
      <c r="H172" s="335">
        <f>IF(OR(A172="",G172="",C172="",NOT(ISNUMBER($U$3))),"",ROUND(G172*C172*$U$3,2))</f>
        <v/>
      </c>
      <c r="I172" s="99" t="n"/>
      <c r="J172" s="335">
        <f>IF(OR(A172="",I172="",C172="",NOT(ISNUMBER($U$4))),"",ROUND(I172*C172*$U$4,2))</f>
        <v/>
      </c>
      <c r="K172" s="99" t="n"/>
      <c r="L172" s="335">
        <f>IF(OR(A172="",K172="",C172="",NOT(ISNUMBER($U$5))),"",ROUND(K172*C172*$U$5,2))</f>
        <v/>
      </c>
      <c r="M172" s="99" t="n"/>
      <c r="N172" s="335">
        <f>IF(OR(A172="",M172="",C172="",NOT(ISNUMBER($U$6))),"",ROUND(M172*C172*$U$6,2))</f>
        <v/>
      </c>
      <c r="O172" s="90">
        <f>IF(A172="","",SUM(E172,G172,I172,K172,M172))</f>
        <v/>
      </c>
      <c r="P172" s="335">
        <f>IF(A172="","",SUM(F172,H172,J172,L172,N172))</f>
        <v/>
      </c>
      <c r="Q172" s="198">
        <f>IF(A172="","",IF(O172&gt;B172,"DIVERGENCIA: CONSUMO MAIOR QUE CONTRATADO","OK"))</f>
        <v/>
      </c>
      <c r="R172" s="27" t="n"/>
      <c r="S172" s="27" t="n"/>
      <c r="T172" s="27" t="n"/>
      <c r="U172" s="27" t="n"/>
      <c r="V172" s="27" t="n"/>
      <c r="W172" s="27" t="n"/>
    </row>
    <row r="173">
      <c r="A173" s="98" t="n"/>
      <c r="B173" s="99" t="n"/>
      <c r="C173" s="346" t="n"/>
      <c r="D173" s="335">
        <f>IF(OR(A173="",B173="",C173=""),"",ROUND(B173*C173,2))</f>
        <v/>
      </c>
      <c r="E173" s="99" t="n"/>
      <c r="F173" s="335">
        <f>IF(OR(A173="",E173="",C173="",NOT(ISNUMBER($U$2))),"",ROUND(E173*C173*$U$2,2))</f>
        <v/>
      </c>
      <c r="G173" s="99" t="n"/>
      <c r="H173" s="335">
        <f>IF(OR(A173="",G173="",C173="",NOT(ISNUMBER($U$3))),"",ROUND(G173*C173*$U$3,2))</f>
        <v/>
      </c>
      <c r="I173" s="99" t="n"/>
      <c r="J173" s="335">
        <f>IF(OR(A173="",I173="",C173="",NOT(ISNUMBER($U$4))),"",ROUND(I173*C173*$U$4,2))</f>
        <v/>
      </c>
      <c r="K173" s="99" t="n"/>
      <c r="L173" s="335">
        <f>IF(OR(A173="",K173="",C173="",NOT(ISNUMBER($U$5))),"",ROUND(K173*C173*$U$5,2))</f>
        <v/>
      </c>
      <c r="M173" s="99" t="n"/>
      <c r="N173" s="335">
        <f>IF(OR(A173="",M173="",C173="",NOT(ISNUMBER($U$6))),"",ROUND(M173*C173*$U$6,2))</f>
        <v/>
      </c>
      <c r="O173" s="90">
        <f>IF(A173="","",SUM(E173,G173,I173,K173,M173))</f>
        <v/>
      </c>
      <c r="P173" s="335">
        <f>IF(A173="","",SUM(F173,H173,J173,L173,N173))</f>
        <v/>
      </c>
      <c r="Q173" s="198">
        <f>IF(A173="","",IF(O173&gt;B173,"DIVERGENCIA: CONSUMO MAIOR QUE CONTRATADO","OK"))</f>
        <v/>
      </c>
      <c r="R173" s="27" t="n"/>
      <c r="S173" s="27" t="n"/>
      <c r="T173" s="27" t="n"/>
      <c r="U173" s="27" t="n"/>
      <c r="V173" s="27" t="n"/>
      <c r="W173" s="27" t="n"/>
    </row>
    <row r="174">
      <c r="A174" s="98" t="n"/>
      <c r="B174" s="99" t="n"/>
      <c r="C174" s="346" t="n"/>
      <c r="D174" s="335">
        <f>IF(OR(A174="",B174="",C174=""),"",ROUND(B174*C174,2))</f>
        <v/>
      </c>
      <c r="E174" s="99" t="n"/>
      <c r="F174" s="335">
        <f>IF(OR(A174="",E174="",C174="",NOT(ISNUMBER($U$2))),"",ROUND(E174*C174*$U$2,2))</f>
        <v/>
      </c>
      <c r="G174" s="99" t="n"/>
      <c r="H174" s="335">
        <f>IF(OR(A174="",G174="",C174="",NOT(ISNUMBER($U$3))),"",ROUND(G174*C174*$U$3,2))</f>
        <v/>
      </c>
      <c r="I174" s="99" t="n"/>
      <c r="J174" s="335">
        <f>IF(OR(A174="",I174="",C174="",NOT(ISNUMBER($U$4))),"",ROUND(I174*C174*$U$4,2))</f>
        <v/>
      </c>
      <c r="K174" s="99" t="n"/>
      <c r="L174" s="335">
        <f>IF(OR(A174="",K174="",C174="",NOT(ISNUMBER($U$5))),"",ROUND(K174*C174*$U$5,2))</f>
        <v/>
      </c>
      <c r="M174" s="99" t="n"/>
      <c r="N174" s="335">
        <f>IF(OR(A174="",M174="",C174="",NOT(ISNUMBER($U$6))),"",ROUND(M174*C174*$U$6,2))</f>
        <v/>
      </c>
      <c r="O174" s="90">
        <f>IF(A174="","",SUM(E174,G174,I174,K174,M174))</f>
        <v/>
      </c>
      <c r="P174" s="335">
        <f>IF(A174="","",SUM(F174,H174,J174,L174,N174))</f>
        <v/>
      </c>
      <c r="Q174" s="198">
        <f>IF(A174="","",IF(O174&gt;B174,"DIVERGENCIA: CONSUMO MAIOR QUE CONTRATADO","OK"))</f>
        <v/>
      </c>
      <c r="R174" s="27" t="n"/>
      <c r="S174" s="27" t="n"/>
      <c r="T174" s="27" t="n"/>
      <c r="U174" s="27" t="n"/>
      <c r="V174" s="27" t="n"/>
      <c r="W174" s="27" t="n"/>
    </row>
    <row r="175">
      <c r="A175" s="98" t="n"/>
      <c r="B175" s="99" t="n"/>
      <c r="C175" s="346" t="n"/>
      <c r="D175" s="335">
        <f>IF(OR(A175="",B175="",C175=""),"",ROUND(B175*C175,2))</f>
        <v/>
      </c>
      <c r="E175" s="99" t="n"/>
      <c r="F175" s="335">
        <f>IF(OR(A175="",E175="",C175="",NOT(ISNUMBER($U$2))),"",ROUND(E175*C175*$U$2,2))</f>
        <v/>
      </c>
      <c r="G175" s="99" t="n"/>
      <c r="H175" s="335">
        <f>IF(OR(A175="",G175="",C175="",NOT(ISNUMBER($U$3))),"",ROUND(G175*C175*$U$3,2))</f>
        <v/>
      </c>
      <c r="I175" s="99" t="n"/>
      <c r="J175" s="335">
        <f>IF(OR(A175="",I175="",C175="",NOT(ISNUMBER($U$4))),"",ROUND(I175*C175*$U$4,2))</f>
        <v/>
      </c>
      <c r="K175" s="99" t="n"/>
      <c r="L175" s="335">
        <f>IF(OR(A175="",K175="",C175="",NOT(ISNUMBER($U$5))),"",ROUND(K175*C175*$U$5,2))</f>
        <v/>
      </c>
      <c r="M175" s="99" t="n"/>
      <c r="N175" s="335">
        <f>IF(OR(A175="",M175="",C175="",NOT(ISNUMBER($U$6))),"",ROUND(M175*C175*$U$6,2))</f>
        <v/>
      </c>
      <c r="O175" s="90">
        <f>IF(A175="","",SUM(E175,G175,I175,K175,M175))</f>
        <v/>
      </c>
      <c r="P175" s="335">
        <f>IF(A175="","",SUM(F175,H175,J175,L175,N175))</f>
        <v/>
      </c>
      <c r="Q175" s="198">
        <f>IF(A175="","",IF(O175&gt;B175,"DIVERGENCIA: CONSUMO MAIOR QUE CONTRATADO","OK"))</f>
        <v/>
      </c>
      <c r="R175" s="27" t="n"/>
      <c r="S175" s="27" t="n"/>
      <c r="T175" s="27" t="n"/>
      <c r="U175" s="27" t="n"/>
      <c r="V175" s="27" t="n"/>
      <c r="W175" s="27" t="n"/>
    </row>
    <row r="176">
      <c r="A176" s="98" t="n"/>
      <c r="B176" s="99" t="n"/>
      <c r="C176" s="346" t="n"/>
      <c r="D176" s="335">
        <f>IF(OR(A176="",B176="",C176=""),"",ROUND(B176*C176,2))</f>
        <v/>
      </c>
      <c r="E176" s="99" t="n"/>
      <c r="F176" s="335">
        <f>IF(OR(A176="",E176="",C176="",NOT(ISNUMBER($U$2))),"",ROUND(E176*C176*$U$2,2))</f>
        <v/>
      </c>
      <c r="G176" s="99" t="n"/>
      <c r="H176" s="335">
        <f>IF(OR(A176="",G176="",C176="",NOT(ISNUMBER($U$3))),"",ROUND(G176*C176*$U$3,2))</f>
        <v/>
      </c>
      <c r="I176" s="99" t="n"/>
      <c r="J176" s="335">
        <f>IF(OR(A176="",I176="",C176="",NOT(ISNUMBER($U$4))),"",ROUND(I176*C176*$U$4,2))</f>
        <v/>
      </c>
      <c r="K176" s="99" t="n"/>
      <c r="L176" s="335">
        <f>IF(OR(A176="",K176="",C176="",NOT(ISNUMBER($U$5))),"",ROUND(K176*C176*$U$5,2))</f>
        <v/>
      </c>
      <c r="M176" s="99" t="n"/>
      <c r="N176" s="335">
        <f>IF(OR(A176="",M176="",C176="",NOT(ISNUMBER($U$6))),"",ROUND(M176*C176*$U$6,2))</f>
        <v/>
      </c>
      <c r="O176" s="90">
        <f>IF(A176="","",SUM(E176,G176,I176,K176,M176))</f>
        <v/>
      </c>
      <c r="P176" s="335">
        <f>IF(A176="","",SUM(F176,H176,J176,L176,N176))</f>
        <v/>
      </c>
      <c r="Q176" s="198">
        <f>IF(A176="","",IF(O176&gt;B176,"DIVERGENCIA: CONSUMO MAIOR QUE CONTRATADO","OK"))</f>
        <v/>
      </c>
      <c r="R176" s="27" t="n"/>
      <c r="S176" s="27" t="n"/>
      <c r="T176" s="27" t="n"/>
      <c r="U176" s="27" t="n"/>
      <c r="V176" s="27" t="n"/>
      <c r="W176" s="27" t="n"/>
    </row>
    <row r="177">
      <c r="A177" s="98" t="n"/>
      <c r="B177" s="99" t="n"/>
      <c r="C177" s="346" t="n"/>
      <c r="D177" s="335">
        <f>IF(OR(A177="",B177="",C177=""),"",ROUND(B177*C177,2))</f>
        <v/>
      </c>
      <c r="E177" s="99" t="n"/>
      <c r="F177" s="335">
        <f>IF(OR(A177="",E177="",C177="",NOT(ISNUMBER($U$2))),"",ROUND(E177*C177*$U$2,2))</f>
        <v/>
      </c>
      <c r="G177" s="99" t="n"/>
      <c r="H177" s="335">
        <f>IF(OR(A177="",G177="",C177="",NOT(ISNUMBER($U$3))),"",ROUND(G177*C177*$U$3,2))</f>
        <v/>
      </c>
      <c r="I177" s="99" t="n"/>
      <c r="J177" s="335">
        <f>IF(OR(A177="",I177="",C177="",NOT(ISNUMBER($U$4))),"",ROUND(I177*C177*$U$4,2))</f>
        <v/>
      </c>
      <c r="K177" s="99" t="n"/>
      <c r="L177" s="335">
        <f>IF(OR(A177="",K177="",C177="",NOT(ISNUMBER($U$5))),"",ROUND(K177*C177*$U$5,2))</f>
        <v/>
      </c>
      <c r="M177" s="99" t="n"/>
      <c r="N177" s="335">
        <f>IF(OR(A177="",M177="",C177="",NOT(ISNUMBER($U$6))),"",ROUND(M177*C177*$U$6,2))</f>
        <v/>
      </c>
      <c r="O177" s="90">
        <f>IF(A177="","",SUM(E177,G177,I177,K177,M177))</f>
        <v/>
      </c>
      <c r="P177" s="335">
        <f>IF(A177="","",SUM(F177,H177,J177,L177,N177))</f>
        <v/>
      </c>
      <c r="Q177" s="198">
        <f>IF(A177="","",IF(O177&gt;B177,"DIVERGENCIA: CONSUMO MAIOR QUE CONTRATADO","OK"))</f>
        <v/>
      </c>
      <c r="R177" s="27" t="n"/>
      <c r="S177" s="27" t="n"/>
      <c r="T177" s="27" t="n"/>
      <c r="U177" s="27" t="n"/>
      <c r="V177" s="27" t="n"/>
      <c r="W177" s="27" t="n"/>
    </row>
    <row r="178">
      <c r="A178" s="98" t="n"/>
      <c r="B178" s="99" t="n"/>
      <c r="C178" s="346" t="n"/>
      <c r="D178" s="335">
        <f>IF(OR(A178="",B178="",C178=""),"",ROUND(B178*C178,2))</f>
        <v/>
      </c>
      <c r="E178" s="99" t="n"/>
      <c r="F178" s="335">
        <f>IF(OR(A178="",E178="",C178="",NOT(ISNUMBER($U$2))),"",ROUND(E178*C178*$U$2,2))</f>
        <v/>
      </c>
      <c r="G178" s="99" t="n"/>
      <c r="H178" s="335">
        <f>IF(OR(A178="",G178="",C178="",NOT(ISNUMBER($U$3))),"",ROUND(G178*C178*$U$3,2))</f>
        <v/>
      </c>
      <c r="I178" s="99" t="n"/>
      <c r="J178" s="335">
        <f>IF(OR(A178="",I178="",C178="",NOT(ISNUMBER($U$4))),"",ROUND(I178*C178*$U$4,2))</f>
        <v/>
      </c>
      <c r="K178" s="99" t="n"/>
      <c r="L178" s="335">
        <f>IF(OR(A178="",K178="",C178="",NOT(ISNUMBER($U$5))),"",ROUND(K178*C178*$U$5,2))</f>
        <v/>
      </c>
      <c r="M178" s="99" t="n"/>
      <c r="N178" s="335">
        <f>IF(OR(A178="",M178="",C178="",NOT(ISNUMBER($U$6))),"",ROUND(M178*C178*$U$6,2))</f>
        <v/>
      </c>
      <c r="O178" s="90">
        <f>IF(A178="","",SUM(E178,G178,I178,K178,M178))</f>
        <v/>
      </c>
      <c r="P178" s="335">
        <f>IF(A178="","",SUM(F178,H178,J178,L178,N178))</f>
        <v/>
      </c>
      <c r="Q178" s="198">
        <f>IF(A178="","",IF(O178&gt;B178,"DIVERGENCIA: CONSUMO MAIOR QUE CONTRATADO","OK"))</f>
        <v/>
      </c>
      <c r="R178" s="27" t="n"/>
      <c r="S178" s="27" t="n"/>
      <c r="T178" s="27" t="n"/>
      <c r="U178" s="27" t="n"/>
      <c r="V178" s="27" t="n"/>
      <c r="W178" s="27" t="n"/>
    </row>
    <row r="179">
      <c r="A179" s="98" t="n"/>
      <c r="B179" s="99" t="n"/>
      <c r="C179" s="346" t="n"/>
      <c r="D179" s="335">
        <f>IF(OR(A179="",B179="",C179=""),"",ROUND(B179*C179,2))</f>
        <v/>
      </c>
      <c r="E179" s="99" t="n"/>
      <c r="F179" s="335">
        <f>IF(OR(A179="",E179="",C179="",NOT(ISNUMBER($U$2))),"",ROUND(E179*C179*$U$2,2))</f>
        <v/>
      </c>
      <c r="G179" s="99" t="n"/>
      <c r="H179" s="335">
        <f>IF(OR(A179="",G179="",C179="",NOT(ISNUMBER($U$3))),"",ROUND(G179*C179*$U$3,2))</f>
        <v/>
      </c>
      <c r="I179" s="99" t="n"/>
      <c r="J179" s="335">
        <f>IF(OR(A179="",I179="",C179="",NOT(ISNUMBER($U$4))),"",ROUND(I179*C179*$U$4,2))</f>
        <v/>
      </c>
      <c r="K179" s="99" t="n"/>
      <c r="L179" s="335">
        <f>IF(OR(A179="",K179="",C179="",NOT(ISNUMBER($U$5))),"",ROUND(K179*C179*$U$5,2))</f>
        <v/>
      </c>
      <c r="M179" s="99" t="n"/>
      <c r="N179" s="335">
        <f>IF(OR(A179="",M179="",C179="",NOT(ISNUMBER($U$6))),"",ROUND(M179*C179*$U$6,2))</f>
        <v/>
      </c>
      <c r="O179" s="90">
        <f>IF(A179="","",SUM(E179,G179,I179,K179,M179))</f>
        <v/>
      </c>
      <c r="P179" s="335">
        <f>IF(A179="","",SUM(F179,H179,J179,L179,N179))</f>
        <v/>
      </c>
      <c r="Q179" s="198">
        <f>IF(A179="","",IF(O179&gt;B179,"DIVERGENCIA: CONSUMO MAIOR QUE CONTRATADO","OK"))</f>
        <v/>
      </c>
      <c r="R179" s="27" t="n"/>
      <c r="S179" s="27" t="n"/>
      <c r="T179" s="27" t="n"/>
      <c r="U179" s="27" t="n"/>
      <c r="V179" s="27" t="n"/>
      <c r="W179" s="27" t="n"/>
    </row>
    <row r="180">
      <c r="A180" s="98" t="n"/>
      <c r="B180" s="99" t="n"/>
      <c r="C180" s="346" t="n"/>
      <c r="D180" s="335">
        <f>IF(OR(A180="",B180="",C180=""),"",ROUND(B180*C180,2))</f>
        <v/>
      </c>
      <c r="E180" s="99" t="n"/>
      <c r="F180" s="335">
        <f>IF(OR(A180="",E180="",C180="",NOT(ISNUMBER($U$2))),"",ROUND(E180*C180*$U$2,2))</f>
        <v/>
      </c>
      <c r="G180" s="99" t="n"/>
      <c r="H180" s="335">
        <f>IF(OR(A180="",G180="",C180="",NOT(ISNUMBER($U$3))),"",ROUND(G180*C180*$U$3,2))</f>
        <v/>
      </c>
      <c r="I180" s="99" t="n"/>
      <c r="J180" s="335">
        <f>IF(OR(A180="",I180="",C180="",NOT(ISNUMBER($U$4))),"",ROUND(I180*C180*$U$4,2))</f>
        <v/>
      </c>
      <c r="K180" s="99" t="n"/>
      <c r="L180" s="335">
        <f>IF(OR(A180="",K180="",C180="",NOT(ISNUMBER($U$5))),"",ROUND(K180*C180*$U$5,2))</f>
        <v/>
      </c>
      <c r="M180" s="99" t="n"/>
      <c r="N180" s="335">
        <f>IF(OR(A180="",M180="",C180="",NOT(ISNUMBER($U$6))),"",ROUND(M180*C180*$U$6,2))</f>
        <v/>
      </c>
      <c r="O180" s="90">
        <f>IF(A180="","",SUM(E180,G180,I180,K180,M180))</f>
        <v/>
      </c>
      <c r="P180" s="335">
        <f>IF(A180="","",SUM(F180,H180,J180,L180,N180))</f>
        <v/>
      </c>
      <c r="Q180" s="198">
        <f>IF(A180="","",IF(O180&gt;B180,"DIVERGENCIA: CONSUMO MAIOR QUE CONTRATADO","OK"))</f>
        <v/>
      </c>
      <c r="R180" s="27" t="n"/>
      <c r="S180" s="27" t="n"/>
      <c r="T180" s="27" t="n"/>
      <c r="U180" s="27" t="n"/>
      <c r="V180" s="27" t="n"/>
      <c r="W180" s="27" t="n"/>
    </row>
    <row r="181">
      <c r="A181" s="98" t="n"/>
      <c r="B181" s="99" t="n"/>
      <c r="C181" s="346" t="n"/>
      <c r="D181" s="335">
        <f>IF(OR(A181="",B181="",C181=""),"",ROUND(B181*C181,2))</f>
        <v/>
      </c>
      <c r="E181" s="99" t="n"/>
      <c r="F181" s="335">
        <f>IF(OR(A181="",E181="",C181="",NOT(ISNUMBER($U$2))),"",ROUND(E181*C181*$U$2,2))</f>
        <v/>
      </c>
      <c r="G181" s="99" t="n"/>
      <c r="H181" s="335">
        <f>IF(OR(A181="",G181="",C181="",NOT(ISNUMBER($U$3))),"",ROUND(G181*C181*$U$3,2))</f>
        <v/>
      </c>
      <c r="I181" s="99" t="n"/>
      <c r="J181" s="335">
        <f>IF(OR(A181="",I181="",C181="",NOT(ISNUMBER($U$4))),"",ROUND(I181*C181*$U$4,2))</f>
        <v/>
      </c>
      <c r="K181" s="99" t="n"/>
      <c r="L181" s="335">
        <f>IF(OR(A181="",K181="",C181="",NOT(ISNUMBER($U$5))),"",ROUND(K181*C181*$U$5,2))</f>
        <v/>
      </c>
      <c r="M181" s="99" t="n"/>
      <c r="N181" s="335">
        <f>IF(OR(A181="",M181="",C181="",NOT(ISNUMBER($U$6))),"",ROUND(M181*C181*$U$6,2))</f>
        <v/>
      </c>
      <c r="O181" s="90">
        <f>IF(A181="","",SUM(E181,G181,I181,K181,M181))</f>
        <v/>
      </c>
      <c r="P181" s="335">
        <f>IF(A181="","",SUM(F181,H181,J181,L181,N181))</f>
        <v/>
      </c>
      <c r="Q181" s="198">
        <f>IF(A181="","",IF(O181&gt;B181,"DIVERGENCIA: CONSUMO MAIOR QUE CONTRATADO","OK"))</f>
        <v/>
      </c>
      <c r="R181" s="27" t="n"/>
      <c r="S181" s="27" t="n"/>
      <c r="T181" s="27" t="n"/>
      <c r="U181" s="27" t="n"/>
      <c r="V181" s="27" t="n"/>
      <c r="W181" s="27" t="n"/>
    </row>
    <row r="182">
      <c r="A182" s="98" t="n"/>
      <c r="B182" s="99" t="n"/>
      <c r="C182" s="346" t="n"/>
      <c r="D182" s="335">
        <f>IF(OR(A182="",B182="",C182=""),"",ROUND(B182*C182,2))</f>
        <v/>
      </c>
      <c r="E182" s="99" t="n"/>
      <c r="F182" s="335">
        <f>IF(OR(A182="",E182="",C182="",NOT(ISNUMBER($U$2))),"",ROUND(E182*C182*$U$2,2))</f>
        <v/>
      </c>
      <c r="G182" s="99" t="n"/>
      <c r="H182" s="335">
        <f>IF(OR(A182="",G182="",C182="",NOT(ISNUMBER($U$3))),"",ROUND(G182*C182*$U$3,2))</f>
        <v/>
      </c>
      <c r="I182" s="99" t="n"/>
      <c r="J182" s="335">
        <f>IF(OR(A182="",I182="",C182="",NOT(ISNUMBER($U$4))),"",ROUND(I182*C182*$U$4,2))</f>
        <v/>
      </c>
      <c r="K182" s="99" t="n"/>
      <c r="L182" s="335">
        <f>IF(OR(A182="",K182="",C182="",NOT(ISNUMBER($U$5))),"",ROUND(K182*C182*$U$5,2))</f>
        <v/>
      </c>
      <c r="M182" s="99" t="n"/>
      <c r="N182" s="335">
        <f>IF(OR(A182="",M182="",C182="",NOT(ISNUMBER($U$6))),"",ROUND(M182*C182*$U$6,2))</f>
        <v/>
      </c>
      <c r="O182" s="90">
        <f>IF(A182="","",SUM(E182,G182,I182,K182,M182))</f>
        <v/>
      </c>
      <c r="P182" s="335">
        <f>IF(A182="","",SUM(F182,H182,J182,L182,N182))</f>
        <v/>
      </c>
      <c r="Q182" s="198">
        <f>IF(A182="","",IF(O182&gt;B182,"DIVERGENCIA: CONSUMO MAIOR QUE CONTRATADO","OK"))</f>
        <v/>
      </c>
      <c r="R182" s="27" t="n"/>
      <c r="S182" s="27" t="n"/>
      <c r="T182" s="27" t="n"/>
      <c r="U182" s="27" t="n"/>
      <c r="V182" s="27" t="n"/>
      <c r="W182" s="27" t="n"/>
    </row>
    <row r="183">
      <c r="A183" s="98" t="n"/>
      <c r="B183" s="99" t="n"/>
      <c r="C183" s="346" t="n"/>
      <c r="D183" s="335">
        <f>IF(OR(A183="",B183="",C183=""),"",ROUND(B183*C183,2))</f>
        <v/>
      </c>
      <c r="E183" s="99" t="n"/>
      <c r="F183" s="335">
        <f>IF(OR(A183="",E183="",C183="",NOT(ISNUMBER($U$2))),"",ROUND(E183*C183*$U$2,2))</f>
        <v/>
      </c>
      <c r="G183" s="99" t="n"/>
      <c r="H183" s="335">
        <f>IF(OR(A183="",G183="",C183="",NOT(ISNUMBER($U$3))),"",ROUND(G183*C183*$U$3,2))</f>
        <v/>
      </c>
      <c r="I183" s="99" t="n"/>
      <c r="J183" s="335">
        <f>IF(OR(A183="",I183="",C183="",NOT(ISNUMBER($U$4))),"",ROUND(I183*C183*$U$4,2))</f>
        <v/>
      </c>
      <c r="K183" s="99" t="n"/>
      <c r="L183" s="335">
        <f>IF(OR(A183="",K183="",C183="",NOT(ISNUMBER($U$5))),"",ROUND(K183*C183*$U$5,2))</f>
        <v/>
      </c>
      <c r="M183" s="99" t="n"/>
      <c r="N183" s="335">
        <f>IF(OR(A183="",M183="",C183="",NOT(ISNUMBER($U$6))),"",ROUND(M183*C183*$U$6,2))</f>
        <v/>
      </c>
      <c r="O183" s="90">
        <f>IF(A183="","",SUM(E183,G183,I183,K183,M183))</f>
        <v/>
      </c>
      <c r="P183" s="335">
        <f>IF(A183="","",SUM(F183,H183,J183,L183,N183))</f>
        <v/>
      </c>
      <c r="Q183" s="198">
        <f>IF(A183="","",IF(O183&gt;B183,"DIVERGENCIA: CONSUMO MAIOR QUE CONTRATADO","OK"))</f>
        <v/>
      </c>
      <c r="R183" s="27" t="n"/>
      <c r="S183" s="27" t="n"/>
      <c r="T183" s="27" t="n"/>
      <c r="U183" s="27" t="n"/>
      <c r="V183" s="27" t="n"/>
      <c r="W183" s="27" t="n"/>
    </row>
    <row r="184">
      <c r="A184" s="98" t="n"/>
      <c r="B184" s="99" t="n"/>
      <c r="C184" s="346" t="n"/>
      <c r="D184" s="335">
        <f>IF(OR(A184="",B184="",C184=""),"",ROUND(B184*C184,2))</f>
        <v/>
      </c>
      <c r="E184" s="99" t="n"/>
      <c r="F184" s="335">
        <f>IF(OR(A184="",E184="",C184="",NOT(ISNUMBER($U$2))),"",ROUND(E184*C184*$U$2,2))</f>
        <v/>
      </c>
      <c r="G184" s="99" t="n"/>
      <c r="H184" s="335">
        <f>IF(OR(A184="",G184="",C184="",NOT(ISNUMBER($U$3))),"",ROUND(G184*C184*$U$3,2))</f>
        <v/>
      </c>
      <c r="I184" s="99" t="n"/>
      <c r="J184" s="335">
        <f>IF(OR(A184="",I184="",C184="",NOT(ISNUMBER($U$4))),"",ROUND(I184*C184*$U$4,2))</f>
        <v/>
      </c>
      <c r="K184" s="99" t="n"/>
      <c r="L184" s="335">
        <f>IF(OR(A184="",K184="",C184="",NOT(ISNUMBER($U$5))),"",ROUND(K184*C184*$U$5,2))</f>
        <v/>
      </c>
      <c r="M184" s="99" t="n"/>
      <c r="N184" s="335">
        <f>IF(OR(A184="",M184="",C184="",NOT(ISNUMBER($U$6))),"",ROUND(M184*C184*$U$6,2))</f>
        <v/>
      </c>
      <c r="O184" s="90">
        <f>IF(A184="","",SUM(E184,G184,I184,K184,M184))</f>
        <v/>
      </c>
      <c r="P184" s="335">
        <f>IF(A184="","",SUM(F184,H184,J184,L184,N184))</f>
        <v/>
      </c>
      <c r="Q184" s="198">
        <f>IF(A184="","",IF(O184&gt;B184,"DIVERGENCIA: CONSUMO MAIOR QUE CONTRATADO","OK"))</f>
        <v/>
      </c>
      <c r="R184" s="27" t="n"/>
      <c r="S184" s="27" t="n"/>
      <c r="T184" s="27" t="n"/>
      <c r="U184" s="27" t="n"/>
      <c r="V184" s="27" t="n"/>
      <c r="W184" s="27" t="n"/>
    </row>
    <row r="185">
      <c r="A185" s="98" t="n"/>
      <c r="B185" s="99" t="n"/>
      <c r="C185" s="346" t="n"/>
      <c r="D185" s="335">
        <f>IF(OR(A185="",B185="",C185=""),"",ROUND(B185*C185,2))</f>
        <v/>
      </c>
      <c r="E185" s="99" t="n"/>
      <c r="F185" s="335">
        <f>IF(OR(A185="",E185="",C185="",NOT(ISNUMBER($U$2))),"",ROUND(E185*C185*$U$2,2))</f>
        <v/>
      </c>
      <c r="G185" s="99" t="n"/>
      <c r="H185" s="335">
        <f>IF(OR(A185="",G185="",C185="",NOT(ISNUMBER($U$3))),"",ROUND(G185*C185*$U$3,2))</f>
        <v/>
      </c>
      <c r="I185" s="99" t="n"/>
      <c r="J185" s="335">
        <f>IF(OR(A185="",I185="",C185="",NOT(ISNUMBER($U$4))),"",ROUND(I185*C185*$U$4,2))</f>
        <v/>
      </c>
      <c r="K185" s="99" t="n"/>
      <c r="L185" s="335">
        <f>IF(OR(A185="",K185="",C185="",NOT(ISNUMBER($U$5))),"",ROUND(K185*C185*$U$5,2))</f>
        <v/>
      </c>
      <c r="M185" s="99" t="n"/>
      <c r="N185" s="335">
        <f>IF(OR(A185="",M185="",C185="",NOT(ISNUMBER($U$6))),"",ROUND(M185*C185*$U$6,2))</f>
        <v/>
      </c>
      <c r="O185" s="90">
        <f>IF(A185="","",SUM(E185,G185,I185,K185,M185))</f>
        <v/>
      </c>
      <c r="P185" s="335">
        <f>IF(A185="","",SUM(F185,H185,J185,L185,N185))</f>
        <v/>
      </c>
      <c r="Q185" s="198">
        <f>IF(A185="","",IF(O185&gt;B185,"DIVERGENCIA: CONSUMO MAIOR QUE CONTRATADO","OK"))</f>
        <v/>
      </c>
      <c r="R185" s="27" t="n"/>
      <c r="S185" s="27" t="n"/>
      <c r="T185" s="27" t="n"/>
      <c r="U185" s="27" t="n"/>
      <c r="V185" s="27" t="n"/>
      <c r="W185" s="27" t="n"/>
    </row>
    <row r="186">
      <c r="A186" s="98" t="n"/>
      <c r="B186" s="99" t="n"/>
      <c r="C186" s="346" t="n"/>
      <c r="D186" s="335">
        <f>IF(OR(A186="",B186="",C186=""),"",ROUND(B186*C186,2))</f>
        <v/>
      </c>
      <c r="E186" s="99" t="n"/>
      <c r="F186" s="335">
        <f>IF(OR(A186="",E186="",C186="",NOT(ISNUMBER($U$2))),"",ROUND(E186*C186*$U$2,2))</f>
        <v/>
      </c>
      <c r="G186" s="99" t="n"/>
      <c r="H186" s="335">
        <f>IF(OR(A186="",G186="",C186="",NOT(ISNUMBER($U$3))),"",ROUND(G186*C186*$U$3,2))</f>
        <v/>
      </c>
      <c r="I186" s="99" t="n"/>
      <c r="J186" s="335">
        <f>IF(OR(A186="",I186="",C186="",NOT(ISNUMBER($U$4))),"",ROUND(I186*C186*$U$4,2))</f>
        <v/>
      </c>
      <c r="K186" s="99" t="n"/>
      <c r="L186" s="335">
        <f>IF(OR(A186="",K186="",C186="",NOT(ISNUMBER($U$5))),"",ROUND(K186*C186*$U$5,2))</f>
        <v/>
      </c>
      <c r="M186" s="99" t="n"/>
      <c r="N186" s="335">
        <f>IF(OR(A186="",M186="",C186="",NOT(ISNUMBER($U$6))),"",ROUND(M186*C186*$U$6,2))</f>
        <v/>
      </c>
      <c r="O186" s="90">
        <f>IF(A186="","",SUM(E186,G186,I186,K186,M186))</f>
        <v/>
      </c>
      <c r="P186" s="335">
        <f>IF(A186="","",SUM(F186,H186,J186,L186,N186))</f>
        <v/>
      </c>
      <c r="Q186" s="198">
        <f>IF(A186="","",IF(O186&gt;B186,"DIVERGENCIA: CONSUMO MAIOR QUE CONTRATADO","OK"))</f>
        <v/>
      </c>
      <c r="R186" s="27" t="n"/>
      <c r="S186" s="27" t="n"/>
      <c r="T186" s="27" t="n"/>
      <c r="U186" s="27" t="n"/>
      <c r="V186" s="27" t="n"/>
      <c r="W186" s="27" t="n"/>
    </row>
    <row r="187">
      <c r="A187" s="98" t="n"/>
      <c r="B187" s="99" t="n"/>
      <c r="C187" s="346" t="n"/>
      <c r="D187" s="335">
        <f>IF(OR(A187="",B187="",C187=""),"",ROUND(B187*C187,2))</f>
        <v/>
      </c>
      <c r="E187" s="99" t="n"/>
      <c r="F187" s="335">
        <f>IF(OR(A187="",E187="",C187="",NOT(ISNUMBER($U$2))),"",ROUND(E187*C187*$U$2,2))</f>
        <v/>
      </c>
      <c r="G187" s="99" t="n"/>
      <c r="H187" s="335">
        <f>IF(OR(A187="",G187="",C187="",NOT(ISNUMBER($U$3))),"",ROUND(G187*C187*$U$3,2))</f>
        <v/>
      </c>
      <c r="I187" s="99" t="n"/>
      <c r="J187" s="335">
        <f>IF(OR(A187="",I187="",C187="",NOT(ISNUMBER($U$4))),"",ROUND(I187*C187*$U$4,2))</f>
        <v/>
      </c>
      <c r="K187" s="99" t="n"/>
      <c r="L187" s="335">
        <f>IF(OR(A187="",K187="",C187="",NOT(ISNUMBER($U$5))),"",ROUND(K187*C187*$U$5,2))</f>
        <v/>
      </c>
      <c r="M187" s="99" t="n"/>
      <c r="N187" s="335">
        <f>IF(OR(A187="",M187="",C187="",NOT(ISNUMBER($U$6))),"",ROUND(M187*C187*$U$6,2))</f>
        <v/>
      </c>
      <c r="O187" s="90">
        <f>IF(A187="","",SUM(E187,G187,I187,K187,M187))</f>
        <v/>
      </c>
      <c r="P187" s="335">
        <f>IF(A187="","",SUM(F187,H187,J187,L187,N187))</f>
        <v/>
      </c>
      <c r="Q187" s="198">
        <f>IF(A187="","",IF(O187&gt;B187,"DIVERGENCIA: CONSUMO MAIOR QUE CONTRATADO","OK"))</f>
        <v/>
      </c>
      <c r="R187" s="27" t="n"/>
      <c r="S187" s="27" t="n"/>
      <c r="T187" s="27" t="n"/>
      <c r="U187" s="27" t="n"/>
      <c r="V187" s="27" t="n"/>
      <c r="W187" s="27" t="n"/>
    </row>
    <row r="188">
      <c r="A188" s="98" t="n"/>
      <c r="B188" s="99" t="n"/>
      <c r="C188" s="346" t="n"/>
      <c r="D188" s="335">
        <f>IF(OR(A188="",B188="",C188=""),"",ROUND(B188*C188,2))</f>
        <v/>
      </c>
      <c r="E188" s="99" t="n"/>
      <c r="F188" s="335">
        <f>IF(OR(A188="",E188="",C188="",NOT(ISNUMBER($U$2))),"",ROUND(E188*C188*$U$2,2))</f>
        <v/>
      </c>
      <c r="G188" s="99" t="n"/>
      <c r="H188" s="335">
        <f>IF(OR(A188="",G188="",C188="",NOT(ISNUMBER($U$3))),"",ROUND(G188*C188*$U$3,2))</f>
        <v/>
      </c>
      <c r="I188" s="99" t="n"/>
      <c r="J188" s="335">
        <f>IF(OR(A188="",I188="",C188="",NOT(ISNUMBER($U$4))),"",ROUND(I188*C188*$U$4,2))</f>
        <v/>
      </c>
      <c r="K188" s="99" t="n"/>
      <c r="L188" s="335">
        <f>IF(OR(A188="",K188="",C188="",NOT(ISNUMBER($U$5))),"",ROUND(K188*C188*$U$5,2))</f>
        <v/>
      </c>
      <c r="M188" s="99" t="n"/>
      <c r="N188" s="335">
        <f>IF(OR(A188="",M188="",C188="",NOT(ISNUMBER($U$6))),"",ROUND(M188*C188*$U$6,2))</f>
        <v/>
      </c>
      <c r="O188" s="90">
        <f>IF(A188="","",SUM(E188,G188,I188,K188,M188))</f>
        <v/>
      </c>
      <c r="P188" s="335">
        <f>IF(A188="","",SUM(F188,H188,J188,L188,N188))</f>
        <v/>
      </c>
      <c r="Q188" s="198">
        <f>IF(A188="","",IF(O188&gt;B188,"DIVERGENCIA: CONSUMO MAIOR QUE CONTRATADO","OK"))</f>
        <v/>
      </c>
      <c r="R188" s="27" t="n"/>
      <c r="S188" s="27" t="n"/>
      <c r="T188" s="27" t="n"/>
      <c r="U188" s="27" t="n"/>
      <c r="V188" s="27" t="n"/>
      <c r="W188" s="27" t="n"/>
    </row>
    <row r="189">
      <c r="A189" s="98" t="n"/>
      <c r="B189" s="99" t="n"/>
      <c r="C189" s="346" t="n"/>
      <c r="D189" s="335">
        <f>IF(OR(A189="",B189="",C189=""),"",ROUND(B189*C189,2))</f>
        <v/>
      </c>
      <c r="E189" s="99" t="n"/>
      <c r="F189" s="335">
        <f>IF(OR(A189="",E189="",C189="",NOT(ISNUMBER($U$2))),"",ROUND(E189*C189*$U$2,2))</f>
        <v/>
      </c>
      <c r="G189" s="99" t="n"/>
      <c r="H189" s="335">
        <f>IF(OR(A189="",G189="",C189="",NOT(ISNUMBER($U$3))),"",ROUND(G189*C189*$U$3,2))</f>
        <v/>
      </c>
      <c r="I189" s="99" t="n"/>
      <c r="J189" s="335">
        <f>IF(OR(A189="",I189="",C189="",NOT(ISNUMBER($U$4))),"",ROUND(I189*C189*$U$4,2))</f>
        <v/>
      </c>
      <c r="K189" s="99" t="n"/>
      <c r="L189" s="335">
        <f>IF(OR(A189="",K189="",C189="",NOT(ISNUMBER($U$5))),"",ROUND(K189*C189*$U$5,2))</f>
        <v/>
      </c>
      <c r="M189" s="99" t="n"/>
      <c r="N189" s="335">
        <f>IF(OR(A189="",M189="",C189="",NOT(ISNUMBER($U$6))),"",ROUND(M189*C189*$U$6,2))</f>
        <v/>
      </c>
      <c r="O189" s="90">
        <f>IF(A189="","",SUM(E189,G189,I189,K189,M189))</f>
        <v/>
      </c>
      <c r="P189" s="335">
        <f>IF(A189="","",SUM(F189,H189,J189,L189,N189))</f>
        <v/>
      </c>
      <c r="Q189" s="198">
        <f>IF(A189="","",IF(O189&gt;B189,"DIVERGENCIA: CONSUMO MAIOR QUE CONTRATADO","OK"))</f>
        <v/>
      </c>
      <c r="R189" s="27" t="n"/>
      <c r="S189" s="27" t="n"/>
      <c r="T189" s="27" t="n"/>
      <c r="U189" s="27" t="n"/>
      <c r="V189" s="27" t="n"/>
      <c r="W189" s="27" t="n"/>
    </row>
    <row r="190">
      <c r="A190" s="98" t="n"/>
      <c r="B190" s="99" t="n"/>
      <c r="C190" s="346" t="n"/>
      <c r="D190" s="335">
        <f>IF(OR(A190="",B190="",C190=""),"",ROUND(B190*C190,2))</f>
        <v/>
      </c>
      <c r="E190" s="99" t="n"/>
      <c r="F190" s="335">
        <f>IF(OR(A190="",E190="",C190="",NOT(ISNUMBER($U$2))),"",ROUND(E190*C190*$U$2,2))</f>
        <v/>
      </c>
      <c r="G190" s="99" t="n"/>
      <c r="H190" s="335">
        <f>IF(OR(A190="",G190="",C190="",NOT(ISNUMBER($U$3))),"",ROUND(G190*C190*$U$3,2))</f>
        <v/>
      </c>
      <c r="I190" s="99" t="n"/>
      <c r="J190" s="335">
        <f>IF(OR(A190="",I190="",C190="",NOT(ISNUMBER($U$4))),"",ROUND(I190*C190*$U$4,2))</f>
        <v/>
      </c>
      <c r="K190" s="99" t="n"/>
      <c r="L190" s="335">
        <f>IF(OR(A190="",K190="",C190="",NOT(ISNUMBER($U$5))),"",ROUND(K190*C190*$U$5,2))</f>
        <v/>
      </c>
      <c r="M190" s="99" t="n"/>
      <c r="N190" s="335">
        <f>IF(OR(A190="",M190="",C190="",NOT(ISNUMBER($U$6))),"",ROUND(M190*C190*$U$6,2))</f>
        <v/>
      </c>
      <c r="O190" s="90">
        <f>IF(A190="","",SUM(E190,G190,I190,K190,M190))</f>
        <v/>
      </c>
      <c r="P190" s="335">
        <f>IF(A190="","",SUM(F190,H190,J190,L190,N190))</f>
        <v/>
      </c>
      <c r="Q190" s="198">
        <f>IF(A190="","",IF(O190&gt;B190,"DIVERGENCIA: CONSUMO MAIOR QUE CONTRATADO","OK"))</f>
        <v/>
      </c>
      <c r="R190" s="27" t="n"/>
      <c r="S190" s="27" t="n"/>
      <c r="T190" s="27" t="n"/>
      <c r="U190" s="27" t="n"/>
      <c r="V190" s="27" t="n"/>
      <c r="W190" s="27" t="n"/>
    </row>
    <row r="191">
      <c r="A191" s="98" t="n"/>
      <c r="B191" s="99" t="n"/>
      <c r="C191" s="346" t="n"/>
      <c r="D191" s="335">
        <f>IF(OR(A191="",B191="",C191=""),"",ROUND(B191*C191,2))</f>
        <v/>
      </c>
      <c r="E191" s="99" t="n"/>
      <c r="F191" s="335">
        <f>IF(OR(A191="",E191="",C191="",NOT(ISNUMBER($U$2))),"",ROUND(E191*C191*$U$2,2))</f>
        <v/>
      </c>
      <c r="G191" s="99" t="n"/>
      <c r="H191" s="335">
        <f>IF(OR(A191="",G191="",C191="",NOT(ISNUMBER($U$3))),"",ROUND(G191*C191*$U$3,2))</f>
        <v/>
      </c>
      <c r="I191" s="99" t="n"/>
      <c r="J191" s="335">
        <f>IF(OR(A191="",I191="",C191="",NOT(ISNUMBER($U$4))),"",ROUND(I191*C191*$U$4,2))</f>
        <v/>
      </c>
      <c r="K191" s="99" t="n"/>
      <c r="L191" s="335">
        <f>IF(OR(A191="",K191="",C191="",NOT(ISNUMBER($U$5))),"",ROUND(K191*C191*$U$5,2))</f>
        <v/>
      </c>
      <c r="M191" s="99" t="n"/>
      <c r="N191" s="335">
        <f>IF(OR(A191="",M191="",C191="",NOT(ISNUMBER($U$6))),"",ROUND(M191*C191*$U$6,2))</f>
        <v/>
      </c>
      <c r="O191" s="90">
        <f>IF(A191="","",SUM(E191,G191,I191,K191,M191))</f>
        <v/>
      </c>
      <c r="P191" s="335">
        <f>IF(A191="","",SUM(F191,H191,J191,L191,N191))</f>
        <v/>
      </c>
      <c r="Q191" s="198">
        <f>IF(A191="","",IF(O191&gt;B191,"DIVERGENCIA: CONSUMO MAIOR QUE CONTRATADO","OK"))</f>
        <v/>
      </c>
      <c r="R191" s="27" t="n"/>
      <c r="S191" s="27" t="n"/>
      <c r="T191" s="27" t="n"/>
      <c r="U191" s="27" t="n"/>
      <c r="V191" s="27" t="n"/>
      <c r="W191" s="27" t="n"/>
    </row>
    <row r="192">
      <c r="A192" s="98" t="n"/>
      <c r="B192" s="99" t="n"/>
      <c r="C192" s="346" t="n"/>
      <c r="D192" s="335">
        <f>IF(OR(A192="",B192="",C192=""),"",ROUND(B192*C192,2))</f>
        <v/>
      </c>
      <c r="E192" s="99" t="n"/>
      <c r="F192" s="335">
        <f>IF(OR(A192="",E192="",C192="",NOT(ISNUMBER($U$2))),"",ROUND(E192*C192*$U$2,2))</f>
        <v/>
      </c>
      <c r="G192" s="99" t="n"/>
      <c r="H192" s="335">
        <f>IF(OR(A192="",G192="",C192="",NOT(ISNUMBER($U$3))),"",ROUND(G192*C192*$U$3,2))</f>
        <v/>
      </c>
      <c r="I192" s="99" t="n"/>
      <c r="J192" s="335">
        <f>IF(OR(A192="",I192="",C192="",NOT(ISNUMBER($U$4))),"",ROUND(I192*C192*$U$4,2))</f>
        <v/>
      </c>
      <c r="K192" s="99" t="n"/>
      <c r="L192" s="335">
        <f>IF(OR(A192="",K192="",C192="",NOT(ISNUMBER($U$5))),"",ROUND(K192*C192*$U$5,2))</f>
        <v/>
      </c>
      <c r="M192" s="99" t="n"/>
      <c r="N192" s="335">
        <f>IF(OR(A192="",M192="",C192="",NOT(ISNUMBER($U$6))),"",ROUND(M192*C192*$U$6,2))</f>
        <v/>
      </c>
      <c r="O192" s="90">
        <f>IF(A192="","",SUM(E192,G192,I192,K192,M192))</f>
        <v/>
      </c>
      <c r="P192" s="335">
        <f>IF(A192="","",SUM(F192,H192,J192,L192,N192))</f>
        <v/>
      </c>
      <c r="Q192" s="198">
        <f>IF(A192="","",IF(O192&gt;B192,"DIVERGENCIA: CONSUMO MAIOR QUE CONTRATADO","OK"))</f>
        <v/>
      </c>
      <c r="R192" s="27" t="n"/>
      <c r="S192" s="27" t="n"/>
      <c r="T192" s="27" t="n"/>
      <c r="U192" s="27" t="n"/>
      <c r="V192" s="27" t="n"/>
      <c r="W192" s="27" t="n"/>
    </row>
    <row r="193">
      <c r="A193" s="98" t="n"/>
      <c r="B193" s="99" t="n"/>
      <c r="C193" s="346" t="n"/>
      <c r="D193" s="335">
        <f>IF(OR(A193="",B193="",C193=""),"",ROUND(B193*C193,2))</f>
        <v/>
      </c>
      <c r="E193" s="99" t="n"/>
      <c r="F193" s="335">
        <f>IF(OR(A193="",E193="",C193="",NOT(ISNUMBER($U$2))),"",ROUND(E193*C193*$U$2,2))</f>
        <v/>
      </c>
      <c r="G193" s="99" t="n"/>
      <c r="H193" s="335">
        <f>IF(OR(A193="",G193="",C193="",NOT(ISNUMBER($U$3))),"",ROUND(G193*C193*$U$3,2))</f>
        <v/>
      </c>
      <c r="I193" s="99" t="n"/>
      <c r="J193" s="335">
        <f>IF(OR(A193="",I193="",C193="",NOT(ISNUMBER($U$4))),"",ROUND(I193*C193*$U$4,2))</f>
        <v/>
      </c>
      <c r="K193" s="99" t="n"/>
      <c r="L193" s="335">
        <f>IF(OR(A193="",K193="",C193="",NOT(ISNUMBER($U$5))),"",ROUND(K193*C193*$U$5,2))</f>
        <v/>
      </c>
      <c r="M193" s="99" t="n"/>
      <c r="N193" s="335">
        <f>IF(OR(A193="",M193="",C193="",NOT(ISNUMBER($U$6))),"",ROUND(M193*C193*$U$6,2))</f>
        <v/>
      </c>
      <c r="O193" s="90">
        <f>IF(A193="","",SUM(E193,G193,I193,K193,M193))</f>
        <v/>
      </c>
      <c r="P193" s="335">
        <f>IF(A193="","",SUM(F193,H193,J193,L193,N193))</f>
        <v/>
      </c>
      <c r="Q193" s="198">
        <f>IF(A193="","",IF(O193&gt;B193,"DIVERGENCIA: CONSUMO MAIOR QUE CONTRATADO","OK"))</f>
        <v/>
      </c>
      <c r="R193" s="27" t="n"/>
      <c r="S193" s="27" t="n"/>
      <c r="T193" s="27" t="n"/>
      <c r="U193" s="27" t="n"/>
      <c r="V193" s="27" t="n"/>
      <c r="W193" s="27" t="n"/>
    </row>
    <row r="194">
      <c r="A194" s="98" t="n"/>
      <c r="B194" s="99" t="n"/>
      <c r="C194" s="346" t="n"/>
      <c r="D194" s="335">
        <f>IF(OR(A194="",B194="",C194=""),"",ROUND(B194*C194,2))</f>
        <v/>
      </c>
      <c r="E194" s="99" t="n"/>
      <c r="F194" s="335">
        <f>IF(OR(A194="",E194="",C194="",NOT(ISNUMBER($U$2))),"",ROUND(E194*C194*$U$2,2))</f>
        <v/>
      </c>
      <c r="G194" s="99" t="n"/>
      <c r="H194" s="335">
        <f>IF(OR(A194="",G194="",C194="",NOT(ISNUMBER($U$3))),"",ROUND(G194*C194*$U$3,2))</f>
        <v/>
      </c>
      <c r="I194" s="99" t="n"/>
      <c r="J194" s="335">
        <f>IF(OR(A194="",I194="",C194="",NOT(ISNUMBER($U$4))),"",ROUND(I194*C194*$U$4,2))</f>
        <v/>
      </c>
      <c r="K194" s="99" t="n"/>
      <c r="L194" s="335">
        <f>IF(OR(A194="",K194="",C194="",NOT(ISNUMBER($U$5))),"",ROUND(K194*C194*$U$5,2))</f>
        <v/>
      </c>
      <c r="M194" s="99" t="n"/>
      <c r="N194" s="335">
        <f>IF(OR(A194="",M194="",C194="",NOT(ISNUMBER($U$6))),"",ROUND(M194*C194*$U$6,2))</f>
        <v/>
      </c>
      <c r="O194" s="90">
        <f>IF(A194="","",SUM(E194,G194,I194,K194,M194))</f>
        <v/>
      </c>
      <c r="P194" s="335">
        <f>IF(A194="","",SUM(F194,H194,J194,L194,N194))</f>
        <v/>
      </c>
      <c r="Q194" s="198">
        <f>IF(A194="","",IF(O194&gt;B194,"DIVERGENCIA: CONSUMO MAIOR QUE CONTRATADO","OK"))</f>
        <v/>
      </c>
      <c r="R194" s="27" t="n"/>
      <c r="S194" s="27" t="n"/>
      <c r="T194" s="27" t="n"/>
      <c r="U194" s="27" t="n"/>
      <c r="V194" s="27" t="n"/>
      <c r="W194" s="27" t="n"/>
    </row>
    <row r="195">
      <c r="A195" s="98" t="n"/>
      <c r="B195" s="99" t="n"/>
      <c r="C195" s="346" t="n"/>
      <c r="D195" s="335">
        <f>IF(OR(A195="",B195="",C195=""),"",ROUND(B195*C195,2))</f>
        <v/>
      </c>
      <c r="E195" s="99" t="n"/>
      <c r="F195" s="335">
        <f>IF(OR(A195="",E195="",C195="",NOT(ISNUMBER($U$2))),"",ROUND(E195*C195*$U$2,2))</f>
        <v/>
      </c>
      <c r="G195" s="99" t="n"/>
      <c r="H195" s="335">
        <f>IF(OR(A195="",G195="",C195="",NOT(ISNUMBER($U$3))),"",ROUND(G195*C195*$U$3,2))</f>
        <v/>
      </c>
      <c r="I195" s="99" t="n"/>
      <c r="J195" s="335">
        <f>IF(OR(A195="",I195="",C195="",NOT(ISNUMBER($U$4))),"",ROUND(I195*C195*$U$4,2))</f>
        <v/>
      </c>
      <c r="K195" s="99" t="n"/>
      <c r="L195" s="335">
        <f>IF(OR(A195="",K195="",C195="",NOT(ISNUMBER($U$5))),"",ROUND(K195*C195*$U$5,2))</f>
        <v/>
      </c>
      <c r="M195" s="99" t="n"/>
      <c r="N195" s="335">
        <f>IF(OR(A195="",M195="",C195="",NOT(ISNUMBER($U$6))),"",ROUND(M195*C195*$U$6,2))</f>
        <v/>
      </c>
      <c r="O195" s="90">
        <f>IF(A195="","",SUM(E195,G195,I195,K195,M195))</f>
        <v/>
      </c>
      <c r="P195" s="335">
        <f>IF(A195="","",SUM(F195,H195,J195,L195,N195))</f>
        <v/>
      </c>
      <c r="Q195" s="198">
        <f>IF(A195="","",IF(O195&gt;B195,"DIVERGENCIA: CONSUMO MAIOR QUE CONTRATADO","OK"))</f>
        <v/>
      </c>
      <c r="R195" s="27" t="n"/>
      <c r="S195" s="27" t="n"/>
      <c r="T195" s="27" t="n"/>
      <c r="U195" s="27" t="n"/>
      <c r="V195" s="27" t="n"/>
      <c r="W195" s="27" t="n"/>
    </row>
    <row r="196">
      <c r="A196" s="98" t="n"/>
      <c r="B196" s="99" t="n"/>
      <c r="C196" s="346" t="n"/>
      <c r="D196" s="335">
        <f>IF(OR(A196="",B196="",C196=""),"",ROUND(B196*C196,2))</f>
        <v/>
      </c>
      <c r="E196" s="99" t="n"/>
      <c r="F196" s="335">
        <f>IF(OR(A196="",E196="",C196="",NOT(ISNUMBER($U$2))),"",ROUND(E196*C196*$U$2,2))</f>
        <v/>
      </c>
      <c r="G196" s="99" t="n"/>
      <c r="H196" s="335">
        <f>IF(OR(A196="",G196="",C196="",NOT(ISNUMBER($U$3))),"",ROUND(G196*C196*$U$3,2))</f>
        <v/>
      </c>
      <c r="I196" s="99" t="n"/>
      <c r="J196" s="335">
        <f>IF(OR(A196="",I196="",C196="",NOT(ISNUMBER($U$4))),"",ROUND(I196*C196*$U$4,2))</f>
        <v/>
      </c>
      <c r="K196" s="99" t="n"/>
      <c r="L196" s="335">
        <f>IF(OR(A196="",K196="",C196="",NOT(ISNUMBER($U$5))),"",ROUND(K196*C196*$U$5,2))</f>
        <v/>
      </c>
      <c r="M196" s="99" t="n"/>
      <c r="N196" s="335">
        <f>IF(OR(A196="",M196="",C196="",NOT(ISNUMBER($U$6))),"",ROUND(M196*C196*$U$6,2))</f>
        <v/>
      </c>
      <c r="O196" s="90">
        <f>IF(A196="","",SUM(E196,G196,I196,K196,M196))</f>
        <v/>
      </c>
      <c r="P196" s="335">
        <f>IF(A196="","",SUM(F196,H196,J196,L196,N196))</f>
        <v/>
      </c>
      <c r="Q196" s="198">
        <f>IF(A196="","",IF(O196&gt;B196,"DIVERGENCIA: CONSUMO MAIOR QUE CONTRATADO","OK"))</f>
        <v/>
      </c>
      <c r="R196" s="27" t="n"/>
      <c r="S196" s="27" t="n"/>
      <c r="T196" s="27" t="n"/>
      <c r="U196" s="27" t="n"/>
      <c r="V196" s="27" t="n"/>
      <c r="W196" s="27" t="n"/>
    </row>
    <row r="197">
      <c r="A197" s="98" t="n"/>
      <c r="B197" s="99" t="n"/>
      <c r="C197" s="346" t="n"/>
      <c r="D197" s="335">
        <f>IF(OR(A197="",B197="",C197=""),"",ROUND(B197*C197,2))</f>
        <v/>
      </c>
      <c r="E197" s="99" t="n"/>
      <c r="F197" s="335">
        <f>IF(OR(A197="",E197="",C197="",NOT(ISNUMBER($U$2))),"",ROUND(E197*C197*$U$2,2))</f>
        <v/>
      </c>
      <c r="G197" s="99" t="n"/>
      <c r="H197" s="335">
        <f>IF(OR(A197="",G197="",C197="",NOT(ISNUMBER($U$3))),"",ROUND(G197*C197*$U$3,2))</f>
        <v/>
      </c>
      <c r="I197" s="99" t="n"/>
      <c r="J197" s="335">
        <f>IF(OR(A197="",I197="",C197="",NOT(ISNUMBER($U$4))),"",ROUND(I197*C197*$U$4,2))</f>
        <v/>
      </c>
      <c r="K197" s="99" t="n"/>
      <c r="L197" s="335">
        <f>IF(OR(A197="",K197="",C197="",NOT(ISNUMBER($U$5))),"",ROUND(K197*C197*$U$5,2))</f>
        <v/>
      </c>
      <c r="M197" s="99" t="n"/>
      <c r="N197" s="335">
        <f>IF(OR(A197="",M197="",C197="",NOT(ISNUMBER($U$6))),"",ROUND(M197*C197*$U$6,2))</f>
        <v/>
      </c>
      <c r="O197" s="90">
        <f>IF(A197="","",SUM(E197,G197,I197,K197,M197))</f>
        <v/>
      </c>
      <c r="P197" s="335">
        <f>IF(A197="","",SUM(F197,H197,J197,L197,N197))</f>
        <v/>
      </c>
      <c r="Q197" s="198">
        <f>IF(A197="","",IF(O197&gt;B197,"DIVERGENCIA: CONSUMO MAIOR QUE CONTRATADO","OK"))</f>
        <v/>
      </c>
      <c r="R197" s="27" t="n"/>
      <c r="S197" s="27" t="n"/>
      <c r="T197" s="27" t="n"/>
      <c r="U197" s="27" t="n"/>
      <c r="V197" s="27" t="n"/>
      <c r="W197" s="27" t="n"/>
    </row>
    <row r="198">
      <c r="A198" s="98" t="n"/>
      <c r="B198" s="99" t="n"/>
      <c r="C198" s="346" t="n"/>
      <c r="D198" s="335">
        <f>IF(OR(A198="",B198="",C198=""),"",ROUND(B198*C198,2))</f>
        <v/>
      </c>
      <c r="E198" s="99" t="n"/>
      <c r="F198" s="335">
        <f>IF(OR(A198="",E198="",C198="",NOT(ISNUMBER($U$2))),"",ROUND(E198*C198*$U$2,2))</f>
        <v/>
      </c>
      <c r="G198" s="99" t="n"/>
      <c r="H198" s="335">
        <f>IF(OR(A198="",G198="",C198="",NOT(ISNUMBER($U$3))),"",ROUND(G198*C198*$U$3,2))</f>
        <v/>
      </c>
      <c r="I198" s="99" t="n"/>
      <c r="J198" s="335">
        <f>IF(OR(A198="",I198="",C198="",NOT(ISNUMBER($U$4))),"",ROUND(I198*C198*$U$4,2))</f>
        <v/>
      </c>
      <c r="K198" s="99" t="n"/>
      <c r="L198" s="335">
        <f>IF(OR(A198="",K198="",C198="",NOT(ISNUMBER($U$5))),"",ROUND(K198*C198*$U$5,2))</f>
        <v/>
      </c>
      <c r="M198" s="99" t="n"/>
      <c r="N198" s="335">
        <f>IF(OR(A198="",M198="",C198="",NOT(ISNUMBER($U$6))),"",ROUND(M198*C198*$U$6,2))</f>
        <v/>
      </c>
      <c r="O198" s="90">
        <f>IF(A198="","",SUM(E198,G198,I198,K198,M198))</f>
        <v/>
      </c>
      <c r="P198" s="335">
        <f>IF(A198="","",SUM(F198,H198,J198,L198,N198))</f>
        <v/>
      </c>
      <c r="Q198" s="198">
        <f>IF(A198="","",IF(O198&gt;B198,"DIVERGENCIA: CONSUMO MAIOR QUE CONTRATADO","OK"))</f>
        <v/>
      </c>
      <c r="R198" s="27" t="n"/>
      <c r="S198" s="27" t="n"/>
      <c r="T198" s="27" t="n"/>
      <c r="U198" s="27" t="n"/>
      <c r="V198" s="27" t="n"/>
      <c r="W198" s="27" t="n"/>
    </row>
    <row r="199">
      <c r="A199" s="98" t="n"/>
      <c r="B199" s="99" t="n"/>
      <c r="C199" s="346" t="n"/>
      <c r="D199" s="335">
        <f>IF(OR(A199="",B199="",C199=""),"",ROUND(B199*C199,2))</f>
        <v/>
      </c>
      <c r="E199" s="99" t="n"/>
      <c r="F199" s="335">
        <f>IF(OR(A199="",E199="",C199="",NOT(ISNUMBER($U$2))),"",ROUND(E199*C199*$U$2,2))</f>
        <v/>
      </c>
      <c r="G199" s="99" t="n"/>
      <c r="H199" s="335">
        <f>IF(OR(A199="",G199="",C199="",NOT(ISNUMBER($U$3))),"",ROUND(G199*C199*$U$3,2))</f>
        <v/>
      </c>
      <c r="I199" s="99" t="n"/>
      <c r="J199" s="335">
        <f>IF(OR(A199="",I199="",C199="",NOT(ISNUMBER($U$4))),"",ROUND(I199*C199*$U$4,2))</f>
        <v/>
      </c>
      <c r="K199" s="99" t="n"/>
      <c r="L199" s="335">
        <f>IF(OR(A199="",K199="",C199="",NOT(ISNUMBER($U$5))),"",ROUND(K199*C199*$U$5,2))</f>
        <v/>
      </c>
      <c r="M199" s="99" t="n"/>
      <c r="N199" s="335">
        <f>IF(OR(A199="",M199="",C199="",NOT(ISNUMBER($U$6))),"",ROUND(M199*C199*$U$6,2))</f>
        <v/>
      </c>
      <c r="O199" s="90">
        <f>IF(A199="","",SUM(E199,G199,I199,K199,M199))</f>
        <v/>
      </c>
      <c r="P199" s="335">
        <f>IF(A199="","",SUM(F199,H199,J199,L199,N199))</f>
        <v/>
      </c>
      <c r="Q199" s="198">
        <f>IF(A199="","",IF(O199&gt;B199,"DIVERGENCIA: CONSUMO MAIOR QUE CONTRATADO","OK"))</f>
        <v/>
      </c>
      <c r="R199" s="27" t="n"/>
      <c r="S199" s="27" t="n"/>
      <c r="T199" s="27" t="n"/>
      <c r="U199" s="27" t="n"/>
      <c r="V199" s="27" t="n"/>
      <c r="W199" s="27" t="n"/>
    </row>
    <row r="200">
      <c r="A200" s="98" t="n"/>
      <c r="B200" s="99" t="n"/>
      <c r="C200" s="346" t="n"/>
      <c r="D200" s="335">
        <f>IF(OR(A200="",B200="",C200=""),"",ROUND(B200*C200,2))</f>
        <v/>
      </c>
      <c r="E200" s="99" t="n"/>
      <c r="F200" s="335">
        <f>IF(OR(A200="",E200="",C200="",NOT(ISNUMBER($U$2))),"",ROUND(E200*C200*$U$2,2))</f>
        <v/>
      </c>
      <c r="G200" s="99" t="n"/>
      <c r="H200" s="335">
        <f>IF(OR(A200="",G200="",C200="",NOT(ISNUMBER($U$3))),"",ROUND(G200*C200*$U$3,2))</f>
        <v/>
      </c>
      <c r="I200" s="99" t="n"/>
      <c r="J200" s="335">
        <f>IF(OR(A200="",I200="",C200="",NOT(ISNUMBER($U$4))),"",ROUND(I200*C200*$U$4,2))</f>
        <v/>
      </c>
      <c r="K200" s="99" t="n"/>
      <c r="L200" s="335">
        <f>IF(OR(A200="",K200="",C200="",NOT(ISNUMBER($U$5))),"",ROUND(K200*C200*$U$5,2))</f>
        <v/>
      </c>
      <c r="M200" s="99" t="n"/>
      <c r="N200" s="335">
        <f>IF(OR(A200="",M200="",C200="",NOT(ISNUMBER($U$6))),"",ROUND(M200*C200*$U$6,2))</f>
        <v/>
      </c>
      <c r="O200" s="90">
        <f>IF(A200="","",SUM(E200,G200,I200,K200,M200))</f>
        <v/>
      </c>
      <c r="P200" s="335">
        <f>IF(A200="","",SUM(F200,H200,J200,L200,N200))</f>
        <v/>
      </c>
      <c r="Q200" s="198">
        <f>IF(A200="","",IF(O200&gt;B200,"DIVERGENCIA: CONSUMO MAIOR QUE CONTRATADO","OK"))</f>
        <v/>
      </c>
      <c r="R200" s="27" t="n"/>
      <c r="S200" s="27" t="n"/>
      <c r="T200" s="27" t="n"/>
      <c r="U200" s="27" t="n"/>
      <c r="V200" s="27" t="n"/>
      <c r="W200" s="27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01"/>
  <sheetViews>
    <sheetView showGridLines="0" workbookViewId="0">
      <selection activeCell="A1" sqref="A1"/>
    </sheetView>
  </sheetViews>
  <sheetFormatPr baseColWidth="8" defaultColWidth="22.81640625" defaultRowHeight="14.5"/>
  <cols>
    <col width="14.6328125" customWidth="1" style="284" min="1" max="1"/>
    <col width="16" customWidth="1" style="289" min="2" max="3"/>
    <col width="18" customWidth="1" style="289" min="4" max="5"/>
    <col width="20" customWidth="1" style="289" min="6" max="6"/>
    <col width="24" customWidth="1" style="289" min="7" max="7"/>
    <col width="28" customWidth="1" style="289" min="8" max="8"/>
    <col width="26" customWidth="1" style="289" min="9" max="9"/>
    <col width="20" customWidth="1" style="289" min="10" max="10"/>
    <col width="30" customWidth="1" style="289" min="11" max="11"/>
    <col width="24.6328125" customWidth="1" style="289" min="12" max="12"/>
    <col width="21.453125" customWidth="1" style="289" min="13" max="13"/>
    <col hidden="1" width="13" customWidth="1" style="289" min="22" max="29"/>
  </cols>
  <sheetData>
    <row r="1" ht="25.5" customHeight="1" s="289">
      <c r="A1" s="204" t="inlineStr">
        <is>
          <t>NUMERO_PC</t>
        </is>
      </c>
      <c r="B1" s="54" t="inlineStr">
        <is>
          <t>DATA_PC</t>
        </is>
      </c>
      <c r="C1" s="54" t="inlineStr">
        <is>
          <t>CICLO_PC</t>
        </is>
      </c>
      <c r="D1" s="54" t="inlineStr">
        <is>
          <t>VALOR_PC</t>
        </is>
      </c>
      <c r="E1" s="54" t="inlineStr">
        <is>
          <t>FATOR_ACUMULADO</t>
        </is>
      </c>
      <c r="F1" s="54" t="inlineStr">
        <is>
          <t>VALOR_ATUALIZADO</t>
        </is>
      </c>
      <c r="G1" s="37" t="inlineStr">
        <is>
          <t>PC_PAGO_A_CONTRATADA</t>
        </is>
      </c>
      <c r="H1" s="37" t="inlineStr">
        <is>
          <t>RETROATIVO_RECONHECIDO_A_PAGAR</t>
        </is>
      </c>
      <c r="I1" s="37" t="inlineStr">
        <is>
          <t>VALOR_ATUALIZADO_EM_ANALISE</t>
        </is>
      </c>
      <c r="J1" s="37" t="inlineStr">
        <is>
          <t>DELTA_POTENCIAL</t>
        </is>
      </c>
      <c r="K1" s="37" t="inlineStr">
        <is>
          <t>CHECK_PC_FINANCEIRO</t>
        </is>
      </c>
      <c r="L1" s="37" t="inlineStr">
        <is>
          <t>EFEITO_FINANCEIRO_PC</t>
        </is>
      </c>
      <c r="M1" s="28" t="inlineStr">
        <is>
          <t>CICLO</t>
        </is>
      </c>
      <c r="N1" s="28" t="inlineStr">
        <is>
          <t>QTD_PC</t>
        </is>
      </c>
      <c r="O1" s="28" t="inlineStr">
        <is>
          <t>VALOR_PC_TOTAL</t>
        </is>
      </c>
      <c r="P1" s="28" t="inlineStr">
        <is>
          <t>VALOR_ATUALIZADO_TOTAL</t>
        </is>
      </c>
      <c r="Q1" s="28" t="inlineStr">
        <is>
          <t>RETROATIVO_RECONHECIDO_A_PAGAR</t>
        </is>
      </c>
      <c r="R1" s="28" t="inlineStr">
        <is>
          <t>VALOR_ATUALIZADO_EM_ANALISE</t>
        </is>
      </c>
      <c r="S1" s="28" t="inlineStr">
        <is>
          <t>DELTA_POTENCIAL</t>
        </is>
      </c>
      <c r="T1" s="28" t="inlineStr">
        <is>
          <t>QTD_COM_CHECK</t>
        </is>
      </c>
      <c r="U1" s="27" t="n"/>
      <c r="V1" s="29" t="inlineStr">
        <is>
          <t>COMPUTA_VTA</t>
        </is>
      </c>
      <c r="W1" s="29" t="inlineStr">
        <is>
          <t>TIPO_PARCELA</t>
        </is>
      </c>
      <c r="X1" s="29" t="inlineStr">
        <is>
          <t>ORIGEM_DADO</t>
        </is>
      </c>
      <c r="Y1" s="29" t="inlineStr">
        <is>
          <t>TIPO_FINANCEIRO</t>
        </is>
      </c>
      <c r="Z1" s="29" t="inlineStr">
        <is>
          <t>FONTE_PARCELA</t>
        </is>
      </c>
      <c r="AA1" s="29" t="inlineStr">
        <is>
          <t>JA_REFLETIDO_EM</t>
        </is>
      </c>
      <c r="AB1" s="29" t="inlineStr">
        <is>
          <t>STATUS_CONSOLIDACAO</t>
        </is>
      </c>
      <c r="AC1" s="29" t="inlineStr">
        <is>
          <t>JUSTIFICATIVA_VTA</t>
        </is>
      </c>
    </row>
    <row r="2" ht="25.5" customHeight="1" s="289">
      <c r="A2" s="205" t="n"/>
      <c r="B2" s="207" t="n"/>
      <c r="C2" s="104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348" t="n"/>
      <c r="E2" s="349">
        <f>IF(C2="","",IFERROR(VLOOKUP(C2,parametros!$A$11:$E$15,5,0),""))</f>
        <v/>
      </c>
      <c r="F2" s="335">
        <f>IF(OR(D2="",E2=""),"",ROUND(D2*E2,2))</f>
        <v/>
      </c>
      <c r="G2" s="106" t="n"/>
      <c r="H2" s="350">
        <f>IF(G2="Sim",IF(OR(F2="",D2="",L2=""),"",IF(L2="Sim",ROUND(F2-D2,2),0)),0)</f>
        <v/>
      </c>
      <c r="I2" s="350">
        <f>IF(G2="Sim",0,IF(OR(F2="",L2=""),"",F2))</f>
        <v/>
      </c>
      <c r="J2" s="350">
        <f>IF(G2="Sim",0,IF(OR(F2="",D2="",L2=""),"",IF(L2="Sim",ROUND(F2-D2,2),0)))</f>
        <v/>
      </c>
      <c r="K2" s="97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inlineStr">
        <is>
          <t>C0</t>
        </is>
      </c>
      <c r="N2" s="108">
        <f>COUNTIF($C$2:$C$5001,M2)</f>
        <v/>
      </c>
      <c r="O2" s="351">
        <f>SUMIF($C$2:$C$5001,M2,$D$2:$D$5001)</f>
        <v/>
      </c>
      <c r="P2" s="351">
        <f>SUMIF($C$2:$C$5001,M2,$F$2:$F$5001)</f>
        <v/>
      </c>
      <c r="Q2" s="351">
        <f>SUMIF($C$2:$C$5001,M2,$H$2:$H$5001)</f>
        <v/>
      </c>
      <c r="R2" s="351">
        <f>SUMIF($C$2:$C$5001,M2,$I$2:$I$5001)</f>
        <v/>
      </c>
      <c r="S2" s="351">
        <f>SUMIF($C$2:$C$5001,M2,$J$2:$J$5001)</f>
        <v/>
      </c>
      <c r="T2" s="108">
        <f>COUNTIFS($C$2:$C$5001,M2,$K$2:$K$5001,"&lt;&gt;OK",$K$2:$K$5001,"&lt;&gt;")</f>
        <v/>
      </c>
      <c r="U2" s="14" t="n"/>
      <c r="V2" s="110" t="inlineStr">
        <is>
          <t>Nao</t>
        </is>
      </c>
      <c r="W2" s="110" t="inlineStr">
        <is>
          <t>PC em analise</t>
        </is>
      </c>
      <c r="X2" s="110" t="inlineStr">
        <is>
          <t>Pedido de Compra</t>
        </is>
      </c>
      <c r="Y2" s="111" t="inlineStr">
        <is>
          <t>Impacto Potencial</t>
        </is>
      </c>
      <c r="Z2" s="111" t="inlineStr">
        <is>
          <t>PC</t>
        </is>
      </c>
      <c r="AA2" s="111" t="inlineStr">
        <is>
          <t>Nao</t>
        </is>
      </c>
      <c r="AB2" s="111" t="inlineStr">
        <is>
          <t>NAO_COMPUTADO</t>
        </is>
      </c>
      <c r="AC2" s="112" t="inlineStr">
        <is>
          <t>Estrutura Fase 1: sem impacto no VTA oficial</t>
        </is>
      </c>
    </row>
    <row r="3" ht="25.5" customHeight="1" s="289">
      <c r="A3" s="205" t="n"/>
      <c r="B3" s="207" t="n"/>
      <c r="C3" s="104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348" t="n"/>
      <c r="E3" s="349">
        <f>IF(C3="","",IFERROR(VLOOKUP(C3,parametros!$A$11:$E$15,5,0),""))</f>
        <v/>
      </c>
      <c r="F3" s="335">
        <f>IF(OR(D3="",E3=""),"",ROUND(D3*E3,2))</f>
        <v/>
      </c>
      <c r="G3" s="106" t="n"/>
      <c r="H3" s="350">
        <f>IF(G3="Sim",IF(OR(F3="",D3="",L3=""),"",IF(L3="Sim",ROUND(F3-D3,2),0)),0)</f>
        <v/>
      </c>
      <c r="I3" s="350">
        <f>IF(G3="Sim",0,IF(OR(F3="",L3=""),"",F3))</f>
        <v/>
      </c>
      <c r="J3" s="350">
        <f>IF(G3="Sim",0,IF(OR(F3="",D3="",L3=""),"",IF(L3="Sim",ROUND(F3-D3,2),0)))</f>
        <v/>
      </c>
      <c r="K3" s="97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inlineStr">
        <is>
          <t>C1</t>
        </is>
      </c>
      <c r="N3" s="108">
        <f>COUNTIF($C$2:$C$5001,M3)</f>
        <v/>
      </c>
      <c r="O3" s="351">
        <f>SUMIF($C$2:$C$5001,M3,$D$2:$D$5001)</f>
        <v/>
      </c>
      <c r="P3" s="351">
        <f>SUMIF($C$2:$C$5001,M3,$F$2:$F$5001)</f>
        <v/>
      </c>
      <c r="Q3" s="351">
        <f>SUMIF($C$2:$C$5001,M3,$H$2:$H$5001)</f>
        <v/>
      </c>
      <c r="R3" s="351">
        <f>SUMIF($C$2:$C$5001,M3,$I$2:$I$5001)</f>
        <v/>
      </c>
      <c r="S3" s="351">
        <f>SUMIF($C$2:$C$5001,M3,$J$2:$J$5001)</f>
        <v/>
      </c>
      <c r="T3" s="108">
        <f>COUNTIFS($C$2:$C$5001,M3,$K$2:$K$5001,"&lt;&gt;OK",$K$2:$K$5001,"&lt;&gt;")</f>
        <v/>
      </c>
      <c r="U3" s="14" t="n"/>
      <c r="V3" s="110" t="inlineStr">
        <is>
          <t>Nao</t>
        </is>
      </c>
      <c r="W3" s="110" t="inlineStr">
        <is>
          <t>PC em analise</t>
        </is>
      </c>
      <c r="X3" s="110" t="inlineStr">
        <is>
          <t>Pedido de Compra</t>
        </is>
      </c>
      <c r="Y3" s="111" t="inlineStr">
        <is>
          <t>Impacto Potencial</t>
        </is>
      </c>
      <c r="Z3" s="111" t="inlineStr">
        <is>
          <t>PC</t>
        </is>
      </c>
      <c r="AA3" s="111" t="inlineStr">
        <is>
          <t>Nao</t>
        </is>
      </c>
      <c r="AB3" s="111" t="inlineStr">
        <is>
          <t>NAO_COMPUTADO</t>
        </is>
      </c>
      <c r="AC3" s="112" t="inlineStr">
        <is>
          <t>Estrutura Fase 1: sem impacto no VTA oficial</t>
        </is>
      </c>
    </row>
    <row r="4" ht="25.5" customHeight="1" s="289">
      <c r="A4" s="205" t="n"/>
      <c r="B4" s="207" t="n"/>
      <c r="C4" s="104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348" t="n"/>
      <c r="E4" s="349">
        <f>IF(C4="","",IFERROR(VLOOKUP(C4,parametros!$A$11:$E$15,5,0),""))</f>
        <v/>
      </c>
      <c r="F4" s="335">
        <f>IF(OR(D4="",E4=""),"",ROUND(D4*E4,2))</f>
        <v/>
      </c>
      <c r="G4" s="106" t="n"/>
      <c r="H4" s="350">
        <f>IF(G4="Sim",IF(OR(F4="",D4="",L4=""),"",IF(L4="Sim",ROUND(F4-D4,2),0)),0)</f>
        <v/>
      </c>
      <c r="I4" s="350">
        <f>IF(G4="Sim",0,IF(OR(F4="",L4=""),"",F4))</f>
        <v/>
      </c>
      <c r="J4" s="350">
        <f>IF(G4="Sim",0,IF(OR(F4="",D4="",L4=""),"",IF(L4="Sim",ROUND(F4-D4,2),0)))</f>
        <v/>
      </c>
      <c r="K4" s="97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inlineStr">
        <is>
          <t>C2</t>
        </is>
      </c>
      <c r="N4" s="108">
        <f>COUNTIF($C$2:$C$5001,M4)</f>
        <v/>
      </c>
      <c r="O4" s="351">
        <f>SUMIF($C$2:$C$5001,M4,$D$2:$D$5001)</f>
        <v/>
      </c>
      <c r="P4" s="351">
        <f>SUMIF($C$2:$C$5001,M4,$F$2:$F$5001)</f>
        <v/>
      </c>
      <c r="Q4" s="351">
        <f>SUMIF($C$2:$C$5001,M4,$H$2:$H$5001)</f>
        <v/>
      </c>
      <c r="R4" s="351">
        <f>SUMIF($C$2:$C$5001,M4,$I$2:$I$5001)</f>
        <v/>
      </c>
      <c r="S4" s="351">
        <f>SUMIF($C$2:$C$5001,M4,$J$2:$J$5001)</f>
        <v/>
      </c>
      <c r="T4" s="108">
        <f>COUNTIFS($C$2:$C$5001,M4,$K$2:$K$5001,"&lt;&gt;OK",$K$2:$K$5001,"&lt;&gt;")</f>
        <v/>
      </c>
      <c r="U4" s="14" t="n"/>
      <c r="V4" s="110" t="inlineStr">
        <is>
          <t>Nao</t>
        </is>
      </c>
      <c r="W4" s="110" t="inlineStr">
        <is>
          <t>PC em analise</t>
        </is>
      </c>
      <c r="X4" s="110" t="inlineStr">
        <is>
          <t>Pedido de Compra</t>
        </is>
      </c>
      <c r="Y4" s="111" t="inlineStr">
        <is>
          <t>Impacto Potencial</t>
        </is>
      </c>
      <c r="Z4" s="111" t="inlineStr">
        <is>
          <t>PC</t>
        </is>
      </c>
      <c r="AA4" s="111" t="inlineStr">
        <is>
          <t>Nao</t>
        </is>
      </c>
      <c r="AB4" s="111" t="inlineStr">
        <is>
          <t>NAO_COMPUTADO</t>
        </is>
      </c>
      <c r="AC4" s="112" t="inlineStr">
        <is>
          <t>Estrutura Fase 1: sem impacto no VTA oficial</t>
        </is>
      </c>
    </row>
    <row r="5" ht="25.5" customHeight="1" s="289">
      <c r="A5" s="205" t="n"/>
      <c r="B5" s="207" t="n"/>
      <c r="C5" s="104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348" t="n"/>
      <c r="E5" s="349">
        <f>IF(C5="","",IFERROR(VLOOKUP(C5,parametros!$A$11:$E$15,5,0),""))</f>
        <v/>
      </c>
      <c r="F5" s="335">
        <f>IF(OR(D5="",E5=""),"",ROUND(D5*E5,2))</f>
        <v/>
      </c>
      <c r="G5" s="106" t="n"/>
      <c r="H5" s="350">
        <f>IF(G5="Sim",IF(OR(F5="",D5="",L5=""),"",IF(L5="Sim",ROUND(F5-D5,2),0)),0)</f>
        <v/>
      </c>
      <c r="I5" s="350">
        <f>IF(G5="Sim",0,IF(OR(F5="",L5=""),"",F5))</f>
        <v/>
      </c>
      <c r="J5" s="350">
        <f>IF(G5="Sim",0,IF(OR(F5="",D5="",L5=""),"",IF(L5="Sim",ROUND(F5-D5,2),0)))</f>
        <v/>
      </c>
      <c r="K5" s="97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inlineStr">
        <is>
          <t>C3</t>
        </is>
      </c>
      <c r="N5" s="108">
        <f>COUNTIF($C$2:$C$5001,M5)</f>
        <v/>
      </c>
      <c r="O5" s="351">
        <f>SUMIF($C$2:$C$5001,M5,$D$2:$D$5001)</f>
        <v/>
      </c>
      <c r="P5" s="351">
        <f>SUMIF($C$2:$C$5001,M5,$F$2:$F$5001)</f>
        <v/>
      </c>
      <c r="Q5" s="351">
        <f>SUMIF($C$2:$C$5001,M5,$H$2:$H$5001)</f>
        <v/>
      </c>
      <c r="R5" s="351">
        <f>SUMIF($C$2:$C$5001,M5,$I$2:$I$5001)</f>
        <v/>
      </c>
      <c r="S5" s="351">
        <f>SUMIF($C$2:$C$5001,M5,$J$2:$J$5001)</f>
        <v/>
      </c>
      <c r="T5" s="108">
        <f>COUNTIFS($C$2:$C$5001,M5,$K$2:$K$5001,"&lt;&gt;OK",$K$2:$K$5001,"&lt;&gt;")</f>
        <v/>
      </c>
      <c r="U5" s="14" t="n"/>
      <c r="V5" s="110" t="inlineStr">
        <is>
          <t>Nao</t>
        </is>
      </c>
      <c r="W5" s="110" t="inlineStr">
        <is>
          <t>PC em analise</t>
        </is>
      </c>
      <c r="X5" s="110" t="inlineStr">
        <is>
          <t>Pedido de Compra</t>
        </is>
      </c>
      <c r="Y5" s="111" t="inlineStr">
        <is>
          <t>Impacto Potencial</t>
        </is>
      </c>
      <c r="Z5" s="111" t="inlineStr">
        <is>
          <t>PC</t>
        </is>
      </c>
      <c r="AA5" s="111" t="inlineStr">
        <is>
          <t>Nao</t>
        </is>
      </c>
      <c r="AB5" s="111" t="inlineStr">
        <is>
          <t>NAO_COMPUTADO</t>
        </is>
      </c>
      <c r="AC5" s="112" t="inlineStr">
        <is>
          <t>Estrutura Fase 1: sem impacto no VTA oficial</t>
        </is>
      </c>
    </row>
    <row r="6" ht="25.5" customHeight="1" s="289">
      <c r="A6" s="205" t="n"/>
      <c r="B6" s="207" t="n"/>
      <c r="C6" s="104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348" t="n"/>
      <c r="E6" s="349">
        <f>IF(C6="","",IFERROR(VLOOKUP(C6,parametros!$A$11:$E$15,5,0),""))</f>
        <v/>
      </c>
      <c r="F6" s="335">
        <f>IF(OR(D6="",E6=""),"",ROUND(D6*E6,2))</f>
        <v/>
      </c>
      <c r="G6" s="106" t="n"/>
      <c r="H6" s="350">
        <f>IF(G6="Sim",IF(OR(F6="",D6="",L6=""),"",IF(L6="Sim",ROUND(F6-D6,2),0)),0)</f>
        <v/>
      </c>
      <c r="I6" s="350">
        <f>IF(G6="Sim",0,IF(OR(F6="",L6=""),"",F6))</f>
        <v/>
      </c>
      <c r="J6" s="350">
        <f>IF(G6="Sim",0,IF(OR(F6="",D6="",L6=""),"",IF(L6="Sim",ROUND(F6-D6,2),0)))</f>
        <v/>
      </c>
      <c r="K6" s="97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inlineStr">
        <is>
          <t>C4</t>
        </is>
      </c>
      <c r="N6" s="108">
        <f>COUNTIF($C$2:$C$5001,M6)</f>
        <v/>
      </c>
      <c r="O6" s="351">
        <f>SUMIF($C$2:$C$5001,M6,$D$2:$D$5001)</f>
        <v/>
      </c>
      <c r="P6" s="351">
        <f>SUMIF($C$2:$C$5001,M6,$F$2:$F$5001)</f>
        <v/>
      </c>
      <c r="Q6" s="351">
        <f>SUMIF($C$2:$C$5001,M6,$H$2:$H$5001)</f>
        <v/>
      </c>
      <c r="R6" s="351">
        <f>SUMIF($C$2:$C$5001,M6,$I$2:$I$5001)</f>
        <v/>
      </c>
      <c r="S6" s="351">
        <f>SUMIF($C$2:$C$5001,M6,$J$2:$J$5001)</f>
        <v/>
      </c>
      <c r="T6" s="108">
        <f>COUNTIFS($C$2:$C$5001,M6,$K$2:$K$5001,"&lt;&gt;OK",$K$2:$K$5001,"&lt;&gt;")</f>
        <v/>
      </c>
      <c r="U6" s="14" t="n"/>
      <c r="V6" s="110" t="inlineStr">
        <is>
          <t>Nao</t>
        </is>
      </c>
      <c r="W6" s="110" t="inlineStr">
        <is>
          <t>PC em analise</t>
        </is>
      </c>
      <c r="X6" s="110" t="inlineStr">
        <is>
          <t>Pedido de Compra</t>
        </is>
      </c>
      <c r="Y6" s="111" t="inlineStr">
        <is>
          <t>Impacto Potencial</t>
        </is>
      </c>
      <c r="Z6" s="111" t="inlineStr">
        <is>
          <t>PC</t>
        </is>
      </c>
      <c r="AA6" s="111" t="inlineStr">
        <is>
          <t>Nao</t>
        </is>
      </c>
      <c r="AB6" s="111" t="inlineStr">
        <is>
          <t>NAO_COMPUTADO</t>
        </is>
      </c>
      <c r="AC6" s="112" t="inlineStr">
        <is>
          <t>Estrutura Fase 1: sem impacto no VTA oficial</t>
        </is>
      </c>
    </row>
    <row r="7" ht="25.5" customHeight="1" s="289">
      <c r="A7" s="205" t="n"/>
      <c r="B7" s="207" t="n"/>
      <c r="C7" s="104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348" t="n"/>
      <c r="E7" s="349">
        <f>IF(C7="","",IFERROR(VLOOKUP(C7,parametros!$A$11:$E$15,5,0),""))</f>
        <v/>
      </c>
      <c r="F7" s="335">
        <f>IF(OR(D7="",E7=""),"",ROUND(D7*E7,2))</f>
        <v/>
      </c>
      <c r="G7" s="106" t="n"/>
      <c r="H7" s="350">
        <f>IF(G7="Sim",IF(OR(F7="",D7="",L7=""),"",IF(L7="Sim",ROUND(F7-D7,2),0)),0)</f>
        <v/>
      </c>
      <c r="I7" s="350">
        <f>IF(G7="Sim",0,IF(OR(F7="",L7=""),"",F7))</f>
        <v/>
      </c>
      <c r="J7" s="350">
        <f>IF(G7="Sim",0,IF(OR(F7="",D7="",L7=""),"",IF(L7="Sim",ROUND(F7-D7,2),0)))</f>
        <v/>
      </c>
      <c r="K7" s="97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inlineStr">
        <is>
          <t>TOTAL</t>
        </is>
      </c>
      <c r="N7" s="31">
        <f>SUM(N2:N6)</f>
        <v/>
      </c>
      <c r="O7" s="352">
        <f>SUM(O2:O6)</f>
        <v/>
      </c>
      <c r="P7" s="352">
        <f>SUM(P2:P6)</f>
        <v/>
      </c>
      <c r="Q7" s="352">
        <f>SUM(Q2:Q6)</f>
        <v/>
      </c>
      <c r="R7" s="352">
        <f>SUM(R2:R6)</f>
        <v/>
      </c>
      <c r="S7" s="352">
        <f>SUM(S2:S6)</f>
        <v/>
      </c>
      <c r="T7" s="31">
        <f>SUM(T2:T6)</f>
        <v/>
      </c>
      <c r="U7" s="14" t="n"/>
      <c r="V7" s="110" t="inlineStr">
        <is>
          <t>Nao</t>
        </is>
      </c>
      <c r="W7" s="110" t="inlineStr">
        <is>
          <t>PC em analise</t>
        </is>
      </c>
      <c r="X7" s="110" t="inlineStr">
        <is>
          <t>Pedido de Compra</t>
        </is>
      </c>
      <c r="Y7" s="111" t="inlineStr">
        <is>
          <t>Impacto Potencial</t>
        </is>
      </c>
      <c r="Z7" s="111" t="inlineStr">
        <is>
          <t>PC</t>
        </is>
      </c>
      <c r="AA7" s="111" t="inlineStr">
        <is>
          <t>Nao</t>
        </is>
      </c>
      <c r="AB7" s="111" t="inlineStr">
        <is>
          <t>NAO_COMPUTADO</t>
        </is>
      </c>
      <c r="AC7" s="112" t="inlineStr">
        <is>
          <t>Estrutura Fase 1: sem impacto no VTA oficial</t>
        </is>
      </c>
    </row>
    <row r="8" ht="25.5" customHeight="1" s="289">
      <c r="A8" s="205" t="n"/>
      <c r="B8" s="207" t="n"/>
      <c r="C8" s="104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348" t="n"/>
      <c r="E8" s="349">
        <f>IF(C8="","",IFERROR(VLOOKUP(C8,parametros!$A$11:$E$15,5,0),""))</f>
        <v/>
      </c>
      <c r="F8" s="335">
        <f>IF(OR(D8="",E8=""),"",ROUND(D8*E8,2))</f>
        <v/>
      </c>
      <c r="G8" s="106" t="n"/>
      <c r="H8" s="350">
        <f>IF(G8="Sim",IF(OR(F8="",D8="",L8=""),"",IF(L8="Sim",ROUND(F8-D8,2),0)),0)</f>
        <v/>
      </c>
      <c r="I8" s="350">
        <f>IF(G8="Sim",0,IF(OR(F8="",L8=""),"",F8))</f>
        <v/>
      </c>
      <c r="J8" s="350">
        <f>IF(G8="Sim",0,IF(OR(F8="",D8="",L8=""),"",IF(L8="Sim",ROUND(F8-D8,2),0)))</f>
        <v/>
      </c>
      <c r="K8" s="97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10" t="inlineStr">
        <is>
          <t>Nao</t>
        </is>
      </c>
      <c r="W8" s="110" t="inlineStr">
        <is>
          <t>PC em analise</t>
        </is>
      </c>
      <c r="X8" s="110" t="inlineStr">
        <is>
          <t>Pedido de Compra</t>
        </is>
      </c>
      <c r="Y8" s="111" t="inlineStr">
        <is>
          <t>Impacto Potencial</t>
        </is>
      </c>
      <c r="Z8" s="111" t="inlineStr">
        <is>
          <t>PC</t>
        </is>
      </c>
      <c r="AA8" s="111" t="inlineStr">
        <is>
          <t>Nao</t>
        </is>
      </c>
      <c r="AB8" s="111" t="inlineStr">
        <is>
          <t>NAO_COMPUTADO</t>
        </is>
      </c>
      <c r="AC8" s="112" t="inlineStr">
        <is>
          <t>Estrutura Fase 1: sem impacto no VTA oficial</t>
        </is>
      </c>
    </row>
    <row r="9" ht="25.5" customHeight="1" s="289">
      <c r="A9" s="205" t="n"/>
      <c r="B9" s="207" t="n"/>
      <c r="C9" s="104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348" t="n"/>
      <c r="E9" s="349">
        <f>IF(C9="","",IFERROR(VLOOKUP(C9,parametros!$A$11:$E$15,5,0),""))</f>
        <v/>
      </c>
      <c r="F9" s="335">
        <f>IF(OR(D9="",E9=""),"",ROUND(D9*E9,2))</f>
        <v/>
      </c>
      <c r="G9" s="106" t="n"/>
      <c r="H9" s="350">
        <f>IF(G9="Sim",IF(OR(F9="",D9="",L9=""),"",IF(L9="Sim",ROUND(F9-D9,2),0)),0)</f>
        <v/>
      </c>
      <c r="I9" s="350">
        <f>IF(G9="Sim",0,IF(OR(F9="",L9=""),"",F9))</f>
        <v/>
      </c>
      <c r="J9" s="350">
        <f>IF(G9="Sim",0,IF(OR(F9="",D9="",L9=""),"",IF(L9="Sim",ROUND(F9-D9,2),0)))</f>
        <v/>
      </c>
      <c r="K9" s="97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10" t="inlineStr">
        <is>
          <t>Nao</t>
        </is>
      </c>
      <c r="W9" s="110" t="inlineStr">
        <is>
          <t>PC em analise</t>
        </is>
      </c>
      <c r="X9" s="110" t="inlineStr">
        <is>
          <t>Pedido de Compra</t>
        </is>
      </c>
      <c r="Y9" s="111" t="inlineStr">
        <is>
          <t>Impacto Potencial</t>
        </is>
      </c>
      <c r="Z9" s="111" t="inlineStr">
        <is>
          <t>PC</t>
        </is>
      </c>
      <c r="AA9" s="111" t="inlineStr">
        <is>
          <t>Nao</t>
        </is>
      </c>
      <c r="AB9" s="111" t="inlineStr">
        <is>
          <t>NAO_COMPUTADO</t>
        </is>
      </c>
      <c r="AC9" s="112" t="inlineStr">
        <is>
          <t>Estrutura Fase 1: sem impacto no VTA oficial</t>
        </is>
      </c>
    </row>
    <row r="10" ht="25.5" customHeight="1" s="289">
      <c r="A10" s="205" t="n"/>
      <c r="B10" s="207" t="n"/>
      <c r="C10" s="104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348" t="n"/>
      <c r="E10" s="349">
        <f>IF(C10="","",IFERROR(VLOOKUP(C10,parametros!$A$11:$E$15,5,0),""))</f>
        <v/>
      </c>
      <c r="F10" s="335">
        <f>IF(OR(D10="",E10=""),"",ROUND(D10*E10,2))</f>
        <v/>
      </c>
      <c r="G10" s="106" t="n"/>
      <c r="H10" s="350">
        <f>IF(G10="Sim",IF(OR(F10="",D10="",L10=""),"",IF(L10="Sim",ROUND(F10-D10,2),0)),0)</f>
        <v/>
      </c>
      <c r="I10" s="350">
        <f>IF(G10="Sim",0,IF(OR(F10="",L10=""),"",F10))</f>
        <v/>
      </c>
      <c r="J10" s="350">
        <f>IF(G10="Sim",0,IF(OR(F10="",D10="",L10=""),"",IF(L10="Sim",ROUND(F10-D10,2),0)))</f>
        <v/>
      </c>
      <c r="K10" s="97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10" t="inlineStr">
        <is>
          <t>Nao</t>
        </is>
      </c>
      <c r="W10" s="110" t="inlineStr">
        <is>
          <t>PC em analise</t>
        </is>
      </c>
      <c r="X10" s="110" t="inlineStr">
        <is>
          <t>Pedido de Compra</t>
        </is>
      </c>
      <c r="Y10" s="111" t="inlineStr">
        <is>
          <t>Impacto Potencial</t>
        </is>
      </c>
      <c r="Z10" s="111" t="inlineStr">
        <is>
          <t>PC</t>
        </is>
      </c>
      <c r="AA10" s="111" t="inlineStr">
        <is>
          <t>Nao</t>
        </is>
      </c>
      <c r="AB10" s="111" t="inlineStr">
        <is>
          <t>NAO_COMPUTADO</t>
        </is>
      </c>
      <c r="AC10" s="112" t="inlineStr">
        <is>
          <t>Estrutura Fase 1: sem impacto no VTA oficial</t>
        </is>
      </c>
    </row>
    <row r="11" ht="25.5" customHeight="1" s="289">
      <c r="A11" s="205" t="n"/>
      <c r="B11" s="207" t="n"/>
      <c r="C11" s="104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348" t="n"/>
      <c r="E11" s="349">
        <f>IF(C11="","",IFERROR(VLOOKUP(C11,parametros!$A$11:$E$15,5,0),""))</f>
        <v/>
      </c>
      <c r="F11" s="335">
        <f>IF(OR(D11="",E11=""),"",ROUND(D11*E11,2))</f>
        <v/>
      </c>
      <c r="G11" s="106" t="n"/>
      <c r="H11" s="350">
        <f>IF(G11="Sim",IF(OR(F11="",D11="",L11=""),"",IF(L11="Sim",ROUND(F11-D11,2),0)),0)</f>
        <v/>
      </c>
      <c r="I11" s="350">
        <f>IF(G11="Sim",0,IF(OR(F11="",L11=""),"",F11))</f>
        <v/>
      </c>
      <c r="J11" s="350">
        <f>IF(G11="Sim",0,IF(OR(F11="",D11="",L11=""),"",IF(L11="Sim",ROUND(F11-D11,2),0)))</f>
        <v/>
      </c>
      <c r="K11" s="97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10" t="inlineStr">
        <is>
          <t>Nao</t>
        </is>
      </c>
      <c r="W11" s="110" t="inlineStr">
        <is>
          <t>PC em analise</t>
        </is>
      </c>
      <c r="X11" s="110" t="inlineStr">
        <is>
          <t>Pedido de Compra</t>
        </is>
      </c>
      <c r="Y11" s="111" t="inlineStr">
        <is>
          <t>Impacto Potencial</t>
        </is>
      </c>
      <c r="Z11" s="111" t="inlineStr">
        <is>
          <t>PC</t>
        </is>
      </c>
      <c r="AA11" s="111" t="inlineStr">
        <is>
          <t>Nao</t>
        </is>
      </c>
      <c r="AB11" s="111" t="inlineStr">
        <is>
          <t>NAO_COMPUTADO</t>
        </is>
      </c>
      <c r="AC11" s="112" t="inlineStr">
        <is>
          <t>Estrutura Fase 1: sem impacto no VTA oficial</t>
        </is>
      </c>
    </row>
    <row r="12" ht="25.5" customHeight="1" s="289">
      <c r="A12" s="205" t="n"/>
      <c r="B12" s="207" t="n"/>
      <c r="C12" s="104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348" t="n"/>
      <c r="E12" s="349">
        <f>IF(C12="","",IFERROR(VLOOKUP(C12,parametros!$A$11:$E$15,5,0),""))</f>
        <v/>
      </c>
      <c r="F12" s="335">
        <f>IF(OR(D12="",E12=""),"",ROUND(D12*E12,2))</f>
        <v/>
      </c>
      <c r="G12" s="106" t="n"/>
      <c r="H12" s="350">
        <f>IF(G12="Sim",IF(OR(F12="",D12="",L12=""),"",IF(L12="Sim",ROUND(F12-D12,2),0)),0)</f>
        <v/>
      </c>
      <c r="I12" s="350">
        <f>IF(G12="Sim",0,IF(OR(F12="",L12=""),"",F12))</f>
        <v/>
      </c>
      <c r="J12" s="350">
        <f>IF(G12="Sim",0,IF(OR(F12="",D12="",L12=""),"",IF(L12="Sim",ROUND(F12-D12,2),0)))</f>
        <v/>
      </c>
      <c r="K12" s="97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10" t="inlineStr">
        <is>
          <t>Nao</t>
        </is>
      </c>
      <c r="W12" s="110" t="inlineStr">
        <is>
          <t>PC em analise</t>
        </is>
      </c>
      <c r="X12" s="110" t="inlineStr">
        <is>
          <t>Pedido de Compra</t>
        </is>
      </c>
      <c r="Y12" s="111" t="inlineStr">
        <is>
          <t>Impacto Potencial</t>
        </is>
      </c>
      <c r="Z12" s="111" t="inlineStr">
        <is>
          <t>PC</t>
        </is>
      </c>
      <c r="AA12" s="111" t="inlineStr">
        <is>
          <t>Nao</t>
        </is>
      </c>
      <c r="AB12" s="111" t="inlineStr">
        <is>
          <t>NAO_COMPUTADO</t>
        </is>
      </c>
      <c r="AC12" s="112" t="inlineStr">
        <is>
          <t>Estrutura Fase 1: sem impacto no VTA oficial</t>
        </is>
      </c>
    </row>
    <row r="13" ht="25.5" customHeight="1" s="289">
      <c r="A13" s="205" t="n"/>
      <c r="B13" s="207" t="n"/>
      <c r="C13" s="104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348" t="n"/>
      <c r="E13" s="349">
        <f>IF(C13="","",IFERROR(VLOOKUP(C13,parametros!$A$11:$E$15,5,0),""))</f>
        <v/>
      </c>
      <c r="F13" s="335">
        <f>IF(OR(D13="",E13=""),"",ROUND(D13*E13,2))</f>
        <v/>
      </c>
      <c r="G13" s="106" t="n"/>
      <c r="H13" s="350">
        <f>IF(G13="Sim",IF(OR(F13="",D13="",L13=""),"",IF(L13="Sim",ROUND(F13-D13,2),0)),0)</f>
        <v/>
      </c>
      <c r="I13" s="350">
        <f>IF(G13="Sim",0,IF(OR(F13="",L13=""),"",F13))</f>
        <v/>
      </c>
      <c r="J13" s="350">
        <f>IF(G13="Sim",0,IF(OR(F13="",D13="",L13=""),"",IF(L13="Sim",ROUND(F13-D13,2),0)))</f>
        <v/>
      </c>
      <c r="K13" s="97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10" t="inlineStr">
        <is>
          <t>Nao</t>
        </is>
      </c>
      <c r="W13" s="110" t="inlineStr">
        <is>
          <t>PC em analise</t>
        </is>
      </c>
      <c r="X13" s="110" t="inlineStr">
        <is>
          <t>Pedido de Compra</t>
        </is>
      </c>
      <c r="Y13" s="111" t="inlineStr">
        <is>
          <t>Impacto Potencial</t>
        </is>
      </c>
      <c r="Z13" s="111" t="inlineStr">
        <is>
          <t>PC</t>
        </is>
      </c>
      <c r="AA13" s="111" t="inlineStr">
        <is>
          <t>Nao</t>
        </is>
      </c>
      <c r="AB13" s="111" t="inlineStr">
        <is>
          <t>NAO_COMPUTADO</t>
        </is>
      </c>
      <c r="AC13" s="112" t="inlineStr">
        <is>
          <t>Estrutura Fase 1: sem impacto no VTA oficial</t>
        </is>
      </c>
    </row>
    <row r="14" ht="25.5" customHeight="1" s="289">
      <c r="A14" s="205" t="n"/>
      <c r="B14" s="207" t="n"/>
      <c r="C14" s="104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348" t="n"/>
      <c r="E14" s="349">
        <f>IF(C14="","",IFERROR(VLOOKUP(C14,parametros!$A$11:$E$15,5,0),""))</f>
        <v/>
      </c>
      <c r="F14" s="335">
        <f>IF(OR(D14="",E14=""),"",ROUND(D14*E14,2))</f>
        <v/>
      </c>
      <c r="G14" s="106" t="n"/>
      <c r="H14" s="350">
        <f>IF(G14="Sim",IF(OR(F14="",D14="",L14=""),"",IF(L14="Sim",ROUND(F14-D14,2),0)),0)</f>
        <v/>
      </c>
      <c r="I14" s="350">
        <f>IF(G14="Sim",0,IF(OR(F14="",L14=""),"",F14))</f>
        <v/>
      </c>
      <c r="J14" s="350">
        <f>IF(G14="Sim",0,IF(OR(F14="",D14="",L14=""),"",IF(L14="Sim",ROUND(F14-D14,2),0)))</f>
        <v/>
      </c>
      <c r="K14" s="97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10" t="inlineStr">
        <is>
          <t>Nao</t>
        </is>
      </c>
      <c r="W14" s="110" t="inlineStr">
        <is>
          <t>PC em analise</t>
        </is>
      </c>
      <c r="X14" s="110" t="inlineStr">
        <is>
          <t>Pedido de Compra</t>
        </is>
      </c>
      <c r="Y14" s="111" t="inlineStr">
        <is>
          <t>Impacto Potencial</t>
        </is>
      </c>
      <c r="Z14" s="111" t="inlineStr">
        <is>
          <t>PC</t>
        </is>
      </c>
      <c r="AA14" s="111" t="inlineStr">
        <is>
          <t>Nao</t>
        </is>
      </c>
      <c r="AB14" s="111" t="inlineStr">
        <is>
          <t>NAO_COMPUTADO</t>
        </is>
      </c>
      <c r="AC14" s="112" t="inlineStr">
        <is>
          <t>Estrutura Fase 1: sem impacto no VTA oficial</t>
        </is>
      </c>
    </row>
    <row r="15" ht="25.5" customHeight="1" s="289">
      <c r="A15" s="205" t="n"/>
      <c r="B15" s="207" t="n"/>
      <c r="C15" s="104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348" t="n"/>
      <c r="E15" s="349">
        <f>IF(C15="","",IFERROR(VLOOKUP(C15,parametros!$A$11:$E$15,5,0),""))</f>
        <v/>
      </c>
      <c r="F15" s="335">
        <f>IF(OR(D15="",E15=""),"",ROUND(D15*E15,2))</f>
        <v/>
      </c>
      <c r="G15" s="106" t="n"/>
      <c r="H15" s="350">
        <f>IF(G15="Sim",IF(OR(F15="",D15="",L15=""),"",IF(L15="Sim",ROUND(F15-D15,2),0)),0)</f>
        <v/>
      </c>
      <c r="I15" s="350">
        <f>IF(G15="Sim",0,IF(OR(F15="",L15=""),"",F15))</f>
        <v/>
      </c>
      <c r="J15" s="350">
        <f>IF(G15="Sim",0,IF(OR(F15="",D15="",L15=""),"",IF(L15="Sim",ROUND(F15-D15,2),0)))</f>
        <v/>
      </c>
      <c r="K15" s="97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10" t="inlineStr">
        <is>
          <t>Nao</t>
        </is>
      </c>
      <c r="W15" s="110" t="inlineStr">
        <is>
          <t>PC em analise</t>
        </is>
      </c>
      <c r="X15" s="110" t="inlineStr">
        <is>
          <t>Pedido de Compra</t>
        </is>
      </c>
      <c r="Y15" s="111" t="inlineStr">
        <is>
          <t>Impacto Potencial</t>
        </is>
      </c>
      <c r="Z15" s="111" t="inlineStr">
        <is>
          <t>PC</t>
        </is>
      </c>
      <c r="AA15" s="111" t="inlineStr">
        <is>
          <t>Nao</t>
        </is>
      </c>
      <c r="AB15" s="111" t="inlineStr">
        <is>
          <t>NAO_COMPUTADO</t>
        </is>
      </c>
      <c r="AC15" s="112" t="inlineStr">
        <is>
          <t>Estrutura Fase 1: sem impacto no VTA oficial</t>
        </is>
      </c>
    </row>
    <row r="16" ht="25.5" customHeight="1" s="289">
      <c r="A16" s="205" t="n"/>
      <c r="B16" s="207" t="n"/>
      <c r="C16" s="104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348" t="n"/>
      <c r="E16" s="349">
        <f>IF(C16="","",IFERROR(VLOOKUP(C16,parametros!$A$11:$E$15,5,0),""))</f>
        <v/>
      </c>
      <c r="F16" s="335">
        <f>IF(OR(D16="",E16=""),"",ROUND(D16*E16,2))</f>
        <v/>
      </c>
      <c r="G16" s="106" t="n"/>
      <c r="H16" s="350">
        <f>IF(G16="Sim",IF(OR(F16="",D16="",L16=""),"",IF(L16="Sim",ROUND(F16-D16,2),0)),0)</f>
        <v/>
      </c>
      <c r="I16" s="350">
        <f>IF(G16="Sim",0,IF(OR(F16="",L16=""),"",F16))</f>
        <v/>
      </c>
      <c r="J16" s="350">
        <f>IF(G16="Sim",0,IF(OR(F16="",D16="",L16=""),"",IF(L16="Sim",ROUND(F16-D16,2),0)))</f>
        <v/>
      </c>
      <c r="K16" s="97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10" t="inlineStr">
        <is>
          <t>Nao</t>
        </is>
      </c>
      <c r="W16" s="110" t="inlineStr">
        <is>
          <t>PC em analise</t>
        </is>
      </c>
      <c r="X16" s="110" t="inlineStr">
        <is>
          <t>Pedido de Compra</t>
        </is>
      </c>
      <c r="Y16" s="111" t="inlineStr">
        <is>
          <t>Impacto Potencial</t>
        </is>
      </c>
      <c r="Z16" s="111" t="inlineStr">
        <is>
          <t>PC</t>
        </is>
      </c>
      <c r="AA16" s="111" t="inlineStr">
        <is>
          <t>Nao</t>
        </is>
      </c>
      <c r="AB16" s="111" t="inlineStr">
        <is>
          <t>NAO_COMPUTADO</t>
        </is>
      </c>
      <c r="AC16" s="112" t="inlineStr">
        <is>
          <t>Estrutura Fase 1: sem impacto no VTA oficial</t>
        </is>
      </c>
    </row>
    <row r="17" ht="25.5" customHeight="1" s="289">
      <c r="A17" s="205" t="n"/>
      <c r="B17" s="207" t="n"/>
      <c r="C17" s="104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348" t="n"/>
      <c r="E17" s="349">
        <f>IF(C17="","",IFERROR(VLOOKUP(C17,parametros!$A$11:$E$15,5,0),""))</f>
        <v/>
      </c>
      <c r="F17" s="335">
        <f>IF(OR(D17="",E17=""),"",ROUND(D17*E17,2))</f>
        <v/>
      </c>
      <c r="G17" s="106" t="n"/>
      <c r="H17" s="350">
        <f>IF(G17="Sim",IF(OR(F17="",D17="",L17=""),"",IF(L17="Sim",ROUND(F17-D17,2),0)),0)</f>
        <v/>
      </c>
      <c r="I17" s="350">
        <f>IF(G17="Sim",0,IF(OR(F17="",L17=""),"",F17))</f>
        <v/>
      </c>
      <c r="J17" s="350">
        <f>IF(G17="Sim",0,IF(OR(F17="",D17="",L17=""),"",IF(L17="Sim",ROUND(F17-D17,2),0)))</f>
        <v/>
      </c>
      <c r="K17" s="97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10" t="inlineStr">
        <is>
          <t>Nao</t>
        </is>
      </c>
      <c r="W17" s="110" t="inlineStr">
        <is>
          <t>PC em analise</t>
        </is>
      </c>
      <c r="X17" s="110" t="inlineStr">
        <is>
          <t>Pedido de Compra</t>
        </is>
      </c>
      <c r="Y17" s="111" t="inlineStr">
        <is>
          <t>Impacto Potencial</t>
        </is>
      </c>
      <c r="Z17" s="111" t="inlineStr">
        <is>
          <t>PC</t>
        </is>
      </c>
      <c r="AA17" s="111" t="inlineStr">
        <is>
          <t>Nao</t>
        </is>
      </c>
      <c r="AB17" s="111" t="inlineStr">
        <is>
          <t>NAO_COMPUTADO</t>
        </is>
      </c>
      <c r="AC17" s="112" t="inlineStr">
        <is>
          <t>Estrutura Fase 1: sem impacto no VTA oficial</t>
        </is>
      </c>
    </row>
    <row r="18" ht="25.5" customHeight="1" s="289">
      <c r="A18" s="205" t="n"/>
      <c r="B18" s="207" t="n"/>
      <c r="C18" s="104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348" t="n"/>
      <c r="E18" s="349">
        <f>IF(C18="","",IFERROR(VLOOKUP(C18,parametros!$A$11:$E$15,5,0),""))</f>
        <v/>
      </c>
      <c r="F18" s="335">
        <f>IF(OR(D18="",E18=""),"",ROUND(D18*E18,2))</f>
        <v/>
      </c>
      <c r="G18" s="106" t="n"/>
      <c r="H18" s="350">
        <f>IF(G18="Sim",IF(OR(F18="",D18="",L18=""),"",IF(L18="Sim",ROUND(F18-D18,2),0)),0)</f>
        <v/>
      </c>
      <c r="I18" s="350">
        <f>IF(G18="Sim",0,IF(OR(F18="",L18=""),"",F18))</f>
        <v/>
      </c>
      <c r="J18" s="350">
        <f>IF(G18="Sim",0,IF(OR(F18="",D18="",L18=""),"",IF(L18="Sim",ROUND(F18-D18,2),0)))</f>
        <v/>
      </c>
      <c r="K18" s="97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10" t="inlineStr">
        <is>
          <t>Nao</t>
        </is>
      </c>
      <c r="W18" s="110" t="inlineStr">
        <is>
          <t>PC em analise</t>
        </is>
      </c>
      <c r="X18" s="110" t="inlineStr">
        <is>
          <t>Pedido de Compra</t>
        </is>
      </c>
      <c r="Y18" s="111" t="inlineStr">
        <is>
          <t>Impacto Potencial</t>
        </is>
      </c>
      <c r="Z18" s="111" t="inlineStr">
        <is>
          <t>PC</t>
        </is>
      </c>
      <c r="AA18" s="111" t="inlineStr">
        <is>
          <t>Nao</t>
        </is>
      </c>
      <c r="AB18" s="111" t="inlineStr">
        <is>
          <t>NAO_COMPUTADO</t>
        </is>
      </c>
      <c r="AC18" s="112" t="inlineStr">
        <is>
          <t>Estrutura Fase 1: sem impacto no VTA oficial</t>
        </is>
      </c>
    </row>
    <row r="19" ht="25.5" customHeight="1" s="289">
      <c r="A19" s="205" t="n"/>
      <c r="B19" s="207" t="n"/>
      <c r="C19" s="104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348" t="n"/>
      <c r="E19" s="349">
        <f>IF(C19="","",IFERROR(VLOOKUP(C19,parametros!$A$11:$E$15,5,0),""))</f>
        <v/>
      </c>
      <c r="F19" s="335">
        <f>IF(OR(D19="",E19=""),"",ROUND(D19*E19,2))</f>
        <v/>
      </c>
      <c r="G19" s="106" t="n"/>
      <c r="H19" s="350">
        <f>IF(G19="Sim",IF(OR(F19="",D19="",L19=""),"",IF(L19="Sim",ROUND(F19-D19,2),0)),0)</f>
        <v/>
      </c>
      <c r="I19" s="350">
        <f>IF(G19="Sim",0,IF(OR(F19="",L19=""),"",F19))</f>
        <v/>
      </c>
      <c r="J19" s="350">
        <f>IF(G19="Sim",0,IF(OR(F19="",D19="",L19=""),"",IF(L19="Sim",ROUND(F19-D19,2),0)))</f>
        <v/>
      </c>
      <c r="K19" s="97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10" t="inlineStr">
        <is>
          <t>Nao</t>
        </is>
      </c>
      <c r="W19" s="110" t="inlineStr">
        <is>
          <t>PC em analise</t>
        </is>
      </c>
      <c r="X19" s="110" t="inlineStr">
        <is>
          <t>Pedido de Compra</t>
        </is>
      </c>
      <c r="Y19" s="111" t="inlineStr">
        <is>
          <t>Impacto Potencial</t>
        </is>
      </c>
      <c r="Z19" s="111" t="inlineStr">
        <is>
          <t>PC</t>
        </is>
      </c>
      <c r="AA19" s="111" t="inlineStr">
        <is>
          <t>Nao</t>
        </is>
      </c>
      <c r="AB19" s="111" t="inlineStr">
        <is>
          <t>NAO_COMPUTADO</t>
        </is>
      </c>
      <c r="AC19" s="112" t="inlineStr">
        <is>
          <t>Estrutura Fase 1: sem impacto no VTA oficial</t>
        </is>
      </c>
    </row>
    <row r="20" ht="25.5" customHeight="1" s="289">
      <c r="A20" s="205" t="n"/>
      <c r="B20" s="207" t="n"/>
      <c r="C20" s="104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348" t="n"/>
      <c r="E20" s="349">
        <f>IF(C20="","",IFERROR(VLOOKUP(C20,parametros!$A$11:$E$15,5,0),""))</f>
        <v/>
      </c>
      <c r="F20" s="335">
        <f>IF(OR(D20="",E20=""),"",ROUND(D20*E20,2))</f>
        <v/>
      </c>
      <c r="G20" s="106" t="n"/>
      <c r="H20" s="350">
        <f>IF(G20="Sim",IF(OR(F20="",D20="",L20=""),"",IF(L20="Sim",ROUND(F20-D20,2),0)),0)</f>
        <v/>
      </c>
      <c r="I20" s="350">
        <f>IF(G20="Sim",0,IF(OR(F20="",L20=""),"",F20))</f>
        <v/>
      </c>
      <c r="J20" s="350">
        <f>IF(G20="Sim",0,IF(OR(F20="",D20="",L20=""),"",IF(L20="Sim",ROUND(F20-D20,2),0)))</f>
        <v/>
      </c>
      <c r="K20" s="97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10" t="inlineStr">
        <is>
          <t>Nao</t>
        </is>
      </c>
      <c r="W20" s="110" t="inlineStr">
        <is>
          <t>PC em analise</t>
        </is>
      </c>
      <c r="X20" s="110" t="inlineStr">
        <is>
          <t>Pedido de Compra</t>
        </is>
      </c>
      <c r="Y20" s="111" t="inlineStr">
        <is>
          <t>Impacto Potencial</t>
        </is>
      </c>
      <c r="Z20" s="111" t="inlineStr">
        <is>
          <t>PC</t>
        </is>
      </c>
      <c r="AA20" s="111" t="inlineStr">
        <is>
          <t>Nao</t>
        </is>
      </c>
      <c r="AB20" s="111" t="inlineStr">
        <is>
          <t>NAO_COMPUTADO</t>
        </is>
      </c>
      <c r="AC20" s="112" t="inlineStr">
        <is>
          <t>Estrutura Fase 1: sem impacto no VTA oficial</t>
        </is>
      </c>
    </row>
    <row r="21" ht="25.5" customHeight="1" s="289">
      <c r="A21" s="205" t="n"/>
      <c r="B21" s="207" t="n"/>
      <c r="C21" s="104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348" t="n"/>
      <c r="E21" s="349">
        <f>IF(C21="","",IFERROR(VLOOKUP(C21,parametros!$A$11:$E$15,5,0),""))</f>
        <v/>
      </c>
      <c r="F21" s="335">
        <f>IF(OR(D21="",E21=""),"",ROUND(D21*E21,2))</f>
        <v/>
      </c>
      <c r="G21" s="106" t="n"/>
      <c r="H21" s="350">
        <f>IF(G21="Sim",IF(OR(F21="",D21="",L21=""),"",IF(L21="Sim",ROUND(F21-D21,2),0)),0)</f>
        <v/>
      </c>
      <c r="I21" s="350">
        <f>IF(G21="Sim",0,IF(OR(F21="",L21=""),"",F21))</f>
        <v/>
      </c>
      <c r="J21" s="350">
        <f>IF(G21="Sim",0,IF(OR(F21="",D21="",L21=""),"",IF(L21="Sim",ROUND(F21-D21,2),0)))</f>
        <v/>
      </c>
      <c r="K21" s="97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10" t="inlineStr">
        <is>
          <t>Nao</t>
        </is>
      </c>
      <c r="W21" s="110" t="inlineStr">
        <is>
          <t>PC em analise</t>
        </is>
      </c>
      <c r="X21" s="110" t="inlineStr">
        <is>
          <t>Pedido de Compra</t>
        </is>
      </c>
      <c r="Y21" s="111" t="inlineStr">
        <is>
          <t>Impacto Potencial</t>
        </is>
      </c>
      <c r="Z21" s="111" t="inlineStr">
        <is>
          <t>PC</t>
        </is>
      </c>
      <c r="AA21" s="111" t="inlineStr">
        <is>
          <t>Nao</t>
        </is>
      </c>
      <c r="AB21" s="111" t="inlineStr">
        <is>
          <t>NAO_COMPUTADO</t>
        </is>
      </c>
      <c r="AC21" s="112" t="inlineStr">
        <is>
          <t>Estrutura Fase 1: sem impacto no VTA oficial</t>
        </is>
      </c>
    </row>
    <row r="22" ht="25.5" customHeight="1" s="289">
      <c r="A22" s="205" t="n"/>
      <c r="B22" s="207" t="n"/>
      <c r="C22" s="104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348" t="n"/>
      <c r="E22" s="349">
        <f>IF(C22="","",IFERROR(VLOOKUP(C22,parametros!$A$11:$E$15,5,0),""))</f>
        <v/>
      </c>
      <c r="F22" s="335">
        <f>IF(OR(D22="",E22=""),"",ROUND(D22*E22,2))</f>
        <v/>
      </c>
      <c r="G22" s="106" t="n"/>
      <c r="H22" s="350">
        <f>IF(G22="Sim",IF(OR(F22="",D22="",L22=""),"",IF(L22="Sim",ROUND(F22-D22,2),0)),0)</f>
        <v/>
      </c>
      <c r="I22" s="350">
        <f>IF(G22="Sim",0,IF(OR(F22="",L22=""),"",F22))</f>
        <v/>
      </c>
      <c r="J22" s="350">
        <f>IF(G22="Sim",0,IF(OR(F22="",D22="",L22=""),"",IF(L22="Sim",ROUND(F22-D22,2),0)))</f>
        <v/>
      </c>
      <c r="K22" s="97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10" t="inlineStr">
        <is>
          <t>Nao</t>
        </is>
      </c>
      <c r="W22" s="110" t="inlineStr">
        <is>
          <t>PC em analise</t>
        </is>
      </c>
      <c r="X22" s="110" t="inlineStr">
        <is>
          <t>Pedido de Compra</t>
        </is>
      </c>
      <c r="Y22" s="111" t="inlineStr">
        <is>
          <t>Impacto Potencial</t>
        </is>
      </c>
      <c r="Z22" s="111" t="inlineStr">
        <is>
          <t>PC</t>
        </is>
      </c>
      <c r="AA22" s="111" t="inlineStr">
        <is>
          <t>Nao</t>
        </is>
      </c>
      <c r="AB22" s="111" t="inlineStr">
        <is>
          <t>NAO_COMPUTADO</t>
        </is>
      </c>
      <c r="AC22" s="112" t="inlineStr">
        <is>
          <t>Estrutura Fase 1: sem impacto no VTA oficial</t>
        </is>
      </c>
    </row>
    <row r="23" ht="25.5" customHeight="1" s="289">
      <c r="A23" s="205" t="n"/>
      <c r="B23" s="207" t="n"/>
      <c r="C23" s="104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348" t="n"/>
      <c r="E23" s="349">
        <f>IF(C23="","",IFERROR(VLOOKUP(C23,parametros!$A$11:$E$15,5,0),""))</f>
        <v/>
      </c>
      <c r="F23" s="335">
        <f>IF(OR(D23="",E23=""),"",ROUND(D23*E23,2))</f>
        <v/>
      </c>
      <c r="G23" s="106" t="n"/>
      <c r="H23" s="350">
        <f>IF(G23="Sim",IF(OR(F23="",D23="",L23=""),"",IF(L23="Sim",ROUND(F23-D23,2),0)),0)</f>
        <v/>
      </c>
      <c r="I23" s="350">
        <f>IF(G23="Sim",0,IF(OR(F23="",L23=""),"",F23))</f>
        <v/>
      </c>
      <c r="J23" s="350">
        <f>IF(G23="Sim",0,IF(OR(F23="",D23="",L23=""),"",IF(L23="Sim",ROUND(F23-D23,2),0)))</f>
        <v/>
      </c>
      <c r="K23" s="97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10" t="inlineStr">
        <is>
          <t>Nao</t>
        </is>
      </c>
      <c r="W23" s="110" t="inlineStr">
        <is>
          <t>PC em analise</t>
        </is>
      </c>
      <c r="X23" s="110" t="inlineStr">
        <is>
          <t>Pedido de Compra</t>
        </is>
      </c>
      <c r="Y23" s="111" t="inlineStr">
        <is>
          <t>Impacto Potencial</t>
        </is>
      </c>
      <c r="Z23" s="111" t="inlineStr">
        <is>
          <t>PC</t>
        </is>
      </c>
      <c r="AA23" s="111" t="inlineStr">
        <is>
          <t>Nao</t>
        </is>
      </c>
      <c r="AB23" s="111" t="inlineStr">
        <is>
          <t>NAO_COMPUTADO</t>
        </is>
      </c>
      <c r="AC23" s="112" t="inlineStr">
        <is>
          <t>Estrutura Fase 1: sem impacto no VTA oficial</t>
        </is>
      </c>
    </row>
    <row r="24" ht="25.5" customHeight="1" s="289">
      <c r="A24" s="205" t="n"/>
      <c r="B24" s="207" t="n"/>
      <c r="C24" s="104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348" t="n"/>
      <c r="E24" s="349">
        <f>IF(C24="","",IFERROR(VLOOKUP(C24,parametros!$A$11:$E$15,5,0),""))</f>
        <v/>
      </c>
      <c r="F24" s="335">
        <f>IF(OR(D24="",E24=""),"",ROUND(D24*E24,2))</f>
        <v/>
      </c>
      <c r="G24" s="106" t="n"/>
      <c r="H24" s="350">
        <f>IF(G24="Sim",IF(OR(F24="",D24="",L24=""),"",IF(L24="Sim",ROUND(F24-D24,2),0)),0)</f>
        <v/>
      </c>
      <c r="I24" s="350">
        <f>IF(G24="Sim",0,IF(OR(F24="",L24=""),"",F24))</f>
        <v/>
      </c>
      <c r="J24" s="350">
        <f>IF(G24="Sim",0,IF(OR(F24="",D24="",L24=""),"",IF(L24="Sim",ROUND(F24-D24,2),0)))</f>
        <v/>
      </c>
      <c r="K24" s="97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10" t="inlineStr">
        <is>
          <t>Nao</t>
        </is>
      </c>
      <c r="W24" s="110" t="inlineStr">
        <is>
          <t>PC em analise</t>
        </is>
      </c>
      <c r="X24" s="110" t="inlineStr">
        <is>
          <t>Pedido de Compra</t>
        </is>
      </c>
      <c r="Y24" s="111" t="inlineStr">
        <is>
          <t>Impacto Potencial</t>
        </is>
      </c>
      <c r="Z24" s="111" t="inlineStr">
        <is>
          <t>PC</t>
        </is>
      </c>
      <c r="AA24" s="111" t="inlineStr">
        <is>
          <t>Nao</t>
        </is>
      </c>
      <c r="AB24" s="111" t="inlineStr">
        <is>
          <t>NAO_COMPUTADO</t>
        </is>
      </c>
      <c r="AC24" s="112" t="inlineStr">
        <is>
          <t>Estrutura Fase 1: sem impacto no VTA oficial</t>
        </is>
      </c>
    </row>
    <row r="25" ht="25.5" customHeight="1" s="289">
      <c r="A25" s="205" t="n"/>
      <c r="B25" s="207" t="n"/>
      <c r="C25" s="104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348" t="n"/>
      <c r="E25" s="349">
        <f>IF(C25="","",IFERROR(VLOOKUP(C25,parametros!$A$11:$E$15,5,0),""))</f>
        <v/>
      </c>
      <c r="F25" s="335">
        <f>IF(OR(D25="",E25=""),"",ROUND(D25*E25,2))</f>
        <v/>
      </c>
      <c r="G25" s="106" t="n"/>
      <c r="H25" s="350">
        <f>IF(G25="Sim",IF(OR(F25="",D25="",L25=""),"",IF(L25="Sim",ROUND(F25-D25,2),0)),0)</f>
        <v/>
      </c>
      <c r="I25" s="350">
        <f>IF(G25="Sim",0,IF(OR(F25="",L25=""),"",F25))</f>
        <v/>
      </c>
      <c r="J25" s="350">
        <f>IF(G25="Sim",0,IF(OR(F25="",D25="",L25=""),"",IF(L25="Sim",ROUND(F25-D25,2),0)))</f>
        <v/>
      </c>
      <c r="K25" s="97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10" t="inlineStr">
        <is>
          <t>Nao</t>
        </is>
      </c>
      <c r="W25" s="110" t="inlineStr">
        <is>
          <t>PC em analise</t>
        </is>
      </c>
      <c r="X25" s="110" t="inlineStr">
        <is>
          <t>Pedido de Compra</t>
        </is>
      </c>
      <c r="Y25" s="111" t="inlineStr">
        <is>
          <t>Impacto Potencial</t>
        </is>
      </c>
      <c r="Z25" s="111" t="inlineStr">
        <is>
          <t>PC</t>
        </is>
      </c>
      <c r="AA25" s="111" t="inlineStr">
        <is>
          <t>Nao</t>
        </is>
      </c>
      <c r="AB25" s="111" t="inlineStr">
        <is>
          <t>NAO_COMPUTADO</t>
        </is>
      </c>
      <c r="AC25" s="112" t="inlineStr">
        <is>
          <t>Estrutura Fase 1: sem impacto no VTA oficial</t>
        </is>
      </c>
    </row>
    <row r="26" ht="25.5" customHeight="1" s="289">
      <c r="A26" s="205" t="n"/>
      <c r="B26" s="207" t="n"/>
      <c r="C26" s="104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348" t="n"/>
      <c r="E26" s="349">
        <f>IF(C26="","",IFERROR(VLOOKUP(C26,parametros!$A$11:$E$15,5,0),""))</f>
        <v/>
      </c>
      <c r="F26" s="335">
        <f>IF(OR(D26="",E26=""),"",ROUND(D26*E26,2))</f>
        <v/>
      </c>
      <c r="G26" s="106" t="n"/>
      <c r="H26" s="350">
        <f>IF(G26="Sim",IF(OR(F26="",D26="",L26=""),"",IF(L26="Sim",ROUND(F26-D26,2),0)),0)</f>
        <v/>
      </c>
      <c r="I26" s="350">
        <f>IF(G26="Sim",0,IF(OR(F26="",L26=""),"",F26))</f>
        <v/>
      </c>
      <c r="J26" s="350">
        <f>IF(G26="Sim",0,IF(OR(F26="",D26="",L26=""),"",IF(L26="Sim",ROUND(F26-D26,2),0)))</f>
        <v/>
      </c>
      <c r="K26" s="97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10" t="inlineStr">
        <is>
          <t>Nao</t>
        </is>
      </c>
      <c r="W26" s="110" t="inlineStr">
        <is>
          <t>PC em analise</t>
        </is>
      </c>
      <c r="X26" s="110" t="inlineStr">
        <is>
          <t>Pedido de Compra</t>
        </is>
      </c>
      <c r="Y26" s="111" t="inlineStr">
        <is>
          <t>Impacto Potencial</t>
        </is>
      </c>
      <c r="Z26" s="111" t="inlineStr">
        <is>
          <t>PC</t>
        </is>
      </c>
      <c r="AA26" s="111" t="inlineStr">
        <is>
          <t>Nao</t>
        </is>
      </c>
      <c r="AB26" s="111" t="inlineStr">
        <is>
          <t>NAO_COMPUTADO</t>
        </is>
      </c>
      <c r="AC26" s="112" t="inlineStr">
        <is>
          <t>Estrutura Fase 1: sem impacto no VTA oficial</t>
        </is>
      </c>
    </row>
    <row r="27" ht="25.5" customHeight="1" s="289">
      <c r="A27" s="205" t="n"/>
      <c r="B27" s="207" t="n"/>
      <c r="C27" s="104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348" t="n"/>
      <c r="E27" s="349">
        <f>IF(C27="","",IFERROR(VLOOKUP(C27,parametros!$A$11:$E$15,5,0),""))</f>
        <v/>
      </c>
      <c r="F27" s="335">
        <f>IF(OR(D27="",E27=""),"",ROUND(D27*E27,2))</f>
        <v/>
      </c>
      <c r="G27" s="106" t="n"/>
      <c r="H27" s="350">
        <f>IF(G27="Sim",IF(OR(F27="",D27="",L27=""),"",IF(L27="Sim",ROUND(F27-D27,2),0)),0)</f>
        <v/>
      </c>
      <c r="I27" s="350">
        <f>IF(G27="Sim",0,IF(OR(F27="",L27=""),"",F27))</f>
        <v/>
      </c>
      <c r="J27" s="350">
        <f>IF(G27="Sim",0,IF(OR(F27="",D27="",L27=""),"",IF(L27="Sim",ROUND(F27-D27,2),0)))</f>
        <v/>
      </c>
      <c r="K27" s="97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10" t="inlineStr">
        <is>
          <t>Nao</t>
        </is>
      </c>
      <c r="W27" s="110" t="inlineStr">
        <is>
          <t>PC em analise</t>
        </is>
      </c>
      <c r="X27" s="110" t="inlineStr">
        <is>
          <t>Pedido de Compra</t>
        </is>
      </c>
      <c r="Y27" s="111" t="inlineStr">
        <is>
          <t>Impacto Potencial</t>
        </is>
      </c>
      <c r="Z27" s="111" t="inlineStr">
        <is>
          <t>PC</t>
        </is>
      </c>
      <c r="AA27" s="111" t="inlineStr">
        <is>
          <t>Nao</t>
        </is>
      </c>
      <c r="AB27" s="111" t="inlineStr">
        <is>
          <t>NAO_COMPUTADO</t>
        </is>
      </c>
      <c r="AC27" s="112" t="inlineStr">
        <is>
          <t>Estrutura Fase 1: sem impacto no VTA oficial</t>
        </is>
      </c>
    </row>
    <row r="28" ht="25.5" customHeight="1" s="289">
      <c r="A28" s="205" t="n"/>
      <c r="B28" s="207" t="n"/>
      <c r="C28" s="104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348" t="n"/>
      <c r="E28" s="349">
        <f>IF(C28="","",IFERROR(VLOOKUP(C28,parametros!$A$11:$E$15,5,0),""))</f>
        <v/>
      </c>
      <c r="F28" s="335">
        <f>IF(OR(D28="",E28=""),"",ROUND(D28*E28,2))</f>
        <v/>
      </c>
      <c r="G28" s="106" t="n"/>
      <c r="H28" s="350">
        <f>IF(G28="Sim",IF(OR(F28="",D28="",L28=""),"",IF(L28="Sim",ROUND(F28-D28,2),0)),0)</f>
        <v/>
      </c>
      <c r="I28" s="350">
        <f>IF(G28="Sim",0,IF(OR(F28="",L28=""),"",F28))</f>
        <v/>
      </c>
      <c r="J28" s="350">
        <f>IF(G28="Sim",0,IF(OR(F28="",D28="",L28=""),"",IF(L28="Sim",ROUND(F28-D28,2),0)))</f>
        <v/>
      </c>
      <c r="K28" s="97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10" t="inlineStr">
        <is>
          <t>Nao</t>
        </is>
      </c>
      <c r="W28" s="110" t="inlineStr">
        <is>
          <t>PC em analise</t>
        </is>
      </c>
      <c r="X28" s="110" t="inlineStr">
        <is>
          <t>Pedido de Compra</t>
        </is>
      </c>
      <c r="Y28" s="111" t="inlineStr">
        <is>
          <t>Impacto Potencial</t>
        </is>
      </c>
      <c r="Z28" s="111" t="inlineStr">
        <is>
          <t>PC</t>
        </is>
      </c>
      <c r="AA28" s="111" t="inlineStr">
        <is>
          <t>Nao</t>
        </is>
      </c>
      <c r="AB28" s="111" t="inlineStr">
        <is>
          <t>NAO_COMPUTADO</t>
        </is>
      </c>
      <c r="AC28" s="112" t="inlineStr">
        <is>
          <t>Estrutura Fase 1: sem impacto no VTA oficial</t>
        </is>
      </c>
    </row>
    <row r="29" ht="25.5" customHeight="1" s="289">
      <c r="A29" s="205" t="n"/>
      <c r="B29" s="207" t="n"/>
      <c r="C29" s="104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348" t="n"/>
      <c r="E29" s="349">
        <f>IF(C29="","",IFERROR(VLOOKUP(C29,parametros!$A$11:$E$15,5,0),""))</f>
        <v/>
      </c>
      <c r="F29" s="335">
        <f>IF(OR(D29="",E29=""),"",ROUND(D29*E29,2))</f>
        <v/>
      </c>
      <c r="G29" s="106" t="n"/>
      <c r="H29" s="350">
        <f>IF(G29="Sim",IF(OR(F29="",D29="",L29=""),"",IF(L29="Sim",ROUND(F29-D29,2),0)),0)</f>
        <v/>
      </c>
      <c r="I29" s="350">
        <f>IF(G29="Sim",0,IF(OR(F29="",L29=""),"",F29))</f>
        <v/>
      </c>
      <c r="J29" s="350">
        <f>IF(G29="Sim",0,IF(OR(F29="",D29="",L29=""),"",IF(L29="Sim",ROUND(F29-D29,2),0)))</f>
        <v/>
      </c>
      <c r="K29" s="97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10" t="inlineStr">
        <is>
          <t>Nao</t>
        </is>
      </c>
      <c r="W29" s="110" t="inlineStr">
        <is>
          <t>PC em analise</t>
        </is>
      </c>
      <c r="X29" s="110" t="inlineStr">
        <is>
          <t>Pedido de Compra</t>
        </is>
      </c>
      <c r="Y29" s="111" t="inlineStr">
        <is>
          <t>Impacto Potencial</t>
        </is>
      </c>
      <c r="Z29" s="111" t="inlineStr">
        <is>
          <t>PC</t>
        </is>
      </c>
      <c r="AA29" s="111" t="inlineStr">
        <is>
          <t>Nao</t>
        </is>
      </c>
      <c r="AB29" s="111" t="inlineStr">
        <is>
          <t>NAO_COMPUTADO</t>
        </is>
      </c>
      <c r="AC29" s="112" t="inlineStr">
        <is>
          <t>Estrutura Fase 1: sem impacto no VTA oficial</t>
        </is>
      </c>
    </row>
    <row r="30" ht="25.5" customHeight="1" s="289">
      <c r="A30" s="205" t="n"/>
      <c r="B30" s="207" t="n"/>
      <c r="C30" s="104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348" t="n"/>
      <c r="E30" s="349">
        <f>IF(C30="","",IFERROR(VLOOKUP(C30,parametros!$A$11:$E$15,5,0),""))</f>
        <v/>
      </c>
      <c r="F30" s="335">
        <f>IF(OR(D30="",E30=""),"",ROUND(D30*E30,2))</f>
        <v/>
      </c>
      <c r="G30" s="106" t="n"/>
      <c r="H30" s="350">
        <f>IF(G30="Sim",IF(OR(F30="",D30="",L30=""),"",IF(L30="Sim",ROUND(F30-D30,2),0)),0)</f>
        <v/>
      </c>
      <c r="I30" s="350">
        <f>IF(G30="Sim",0,IF(OR(F30="",L30=""),"",F30))</f>
        <v/>
      </c>
      <c r="J30" s="350">
        <f>IF(G30="Sim",0,IF(OR(F30="",D30="",L30=""),"",IF(L30="Sim",ROUND(F30-D30,2),0)))</f>
        <v/>
      </c>
      <c r="K30" s="97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10" t="inlineStr">
        <is>
          <t>Nao</t>
        </is>
      </c>
      <c r="W30" s="110" t="inlineStr">
        <is>
          <t>PC em analise</t>
        </is>
      </c>
      <c r="X30" s="110" t="inlineStr">
        <is>
          <t>Pedido de Compra</t>
        </is>
      </c>
      <c r="Y30" s="111" t="inlineStr">
        <is>
          <t>Impacto Potencial</t>
        </is>
      </c>
      <c r="Z30" s="111" t="inlineStr">
        <is>
          <t>PC</t>
        </is>
      </c>
      <c r="AA30" s="111" t="inlineStr">
        <is>
          <t>Nao</t>
        </is>
      </c>
      <c r="AB30" s="111" t="inlineStr">
        <is>
          <t>NAO_COMPUTADO</t>
        </is>
      </c>
      <c r="AC30" s="112" t="inlineStr">
        <is>
          <t>Estrutura Fase 1: sem impacto no VTA oficial</t>
        </is>
      </c>
    </row>
    <row r="31" ht="25.5" customHeight="1" s="289">
      <c r="A31" s="205" t="n"/>
      <c r="B31" s="207" t="n"/>
      <c r="C31" s="104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348" t="n"/>
      <c r="E31" s="349">
        <f>IF(C31="","",IFERROR(VLOOKUP(C31,parametros!$A$11:$E$15,5,0),""))</f>
        <v/>
      </c>
      <c r="F31" s="335">
        <f>IF(OR(D31="",E31=""),"",ROUND(D31*E31,2))</f>
        <v/>
      </c>
      <c r="G31" s="106" t="n"/>
      <c r="H31" s="350">
        <f>IF(G31="Sim",IF(OR(F31="",D31="",L31=""),"",IF(L31="Sim",ROUND(F31-D31,2),0)),0)</f>
        <v/>
      </c>
      <c r="I31" s="350">
        <f>IF(G31="Sim",0,IF(OR(F31="",L31=""),"",F31))</f>
        <v/>
      </c>
      <c r="J31" s="350">
        <f>IF(G31="Sim",0,IF(OR(F31="",D31="",L31=""),"",IF(L31="Sim",ROUND(F31-D31,2),0)))</f>
        <v/>
      </c>
      <c r="K31" s="97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10" t="inlineStr">
        <is>
          <t>Nao</t>
        </is>
      </c>
      <c r="W31" s="110" t="inlineStr">
        <is>
          <t>PC em analise</t>
        </is>
      </c>
      <c r="X31" s="110" t="inlineStr">
        <is>
          <t>Pedido de Compra</t>
        </is>
      </c>
      <c r="Y31" s="111" t="inlineStr">
        <is>
          <t>Impacto Potencial</t>
        </is>
      </c>
      <c r="Z31" s="111" t="inlineStr">
        <is>
          <t>PC</t>
        </is>
      </c>
      <c r="AA31" s="111" t="inlineStr">
        <is>
          <t>Nao</t>
        </is>
      </c>
      <c r="AB31" s="111" t="inlineStr">
        <is>
          <t>NAO_COMPUTADO</t>
        </is>
      </c>
      <c r="AC31" s="112" t="inlineStr">
        <is>
          <t>Estrutura Fase 1: sem impacto no VTA oficial</t>
        </is>
      </c>
    </row>
    <row r="32" ht="25.5" customHeight="1" s="289">
      <c r="A32" s="205" t="n"/>
      <c r="B32" s="207" t="n"/>
      <c r="C32" s="104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348" t="n"/>
      <c r="E32" s="349">
        <f>IF(C32="","",IFERROR(VLOOKUP(C32,parametros!$A$11:$E$15,5,0),""))</f>
        <v/>
      </c>
      <c r="F32" s="335">
        <f>IF(OR(D32="",E32=""),"",ROUND(D32*E32,2))</f>
        <v/>
      </c>
      <c r="G32" s="106" t="n"/>
      <c r="H32" s="350">
        <f>IF(G32="Sim",IF(OR(F32="",D32="",L32=""),"",IF(L32="Sim",ROUND(F32-D32,2),0)),0)</f>
        <v/>
      </c>
      <c r="I32" s="350">
        <f>IF(G32="Sim",0,IF(OR(F32="",L32=""),"",F32))</f>
        <v/>
      </c>
      <c r="J32" s="350">
        <f>IF(G32="Sim",0,IF(OR(F32="",D32="",L32=""),"",IF(L32="Sim",ROUND(F32-D32,2),0)))</f>
        <v/>
      </c>
      <c r="K32" s="97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10" t="inlineStr">
        <is>
          <t>Nao</t>
        </is>
      </c>
      <c r="W32" s="110" t="inlineStr">
        <is>
          <t>PC em analise</t>
        </is>
      </c>
      <c r="X32" s="110" t="inlineStr">
        <is>
          <t>Pedido de Compra</t>
        </is>
      </c>
      <c r="Y32" s="111" t="inlineStr">
        <is>
          <t>Impacto Potencial</t>
        </is>
      </c>
      <c r="Z32" s="111" t="inlineStr">
        <is>
          <t>PC</t>
        </is>
      </c>
      <c r="AA32" s="111" t="inlineStr">
        <is>
          <t>Nao</t>
        </is>
      </c>
      <c r="AB32" s="111" t="inlineStr">
        <is>
          <t>NAO_COMPUTADO</t>
        </is>
      </c>
      <c r="AC32" s="112" t="inlineStr">
        <is>
          <t>Estrutura Fase 1: sem impacto no VTA oficial</t>
        </is>
      </c>
    </row>
    <row r="33" ht="25.5" customHeight="1" s="289">
      <c r="A33" s="205" t="n"/>
      <c r="B33" s="207" t="n"/>
      <c r="C33" s="104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348" t="n"/>
      <c r="E33" s="349">
        <f>IF(C33="","",IFERROR(VLOOKUP(C33,parametros!$A$11:$E$15,5,0),""))</f>
        <v/>
      </c>
      <c r="F33" s="335">
        <f>IF(OR(D33="",E33=""),"",ROUND(D33*E33,2))</f>
        <v/>
      </c>
      <c r="G33" s="106" t="n"/>
      <c r="H33" s="350">
        <f>IF(G33="Sim",IF(OR(F33="",D33="",L33=""),"",IF(L33="Sim",ROUND(F33-D33,2),0)),0)</f>
        <v/>
      </c>
      <c r="I33" s="350">
        <f>IF(G33="Sim",0,IF(OR(F33="",L33=""),"",F33))</f>
        <v/>
      </c>
      <c r="J33" s="350">
        <f>IF(G33="Sim",0,IF(OR(F33="",D33="",L33=""),"",IF(L33="Sim",ROUND(F33-D33,2),0)))</f>
        <v/>
      </c>
      <c r="K33" s="97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10" t="inlineStr">
        <is>
          <t>Nao</t>
        </is>
      </c>
      <c r="W33" s="110" t="inlineStr">
        <is>
          <t>PC em analise</t>
        </is>
      </c>
      <c r="X33" s="110" t="inlineStr">
        <is>
          <t>Pedido de Compra</t>
        </is>
      </c>
      <c r="Y33" s="111" t="inlineStr">
        <is>
          <t>Impacto Potencial</t>
        </is>
      </c>
      <c r="Z33" s="111" t="inlineStr">
        <is>
          <t>PC</t>
        </is>
      </c>
      <c r="AA33" s="111" t="inlineStr">
        <is>
          <t>Nao</t>
        </is>
      </c>
      <c r="AB33" s="111" t="inlineStr">
        <is>
          <t>NAO_COMPUTADO</t>
        </is>
      </c>
      <c r="AC33" s="112" t="inlineStr">
        <is>
          <t>Estrutura Fase 1: sem impacto no VTA oficial</t>
        </is>
      </c>
    </row>
    <row r="34" ht="25.5" customHeight="1" s="289">
      <c r="A34" s="205" t="n"/>
      <c r="B34" s="207" t="n"/>
      <c r="C34" s="104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348" t="n"/>
      <c r="E34" s="349">
        <f>IF(C34="","",IFERROR(VLOOKUP(C34,parametros!$A$11:$E$15,5,0),""))</f>
        <v/>
      </c>
      <c r="F34" s="335">
        <f>IF(OR(D34="",E34=""),"",ROUND(D34*E34,2))</f>
        <v/>
      </c>
      <c r="G34" s="106" t="n"/>
      <c r="H34" s="350">
        <f>IF(G34="Sim",IF(OR(F34="",D34="",L34=""),"",IF(L34="Sim",ROUND(F34-D34,2),0)),0)</f>
        <v/>
      </c>
      <c r="I34" s="350">
        <f>IF(G34="Sim",0,IF(OR(F34="",L34=""),"",F34))</f>
        <v/>
      </c>
      <c r="J34" s="350">
        <f>IF(G34="Sim",0,IF(OR(F34="",D34="",L34=""),"",IF(L34="Sim",ROUND(F34-D34,2),0)))</f>
        <v/>
      </c>
      <c r="K34" s="97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10" t="inlineStr">
        <is>
          <t>Nao</t>
        </is>
      </c>
      <c r="W34" s="110" t="inlineStr">
        <is>
          <t>PC em analise</t>
        </is>
      </c>
      <c r="X34" s="110" t="inlineStr">
        <is>
          <t>Pedido de Compra</t>
        </is>
      </c>
      <c r="Y34" s="111" t="inlineStr">
        <is>
          <t>Impacto Potencial</t>
        </is>
      </c>
      <c r="Z34" s="111" t="inlineStr">
        <is>
          <t>PC</t>
        </is>
      </c>
      <c r="AA34" s="111" t="inlineStr">
        <is>
          <t>Nao</t>
        </is>
      </c>
      <c r="AB34" s="111" t="inlineStr">
        <is>
          <t>NAO_COMPUTADO</t>
        </is>
      </c>
      <c r="AC34" s="112" t="inlineStr">
        <is>
          <t>Estrutura Fase 1: sem impacto no VTA oficial</t>
        </is>
      </c>
    </row>
    <row r="35" ht="25.5" customHeight="1" s="289">
      <c r="A35" s="205" t="n"/>
      <c r="B35" s="207" t="n"/>
      <c r="C35" s="104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348" t="n"/>
      <c r="E35" s="349">
        <f>IF(C35="","",IFERROR(VLOOKUP(C35,parametros!$A$11:$E$15,5,0),""))</f>
        <v/>
      </c>
      <c r="F35" s="335">
        <f>IF(OR(D35="",E35=""),"",ROUND(D35*E35,2))</f>
        <v/>
      </c>
      <c r="G35" s="106" t="n"/>
      <c r="H35" s="350">
        <f>IF(G35="Sim",IF(OR(F35="",D35="",L35=""),"",IF(L35="Sim",ROUND(F35-D35,2),0)),0)</f>
        <v/>
      </c>
      <c r="I35" s="350">
        <f>IF(G35="Sim",0,IF(OR(F35="",L35=""),"",F35))</f>
        <v/>
      </c>
      <c r="J35" s="350">
        <f>IF(G35="Sim",0,IF(OR(F35="",D35="",L35=""),"",IF(L35="Sim",ROUND(F35-D35,2),0)))</f>
        <v/>
      </c>
      <c r="K35" s="97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10" t="inlineStr">
        <is>
          <t>Nao</t>
        </is>
      </c>
      <c r="W35" s="110" t="inlineStr">
        <is>
          <t>PC em analise</t>
        </is>
      </c>
      <c r="X35" s="110" t="inlineStr">
        <is>
          <t>Pedido de Compra</t>
        </is>
      </c>
      <c r="Y35" s="111" t="inlineStr">
        <is>
          <t>Impacto Potencial</t>
        </is>
      </c>
      <c r="Z35" s="111" t="inlineStr">
        <is>
          <t>PC</t>
        </is>
      </c>
      <c r="AA35" s="111" t="inlineStr">
        <is>
          <t>Nao</t>
        </is>
      </c>
      <c r="AB35" s="111" t="inlineStr">
        <is>
          <t>NAO_COMPUTADO</t>
        </is>
      </c>
      <c r="AC35" s="112" t="inlineStr">
        <is>
          <t>Estrutura Fase 1: sem impacto no VTA oficial</t>
        </is>
      </c>
    </row>
    <row r="36" ht="25.5" customHeight="1" s="289">
      <c r="A36" s="205" t="n"/>
      <c r="B36" s="207" t="n"/>
      <c r="C36" s="104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348" t="n"/>
      <c r="E36" s="349">
        <f>IF(C36="","",IFERROR(VLOOKUP(C36,parametros!$A$11:$E$15,5,0),""))</f>
        <v/>
      </c>
      <c r="F36" s="335">
        <f>IF(OR(D36="",E36=""),"",ROUND(D36*E36,2))</f>
        <v/>
      </c>
      <c r="G36" s="106" t="n"/>
      <c r="H36" s="350">
        <f>IF(G36="Sim",IF(OR(F36="",D36="",L36=""),"",IF(L36="Sim",ROUND(F36-D36,2),0)),0)</f>
        <v/>
      </c>
      <c r="I36" s="350">
        <f>IF(G36="Sim",0,IF(OR(F36="",L36=""),"",F36))</f>
        <v/>
      </c>
      <c r="J36" s="350">
        <f>IF(G36="Sim",0,IF(OR(F36="",D36="",L36=""),"",IF(L36="Sim",ROUND(F36-D36,2),0)))</f>
        <v/>
      </c>
      <c r="K36" s="97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10" t="inlineStr">
        <is>
          <t>Nao</t>
        </is>
      </c>
      <c r="W36" s="110" t="inlineStr">
        <is>
          <t>PC em analise</t>
        </is>
      </c>
      <c r="X36" s="110" t="inlineStr">
        <is>
          <t>Pedido de Compra</t>
        </is>
      </c>
      <c r="Y36" s="111" t="inlineStr">
        <is>
          <t>Impacto Potencial</t>
        </is>
      </c>
      <c r="Z36" s="111" t="inlineStr">
        <is>
          <t>PC</t>
        </is>
      </c>
      <c r="AA36" s="111" t="inlineStr">
        <is>
          <t>Nao</t>
        </is>
      </c>
      <c r="AB36" s="111" t="inlineStr">
        <is>
          <t>NAO_COMPUTADO</t>
        </is>
      </c>
      <c r="AC36" s="112" t="inlineStr">
        <is>
          <t>Estrutura Fase 1: sem impacto no VTA oficial</t>
        </is>
      </c>
    </row>
    <row r="37" ht="25.5" customHeight="1" s="289">
      <c r="A37" s="205" t="n"/>
      <c r="B37" s="207" t="n"/>
      <c r="C37" s="104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348" t="n"/>
      <c r="E37" s="349">
        <f>IF(C37="","",IFERROR(VLOOKUP(C37,parametros!$A$11:$E$15,5,0),""))</f>
        <v/>
      </c>
      <c r="F37" s="335">
        <f>IF(OR(D37="",E37=""),"",ROUND(D37*E37,2))</f>
        <v/>
      </c>
      <c r="G37" s="106" t="n"/>
      <c r="H37" s="350">
        <f>IF(G37="Sim",IF(OR(F37="",D37="",L37=""),"",IF(L37="Sim",ROUND(F37-D37,2),0)),0)</f>
        <v/>
      </c>
      <c r="I37" s="350">
        <f>IF(G37="Sim",0,IF(OR(F37="",L37=""),"",F37))</f>
        <v/>
      </c>
      <c r="J37" s="350">
        <f>IF(G37="Sim",0,IF(OR(F37="",D37="",L37=""),"",IF(L37="Sim",ROUND(F37-D37,2),0)))</f>
        <v/>
      </c>
      <c r="K37" s="97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10" t="inlineStr">
        <is>
          <t>Nao</t>
        </is>
      </c>
      <c r="W37" s="110" t="inlineStr">
        <is>
          <t>PC em analise</t>
        </is>
      </c>
      <c r="X37" s="110" t="inlineStr">
        <is>
          <t>Pedido de Compra</t>
        </is>
      </c>
      <c r="Y37" s="111" t="inlineStr">
        <is>
          <t>Impacto Potencial</t>
        </is>
      </c>
      <c r="Z37" s="111" t="inlineStr">
        <is>
          <t>PC</t>
        </is>
      </c>
      <c r="AA37" s="111" t="inlineStr">
        <is>
          <t>Nao</t>
        </is>
      </c>
      <c r="AB37" s="111" t="inlineStr">
        <is>
          <t>NAO_COMPUTADO</t>
        </is>
      </c>
      <c r="AC37" s="112" t="inlineStr">
        <is>
          <t>Estrutura Fase 1: sem impacto no VTA oficial</t>
        </is>
      </c>
    </row>
    <row r="38" ht="25.5" customHeight="1" s="289">
      <c r="A38" s="205" t="n"/>
      <c r="B38" s="207" t="n"/>
      <c r="C38" s="104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348" t="n"/>
      <c r="E38" s="349">
        <f>IF(C38="","",IFERROR(VLOOKUP(C38,parametros!$A$11:$E$15,5,0),""))</f>
        <v/>
      </c>
      <c r="F38" s="335">
        <f>IF(OR(D38="",E38=""),"",ROUND(D38*E38,2))</f>
        <v/>
      </c>
      <c r="G38" s="106" t="n"/>
      <c r="H38" s="350">
        <f>IF(G38="Sim",IF(OR(F38="",D38="",L38=""),"",IF(L38="Sim",ROUND(F38-D38,2),0)),0)</f>
        <v/>
      </c>
      <c r="I38" s="350">
        <f>IF(G38="Sim",0,IF(OR(F38="",L38=""),"",F38))</f>
        <v/>
      </c>
      <c r="J38" s="350">
        <f>IF(G38="Sim",0,IF(OR(F38="",D38="",L38=""),"",IF(L38="Sim",ROUND(F38-D38,2),0)))</f>
        <v/>
      </c>
      <c r="K38" s="97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10" t="inlineStr">
        <is>
          <t>Nao</t>
        </is>
      </c>
      <c r="W38" s="110" t="inlineStr">
        <is>
          <t>PC em analise</t>
        </is>
      </c>
      <c r="X38" s="110" t="inlineStr">
        <is>
          <t>Pedido de Compra</t>
        </is>
      </c>
      <c r="Y38" s="111" t="inlineStr">
        <is>
          <t>Impacto Potencial</t>
        </is>
      </c>
      <c r="Z38" s="111" t="inlineStr">
        <is>
          <t>PC</t>
        </is>
      </c>
      <c r="AA38" s="111" t="inlineStr">
        <is>
          <t>Nao</t>
        </is>
      </c>
      <c r="AB38" s="111" t="inlineStr">
        <is>
          <t>NAO_COMPUTADO</t>
        </is>
      </c>
      <c r="AC38" s="112" t="inlineStr">
        <is>
          <t>Estrutura Fase 1: sem impacto no VTA oficial</t>
        </is>
      </c>
    </row>
    <row r="39" ht="25.5" customHeight="1" s="289">
      <c r="A39" s="205" t="n"/>
      <c r="B39" s="207" t="n"/>
      <c r="C39" s="104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348" t="n"/>
      <c r="E39" s="349">
        <f>IF(C39="","",IFERROR(VLOOKUP(C39,parametros!$A$11:$E$15,5,0),""))</f>
        <v/>
      </c>
      <c r="F39" s="335">
        <f>IF(OR(D39="",E39=""),"",ROUND(D39*E39,2))</f>
        <v/>
      </c>
      <c r="G39" s="106" t="n"/>
      <c r="H39" s="350">
        <f>IF(G39="Sim",IF(OR(F39="",D39="",L39=""),"",IF(L39="Sim",ROUND(F39-D39,2),0)),0)</f>
        <v/>
      </c>
      <c r="I39" s="350">
        <f>IF(G39="Sim",0,IF(OR(F39="",L39=""),"",F39))</f>
        <v/>
      </c>
      <c r="J39" s="350">
        <f>IF(G39="Sim",0,IF(OR(F39="",D39="",L39=""),"",IF(L39="Sim",ROUND(F39-D39,2),0)))</f>
        <v/>
      </c>
      <c r="K39" s="97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10" t="inlineStr">
        <is>
          <t>Nao</t>
        </is>
      </c>
      <c r="W39" s="110" t="inlineStr">
        <is>
          <t>PC em analise</t>
        </is>
      </c>
      <c r="X39" s="110" t="inlineStr">
        <is>
          <t>Pedido de Compra</t>
        </is>
      </c>
      <c r="Y39" s="111" t="inlineStr">
        <is>
          <t>Impacto Potencial</t>
        </is>
      </c>
      <c r="Z39" s="111" t="inlineStr">
        <is>
          <t>PC</t>
        </is>
      </c>
      <c r="AA39" s="111" t="inlineStr">
        <is>
          <t>Nao</t>
        </is>
      </c>
      <c r="AB39" s="111" t="inlineStr">
        <is>
          <t>NAO_COMPUTADO</t>
        </is>
      </c>
      <c r="AC39" s="112" t="inlineStr">
        <is>
          <t>Estrutura Fase 1: sem impacto no VTA oficial</t>
        </is>
      </c>
    </row>
    <row r="40" ht="25.5" customHeight="1" s="289">
      <c r="A40" s="205" t="n"/>
      <c r="B40" s="207" t="n"/>
      <c r="C40" s="104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348" t="n"/>
      <c r="E40" s="349">
        <f>IF(C40="","",IFERROR(VLOOKUP(C40,parametros!$A$11:$E$15,5,0),""))</f>
        <v/>
      </c>
      <c r="F40" s="335">
        <f>IF(OR(D40="",E40=""),"",ROUND(D40*E40,2))</f>
        <v/>
      </c>
      <c r="G40" s="106" t="n"/>
      <c r="H40" s="350">
        <f>IF(G40="Sim",IF(OR(F40="",D40="",L40=""),"",IF(L40="Sim",ROUND(F40-D40,2),0)),0)</f>
        <v/>
      </c>
      <c r="I40" s="350">
        <f>IF(G40="Sim",0,IF(OR(F40="",L40=""),"",F40))</f>
        <v/>
      </c>
      <c r="J40" s="350">
        <f>IF(G40="Sim",0,IF(OR(F40="",D40="",L40=""),"",IF(L40="Sim",ROUND(F40-D40,2),0)))</f>
        <v/>
      </c>
      <c r="K40" s="97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10" t="inlineStr">
        <is>
          <t>Nao</t>
        </is>
      </c>
      <c r="W40" s="110" t="inlineStr">
        <is>
          <t>PC em analise</t>
        </is>
      </c>
      <c r="X40" s="110" t="inlineStr">
        <is>
          <t>Pedido de Compra</t>
        </is>
      </c>
      <c r="Y40" s="111" t="inlineStr">
        <is>
          <t>Impacto Potencial</t>
        </is>
      </c>
      <c r="Z40" s="111" t="inlineStr">
        <is>
          <t>PC</t>
        </is>
      </c>
      <c r="AA40" s="111" t="inlineStr">
        <is>
          <t>Nao</t>
        </is>
      </c>
      <c r="AB40" s="111" t="inlineStr">
        <is>
          <t>NAO_COMPUTADO</t>
        </is>
      </c>
      <c r="AC40" s="112" t="inlineStr">
        <is>
          <t>Estrutura Fase 1: sem impacto no VTA oficial</t>
        </is>
      </c>
    </row>
    <row r="41" ht="25.5" customHeight="1" s="289">
      <c r="A41" s="205" t="n"/>
      <c r="B41" s="207" t="n"/>
      <c r="C41" s="104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348" t="n"/>
      <c r="E41" s="349">
        <f>IF(C41="","",IFERROR(VLOOKUP(C41,parametros!$A$11:$E$15,5,0),""))</f>
        <v/>
      </c>
      <c r="F41" s="335">
        <f>IF(OR(D41="",E41=""),"",ROUND(D41*E41,2))</f>
        <v/>
      </c>
      <c r="G41" s="106" t="n"/>
      <c r="H41" s="350">
        <f>IF(G41="Sim",IF(OR(F41="",D41="",L41=""),"",IF(L41="Sim",ROUND(F41-D41,2),0)),0)</f>
        <v/>
      </c>
      <c r="I41" s="350">
        <f>IF(G41="Sim",0,IF(OR(F41="",L41=""),"",F41))</f>
        <v/>
      </c>
      <c r="J41" s="350">
        <f>IF(G41="Sim",0,IF(OR(F41="",D41="",L41=""),"",IF(L41="Sim",ROUND(F41-D41,2),0)))</f>
        <v/>
      </c>
      <c r="K41" s="97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10" t="inlineStr">
        <is>
          <t>Nao</t>
        </is>
      </c>
      <c r="W41" s="110" t="inlineStr">
        <is>
          <t>PC em analise</t>
        </is>
      </c>
      <c r="X41" s="110" t="inlineStr">
        <is>
          <t>Pedido de Compra</t>
        </is>
      </c>
      <c r="Y41" s="111" t="inlineStr">
        <is>
          <t>Impacto Potencial</t>
        </is>
      </c>
      <c r="Z41" s="111" t="inlineStr">
        <is>
          <t>PC</t>
        </is>
      </c>
      <c r="AA41" s="111" t="inlineStr">
        <is>
          <t>Nao</t>
        </is>
      </c>
      <c r="AB41" s="111" t="inlineStr">
        <is>
          <t>NAO_COMPUTADO</t>
        </is>
      </c>
      <c r="AC41" s="112" t="inlineStr">
        <is>
          <t>Estrutura Fase 1: sem impacto no VTA oficial</t>
        </is>
      </c>
    </row>
    <row r="42" ht="25.5" customHeight="1" s="289">
      <c r="A42" s="205" t="n"/>
      <c r="B42" s="207" t="n"/>
      <c r="C42" s="104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348" t="n"/>
      <c r="E42" s="349">
        <f>IF(C42="","",IFERROR(VLOOKUP(C42,parametros!$A$11:$E$15,5,0),""))</f>
        <v/>
      </c>
      <c r="F42" s="335">
        <f>IF(OR(D42="",E42=""),"",ROUND(D42*E42,2))</f>
        <v/>
      </c>
      <c r="G42" s="106" t="n"/>
      <c r="H42" s="350">
        <f>IF(G42="Sim",IF(OR(F42="",D42="",L42=""),"",IF(L42="Sim",ROUND(F42-D42,2),0)),0)</f>
        <v/>
      </c>
      <c r="I42" s="350">
        <f>IF(G42="Sim",0,IF(OR(F42="",L42=""),"",F42))</f>
        <v/>
      </c>
      <c r="J42" s="350">
        <f>IF(G42="Sim",0,IF(OR(F42="",D42="",L42=""),"",IF(L42="Sim",ROUND(F42-D42,2),0)))</f>
        <v/>
      </c>
      <c r="K42" s="97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10" t="inlineStr">
        <is>
          <t>Nao</t>
        </is>
      </c>
      <c r="W42" s="110" t="inlineStr">
        <is>
          <t>PC em analise</t>
        </is>
      </c>
      <c r="X42" s="110" t="inlineStr">
        <is>
          <t>Pedido de Compra</t>
        </is>
      </c>
      <c r="Y42" s="111" t="inlineStr">
        <is>
          <t>Impacto Potencial</t>
        </is>
      </c>
      <c r="Z42" s="111" t="inlineStr">
        <is>
          <t>PC</t>
        </is>
      </c>
      <c r="AA42" s="111" t="inlineStr">
        <is>
          <t>Nao</t>
        </is>
      </c>
      <c r="AB42" s="111" t="inlineStr">
        <is>
          <t>NAO_COMPUTADO</t>
        </is>
      </c>
      <c r="AC42" s="112" t="inlineStr">
        <is>
          <t>Estrutura Fase 1: sem impacto no VTA oficial</t>
        </is>
      </c>
    </row>
    <row r="43" ht="25.5" customHeight="1" s="289">
      <c r="A43" s="205" t="n"/>
      <c r="B43" s="207" t="n"/>
      <c r="C43" s="104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348" t="n"/>
      <c r="E43" s="349">
        <f>IF(C43="","",IFERROR(VLOOKUP(C43,parametros!$A$11:$E$15,5,0),""))</f>
        <v/>
      </c>
      <c r="F43" s="335">
        <f>IF(OR(D43="",E43=""),"",ROUND(D43*E43,2))</f>
        <v/>
      </c>
      <c r="G43" s="106" t="n"/>
      <c r="H43" s="350">
        <f>IF(G43="Sim",IF(OR(F43="",D43="",L43=""),"",IF(L43="Sim",ROUND(F43-D43,2),0)),0)</f>
        <v/>
      </c>
      <c r="I43" s="350">
        <f>IF(G43="Sim",0,IF(OR(F43="",L43=""),"",F43))</f>
        <v/>
      </c>
      <c r="J43" s="350">
        <f>IF(G43="Sim",0,IF(OR(F43="",D43="",L43=""),"",IF(L43="Sim",ROUND(F43-D43,2),0)))</f>
        <v/>
      </c>
      <c r="K43" s="97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10" t="inlineStr">
        <is>
          <t>Nao</t>
        </is>
      </c>
      <c r="W43" s="110" t="inlineStr">
        <is>
          <t>PC em analise</t>
        </is>
      </c>
      <c r="X43" s="110" t="inlineStr">
        <is>
          <t>Pedido de Compra</t>
        </is>
      </c>
      <c r="Y43" s="111" t="inlineStr">
        <is>
          <t>Impacto Potencial</t>
        </is>
      </c>
      <c r="Z43" s="111" t="inlineStr">
        <is>
          <t>PC</t>
        </is>
      </c>
      <c r="AA43" s="111" t="inlineStr">
        <is>
          <t>Nao</t>
        </is>
      </c>
      <c r="AB43" s="111" t="inlineStr">
        <is>
          <t>NAO_COMPUTADO</t>
        </is>
      </c>
      <c r="AC43" s="112" t="inlineStr">
        <is>
          <t>Estrutura Fase 1: sem impacto no VTA oficial</t>
        </is>
      </c>
    </row>
    <row r="44" ht="25.5" customHeight="1" s="289">
      <c r="A44" s="205" t="n"/>
      <c r="B44" s="207" t="n"/>
      <c r="C44" s="104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348" t="n"/>
      <c r="E44" s="349">
        <f>IF(C44="","",IFERROR(VLOOKUP(C44,parametros!$A$11:$E$15,5,0),""))</f>
        <v/>
      </c>
      <c r="F44" s="335">
        <f>IF(OR(D44="",E44=""),"",ROUND(D44*E44,2))</f>
        <v/>
      </c>
      <c r="G44" s="106" t="n"/>
      <c r="H44" s="350">
        <f>IF(G44="Sim",IF(OR(F44="",D44="",L44=""),"",IF(L44="Sim",ROUND(F44-D44,2),0)),0)</f>
        <v/>
      </c>
      <c r="I44" s="350">
        <f>IF(G44="Sim",0,IF(OR(F44="",L44=""),"",F44))</f>
        <v/>
      </c>
      <c r="J44" s="350">
        <f>IF(G44="Sim",0,IF(OR(F44="",D44="",L44=""),"",IF(L44="Sim",ROUND(F44-D44,2),0)))</f>
        <v/>
      </c>
      <c r="K44" s="97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10" t="inlineStr">
        <is>
          <t>Nao</t>
        </is>
      </c>
      <c r="W44" s="110" t="inlineStr">
        <is>
          <t>PC em analise</t>
        </is>
      </c>
      <c r="X44" s="110" t="inlineStr">
        <is>
          <t>Pedido de Compra</t>
        </is>
      </c>
      <c r="Y44" s="111" t="inlineStr">
        <is>
          <t>Impacto Potencial</t>
        </is>
      </c>
      <c r="Z44" s="111" t="inlineStr">
        <is>
          <t>PC</t>
        </is>
      </c>
      <c r="AA44" s="111" t="inlineStr">
        <is>
          <t>Nao</t>
        </is>
      </c>
      <c r="AB44" s="111" t="inlineStr">
        <is>
          <t>NAO_COMPUTADO</t>
        </is>
      </c>
      <c r="AC44" s="112" t="inlineStr">
        <is>
          <t>Estrutura Fase 1: sem impacto no VTA oficial</t>
        </is>
      </c>
    </row>
    <row r="45" ht="25.5" customHeight="1" s="289">
      <c r="A45" s="205" t="n"/>
      <c r="B45" s="207" t="n"/>
      <c r="C45" s="104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348" t="n"/>
      <c r="E45" s="349">
        <f>IF(C45="","",IFERROR(VLOOKUP(C45,parametros!$A$11:$E$15,5,0),""))</f>
        <v/>
      </c>
      <c r="F45" s="335">
        <f>IF(OR(D45="",E45=""),"",ROUND(D45*E45,2))</f>
        <v/>
      </c>
      <c r="G45" s="106" t="n"/>
      <c r="H45" s="350">
        <f>IF(G45="Sim",IF(OR(F45="",D45="",L45=""),"",IF(L45="Sim",ROUND(F45-D45,2),0)),0)</f>
        <v/>
      </c>
      <c r="I45" s="350">
        <f>IF(G45="Sim",0,IF(OR(F45="",L45=""),"",F45))</f>
        <v/>
      </c>
      <c r="J45" s="350">
        <f>IF(G45="Sim",0,IF(OR(F45="",D45="",L45=""),"",IF(L45="Sim",ROUND(F45-D45,2),0)))</f>
        <v/>
      </c>
      <c r="K45" s="97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10" t="inlineStr">
        <is>
          <t>Nao</t>
        </is>
      </c>
      <c r="W45" s="110" t="inlineStr">
        <is>
          <t>PC em analise</t>
        </is>
      </c>
      <c r="X45" s="110" t="inlineStr">
        <is>
          <t>Pedido de Compra</t>
        </is>
      </c>
      <c r="Y45" s="111" t="inlineStr">
        <is>
          <t>Impacto Potencial</t>
        </is>
      </c>
      <c r="Z45" s="111" t="inlineStr">
        <is>
          <t>PC</t>
        </is>
      </c>
      <c r="AA45" s="111" t="inlineStr">
        <is>
          <t>Nao</t>
        </is>
      </c>
      <c r="AB45" s="111" t="inlineStr">
        <is>
          <t>NAO_COMPUTADO</t>
        </is>
      </c>
      <c r="AC45" s="112" t="inlineStr">
        <is>
          <t>Estrutura Fase 1: sem impacto no VTA oficial</t>
        </is>
      </c>
    </row>
    <row r="46" ht="25.5" customHeight="1" s="289">
      <c r="A46" s="205" t="n"/>
      <c r="B46" s="207" t="n"/>
      <c r="C46" s="104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348" t="n"/>
      <c r="E46" s="349">
        <f>IF(C46="","",IFERROR(VLOOKUP(C46,parametros!$A$11:$E$15,5,0),""))</f>
        <v/>
      </c>
      <c r="F46" s="335">
        <f>IF(OR(D46="",E46=""),"",ROUND(D46*E46,2))</f>
        <v/>
      </c>
      <c r="G46" s="106" t="n"/>
      <c r="H46" s="350">
        <f>IF(G46="Sim",IF(OR(F46="",D46="",L46=""),"",IF(L46="Sim",ROUND(F46-D46,2),0)),0)</f>
        <v/>
      </c>
      <c r="I46" s="350">
        <f>IF(G46="Sim",0,IF(OR(F46="",L46=""),"",F46))</f>
        <v/>
      </c>
      <c r="J46" s="350">
        <f>IF(G46="Sim",0,IF(OR(F46="",D46="",L46=""),"",IF(L46="Sim",ROUND(F46-D46,2),0)))</f>
        <v/>
      </c>
      <c r="K46" s="97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10" t="inlineStr">
        <is>
          <t>Nao</t>
        </is>
      </c>
      <c r="W46" s="110" t="inlineStr">
        <is>
          <t>PC em analise</t>
        </is>
      </c>
      <c r="X46" s="110" t="inlineStr">
        <is>
          <t>Pedido de Compra</t>
        </is>
      </c>
      <c r="Y46" s="111" t="inlineStr">
        <is>
          <t>Impacto Potencial</t>
        </is>
      </c>
      <c r="Z46" s="111" t="inlineStr">
        <is>
          <t>PC</t>
        </is>
      </c>
      <c r="AA46" s="111" t="inlineStr">
        <is>
          <t>Nao</t>
        </is>
      </c>
      <c r="AB46" s="111" t="inlineStr">
        <is>
          <t>NAO_COMPUTADO</t>
        </is>
      </c>
      <c r="AC46" s="112" t="inlineStr">
        <is>
          <t>Estrutura Fase 1: sem impacto no VTA oficial</t>
        </is>
      </c>
    </row>
    <row r="47" ht="25.5" customHeight="1" s="289">
      <c r="A47" s="205" t="n"/>
      <c r="B47" s="207" t="n"/>
      <c r="C47" s="104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348" t="n"/>
      <c r="E47" s="349">
        <f>IF(C47="","",IFERROR(VLOOKUP(C47,parametros!$A$11:$E$15,5,0),""))</f>
        <v/>
      </c>
      <c r="F47" s="335">
        <f>IF(OR(D47="",E47=""),"",ROUND(D47*E47,2))</f>
        <v/>
      </c>
      <c r="G47" s="106" t="n"/>
      <c r="H47" s="350">
        <f>IF(G47="Sim",IF(OR(F47="",D47="",L47=""),"",IF(L47="Sim",ROUND(F47-D47,2),0)),0)</f>
        <v/>
      </c>
      <c r="I47" s="350">
        <f>IF(G47="Sim",0,IF(OR(F47="",L47=""),"",F47))</f>
        <v/>
      </c>
      <c r="J47" s="350">
        <f>IF(G47="Sim",0,IF(OR(F47="",D47="",L47=""),"",IF(L47="Sim",ROUND(F47-D47,2),0)))</f>
        <v/>
      </c>
      <c r="K47" s="97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10" t="inlineStr">
        <is>
          <t>Nao</t>
        </is>
      </c>
      <c r="W47" s="110" t="inlineStr">
        <is>
          <t>PC em analise</t>
        </is>
      </c>
      <c r="X47" s="110" t="inlineStr">
        <is>
          <t>Pedido de Compra</t>
        </is>
      </c>
      <c r="Y47" s="111" t="inlineStr">
        <is>
          <t>Impacto Potencial</t>
        </is>
      </c>
      <c r="Z47" s="111" t="inlineStr">
        <is>
          <t>PC</t>
        </is>
      </c>
      <c r="AA47" s="111" t="inlineStr">
        <is>
          <t>Nao</t>
        </is>
      </c>
      <c r="AB47" s="111" t="inlineStr">
        <is>
          <t>NAO_COMPUTADO</t>
        </is>
      </c>
      <c r="AC47" s="112" t="inlineStr">
        <is>
          <t>Estrutura Fase 1: sem impacto no VTA oficial</t>
        </is>
      </c>
    </row>
    <row r="48" ht="25.5" customHeight="1" s="289">
      <c r="A48" s="205" t="n"/>
      <c r="B48" s="207" t="n"/>
      <c r="C48" s="104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348" t="n"/>
      <c r="E48" s="349">
        <f>IF(C48="","",IFERROR(VLOOKUP(C48,parametros!$A$11:$E$15,5,0),""))</f>
        <v/>
      </c>
      <c r="F48" s="335">
        <f>IF(OR(D48="",E48=""),"",ROUND(D48*E48,2))</f>
        <v/>
      </c>
      <c r="G48" s="106" t="n"/>
      <c r="H48" s="350">
        <f>IF(G48="Sim",IF(OR(F48="",D48="",L48=""),"",IF(L48="Sim",ROUND(F48-D48,2),0)),0)</f>
        <v/>
      </c>
      <c r="I48" s="350">
        <f>IF(G48="Sim",0,IF(OR(F48="",L48=""),"",F48))</f>
        <v/>
      </c>
      <c r="J48" s="350">
        <f>IF(G48="Sim",0,IF(OR(F48="",D48="",L48=""),"",IF(L48="Sim",ROUND(F48-D48,2),0)))</f>
        <v/>
      </c>
      <c r="K48" s="97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10" t="inlineStr">
        <is>
          <t>Nao</t>
        </is>
      </c>
      <c r="W48" s="110" t="inlineStr">
        <is>
          <t>PC em analise</t>
        </is>
      </c>
      <c r="X48" s="110" t="inlineStr">
        <is>
          <t>Pedido de Compra</t>
        </is>
      </c>
      <c r="Y48" s="111" t="inlineStr">
        <is>
          <t>Impacto Potencial</t>
        </is>
      </c>
      <c r="Z48" s="111" t="inlineStr">
        <is>
          <t>PC</t>
        </is>
      </c>
      <c r="AA48" s="111" t="inlineStr">
        <is>
          <t>Nao</t>
        </is>
      </c>
      <c r="AB48" s="111" t="inlineStr">
        <is>
          <t>NAO_COMPUTADO</t>
        </is>
      </c>
      <c r="AC48" s="112" t="inlineStr">
        <is>
          <t>Estrutura Fase 1: sem impacto no VTA oficial</t>
        </is>
      </c>
    </row>
    <row r="49" ht="25.5" customHeight="1" s="289">
      <c r="A49" s="205" t="n"/>
      <c r="B49" s="207" t="n"/>
      <c r="C49" s="104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348" t="n"/>
      <c r="E49" s="349">
        <f>IF(C49="","",IFERROR(VLOOKUP(C49,parametros!$A$11:$E$15,5,0),""))</f>
        <v/>
      </c>
      <c r="F49" s="335">
        <f>IF(OR(D49="",E49=""),"",ROUND(D49*E49,2))</f>
        <v/>
      </c>
      <c r="G49" s="106" t="n"/>
      <c r="H49" s="350">
        <f>IF(G49="Sim",IF(OR(F49="",D49="",L49=""),"",IF(L49="Sim",ROUND(F49-D49,2),0)),0)</f>
        <v/>
      </c>
      <c r="I49" s="350">
        <f>IF(G49="Sim",0,IF(OR(F49="",L49=""),"",F49))</f>
        <v/>
      </c>
      <c r="J49" s="350">
        <f>IF(G49="Sim",0,IF(OR(F49="",D49="",L49=""),"",IF(L49="Sim",ROUND(F49-D49,2),0)))</f>
        <v/>
      </c>
      <c r="K49" s="97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10" t="inlineStr">
        <is>
          <t>Nao</t>
        </is>
      </c>
      <c r="W49" s="110" t="inlineStr">
        <is>
          <t>PC em analise</t>
        </is>
      </c>
      <c r="X49" s="110" t="inlineStr">
        <is>
          <t>Pedido de Compra</t>
        </is>
      </c>
      <c r="Y49" s="111" t="inlineStr">
        <is>
          <t>Impacto Potencial</t>
        </is>
      </c>
      <c r="Z49" s="111" t="inlineStr">
        <is>
          <t>PC</t>
        </is>
      </c>
      <c r="AA49" s="111" t="inlineStr">
        <is>
          <t>Nao</t>
        </is>
      </c>
      <c r="AB49" s="111" t="inlineStr">
        <is>
          <t>NAO_COMPUTADO</t>
        </is>
      </c>
      <c r="AC49" s="112" t="inlineStr">
        <is>
          <t>Estrutura Fase 1: sem impacto no VTA oficial</t>
        </is>
      </c>
    </row>
    <row r="50" ht="25.5" customHeight="1" s="289">
      <c r="A50" s="205" t="n"/>
      <c r="B50" s="207" t="n"/>
      <c r="C50" s="104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348" t="n"/>
      <c r="E50" s="349">
        <f>IF(C50="","",IFERROR(VLOOKUP(C50,parametros!$A$11:$E$15,5,0),""))</f>
        <v/>
      </c>
      <c r="F50" s="335">
        <f>IF(OR(D50="",E50=""),"",ROUND(D50*E50,2))</f>
        <v/>
      </c>
      <c r="G50" s="106" t="n"/>
      <c r="H50" s="350">
        <f>IF(G50="Sim",IF(OR(F50="",D50="",L50=""),"",IF(L50="Sim",ROUND(F50-D50,2),0)),0)</f>
        <v/>
      </c>
      <c r="I50" s="350">
        <f>IF(G50="Sim",0,IF(OR(F50="",L50=""),"",F50))</f>
        <v/>
      </c>
      <c r="J50" s="350">
        <f>IF(G50="Sim",0,IF(OR(F50="",D50="",L50=""),"",IF(L50="Sim",ROUND(F50-D50,2),0)))</f>
        <v/>
      </c>
      <c r="K50" s="97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10" t="inlineStr">
        <is>
          <t>Nao</t>
        </is>
      </c>
      <c r="W50" s="110" t="inlineStr">
        <is>
          <t>PC em analise</t>
        </is>
      </c>
      <c r="X50" s="110" t="inlineStr">
        <is>
          <t>Pedido de Compra</t>
        </is>
      </c>
      <c r="Y50" s="111" t="inlineStr">
        <is>
          <t>Impacto Potencial</t>
        </is>
      </c>
      <c r="Z50" s="111" t="inlineStr">
        <is>
          <t>PC</t>
        </is>
      </c>
      <c r="AA50" s="111" t="inlineStr">
        <is>
          <t>Nao</t>
        </is>
      </c>
      <c r="AB50" s="111" t="inlineStr">
        <is>
          <t>NAO_COMPUTADO</t>
        </is>
      </c>
      <c r="AC50" s="112" t="inlineStr">
        <is>
          <t>Estrutura Fase 1: sem impacto no VTA oficial</t>
        </is>
      </c>
    </row>
    <row r="51" ht="25.5" customHeight="1" s="289">
      <c r="A51" s="205" t="n"/>
      <c r="B51" s="207" t="n"/>
      <c r="C51" s="104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348" t="n"/>
      <c r="E51" s="349">
        <f>IF(C51="","",IFERROR(VLOOKUP(C51,parametros!$A$11:$E$15,5,0),""))</f>
        <v/>
      </c>
      <c r="F51" s="335">
        <f>IF(OR(D51="",E51=""),"",ROUND(D51*E51,2))</f>
        <v/>
      </c>
      <c r="G51" s="106" t="n"/>
      <c r="H51" s="350">
        <f>IF(G51="Sim",IF(OR(F51="",D51="",L51=""),"",IF(L51="Sim",ROUND(F51-D51,2),0)),0)</f>
        <v/>
      </c>
      <c r="I51" s="350">
        <f>IF(G51="Sim",0,IF(OR(F51="",L51=""),"",F51))</f>
        <v/>
      </c>
      <c r="J51" s="350">
        <f>IF(G51="Sim",0,IF(OR(F51="",D51="",L51=""),"",IF(L51="Sim",ROUND(F51-D51,2),0)))</f>
        <v/>
      </c>
      <c r="K51" s="97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10" t="inlineStr">
        <is>
          <t>Nao</t>
        </is>
      </c>
      <c r="W51" s="110" t="inlineStr">
        <is>
          <t>PC em analise</t>
        </is>
      </c>
      <c r="X51" s="110" t="inlineStr">
        <is>
          <t>Pedido de Compra</t>
        </is>
      </c>
      <c r="Y51" s="111" t="inlineStr">
        <is>
          <t>Impacto Potencial</t>
        </is>
      </c>
      <c r="Z51" s="111" t="inlineStr">
        <is>
          <t>PC</t>
        </is>
      </c>
      <c r="AA51" s="111" t="inlineStr">
        <is>
          <t>Nao</t>
        </is>
      </c>
      <c r="AB51" s="111" t="inlineStr">
        <is>
          <t>NAO_COMPUTADO</t>
        </is>
      </c>
      <c r="AC51" s="112" t="inlineStr">
        <is>
          <t>Estrutura Fase 1: sem impacto no VTA oficial</t>
        </is>
      </c>
    </row>
    <row r="52" ht="25.5" customHeight="1" s="289">
      <c r="A52" s="205" t="n"/>
      <c r="B52" s="207" t="n"/>
      <c r="C52" s="104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348" t="n"/>
      <c r="E52" s="349">
        <f>IF(C52="","",IFERROR(VLOOKUP(C52,parametros!$A$11:$E$15,5,0),""))</f>
        <v/>
      </c>
      <c r="F52" s="335">
        <f>IF(OR(D52="",E52=""),"",ROUND(D52*E52,2))</f>
        <v/>
      </c>
      <c r="G52" s="106" t="n"/>
      <c r="H52" s="350">
        <f>IF(G52="Sim",IF(OR(F52="",D52="",L52=""),"",IF(L52="Sim",ROUND(F52-D52,2),0)),0)</f>
        <v/>
      </c>
      <c r="I52" s="350">
        <f>IF(G52="Sim",0,IF(OR(F52="",L52=""),"",F52))</f>
        <v/>
      </c>
      <c r="J52" s="350">
        <f>IF(G52="Sim",0,IF(OR(F52="",D52="",L52=""),"",IF(L52="Sim",ROUND(F52-D52,2),0)))</f>
        <v/>
      </c>
      <c r="K52" s="97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10" t="inlineStr">
        <is>
          <t>Nao</t>
        </is>
      </c>
      <c r="W52" s="110" t="inlineStr">
        <is>
          <t>PC em analise</t>
        </is>
      </c>
      <c r="X52" s="110" t="inlineStr">
        <is>
          <t>Pedido de Compra</t>
        </is>
      </c>
      <c r="Y52" s="111" t="inlineStr">
        <is>
          <t>Impacto Potencial</t>
        </is>
      </c>
      <c r="Z52" s="111" t="inlineStr">
        <is>
          <t>PC</t>
        </is>
      </c>
      <c r="AA52" s="111" t="inlineStr">
        <is>
          <t>Nao</t>
        </is>
      </c>
      <c r="AB52" s="111" t="inlineStr">
        <is>
          <t>NAO_COMPUTADO</t>
        </is>
      </c>
      <c r="AC52" s="112" t="inlineStr">
        <is>
          <t>Estrutura Fase 1: sem impacto no VTA oficial</t>
        </is>
      </c>
    </row>
    <row r="53" ht="25.5" customHeight="1" s="289">
      <c r="A53" s="205" t="n"/>
      <c r="B53" s="207" t="n"/>
      <c r="C53" s="104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348" t="n"/>
      <c r="E53" s="349">
        <f>IF(C53="","",IFERROR(VLOOKUP(C53,parametros!$A$11:$E$15,5,0),""))</f>
        <v/>
      </c>
      <c r="F53" s="335">
        <f>IF(OR(D53="",E53=""),"",ROUND(D53*E53,2))</f>
        <v/>
      </c>
      <c r="G53" s="106" t="n"/>
      <c r="H53" s="350">
        <f>IF(G53="Sim",IF(OR(F53="",D53="",L53=""),"",IF(L53="Sim",ROUND(F53-D53,2),0)),0)</f>
        <v/>
      </c>
      <c r="I53" s="350">
        <f>IF(G53="Sim",0,IF(OR(F53="",L53=""),"",F53))</f>
        <v/>
      </c>
      <c r="J53" s="350">
        <f>IF(G53="Sim",0,IF(OR(F53="",D53="",L53=""),"",IF(L53="Sim",ROUND(F53-D53,2),0)))</f>
        <v/>
      </c>
      <c r="K53" s="97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10" t="inlineStr">
        <is>
          <t>Nao</t>
        </is>
      </c>
      <c r="W53" s="110" t="inlineStr">
        <is>
          <t>PC em analise</t>
        </is>
      </c>
      <c r="X53" s="110" t="inlineStr">
        <is>
          <t>Pedido de Compra</t>
        </is>
      </c>
      <c r="Y53" s="111" t="inlineStr">
        <is>
          <t>Impacto Potencial</t>
        </is>
      </c>
      <c r="Z53" s="111" t="inlineStr">
        <is>
          <t>PC</t>
        </is>
      </c>
      <c r="AA53" s="111" t="inlineStr">
        <is>
          <t>Nao</t>
        </is>
      </c>
      <c r="AB53" s="111" t="inlineStr">
        <is>
          <t>NAO_COMPUTADO</t>
        </is>
      </c>
      <c r="AC53" s="112" t="inlineStr">
        <is>
          <t>Estrutura Fase 1: sem impacto no VTA oficial</t>
        </is>
      </c>
    </row>
    <row r="54" ht="25.5" customHeight="1" s="289">
      <c r="A54" s="205" t="n"/>
      <c r="B54" s="207" t="n"/>
      <c r="C54" s="104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348" t="n"/>
      <c r="E54" s="349">
        <f>IF(C54="","",IFERROR(VLOOKUP(C54,parametros!$A$11:$E$15,5,0),""))</f>
        <v/>
      </c>
      <c r="F54" s="335">
        <f>IF(OR(D54="",E54=""),"",ROUND(D54*E54,2))</f>
        <v/>
      </c>
      <c r="G54" s="106" t="n"/>
      <c r="H54" s="350">
        <f>IF(G54="Sim",IF(OR(F54="",D54="",L54=""),"",IF(L54="Sim",ROUND(F54-D54,2),0)),0)</f>
        <v/>
      </c>
      <c r="I54" s="350">
        <f>IF(G54="Sim",0,IF(OR(F54="",L54=""),"",F54))</f>
        <v/>
      </c>
      <c r="J54" s="350">
        <f>IF(G54="Sim",0,IF(OR(F54="",D54="",L54=""),"",IF(L54="Sim",ROUND(F54-D54,2),0)))</f>
        <v/>
      </c>
      <c r="K54" s="97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10" t="inlineStr">
        <is>
          <t>Nao</t>
        </is>
      </c>
      <c r="W54" s="110" t="inlineStr">
        <is>
          <t>PC em analise</t>
        </is>
      </c>
      <c r="X54" s="110" t="inlineStr">
        <is>
          <t>Pedido de Compra</t>
        </is>
      </c>
      <c r="Y54" s="111" t="inlineStr">
        <is>
          <t>Impacto Potencial</t>
        </is>
      </c>
      <c r="Z54" s="111" t="inlineStr">
        <is>
          <t>PC</t>
        </is>
      </c>
      <c r="AA54" s="111" t="inlineStr">
        <is>
          <t>Nao</t>
        </is>
      </c>
      <c r="AB54" s="111" t="inlineStr">
        <is>
          <t>NAO_COMPUTADO</t>
        </is>
      </c>
      <c r="AC54" s="112" t="inlineStr">
        <is>
          <t>Estrutura Fase 1: sem impacto no VTA oficial</t>
        </is>
      </c>
    </row>
    <row r="55" ht="25.5" customHeight="1" s="289">
      <c r="A55" s="205" t="n"/>
      <c r="B55" s="207" t="n"/>
      <c r="C55" s="104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348" t="n"/>
      <c r="E55" s="349">
        <f>IF(C55="","",IFERROR(VLOOKUP(C55,parametros!$A$11:$E$15,5,0),""))</f>
        <v/>
      </c>
      <c r="F55" s="335">
        <f>IF(OR(D55="",E55=""),"",ROUND(D55*E55,2))</f>
        <v/>
      </c>
      <c r="G55" s="106" t="n"/>
      <c r="H55" s="350">
        <f>IF(G55="Sim",IF(OR(F55="",D55="",L55=""),"",IF(L55="Sim",ROUND(F55-D55,2),0)),0)</f>
        <v/>
      </c>
      <c r="I55" s="350">
        <f>IF(G55="Sim",0,IF(OR(F55="",L55=""),"",F55))</f>
        <v/>
      </c>
      <c r="J55" s="350">
        <f>IF(G55="Sim",0,IF(OR(F55="",D55="",L55=""),"",IF(L55="Sim",ROUND(F55-D55,2),0)))</f>
        <v/>
      </c>
      <c r="K55" s="97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10" t="inlineStr">
        <is>
          <t>Nao</t>
        </is>
      </c>
      <c r="W55" s="110" t="inlineStr">
        <is>
          <t>PC em analise</t>
        </is>
      </c>
      <c r="X55" s="110" t="inlineStr">
        <is>
          <t>Pedido de Compra</t>
        </is>
      </c>
      <c r="Y55" s="111" t="inlineStr">
        <is>
          <t>Impacto Potencial</t>
        </is>
      </c>
      <c r="Z55" s="111" t="inlineStr">
        <is>
          <t>PC</t>
        </is>
      </c>
      <c r="AA55" s="111" t="inlineStr">
        <is>
          <t>Nao</t>
        </is>
      </c>
      <c r="AB55" s="111" t="inlineStr">
        <is>
          <t>NAO_COMPUTADO</t>
        </is>
      </c>
      <c r="AC55" s="112" t="inlineStr">
        <is>
          <t>Estrutura Fase 1: sem impacto no VTA oficial</t>
        </is>
      </c>
    </row>
    <row r="56" ht="25.5" customHeight="1" s="289">
      <c r="A56" s="205" t="n"/>
      <c r="B56" s="207" t="n"/>
      <c r="C56" s="104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348" t="n"/>
      <c r="E56" s="349">
        <f>IF(C56="","",IFERROR(VLOOKUP(C56,parametros!$A$11:$E$15,5,0),""))</f>
        <v/>
      </c>
      <c r="F56" s="335">
        <f>IF(OR(D56="",E56=""),"",ROUND(D56*E56,2))</f>
        <v/>
      </c>
      <c r="G56" s="106" t="n"/>
      <c r="H56" s="350">
        <f>IF(G56="Sim",IF(OR(F56="",D56="",L56=""),"",IF(L56="Sim",ROUND(F56-D56,2),0)),0)</f>
        <v/>
      </c>
      <c r="I56" s="350">
        <f>IF(G56="Sim",0,IF(OR(F56="",L56=""),"",F56))</f>
        <v/>
      </c>
      <c r="J56" s="350">
        <f>IF(G56="Sim",0,IF(OR(F56="",D56="",L56=""),"",IF(L56="Sim",ROUND(F56-D56,2),0)))</f>
        <v/>
      </c>
      <c r="K56" s="97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10" t="inlineStr">
        <is>
          <t>Nao</t>
        </is>
      </c>
      <c r="W56" s="110" t="inlineStr">
        <is>
          <t>PC em analise</t>
        </is>
      </c>
      <c r="X56" s="110" t="inlineStr">
        <is>
          <t>Pedido de Compra</t>
        </is>
      </c>
      <c r="Y56" s="111" t="inlineStr">
        <is>
          <t>Impacto Potencial</t>
        </is>
      </c>
      <c r="Z56" s="111" t="inlineStr">
        <is>
          <t>PC</t>
        </is>
      </c>
      <c r="AA56" s="111" t="inlineStr">
        <is>
          <t>Nao</t>
        </is>
      </c>
      <c r="AB56" s="111" t="inlineStr">
        <is>
          <t>NAO_COMPUTADO</t>
        </is>
      </c>
      <c r="AC56" s="112" t="inlineStr">
        <is>
          <t>Estrutura Fase 1: sem impacto no VTA oficial</t>
        </is>
      </c>
    </row>
    <row r="57" ht="25.5" customHeight="1" s="289">
      <c r="A57" s="205" t="n"/>
      <c r="B57" s="207" t="n"/>
      <c r="C57" s="104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348" t="n"/>
      <c r="E57" s="349">
        <f>IF(C57="","",IFERROR(VLOOKUP(C57,parametros!$A$11:$E$15,5,0),""))</f>
        <v/>
      </c>
      <c r="F57" s="335">
        <f>IF(OR(D57="",E57=""),"",ROUND(D57*E57,2))</f>
        <v/>
      </c>
      <c r="G57" s="106" t="n"/>
      <c r="H57" s="350">
        <f>IF(G57="Sim",IF(OR(F57="",D57="",L57=""),"",IF(L57="Sim",ROUND(F57-D57,2),0)),0)</f>
        <v/>
      </c>
      <c r="I57" s="350">
        <f>IF(G57="Sim",0,IF(OR(F57="",L57=""),"",F57))</f>
        <v/>
      </c>
      <c r="J57" s="350">
        <f>IF(G57="Sim",0,IF(OR(F57="",D57="",L57=""),"",IF(L57="Sim",ROUND(F57-D57,2),0)))</f>
        <v/>
      </c>
      <c r="K57" s="97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10" t="inlineStr">
        <is>
          <t>Nao</t>
        </is>
      </c>
      <c r="W57" s="110" t="inlineStr">
        <is>
          <t>PC em analise</t>
        </is>
      </c>
      <c r="X57" s="110" t="inlineStr">
        <is>
          <t>Pedido de Compra</t>
        </is>
      </c>
      <c r="Y57" s="111" t="inlineStr">
        <is>
          <t>Impacto Potencial</t>
        </is>
      </c>
      <c r="Z57" s="111" t="inlineStr">
        <is>
          <t>PC</t>
        </is>
      </c>
      <c r="AA57" s="111" t="inlineStr">
        <is>
          <t>Nao</t>
        </is>
      </c>
      <c r="AB57" s="111" t="inlineStr">
        <is>
          <t>NAO_COMPUTADO</t>
        </is>
      </c>
      <c r="AC57" s="112" t="inlineStr">
        <is>
          <t>Estrutura Fase 1: sem impacto no VTA oficial</t>
        </is>
      </c>
    </row>
    <row r="58" ht="25.5" customHeight="1" s="289">
      <c r="A58" s="205" t="n"/>
      <c r="B58" s="207" t="n"/>
      <c r="C58" s="104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348" t="n"/>
      <c r="E58" s="349">
        <f>IF(C58="","",IFERROR(VLOOKUP(C58,parametros!$A$11:$E$15,5,0),""))</f>
        <v/>
      </c>
      <c r="F58" s="335">
        <f>IF(OR(D58="",E58=""),"",ROUND(D58*E58,2))</f>
        <v/>
      </c>
      <c r="G58" s="106" t="n"/>
      <c r="H58" s="350">
        <f>IF(G58="Sim",IF(OR(F58="",D58="",L58=""),"",IF(L58="Sim",ROUND(F58-D58,2),0)),0)</f>
        <v/>
      </c>
      <c r="I58" s="350">
        <f>IF(G58="Sim",0,IF(OR(F58="",L58=""),"",F58))</f>
        <v/>
      </c>
      <c r="J58" s="350">
        <f>IF(G58="Sim",0,IF(OR(F58="",D58="",L58=""),"",IF(L58="Sim",ROUND(F58-D58,2),0)))</f>
        <v/>
      </c>
      <c r="K58" s="97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10" t="inlineStr">
        <is>
          <t>Nao</t>
        </is>
      </c>
      <c r="W58" s="110" t="inlineStr">
        <is>
          <t>PC em analise</t>
        </is>
      </c>
      <c r="X58" s="110" t="inlineStr">
        <is>
          <t>Pedido de Compra</t>
        </is>
      </c>
      <c r="Y58" s="111" t="inlineStr">
        <is>
          <t>Impacto Potencial</t>
        </is>
      </c>
      <c r="Z58" s="111" t="inlineStr">
        <is>
          <t>PC</t>
        </is>
      </c>
      <c r="AA58" s="111" t="inlineStr">
        <is>
          <t>Nao</t>
        </is>
      </c>
      <c r="AB58" s="111" t="inlineStr">
        <is>
          <t>NAO_COMPUTADO</t>
        </is>
      </c>
      <c r="AC58" s="112" t="inlineStr">
        <is>
          <t>Estrutura Fase 1: sem impacto no VTA oficial</t>
        </is>
      </c>
    </row>
    <row r="59" ht="25.5" customHeight="1" s="289">
      <c r="A59" s="205" t="n"/>
      <c r="B59" s="207" t="n"/>
      <c r="C59" s="104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348" t="n"/>
      <c r="E59" s="349">
        <f>IF(C59="","",IFERROR(VLOOKUP(C59,parametros!$A$11:$E$15,5,0),""))</f>
        <v/>
      </c>
      <c r="F59" s="335">
        <f>IF(OR(D59="",E59=""),"",ROUND(D59*E59,2))</f>
        <v/>
      </c>
      <c r="G59" s="106" t="n"/>
      <c r="H59" s="350">
        <f>IF(G59="Sim",IF(OR(F59="",D59="",L59=""),"",IF(L59="Sim",ROUND(F59-D59,2),0)),0)</f>
        <v/>
      </c>
      <c r="I59" s="350">
        <f>IF(G59="Sim",0,IF(OR(F59="",L59=""),"",F59))</f>
        <v/>
      </c>
      <c r="J59" s="350">
        <f>IF(G59="Sim",0,IF(OR(F59="",D59="",L59=""),"",IF(L59="Sim",ROUND(F59-D59,2),0)))</f>
        <v/>
      </c>
      <c r="K59" s="97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10" t="inlineStr">
        <is>
          <t>Nao</t>
        </is>
      </c>
      <c r="W59" s="110" t="inlineStr">
        <is>
          <t>PC em analise</t>
        </is>
      </c>
      <c r="X59" s="110" t="inlineStr">
        <is>
          <t>Pedido de Compra</t>
        </is>
      </c>
      <c r="Y59" s="111" t="inlineStr">
        <is>
          <t>Impacto Potencial</t>
        </is>
      </c>
      <c r="Z59" s="111" t="inlineStr">
        <is>
          <t>PC</t>
        </is>
      </c>
      <c r="AA59" s="111" t="inlineStr">
        <is>
          <t>Nao</t>
        </is>
      </c>
      <c r="AB59" s="111" t="inlineStr">
        <is>
          <t>NAO_COMPUTADO</t>
        </is>
      </c>
      <c r="AC59" s="112" t="inlineStr">
        <is>
          <t>Estrutura Fase 1: sem impacto no VTA oficial</t>
        </is>
      </c>
    </row>
    <row r="60" ht="25.5" customHeight="1" s="289">
      <c r="A60" s="205" t="n"/>
      <c r="B60" s="207" t="n"/>
      <c r="C60" s="104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348" t="n"/>
      <c r="E60" s="349">
        <f>IF(C60="","",IFERROR(VLOOKUP(C60,parametros!$A$11:$E$15,5,0),""))</f>
        <v/>
      </c>
      <c r="F60" s="335">
        <f>IF(OR(D60="",E60=""),"",ROUND(D60*E60,2))</f>
        <v/>
      </c>
      <c r="G60" s="106" t="n"/>
      <c r="H60" s="350">
        <f>IF(G60="Sim",IF(OR(F60="",D60="",L60=""),"",IF(L60="Sim",ROUND(F60-D60,2),0)),0)</f>
        <v/>
      </c>
      <c r="I60" s="350">
        <f>IF(G60="Sim",0,IF(OR(F60="",L60=""),"",F60))</f>
        <v/>
      </c>
      <c r="J60" s="350">
        <f>IF(G60="Sim",0,IF(OR(F60="",D60="",L60=""),"",IF(L60="Sim",ROUND(F60-D60,2),0)))</f>
        <v/>
      </c>
      <c r="K60" s="97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10" t="inlineStr">
        <is>
          <t>Nao</t>
        </is>
      </c>
      <c r="W60" s="110" t="inlineStr">
        <is>
          <t>PC em analise</t>
        </is>
      </c>
      <c r="X60" s="110" t="inlineStr">
        <is>
          <t>Pedido de Compra</t>
        </is>
      </c>
      <c r="Y60" s="111" t="inlineStr">
        <is>
          <t>Impacto Potencial</t>
        </is>
      </c>
      <c r="Z60" s="111" t="inlineStr">
        <is>
          <t>PC</t>
        </is>
      </c>
      <c r="AA60" s="111" t="inlineStr">
        <is>
          <t>Nao</t>
        </is>
      </c>
      <c r="AB60" s="111" t="inlineStr">
        <is>
          <t>NAO_COMPUTADO</t>
        </is>
      </c>
      <c r="AC60" s="112" t="inlineStr">
        <is>
          <t>Estrutura Fase 1: sem impacto no VTA oficial</t>
        </is>
      </c>
    </row>
    <row r="61" ht="25.5" customHeight="1" s="289">
      <c r="A61" s="205" t="n"/>
      <c r="B61" s="207" t="n"/>
      <c r="C61" s="104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348" t="n"/>
      <c r="E61" s="349">
        <f>IF(C61="","",IFERROR(VLOOKUP(C61,parametros!$A$11:$E$15,5,0),""))</f>
        <v/>
      </c>
      <c r="F61" s="335">
        <f>IF(OR(D61="",E61=""),"",ROUND(D61*E61,2))</f>
        <v/>
      </c>
      <c r="G61" s="106" t="n"/>
      <c r="H61" s="350">
        <f>IF(G61="Sim",IF(OR(F61="",D61="",L61=""),"",IF(L61="Sim",ROUND(F61-D61,2),0)),0)</f>
        <v/>
      </c>
      <c r="I61" s="350">
        <f>IF(G61="Sim",0,IF(OR(F61="",L61=""),"",F61))</f>
        <v/>
      </c>
      <c r="J61" s="350">
        <f>IF(G61="Sim",0,IF(OR(F61="",D61="",L61=""),"",IF(L61="Sim",ROUND(F61-D61,2),0)))</f>
        <v/>
      </c>
      <c r="K61" s="97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10" t="inlineStr">
        <is>
          <t>Nao</t>
        </is>
      </c>
      <c r="W61" s="110" t="inlineStr">
        <is>
          <t>PC em analise</t>
        </is>
      </c>
      <c r="X61" s="110" t="inlineStr">
        <is>
          <t>Pedido de Compra</t>
        </is>
      </c>
      <c r="Y61" s="111" t="inlineStr">
        <is>
          <t>Impacto Potencial</t>
        </is>
      </c>
      <c r="Z61" s="111" t="inlineStr">
        <is>
          <t>PC</t>
        </is>
      </c>
      <c r="AA61" s="111" t="inlineStr">
        <is>
          <t>Nao</t>
        </is>
      </c>
      <c r="AB61" s="111" t="inlineStr">
        <is>
          <t>NAO_COMPUTADO</t>
        </is>
      </c>
      <c r="AC61" s="112" t="inlineStr">
        <is>
          <t>Estrutura Fase 1: sem impacto no VTA oficial</t>
        </is>
      </c>
    </row>
    <row r="62" ht="25.5" customHeight="1" s="289">
      <c r="A62" s="205" t="n"/>
      <c r="B62" s="207" t="n"/>
      <c r="C62" s="104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348" t="n"/>
      <c r="E62" s="349">
        <f>IF(C62="","",IFERROR(VLOOKUP(C62,parametros!$A$11:$E$15,5,0),""))</f>
        <v/>
      </c>
      <c r="F62" s="335">
        <f>IF(OR(D62="",E62=""),"",ROUND(D62*E62,2))</f>
        <v/>
      </c>
      <c r="G62" s="106" t="n"/>
      <c r="H62" s="350">
        <f>IF(G62="Sim",IF(OR(F62="",D62="",L62=""),"",IF(L62="Sim",ROUND(F62-D62,2),0)),0)</f>
        <v/>
      </c>
      <c r="I62" s="350">
        <f>IF(G62="Sim",0,IF(OR(F62="",L62=""),"",F62))</f>
        <v/>
      </c>
      <c r="J62" s="350">
        <f>IF(G62="Sim",0,IF(OR(F62="",D62="",L62=""),"",IF(L62="Sim",ROUND(F62-D62,2),0)))</f>
        <v/>
      </c>
      <c r="K62" s="97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10" t="inlineStr">
        <is>
          <t>Nao</t>
        </is>
      </c>
      <c r="W62" s="110" t="inlineStr">
        <is>
          <t>PC em analise</t>
        </is>
      </c>
      <c r="X62" s="110" t="inlineStr">
        <is>
          <t>Pedido de Compra</t>
        </is>
      </c>
      <c r="Y62" s="111" t="inlineStr">
        <is>
          <t>Impacto Potencial</t>
        </is>
      </c>
      <c r="Z62" s="111" t="inlineStr">
        <is>
          <t>PC</t>
        </is>
      </c>
      <c r="AA62" s="111" t="inlineStr">
        <is>
          <t>Nao</t>
        </is>
      </c>
      <c r="AB62" s="111" t="inlineStr">
        <is>
          <t>NAO_COMPUTADO</t>
        </is>
      </c>
      <c r="AC62" s="112" t="inlineStr">
        <is>
          <t>Estrutura Fase 1: sem impacto no VTA oficial</t>
        </is>
      </c>
    </row>
    <row r="63" ht="25.5" customHeight="1" s="289">
      <c r="A63" s="205" t="n"/>
      <c r="B63" s="207" t="n"/>
      <c r="C63" s="104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348" t="n"/>
      <c r="E63" s="349">
        <f>IF(C63="","",IFERROR(VLOOKUP(C63,parametros!$A$11:$E$15,5,0),""))</f>
        <v/>
      </c>
      <c r="F63" s="335">
        <f>IF(OR(D63="",E63=""),"",ROUND(D63*E63,2))</f>
        <v/>
      </c>
      <c r="G63" s="106" t="n"/>
      <c r="H63" s="350">
        <f>IF(G63="Sim",IF(OR(F63="",D63="",L63=""),"",IF(L63="Sim",ROUND(F63-D63,2),0)),0)</f>
        <v/>
      </c>
      <c r="I63" s="350">
        <f>IF(G63="Sim",0,IF(OR(F63="",L63=""),"",F63))</f>
        <v/>
      </c>
      <c r="J63" s="350">
        <f>IF(G63="Sim",0,IF(OR(F63="",D63="",L63=""),"",IF(L63="Sim",ROUND(F63-D63,2),0)))</f>
        <v/>
      </c>
      <c r="K63" s="97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10" t="inlineStr">
        <is>
          <t>Nao</t>
        </is>
      </c>
      <c r="W63" s="110" t="inlineStr">
        <is>
          <t>PC em analise</t>
        </is>
      </c>
      <c r="X63" s="110" t="inlineStr">
        <is>
          <t>Pedido de Compra</t>
        </is>
      </c>
      <c r="Y63" s="111" t="inlineStr">
        <is>
          <t>Impacto Potencial</t>
        </is>
      </c>
      <c r="Z63" s="111" t="inlineStr">
        <is>
          <t>PC</t>
        </is>
      </c>
      <c r="AA63" s="111" t="inlineStr">
        <is>
          <t>Nao</t>
        </is>
      </c>
      <c r="AB63" s="111" t="inlineStr">
        <is>
          <t>NAO_COMPUTADO</t>
        </is>
      </c>
      <c r="AC63" s="112" t="inlineStr">
        <is>
          <t>Estrutura Fase 1: sem impacto no VTA oficial</t>
        </is>
      </c>
    </row>
    <row r="64" ht="25.5" customHeight="1" s="289">
      <c r="A64" s="205" t="n"/>
      <c r="B64" s="207" t="n"/>
      <c r="C64" s="104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348" t="n"/>
      <c r="E64" s="349">
        <f>IF(C64="","",IFERROR(VLOOKUP(C64,parametros!$A$11:$E$15,5,0),""))</f>
        <v/>
      </c>
      <c r="F64" s="335">
        <f>IF(OR(D64="",E64=""),"",ROUND(D64*E64,2))</f>
        <v/>
      </c>
      <c r="G64" s="106" t="n"/>
      <c r="H64" s="350">
        <f>IF(G64="Sim",IF(OR(F64="",D64="",L64=""),"",IF(L64="Sim",ROUND(F64-D64,2),0)),0)</f>
        <v/>
      </c>
      <c r="I64" s="350">
        <f>IF(G64="Sim",0,IF(OR(F64="",L64=""),"",F64))</f>
        <v/>
      </c>
      <c r="J64" s="350">
        <f>IF(G64="Sim",0,IF(OR(F64="",D64="",L64=""),"",IF(L64="Sim",ROUND(F64-D64,2),0)))</f>
        <v/>
      </c>
      <c r="K64" s="97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10" t="inlineStr">
        <is>
          <t>Nao</t>
        </is>
      </c>
      <c r="W64" s="110" t="inlineStr">
        <is>
          <t>PC em analise</t>
        </is>
      </c>
      <c r="X64" s="110" t="inlineStr">
        <is>
          <t>Pedido de Compra</t>
        </is>
      </c>
      <c r="Y64" s="111" t="inlineStr">
        <is>
          <t>Impacto Potencial</t>
        </is>
      </c>
      <c r="Z64" s="111" t="inlineStr">
        <is>
          <t>PC</t>
        </is>
      </c>
      <c r="AA64" s="111" t="inlineStr">
        <is>
          <t>Nao</t>
        </is>
      </c>
      <c r="AB64" s="111" t="inlineStr">
        <is>
          <t>NAO_COMPUTADO</t>
        </is>
      </c>
      <c r="AC64" s="112" t="inlineStr">
        <is>
          <t>Estrutura Fase 1: sem impacto no VTA oficial</t>
        </is>
      </c>
    </row>
    <row r="65" ht="25.5" customHeight="1" s="289">
      <c r="A65" s="205" t="n"/>
      <c r="B65" s="207" t="n"/>
      <c r="C65" s="104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348" t="n"/>
      <c r="E65" s="349">
        <f>IF(C65="","",IFERROR(VLOOKUP(C65,parametros!$A$11:$E$15,5,0),""))</f>
        <v/>
      </c>
      <c r="F65" s="335">
        <f>IF(OR(D65="",E65=""),"",ROUND(D65*E65,2))</f>
        <v/>
      </c>
      <c r="G65" s="106" t="n"/>
      <c r="H65" s="350">
        <f>IF(G65="Sim",IF(OR(F65="",D65="",L65=""),"",IF(L65="Sim",ROUND(F65-D65,2),0)),0)</f>
        <v/>
      </c>
      <c r="I65" s="350">
        <f>IF(G65="Sim",0,IF(OR(F65="",L65=""),"",F65))</f>
        <v/>
      </c>
      <c r="J65" s="350">
        <f>IF(G65="Sim",0,IF(OR(F65="",D65="",L65=""),"",IF(L65="Sim",ROUND(F65-D65,2),0)))</f>
        <v/>
      </c>
      <c r="K65" s="97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10" t="inlineStr">
        <is>
          <t>Nao</t>
        </is>
      </c>
      <c r="W65" s="110" t="inlineStr">
        <is>
          <t>PC em analise</t>
        </is>
      </c>
      <c r="X65" s="110" t="inlineStr">
        <is>
          <t>Pedido de Compra</t>
        </is>
      </c>
      <c r="Y65" s="111" t="inlineStr">
        <is>
          <t>Impacto Potencial</t>
        </is>
      </c>
      <c r="Z65" s="111" t="inlineStr">
        <is>
          <t>PC</t>
        </is>
      </c>
      <c r="AA65" s="111" t="inlineStr">
        <is>
          <t>Nao</t>
        </is>
      </c>
      <c r="AB65" s="111" t="inlineStr">
        <is>
          <t>NAO_COMPUTADO</t>
        </is>
      </c>
      <c r="AC65" s="112" t="inlineStr">
        <is>
          <t>Estrutura Fase 1: sem impacto no VTA oficial</t>
        </is>
      </c>
    </row>
    <row r="66" ht="25.5" customHeight="1" s="289">
      <c r="A66" s="205" t="n"/>
      <c r="B66" s="207" t="n"/>
      <c r="C66" s="104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348" t="n"/>
      <c r="E66" s="349">
        <f>IF(C66="","",IFERROR(VLOOKUP(C66,parametros!$A$11:$E$15,5,0),""))</f>
        <v/>
      </c>
      <c r="F66" s="335">
        <f>IF(OR(D66="",E66=""),"",ROUND(D66*E66,2))</f>
        <v/>
      </c>
      <c r="G66" s="106" t="n"/>
      <c r="H66" s="350">
        <f>IF(G66="Sim",IF(OR(F66="",D66="",L66=""),"",IF(L66="Sim",ROUND(F66-D66,2),0)),0)</f>
        <v/>
      </c>
      <c r="I66" s="350">
        <f>IF(G66="Sim",0,IF(OR(F66="",L66=""),"",F66))</f>
        <v/>
      </c>
      <c r="J66" s="350">
        <f>IF(G66="Sim",0,IF(OR(F66="",D66="",L66=""),"",IF(L66="Sim",ROUND(F66-D66,2),0)))</f>
        <v/>
      </c>
      <c r="K66" s="97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10" t="inlineStr">
        <is>
          <t>Nao</t>
        </is>
      </c>
      <c r="W66" s="110" t="inlineStr">
        <is>
          <t>PC em analise</t>
        </is>
      </c>
      <c r="X66" s="110" t="inlineStr">
        <is>
          <t>Pedido de Compra</t>
        </is>
      </c>
      <c r="Y66" s="111" t="inlineStr">
        <is>
          <t>Impacto Potencial</t>
        </is>
      </c>
      <c r="Z66" s="111" t="inlineStr">
        <is>
          <t>PC</t>
        </is>
      </c>
      <c r="AA66" s="111" t="inlineStr">
        <is>
          <t>Nao</t>
        </is>
      </c>
      <c r="AB66" s="111" t="inlineStr">
        <is>
          <t>NAO_COMPUTADO</t>
        </is>
      </c>
      <c r="AC66" s="112" t="inlineStr">
        <is>
          <t>Estrutura Fase 1: sem impacto no VTA oficial</t>
        </is>
      </c>
    </row>
    <row r="67" ht="25.5" customHeight="1" s="289">
      <c r="A67" s="205" t="n"/>
      <c r="B67" s="207" t="n"/>
      <c r="C67" s="104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348" t="n"/>
      <c r="E67" s="349">
        <f>IF(C67="","",IFERROR(VLOOKUP(C67,parametros!$A$11:$E$15,5,0),""))</f>
        <v/>
      </c>
      <c r="F67" s="335">
        <f>IF(OR(D67="",E67=""),"",ROUND(D67*E67,2))</f>
        <v/>
      </c>
      <c r="G67" s="106" t="n"/>
      <c r="H67" s="350">
        <f>IF(G67="Sim",IF(OR(F67="",D67="",L67=""),"",IF(L67="Sim",ROUND(F67-D67,2),0)),0)</f>
        <v/>
      </c>
      <c r="I67" s="350">
        <f>IF(G67="Sim",0,IF(OR(F67="",L67=""),"",F67))</f>
        <v/>
      </c>
      <c r="J67" s="350">
        <f>IF(G67="Sim",0,IF(OR(F67="",D67="",L67=""),"",IF(L67="Sim",ROUND(F67-D67,2),0)))</f>
        <v/>
      </c>
      <c r="K67" s="97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10" t="inlineStr">
        <is>
          <t>Nao</t>
        </is>
      </c>
      <c r="W67" s="110" t="inlineStr">
        <is>
          <t>PC em analise</t>
        </is>
      </c>
      <c r="X67" s="110" t="inlineStr">
        <is>
          <t>Pedido de Compra</t>
        </is>
      </c>
      <c r="Y67" s="111" t="inlineStr">
        <is>
          <t>Impacto Potencial</t>
        </is>
      </c>
      <c r="Z67" s="111" t="inlineStr">
        <is>
          <t>PC</t>
        </is>
      </c>
      <c r="AA67" s="111" t="inlineStr">
        <is>
          <t>Nao</t>
        </is>
      </c>
      <c r="AB67" s="111" t="inlineStr">
        <is>
          <t>NAO_COMPUTADO</t>
        </is>
      </c>
      <c r="AC67" s="112" t="inlineStr">
        <is>
          <t>Estrutura Fase 1: sem impacto no VTA oficial</t>
        </is>
      </c>
    </row>
    <row r="68" ht="25.5" customHeight="1" s="289">
      <c r="A68" s="205" t="n"/>
      <c r="B68" s="207" t="n"/>
      <c r="C68" s="104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348" t="n"/>
      <c r="E68" s="349">
        <f>IF(C68="","",IFERROR(VLOOKUP(C68,parametros!$A$11:$E$15,5,0),""))</f>
        <v/>
      </c>
      <c r="F68" s="335">
        <f>IF(OR(D68="",E68=""),"",ROUND(D68*E68,2))</f>
        <v/>
      </c>
      <c r="G68" s="106" t="n"/>
      <c r="H68" s="350">
        <f>IF(G68="Sim",IF(OR(F68="",D68="",L68=""),"",IF(L68="Sim",ROUND(F68-D68,2),0)),0)</f>
        <v/>
      </c>
      <c r="I68" s="350">
        <f>IF(G68="Sim",0,IF(OR(F68="",L68=""),"",F68))</f>
        <v/>
      </c>
      <c r="J68" s="350">
        <f>IF(G68="Sim",0,IF(OR(F68="",D68="",L68=""),"",IF(L68="Sim",ROUND(F68-D68,2),0)))</f>
        <v/>
      </c>
      <c r="K68" s="97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10" t="inlineStr">
        <is>
          <t>Nao</t>
        </is>
      </c>
      <c r="W68" s="110" t="inlineStr">
        <is>
          <t>PC em analise</t>
        </is>
      </c>
      <c r="X68" s="110" t="inlineStr">
        <is>
          <t>Pedido de Compra</t>
        </is>
      </c>
      <c r="Y68" s="111" t="inlineStr">
        <is>
          <t>Impacto Potencial</t>
        </is>
      </c>
      <c r="Z68" s="111" t="inlineStr">
        <is>
          <t>PC</t>
        </is>
      </c>
      <c r="AA68" s="111" t="inlineStr">
        <is>
          <t>Nao</t>
        </is>
      </c>
      <c r="AB68" s="111" t="inlineStr">
        <is>
          <t>NAO_COMPUTADO</t>
        </is>
      </c>
      <c r="AC68" s="112" t="inlineStr">
        <is>
          <t>Estrutura Fase 1: sem impacto no VTA oficial</t>
        </is>
      </c>
    </row>
    <row r="69" ht="25.5" customHeight="1" s="289">
      <c r="A69" s="205" t="n"/>
      <c r="B69" s="207" t="n"/>
      <c r="C69" s="104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348" t="n"/>
      <c r="E69" s="349">
        <f>IF(C69="","",IFERROR(VLOOKUP(C69,parametros!$A$11:$E$15,5,0),""))</f>
        <v/>
      </c>
      <c r="F69" s="335">
        <f>IF(OR(D69="",E69=""),"",ROUND(D69*E69,2))</f>
        <v/>
      </c>
      <c r="G69" s="106" t="n"/>
      <c r="H69" s="350">
        <f>IF(G69="Sim",IF(OR(F69="",D69="",L69=""),"",IF(L69="Sim",ROUND(F69-D69,2),0)),0)</f>
        <v/>
      </c>
      <c r="I69" s="350">
        <f>IF(G69="Sim",0,IF(OR(F69="",L69=""),"",F69))</f>
        <v/>
      </c>
      <c r="J69" s="350">
        <f>IF(G69="Sim",0,IF(OR(F69="",D69="",L69=""),"",IF(L69="Sim",ROUND(F69-D69,2),0)))</f>
        <v/>
      </c>
      <c r="K69" s="97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10" t="inlineStr">
        <is>
          <t>Nao</t>
        </is>
      </c>
      <c r="W69" s="110" t="inlineStr">
        <is>
          <t>PC em analise</t>
        </is>
      </c>
      <c r="X69" s="110" t="inlineStr">
        <is>
          <t>Pedido de Compra</t>
        </is>
      </c>
      <c r="Y69" s="111" t="inlineStr">
        <is>
          <t>Impacto Potencial</t>
        </is>
      </c>
      <c r="Z69" s="111" t="inlineStr">
        <is>
          <t>PC</t>
        </is>
      </c>
      <c r="AA69" s="111" t="inlineStr">
        <is>
          <t>Nao</t>
        </is>
      </c>
      <c r="AB69" s="111" t="inlineStr">
        <is>
          <t>NAO_COMPUTADO</t>
        </is>
      </c>
      <c r="AC69" s="112" t="inlineStr">
        <is>
          <t>Estrutura Fase 1: sem impacto no VTA oficial</t>
        </is>
      </c>
    </row>
    <row r="70" ht="25.5" customHeight="1" s="289">
      <c r="A70" s="205" t="n"/>
      <c r="B70" s="207" t="n"/>
      <c r="C70" s="104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348" t="n"/>
      <c r="E70" s="349">
        <f>IF(C70="","",IFERROR(VLOOKUP(C70,parametros!$A$11:$E$15,5,0),""))</f>
        <v/>
      </c>
      <c r="F70" s="335">
        <f>IF(OR(D70="",E70=""),"",ROUND(D70*E70,2))</f>
        <v/>
      </c>
      <c r="G70" s="106" t="n"/>
      <c r="H70" s="350">
        <f>IF(G70="Sim",IF(OR(F70="",D70="",L70=""),"",IF(L70="Sim",ROUND(F70-D70,2),0)),0)</f>
        <v/>
      </c>
      <c r="I70" s="350">
        <f>IF(G70="Sim",0,IF(OR(F70="",L70=""),"",F70))</f>
        <v/>
      </c>
      <c r="J70" s="350">
        <f>IF(G70="Sim",0,IF(OR(F70="",D70="",L70=""),"",IF(L70="Sim",ROUND(F70-D70,2),0)))</f>
        <v/>
      </c>
      <c r="K70" s="97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10" t="inlineStr">
        <is>
          <t>Nao</t>
        </is>
      </c>
      <c r="W70" s="110" t="inlineStr">
        <is>
          <t>PC em analise</t>
        </is>
      </c>
      <c r="X70" s="110" t="inlineStr">
        <is>
          <t>Pedido de Compra</t>
        </is>
      </c>
      <c r="Y70" s="111" t="inlineStr">
        <is>
          <t>Impacto Potencial</t>
        </is>
      </c>
      <c r="Z70" s="111" t="inlineStr">
        <is>
          <t>PC</t>
        </is>
      </c>
      <c r="AA70" s="111" t="inlineStr">
        <is>
          <t>Nao</t>
        </is>
      </c>
      <c r="AB70" s="111" t="inlineStr">
        <is>
          <t>NAO_COMPUTADO</t>
        </is>
      </c>
      <c r="AC70" s="112" t="inlineStr">
        <is>
          <t>Estrutura Fase 1: sem impacto no VTA oficial</t>
        </is>
      </c>
    </row>
    <row r="71" ht="25.5" customHeight="1" s="289">
      <c r="A71" s="205" t="n"/>
      <c r="B71" s="207" t="n"/>
      <c r="C71" s="104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348" t="n"/>
      <c r="E71" s="349">
        <f>IF(C71="","",IFERROR(VLOOKUP(C71,parametros!$A$11:$E$15,5,0),""))</f>
        <v/>
      </c>
      <c r="F71" s="335">
        <f>IF(OR(D71="",E71=""),"",ROUND(D71*E71,2))</f>
        <v/>
      </c>
      <c r="G71" s="106" t="n"/>
      <c r="H71" s="350">
        <f>IF(G71="Sim",IF(OR(F71="",D71="",L71=""),"",IF(L71="Sim",ROUND(F71-D71,2),0)),0)</f>
        <v/>
      </c>
      <c r="I71" s="350">
        <f>IF(G71="Sim",0,IF(OR(F71="",L71=""),"",F71))</f>
        <v/>
      </c>
      <c r="J71" s="350">
        <f>IF(G71="Sim",0,IF(OR(F71="",D71="",L71=""),"",IF(L71="Sim",ROUND(F71-D71,2),0)))</f>
        <v/>
      </c>
      <c r="K71" s="97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10" t="inlineStr">
        <is>
          <t>Nao</t>
        </is>
      </c>
      <c r="W71" s="110" t="inlineStr">
        <is>
          <t>PC em analise</t>
        </is>
      </c>
      <c r="X71" s="110" t="inlineStr">
        <is>
          <t>Pedido de Compra</t>
        </is>
      </c>
      <c r="Y71" s="111" t="inlineStr">
        <is>
          <t>Impacto Potencial</t>
        </is>
      </c>
      <c r="Z71" s="111" t="inlineStr">
        <is>
          <t>PC</t>
        </is>
      </c>
      <c r="AA71" s="111" t="inlineStr">
        <is>
          <t>Nao</t>
        </is>
      </c>
      <c r="AB71" s="111" t="inlineStr">
        <is>
          <t>NAO_COMPUTADO</t>
        </is>
      </c>
      <c r="AC71" s="112" t="inlineStr">
        <is>
          <t>Estrutura Fase 1: sem impacto no VTA oficial</t>
        </is>
      </c>
    </row>
    <row r="72" ht="25.5" customHeight="1" s="289">
      <c r="A72" s="205" t="n"/>
      <c r="B72" s="207" t="n"/>
      <c r="C72" s="104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348" t="n"/>
      <c r="E72" s="349">
        <f>IF(C72="","",IFERROR(VLOOKUP(C72,parametros!$A$11:$E$15,5,0),""))</f>
        <v/>
      </c>
      <c r="F72" s="335">
        <f>IF(OR(D72="",E72=""),"",ROUND(D72*E72,2))</f>
        <v/>
      </c>
      <c r="G72" s="106" t="n"/>
      <c r="H72" s="350">
        <f>IF(G72="Sim",IF(OR(F72="",D72="",L72=""),"",IF(L72="Sim",ROUND(F72-D72,2),0)),0)</f>
        <v/>
      </c>
      <c r="I72" s="350">
        <f>IF(G72="Sim",0,IF(OR(F72="",L72=""),"",F72))</f>
        <v/>
      </c>
      <c r="J72" s="350">
        <f>IF(G72="Sim",0,IF(OR(F72="",D72="",L72=""),"",IF(L72="Sim",ROUND(F72-D72,2),0)))</f>
        <v/>
      </c>
      <c r="K72" s="97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10" t="inlineStr">
        <is>
          <t>Nao</t>
        </is>
      </c>
      <c r="W72" s="110" t="inlineStr">
        <is>
          <t>PC em analise</t>
        </is>
      </c>
      <c r="X72" s="110" t="inlineStr">
        <is>
          <t>Pedido de Compra</t>
        </is>
      </c>
      <c r="Y72" s="111" t="inlineStr">
        <is>
          <t>Impacto Potencial</t>
        </is>
      </c>
      <c r="Z72" s="111" t="inlineStr">
        <is>
          <t>PC</t>
        </is>
      </c>
      <c r="AA72" s="111" t="inlineStr">
        <is>
          <t>Nao</t>
        </is>
      </c>
      <c r="AB72" s="111" t="inlineStr">
        <is>
          <t>NAO_COMPUTADO</t>
        </is>
      </c>
      <c r="AC72" s="112" t="inlineStr">
        <is>
          <t>Estrutura Fase 1: sem impacto no VTA oficial</t>
        </is>
      </c>
    </row>
    <row r="73" ht="25.5" customHeight="1" s="289">
      <c r="A73" s="205" t="n"/>
      <c r="B73" s="207" t="n"/>
      <c r="C73" s="104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348" t="n"/>
      <c r="E73" s="349">
        <f>IF(C73="","",IFERROR(VLOOKUP(C73,parametros!$A$11:$E$15,5,0),""))</f>
        <v/>
      </c>
      <c r="F73" s="335">
        <f>IF(OR(D73="",E73=""),"",ROUND(D73*E73,2))</f>
        <v/>
      </c>
      <c r="G73" s="106" t="n"/>
      <c r="H73" s="350">
        <f>IF(G73="Sim",IF(OR(F73="",D73="",L73=""),"",IF(L73="Sim",ROUND(F73-D73,2),0)),0)</f>
        <v/>
      </c>
      <c r="I73" s="350">
        <f>IF(G73="Sim",0,IF(OR(F73="",L73=""),"",F73))</f>
        <v/>
      </c>
      <c r="J73" s="350">
        <f>IF(G73="Sim",0,IF(OR(F73="",D73="",L73=""),"",IF(L73="Sim",ROUND(F73-D73,2),0)))</f>
        <v/>
      </c>
      <c r="K73" s="97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10" t="inlineStr">
        <is>
          <t>Nao</t>
        </is>
      </c>
      <c r="W73" s="110" t="inlineStr">
        <is>
          <t>PC em analise</t>
        </is>
      </c>
      <c r="X73" s="110" t="inlineStr">
        <is>
          <t>Pedido de Compra</t>
        </is>
      </c>
      <c r="Y73" s="111" t="inlineStr">
        <is>
          <t>Impacto Potencial</t>
        </is>
      </c>
      <c r="Z73" s="111" t="inlineStr">
        <is>
          <t>PC</t>
        </is>
      </c>
      <c r="AA73" s="111" t="inlineStr">
        <is>
          <t>Nao</t>
        </is>
      </c>
      <c r="AB73" s="111" t="inlineStr">
        <is>
          <t>NAO_COMPUTADO</t>
        </is>
      </c>
      <c r="AC73" s="112" t="inlineStr">
        <is>
          <t>Estrutura Fase 1: sem impacto no VTA oficial</t>
        </is>
      </c>
    </row>
    <row r="74" ht="25.5" customHeight="1" s="289">
      <c r="A74" s="205" t="n"/>
      <c r="B74" s="207" t="n"/>
      <c r="C74" s="104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348" t="n"/>
      <c r="E74" s="349">
        <f>IF(C74="","",IFERROR(VLOOKUP(C74,parametros!$A$11:$E$15,5,0),""))</f>
        <v/>
      </c>
      <c r="F74" s="335">
        <f>IF(OR(D74="",E74=""),"",ROUND(D74*E74,2))</f>
        <v/>
      </c>
      <c r="G74" s="106" t="n"/>
      <c r="H74" s="350">
        <f>IF(G74="Sim",IF(OR(F74="",D74="",L74=""),"",IF(L74="Sim",ROUND(F74-D74,2),0)),0)</f>
        <v/>
      </c>
      <c r="I74" s="350">
        <f>IF(G74="Sim",0,IF(OR(F74="",L74=""),"",F74))</f>
        <v/>
      </c>
      <c r="J74" s="350">
        <f>IF(G74="Sim",0,IF(OR(F74="",D74="",L74=""),"",IF(L74="Sim",ROUND(F74-D74,2),0)))</f>
        <v/>
      </c>
      <c r="K74" s="97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10" t="inlineStr">
        <is>
          <t>Nao</t>
        </is>
      </c>
      <c r="W74" s="110" t="inlineStr">
        <is>
          <t>PC em analise</t>
        </is>
      </c>
      <c r="X74" s="110" t="inlineStr">
        <is>
          <t>Pedido de Compra</t>
        </is>
      </c>
      <c r="Y74" s="111" t="inlineStr">
        <is>
          <t>Impacto Potencial</t>
        </is>
      </c>
      <c r="Z74" s="111" t="inlineStr">
        <is>
          <t>PC</t>
        </is>
      </c>
      <c r="AA74" s="111" t="inlineStr">
        <is>
          <t>Nao</t>
        </is>
      </c>
      <c r="AB74" s="111" t="inlineStr">
        <is>
          <t>NAO_COMPUTADO</t>
        </is>
      </c>
      <c r="AC74" s="112" t="inlineStr">
        <is>
          <t>Estrutura Fase 1: sem impacto no VTA oficial</t>
        </is>
      </c>
    </row>
    <row r="75" ht="25.5" customHeight="1" s="289">
      <c r="A75" s="205" t="n"/>
      <c r="B75" s="207" t="n"/>
      <c r="C75" s="104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348" t="n"/>
      <c r="E75" s="349">
        <f>IF(C75="","",IFERROR(VLOOKUP(C75,parametros!$A$11:$E$15,5,0),""))</f>
        <v/>
      </c>
      <c r="F75" s="335">
        <f>IF(OR(D75="",E75=""),"",ROUND(D75*E75,2))</f>
        <v/>
      </c>
      <c r="G75" s="106" t="n"/>
      <c r="H75" s="350">
        <f>IF(G75="Sim",IF(OR(F75="",D75="",L75=""),"",IF(L75="Sim",ROUND(F75-D75,2),0)),0)</f>
        <v/>
      </c>
      <c r="I75" s="350">
        <f>IF(G75="Sim",0,IF(OR(F75="",L75=""),"",F75))</f>
        <v/>
      </c>
      <c r="J75" s="350">
        <f>IF(G75="Sim",0,IF(OR(F75="",D75="",L75=""),"",IF(L75="Sim",ROUND(F75-D75,2),0)))</f>
        <v/>
      </c>
      <c r="K75" s="97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10" t="inlineStr">
        <is>
          <t>Nao</t>
        </is>
      </c>
      <c r="W75" s="110" t="inlineStr">
        <is>
          <t>PC em analise</t>
        </is>
      </c>
      <c r="X75" s="110" t="inlineStr">
        <is>
          <t>Pedido de Compra</t>
        </is>
      </c>
      <c r="Y75" s="111" t="inlineStr">
        <is>
          <t>Impacto Potencial</t>
        </is>
      </c>
      <c r="Z75" s="111" t="inlineStr">
        <is>
          <t>PC</t>
        </is>
      </c>
      <c r="AA75" s="111" t="inlineStr">
        <is>
          <t>Nao</t>
        </is>
      </c>
      <c r="AB75" s="111" t="inlineStr">
        <is>
          <t>NAO_COMPUTADO</t>
        </is>
      </c>
      <c r="AC75" s="112" t="inlineStr">
        <is>
          <t>Estrutura Fase 1: sem impacto no VTA oficial</t>
        </is>
      </c>
    </row>
    <row r="76" ht="25.5" customHeight="1" s="289">
      <c r="A76" s="205" t="n"/>
      <c r="B76" s="207" t="n"/>
      <c r="C76" s="104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348" t="n"/>
      <c r="E76" s="349">
        <f>IF(C76="","",IFERROR(VLOOKUP(C76,parametros!$A$11:$E$15,5,0),""))</f>
        <v/>
      </c>
      <c r="F76" s="335">
        <f>IF(OR(D76="",E76=""),"",ROUND(D76*E76,2))</f>
        <v/>
      </c>
      <c r="G76" s="106" t="n"/>
      <c r="H76" s="350">
        <f>IF(G76="Sim",IF(OR(F76="",D76="",L76=""),"",IF(L76="Sim",ROUND(F76-D76,2),0)),0)</f>
        <v/>
      </c>
      <c r="I76" s="350">
        <f>IF(G76="Sim",0,IF(OR(F76="",L76=""),"",F76))</f>
        <v/>
      </c>
      <c r="J76" s="350">
        <f>IF(G76="Sim",0,IF(OR(F76="",D76="",L76=""),"",IF(L76="Sim",ROUND(F76-D76,2),0)))</f>
        <v/>
      </c>
      <c r="K76" s="97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10" t="inlineStr">
        <is>
          <t>Nao</t>
        </is>
      </c>
      <c r="W76" s="110" t="inlineStr">
        <is>
          <t>PC em analise</t>
        </is>
      </c>
      <c r="X76" s="110" t="inlineStr">
        <is>
          <t>Pedido de Compra</t>
        </is>
      </c>
      <c r="Y76" s="111" t="inlineStr">
        <is>
          <t>Impacto Potencial</t>
        </is>
      </c>
      <c r="Z76" s="111" t="inlineStr">
        <is>
          <t>PC</t>
        </is>
      </c>
      <c r="AA76" s="111" t="inlineStr">
        <is>
          <t>Nao</t>
        </is>
      </c>
      <c r="AB76" s="111" t="inlineStr">
        <is>
          <t>NAO_COMPUTADO</t>
        </is>
      </c>
      <c r="AC76" s="112" t="inlineStr">
        <is>
          <t>Estrutura Fase 1: sem impacto no VTA oficial</t>
        </is>
      </c>
    </row>
    <row r="77" ht="25.5" customHeight="1" s="289">
      <c r="A77" s="205" t="n"/>
      <c r="B77" s="207" t="n"/>
      <c r="C77" s="104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348" t="n"/>
      <c r="E77" s="349">
        <f>IF(C77="","",IFERROR(VLOOKUP(C77,parametros!$A$11:$E$15,5,0),""))</f>
        <v/>
      </c>
      <c r="F77" s="335">
        <f>IF(OR(D77="",E77=""),"",ROUND(D77*E77,2))</f>
        <v/>
      </c>
      <c r="G77" s="106" t="n"/>
      <c r="H77" s="350">
        <f>IF(G77="Sim",IF(OR(F77="",D77="",L77=""),"",IF(L77="Sim",ROUND(F77-D77,2),0)),0)</f>
        <v/>
      </c>
      <c r="I77" s="350">
        <f>IF(G77="Sim",0,IF(OR(F77="",L77=""),"",F77))</f>
        <v/>
      </c>
      <c r="J77" s="350">
        <f>IF(G77="Sim",0,IF(OR(F77="",D77="",L77=""),"",IF(L77="Sim",ROUND(F77-D77,2),0)))</f>
        <v/>
      </c>
      <c r="K77" s="97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10" t="inlineStr">
        <is>
          <t>Nao</t>
        </is>
      </c>
      <c r="W77" s="110" t="inlineStr">
        <is>
          <t>PC em analise</t>
        </is>
      </c>
      <c r="X77" s="110" t="inlineStr">
        <is>
          <t>Pedido de Compra</t>
        </is>
      </c>
      <c r="Y77" s="111" t="inlineStr">
        <is>
          <t>Impacto Potencial</t>
        </is>
      </c>
      <c r="Z77" s="111" t="inlineStr">
        <is>
          <t>PC</t>
        </is>
      </c>
      <c r="AA77" s="111" t="inlineStr">
        <is>
          <t>Nao</t>
        </is>
      </c>
      <c r="AB77" s="111" t="inlineStr">
        <is>
          <t>NAO_COMPUTADO</t>
        </is>
      </c>
      <c r="AC77" s="112" t="inlineStr">
        <is>
          <t>Estrutura Fase 1: sem impacto no VTA oficial</t>
        </is>
      </c>
    </row>
    <row r="78" ht="25.5" customHeight="1" s="289">
      <c r="A78" s="205" t="n"/>
      <c r="B78" s="207" t="n"/>
      <c r="C78" s="104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348" t="n"/>
      <c r="E78" s="349">
        <f>IF(C78="","",IFERROR(VLOOKUP(C78,parametros!$A$11:$E$15,5,0),""))</f>
        <v/>
      </c>
      <c r="F78" s="335">
        <f>IF(OR(D78="",E78=""),"",ROUND(D78*E78,2))</f>
        <v/>
      </c>
      <c r="G78" s="106" t="n"/>
      <c r="H78" s="350">
        <f>IF(G78="Sim",IF(OR(F78="",D78="",L78=""),"",IF(L78="Sim",ROUND(F78-D78,2),0)),0)</f>
        <v/>
      </c>
      <c r="I78" s="350">
        <f>IF(G78="Sim",0,IF(OR(F78="",L78=""),"",F78))</f>
        <v/>
      </c>
      <c r="J78" s="350">
        <f>IF(G78="Sim",0,IF(OR(F78="",D78="",L78=""),"",IF(L78="Sim",ROUND(F78-D78,2),0)))</f>
        <v/>
      </c>
      <c r="K78" s="97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10" t="inlineStr">
        <is>
          <t>Nao</t>
        </is>
      </c>
      <c r="W78" s="110" t="inlineStr">
        <is>
          <t>PC em analise</t>
        </is>
      </c>
      <c r="X78" s="110" t="inlineStr">
        <is>
          <t>Pedido de Compra</t>
        </is>
      </c>
      <c r="Y78" s="111" t="inlineStr">
        <is>
          <t>Impacto Potencial</t>
        </is>
      </c>
      <c r="Z78" s="111" t="inlineStr">
        <is>
          <t>PC</t>
        </is>
      </c>
      <c r="AA78" s="111" t="inlineStr">
        <is>
          <t>Nao</t>
        </is>
      </c>
      <c r="AB78" s="111" t="inlineStr">
        <is>
          <t>NAO_COMPUTADO</t>
        </is>
      </c>
      <c r="AC78" s="112" t="inlineStr">
        <is>
          <t>Estrutura Fase 1: sem impacto no VTA oficial</t>
        </is>
      </c>
    </row>
    <row r="79" ht="25.5" customHeight="1" s="289">
      <c r="A79" s="205" t="n"/>
      <c r="B79" s="207" t="n"/>
      <c r="C79" s="104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348" t="n"/>
      <c r="E79" s="349">
        <f>IF(C79="","",IFERROR(VLOOKUP(C79,parametros!$A$11:$E$15,5,0),""))</f>
        <v/>
      </c>
      <c r="F79" s="335">
        <f>IF(OR(D79="",E79=""),"",ROUND(D79*E79,2))</f>
        <v/>
      </c>
      <c r="G79" s="106" t="n"/>
      <c r="H79" s="350">
        <f>IF(G79="Sim",IF(OR(F79="",D79="",L79=""),"",IF(L79="Sim",ROUND(F79-D79,2),0)),0)</f>
        <v/>
      </c>
      <c r="I79" s="350">
        <f>IF(G79="Sim",0,IF(OR(F79="",L79=""),"",F79))</f>
        <v/>
      </c>
      <c r="J79" s="350">
        <f>IF(G79="Sim",0,IF(OR(F79="",D79="",L79=""),"",IF(L79="Sim",ROUND(F79-D79,2),0)))</f>
        <v/>
      </c>
      <c r="K79" s="97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10" t="inlineStr">
        <is>
          <t>Nao</t>
        </is>
      </c>
      <c r="W79" s="110" t="inlineStr">
        <is>
          <t>PC em analise</t>
        </is>
      </c>
      <c r="X79" s="110" t="inlineStr">
        <is>
          <t>Pedido de Compra</t>
        </is>
      </c>
      <c r="Y79" s="111" t="inlineStr">
        <is>
          <t>Impacto Potencial</t>
        </is>
      </c>
      <c r="Z79" s="111" t="inlineStr">
        <is>
          <t>PC</t>
        </is>
      </c>
      <c r="AA79" s="111" t="inlineStr">
        <is>
          <t>Nao</t>
        </is>
      </c>
      <c r="AB79" s="111" t="inlineStr">
        <is>
          <t>NAO_COMPUTADO</t>
        </is>
      </c>
      <c r="AC79" s="112" t="inlineStr">
        <is>
          <t>Estrutura Fase 1: sem impacto no VTA oficial</t>
        </is>
      </c>
    </row>
    <row r="80" ht="25.5" customHeight="1" s="289">
      <c r="A80" s="205" t="n"/>
      <c r="B80" s="207" t="n"/>
      <c r="C80" s="104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348" t="n"/>
      <c r="E80" s="349">
        <f>IF(C80="","",IFERROR(VLOOKUP(C80,parametros!$A$11:$E$15,5,0),""))</f>
        <v/>
      </c>
      <c r="F80" s="335">
        <f>IF(OR(D80="",E80=""),"",ROUND(D80*E80,2))</f>
        <v/>
      </c>
      <c r="G80" s="106" t="n"/>
      <c r="H80" s="350">
        <f>IF(G80="Sim",IF(OR(F80="",D80="",L80=""),"",IF(L80="Sim",ROUND(F80-D80,2),0)),0)</f>
        <v/>
      </c>
      <c r="I80" s="350">
        <f>IF(G80="Sim",0,IF(OR(F80="",L80=""),"",F80))</f>
        <v/>
      </c>
      <c r="J80" s="350">
        <f>IF(G80="Sim",0,IF(OR(F80="",D80="",L80=""),"",IF(L80="Sim",ROUND(F80-D80,2),0)))</f>
        <v/>
      </c>
      <c r="K80" s="97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10" t="inlineStr">
        <is>
          <t>Nao</t>
        </is>
      </c>
      <c r="W80" s="110" t="inlineStr">
        <is>
          <t>PC em analise</t>
        </is>
      </c>
      <c r="X80" s="110" t="inlineStr">
        <is>
          <t>Pedido de Compra</t>
        </is>
      </c>
      <c r="Y80" s="111" t="inlineStr">
        <is>
          <t>Impacto Potencial</t>
        </is>
      </c>
      <c r="Z80" s="111" t="inlineStr">
        <is>
          <t>PC</t>
        </is>
      </c>
      <c r="AA80" s="111" t="inlineStr">
        <is>
          <t>Nao</t>
        </is>
      </c>
      <c r="AB80" s="111" t="inlineStr">
        <is>
          <t>NAO_COMPUTADO</t>
        </is>
      </c>
      <c r="AC80" s="112" t="inlineStr">
        <is>
          <t>Estrutura Fase 1: sem impacto no VTA oficial</t>
        </is>
      </c>
    </row>
    <row r="81" ht="25.5" customHeight="1" s="289">
      <c r="A81" s="205" t="n"/>
      <c r="B81" s="207" t="n"/>
      <c r="C81" s="104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348" t="n"/>
      <c r="E81" s="349">
        <f>IF(C81="","",IFERROR(VLOOKUP(C81,parametros!$A$11:$E$15,5,0),""))</f>
        <v/>
      </c>
      <c r="F81" s="335">
        <f>IF(OR(D81="",E81=""),"",ROUND(D81*E81,2))</f>
        <v/>
      </c>
      <c r="G81" s="106" t="n"/>
      <c r="H81" s="350">
        <f>IF(G81="Sim",IF(OR(F81="",D81="",L81=""),"",IF(L81="Sim",ROUND(F81-D81,2),0)),0)</f>
        <v/>
      </c>
      <c r="I81" s="350">
        <f>IF(G81="Sim",0,IF(OR(F81="",L81=""),"",F81))</f>
        <v/>
      </c>
      <c r="J81" s="350">
        <f>IF(G81="Sim",0,IF(OR(F81="",D81="",L81=""),"",IF(L81="Sim",ROUND(F81-D81,2),0)))</f>
        <v/>
      </c>
      <c r="K81" s="97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10" t="inlineStr">
        <is>
          <t>Nao</t>
        </is>
      </c>
      <c r="W81" s="110" t="inlineStr">
        <is>
          <t>PC em analise</t>
        </is>
      </c>
      <c r="X81" s="110" t="inlineStr">
        <is>
          <t>Pedido de Compra</t>
        </is>
      </c>
      <c r="Y81" s="111" t="inlineStr">
        <is>
          <t>Impacto Potencial</t>
        </is>
      </c>
      <c r="Z81" s="111" t="inlineStr">
        <is>
          <t>PC</t>
        </is>
      </c>
      <c r="AA81" s="111" t="inlineStr">
        <is>
          <t>Nao</t>
        </is>
      </c>
      <c r="AB81" s="111" t="inlineStr">
        <is>
          <t>NAO_COMPUTADO</t>
        </is>
      </c>
      <c r="AC81" s="112" t="inlineStr">
        <is>
          <t>Estrutura Fase 1: sem impacto no VTA oficial</t>
        </is>
      </c>
    </row>
    <row r="82" ht="25.5" customHeight="1" s="289">
      <c r="A82" s="205" t="n"/>
      <c r="B82" s="207" t="n"/>
      <c r="C82" s="104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348" t="n"/>
      <c r="E82" s="349">
        <f>IF(C82="","",IFERROR(VLOOKUP(C82,parametros!$A$11:$E$15,5,0),""))</f>
        <v/>
      </c>
      <c r="F82" s="335">
        <f>IF(OR(D82="",E82=""),"",ROUND(D82*E82,2))</f>
        <v/>
      </c>
      <c r="G82" s="106" t="n"/>
      <c r="H82" s="350">
        <f>IF(G82="Sim",IF(OR(F82="",D82="",L82=""),"",IF(L82="Sim",ROUND(F82-D82,2),0)),0)</f>
        <v/>
      </c>
      <c r="I82" s="350">
        <f>IF(G82="Sim",0,IF(OR(F82="",L82=""),"",F82))</f>
        <v/>
      </c>
      <c r="J82" s="350">
        <f>IF(G82="Sim",0,IF(OR(F82="",D82="",L82=""),"",IF(L82="Sim",ROUND(F82-D82,2),0)))</f>
        <v/>
      </c>
      <c r="K82" s="97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10" t="inlineStr">
        <is>
          <t>Nao</t>
        </is>
      </c>
      <c r="W82" s="110" t="inlineStr">
        <is>
          <t>PC em analise</t>
        </is>
      </c>
      <c r="X82" s="110" t="inlineStr">
        <is>
          <t>Pedido de Compra</t>
        </is>
      </c>
      <c r="Y82" s="111" t="inlineStr">
        <is>
          <t>Impacto Potencial</t>
        </is>
      </c>
      <c r="Z82" s="111" t="inlineStr">
        <is>
          <t>PC</t>
        </is>
      </c>
      <c r="AA82" s="111" t="inlineStr">
        <is>
          <t>Nao</t>
        </is>
      </c>
      <c r="AB82" s="111" t="inlineStr">
        <is>
          <t>NAO_COMPUTADO</t>
        </is>
      </c>
      <c r="AC82" s="112" t="inlineStr">
        <is>
          <t>Estrutura Fase 1: sem impacto no VTA oficial</t>
        </is>
      </c>
    </row>
    <row r="83" ht="25.5" customHeight="1" s="289">
      <c r="A83" s="205" t="n"/>
      <c r="B83" s="207" t="n"/>
      <c r="C83" s="104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348" t="n"/>
      <c r="E83" s="349">
        <f>IF(C83="","",IFERROR(VLOOKUP(C83,parametros!$A$11:$E$15,5,0),""))</f>
        <v/>
      </c>
      <c r="F83" s="335">
        <f>IF(OR(D83="",E83=""),"",ROUND(D83*E83,2))</f>
        <v/>
      </c>
      <c r="G83" s="106" t="n"/>
      <c r="H83" s="350">
        <f>IF(G83="Sim",IF(OR(F83="",D83="",L83=""),"",IF(L83="Sim",ROUND(F83-D83,2),0)),0)</f>
        <v/>
      </c>
      <c r="I83" s="350">
        <f>IF(G83="Sim",0,IF(OR(F83="",L83=""),"",F83))</f>
        <v/>
      </c>
      <c r="J83" s="350">
        <f>IF(G83="Sim",0,IF(OR(F83="",D83="",L83=""),"",IF(L83="Sim",ROUND(F83-D83,2),0)))</f>
        <v/>
      </c>
      <c r="K83" s="97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10" t="inlineStr">
        <is>
          <t>Nao</t>
        </is>
      </c>
      <c r="W83" s="110" t="inlineStr">
        <is>
          <t>PC em analise</t>
        </is>
      </c>
      <c r="X83" s="110" t="inlineStr">
        <is>
          <t>Pedido de Compra</t>
        </is>
      </c>
      <c r="Y83" s="111" t="inlineStr">
        <is>
          <t>Impacto Potencial</t>
        </is>
      </c>
      <c r="Z83" s="111" t="inlineStr">
        <is>
          <t>PC</t>
        </is>
      </c>
      <c r="AA83" s="111" t="inlineStr">
        <is>
          <t>Nao</t>
        </is>
      </c>
      <c r="AB83" s="111" t="inlineStr">
        <is>
          <t>NAO_COMPUTADO</t>
        </is>
      </c>
      <c r="AC83" s="112" t="inlineStr">
        <is>
          <t>Estrutura Fase 1: sem impacto no VTA oficial</t>
        </is>
      </c>
    </row>
    <row r="84" ht="25.5" customHeight="1" s="289">
      <c r="A84" s="205" t="n"/>
      <c r="B84" s="207" t="n"/>
      <c r="C84" s="104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348" t="n"/>
      <c r="E84" s="349">
        <f>IF(C84="","",IFERROR(VLOOKUP(C84,parametros!$A$11:$E$15,5,0),""))</f>
        <v/>
      </c>
      <c r="F84" s="335">
        <f>IF(OR(D84="",E84=""),"",ROUND(D84*E84,2))</f>
        <v/>
      </c>
      <c r="G84" s="106" t="n"/>
      <c r="H84" s="350">
        <f>IF(G84="Sim",IF(OR(F84="",D84="",L84=""),"",IF(L84="Sim",ROUND(F84-D84,2),0)),0)</f>
        <v/>
      </c>
      <c r="I84" s="350">
        <f>IF(G84="Sim",0,IF(OR(F84="",L84=""),"",F84))</f>
        <v/>
      </c>
      <c r="J84" s="350">
        <f>IF(G84="Sim",0,IF(OR(F84="",D84="",L84=""),"",IF(L84="Sim",ROUND(F84-D84,2),0)))</f>
        <v/>
      </c>
      <c r="K84" s="97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10" t="inlineStr">
        <is>
          <t>Nao</t>
        </is>
      </c>
      <c r="W84" s="110" t="inlineStr">
        <is>
          <t>PC em analise</t>
        </is>
      </c>
      <c r="X84" s="110" t="inlineStr">
        <is>
          <t>Pedido de Compra</t>
        </is>
      </c>
      <c r="Y84" s="111" t="inlineStr">
        <is>
          <t>Impacto Potencial</t>
        </is>
      </c>
      <c r="Z84" s="111" t="inlineStr">
        <is>
          <t>PC</t>
        </is>
      </c>
      <c r="AA84" s="111" t="inlineStr">
        <is>
          <t>Nao</t>
        </is>
      </c>
      <c r="AB84" s="111" t="inlineStr">
        <is>
          <t>NAO_COMPUTADO</t>
        </is>
      </c>
      <c r="AC84" s="112" t="inlineStr">
        <is>
          <t>Estrutura Fase 1: sem impacto no VTA oficial</t>
        </is>
      </c>
    </row>
    <row r="85" ht="25.5" customHeight="1" s="289">
      <c r="A85" s="205" t="n"/>
      <c r="B85" s="207" t="n"/>
      <c r="C85" s="104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348" t="n"/>
      <c r="E85" s="349">
        <f>IF(C85="","",IFERROR(VLOOKUP(C85,parametros!$A$11:$E$15,5,0),""))</f>
        <v/>
      </c>
      <c r="F85" s="335">
        <f>IF(OR(D85="",E85=""),"",ROUND(D85*E85,2))</f>
        <v/>
      </c>
      <c r="G85" s="106" t="n"/>
      <c r="H85" s="350">
        <f>IF(G85="Sim",IF(OR(F85="",D85="",L85=""),"",IF(L85="Sim",ROUND(F85-D85,2),0)),0)</f>
        <v/>
      </c>
      <c r="I85" s="350">
        <f>IF(G85="Sim",0,IF(OR(F85="",L85=""),"",F85))</f>
        <v/>
      </c>
      <c r="J85" s="350">
        <f>IF(G85="Sim",0,IF(OR(F85="",D85="",L85=""),"",IF(L85="Sim",ROUND(F85-D85,2),0)))</f>
        <v/>
      </c>
      <c r="K85" s="97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10" t="inlineStr">
        <is>
          <t>Nao</t>
        </is>
      </c>
      <c r="W85" s="110" t="inlineStr">
        <is>
          <t>PC em analise</t>
        </is>
      </c>
      <c r="X85" s="110" t="inlineStr">
        <is>
          <t>Pedido de Compra</t>
        </is>
      </c>
      <c r="Y85" s="111" t="inlineStr">
        <is>
          <t>Impacto Potencial</t>
        </is>
      </c>
      <c r="Z85" s="111" t="inlineStr">
        <is>
          <t>PC</t>
        </is>
      </c>
      <c r="AA85" s="111" t="inlineStr">
        <is>
          <t>Nao</t>
        </is>
      </c>
      <c r="AB85" s="111" t="inlineStr">
        <is>
          <t>NAO_COMPUTADO</t>
        </is>
      </c>
      <c r="AC85" s="112" t="inlineStr">
        <is>
          <t>Estrutura Fase 1: sem impacto no VTA oficial</t>
        </is>
      </c>
    </row>
    <row r="86" ht="25.5" customHeight="1" s="289">
      <c r="A86" s="205" t="n"/>
      <c r="B86" s="207" t="n"/>
      <c r="C86" s="104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348" t="n"/>
      <c r="E86" s="349">
        <f>IF(C86="","",IFERROR(VLOOKUP(C86,parametros!$A$11:$E$15,5,0),""))</f>
        <v/>
      </c>
      <c r="F86" s="335">
        <f>IF(OR(D86="",E86=""),"",ROUND(D86*E86,2))</f>
        <v/>
      </c>
      <c r="G86" s="106" t="n"/>
      <c r="H86" s="350">
        <f>IF(G86="Sim",IF(OR(F86="",D86="",L86=""),"",IF(L86="Sim",ROUND(F86-D86,2),0)),0)</f>
        <v/>
      </c>
      <c r="I86" s="350">
        <f>IF(G86="Sim",0,IF(OR(F86="",L86=""),"",F86))</f>
        <v/>
      </c>
      <c r="J86" s="350">
        <f>IF(G86="Sim",0,IF(OR(F86="",D86="",L86=""),"",IF(L86="Sim",ROUND(F86-D86,2),0)))</f>
        <v/>
      </c>
      <c r="K86" s="97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10" t="inlineStr">
        <is>
          <t>Nao</t>
        </is>
      </c>
      <c r="W86" s="110" t="inlineStr">
        <is>
          <t>PC em analise</t>
        </is>
      </c>
      <c r="X86" s="110" t="inlineStr">
        <is>
          <t>Pedido de Compra</t>
        </is>
      </c>
      <c r="Y86" s="111" t="inlineStr">
        <is>
          <t>Impacto Potencial</t>
        </is>
      </c>
      <c r="Z86" s="111" t="inlineStr">
        <is>
          <t>PC</t>
        </is>
      </c>
      <c r="AA86" s="111" t="inlineStr">
        <is>
          <t>Nao</t>
        </is>
      </c>
      <c r="AB86" s="111" t="inlineStr">
        <is>
          <t>NAO_COMPUTADO</t>
        </is>
      </c>
      <c r="AC86" s="112" t="inlineStr">
        <is>
          <t>Estrutura Fase 1: sem impacto no VTA oficial</t>
        </is>
      </c>
    </row>
    <row r="87" ht="25.5" customHeight="1" s="289">
      <c r="A87" s="205" t="n"/>
      <c r="B87" s="207" t="n"/>
      <c r="C87" s="104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348" t="n"/>
      <c r="E87" s="349">
        <f>IF(C87="","",IFERROR(VLOOKUP(C87,parametros!$A$11:$E$15,5,0),""))</f>
        <v/>
      </c>
      <c r="F87" s="335">
        <f>IF(OR(D87="",E87=""),"",ROUND(D87*E87,2))</f>
        <v/>
      </c>
      <c r="G87" s="106" t="n"/>
      <c r="H87" s="350">
        <f>IF(G87="Sim",IF(OR(F87="",D87="",L87=""),"",IF(L87="Sim",ROUND(F87-D87,2),0)),0)</f>
        <v/>
      </c>
      <c r="I87" s="350">
        <f>IF(G87="Sim",0,IF(OR(F87="",L87=""),"",F87))</f>
        <v/>
      </c>
      <c r="J87" s="350">
        <f>IF(G87="Sim",0,IF(OR(F87="",D87="",L87=""),"",IF(L87="Sim",ROUND(F87-D87,2),0)))</f>
        <v/>
      </c>
      <c r="K87" s="97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10" t="inlineStr">
        <is>
          <t>Nao</t>
        </is>
      </c>
      <c r="W87" s="110" t="inlineStr">
        <is>
          <t>PC em analise</t>
        </is>
      </c>
      <c r="X87" s="110" t="inlineStr">
        <is>
          <t>Pedido de Compra</t>
        </is>
      </c>
      <c r="Y87" s="111" t="inlineStr">
        <is>
          <t>Impacto Potencial</t>
        </is>
      </c>
      <c r="Z87" s="111" t="inlineStr">
        <is>
          <t>PC</t>
        </is>
      </c>
      <c r="AA87" s="111" t="inlineStr">
        <is>
          <t>Nao</t>
        </is>
      </c>
      <c r="AB87" s="111" t="inlineStr">
        <is>
          <t>NAO_COMPUTADO</t>
        </is>
      </c>
      <c r="AC87" s="112" t="inlineStr">
        <is>
          <t>Estrutura Fase 1: sem impacto no VTA oficial</t>
        </is>
      </c>
    </row>
    <row r="88" ht="25.5" customHeight="1" s="289">
      <c r="A88" s="205" t="n"/>
      <c r="B88" s="207" t="n"/>
      <c r="C88" s="104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348" t="n"/>
      <c r="E88" s="349">
        <f>IF(C88="","",IFERROR(VLOOKUP(C88,parametros!$A$11:$E$15,5,0),""))</f>
        <v/>
      </c>
      <c r="F88" s="335">
        <f>IF(OR(D88="",E88=""),"",ROUND(D88*E88,2))</f>
        <v/>
      </c>
      <c r="G88" s="106" t="n"/>
      <c r="H88" s="350">
        <f>IF(G88="Sim",IF(OR(F88="",D88="",L88=""),"",IF(L88="Sim",ROUND(F88-D88,2),0)),0)</f>
        <v/>
      </c>
      <c r="I88" s="350">
        <f>IF(G88="Sim",0,IF(OR(F88="",L88=""),"",F88))</f>
        <v/>
      </c>
      <c r="J88" s="350">
        <f>IF(G88="Sim",0,IF(OR(F88="",D88="",L88=""),"",IF(L88="Sim",ROUND(F88-D88,2),0)))</f>
        <v/>
      </c>
      <c r="K88" s="97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10" t="inlineStr">
        <is>
          <t>Nao</t>
        </is>
      </c>
      <c r="W88" s="110" t="inlineStr">
        <is>
          <t>PC em analise</t>
        </is>
      </c>
      <c r="X88" s="110" t="inlineStr">
        <is>
          <t>Pedido de Compra</t>
        </is>
      </c>
      <c r="Y88" s="111" t="inlineStr">
        <is>
          <t>Impacto Potencial</t>
        </is>
      </c>
      <c r="Z88" s="111" t="inlineStr">
        <is>
          <t>PC</t>
        </is>
      </c>
      <c r="AA88" s="111" t="inlineStr">
        <is>
          <t>Nao</t>
        </is>
      </c>
      <c r="AB88" s="111" t="inlineStr">
        <is>
          <t>NAO_COMPUTADO</t>
        </is>
      </c>
      <c r="AC88" s="112" t="inlineStr">
        <is>
          <t>Estrutura Fase 1: sem impacto no VTA oficial</t>
        </is>
      </c>
    </row>
    <row r="89" ht="25.5" customHeight="1" s="289">
      <c r="A89" s="205" t="n"/>
      <c r="B89" s="207" t="n"/>
      <c r="C89" s="104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348" t="n"/>
      <c r="E89" s="349">
        <f>IF(C89="","",IFERROR(VLOOKUP(C89,parametros!$A$11:$E$15,5,0),""))</f>
        <v/>
      </c>
      <c r="F89" s="335">
        <f>IF(OR(D89="",E89=""),"",ROUND(D89*E89,2))</f>
        <v/>
      </c>
      <c r="G89" s="106" t="n"/>
      <c r="H89" s="350">
        <f>IF(G89="Sim",IF(OR(F89="",D89="",L89=""),"",IF(L89="Sim",ROUND(F89-D89,2),0)),0)</f>
        <v/>
      </c>
      <c r="I89" s="350">
        <f>IF(G89="Sim",0,IF(OR(F89="",L89=""),"",F89))</f>
        <v/>
      </c>
      <c r="J89" s="350">
        <f>IF(G89="Sim",0,IF(OR(F89="",D89="",L89=""),"",IF(L89="Sim",ROUND(F89-D89,2),0)))</f>
        <v/>
      </c>
      <c r="K89" s="97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10" t="inlineStr">
        <is>
          <t>Nao</t>
        </is>
      </c>
      <c r="W89" s="110" t="inlineStr">
        <is>
          <t>PC em analise</t>
        </is>
      </c>
      <c r="X89" s="110" t="inlineStr">
        <is>
          <t>Pedido de Compra</t>
        </is>
      </c>
      <c r="Y89" s="111" t="inlineStr">
        <is>
          <t>Impacto Potencial</t>
        </is>
      </c>
      <c r="Z89" s="111" t="inlineStr">
        <is>
          <t>PC</t>
        </is>
      </c>
      <c r="AA89" s="111" t="inlineStr">
        <is>
          <t>Nao</t>
        </is>
      </c>
      <c r="AB89" s="111" t="inlineStr">
        <is>
          <t>NAO_COMPUTADO</t>
        </is>
      </c>
      <c r="AC89" s="112" t="inlineStr">
        <is>
          <t>Estrutura Fase 1: sem impacto no VTA oficial</t>
        </is>
      </c>
    </row>
    <row r="90" ht="25.5" customHeight="1" s="289">
      <c r="A90" s="205" t="n"/>
      <c r="B90" s="207" t="n"/>
      <c r="C90" s="104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348" t="n"/>
      <c r="E90" s="349">
        <f>IF(C90="","",IFERROR(VLOOKUP(C90,parametros!$A$11:$E$15,5,0),""))</f>
        <v/>
      </c>
      <c r="F90" s="335">
        <f>IF(OR(D90="",E90=""),"",ROUND(D90*E90,2))</f>
        <v/>
      </c>
      <c r="G90" s="106" t="n"/>
      <c r="H90" s="350">
        <f>IF(G90="Sim",IF(OR(F90="",D90="",L90=""),"",IF(L90="Sim",ROUND(F90-D90,2),0)),0)</f>
        <v/>
      </c>
      <c r="I90" s="350">
        <f>IF(G90="Sim",0,IF(OR(F90="",L90=""),"",F90))</f>
        <v/>
      </c>
      <c r="J90" s="350">
        <f>IF(G90="Sim",0,IF(OR(F90="",D90="",L90=""),"",IF(L90="Sim",ROUND(F90-D90,2),0)))</f>
        <v/>
      </c>
      <c r="K90" s="97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10" t="inlineStr">
        <is>
          <t>Nao</t>
        </is>
      </c>
      <c r="W90" s="110" t="inlineStr">
        <is>
          <t>PC em analise</t>
        </is>
      </c>
      <c r="X90" s="110" t="inlineStr">
        <is>
          <t>Pedido de Compra</t>
        </is>
      </c>
      <c r="Y90" s="111" t="inlineStr">
        <is>
          <t>Impacto Potencial</t>
        </is>
      </c>
      <c r="Z90" s="111" t="inlineStr">
        <is>
          <t>PC</t>
        </is>
      </c>
      <c r="AA90" s="111" t="inlineStr">
        <is>
          <t>Nao</t>
        </is>
      </c>
      <c r="AB90" s="111" t="inlineStr">
        <is>
          <t>NAO_COMPUTADO</t>
        </is>
      </c>
      <c r="AC90" s="112" t="inlineStr">
        <is>
          <t>Estrutura Fase 1: sem impacto no VTA oficial</t>
        </is>
      </c>
    </row>
    <row r="91" ht="25.5" customHeight="1" s="289">
      <c r="A91" s="205" t="n"/>
      <c r="B91" s="207" t="n"/>
      <c r="C91" s="104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348" t="n"/>
      <c r="E91" s="349">
        <f>IF(C91="","",IFERROR(VLOOKUP(C91,parametros!$A$11:$E$15,5,0),""))</f>
        <v/>
      </c>
      <c r="F91" s="335">
        <f>IF(OR(D91="",E91=""),"",ROUND(D91*E91,2))</f>
        <v/>
      </c>
      <c r="G91" s="106" t="n"/>
      <c r="H91" s="350">
        <f>IF(G91="Sim",IF(OR(F91="",D91="",L91=""),"",IF(L91="Sim",ROUND(F91-D91,2),0)),0)</f>
        <v/>
      </c>
      <c r="I91" s="350">
        <f>IF(G91="Sim",0,IF(OR(F91="",L91=""),"",F91))</f>
        <v/>
      </c>
      <c r="J91" s="350">
        <f>IF(G91="Sim",0,IF(OR(F91="",D91="",L91=""),"",IF(L91="Sim",ROUND(F91-D91,2),0)))</f>
        <v/>
      </c>
      <c r="K91" s="97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10" t="inlineStr">
        <is>
          <t>Nao</t>
        </is>
      </c>
      <c r="W91" s="110" t="inlineStr">
        <is>
          <t>PC em analise</t>
        </is>
      </c>
      <c r="X91" s="110" t="inlineStr">
        <is>
          <t>Pedido de Compra</t>
        </is>
      </c>
      <c r="Y91" s="111" t="inlineStr">
        <is>
          <t>Impacto Potencial</t>
        </is>
      </c>
      <c r="Z91" s="111" t="inlineStr">
        <is>
          <t>PC</t>
        </is>
      </c>
      <c r="AA91" s="111" t="inlineStr">
        <is>
          <t>Nao</t>
        </is>
      </c>
      <c r="AB91" s="111" t="inlineStr">
        <is>
          <t>NAO_COMPUTADO</t>
        </is>
      </c>
      <c r="AC91" s="112" t="inlineStr">
        <is>
          <t>Estrutura Fase 1: sem impacto no VTA oficial</t>
        </is>
      </c>
    </row>
    <row r="92" ht="25.5" customHeight="1" s="289">
      <c r="A92" s="205" t="n"/>
      <c r="B92" s="207" t="n"/>
      <c r="C92" s="104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348" t="n"/>
      <c r="E92" s="349">
        <f>IF(C92="","",IFERROR(VLOOKUP(C92,parametros!$A$11:$E$15,5,0),""))</f>
        <v/>
      </c>
      <c r="F92" s="335">
        <f>IF(OR(D92="",E92=""),"",ROUND(D92*E92,2))</f>
        <v/>
      </c>
      <c r="G92" s="106" t="n"/>
      <c r="H92" s="350">
        <f>IF(G92="Sim",IF(OR(F92="",D92="",L92=""),"",IF(L92="Sim",ROUND(F92-D92,2),0)),0)</f>
        <v/>
      </c>
      <c r="I92" s="350">
        <f>IF(G92="Sim",0,IF(OR(F92="",L92=""),"",F92))</f>
        <v/>
      </c>
      <c r="J92" s="350">
        <f>IF(G92="Sim",0,IF(OR(F92="",D92="",L92=""),"",IF(L92="Sim",ROUND(F92-D92,2),0)))</f>
        <v/>
      </c>
      <c r="K92" s="97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10" t="inlineStr">
        <is>
          <t>Nao</t>
        </is>
      </c>
      <c r="W92" s="110" t="inlineStr">
        <is>
          <t>PC em analise</t>
        </is>
      </c>
      <c r="X92" s="110" t="inlineStr">
        <is>
          <t>Pedido de Compra</t>
        </is>
      </c>
      <c r="Y92" s="111" t="inlineStr">
        <is>
          <t>Impacto Potencial</t>
        </is>
      </c>
      <c r="Z92" s="111" t="inlineStr">
        <is>
          <t>PC</t>
        </is>
      </c>
      <c r="AA92" s="111" t="inlineStr">
        <is>
          <t>Nao</t>
        </is>
      </c>
      <c r="AB92" s="111" t="inlineStr">
        <is>
          <t>NAO_COMPUTADO</t>
        </is>
      </c>
      <c r="AC92" s="112" t="inlineStr">
        <is>
          <t>Estrutura Fase 1: sem impacto no VTA oficial</t>
        </is>
      </c>
    </row>
    <row r="93" ht="25.5" customHeight="1" s="289">
      <c r="A93" s="205" t="n"/>
      <c r="B93" s="207" t="n"/>
      <c r="C93" s="104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348" t="n"/>
      <c r="E93" s="349">
        <f>IF(C93="","",IFERROR(VLOOKUP(C93,parametros!$A$11:$E$15,5,0),""))</f>
        <v/>
      </c>
      <c r="F93" s="335">
        <f>IF(OR(D93="",E93=""),"",ROUND(D93*E93,2))</f>
        <v/>
      </c>
      <c r="G93" s="106" t="n"/>
      <c r="H93" s="350">
        <f>IF(G93="Sim",IF(OR(F93="",D93="",L93=""),"",IF(L93="Sim",ROUND(F93-D93,2),0)),0)</f>
        <v/>
      </c>
      <c r="I93" s="350">
        <f>IF(G93="Sim",0,IF(OR(F93="",L93=""),"",F93))</f>
        <v/>
      </c>
      <c r="J93" s="350">
        <f>IF(G93="Sim",0,IF(OR(F93="",D93="",L93=""),"",IF(L93="Sim",ROUND(F93-D93,2),0)))</f>
        <v/>
      </c>
      <c r="K93" s="97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10" t="inlineStr">
        <is>
          <t>Nao</t>
        </is>
      </c>
      <c r="W93" s="110" t="inlineStr">
        <is>
          <t>PC em analise</t>
        </is>
      </c>
      <c r="X93" s="110" t="inlineStr">
        <is>
          <t>Pedido de Compra</t>
        </is>
      </c>
      <c r="Y93" s="111" t="inlineStr">
        <is>
          <t>Impacto Potencial</t>
        </is>
      </c>
      <c r="Z93" s="111" t="inlineStr">
        <is>
          <t>PC</t>
        </is>
      </c>
      <c r="AA93" s="111" t="inlineStr">
        <is>
          <t>Nao</t>
        </is>
      </c>
      <c r="AB93" s="111" t="inlineStr">
        <is>
          <t>NAO_COMPUTADO</t>
        </is>
      </c>
      <c r="AC93" s="112" t="inlineStr">
        <is>
          <t>Estrutura Fase 1: sem impacto no VTA oficial</t>
        </is>
      </c>
    </row>
    <row r="94" ht="25.5" customHeight="1" s="289">
      <c r="A94" s="205" t="n"/>
      <c r="B94" s="207" t="n"/>
      <c r="C94" s="104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348" t="n"/>
      <c r="E94" s="349">
        <f>IF(C94="","",IFERROR(VLOOKUP(C94,parametros!$A$11:$E$15,5,0),""))</f>
        <v/>
      </c>
      <c r="F94" s="335">
        <f>IF(OR(D94="",E94=""),"",ROUND(D94*E94,2))</f>
        <v/>
      </c>
      <c r="G94" s="106" t="n"/>
      <c r="H94" s="350">
        <f>IF(G94="Sim",IF(OR(F94="",D94="",L94=""),"",IF(L94="Sim",ROUND(F94-D94,2),0)),0)</f>
        <v/>
      </c>
      <c r="I94" s="350">
        <f>IF(G94="Sim",0,IF(OR(F94="",L94=""),"",F94))</f>
        <v/>
      </c>
      <c r="J94" s="350">
        <f>IF(G94="Sim",0,IF(OR(F94="",D94="",L94=""),"",IF(L94="Sim",ROUND(F94-D94,2),0)))</f>
        <v/>
      </c>
      <c r="K94" s="97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10" t="inlineStr">
        <is>
          <t>Nao</t>
        </is>
      </c>
      <c r="W94" s="110" t="inlineStr">
        <is>
          <t>PC em analise</t>
        </is>
      </c>
      <c r="X94" s="110" t="inlineStr">
        <is>
          <t>Pedido de Compra</t>
        </is>
      </c>
      <c r="Y94" s="111" t="inlineStr">
        <is>
          <t>Impacto Potencial</t>
        </is>
      </c>
      <c r="Z94" s="111" t="inlineStr">
        <is>
          <t>PC</t>
        </is>
      </c>
      <c r="AA94" s="111" t="inlineStr">
        <is>
          <t>Nao</t>
        </is>
      </c>
      <c r="AB94" s="111" t="inlineStr">
        <is>
          <t>NAO_COMPUTADO</t>
        </is>
      </c>
      <c r="AC94" s="112" t="inlineStr">
        <is>
          <t>Estrutura Fase 1: sem impacto no VTA oficial</t>
        </is>
      </c>
    </row>
    <row r="95" ht="25.5" customHeight="1" s="289">
      <c r="A95" s="205" t="n"/>
      <c r="B95" s="207" t="n"/>
      <c r="C95" s="104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348" t="n"/>
      <c r="E95" s="349">
        <f>IF(C95="","",IFERROR(VLOOKUP(C95,parametros!$A$11:$E$15,5,0),""))</f>
        <v/>
      </c>
      <c r="F95" s="335">
        <f>IF(OR(D95="",E95=""),"",ROUND(D95*E95,2))</f>
        <v/>
      </c>
      <c r="G95" s="106" t="n"/>
      <c r="H95" s="350">
        <f>IF(G95="Sim",IF(OR(F95="",D95="",L95=""),"",IF(L95="Sim",ROUND(F95-D95,2),0)),0)</f>
        <v/>
      </c>
      <c r="I95" s="350">
        <f>IF(G95="Sim",0,IF(OR(F95="",L95=""),"",F95))</f>
        <v/>
      </c>
      <c r="J95" s="350">
        <f>IF(G95="Sim",0,IF(OR(F95="",D95="",L95=""),"",IF(L95="Sim",ROUND(F95-D95,2),0)))</f>
        <v/>
      </c>
      <c r="K95" s="97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10" t="inlineStr">
        <is>
          <t>Nao</t>
        </is>
      </c>
      <c r="W95" s="110" t="inlineStr">
        <is>
          <t>PC em analise</t>
        </is>
      </c>
      <c r="X95" s="110" t="inlineStr">
        <is>
          <t>Pedido de Compra</t>
        </is>
      </c>
      <c r="Y95" s="111" t="inlineStr">
        <is>
          <t>Impacto Potencial</t>
        </is>
      </c>
      <c r="Z95" s="111" t="inlineStr">
        <is>
          <t>PC</t>
        </is>
      </c>
      <c r="AA95" s="111" t="inlineStr">
        <is>
          <t>Nao</t>
        </is>
      </c>
      <c r="AB95" s="111" t="inlineStr">
        <is>
          <t>NAO_COMPUTADO</t>
        </is>
      </c>
      <c r="AC95" s="112" t="inlineStr">
        <is>
          <t>Estrutura Fase 1: sem impacto no VTA oficial</t>
        </is>
      </c>
    </row>
    <row r="96" ht="25.5" customHeight="1" s="289">
      <c r="A96" s="205" t="n"/>
      <c r="B96" s="207" t="n"/>
      <c r="C96" s="104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348" t="n"/>
      <c r="E96" s="349">
        <f>IF(C96="","",IFERROR(VLOOKUP(C96,parametros!$A$11:$E$15,5,0),""))</f>
        <v/>
      </c>
      <c r="F96" s="335">
        <f>IF(OR(D96="",E96=""),"",ROUND(D96*E96,2))</f>
        <v/>
      </c>
      <c r="G96" s="106" t="n"/>
      <c r="H96" s="350">
        <f>IF(G96="Sim",IF(OR(F96="",D96="",L96=""),"",IF(L96="Sim",ROUND(F96-D96,2),0)),0)</f>
        <v/>
      </c>
      <c r="I96" s="350">
        <f>IF(G96="Sim",0,IF(OR(F96="",L96=""),"",F96))</f>
        <v/>
      </c>
      <c r="J96" s="350">
        <f>IF(G96="Sim",0,IF(OR(F96="",D96="",L96=""),"",IF(L96="Sim",ROUND(F96-D96,2),0)))</f>
        <v/>
      </c>
      <c r="K96" s="97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10" t="inlineStr">
        <is>
          <t>Nao</t>
        </is>
      </c>
      <c r="W96" s="110" t="inlineStr">
        <is>
          <t>PC em analise</t>
        </is>
      </c>
      <c r="X96" s="110" t="inlineStr">
        <is>
          <t>Pedido de Compra</t>
        </is>
      </c>
      <c r="Y96" s="111" t="inlineStr">
        <is>
          <t>Impacto Potencial</t>
        </is>
      </c>
      <c r="Z96" s="111" t="inlineStr">
        <is>
          <t>PC</t>
        </is>
      </c>
      <c r="AA96" s="111" t="inlineStr">
        <is>
          <t>Nao</t>
        </is>
      </c>
      <c r="AB96" s="111" t="inlineStr">
        <is>
          <t>NAO_COMPUTADO</t>
        </is>
      </c>
      <c r="AC96" s="112" t="inlineStr">
        <is>
          <t>Estrutura Fase 1: sem impacto no VTA oficial</t>
        </is>
      </c>
    </row>
    <row r="97" ht="25.5" customHeight="1" s="289">
      <c r="A97" s="205" t="n"/>
      <c r="B97" s="207" t="n"/>
      <c r="C97" s="104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348" t="n"/>
      <c r="E97" s="349">
        <f>IF(C97="","",IFERROR(VLOOKUP(C97,parametros!$A$11:$E$15,5,0),""))</f>
        <v/>
      </c>
      <c r="F97" s="335">
        <f>IF(OR(D97="",E97=""),"",ROUND(D97*E97,2))</f>
        <v/>
      </c>
      <c r="G97" s="106" t="n"/>
      <c r="H97" s="350">
        <f>IF(G97="Sim",IF(OR(F97="",D97="",L97=""),"",IF(L97="Sim",ROUND(F97-D97,2),0)),0)</f>
        <v/>
      </c>
      <c r="I97" s="350">
        <f>IF(G97="Sim",0,IF(OR(F97="",L97=""),"",F97))</f>
        <v/>
      </c>
      <c r="J97" s="350">
        <f>IF(G97="Sim",0,IF(OR(F97="",D97="",L97=""),"",IF(L97="Sim",ROUND(F97-D97,2),0)))</f>
        <v/>
      </c>
      <c r="K97" s="97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10" t="inlineStr">
        <is>
          <t>Nao</t>
        </is>
      </c>
      <c r="W97" s="110" t="inlineStr">
        <is>
          <t>PC em analise</t>
        </is>
      </c>
      <c r="X97" s="110" t="inlineStr">
        <is>
          <t>Pedido de Compra</t>
        </is>
      </c>
      <c r="Y97" s="111" t="inlineStr">
        <is>
          <t>Impacto Potencial</t>
        </is>
      </c>
      <c r="Z97" s="111" t="inlineStr">
        <is>
          <t>PC</t>
        </is>
      </c>
      <c r="AA97" s="111" t="inlineStr">
        <is>
          <t>Nao</t>
        </is>
      </c>
      <c r="AB97" s="111" t="inlineStr">
        <is>
          <t>NAO_COMPUTADO</t>
        </is>
      </c>
      <c r="AC97" s="112" t="inlineStr">
        <is>
          <t>Estrutura Fase 1: sem impacto no VTA oficial</t>
        </is>
      </c>
    </row>
    <row r="98" ht="25.5" customHeight="1" s="289">
      <c r="A98" s="205" t="n"/>
      <c r="B98" s="207" t="n"/>
      <c r="C98" s="104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348" t="n"/>
      <c r="E98" s="349">
        <f>IF(C98="","",IFERROR(VLOOKUP(C98,parametros!$A$11:$E$15,5,0),""))</f>
        <v/>
      </c>
      <c r="F98" s="335">
        <f>IF(OR(D98="",E98=""),"",ROUND(D98*E98,2))</f>
        <v/>
      </c>
      <c r="G98" s="106" t="n"/>
      <c r="H98" s="350">
        <f>IF(G98="Sim",IF(OR(F98="",D98="",L98=""),"",IF(L98="Sim",ROUND(F98-D98,2),0)),0)</f>
        <v/>
      </c>
      <c r="I98" s="350">
        <f>IF(G98="Sim",0,IF(OR(F98="",L98=""),"",F98))</f>
        <v/>
      </c>
      <c r="J98" s="350">
        <f>IF(G98="Sim",0,IF(OR(F98="",D98="",L98=""),"",IF(L98="Sim",ROUND(F98-D98,2),0)))</f>
        <v/>
      </c>
      <c r="K98" s="97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10" t="inlineStr">
        <is>
          <t>Nao</t>
        </is>
      </c>
      <c r="W98" s="110" t="inlineStr">
        <is>
          <t>PC em analise</t>
        </is>
      </c>
      <c r="X98" s="110" t="inlineStr">
        <is>
          <t>Pedido de Compra</t>
        </is>
      </c>
      <c r="Y98" s="111" t="inlineStr">
        <is>
          <t>Impacto Potencial</t>
        </is>
      </c>
      <c r="Z98" s="111" t="inlineStr">
        <is>
          <t>PC</t>
        </is>
      </c>
      <c r="AA98" s="111" t="inlineStr">
        <is>
          <t>Nao</t>
        </is>
      </c>
      <c r="AB98" s="111" t="inlineStr">
        <is>
          <t>NAO_COMPUTADO</t>
        </is>
      </c>
      <c r="AC98" s="112" t="inlineStr">
        <is>
          <t>Estrutura Fase 1: sem impacto no VTA oficial</t>
        </is>
      </c>
    </row>
    <row r="99" ht="25.5" customHeight="1" s="289">
      <c r="A99" s="205" t="n"/>
      <c r="B99" s="207" t="n"/>
      <c r="C99" s="104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348" t="n"/>
      <c r="E99" s="349">
        <f>IF(C99="","",IFERROR(VLOOKUP(C99,parametros!$A$11:$E$15,5,0),""))</f>
        <v/>
      </c>
      <c r="F99" s="335">
        <f>IF(OR(D99="",E99=""),"",ROUND(D99*E99,2))</f>
        <v/>
      </c>
      <c r="G99" s="106" t="n"/>
      <c r="H99" s="350">
        <f>IF(G99="Sim",IF(OR(F99="",D99="",L99=""),"",IF(L99="Sim",ROUND(F99-D99,2),0)),0)</f>
        <v/>
      </c>
      <c r="I99" s="350">
        <f>IF(G99="Sim",0,IF(OR(F99="",L99=""),"",F99))</f>
        <v/>
      </c>
      <c r="J99" s="350">
        <f>IF(G99="Sim",0,IF(OR(F99="",D99="",L99=""),"",IF(L99="Sim",ROUND(F99-D99,2),0)))</f>
        <v/>
      </c>
      <c r="K99" s="97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10" t="inlineStr">
        <is>
          <t>Nao</t>
        </is>
      </c>
      <c r="W99" s="110" t="inlineStr">
        <is>
          <t>PC em analise</t>
        </is>
      </c>
      <c r="X99" s="110" t="inlineStr">
        <is>
          <t>Pedido de Compra</t>
        </is>
      </c>
      <c r="Y99" s="111" t="inlineStr">
        <is>
          <t>Impacto Potencial</t>
        </is>
      </c>
      <c r="Z99" s="111" t="inlineStr">
        <is>
          <t>PC</t>
        </is>
      </c>
      <c r="AA99" s="111" t="inlineStr">
        <is>
          <t>Nao</t>
        </is>
      </c>
      <c r="AB99" s="111" t="inlineStr">
        <is>
          <t>NAO_COMPUTADO</t>
        </is>
      </c>
      <c r="AC99" s="112" t="inlineStr">
        <is>
          <t>Estrutura Fase 1: sem impacto no VTA oficial</t>
        </is>
      </c>
    </row>
    <row r="100" ht="25.5" customHeight="1" s="289">
      <c r="A100" s="205" t="n"/>
      <c r="B100" s="207" t="n"/>
      <c r="C100" s="104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348" t="n"/>
      <c r="E100" s="349">
        <f>IF(C100="","",IFERROR(VLOOKUP(C100,parametros!$A$11:$E$15,5,0),""))</f>
        <v/>
      </c>
      <c r="F100" s="335">
        <f>IF(OR(D100="",E100=""),"",ROUND(D100*E100,2))</f>
        <v/>
      </c>
      <c r="G100" s="106" t="n"/>
      <c r="H100" s="350">
        <f>IF(G100="Sim",IF(OR(F100="",D100="",L100=""),"",IF(L100="Sim",ROUND(F100-D100,2),0)),0)</f>
        <v/>
      </c>
      <c r="I100" s="350">
        <f>IF(G100="Sim",0,IF(OR(F100="",L100=""),"",F100))</f>
        <v/>
      </c>
      <c r="J100" s="350">
        <f>IF(G100="Sim",0,IF(OR(F100="",D100="",L100=""),"",IF(L100="Sim",ROUND(F100-D100,2),0)))</f>
        <v/>
      </c>
      <c r="K100" s="97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10" t="inlineStr">
        <is>
          <t>Nao</t>
        </is>
      </c>
      <c r="W100" s="110" t="inlineStr">
        <is>
          <t>PC em analise</t>
        </is>
      </c>
      <c r="X100" s="110" t="inlineStr">
        <is>
          <t>Pedido de Compra</t>
        </is>
      </c>
      <c r="Y100" s="111" t="inlineStr">
        <is>
          <t>Impacto Potencial</t>
        </is>
      </c>
      <c r="Z100" s="111" t="inlineStr">
        <is>
          <t>PC</t>
        </is>
      </c>
      <c r="AA100" s="111" t="inlineStr">
        <is>
          <t>Nao</t>
        </is>
      </c>
      <c r="AB100" s="111" t="inlineStr">
        <is>
          <t>NAO_COMPUTADO</t>
        </is>
      </c>
      <c r="AC100" s="112" t="inlineStr">
        <is>
          <t>Estrutura Fase 1: sem impacto no VTA oficial</t>
        </is>
      </c>
    </row>
    <row r="101" ht="25.5" customHeight="1" s="289">
      <c r="A101" s="205" t="n"/>
      <c r="B101" s="207" t="n"/>
      <c r="C101" s="104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348" t="n"/>
      <c r="E101" s="349">
        <f>IF(C101="","",IFERROR(VLOOKUP(C101,parametros!$A$11:$E$15,5,0),""))</f>
        <v/>
      </c>
      <c r="F101" s="335">
        <f>IF(OR(D101="",E101=""),"",ROUND(D101*E101,2))</f>
        <v/>
      </c>
      <c r="G101" s="106" t="n"/>
      <c r="H101" s="350">
        <f>IF(G101="Sim",IF(OR(F101="",D101="",L101=""),"",IF(L101="Sim",ROUND(F101-D101,2),0)),0)</f>
        <v/>
      </c>
      <c r="I101" s="350">
        <f>IF(G101="Sim",0,IF(OR(F101="",L101=""),"",F101))</f>
        <v/>
      </c>
      <c r="J101" s="350">
        <f>IF(G101="Sim",0,IF(OR(F101="",D101="",L101=""),"",IF(L101="Sim",ROUND(F101-D101,2),0)))</f>
        <v/>
      </c>
      <c r="K101" s="97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27" t="n"/>
      <c r="V101" s="110" t="inlineStr">
        <is>
          <t>Nao</t>
        </is>
      </c>
      <c r="W101" s="110" t="inlineStr">
        <is>
          <t>PC em analise</t>
        </is>
      </c>
      <c r="X101" s="110" t="inlineStr">
        <is>
          <t>Pedido de Compra</t>
        </is>
      </c>
      <c r="Y101" s="111" t="inlineStr">
        <is>
          <t>Impacto Potencial</t>
        </is>
      </c>
      <c r="Z101" s="111" t="inlineStr">
        <is>
          <t>PC</t>
        </is>
      </c>
      <c r="AA101" s="111" t="inlineStr">
        <is>
          <t>Nao</t>
        </is>
      </c>
      <c r="AB101" s="111" t="inlineStr">
        <is>
          <t>NAO_COMPUTADO</t>
        </is>
      </c>
      <c r="AC101" s="112" t="inlineStr">
        <is>
          <t>Estrutura Fase 1: sem impacto no VTA oficial</t>
        </is>
      </c>
    </row>
    <row r="102" ht="25.5" customHeight="1" s="289">
      <c r="A102" s="205" t="n"/>
      <c r="B102" s="207" t="n"/>
      <c r="C102" s="104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348" t="n"/>
      <c r="E102" s="349">
        <f>IF(C102="","",IFERROR(VLOOKUP(C102,parametros!$A$11:$E$15,5,0),""))</f>
        <v/>
      </c>
      <c r="F102" s="335">
        <f>IF(OR(D102="",E102=""),"",ROUND(D102*E102,2))</f>
        <v/>
      </c>
      <c r="G102" s="106" t="n"/>
      <c r="H102" s="350">
        <f>IF(G102="Sim",IF(OR(F102="",D102="",L102=""),"",IF(L102="Sim",ROUND(F102-D102,2),0)),0)</f>
        <v/>
      </c>
      <c r="I102" s="350">
        <f>IF(G102="Sim",0,IF(OR(F102="",L102=""),"",F102))</f>
        <v/>
      </c>
      <c r="J102" s="350">
        <f>IF(G102="Sim",0,IF(OR(F102="",D102="",L102=""),"",IF(L102="Sim",ROUND(F102-D102,2),0)))</f>
        <v/>
      </c>
      <c r="K102" s="97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27" t="n"/>
      <c r="V102" s="110" t="inlineStr">
        <is>
          <t>Nao</t>
        </is>
      </c>
      <c r="W102" s="110" t="inlineStr">
        <is>
          <t>PC em analise</t>
        </is>
      </c>
      <c r="X102" s="110" t="inlineStr">
        <is>
          <t>Pedido de Compra</t>
        </is>
      </c>
      <c r="Y102" s="111" t="inlineStr">
        <is>
          <t>Impacto Potencial</t>
        </is>
      </c>
      <c r="Z102" s="111" t="inlineStr">
        <is>
          <t>PC</t>
        </is>
      </c>
      <c r="AA102" s="111" t="inlineStr">
        <is>
          <t>Nao</t>
        </is>
      </c>
      <c r="AB102" s="111" t="inlineStr">
        <is>
          <t>NAO_COMPUTADO</t>
        </is>
      </c>
      <c r="AC102" s="112" t="inlineStr">
        <is>
          <t>Estrutura Fase 1: sem impacto no VTA oficial</t>
        </is>
      </c>
    </row>
    <row r="103" ht="25.5" customHeight="1" s="289">
      <c r="A103" s="205" t="n"/>
      <c r="B103" s="207" t="n"/>
      <c r="C103" s="104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348" t="n"/>
      <c r="E103" s="349">
        <f>IF(C103="","",IFERROR(VLOOKUP(C103,parametros!$A$11:$E$15,5,0),""))</f>
        <v/>
      </c>
      <c r="F103" s="335">
        <f>IF(OR(D103="",E103=""),"",ROUND(D103*E103,2))</f>
        <v/>
      </c>
      <c r="G103" s="106" t="n"/>
      <c r="H103" s="350">
        <f>IF(G103="Sim",IF(OR(F103="",D103="",L103=""),"",IF(L103="Sim",ROUND(F103-D103,2),0)),0)</f>
        <v/>
      </c>
      <c r="I103" s="350">
        <f>IF(G103="Sim",0,IF(OR(F103="",L103=""),"",F103))</f>
        <v/>
      </c>
      <c r="J103" s="350">
        <f>IF(G103="Sim",0,IF(OR(F103="",D103="",L103=""),"",IF(L103="Sim",ROUND(F103-D103,2),0)))</f>
        <v/>
      </c>
      <c r="K103" s="97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27" t="n"/>
      <c r="V103" s="110" t="inlineStr">
        <is>
          <t>Nao</t>
        </is>
      </c>
      <c r="W103" s="110" t="inlineStr">
        <is>
          <t>PC em analise</t>
        </is>
      </c>
      <c r="X103" s="110" t="inlineStr">
        <is>
          <t>Pedido de Compra</t>
        </is>
      </c>
      <c r="Y103" s="111" t="inlineStr">
        <is>
          <t>Impacto Potencial</t>
        </is>
      </c>
      <c r="Z103" s="111" t="inlineStr">
        <is>
          <t>PC</t>
        </is>
      </c>
      <c r="AA103" s="111" t="inlineStr">
        <is>
          <t>Nao</t>
        </is>
      </c>
      <c r="AB103" s="111" t="inlineStr">
        <is>
          <t>NAO_COMPUTADO</t>
        </is>
      </c>
      <c r="AC103" s="112" t="inlineStr">
        <is>
          <t>Estrutura Fase 1: sem impacto no VTA oficial</t>
        </is>
      </c>
    </row>
    <row r="104" ht="25.5" customHeight="1" s="289">
      <c r="A104" s="205" t="n"/>
      <c r="B104" s="207" t="n"/>
      <c r="C104" s="104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348" t="n"/>
      <c r="E104" s="349">
        <f>IF(C104="","",IFERROR(VLOOKUP(C104,parametros!$A$11:$E$15,5,0),""))</f>
        <v/>
      </c>
      <c r="F104" s="335">
        <f>IF(OR(D104="",E104=""),"",ROUND(D104*E104,2))</f>
        <v/>
      </c>
      <c r="G104" s="106" t="n"/>
      <c r="H104" s="350">
        <f>IF(G104="Sim",IF(OR(F104="",D104="",L104=""),"",IF(L104="Sim",ROUND(F104-D104,2),0)),0)</f>
        <v/>
      </c>
      <c r="I104" s="350">
        <f>IF(G104="Sim",0,IF(OR(F104="",L104=""),"",F104))</f>
        <v/>
      </c>
      <c r="J104" s="350">
        <f>IF(G104="Sim",0,IF(OR(F104="",D104="",L104=""),"",IF(L104="Sim",ROUND(F104-D104,2),0)))</f>
        <v/>
      </c>
      <c r="K104" s="97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27" t="n"/>
      <c r="V104" s="110" t="inlineStr">
        <is>
          <t>Nao</t>
        </is>
      </c>
      <c r="W104" s="110" t="inlineStr">
        <is>
          <t>PC em analise</t>
        </is>
      </c>
      <c r="X104" s="110" t="inlineStr">
        <is>
          <t>Pedido de Compra</t>
        </is>
      </c>
      <c r="Y104" s="111" t="inlineStr">
        <is>
          <t>Impacto Potencial</t>
        </is>
      </c>
      <c r="Z104" s="111" t="inlineStr">
        <is>
          <t>PC</t>
        </is>
      </c>
      <c r="AA104" s="111" t="inlineStr">
        <is>
          <t>Nao</t>
        </is>
      </c>
      <c r="AB104" s="111" t="inlineStr">
        <is>
          <t>NAO_COMPUTADO</t>
        </is>
      </c>
      <c r="AC104" s="112" t="inlineStr">
        <is>
          <t>Estrutura Fase 1: sem impacto no VTA oficial</t>
        </is>
      </c>
    </row>
    <row r="105" ht="25.5" customHeight="1" s="289">
      <c r="A105" s="205" t="n"/>
      <c r="B105" s="207" t="n"/>
      <c r="C105" s="104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348" t="n"/>
      <c r="E105" s="349">
        <f>IF(C105="","",IFERROR(VLOOKUP(C105,parametros!$A$11:$E$15,5,0),""))</f>
        <v/>
      </c>
      <c r="F105" s="335">
        <f>IF(OR(D105="",E105=""),"",ROUND(D105*E105,2))</f>
        <v/>
      </c>
      <c r="G105" s="106" t="n"/>
      <c r="H105" s="350">
        <f>IF(G105="Sim",IF(OR(F105="",D105="",L105=""),"",IF(L105="Sim",ROUND(F105-D105,2),0)),0)</f>
        <v/>
      </c>
      <c r="I105" s="350">
        <f>IF(G105="Sim",0,IF(OR(F105="",L105=""),"",F105))</f>
        <v/>
      </c>
      <c r="J105" s="350">
        <f>IF(G105="Sim",0,IF(OR(F105="",D105="",L105=""),"",IF(L105="Sim",ROUND(F105-D105,2),0)))</f>
        <v/>
      </c>
      <c r="K105" s="97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27" t="n"/>
      <c r="V105" s="110" t="inlineStr">
        <is>
          <t>Nao</t>
        </is>
      </c>
      <c r="W105" s="110" t="inlineStr">
        <is>
          <t>PC em analise</t>
        </is>
      </c>
      <c r="X105" s="110" t="inlineStr">
        <is>
          <t>Pedido de Compra</t>
        </is>
      </c>
      <c r="Y105" s="111" t="inlineStr">
        <is>
          <t>Impacto Potencial</t>
        </is>
      </c>
      <c r="Z105" s="111" t="inlineStr">
        <is>
          <t>PC</t>
        </is>
      </c>
      <c r="AA105" s="111" t="inlineStr">
        <is>
          <t>Nao</t>
        </is>
      </c>
      <c r="AB105" s="111" t="inlineStr">
        <is>
          <t>NAO_COMPUTADO</t>
        </is>
      </c>
      <c r="AC105" s="112" t="inlineStr">
        <is>
          <t>Estrutura Fase 1: sem impacto no VTA oficial</t>
        </is>
      </c>
    </row>
    <row r="106" ht="25.5" customHeight="1" s="289">
      <c r="A106" s="205" t="n"/>
      <c r="B106" s="207" t="n"/>
      <c r="C106" s="104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348" t="n"/>
      <c r="E106" s="349">
        <f>IF(C106="","",IFERROR(VLOOKUP(C106,parametros!$A$11:$E$15,5,0),""))</f>
        <v/>
      </c>
      <c r="F106" s="335">
        <f>IF(OR(D106="",E106=""),"",ROUND(D106*E106,2))</f>
        <v/>
      </c>
      <c r="G106" s="106" t="n"/>
      <c r="H106" s="350">
        <f>IF(G106="Sim",IF(OR(F106="",D106="",L106=""),"",IF(L106="Sim",ROUND(F106-D106,2),0)),0)</f>
        <v/>
      </c>
      <c r="I106" s="350">
        <f>IF(G106="Sim",0,IF(OR(F106="",L106=""),"",F106))</f>
        <v/>
      </c>
      <c r="J106" s="350">
        <f>IF(G106="Sim",0,IF(OR(F106="",D106="",L106=""),"",IF(L106="Sim",ROUND(F106-D106,2),0)))</f>
        <v/>
      </c>
      <c r="K106" s="97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27" t="n"/>
      <c r="V106" s="110" t="inlineStr">
        <is>
          <t>Nao</t>
        </is>
      </c>
      <c r="W106" s="110" t="inlineStr">
        <is>
          <t>PC em analise</t>
        </is>
      </c>
      <c r="X106" s="110" t="inlineStr">
        <is>
          <t>Pedido de Compra</t>
        </is>
      </c>
      <c r="Y106" s="111" t="inlineStr">
        <is>
          <t>Impacto Potencial</t>
        </is>
      </c>
      <c r="Z106" s="111" t="inlineStr">
        <is>
          <t>PC</t>
        </is>
      </c>
      <c r="AA106" s="111" t="inlineStr">
        <is>
          <t>Nao</t>
        </is>
      </c>
      <c r="AB106" s="111" t="inlineStr">
        <is>
          <t>NAO_COMPUTADO</t>
        </is>
      </c>
      <c r="AC106" s="112" t="inlineStr">
        <is>
          <t>Estrutura Fase 1: sem impacto no VTA oficial</t>
        </is>
      </c>
    </row>
    <row r="107" ht="25.5" customHeight="1" s="289">
      <c r="A107" s="205" t="n"/>
      <c r="B107" s="207" t="n"/>
      <c r="C107" s="104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348" t="n"/>
      <c r="E107" s="349">
        <f>IF(C107="","",IFERROR(VLOOKUP(C107,parametros!$A$11:$E$15,5,0),""))</f>
        <v/>
      </c>
      <c r="F107" s="335">
        <f>IF(OR(D107="",E107=""),"",ROUND(D107*E107,2))</f>
        <v/>
      </c>
      <c r="G107" s="106" t="n"/>
      <c r="H107" s="350">
        <f>IF(G107="Sim",IF(OR(F107="",D107="",L107=""),"",IF(L107="Sim",ROUND(F107-D107,2),0)),0)</f>
        <v/>
      </c>
      <c r="I107" s="350">
        <f>IF(G107="Sim",0,IF(OR(F107="",L107=""),"",F107))</f>
        <v/>
      </c>
      <c r="J107" s="350">
        <f>IF(G107="Sim",0,IF(OR(F107="",D107="",L107=""),"",IF(L107="Sim",ROUND(F107-D107,2),0)))</f>
        <v/>
      </c>
      <c r="K107" s="97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27" t="n"/>
      <c r="V107" s="110" t="inlineStr">
        <is>
          <t>Nao</t>
        </is>
      </c>
      <c r="W107" s="110" t="inlineStr">
        <is>
          <t>PC em analise</t>
        </is>
      </c>
      <c r="X107" s="110" t="inlineStr">
        <is>
          <t>Pedido de Compra</t>
        </is>
      </c>
      <c r="Y107" s="111" t="inlineStr">
        <is>
          <t>Impacto Potencial</t>
        </is>
      </c>
      <c r="Z107" s="111" t="inlineStr">
        <is>
          <t>PC</t>
        </is>
      </c>
      <c r="AA107" s="111" t="inlineStr">
        <is>
          <t>Nao</t>
        </is>
      </c>
      <c r="AB107" s="111" t="inlineStr">
        <is>
          <t>NAO_COMPUTADO</t>
        </is>
      </c>
      <c r="AC107" s="112" t="inlineStr">
        <is>
          <t>Estrutura Fase 1: sem impacto no VTA oficial</t>
        </is>
      </c>
    </row>
    <row r="108" ht="25.5" customHeight="1" s="289">
      <c r="A108" s="205" t="n"/>
      <c r="B108" s="207" t="n"/>
      <c r="C108" s="104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348" t="n"/>
      <c r="E108" s="349">
        <f>IF(C108="","",IFERROR(VLOOKUP(C108,parametros!$A$11:$E$15,5,0),""))</f>
        <v/>
      </c>
      <c r="F108" s="335">
        <f>IF(OR(D108="",E108=""),"",ROUND(D108*E108,2))</f>
        <v/>
      </c>
      <c r="G108" s="106" t="n"/>
      <c r="H108" s="350">
        <f>IF(G108="Sim",IF(OR(F108="",D108="",L108=""),"",IF(L108="Sim",ROUND(F108-D108,2),0)),0)</f>
        <v/>
      </c>
      <c r="I108" s="350">
        <f>IF(G108="Sim",0,IF(OR(F108="",L108=""),"",F108))</f>
        <v/>
      </c>
      <c r="J108" s="350">
        <f>IF(G108="Sim",0,IF(OR(F108="",D108="",L108=""),"",IF(L108="Sim",ROUND(F108-D108,2),0)))</f>
        <v/>
      </c>
      <c r="K108" s="97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27" t="n"/>
      <c r="V108" s="110" t="inlineStr">
        <is>
          <t>Nao</t>
        </is>
      </c>
      <c r="W108" s="110" t="inlineStr">
        <is>
          <t>PC em analise</t>
        </is>
      </c>
      <c r="X108" s="110" t="inlineStr">
        <is>
          <t>Pedido de Compra</t>
        </is>
      </c>
      <c r="Y108" s="111" t="inlineStr">
        <is>
          <t>Impacto Potencial</t>
        </is>
      </c>
      <c r="Z108" s="111" t="inlineStr">
        <is>
          <t>PC</t>
        </is>
      </c>
      <c r="AA108" s="111" t="inlineStr">
        <is>
          <t>Nao</t>
        </is>
      </c>
      <c r="AB108" s="111" t="inlineStr">
        <is>
          <t>NAO_COMPUTADO</t>
        </is>
      </c>
      <c r="AC108" s="112" t="inlineStr">
        <is>
          <t>Estrutura Fase 1: sem impacto no VTA oficial</t>
        </is>
      </c>
    </row>
    <row r="109" ht="25.5" customHeight="1" s="289">
      <c r="A109" s="205" t="n"/>
      <c r="B109" s="207" t="n"/>
      <c r="C109" s="104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348" t="n"/>
      <c r="E109" s="349">
        <f>IF(C109="","",IFERROR(VLOOKUP(C109,parametros!$A$11:$E$15,5,0),""))</f>
        <v/>
      </c>
      <c r="F109" s="335">
        <f>IF(OR(D109="",E109=""),"",ROUND(D109*E109,2))</f>
        <v/>
      </c>
      <c r="G109" s="106" t="n"/>
      <c r="H109" s="350">
        <f>IF(G109="Sim",IF(OR(F109="",D109="",L109=""),"",IF(L109="Sim",ROUND(F109-D109,2),0)),0)</f>
        <v/>
      </c>
      <c r="I109" s="350">
        <f>IF(G109="Sim",0,IF(OR(F109="",L109=""),"",F109))</f>
        <v/>
      </c>
      <c r="J109" s="350">
        <f>IF(G109="Sim",0,IF(OR(F109="",D109="",L109=""),"",IF(L109="Sim",ROUND(F109-D109,2),0)))</f>
        <v/>
      </c>
      <c r="K109" s="97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27" t="n"/>
      <c r="V109" s="110" t="inlineStr">
        <is>
          <t>Nao</t>
        </is>
      </c>
      <c r="W109" s="110" t="inlineStr">
        <is>
          <t>PC em analise</t>
        </is>
      </c>
      <c r="X109" s="110" t="inlineStr">
        <is>
          <t>Pedido de Compra</t>
        </is>
      </c>
      <c r="Y109" s="111" t="inlineStr">
        <is>
          <t>Impacto Potencial</t>
        </is>
      </c>
      <c r="Z109" s="111" t="inlineStr">
        <is>
          <t>PC</t>
        </is>
      </c>
      <c r="AA109" s="111" t="inlineStr">
        <is>
          <t>Nao</t>
        </is>
      </c>
      <c r="AB109" s="111" t="inlineStr">
        <is>
          <t>NAO_COMPUTADO</t>
        </is>
      </c>
      <c r="AC109" s="112" t="inlineStr">
        <is>
          <t>Estrutura Fase 1: sem impacto no VTA oficial</t>
        </is>
      </c>
    </row>
    <row r="110" ht="25.5" customHeight="1" s="289">
      <c r="A110" s="205" t="n"/>
      <c r="B110" s="207" t="n"/>
      <c r="C110" s="104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348" t="n"/>
      <c r="E110" s="349">
        <f>IF(C110="","",IFERROR(VLOOKUP(C110,parametros!$A$11:$E$15,5,0),""))</f>
        <v/>
      </c>
      <c r="F110" s="335">
        <f>IF(OR(D110="",E110=""),"",ROUND(D110*E110,2))</f>
        <v/>
      </c>
      <c r="G110" s="106" t="n"/>
      <c r="H110" s="350">
        <f>IF(G110="Sim",IF(OR(F110="",D110="",L110=""),"",IF(L110="Sim",ROUND(F110-D110,2),0)),0)</f>
        <v/>
      </c>
      <c r="I110" s="350">
        <f>IF(G110="Sim",0,IF(OR(F110="",L110=""),"",F110))</f>
        <v/>
      </c>
      <c r="J110" s="350">
        <f>IF(G110="Sim",0,IF(OR(F110="",D110="",L110=""),"",IF(L110="Sim",ROUND(F110-D110,2),0)))</f>
        <v/>
      </c>
      <c r="K110" s="97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27" t="n"/>
      <c r="V110" s="110" t="inlineStr">
        <is>
          <t>Nao</t>
        </is>
      </c>
      <c r="W110" s="110" t="inlineStr">
        <is>
          <t>PC em analise</t>
        </is>
      </c>
      <c r="X110" s="110" t="inlineStr">
        <is>
          <t>Pedido de Compra</t>
        </is>
      </c>
      <c r="Y110" s="111" t="inlineStr">
        <is>
          <t>Impacto Potencial</t>
        </is>
      </c>
      <c r="Z110" s="111" t="inlineStr">
        <is>
          <t>PC</t>
        </is>
      </c>
      <c r="AA110" s="111" t="inlineStr">
        <is>
          <t>Nao</t>
        </is>
      </c>
      <c r="AB110" s="111" t="inlineStr">
        <is>
          <t>NAO_COMPUTADO</t>
        </is>
      </c>
      <c r="AC110" s="112" t="inlineStr">
        <is>
          <t>Estrutura Fase 1: sem impacto no VTA oficial</t>
        </is>
      </c>
    </row>
    <row r="111" ht="25.5" customHeight="1" s="289">
      <c r="A111" s="205" t="n"/>
      <c r="B111" s="207" t="n"/>
      <c r="C111" s="104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348" t="n"/>
      <c r="E111" s="349">
        <f>IF(C111="","",IFERROR(VLOOKUP(C111,parametros!$A$11:$E$15,5,0),""))</f>
        <v/>
      </c>
      <c r="F111" s="335">
        <f>IF(OR(D111="",E111=""),"",ROUND(D111*E111,2))</f>
        <v/>
      </c>
      <c r="G111" s="106" t="n"/>
      <c r="H111" s="350">
        <f>IF(G111="Sim",IF(OR(F111="",D111="",L111=""),"",IF(L111="Sim",ROUND(F111-D111,2),0)),0)</f>
        <v/>
      </c>
      <c r="I111" s="350">
        <f>IF(G111="Sim",0,IF(OR(F111="",L111=""),"",F111))</f>
        <v/>
      </c>
      <c r="J111" s="350">
        <f>IF(G111="Sim",0,IF(OR(F111="",D111="",L111=""),"",IF(L111="Sim",ROUND(F111-D111,2),0)))</f>
        <v/>
      </c>
      <c r="K111" s="97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27" t="n"/>
      <c r="V111" s="110" t="inlineStr">
        <is>
          <t>Nao</t>
        </is>
      </c>
      <c r="W111" s="110" t="inlineStr">
        <is>
          <t>PC em analise</t>
        </is>
      </c>
      <c r="X111" s="110" t="inlineStr">
        <is>
          <t>Pedido de Compra</t>
        </is>
      </c>
      <c r="Y111" s="111" t="inlineStr">
        <is>
          <t>Impacto Potencial</t>
        </is>
      </c>
      <c r="Z111" s="111" t="inlineStr">
        <is>
          <t>PC</t>
        </is>
      </c>
      <c r="AA111" s="111" t="inlineStr">
        <is>
          <t>Nao</t>
        </is>
      </c>
      <c r="AB111" s="111" t="inlineStr">
        <is>
          <t>NAO_COMPUTADO</t>
        </is>
      </c>
      <c r="AC111" s="112" t="inlineStr">
        <is>
          <t>Estrutura Fase 1: sem impacto no VTA oficial</t>
        </is>
      </c>
    </row>
    <row r="112" ht="25.5" customHeight="1" s="289">
      <c r="A112" s="205" t="n"/>
      <c r="B112" s="207" t="n"/>
      <c r="C112" s="104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348" t="n"/>
      <c r="E112" s="349">
        <f>IF(C112="","",IFERROR(VLOOKUP(C112,parametros!$A$11:$E$15,5,0),""))</f>
        <v/>
      </c>
      <c r="F112" s="335">
        <f>IF(OR(D112="",E112=""),"",ROUND(D112*E112,2))</f>
        <v/>
      </c>
      <c r="G112" s="106" t="n"/>
      <c r="H112" s="350">
        <f>IF(G112="Sim",IF(OR(F112="",D112="",L112=""),"",IF(L112="Sim",ROUND(F112-D112,2),0)),0)</f>
        <v/>
      </c>
      <c r="I112" s="350">
        <f>IF(G112="Sim",0,IF(OR(F112="",L112=""),"",F112))</f>
        <v/>
      </c>
      <c r="J112" s="350">
        <f>IF(G112="Sim",0,IF(OR(F112="",D112="",L112=""),"",IF(L112="Sim",ROUND(F112-D112,2),0)))</f>
        <v/>
      </c>
      <c r="K112" s="97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27" t="n"/>
      <c r="V112" s="110" t="inlineStr">
        <is>
          <t>Nao</t>
        </is>
      </c>
      <c r="W112" s="110" t="inlineStr">
        <is>
          <t>PC em analise</t>
        </is>
      </c>
      <c r="X112" s="110" t="inlineStr">
        <is>
          <t>Pedido de Compra</t>
        </is>
      </c>
      <c r="Y112" s="111" t="inlineStr">
        <is>
          <t>Impacto Potencial</t>
        </is>
      </c>
      <c r="Z112" s="111" t="inlineStr">
        <is>
          <t>PC</t>
        </is>
      </c>
      <c r="AA112" s="111" t="inlineStr">
        <is>
          <t>Nao</t>
        </is>
      </c>
      <c r="AB112" s="111" t="inlineStr">
        <is>
          <t>NAO_COMPUTADO</t>
        </is>
      </c>
      <c r="AC112" s="112" t="inlineStr">
        <is>
          <t>Estrutura Fase 1: sem impacto no VTA oficial</t>
        </is>
      </c>
    </row>
    <row r="113" ht="25.5" customHeight="1" s="289">
      <c r="A113" s="205" t="n"/>
      <c r="B113" s="207" t="n"/>
      <c r="C113" s="104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348" t="n"/>
      <c r="E113" s="349">
        <f>IF(C113="","",IFERROR(VLOOKUP(C113,parametros!$A$11:$E$15,5,0),""))</f>
        <v/>
      </c>
      <c r="F113" s="335">
        <f>IF(OR(D113="",E113=""),"",ROUND(D113*E113,2))</f>
        <v/>
      </c>
      <c r="G113" s="106" t="n"/>
      <c r="H113" s="350">
        <f>IF(G113="Sim",IF(OR(F113="",D113="",L113=""),"",IF(L113="Sim",ROUND(F113-D113,2),0)),0)</f>
        <v/>
      </c>
      <c r="I113" s="350">
        <f>IF(G113="Sim",0,IF(OR(F113="",L113=""),"",F113))</f>
        <v/>
      </c>
      <c r="J113" s="350">
        <f>IF(G113="Sim",0,IF(OR(F113="",D113="",L113=""),"",IF(L113="Sim",ROUND(F113-D113,2),0)))</f>
        <v/>
      </c>
      <c r="K113" s="97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27" t="n"/>
      <c r="V113" s="110" t="inlineStr">
        <is>
          <t>Nao</t>
        </is>
      </c>
      <c r="W113" s="110" t="inlineStr">
        <is>
          <t>PC em analise</t>
        </is>
      </c>
      <c r="X113" s="110" t="inlineStr">
        <is>
          <t>Pedido de Compra</t>
        </is>
      </c>
      <c r="Y113" s="111" t="inlineStr">
        <is>
          <t>Impacto Potencial</t>
        </is>
      </c>
      <c r="Z113" s="111" t="inlineStr">
        <is>
          <t>PC</t>
        </is>
      </c>
      <c r="AA113" s="111" t="inlineStr">
        <is>
          <t>Nao</t>
        </is>
      </c>
      <c r="AB113" s="111" t="inlineStr">
        <is>
          <t>NAO_COMPUTADO</t>
        </is>
      </c>
      <c r="AC113" s="112" t="inlineStr">
        <is>
          <t>Estrutura Fase 1: sem impacto no VTA oficial</t>
        </is>
      </c>
    </row>
    <row r="114" ht="25.5" customHeight="1" s="289">
      <c r="A114" s="205" t="n"/>
      <c r="B114" s="207" t="n"/>
      <c r="C114" s="104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348" t="n"/>
      <c r="E114" s="349">
        <f>IF(C114="","",IFERROR(VLOOKUP(C114,parametros!$A$11:$E$15,5,0),""))</f>
        <v/>
      </c>
      <c r="F114" s="335">
        <f>IF(OR(D114="",E114=""),"",ROUND(D114*E114,2))</f>
        <v/>
      </c>
      <c r="G114" s="106" t="n"/>
      <c r="H114" s="350">
        <f>IF(G114="Sim",IF(OR(F114="",D114="",L114=""),"",IF(L114="Sim",ROUND(F114-D114,2),0)),0)</f>
        <v/>
      </c>
      <c r="I114" s="350">
        <f>IF(G114="Sim",0,IF(OR(F114="",L114=""),"",F114))</f>
        <v/>
      </c>
      <c r="J114" s="350">
        <f>IF(G114="Sim",0,IF(OR(F114="",D114="",L114=""),"",IF(L114="Sim",ROUND(F114-D114,2),0)))</f>
        <v/>
      </c>
      <c r="K114" s="97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27" t="n"/>
      <c r="V114" s="110" t="inlineStr">
        <is>
          <t>Nao</t>
        </is>
      </c>
      <c r="W114" s="110" t="inlineStr">
        <is>
          <t>PC em analise</t>
        </is>
      </c>
      <c r="X114" s="110" t="inlineStr">
        <is>
          <t>Pedido de Compra</t>
        </is>
      </c>
      <c r="Y114" s="111" t="inlineStr">
        <is>
          <t>Impacto Potencial</t>
        </is>
      </c>
      <c r="Z114" s="111" t="inlineStr">
        <is>
          <t>PC</t>
        </is>
      </c>
      <c r="AA114" s="111" t="inlineStr">
        <is>
          <t>Nao</t>
        </is>
      </c>
      <c r="AB114" s="111" t="inlineStr">
        <is>
          <t>NAO_COMPUTADO</t>
        </is>
      </c>
      <c r="AC114" s="112" t="inlineStr">
        <is>
          <t>Estrutura Fase 1: sem impacto no VTA oficial</t>
        </is>
      </c>
    </row>
    <row r="115" ht="25.5" customHeight="1" s="289">
      <c r="A115" s="205" t="n"/>
      <c r="B115" s="207" t="n"/>
      <c r="C115" s="104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348" t="n"/>
      <c r="E115" s="349">
        <f>IF(C115="","",IFERROR(VLOOKUP(C115,parametros!$A$11:$E$15,5,0),""))</f>
        <v/>
      </c>
      <c r="F115" s="335">
        <f>IF(OR(D115="",E115=""),"",ROUND(D115*E115,2))</f>
        <v/>
      </c>
      <c r="G115" s="106" t="n"/>
      <c r="H115" s="350">
        <f>IF(G115="Sim",IF(OR(F115="",D115="",L115=""),"",IF(L115="Sim",ROUND(F115-D115,2),0)),0)</f>
        <v/>
      </c>
      <c r="I115" s="350">
        <f>IF(G115="Sim",0,IF(OR(F115="",L115=""),"",F115))</f>
        <v/>
      </c>
      <c r="J115" s="350">
        <f>IF(G115="Sim",0,IF(OR(F115="",D115="",L115=""),"",IF(L115="Sim",ROUND(F115-D115,2),0)))</f>
        <v/>
      </c>
      <c r="K115" s="97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27" t="n"/>
      <c r="V115" s="110" t="inlineStr">
        <is>
          <t>Nao</t>
        </is>
      </c>
      <c r="W115" s="110" t="inlineStr">
        <is>
          <t>PC em analise</t>
        </is>
      </c>
      <c r="X115" s="110" t="inlineStr">
        <is>
          <t>Pedido de Compra</t>
        </is>
      </c>
      <c r="Y115" s="111" t="inlineStr">
        <is>
          <t>Impacto Potencial</t>
        </is>
      </c>
      <c r="Z115" s="111" t="inlineStr">
        <is>
          <t>PC</t>
        </is>
      </c>
      <c r="AA115" s="111" t="inlineStr">
        <is>
          <t>Nao</t>
        </is>
      </c>
      <c r="AB115" s="111" t="inlineStr">
        <is>
          <t>NAO_COMPUTADO</t>
        </is>
      </c>
      <c r="AC115" s="112" t="inlineStr">
        <is>
          <t>Estrutura Fase 1: sem impacto no VTA oficial</t>
        </is>
      </c>
    </row>
    <row r="116" ht="25.5" customHeight="1" s="289">
      <c r="A116" s="205" t="n"/>
      <c r="B116" s="207" t="n"/>
      <c r="C116" s="104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348" t="n"/>
      <c r="E116" s="349">
        <f>IF(C116="","",IFERROR(VLOOKUP(C116,parametros!$A$11:$E$15,5,0),""))</f>
        <v/>
      </c>
      <c r="F116" s="335">
        <f>IF(OR(D116="",E116=""),"",ROUND(D116*E116,2))</f>
        <v/>
      </c>
      <c r="G116" s="106" t="n"/>
      <c r="H116" s="350">
        <f>IF(G116="Sim",IF(OR(F116="",D116="",L116=""),"",IF(L116="Sim",ROUND(F116-D116,2),0)),0)</f>
        <v/>
      </c>
      <c r="I116" s="350">
        <f>IF(G116="Sim",0,IF(OR(F116="",L116=""),"",F116))</f>
        <v/>
      </c>
      <c r="J116" s="350">
        <f>IF(G116="Sim",0,IF(OR(F116="",D116="",L116=""),"",IF(L116="Sim",ROUND(F116-D116,2),0)))</f>
        <v/>
      </c>
      <c r="K116" s="97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27" t="n"/>
      <c r="V116" s="110" t="inlineStr">
        <is>
          <t>Nao</t>
        </is>
      </c>
      <c r="W116" s="110" t="inlineStr">
        <is>
          <t>PC em analise</t>
        </is>
      </c>
      <c r="X116" s="110" t="inlineStr">
        <is>
          <t>Pedido de Compra</t>
        </is>
      </c>
      <c r="Y116" s="111" t="inlineStr">
        <is>
          <t>Impacto Potencial</t>
        </is>
      </c>
      <c r="Z116" s="111" t="inlineStr">
        <is>
          <t>PC</t>
        </is>
      </c>
      <c r="AA116" s="111" t="inlineStr">
        <is>
          <t>Nao</t>
        </is>
      </c>
      <c r="AB116" s="111" t="inlineStr">
        <is>
          <t>NAO_COMPUTADO</t>
        </is>
      </c>
      <c r="AC116" s="112" t="inlineStr">
        <is>
          <t>Estrutura Fase 1: sem impacto no VTA oficial</t>
        </is>
      </c>
    </row>
    <row r="117" ht="25.5" customHeight="1" s="289">
      <c r="A117" s="205" t="n"/>
      <c r="B117" s="207" t="n"/>
      <c r="C117" s="104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348" t="n"/>
      <c r="E117" s="349">
        <f>IF(C117="","",IFERROR(VLOOKUP(C117,parametros!$A$11:$E$15,5,0),""))</f>
        <v/>
      </c>
      <c r="F117" s="335">
        <f>IF(OR(D117="",E117=""),"",ROUND(D117*E117,2))</f>
        <v/>
      </c>
      <c r="G117" s="106" t="n"/>
      <c r="H117" s="350">
        <f>IF(G117="Sim",IF(OR(F117="",D117="",L117=""),"",IF(L117="Sim",ROUND(F117-D117,2),0)),0)</f>
        <v/>
      </c>
      <c r="I117" s="350">
        <f>IF(G117="Sim",0,IF(OR(F117="",L117=""),"",F117))</f>
        <v/>
      </c>
      <c r="J117" s="350">
        <f>IF(G117="Sim",0,IF(OR(F117="",D117="",L117=""),"",IF(L117="Sim",ROUND(F117-D117,2),0)))</f>
        <v/>
      </c>
      <c r="K117" s="97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27" t="n"/>
      <c r="V117" s="110" t="inlineStr">
        <is>
          <t>Nao</t>
        </is>
      </c>
      <c r="W117" s="110" t="inlineStr">
        <is>
          <t>PC em analise</t>
        </is>
      </c>
      <c r="X117" s="110" t="inlineStr">
        <is>
          <t>Pedido de Compra</t>
        </is>
      </c>
      <c r="Y117" s="111" t="inlineStr">
        <is>
          <t>Impacto Potencial</t>
        </is>
      </c>
      <c r="Z117" s="111" t="inlineStr">
        <is>
          <t>PC</t>
        </is>
      </c>
      <c r="AA117" s="111" t="inlineStr">
        <is>
          <t>Nao</t>
        </is>
      </c>
      <c r="AB117" s="111" t="inlineStr">
        <is>
          <t>NAO_COMPUTADO</t>
        </is>
      </c>
      <c r="AC117" s="112" t="inlineStr">
        <is>
          <t>Estrutura Fase 1: sem impacto no VTA oficial</t>
        </is>
      </c>
    </row>
    <row r="118" ht="25.5" customHeight="1" s="289">
      <c r="A118" s="205" t="n"/>
      <c r="B118" s="207" t="n"/>
      <c r="C118" s="104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348" t="n"/>
      <c r="E118" s="349">
        <f>IF(C118="","",IFERROR(VLOOKUP(C118,parametros!$A$11:$E$15,5,0),""))</f>
        <v/>
      </c>
      <c r="F118" s="335">
        <f>IF(OR(D118="",E118=""),"",ROUND(D118*E118,2))</f>
        <v/>
      </c>
      <c r="G118" s="106" t="n"/>
      <c r="H118" s="350">
        <f>IF(G118="Sim",IF(OR(F118="",D118="",L118=""),"",IF(L118="Sim",ROUND(F118-D118,2),0)),0)</f>
        <v/>
      </c>
      <c r="I118" s="350">
        <f>IF(G118="Sim",0,IF(OR(F118="",L118=""),"",F118))</f>
        <v/>
      </c>
      <c r="J118" s="350">
        <f>IF(G118="Sim",0,IF(OR(F118="",D118="",L118=""),"",IF(L118="Sim",ROUND(F118-D118,2),0)))</f>
        <v/>
      </c>
      <c r="K118" s="97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27" t="n"/>
      <c r="V118" s="110" t="inlineStr">
        <is>
          <t>Nao</t>
        </is>
      </c>
      <c r="W118" s="110" t="inlineStr">
        <is>
          <t>PC em analise</t>
        </is>
      </c>
      <c r="X118" s="110" t="inlineStr">
        <is>
          <t>Pedido de Compra</t>
        </is>
      </c>
      <c r="Y118" s="111" t="inlineStr">
        <is>
          <t>Impacto Potencial</t>
        </is>
      </c>
      <c r="Z118" s="111" t="inlineStr">
        <is>
          <t>PC</t>
        </is>
      </c>
      <c r="AA118" s="111" t="inlineStr">
        <is>
          <t>Nao</t>
        </is>
      </c>
      <c r="AB118" s="111" t="inlineStr">
        <is>
          <t>NAO_COMPUTADO</t>
        </is>
      </c>
      <c r="AC118" s="112" t="inlineStr">
        <is>
          <t>Estrutura Fase 1: sem impacto no VTA oficial</t>
        </is>
      </c>
    </row>
    <row r="119" ht="25.5" customHeight="1" s="289">
      <c r="A119" s="205" t="n"/>
      <c r="B119" s="207" t="n"/>
      <c r="C119" s="104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348" t="n"/>
      <c r="E119" s="349">
        <f>IF(C119="","",IFERROR(VLOOKUP(C119,parametros!$A$11:$E$15,5,0),""))</f>
        <v/>
      </c>
      <c r="F119" s="335">
        <f>IF(OR(D119="",E119=""),"",ROUND(D119*E119,2))</f>
        <v/>
      </c>
      <c r="G119" s="106" t="n"/>
      <c r="H119" s="350">
        <f>IF(G119="Sim",IF(OR(F119="",D119="",L119=""),"",IF(L119="Sim",ROUND(F119-D119,2),0)),0)</f>
        <v/>
      </c>
      <c r="I119" s="350">
        <f>IF(G119="Sim",0,IF(OR(F119="",L119=""),"",F119))</f>
        <v/>
      </c>
      <c r="J119" s="350">
        <f>IF(G119="Sim",0,IF(OR(F119="",D119="",L119=""),"",IF(L119="Sim",ROUND(F119-D119,2),0)))</f>
        <v/>
      </c>
      <c r="K119" s="97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27" t="n"/>
      <c r="V119" s="110" t="inlineStr">
        <is>
          <t>Nao</t>
        </is>
      </c>
      <c r="W119" s="110" t="inlineStr">
        <is>
          <t>PC em analise</t>
        </is>
      </c>
      <c r="X119" s="110" t="inlineStr">
        <is>
          <t>Pedido de Compra</t>
        </is>
      </c>
      <c r="Y119" s="111" t="inlineStr">
        <is>
          <t>Impacto Potencial</t>
        </is>
      </c>
      <c r="Z119" s="111" t="inlineStr">
        <is>
          <t>PC</t>
        </is>
      </c>
      <c r="AA119" s="111" t="inlineStr">
        <is>
          <t>Nao</t>
        </is>
      </c>
      <c r="AB119" s="111" t="inlineStr">
        <is>
          <t>NAO_COMPUTADO</t>
        </is>
      </c>
      <c r="AC119" s="112" t="inlineStr">
        <is>
          <t>Estrutura Fase 1: sem impacto no VTA oficial</t>
        </is>
      </c>
    </row>
    <row r="120" ht="25.5" customHeight="1" s="289">
      <c r="A120" s="205" t="n"/>
      <c r="B120" s="207" t="n"/>
      <c r="C120" s="104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348" t="n"/>
      <c r="E120" s="349">
        <f>IF(C120="","",IFERROR(VLOOKUP(C120,parametros!$A$11:$E$15,5,0),""))</f>
        <v/>
      </c>
      <c r="F120" s="335">
        <f>IF(OR(D120="",E120=""),"",ROUND(D120*E120,2))</f>
        <v/>
      </c>
      <c r="G120" s="106" t="n"/>
      <c r="H120" s="350">
        <f>IF(G120="Sim",IF(OR(F120="",D120="",L120=""),"",IF(L120="Sim",ROUND(F120-D120,2),0)),0)</f>
        <v/>
      </c>
      <c r="I120" s="350">
        <f>IF(G120="Sim",0,IF(OR(F120="",L120=""),"",F120))</f>
        <v/>
      </c>
      <c r="J120" s="350">
        <f>IF(G120="Sim",0,IF(OR(F120="",D120="",L120=""),"",IF(L120="Sim",ROUND(F120-D120,2),0)))</f>
        <v/>
      </c>
      <c r="K120" s="97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27" t="n"/>
      <c r="V120" s="110" t="inlineStr">
        <is>
          <t>Nao</t>
        </is>
      </c>
      <c r="W120" s="110" t="inlineStr">
        <is>
          <t>PC em analise</t>
        </is>
      </c>
      <c r="X120" s="110" t="inlineStr">
        <is>
          <t>Pedido de Compra</t>
        </is>
      </c>
      <c r="Y120" s="111" t="inlineStr">
        <is>
          <t>Impacto Potencial</t>
        </is>
      </c>
      <c r="Z120" s="111" t="inlineStr">
        <is>
          <t>PC</t>
        </is>
      </c>
      <c r="AA120" s="111" t="inlineStr">
        <is>
          <t>Nao</t>
        </is>
      </c>
      <c r="AB120" s="111" t="inlineStr">
        <is>
          <t>NAO_COMPUTADO</t>
        </is>
      </c>
      <c r="AC120" s="112" t="inlineStr">
        <is>
          <t>Estrutura Fase 1: sem impacto no VTA oficial</t>
        </is>
      </c>
    </row>
    <row r="121" ht="25.5" customHeight="1" s="289">
      <c r="A121" s="205" t="n"/>
      <c r="B121" s="207" t="n"/>
      <c r="C121" s="104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348" t="n"/>
      <c r="E121" s="349">
        <f>IF(C121="","",IFERROR(VLOOKUP(C121,parametros!$A$11:$E$15,5,0),""))</f>
        <v/>
      </c>
      <c r="F121" s="335">
        <f>IF(OR(D121="",E121=""),"",ROUND(D121*E121,2))</f>
        <v/>
      </c>
      <c r="G121" s="106" t="n"/>
      <c r="H121" s="350">
        <f>IF(G121="Sim",IF(OR(F121="",D121="",L121=""),"",IF(L121="Sim",ROUND(F121-D121,2),0)),0)</f>
        <v/>
      </c>
      <c r="I121" s="350">
        <f>IF(G121="Sim",0,IF(OR(F121="",L121=""),"",F121))</f>
        <v/>
      </c>
      <c r="J121" s="350">
        <f>IF(G121="Sim",0,IF(OR(F121="",D121="",L121=""),"",IF(L121="Sim",ROUND(F121-D121,2),0)))</f>
        <v/>
      </c>
      <c r="K121" s="97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27" t="n"/>
      <c r="V121" s="110" t="inlineStr">
        <is>
          <t>Nao</t>
        </is>
      </c>
      <c r="W121" s="110" t="inlineStr">
        <is>
          <t>PC em analise</t>
        </is>
      </c>
      <c r="X121" s="110" t="inlineStr">
        <is>
          <t>Pedido de Compra</t>
        </is>
      </c>
      <c r="Y121" s="111" t="inlineStr">
        <is>
          <t>Impacto Potencial</t>
        </is>
      </c>
      <c r="Z121" s="111" t="inlineStr">
        <is>
          <t>PC</t>
        </is>
      </c>
      <c r="AA121" s="111" t="inlineStr">
        <is>
          <t>Nao</t>
        </is>
      </c>
      <c r="AB121" s="111" t="inlineStr">
        <is>
          <t>NAO_COMPUTADO</t>
        </is>
      </c>
      <c r="AC121" s="112" t="inlineStr">
        <is>
          <t>Estrutura Fase 1: sem impacto no VTA oficial</t>
        </is>
      </c>
    </row>
    <row r="122" ht="25.5" customHeight="1" s="289">
      <c r="A122" s="205" t="n"/>
      <c r="B122" s="207" t="n"/>
      <c r="C122" s="104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348" t="n"/>
      <c r="E122" s="349">
        <f>IF(C122="","",IFERROR(VLOOKUP(C122,parametros!$A$11:$E$15,5,0),""))</f>
        <v/>
      </c>
      <c r="F122" s="335">
        <f>IF(OR(D122="",E122=""),"",ROUND(D122*E122,2))</f>
        <v/>
      </c>
      <c r="G122" s="106" t="n"/>
      <c r="H122" s="350">
        <f>IF(G122="Sim",IF(OR(F122="",D122="",L122=""),"",IF(L122="Sim",ROUND(F122-D122,2),0)),0)</f>
        <v/>
      </c>
      <c r="I122" s="350">
        <f>IF(G122="Sim",0,IF(OR(F122="",L122=""),"",F122))</f>
        <v/>
      </c>
      <c r="J122" s="350">
        <f>IF(G122="Sim",0,IF(OR(F122="",D122="",L122=""),"",IF(L122="Sim",ROUND(F122-D122,2),0)))</f>
        <v/>
      </c>
      <c r="K122" s="97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27" t="n"/>
      <c r="V122" s="110" t="inlineStr">
        <is>
          <t>Nao</t>
        </is>
      </c>
      <c r="W122" s="110" t="inlineStr">
        <is>
          <t>PC em analise</t>
        </is>
      </c>
      <c r="X122" s="110" t="inlineStr">
        <is>
          <t>Pedido de Compra</t>
        </is>
      </c>
      <c r="Y122" s="111" t="inlineStr">
        <is>
          <t>Impacto Potencial</t>
        </is>
      </c>
      <c r="Z122" s="111" t="inlineStr">
        <is>
          <t>PC</t>
        </is>
      </c>
      <c r="AA122" s="111" t="inlineStr">
        <is>
          <t>Nao</t>
        </is>
      </c>
      <c r="AB122" s="111" t="inlineStr">
        <is>
          <t>NAO_COMPUTADO</t>
        </is>
      </c>
      <c r="AC122" s="112" t="inlineStr">
        <is>
          <t>Estrutura Fase 1: sem impacto no VTA oficial</t>
        </is>
      </c>
    </row>
    <row r="123" ht="25.5" customHeight="1" s="289">
      <c r="A123" s="205" t="n"/>
      <c r="B123" s="207" t="n"/>
      <c r="C123" s="104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348" t="n"/>
      <c r="E123" s="349">
        <f>IF(C123="","",IFERROR(VLOOKUP(C123,parametros!$A$11:$E$15,5,0),""))</f>
        <v/>
      </c>
      <c r="F123" s="335">
        <f>IF(OR(D123="",E123=""),"",ROUND(D123*E123,2))</f>
        <v/>
      </c>
      <c r="G123" s="106" t="n"/>
      <c r="H123" s="350">
        <f>IF(G123="Sim",IF(OR(F123="",D123="",L123=""),"",IF(L123="Sim",ROUND(F123-D123,2),0)),0)</f>
        <v/>
      </c>
      <c r="I123" s="350">
        <f>IF(G123="Sim",0,IF(OR(F123="",L123=""),"",F123))</f>
        <v/>
      </c>
      <c r="J123" s="350">
        <f>IF(G123="Sim",0,IF(OR(F123="",D123="",L123=""),"",IF(L123="Sim",ROUND(F123-D123,2),0)))</f>
        <v/>
      </c>
      <c r="K123" s="97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27" t="n"/>
      <c r="V123" s="110" t="inlineStr">
        <is>
          <t>Nao</t>
        </is>
      </c>
      <c r="W123" s="110" t="inlineStr">
        <is>
          <t>PC em analise</t>
        </is>
      </c>
      <c r="X123" s="110" t="inlineStr">
        <is>
          <t>Pedido de Compra</t>
        </is>
      </c>
      <c r="Y123" s="111" t="inlineStr">
        <is>
          <t>Impacto Potencial</t>
        </is>
      </c>
      <c r="Z123" s="111" t="inlineStr">
        <is>
          <t>PC</t>
        </is>
      </c>
      <c r="AA123" s="111" t="inlineStr">
        <is>
          <t>Nao</t>
        </is>
      </c>
      <c r="AB123" s="111" t="inlineStr">
        <is>
          <t>NAO_COMPUTADO</t>
        </is>
      </c>
      <c r="AC123" s="112" t="inlineStr">
        <is>
          <t>Estrutura Fase 1: sem impacto no VTA oficial</t>
        </is>
      </c>
    </row>
    <row r="124" ht="25.5" customHeight="1" s="289">
      <c r="A124" s="205" t="n"/>
      <c r="B124" s="207" t="n"/>
      <c r="C124" s="104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348" t="n"/>
      <c r="E124" s="349">
        <f>IF(C124="","",IFERROR(VLOOKUP(C124,parametros!$A$11:$E$15,5,0),""))</f>
        <v/>
      </c>
      <c r="F124" s="335">
        <f>IF(OR(D124="",E124=""),"",ROUND(D124*E124,2))</f>
        <v/>
      </c>
      <c r="G124" s="106" t="n"/>
      <c r="H124" s="350">
        <f>IF(G124="Sim",IF(OR(F124="",D124="",L124=""),"",IF(L124="Sim",ROUND(F124-D124,2),0)),0)</f>
        <v/>
      </c>
      <c r="I124" s="350">
        <f>IF(G124="Sim",0,IF(OR(F124="",L124=""),"",F124))</f>
        <v/>
      </c>
      <c r="J124" s="350">
        <f>IF(G124="Sim",0,IF(OR(F124="",D124="",L124=""),"",IF(L124="Sim",ROUND(F124-D124,2),0)))</f>
        <v/>
      </c>
      <c r="K124" s="97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27" t="n"/>
      <c r="V124" s="110" t="inlineStr">
        <is>
          <t>Nao</t>
        </is>
      </c>
      <c r="W124" s="110" t="inlineStr">
        <is>
          <t>PC em analise</t>
        </is>
      </c>
      <c r="X124" s="110" t="inlineStr">
        <is>
          <t>Pedido de Compra</t>
        </is>
      </c>
      <c r="Y124" s="111" t="inlineStr">
        <is>
          <t>Impacto Potencial</t>
        </is>
      </c>
      <c r="Z124" s="111" t="inlineStr">
        <is>
          <t>PC</t>
        </is>
      </c>
      <c r="AA124" s="111" t="inlineStr">
        <is>
          <t>Nao</t>
        </is>
      </c>
      <c r="AB124" s="111" t="inlineStr">
        <is>
          <t>NAO_COMPUTADO</t>
        </is>
      </c>
      <c r="AC124" s="112" t="inlineStr">
        <is>
          <t>Estrutura Fase 1: sem impacto no VTA oficial</t>
        </is>
      </c>
    </row>
    <row r="125" ht="25.5" customHeight="1" s="289">
      <c r="A125" s="205" t="n"/>
      <c r="B125" s="207" t="n"/>
      <c r="C125" s="104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348" t="n"/>
      <c r="E125" s="349">
        <f>IF(C125="","",IFERROR(VLOOKUP(C125,parametros!$A$11:$E$15,5,0),""))</f>
        <v/>
      </c>
      <c r="F125" s="335">
        <f>IF(OR(D125="",E125=""),"",ROUND(D125*E125,2))</f>
        <v/>
      </c>
      <c r="G125" s="106" t="n"/>
      <c r="H125" s="350">
        <f>IF(G125="Sim",IF(OR(F125="",D125="",L125=""),"",IF(L125="Sim",ROUND(F125-D125,2),0)),0)</f>
        <v/>
      </c>
      <c r="I125" s="350">
        <f>IF(G125="Sim",0,IF(OR(F125="",L125=""),"",F125))</f>
        <v/>
      </c>
      <c r="J125" s="350">
        <f>IF(G125="Sim",0,IF(OR(F125="",D125="",L125=""),"",IF(L125="Sim",ROUND(F125-D125,2),0)))</f>
        <v/>
      </c>
      <c r="K125" s="97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27" t="n"/>
      <c r="V125" s="110" t="inlineStr">
        <is>
          <t>Nao</t>
        </is>
      </c>
      <c r="W125" s="110" t="inlineStr">
        <is>
          <t>PC em analise</t>
        </is>
      </c>
      <c r="X125" s="110" t="inlineStr">
        <is>
          <t>Pedido de Compra</t>
        </is>
      </c>
      <c r="Y125" s="111" t="inlineStr">
        <is>
          <t>Impacto Potencial</t>
        </is>
      </c>
      <c r="Z125" s="111" t="inlineStr">
        <is>
          <t>PC</t>
        </is>
      </c>
      <c r="AA125" s="111" t="inlineStr">
        <is>
          <t>Nao</t>
        </is>
      </c>
      <c r="AB125" s="111" t="inlineStr">
        <is>
          <t>NAO_COMPUTADO</t>
        </is>
      </c>
      <c r="AC125" s="112" t="inlineStr">
        <is>
          <t>Estrutura Fase 1: sem impacto no VTA oficial</t>
        </is>
      </c>
    </row>
    <row r="126" ht="25.5" customHeight="1" s="289">
      <c r="A126" s="205" t="n"/>
      <c r="B126" s="207" t="n"/>
      <c r="C126" s="104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348" t="n"/>
      <c r="E126" s="349">
        <f>IF(C126="","",IFERROR(VLOOKUP(C126,parametros!$A$11:$E$15,5,0),""))</f>
        <v/>
      </c>
      <c r="F126" s="335">
        <f>IF(OR(D126="",E126=""),"",ROUND(D126*E126,2))</f>
        <v/>
      </c>
      <c r="G126" s="106" t="n"/>
      <c r="H126" s="350">
        <f>IF(G126="Sim",IF(OR(F126="",D126="",L126=""),"",IF(L126="Sim",ROUND(F126-D126,2),0)),0)</f>
        <v/>
      </c>
      <c r="I126" s="350">
        <f>IF(G126="Sim",0,IF(OR(F126="",L126=""),"",F126))</f>
        <v/>
      </c>
      <c r="J126" s="350">
        <f>IF(G126="Sim",0,IF(OR(F126="",D126="",L126=""),"",IF(L126="Sim",ROUND(F126-D126,2),0)))</f>
        <v/>
      </c>
      <c r="K126" s="97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27" t="n"/>
      <c r="V126" s="110" t="inlineStr">
        <is>
          <t>Nao</t>
        </is>
      </c>
      <c r="W126" s="110" t="inlineStr">
        <is>
          <t>PC em analise</t>
        </is>
      </c>
      <c r="X126" s="110" t="inlineStr">
        <is>
          <t>Pedido de Compra</t>
        </is>
      </c>
      <c r="Y126" s="111" t="inlineStr">
        <is>
          <t>Impacto Potencial</t>
        </is>
      </c>
      <c r="Z126" s="111" t="inlineStr">
        <is>
          <t>PC</t>
        </is>
      </c>
      <c r="AA126" s="111" t="inlineStr">
        <is>
          <t>Nao</t>
        </is>
      </c>
      <c r="AB126" s="111" t="inlineStr">
        <is>
          <t>NAO_COMPUTADO</t>
        </is>
      </c>
      <c r="AC126" s="112" t="inlineStr">
        <is>
          <t>Estrutura Fase 1: sem impacto no VTA oficial</t>
        </is>
      </c>
    </row>
    <row r="127" ht="25.5" customHeight="1" s="289">
      <c r="A127" s="205" t="n"/>
      <c r="B127" s="207" t="n"/>
      <c r="C127" s="104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348" t="n"/>
      <c r="E127" s="349">
        <f>IF(C127="","",IFERROR(VLOOKUP(C127,parametros!$A$11:$E$15,5,0),""))</f>
        <v/>
      </c>
      <c r="F127" s="335">
        <f>IF(OR(D127="",E127=""),"",ROUND(D127*E127,2))</f>
        <v/>
      </c>
      <c r="G127" s="106" t="n"/>
      <c r="H127" s="350">
        <f>IF(G127="Sim",IF(OR(F127="",D127="",L127=""),"",IF(L127="Sim",ROUND(F127-D127,2),0)),0)</f>
        <v/>
      </c>
      <c r="I127" s="350">
        <f>IF(G127="Sim",0,IF(OR(F127="",L127=""),"",F127))</f>
        <v/>
      </c>
      <c r="J127" s="350">
        <f>IF(G127="Sim",0,IF(OR(F127="",D127="",L127=""),"",IF(L127="Sim",ROUND(F127-D127,2),0)))</f>
        <v/>
      </c>
      <c r="K127" s="97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27" t="n"/>
      <c r="V127" s="110" t="inlineStr">
        <is>
          <t>Nao</t>
        </is>
      </c>
      <c r="W127" s="110" t="inlineStr">
        <is>
          <t>PC em analise</t>
        </is>
      </c>
      <c r="X127" s="110" t="inlineStr">
        <is>
          <t>Pedido de Compra</t>
        </is>
      </c>
      <c r="Y127" s="111" t="inlineStr">
        <is>
          <t>Impacto Potencial</t>
        </is>
      </c>
      <c r="Z127" s="111" t="inlineStr">
        <is>
          <t>PC</t>
        </is>
      </c>
      <c r="AA127" s="111" t="inlineStr">
        <is>
          <t>Nao</t>
        </is>
      </c>
      <c r="AB127" s="111" t="inlineStr">
        <is>
          <t>NAO_COMPUTADO</t>
        </is>
      </c>
      <c r="AC127" s="112" t="inlineStr">
        <is>
          <t>Estrutura Fase 1: sem impacto no VTA oficial</t>
        </is>
      </c>
    </row>
    <row r="128" ht="25.5" customHeight="1" s="289">
      <c r="A128" s="205" t="n"/>
      <c r="B128" s="207" t="n"/>
      <c r="C128" s="104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348" t="n"/>
      <c r="E128" s="349">
        <f>IF(C128="","",IFERROR(VLOOKUP(C128,parametros!$A$11:$E$15,5,0),""))</f>
        <v/>
      </c>
      <c r="F128" s="335">
        <f>IF(OR(D128="",E128=""),"",ROUND(D128*E128,2))</f>
        <v/>
      </c>
      <c r="G128" s="106" t="n"/>
      <c r="H128" s="350">
        <f>IF(G128="Sim",IF(OR(F128="",D128="",L128=""),"",IF(L128="Sim",ROUND(F128-D128,2),0)),0)</f>
        <v/>
      </c>
      <c r="I128" s="350">
        <f>IF(G128="Sim",0,IF(OR(F128="",L128=""),"",F128))</f>
        <v/>
      </c>
      <c r="J128" s="350">
        <f>IF(G128="Sim",0,IF(OR(F128="",D128="",L128=""),"",IF(L128="Sim",ROUND(F128-D128,2),0)))</f>
        <v/>
      </c>
      <c r="K128" s="97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27" t="n"/>
      <c r="V128" s="110" t="inlineStr">
        <is>
          <t>Nao</t>
        </is>
      </c>
      <c r="W128" s="110" t="inlineStr">
        <is>
          <t>PC em analise</t>
        </is>
      </c>
      <c r="X128" s="110" t="inlineStr">
        <is>
          <t>Pedido de Compra</t>
        </is>
      </c>
      <c r="Y128" s="111" t="inlineStr">
        <is>
          <t>Impacto Potencial</t>
        </is>
      </c>
      <c r="Z128" s="111" t="inlineStr">
        <is>
          <t>PC</t>
        </is>
      </c>
      <c r="AA128" s="111" t="inlineStr">
        <is>
          <t>Nao</t>
        </is>
      </c>
      <c r="AB128" s="111" t="inlineStr">
        <is>
          <t>NAO_COMPUTADO</t>
        </is>
      </c>
      <c r="AC128" s="112" t="inlineStr">
        <is>
          <t>Estrutura Fase 1: sem impacto no VTA oficial</t>
        </is>
      </c>
    </row>
    <row r="129" ht="25.5" customHeight="1" s="289">
      <c r="A129" s="205" t="n"/>
      <c r="B129" s="207" t="n"/>
      <c r="C129" s="104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348" t="n"/>
      <c r="E129" s="349">
        <f>IF(C129="","",IFERROR(VLOOKUP(C129,parametros!$A$11:$E$15,5,0),""))</f>
        <v/>
      </c>
      <c r="F129" s="335">
        <f>IF(OR(D129="",E129=""),"",ROUND(D129*E129,2))</f>
        <v/>
      </c>
      <c r="G129" s="106" t="n"/>
      <c r="H129" s="350">
        <f>IF(G129="Sim",IF(OR(F129="",D129="",L129=""),"",IF(L129="Sim",ROUND(F129-D129,2),0)),0)</f>
        <v/>
      </c>
      <c r="I129" s="350">
        <f>IF(G129="Sim",0,IF(OR(F129="",L129=""),"",F129))</f>
        <v/>
      </c>
      <c r="J129" s="350">
        <f>IF(G129="Sim",0,IF(OR(F129="",D129="",L129=""),"",IF(L129="Sim",ROUND(F129-D129,2),0)))</f>
        <v/>
      </c>
      <c r="K129" s="97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27" t="n"/>
      <c r="V129" s="110" t="inlineStr">
        <is>
          <t>Nao</t>
        </is>
      </c>
      <c r="W129" s="110" t="inlineStr">
        <is>
          <t>PC em analise</t>
        </is>
      </c>
      <c r="X129" s="110" t="inlineStr">
        <is>
          <t>Pedido de Compra</t>
        </is>
      </c>
      <c r="Y129" s="111" t="inlineStr">
        <is>
          <t>Impacto Potencial</t>
        </is>
      </c>
      <c r="Z129" s="111" t="inlineStr">
        <is>
          <t>PC</t>
        </is>
      </c>
      <c r="AA129" s="111" t="inlineStr">
        <is>
          <t>Nao</t>
        </is>
      </c>
      <c r="AB129" s="111" t="inlineStr">
        <is>
          <t>NAO_COMPUTADO</t>
        </is>
      </c>
      <c r="AC129" s="112" t="inlineStr">
        <is>
          <t>Estrutura Fase 1: sem impacto no VTA oficial</t>
        </is>
      </c>
    </row>
    <row r="130" ht="25.5" customHeight="1" s="289">
      <c r="A130" s="205" t="n"/>
      <c r="B130" s="207" t="n"/>
      <c r="C130" s="104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348" t="n"/>
      <c r="E130" s="349">
        <f>IF(C130="","",IFERROR(VLOOKUP(C130,parametros!$A$11:$E$15,5,0),""))</f>
        <v/>
      </c>
      <c r="F130" s="335">
        <f>IF(OR(D130="",E130=""),"",ROUND(D130*E130,2))</f>
        <v/>
      </c>
      <c r="G130" s="106" t="n"/>
      <c r="H130" s="350">
        <f>IF(G130="Sim",IF(OR(F130="",D130="",L130=""),"",IF(L130="Sim",ROUND(F130-D130,2),0)),0)</f>
        <v/>
      </c>
      <c r="I130" s="350">
        <f>IF(G130="Sim",0,IF(OR(F130="",L130=""),"",F130))</f>
        <v/>
      </c>
      <c r="J130" s="350">
        <f>IF(G130="Sim",0,IF(OR(F130="",D130="",L130=""),"",IF(L130="Sim",ROUND(F130-D130,2),0)))</f>
        <v/>
      </c>
      <c r="K130" s="97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27" t="n"/>
      <c r="V130" s="110" t="inlineStr">
        <is>
          <t>Nao</t>
        </is>
      </c>
      <c r="W130" s="110" t="inlineStr">
        <is>
          <t>PC em analise</t>
        </is>
      </c>
      <c r="X130" s="110" t="inlineStr">
        <is>
          <t>Pedido de Compra</t>
        </is>
      </c>
      <c r="Y130" s="111" t="inlineStr">
        <is>
          <t>Impacto Potencial</t>
        </is>
      </c>
      <c r="Z130" s="111" t="inlineStr">
        <is>
          <t>PC</t>
        </is>
      </c>
      <c r="AA130" s="111" t="inlineStr">
        <is>
          <t>Nao</t>
        </is>
      </c>
      <c r="AB130" s="111" t="inlineStr">
        <is>
          <t>NAO_COMPUTADO</t>
        </is>
      </c>
      <c r="AC130" s="112" t="inlineStr">
        <is>
          <t>Estrutura Fase 1: sem impacto no VTA oficial</t>
        </is>
      </c>
    </row>
    <row r="131" ht="25.5" customHeight="1" s="289">
      <c r="A131" s="205" t="n"/>
      <c r="B131" s="207" t="n"/>
      <c r="C131" s="104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348" t="n"/>
      <c r="E131" s="349">
        <f>IF(C131="","",IFERROR(VLOOKUP(C131,parametros!$A$11:$E$15,5,0),""))</f>
        <v/>
      </c>
      <c r="F131" s="335">
        <f>IF(OR(D131="",E131=""),"",ROUND(D131*E131,2))</f>
        <v/>
      </c>
      <c r="G131" s="106" t="n"/>
      <c r="H131" s="350">
        <f>IF(G131="Sim",IF(OR(F131="",D131="",L131=""),"",IF(L131="Sim",ROUND(F131-D131,2),0)),0)</f>
        <v/>
      </c>
      <c r="I131" s="350">
        <f>IF(G131="Sim",0,IF(OR(F131="",L131=""),"",F131))</f>
        <v/>
      </c>
      <c r="J131" s="350">
        <f>IF(G131="Sim",0,IF(OR(F131="",D131="",L131=""),"",IF(L131="Sim",ROUND(F131-D131,2),0)))</f>
        <v/>
      </c>
      <c r="K131" s="97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27" t="n"/>
      <c r="V131" s="110" t="inlineStr">
        <is>
          <t>Nao</t>
        </is>
      </c>
      <c r="W131" s="110" t="inlineStr">
        <is>
          <t>PC em analise</t>
        </is>
      </c>
      <c r="X131" s="110" t="inlineStr">
        <is>
          <t>Pedido de Compra</t>
        </is>
      </c>
      <c r="Y131" s="111" t="inlineStr">
        <is>
          <t>Impacto Potencial</t>
        </is>
      </c>
      <c r="Z131" s="111" t="inlineStr">
        <is>
          <t>PC</t>
        </is>
      </c>
      <c r="AA131" s="111" t="inlineStr">
        <is>
          <t>Nao</t>
        </is>
      </c>
      <c r="AB131" s="111" t="inlineStr">
        <is>
          <t>NAO_COMPUTADO</t>
        </is>
      </c>
      <c r="AC131" s="112" t="inlineStr">
        <is>
          <t>Estrutura Fase 1: sem impacto no VTA oficial</t>
        </is>
      </c>
    </row>
    <row r="132" ht="25.5" customHeight="1" s="289">
      <c r="A132" s="205" t="n"/>
      <c r="B132" s="207" t="n"/>
      <c r="C132" s="104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348" t="n"/>
      <c r="E132" s="349">
        <f>IF(C132="","",IFERROR(VLOOKUP(C132,parametros!$A$11:$E$15,5,0),""))</f>
        <v/>
      </c>
      <c r="F132" s="335">
        <f>IF(OR(D132="",E132=""),"",ROUND(D132*E132,2))</f>
        <v/>
      </c>
      <c r="G132" s="106" t="n"/>
      <c r="H132" s="350">
        <f>IF(G132="Sim",IF(OR(F132="",D132="",L132=""),"",IF(L132="Sim",ROUND(F132-D132,2),0)),0)</f>
        <v/>
      </c>
      <c r="I132" s="350">
        <f>IF(G132="Sim",0,IF(OR(F132="",L132=""),"",F132))</f>
        <v/>
      </c>
      <c r="J132" s="350">
        <f>IF(G132="Sim",0,IF(OR(F132="",D132="",L132=""),"",IF(L132="Sim",ROUND(F132-D132,2),0)))</f>
        <v/>
      </c>
      <c r="K132" s="97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27" t="n"/>
      <c r="V132" s="110" t="inlineStr">
        <is>
          <t>Nao</t>
        </is>
      </c>
      <c r="W132" s="110" t="inlineStr">
        <is>
          <t>PC em analise</t>
        </is>
      </c>
      <c r="X132" s="110" t="inlineStr">
        <is>
          <t>Pedido de Compra</t>
        </is>
      </c>
      <c r="Y132" s="111" t="inlineStr">
        <is>
          <t>Impacto Potencial</t>
        </is>
      </c>
      <c r="Z132" s="111" t="inlineStr">
        <is>
          <t>PC</t>
        </is>
      </c>
      <c r="AA132" s="111" t="inlineStr">
        <is>
          <t>Nao</t>
        </is>
      </c>
      <c r="AB132" s="111" t="inlineStr">
        <is>
          <t>NAO_COMPUTADO</t>
        </is>
      </c>
      <c r="AC132" s="112" t="inlineStr">
        <is>
          <t>Estrutura Fase 1: sem impacto no VTA oficial</t>
        </is>
      </c>
    </row>
    <row r="133" ht="25.5" customHeight="1" s="289">
      <c r="A133" s="205" t="n"/>
      <c r="B133" s="207" t="n"/>
      <c r="C133" s="104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348" t="n"/>
      <c r="E133" s="349">
        <f>IF(C133="","",IFERROR(VLOOKUP(C133,parametros!$A$11:$E$15,5,0),""))</f>
        <v/>
      </c>
      <c r="F133" s="335">
        <f>IF(OR(D133="",E133=""),"",ROUND(D133*E133,2))</f>
        <v/>
      </c>
      <c r="G133" s="106" t="n"/>
      <c r="H133" s="350">
        <f>IF(G133="Sim",IF(OR(F133="",D133="",L133=""),"",IF(L133="Sim",ROUND(F133-D133,2),0)),0)</f>
        <v/>
      </c>
      <c r="I133" s="350">
        <f>IF(G133="Sim",0,IF(OR(F133="",L133=""),"",F133))</f>
        <v/>
      </c>
      <c r="J133" s="350">
        <f>IF(G133="Sim",0,IF(OR(F133="",D133="",L133=""),"",IF(L133="Sim",ROUND(F133-D133,2),0)))</f>
        <v/>
      </c>
      <c r="K133" s="97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27" t="n"/>
      <c r="V133" s="110" t="inlineStr">
        <is>
          <t>Nao</t>
        </is>
      </c>
      <c r="W133" s="110" t="inlineStr">
        <is>
          <t>PC em analise</t>
        </is>
      </c>
      <c r="X133" s="110" t="inlineStr">
        <is>
          <t>Pedido de Compra</t>
        </is>
      </c>
      <c r="Y133" s="111" t="inlineStr">
        <is>
          <t>Impacto Potencial</t>
        </is>
      </c>
      <c r="Z133" s="111" t="inlineStr">
        <is>
          <t>PC</t>
        </is>
      </c>
      <c r="AA133" s="111" t="inlineStr">
        <is>
          <t>Nao</t>
        </is>
      </c>
      <c r="AB133" s="111" t="inlineStr">
        <is>
          <t>NAO_COMPUTADO</t>
        </is>
      </c>
      <c r="AC133" s="112" t="inlineStr">
        <is>
          <t>Estrutura Fase 1: sem impacto no VTA oficial</t>
        </is>
      </c>
    </row>
    <row r="134" ht="25.5" customHeight="1" s="289">
      <c r="A134" s="205" t="n"/>
      <c r="B134" s="207" t="n"/>
      <c r="C134" s="104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348" t="n"/>
      <c r="E134" s="349">
        <f>IF(C134="","",IFERROR(VLOOKUP(C134,parametros!$A$11:$E$15,5,0),""))</f>
        <v/>
      </c>
      <c r="F134" s="335">
        <f>IF(OR(D134="",E134=""),"",ROUND(D134*E134,2))</f>
        <v/>
      </c>
      <c r="G134" s="106" t="n"/>
      <c r="H134" s="350">
        <f>IF(G134="Sim",IF(OR(F134="",D134="",L134=""),"",IF(L134="Sim",ROUND(F134-D134,2),0)),0)</f>
        <v/>
      </c>
      <c r="I134" s="350">
        <f>IF(G134="Sim",0,IF(OR(F134="",L134=""),"",F134))</f>
        <v/>
      </c>
      <c r="J134" s="350">
        <f>IF(G134="Sim",0,IF(OR(F134="",D134="",L134=""),"",IF(L134="Sim",ROUND(F134-D134,2),0)))</f>
        <v/>
      </c>
      <c r="K134" s="97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27" t="n"/>
      <c r="V134" s="110" t="inlineStr">
        <is>
          <t>Nao</t>
        </is>
      </c>
      <c r="W134" s="110" t="inlineStr">
        <is>
          <t>PC em analise</t>
        </is>
      </c>
      <c r="X134" s="110" t="inlineStr">
        <is>
          <t>Pedido de Compra</t>
        </is>
      </c>
      <c r="Y134" s="111" t="inlineStr">
        <is>
          <t>Impacto Potencial</t>
        </is>
      </c>
      <c r="Z134" s="111" t="inlineStr">
        <is>
          <t>PC</t>
        </is>
      </c>
      <c r="AA134" s="111" t="inlineStr">
        <is>
          <t>Nao</t>
        </is>
      </c>
      <c r="AB134" s="111" t="inlineStr">
        <is>
          <t>NAO_COMPUTADO</t>
        </is>
      </c>
      <c r="AC134" s="112" t="inlineStr">
        <is>
          <t>Estrutura Fase 1: sem impacto no VTA oficial</t>
        </is>
      </c>
    </row>
    <row r="135" ht="25.5" customHeight="1" s="289">
      <c r="A135" s="205" t="n"/>
      <c r="B135" s="207" t="n"/>
      <c r="C135" s="104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348" t="n"/>
      <c r="E135" s="349">
        <f>IF(C135="","",IFERROR(VLOOKUP(C135,parametros!$A$11:$E$15,5,0),""))</f>
        <v/>
      </c>
      <c r="F135" s="335">
        <f>IF(OR(D135="",E135=""),"",ROUND(D135*E135,2))</f>
        <v/>
      </c>
      <c r="G135" s="106" t="n"/>
      <c r="H135" s="350">
        <f>IF(G135="Sim",IF(OR(F135="",D135="",L135=""),"",IF(L135="Sim",ROUND(F135-D135,2),0)),0)</f>
        <v/>
      </c>
      <c r="I135" s="350">
        <f>IF(G135="Sim",0,IF(OR(F135="",L135=""),"",F135))</f>
        <v/>
      </c>
      <c r="J135" s="350">
        <f>IF(G135="Sim",0,IF(OR(F135="",D135="",L135=""),"",IF(L135="Sim",ROUND(F135-D135,2),0)))</f>
        <v/>
      </c>
      <c r="K135" s="97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27" t="n"/>
      <c r="V135" s="110" t="inlineStr">
        <is>
          <t>Nao</t>
        </is>
      </c>
      <c r="W135" s="110" t="inlineStr">
        <is>
          <t>PC em analise</t>
        </is>
      </c>
      <c r="X135" s="110" t="inlineStr">
        <is>
          <t>Pedido de Compra</t>
        </is>
      </c>
      <c r="Y135" s="111" t="inlineStr">
        <is>
          <t>Impacto Potencial</t>
        </is>
      </c>
      <c r="Z135" s="111" t="inlineStr">
        <is>
          <t>PC</t>
        </is>
      </c>
      <c r="AA135" s="111" t="inlineStr">
        <is>
          <t>Nao</t>
        </is>
      </c>
      <c r="AB135" s="111" t="inlineStr">
        <is>
          <t>NAO_COMPUTADO</t>
        </is>
      </c>
      <c r="AC135" s="112" t="inlineStr">
        <is>
          <t>Estrutura Fase 1: sem impacto no VTA oficial</t>
        </is>
      </c>
    </row>
    <row r="136" ht="25.5" customHeight="1" s="289">
      <c r="A136" s="205" t="n"/>
      <c r="B136" s="207" t="n"/>
      <c r="C136" s="104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348" t="n"/>
      <c r="E136" s="349">
        <f>IF(C136="","",IFERROR(VLOOKUP(C136,parametros!$A$11:$E$15,5,0),""))</f>
        <v/>
      </c>
      <c r="F136" s="335">
        <f>IF(OR(D136="",E136=""),"",ROUND(D136*E136,2))</f>
        <v/>
      </c>
      <c r="G136" s="106" t="n"/>
      <c r="H136" s="350">
        <f>IF(G136="Sim",IF(OR(F136="",D136="",L136=""),"",IF(L136="Sim",ROUND(F136-D136,2),0)),0)</f>
        <v/>
      </c>
      <c r="I136" s="350">
        <f>IF(G136="Sim",0,IF(OR(F136="",L136=""),"",F136))</f>
        <v/>
      </c>
      <c r="J136" s="350">
        <f>IF(G136="Sim",0,IF(OR(F136="",D136="",L136=""),"",IF(L136="Sim",ROUND(F136-D136,2),0)))</f>
        <v/>
      </c>
      <c r="K136" s="97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27" t="n"/>
      <c r="V136" s="110" t="inlineStr">
        <is>
          <t>Nao</t>
        </is>
      </c>
      <c r="W136" s="110" t="inlineStr">
        <is>
          <t>PC em analise</t>
        </is>
      </c>
      <c r="X136" s="110" t="inlineStr">
        <is>
          <t>Pedido de Compra</t>
        </is>
      </c>
      <c r="Y136" s="111" t="inlineStr">
        <is>
          <t>Impacto Potencial</t>
        </is>
      </c>
      <c r="Z136" s="111" t="inlineStr">
        <is>
          <t>PC</t>
        </is>
      </c>
      <c r="AA136" s="111" t="inlineStr">
        <is>
          <t>Nao</t>
        </is>
      </c>
      <c r="AB136" s="111" t="inlineStr">
        <is>
          <t>NAO_COMPUTADO</t>
        </is>
      </c>
      <c r="AC136" s="112" t="inlineStr">
        <is>
          <t>Estrutura Fase 1: sem impacto no VTA oficial</t>
        </is>
      </c>
    </row>
    <row r="137" ht="25.5" customHeight="1" s="289">
      <c r="A137" s="205" t="n"/>
      <c r="B137" s="207" t="n"/>
      <c r="C137" s="104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348" t="n"/>
      <c r="E137" s="349">
        <f>IF(C137="","",IFERROR(VLOOKUP(C137,parametros!$A$11:$E$15,5,0),""))</f>
        <v/>
      </c>
      <c r="F137" s="335">
        <f>IF(OR(D137="",E137=""),"",ROUND(D137*E137,2))</f>
        <v/>
      </c>
      <c r="G137" s="106" t="n"/>
      <c r="H137" s="350">
        <f>IF(G137="Sim",IF(OR(F137="",D137="",L137=""),"",IF(L137="Sim",ROUND(F137-D137,2),0)),0)</f>
        <v/>
      </c>
      <c r="I137" s="350">
        <f>IF(G137="Sim",0,IF(OR(F137="",L137=""),"",F137))</f>
        <v/>
      </c>
      <c r="J137" s="350">
        <f>IF(G137="Sim",0,IF(OR(F137="",D137="",L137=""),"",IF(L137="Sim",ROUND(F137-D137,2),0)))</f>
        <v/>
      </c>
      <c r="K137" s="97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27" t="n"/>
      <c r="V137" s="110" t="inlineStr">
        <is>
          <t>Nao</t>
        </is>
      </c>
      <c r="W137" s="110" t="inlineStr">
        <is>
          <t>PC em analise</t>
        </is>
      </c>
      <c r="X137" s="110" t="inlineStr">
        <is>
          <t>Pedido de Compra</t>
        </is>
      </c>
      <c r="Y137" s="111" t="inlineStr">
        <is>
          <t>Impacto Potencial</t>
        </is>
      </c>
      <c r="Z137" s="111" t="inlineStr">
        <is>
          <t>PC</t>
        </is>
      </c>
      <c r="AA137" s="111" t="inlineStr">
        <is>
          <t>Nao</t>
        </is>
      </c>
      <c r="AB137" s="111" t="inlineStr">
        <is>
          <t>NAO_COMPUTADO</t>
        </is>
      </c>
      <c r="AC137" s="112" t="inlineStr">
        <is>
          <t>Estrutura Fase 1: sem impacto no VTA oficial</t>
        </is>
      </c>
    </row>
    <row r="138" ht="25.5" customHeight="1" s="289">
      <c r="A138" s="205" t="n"/>
      <c r="B138" s="207" t="n"/>
      <c r="C138" s="104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348" t="n"/>
      <c r="E138" s="349">
        <f>IF(C138="","",IFERROR(VLOOKUP(C138,parametros!$A$11:$E$15,5,0),""))</f>
        <v/>
      </c>
      <c r="F138" s="335">
        <f>IF(OR(D138="",E138=""),"",ROUND(D138*E138,2))</f>
        <v/>
      </c>
      <c r="G138" s="106" t="n"/>
      <c r="H138" s="350">
        <f>IF(G138="Sim",IF(OR(F138="",D138="",L138=""),"",IF(L138="Sim",ROUND(F138-D138,2),0)),0)</f>
        <v/>
      </c>
      <c r="I138" s="350">
        <f>IF(G138="Sim",0,IF(OR(F138="",L138=""),"",F138))</f>
        <v/>
      </c>
      <c r="J138" s="350">
        <f>IF(G138="Sim",0,IF(OR(F138="",D138="",L138=""),"",IF(L138="Sim",ROUND(F138-D138,2),0)))</f>
        <v/>
      </c>
      <c r="K138" s="97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27" t="n"/>
      <c r="V138" s="110" t="inlineStr">
        <is>
          <t>Nao</t>
        </is>
      </c>
      <c r="W138" s="110" t="inlineStr">
        <is>
          <t>PC em analise</t>
        </is>
      </c>
      <c r="X138" s="110" t="inlineStr">
        <is>
          <t>Pedido de Compra</t>
        </is>
      </c>
      <c r="Y138" s="111" t="inlineStr">
        <is>
          <t>Impacto Potencial</t>
        </is>
      </c>
      <c r="Z138" s="111" t="inlineStr">
        <is>
          <t>PC</t>
        </is>
      </c>
      <c r="AA138" s="111" t="inlineStr">
        <is>
          <t>Nao</t>
        </is>
      </c>
      <c r="AB138" s="111" t="inlineStr">
        <is>
          <t>NAO_COMPUTADO</t>
        </is>
      </c>
      <c r="AC138" s="112" t="inlineStr">
        <is>
          <t>Estrutura Fase 1: sem impacto no VTA oficial</t>
        </is>
      </c>
    </row>
    <row r="139" ht="25.5" customHeight="1" s="289">
      <c r="A139" s="205" t="n"/>
      <c r="B139" s="207" t="n"/>
      <c r="C139" s="104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348" t="n"/>
      <c r="E139" s="349">
        <f>IF(C139="","",IFERROR(VLOOKUP(C139,parametros!$A$11:$E$15,5,0),""))</f>
        <v/>
      </c>
      <c r="F139" s="335">
        <f>IF(OR(D139="",E139=""),"",ROUND(D139*E139,2))</f>
        <v/>
      </c>
      <c r="G139" s="106" t="n"/>
      <c r="H139" s="350">
        <f>IF(G139="Sim",IF(OR(F139="",D139="",L139=""),"",IF(L139="Sim",ROUND(F139-D139,2),0)),0)</f>
        <v/>
      </c>
      <c r="I139" s="350">
        <f>IF(G139="Sim",0,IF(OR(F139="",L139=""),"",F139))</f>
        <v/>
      </c>
      <c r="J139" s="350">
        <f>IF(G139="Sim",0,IF(OR(F139="",D139="",L139=""),"",IF(L139="Sim",ROUND(F139-D139,2),0)))</f>
        <v/>
      </c>
      <c r="K139" s="97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27" t="n"/>
      <c r="V139" s="110" t="inlineStr">
        <is>
          <t>Nao</t>
        </is>
      </c>
      <c r="W139" s="110" t="inlineStr">
        <is>
          <t>PC em analise</t>
        </is>
      </c>
      <c r="X139" s="110" t="inlineStr">
        <is>
          <t>Pedido de Compra</t>
        </is>
      </c>
      <c r="Y139" s="111" t="inlineStr">
        <is>
          <t>Impacto Potencial</t>
        </is>
      </c>
      <c r="Z139" s="111" t="inlineStr">
        <is>
          <t>PC</t>
        </is>
      </c>
      <c r="AA139" s="111" t="inlineStr">
        <is>
          <t>Nao</t>
        </is>
      </c>
      <c r="AB139" s="111" t="inlineStr">
        <is>
          <t>NAO_COMPUTADO</t>
        </is>
      </c>
      <c r="AC139" s="112" t="inlineStr">
        <is>
          <t>Estrutura Fase 1: sem impacto no VTA oficial</t>
        </is>
      </c>
    </row>
    <row r="140" ht="25.5" customHeight="1" s="289">
      <c r="A140" s="205" t="n"/>
      <c r="B140" s="207" t="n"/>
      <c r="C140" s="104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348" t="n"/>
      <c r="E140" s="349">
        <f>IF(C140="","",IFERROR(VLOOKUP(C140,parametros!$A$11:$E$15,5,0),""))</f>
        <v/>
      </c>
      <c r="F140" s="335">
        <f>IF(OR(D140="",E140=""),"",ROUND(D140*E140,2))</f>
        <v/>
      </c>
      <c r="G140" s="106" t="n"/>
      <c r="H140" s="350">
        <f>IF(G140="Sim",IF(OR(F140="",D140="",L140=""),"",IF(L140="Sim",ROUND(F140-D140,2),0)),0)</f>
        <v/>
      </c>
      <c r="I140" s="350">
        <f>IF(G140="Sim",0,IF(OR(F140="",L140=""),"",F140))</f>
        <v/>
      </c>
      <c r="J140" s="350">
        <f>IF(G140="Sim",0,IF(OR(F140="",D140="",L140=""),"",IF(L140="Sim",ROUND(F140-D140,2),0)))</f>
        <v/>
      </c>
      <c r="K140" s="97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27" t="n"/>
      <c r="V140" s="110" t="inlineStr">
        <is>
          <t>Nao</t>
        </is>
      </c>
      <c r="W140" s="110" t="inlineStr">
        <is>
          <t>PC em analise</t>
        </is>
      </c>
      <c r="X140" s="110" t="inlineStr">
        <is>
          <t>Pedido de Compra</t>
        </is>
      </c>
      <c r="Y140" s="111" t="inlineStr">
        <is>
          <t>Impacto Potencial</t>
        </is>
      </c>
      <c r="Z140" s="111" t="inlineStr">
        <is>
          <t>PC</t>
        </is>
      </c>
      <c r="AA140" s="111" t="inlineStr">
        <is>
          <t>Nao</t>
        </is>
      </c>
      <c r="AB140" s="111" t="inlineStr">
        <is>
          <t>NAO_COMPUTADO</t>
        </is>
      </c>
      <c r="AC140" s="112" t="inlineStr">
        <is>
          <t>Estrutura Fase 1: sem impacto no VTA oficial</t>
        </is>
      </c>
    </row>
    <row r="141" ht="25.5" customHeight="1" s="289">
      <c r="A141" s="205" t="n"/>
      <c r="B141" s="207" t="n"/>
      <c r="C141" s="104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348" t="n"/>
      <c r="E141" s="349">
        <f>IF(C141="","",IFERROR(VLOOKUP(C141,parametros!$A$11:$E$15,5,0),""))</f>
        <v/>
      </c>
      <c r="F141" s="335">
        <f>IF(OR(D141="",E141=""),"",ROUND(D141*E141,2))</f>
        <v/>
      </c>
      <c r="G141" s="106" t="n"/>
      <c r="H141" s="350">
        <f>IF(G141="Sim",IF(OR(F141="",D141="",L141=""),"",IF(L141="Sim",ROUND(F141-D141,2),0)),0)</f>
        <v/>
      </c>
      <c r="I141" s="350">
        <f>IF(G141="Sim",0,IF(OR(F141="",L141=""),"",F141))</f>
        <v/>
      </c>
      <c r="J141" s="350">
        <f>IF(G141="Sim",0,IF(OR(F141="",D141="",L141=""),"",IF(L141="Sim",ROUND(F141-D141,2),0)))</f>
        <v/>
      </c>
      <c r="K141" s="97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27" t="n"/>
      <c r="V141" s="110" t="inlineStr">
        <is>
          <t>Nao</t>
        </is>
      </c>
      <c r="W141" s="110" t="inlineStr">
        <is>
          <t>PC em analise</t>
        </is>
      </c>
      <c r="X141" s="110" t="inlineStr">
        <is>
          <t>Pedido de Compra</t>
        </is>
      </c>
      <c r="Y141" s="111" t="inlineStr">
        <is>
          <t>Impacto Potencial</t>
        </is>
      </c>
      <c r="Z141" s="111" t="inlineStr">
        <is>
          <t>PC</t>
        </is>
      </c>
      <c r="AA141" s="111" t="inlineStr">
        <is>
          <t>Nao</t>
        </is>
      </c>
      <c r="AB141" s="111" t="inlineStr">
        <is>
          <t>NAO_COMPUTADO</t>
        </is>
      </c>
      <c r="AC141" s="112" t="inlineStr">
        <is>
          <t>Estrutura Fase 1: sem impacto no VTA oficial</t>
        </is>
      </c>
    </row>
    <row r="142" ht="25.5" customHeight="1" s="289">
      <c r="A142" s="205" t="n"/>
      <c r="B142" s="207" t="n"/>
      <c r="C142" s="104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348" t="n"/>
      <c r="E142" s="349">
        <f>IF(C142="","",IFERROR(VLOOKUP(C142,parametros!$A$11:$E$15,5,0),""))</f>
        <v/>
      </c>
      <c r="F142" s="335">
        <f>IF(OR(D142="",E142=""),"",ROUND(D142*E142,2))</f>
        <v/>
      </c>
      <c r="G142" s="106" t="n"/>
      <c r="H142" s="350">
        <f>IF(G142="Sim",IF(OR(F142="",D142="",L142=""),"",IF(L142="Sim",ROUND(F142-D142,2),0)),0)</f>
        <v/>
      </c>
      <c r="I142" s="350">
        <f>IF(G142="Sim",0,IF(OR(F142="",L142=""),"",F142))</f>
        <v/>
      </c>
      <c r="J142" s="350">
        <f>IF(G142="Sim",0,IF(OR(F142="",D142="",L142=""),"",IF(L142="Sim",ROUND(F142-D142,2),0)))</f>
        <v/>
      </c>
      <c r="K142" s="97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27" t="n"/>
      <c r="V142" s="110" t="inlineStr">
        <is>
          <t>Nao</t>
        </is>
      </c>
      <c r="W142" s="110" t="inlineStr">
        <is>
          <t>PC em analise</t>
        </is>
      </c>
      <c r="X142" s="110" t="inlineStr">
        <is>
          <t>Pedido de Compra</t>
        </is>
      </c>
      <c r="Y142" s="111" t="inlineStr">
        <is>
          <t>Impacto Potencial</t>
        </is>
      </c>
      <c r="Z142" s="111" t="inlineStr">
        <is>
          <t>PC</t>
        </is>
      </c>
      <c r="AA142" s="111" t="inlineStr">
        <is>
          <t>Nao</t>
        </is>
      </c>
      <c r="AB142" s="111" t="inlineStr">
        <is>
          <t>NAO_COMPUTADO</t>
        </is>
      </c>
      <c r="AC142" s="112" t="inlineStr">
        <is>
          <t>Estrutura Fase 1: sem impacto no VTA oficial</t>
        </is>
      </c>
    </row>
    <row r="143" ht="25.5" customHeight="1" s="289">
      <c r="A143" s="205" t="n"/>
      <c r="B143" s="207" t="n"/>
      <c r="C143" s="104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348" t="n"/>
      <c r="E143" s="349">
        <f>IF(C143="","",IFERROR(VLOOKUP(C143,parametros!$A$11:$E$15,5,0),""))</f>
        <v/>
      </c>
      <c r="F143" s="335">
        <f>IF(OR(D143="",E143=""),"",ROUND(D143*E143,2))</f>
        <v/>
      </c>
      <c r="G143" s="106" t="n"/>
      <c r="H143" s="350">
        <f>IF(G143="Sim",IF(OR(F143="",D143="",L143=""),"",IF(L143="Sim",ROUND(F143-D143,2),0)),0)</f>
        <v/>
      </c>
      <c r="I143" s="350">
        <f>IF(G143="Sim",0,IF(OR(F143="",L143=""),"",F143))</f>
        <v/>
      </c>
      <c r="J143" s="350">
        <f>IF(G143="Sim",0,IF(OR(F143="",D143="",L143=""),"",IF(L143="Sim",ROUND(F143-D143,2),0)))</f>
        <v/>
      </c>
      <c r="K143" s="97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27" t="n"/>
      <c r="V143" s="110" t="inlineStr">
        <is>
          <t>Nao</t>
        </is>
      </c>
      <c r="W143" s="110" t="inlineStr">
        <is>
          <t>PC em analise</t>
        </is>
      </c>
      <c r="X143" s="110" t="inlineStr">
        <is>
          <t>Pedido de Compra</t>
        </is>
      </c>
      <c r="Y143" s="111" t="inlineStr">
        <is>
          <t>Impacto Potencial</t>
        </is>
      </c>
      <c r="Z143" s="111" t="inlineStr">
        <is>
          <t>PC</t>
        </is>
      </c>
      <c r="AA143" s="111" t="inlineStr">
        <is>
          <t>Nao</t>
        </is>
      </c>
      <c r="AB143" s="111" t="inlineStr">
        <is>
          <t>NAO_COMPUTADO</t>
        </is>
      </c>
      <c r="AC143" s="112" t="inlineStr">
        <is>
          <t>Estrutura Fase 1: sem impacto no VTA oficial</t>
        </is>
      </c>
    </row>
    <row r="144" ht="25.5" customHeight="1" s="289">
      <c r="A144" s="205" t="n"/>
      <c r="B144" s="207" t="n"/>
      <c r="C144" s="104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348" t="n"/>
      <c r="E144" s="349">
        <f>IF(C144="","",IFERROR(VLOOKUP(C144,parametros!$A$11:$E$15,5,0),""))</f>
        <v/>
      </c>
      <c r="F144" s="335">
        <f>IF(OR(D144="",E144=""),"",ROUND(D144*E144,2))</f>
        <v/>
      </c>
      <c r="G144" s="106" t="n"/>
      <c r="H144" s="350">
        <f>IF(G144="Sim",IF(OR(F144="",D144="",L144=""),"",IF(L144="Sim",ROUND(F144-D144,2),0)),0)</f>
        <v/>
      </c>
      <c r="I144" s="350">
        <f>IF(G144="Sim",0,IF(OR(F144="",L144=""),"",F144))</f>
        <v/>
      </c>
      <c r="J144" s="350">
        <f>IF(G144="Sim",0,IF(OR(F144="",D144="",L144=""),"",IF(L144="Sim",ROUND(F144-D144,2),0)))</f>
        <v/>
      </c>
      <c r="K144" s="97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27" t="n"/>
      <c r="V144" s="110" t="inlineStr">
        <is>
          <t>Nao</t>
        </is>
      </c>
      <c r="W144" s="110" t="inlineStr">
        <is>
          <t>PC em analise</t>
        </is>
      </c>
      <c r="X144" s="110" t="inlineStr">
        <is>
          <t>Pedido de Compra</t>
        </is>
      </c>
      <c r="Y144" s="111" t="inlineStr">
        <is>
          <t>Impacto Potencial</t>
        </is>
      </c>
      <c r="Z144" s="111" t="inlineStr">
        <is>
          <t>PC</t>
        </is>
      </c>
      <c r="AA144" s="111" t="inlineStr">
        <is>
          <t>Nao</t>
        </is>
      </c>
      <c r="AB144" s="111" t="inlineStr">
        <is>
          <t>NAO_COMPUTADO</t>
        </is>
      </c>
      <c r="AC144" s="112" t="inlineStr">
        <is>
          <t>Estrutura Fase 1: sem impacto no VTA oficial</t>
        </is>
      </c>
    </row>
    <row r="145" ht="25.5" customHeight="1" s="289">
      <c r="A145" s="205" t="n"/>
      <c r="B145" s="207" t="n"/>
      <c r="C145" s="104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348" t="n"/>
      <c r="E145" s="349">
        <f>IF(C145="","",IFERROR(VLOOKUP(C145,parametros!$A$11:$E$15,5,0),""))</f>
        <v/>
      </c>
      <c r="F145" s="335">
        <f>IF(OR(D145="",E145=""),"",ROUND(D145*E145,2))</f>
        <v/>
      </c>
      <c r="G145" s="106" t="n"/>
      <c r="H145" s="350">
        <f>IF(G145="Sim",IF(OR(F145="",D145="",L145=""),"",IF(L145="Sim",ROUND(F145-D145,2),0)),0)</f>
        <v/>
      </c>
      <c r="I145" s="350">
        <f>IF(G145="Sim",0,IF(OR(F145="",L145=""),"",F145))</f>
        <v/>
      </c>
      <c r="J145" s="350">
        <f>IF(G145="Sim",0,IF(OR(F145="",D145="",L145=""),"",IF(L145="Sim",ROUND(F145-D145,2),0)))</f>
        <v/>
      </c>
      <c r="K145" s="97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27" t="n"/>
      <c r="V145" s="110" t="inlineStr">
        <is>
          <t>Nao</t>
        </is>
      </c>
      <c r="W145" s="110" t="inlineStr">
        <is>
          <t>PC em analise</t>
        </is>
      </c>
      <c r="X145" s="110" t="inlineStr">
        <is>
          <t>Pedido de Compra</t>
        </is>
      </c>
      <c r="Y145" s="111" t="inlineStr">
        <is>
          <t>Impacto Potencial</t>
        </is>
      </c>
      <c r="Z145" s="111" t="inlineStr">
        <is>
          <t>PC</t>
        </is>
      </c>
      <c r="AA145" s="111" t="inlineStr">
        <is>
          <t>Nao</t>
        </is>
      </c>
      <c r="AB145" s="111" t="inlineStr">
        <is>
          <t>NAO_COMPUTADO</t>
        </is>
      </c>
      <c r="AC145" s="112" t="inlineStr">
        <is>
          <t>Estrutura Fase 1: sem impacto no VTA oficial</t>
        </is>
      </c>
    </row>
    <row r="146" ht="25.5" customHeight="1" s="289">
      <c r="A146" s="205" t="n"/>
      <c r="B146" s="207" t="n"/>
      <c r="C146" s="104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348" t="n"/>
      <c r="E146" s="349">
        <f>IF(C146="","",IFERROR(VLOOKUP(C146,parametros!$A$11:$E$15,5,0),""))</f>
        <v/>
      </c>
      <c r="F146" s="335">
        <f>IF(OR(D146="",E146=""),"",ROUND(D146*E146,2))</f>
        <v/>
      </c>
      <c r="G146" s="106" t="n"/>
      <c r="H146" s="350">
        <f>IF(G146="Sim",IF(OR(F146="",D146="",L146=""),"",IF(L146="Sim",ROUND(F146-D146,2),0)),0)</f>
        <v/>
      </c>
      <c r="I146" s="350">
        <f>IF(G146="Sim",0,IF(OR(F146="",L146=""),"",F146))</f>
        <v/>
      </c>
      <c r="J146" s="350">
        <f>IF(G146="Sim",0,IF(OR(F146="",D146="",L146=""),"",IF(L146="Sim",ROUND(F146-D146,2),0)))</f>
        <v/>
      </c>
      <c r="K146" s="97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27" t="n"/>
      <c r="V146" s="110" t="inlineStr">
        <is>
          <t>Nao</t>
        </is>
      </c>
      <c r="W146" s="110" t="inlineStr">
        <is>
          <t>PC em analise</t>
        </is>
      </c>
      <c r="X146" s="110" t="inlineStr">
        <is>
          <t>Pedido de Compra</t>
        </is>
      </c>
      <c r="Y146" s="111" t="inlineStr">
        <is>
          <t>Impacto Potencial</t>
        </is>
      </c>
      <c r="Z146" s="111" t="inlineStr">
        <is>
          <t>PC</t>
        </is>
      </c>
      <c r="AA146" s="111" t="inlineStr">
        <is>
          <t>Nao</t>
        </is>
      </c>
      <c r="AB146" s="111" t="inlineStr">
        <is>
          <t>NAO_COMPUTADO</t>
        </is>
      </c>
      <c r="AC146" s="112" t="inlineStr">
        <is>
          <t>Estrutura Fase 1: sem impacto no VTA oficial</t>
        </is>
      </c>
    </row>
    <row r="147" ht="25.5" customHeight="1" s="289">
      <c r="A147" s="205" t="n"/>
      <c r="B147" s="207" t="n"/>
      <c r="C147" s="104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348" t="n"/>
      <c r="E147" s="349">
        <f>IF(C147="","",IFERROR(VLOOKUP(C147,parametros!$A$11:$E$15,5,0),""))</f>
        <v/>
      </c>
      <c r="F147" s="335">
        <f>IF(OR(D147="",E147=""),"",ROUND(D147*E147,2))</f>
        <v/>
      </c>
      <c r="G147" s="106" t="n"/>
      <c r="H147" s="350">
        <f>IF(G147="Sim",IF(OR(F147="",D147="",L147=""),"",IF(L147="Sim",ROUND(F147-D147,2),0)),0)</f>
        <v/>
      </c>
      <c r="I147" s="350">
        <f>IF(G147="Sim",0,IF(OR(F147="",L147=""),"",F147))</f>
        <v/>
      </c>
      <c r="J147" s="350">
        <f>IF(G147="Sim",0,IF(OR(F147="",D147="",L147=""),"",IF(L147="Sim",ROUND(F147-D147,2),0)))</f>
        <v/>
      </c>
      <c r="K147" s="97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27" t="n"/>
      <c r="V147" s="110" t="inlineStr">
        <is>
          <t>Nao</t>
        </is>
      </c>
      <c r="W147" s="110" t="inlineStr">
        <is>
          <t>PC em analise</t>
        </is>
      </c>
      <c r="X147" s="110" t="inlineStr">
        <is>
          <t>Pedido de Compra</t>
        </is>
      </c>
      <c r="Y147" s="111" t="inlineStr">
        <is>
          <t>Impacto Potencial</t>
        </is>
      </c>
      <c r="Z147" s="111" t="inlineStr">
        <is>
          <t>PC</t>
        </is>
      </c>
      <c r="AA147" s="111" t="inlineStr">
        <is>
          <t>Nao</t>
        </is>
      </c>
      <c r="AB147" s="111" t="inlineStr">
        <is>
          <t>NAO_COMPUTADO</t>
        </is>
      </c>
      <c r="AC147" s="112" t="inlineStr">
        <is>
          <t>Estrutura Fase 1: sem impacto no VTA oficial</t>
        </is>
      </c>
    </row>
    <row r="148" ht="25.5" customHeight="1" s="289">
      <c r="A148" s="205" t="n"/>
      <c r="B148" s="207" t="n"/>
      <c r="C148" s="104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348" t="n"/>
      <c r="E148" s="349">
        <f>IF(C148="","",IFERROR(VLOOKUP(C148,parametros!$A$11:$E$15,5,0),""))</f>
        <v/>
      </c>
      <c r="F148" s="335">
        <f>IF(OR(D148="",E148=""),"",ROUND(D148*E148,2))</f>
        <v/>
      </c>
      <c r="G148" s="106" t="n"/>
      <c r="H148" s="350">
        <f>IF(G148="Sim",IF(OR(F148="",D148="",L148=""),"",IF(L148="Sim",ROUND(F148-D148,2),0)),0)</f>
        <v/>
      </c>
      <c r="I148" s="350">
        <f>IF(G148="Sim",0,IF(OR(F148="",L148=""),"",F148))</f>
        <v/>
      </c>
      <c r="J148" s="350">
        <f>IF(G148="Sim",0,IF(OR(F148="",D148="",L148=""),"",IF(L148="Sim",ROUND(F148-D148,2),0)))</f>
        <v/>
      </c>
      <c r="K148" s="97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27" t="n"/>
      <c r="V148" s="110" t="inlineStr">
        <is>
          <t>Nao</t>
        </is>
      </c>
      <c r="W148" s="110" t="inlineStr">
        <is>
          <t>PC em analise</t>
        </is>
      </c>
      <c r="X148" s="110" t="inlineStr">
        <is>
          <t>Pedido de Compra</t>
        </is>
      </c>
      <c r="Y148" s="111" t="inlineStr">
        <is>
          <t>Impacto Potencial</t>
        </is>
      </c>
      <c r="Z148" s="111" t="inlineStr">
        <is>
          <t>PC</t>
        </is>
      </c>
      <c r="AA148" s="111" t="inlineStr">
        <is>
          <t>Nao</t>
        </is>
      </c>
      <c r="AB148" s="111" t="inlineStr">
        <is>
          <t>NAO_COMPUTADO</t>
        </is>
      </c>
      <c r="AC148" s="112" t="inlineStr">
        <is>
          <t>Estrutura Fase 1: sem impacto no VTA oficial</t>
        </is>
      </c>
    </row>
    <row r="149" ht="25.5" customHeight="1" s="289">
      <c r="A149" s="205" t="n"/>
      <c r="B149" s="207" t="n"/>
      <c r="C149" s="104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348" t="n"/>
      <c r="E149" s="349">
        <f>IF(C149="","",IFERROR(VLOOKUP(C149,parametros!$A$11:$E$15,5,0),""))</f>
        <v/>
      </c>
      <c r="F149" s="335">
        <f>IF(OR(D149="",E149=""),"",ROUND(D149*E149,2))</f>
        <v/>
      </c>
      <c r="G149" s="106" t="n"/>
      <c r="H149" s="350">
        <f>IF(G149="Sim",IF(OR(F149="",D149="",L149=""),"",IF(L149="Sim",ROUND(F149-D149,2),0)),0)</f>
        <v/>
      </c>
      <c r="I149" s="350">
        <f>IF(G149="Sim",0,IF(OR(F149="",L149=""),"",F149))</f>
        <v/>
      </c>
      <c r="J149" s="350">
        <f>IF(G149="Sim",0,IF(OR(F149="",D149="",L149=""),"",IF(L149="Sim",ROUND(F149-D149,2),0)))</f>
        <v/>
      </c>
      <c r="K149" s="97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27" t="n"/>
      <c r="V149" s="110" t="inlineStr">
        <is>
          <t>Nao</t>
        </is>
      </c>
      <c r="W149" s="110" t="inlineStr">
        <is>
          <t>PC em analise</t>
        </is>
      </c>
      <c r="X149" s="110" t="inlineStr">
        <is>
          <t>Pedido de Compra</t>
        </is>
      </c>
      <c r="Y149" s="111" t="inlineStr">
        <is>
          <t>Impacto Potencial</t>
        </is>
      </c>
      <c r="Z149" s="111" t="inlineStr">
        <is>
          <t>PC</t>
        </is>
      </c>
      <c r="AA149" s="111" t="inlineStr">
        <is>
          <t>Nao</t>
        </is>
      </c>
      <c r="AB149" s="111" t="inlineStr">
        <is>
          <t>NAO_COMPUTADO</t>
        </is>
      </c>
      <c r="AC149" s="112" t="inlineStr">
        <is>
          <t>Estrutura Fase 1: sem impacto no VTA oficial</t>
        </is>
      </c>
    </row>
    <row r="150" ht="25.5" customHeight="1" s="289">
      <c r="A150" s="205" t="n"/>
      <c r="B150" s="207" t="n"/>
      <c r="C150" s="104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348" t="n"/>
      <c r="E150" s="349">
        <f>IF(C150="","",IFERROR(VLOOKUP(C150,parametros!$A$11:$E$15,5,0),""))</f>
        <v/>
      </c>
      <c r="F150" s="335">
        <f>IF(OR(D150="",E150=""),"",ROUND(D150*E150,2))</f>
        <v/>
      </c>
      <c r="G150" s="106" t="n"/>
      <c r="H150" s="350">
        <f>IF(G150="Sim",IF(OR(F150="",D150="",L150=""),"",IF(L150="Sim",ROUND(F150-D150,2),0)),0)</f>
        <v/>
      </c>
      <c r="I150" s="350">
        <f>IF(G150="Sim",0,IF(OR(F150="",L150=""),"",F150))</f>
        <v/>
      </c>
      <c r="J150" s="350">
        <f>IF(G150="Sim",0,IF(OR(F150="",D150="",L150=""),"",IF(L150="Sim",ROUND(F150-D150,2),0)))</f>
        <v/>
      </c>
      <c r="K150" s="97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27" t="n"/>
      <c r="V150" s="110" t="inlineStr">
        <is>
          <t>Nao</t>
        </is>
      </c>
      <c r="W150" s="110" t="inlineStr">
        <is>
          <t>PC em analise</t>
        </is>
      </c>
      <c r="X150" s="110" t="inlineStr">
        <is>
          <t>Pedido de Compra</t>
        </is>
      </c>
      <c r="Y150" s="111" t="inlineStr">
        <is>
          <t>Impacto Potencial</t>
        </is>
      </c>
      <c r="Z150" s="111" t="inlineStr">
        <is>
          <t>PC</t>
        </is>
      </c>
      <c r="AA150" s="111" t="inlineStr">
        <is>
          <t>Nao</t>
        </is>
      </c>
      <c r="AB150" s="111" t="inlineStr">
        <is>
          <t>NAO_COMPUTADO</t>
        </is>
      </c>
      <c r="AC150" s="112" t="inlineStr">
        <is>
          <t>Estrutura Fase 1: sem impacto no VTA oficial</t>
        </is>
      </c>
    </row>
    <row r="151" ht="25.5" customHeight="1" s="289">
      <c r="A151" s="205" t="n"/>
      <c r="B151" s="207" t="n"/>
      <c r="C151" s="104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348" t="n"/>
      <c r="E151" s="349">
        <f>IF(C151="","",IFERROR(VLOOKUP(C151,parametros!$A$11:$E$15,5,0),""))</f>
        <v/>
      </c>
      <c r="F151" s="335">
        <f>IF(OR(D151="",E151=""),"",ROUND(D151*E151,2))</f>
        <v/>
      </c>
      <c r="G151" s="106" t="n"/>
      <c r="H151" s="350">
        <f>IF(G151="Sim",IF(OR(F151="",D151="",L151=""),"",IF(L151="Sim",ROUND(F151-D151,2),0)),0)</f>
        <v/>
      </c>
      <c r="I151" s="350">
        <f>IF(G151="Sim",0,IF(OR(F151="",L151=""),"",F151))</f>
        <v/>
      </c>
      <c r="J151" s="350">
        <f>IF(G151="Sim",0,IF(OR(F151="",D151="",L151=""),"",IF(L151="Sim",ROUND(F151-D151,2),0)))</f>
        <v/>
      </c>
      <c r="K151" s="97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27" t="n"/>
      <c r="V151" s="110" t="inlineStr">
        <is>
          <t>Nao</t>
        </is>
      </c>
      <c r="W151" s="110" t="inlineStr">
        <is>
          <t>PC em analise</t>
        </is>
      </c>
      <c r="X151" s="110" t="inlineStr">
        <is>
          <t>Pedido de Compra</t>
        </is>
      </c>
      <c r="Y151" s="111" t="inlineStr">
        <is>
          <t>Impacto Potencial</t>
        </is>
      </c>
      <c r="Z151" s="111" t="inlineStr">
        <is>
          <t>PC</t>
        </is>
      </c>
      <c r="AA151" s="111" t="inlineStr">
        <is>
          <t>Nao</t>
        </is>
      </c>
      <c r="AB151" s="111" t="inlineStr">
        <is>
          <t>NAO_COMPUTADO</t>
        </is>
      </c>
      <c r="AC151" s="112" t="inlineStr">
        <is>
          <t>Estrutura Fase 1: sem impacto no VTA oficial</t>
        </is>
      </c>
    </row>
    <row r="152" ht="25.5" customHeight="1" s="289">
      <c r="A152" s="205" t="n"/>
      <c r="B152" s="207" t="n"/>
      <c r="C152" s="104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348" t="n"/>
      <c r="E152" s="349">
        <f>IF(C152="","",IFERROR(VLOOKUP(C152,parametros!$A$11:$E$15,5,0),""))</f>
        <v/>
      </c>
      <c r="F152" s="335">
        <f>IF(OR(D152="",E152=""),"",ROUND(D152*E152,2))</f>
        <v/>
      </c>
      <c r="G152" s="106" t="n"/>
      <c r="H152" s="350">
        <f>IF(G152="Sim",IF(OR(F152="",D152="",L152=""),"",IF(L152="Sim",ROUND(F152-D152,2),0)),0)</f>
        <v/>
      </c>
      <c r="I152" s="350">
        <f>IF(G152="Sim",0,IF(OR(F152="",L152=""),"",F152))</f>
        <v/>
      </c>
      <c r="J152" s="350">
        <f>IF(G152="Sim",0,IF(OR(F152="",D152="",L152=""),"",IF(L152="Sim",ROUND(F152-D152,2),0)))</f>
        <v/>
      </c>
      <c r="K152" s="97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27" t="n"/>
      <c r="V152" s="110" t="inlineStr">
        <is>
          <t>Nao</t>
        </is>
      </c>
      <c r="W152" s="110" t="inlineStr">
        <is>
          <t>PC em analise</t>
        </is>
      </c>
      <c r="X152" s="110" t="inlineStr">
        <is>
          <t>Pedido de Compra</t>
        </is>
      </c>
      <c r="Y152" s="111" t="inlineStr">
        <is>
          <t>Impacto Potencial</t>
        </is>
      </c>
      <c r="Z152" s="111" t="inlineStr">
        <is>
          <t>PC</t>
        </is>
      </c>
      <c r="AA152" s="111" t="inlineStr">
        <is>
          <t>Nao</t>
        </is>
      </c>
      <c r="AB152" s="111" t="inlineStr">
        <is>
          <t>NAO_COMPUTADO</t>
        </is>
      </c>
      <c r="AC152" s="112" t="inlineStr">
        <is>
          <t>Estrutura Fase 1: sem impacto no VTA oficial</t>
        </is>
      </c>
    </row>
    <row r="153" ht="25.5" customHeight="1" s="289">
      <c r="A153" s="205" t="n"/>
      <c r="B153" s="207" t="n"/>
      <c r="C153" s="104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348" t="n"/>
      <c r="E153" s="349">
        <f>IF(C153="","",IFERROR(VLOOKUP(C153,parametros!$A$11:$E$15,5,0),""))</f>
        <v/>
      </c>
      <c r="F153" s="335">
        <f>IF(OR(D153="",E153=""),"",ROUND(D153*E153,2))</f>
        <v/>
      </c>
      <c r="G153" s="106" t="n"/>
      <c r="H153" s="350">
        <f>IF(G153="Sim",IF(OR(F153="",D153="",L153=""),"",IF(L153="Sim",ROUND(F153-D153,2),0)),0)</f>
        <v/>
      </c>
      <c r="I153" s="350">
        <f>IF(G153="Sim",0,IF(OR(F153="",L153=""),"",F153))</f>
        <v/>
      </c>
      <c r="J153" s="350">
        <f>IF(G153="Sim",0,IF(OR(F153="",D153="",L153=""),"",IF(L153="Sim",ROUND(F153-D153,2),0)))</f>
        <v/>
      </c>
      <c r="K153" s="97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27" t="n"/>
      <c r="V153" s="110" t="inlineStr">
        <is>
          <t>Nao</t>
        </is>
      </c>
      <c r="W153" s="110" t="inlineStr">
        <is>
          <t>PC em analise</t>
        </is>
      </c>
      <c r="X153" s="110" t="inlineStr">
        <is>
          <t>Pedido de Compra</t>
        </is>
      </c>
      <c r="Y153" s="111" t="inlineStr">
        <is>
          <t>Impacto Potencial</t>
        </is>
      </c>
      <c r="Z153" s="111" t="inlineStr">
        <is>
          <t>PC</t>
        </is>
      </c>
      <c r="AA153" s="111" t="inlineStr">
        <is>
          <t>Nao</t>
        </is>
      </c>
      <c r="AB153" s="111" t="inlineStr">
        <is>
          <t>NAO_COMPUTADO</t>
        </is>
      </c>
      <c r="AC153" s="112" t="inlineStr">
        <is>
          <t>Estrutura Fase 1: sem impacto no VTA oficial</t>
        </is>
      </c>
    </row>
    <row r="154" ht="25.5" customHeight="1" s="289">
      <c r="A154" s="205" t="n"/>
      <c r="B154" s="207" t="n"/>
      <c r="C154" s="104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348" t="n"/>
      <c r="E154" s="349">
        <f>IF(C154="","",IFERROR(VLOOKUP(C154,parametros!$A$11:$E$15,5,0),""))</f>
        <v/>
      </c>
      <c r="F154" s="335">
        <f>IF(OR(D154="",E154=""),"",ROUND(D154*E154,2))</f>
        <v/>
      </c>
      <c r="G154" s="106" t="n"/>
      <c r="H154" s="350">
        <f>IF(G154="Sim",IF(OR(F154="",D154="",L154=""),"",IF(L154="Sim",ROUND(F154-D154,2),0)),0)</f>
        <v/>
      </c>
      <c r="I154" s="350">
        <f>IF(G154="Sim",0,IF(OR(F154="",L154=""),"",F154))</f>
        <v/>
      </c>
      <c r="J154" s="350">
        <f>IF(G154="Sim",0,IF(OR(F154="",D154="",L154=""),"",IF(L154="Sim",ROUND(F154-D154,2),0)))</f>
        <v/>
      </c>
      <c r="K154" s="97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27" t="n"/>
      <c r="V154" s="110" t="inlineStr">
        <is>
          <t>Nao</t>
        </is>
      </c>
      <c r="W154" s="110" t="inlineStr">
        <is>
          <t>PC em analise</t>
        </is>
      </c>
      <c r="X154" s="110" t="inlineStr">
        <is>
          <t>Pedido de Compra</t>
        </is>
      </c>
      <c r="Y154" s="111" t="inlineStr">
        <is>
          <t>Impacto Potencial</t>
        </is>
      </c>
      <c r="Z154" s="111" t="inlineStr">
        <is>
          <t>PC</t>
        </is>
      </c>
      <c r="AA154" s="111" t="inlineStr">
        <is>
          <t>Nao</t>
        </is>
      </c>
      <c r="AB154" s="111" t="inlineStr">
        <is>
          <t>NAO_COMPUTADO</t>
        </is>
      </c>
      <c r="AC154" s="112" t="inlineStr">
        <is>
          <t>Estrutura Fase 1: sem impacto no VTA oficial</t>
        </is>
      </c>
    </row>
    <row r="155" ht="25.5" customHeight="1" s="289">
      <c r="A155" s="205" t="n"/>
      <c r="B155" s="207" t="n"/>
      <c r="C155" s="104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348" t="n"/>
      <c r="E155" s="349">
        <f>IF(C155="","",IFERROR(VLOOKUP(C155,parametros!$A$11:$E$15,5,0),""))</f>
        <v/>
      </c>
      <c r="F155" s="335">
        <f>IF(OR(D155="",E155=""),"",ROUND(D155*E155,2))</f>
        <v/>
      </c>
      <c r="G155" s="106" t="n"/>
      <c r="H155" s="350">
        <f>IF(G155="Sim",IF(OR(F155="",D155="",L155=""),"",IF(L155="Sim",ROUND(F155-D155,2),0)),0)</f>
        <v/>
      </c>
      <c r="I155" s="350">
        <f>IF(G155="Sim",0,IF(OR(F155="",L155=""),"",F155))</f>
        <v/>
      </c>
      <c r="J155" s="350">
        <f>IF(G155="Sim",0,IF(OR(F155="",D155="",L155=""),"",IF(L155="Sim",ROUND(F155-D155,2),0)))</f>
        <v/>
      </c>
      <c r="K155" s="97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27" t="n"/>
      <c r="V155" s="110" t="inlineStr">
        <is>
          <t>Nao</t>
        </is>
      </c>
      <c r="W155" s="110" t="inlineStr">
        <is>
          <t>PC em analise</t>
        </is>
      </c>
      <c r="X155" s="110" t="inlineStr">
        <is>
          <t>Pedido de Compra</t>
        </is>
      </c>
      <c r="Y155" s="111" t="inlineStr">
        <is>
          <t>Impacto Potencial</t>
        </is>
      </c>
      <c r="Z155" s="111" t="inlineStr">
        <is>
          <t>PC</t>
        </is>
      </c>
      <c r="AA155" s="111" t="inlineStr">
        <is>
          <t>Nao</t>
        </is>
      </c>
      <c r="AB155" s="111" t="inlineStr">
        <is>
          <t>NAO_COMPUTADO</t>
        </is>
      </c>
      <c r="AC155" s="112" t="inlineStr">
        <is>
          <t>Estrutura Fase 1: sem impacto no VTA oficial</t>
        </is>
      </c>
    </row>
    <row r="156" ht="25.5" customHeight="1" s="289">
      <c r="A156" s="205" t="n"/>
      <c r="B156" s="207" t="n"/>
      <c r="C156" s="104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348" t="n"/>
      <c r="E156" s="349">
        <f>IF(C156="","",IFERROR(VLOOKUP(C156,parametros!$A$11:$E$15,5,0),""))</f>
        <v/>
      </c>
      <c r="F156" s="335">
        <f>IF(OR(D156="",E156=""),"",ROUND(D156*E156,2))</f>
        <v/>
      </c>
      <c r="G156" s="106" t="n"/>
      <c r="H156" s="350">
        <f>IF(G156="Sim",IF(OR(F156="",D156="",L156=""),"",IF(L156="Sim",ROUND(F156-D156,2),0)),0)</f>
        <v/>
      </c>
      <c r="I156" s="350">
        <f>IF(G156="Sim",0,IF(OR(F156="",L156=""),"",F156))</f>
        <v/>
      </c>
      <c r="J156" s="350">
        <f>IF(G156="Sim",0,IF(OR(F156="",D156="",L156=""),"",IF(L156="Sim",ROUND(F156-D156,2),0)))</f>
        <v/>
      </c>
      <c r="K156" s="97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27" t="n"/>
      <c r="V156" s="110" t="inlineStr">
        <is>
          <t>Nao</t>
        </is>
      </c>
      <c r="W156" s="110" t="inlineStr">
        <is>
          <t>PC em analise</t>
        </is>
      </c>
      <c r="X156" s="110" t="inlineStr">
        <is>
          <t>Pedido de Compra</t>
        </is>
      </c>
      <c r="Y156" s="111" t="inlineStr">
        <is>
          <t>Impacto Potencial</t>
        </is>
      </c>
      <c r="Z156" s="111" t="inlineStr">
        <is>
          <t>PC</t>
        </is>
      </c>
      <c r="AA156" s="111" t="inlineStr">
        <is>
          <t>Nao</t>
        </is>
      </c>
      <c r="AB156" s="111" t="inlineStr">
        <is>
          <t>NAO_COMPUTADO</t>
        </is>
      </c>
      <c r="AC156" s="112" t="inlineStr">
        <is>
          <t>Estrutura Fase 1: sem impacto no VTA oficial</t>
        </is>
      </c>
    </row>
    <row r="157" ht="25.5" customHeight="1" s="289">
      <c r="A157" s="205" t="n"/>
      <c r="B157" s="207" t="n"/>
      <c r="C157" s="104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348" t="n"/>
      <c r="E157" s="349">
        <f>IF(C157="","",IFERROR(VLOOKUP(C157,parametros!$A$11:$E$15,5,0),""))</f>
        <v/>
      </c>
      <c r="F157" s="335">
        <f>IF(OR(D157="",E157=""),"",ROUND(D157*E157,2))</f>
        <v/>
      </c>
      <c r="G157" s="106" t="n"/>
      <c r="H157" s="350">
        <f>IF(G157="Sim",IF(OR(F157="",D157="",L157=""),"",IF(L157="Sim",ROUND(F157-D157,2),0)),0)</f>
        <v/>
      </c>
      <c r="I157" s="350">
        <f>IF(G157="Sim",0,IF(OR(F157="",L157=""),"",F157))</f>
        <v/>
      </c>
      <c r="J157" s="350">
        <f>IF(G157="Sim",0,IF(OR(F157="",D157="",L157=""),"",IF(L157="Sim",ROUND(F157-D157,2),0)))</f>
        <v/>
      </c>
      <c r="K157" s="97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27" t="n"/>
      <c r="V157" s="110" t="inlineStr">
        <is>
          <t>Nao</t>
        </is>
      </c>
      <c r="W157" s="110" t="inlineStr">
        <is>
          <t>PC em analise</t>
        </is>
      </c>
      <c r="X157" s="110" t="inlineStr">
        <is>
          <t>Pedido de Compra</t>
        </is>
      </c>
      <c r="Y157" s="111" t="inlineStr">
        <is>
          <t>Impacto Potencial</t>
        </is>
      </c>
      <c r="Z157" s="111" t="inlineStr">
        <is>
          <t>PC</t>
        </is>
      </c>
      <c r="AA157" s="111" t="inlineStr">
        <is>
          <t>Nao</t>
        </is>
      </c>
      <c r="AB157" s="111" t="inlineStr">
        <is>
          <t>NAO_COMPUTADO</t>
        </is>
      </c>
      <c r="AC157" s="112" t="inlineStr">
        <is>
          <t>Estrutura Fase 1: sem impacto no VTA oficial</t>
        </is>
      </c>
    </row>
    <row r="158" ht="25.5" customHeight="1" s="289">
      <c r="A158" s="205" t="n"/>
      <c r="B158" s="207" t="n"/>
      <c r="C158" s="104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348" t="n"/>
      <c r="E158" s="349">
        <f>IF(C158="","",IFERROR(VLOOKUP(C158,parametros!$A$11:$E$15,5,0),""))</f>
        <v/>
      </c>
      <c r="F158" s="335">
        <f>IF(OR(D158="",E158=""),"",ROUND(D158*E158,2))</f>
        <v/>
      </c>
      <c r="G158" s="106" t="n"/>
      <c r="H158" s="350">
        <f>IF(G158="Sim",IF(OR(F158="",D158="",L158=""),"",IF(L158="Sim",ROUND(F158-D158,2),0)),0)</f>
        <v/>
      </c>
      <c r="I158" s="350">
        <f>IF(G158="Sim",0,IF(OR(F158="",L158=""),"",F158))</f>
        <v/>
      </c>
      <c r="J158" s="350">
        <f>IF(G158="Sim",0,IF(OR(F158="",D158="",L158=""),"",IF(L158="Sim",ROUND(F158-D158,2),0)))</f>
        <v/>
      </c>
      <c r="K158" s="97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27" t="n"/>
      <c r="V158" s="110" t="inlineStr">
        <is>
          <t>Nao</t>
        </is>
      </c>
      <c r="W158" s="110" t="inlineStr">
        <is>
          <t>PC em analise</t>
        </is>
      </c>
      <c r="X158" s="110" t="inlineStr">
        <is>
          <t>Pedido de Compra</t>
        </is>
      </c>
      <c r="Y158" s="111" t="inlineStr">
        <is>
          <t>Impacto Potencial</t>
        </is>
      </c>
      <c r="Z158" s="111" t="inlineStr">
        <is>
          <t>PC</t>
        </is>
      </c>
      <c r="AA158" s="111" t="inlineStr">
        <is>
          <t>Nao</t>
        </is>
      </c>
      <c r="AB158" s="111" t="inlineStr">
        <is>
          <t>NAO_COMPUTADO</t>
        </is>
      </c>
      <c r="AC158" s="112" t="inlineStr">
        <is>
          <t>Estrutura Fase 1: sem impacto no VTA oficial</t>
        </is>
      </c>
    </row>
    <row r="159" ht="25.5" customHeight="1" s="289">
      <c r="A159" s="205" t="n"/>
      <c r="B159" s="207" t="n"/>
      <c r="C159" s="104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348" t="n"/>
      <c r="E159" s="349">
        <f>IF(C159="","",IFERROR(VLOOKUP(C159,parametros!$A$11:$E$15,5,0),""))</f>
        <v/>
      </c>
      <c r="F159" s="335">
        <f>IF(OR(D159="",E159=""),"",ROUND(D159*E159,2))</f>
        <v/>
      </c>
      <c r="G159" s="106" t="n"/>
      <c r="H159" s="350">
        <f>IF(G159="Sim",IF(OR(F159="",D159="",L159=""),"",IF(L159="Sim",ROUND(F159-D159,2),0)),0)</f>
        <v/>
      </c>
      <c r="I159" s="350">
        <f>IF(G159="Sim",0,IF(OR(F159="",L159=""),"",F159))</f>
        <v/>
      </c>
      <c r="J159" s="350">
        <f>IF(G159="Sim",0,IF(OR(F159="",D159="",L159=""),"",IF(L159="Sim",ROUND(F159-D159,2),0)))</f>
        <v/>
      </c>
      <c r="K159" s="97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27" t="n"/>
      <c r="V159" s="110" t="inlineStr">
        <is>
          <t>Nao</t>
        </is>
      </c>
      <c r="W159" s="110" t="inlineStr">
        <is>
          <t>PC em analise</t>
        </is>
      </c>
      <c r="X159" s="110" t="inlineStr">
        <is>
          <t>Pedido de Compra</t>
        </is>
      </c>
      <c r="Y159" s="111" t="inlineStr">
        <is>
          <t>Impacto Potencial</t>
        </is>
      </c>
      <c r="Z159" s="111" t="inlineStr">
        <is>
          <t>PC</t>
        </is>
      </c>
      <c r="AA159" s="111" t="inlineStr">
        <is>
          <t>Nao</t>
        </is>
      </c>
      <c r="AB159" s="111" t="inlineStr">
        <is>
          <t>NAO_COMPUTADO</t>
        </is>
      </c>
      <c r="AC159" s="112" t="inlineStr">
        <is>
          <t>Estrutura Fase 1: sem impacto no VTA oficial</t>
        </is>
      </c>
    </row>
    <row r="160" ht="25.5" customHeight="1" s="289">
      <c r="A160" s="205" t="n"/>
      <c r="B160" s="207" t="n"/>
      <c r="C160" s="104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348" t="n"/>
      <c r="E160" s="349">
        <f>IF(C160="","",IFERROR(VLOOKUP(C160,parametros!$A$11:$E$15,5,0),""))</f>
        <v/>
      </c>
      <c r="F160" s="335">
        <f>IF(OR(D160="",E160=""),"",ROUND(D160*E160,2))</f>
        <v/>
      </c>
      <c r="G160" s="106" t="n"/>
      <c r="H160" s="350">
        <f>IF(G160="Sim",IF(OR(F160="",D160="",L160=""),"",IF(L160="Sim",ROUND(F160-D160,2),0)),0)</f>
        <v/>
      </c>
      <c r="I160" s="350">
        <f>IF(G160="Sim",0,IF(OR(F160="",L160=""),"",F160))</f>
        <v/>
      </c>
      <c r="J160" s="350">
        <f>IF(G160="Sim",0,IF(OR(F160="",D160="",L160=""),"",IF(L160="Sim",ROUND(F160-D160,2),0)))</f>
        <v/>
      </c>
      <c r="K160" s="97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27" t="n"/>
      <c r="V160" s="110" t="inlineStr">
        <is>
          <t>Nao</t>
        </is>
      </c>
      <c r="W160" s="110" t="inlineStr">
        <is>
          <t>PC em analise</t>
        </is>
      </c>
      <c r="X160" s="110" t="inlineStr">
        <is>
          <t>Pedido de Compra</t>
        </is>
      </c>
      <c r="Y160" s="111" t="inlineStr">
        <is>
          <t>Impacto Potencial</t>
        </is>
      </c>
      <c r="Z160" s="111" t="inlineStr">
        <is>
          <t>PC</t>
        </is>
      </c>
      <c r="AA160" s="111" t="inlineStr">
        <is>
          <t>Nao</t>
        </is>
      </c>
      <c r="AB160" s="111" t="inlineStr">
        <is>
          <t>NAO_COMPUTADO</t>
        </is>
      </c>
      <c r="AC160" s="112" t="inlineStr">
        <is>
          <t>Estrutura Fase 1: sem impacto no VTA oficial</t>
        </is>
      </c>
    </row>
    <row r="161" ht="25.5" customHeight="1" s="289">
      <c r="A161" s="205" t="n"/>
      <c r="B161" s="207" t="n"/>
      <c r="C161" s="104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348" t="n"/>
      <c r="E161" s="349">
        <f>IF(C161="","",IFERROR(VLOOKUP(C161,parametros!$A$11:$E$15,5,0),""))</f>
        <v/>
      </c>
      <c r="F161" s="335">
        <f>IF(OR(D161="",E161=""),"",ROUND(D161*E161,2))</f>
        <v/>
      </c>
      <c r="G161" s="106" t="n"/>
      <c r="H161" s="350">
        <f>IF(G161="Sim",IF(OR(F161="",D161="",L161=""),"",IF(L161="Sim",ROUND(F161-D161,2),0)),0)</f>
        <v/>
      </c>
      <c r="I161" s="350">
        <f>IF(G161="Sim",0,IF(OR(F161="",L161=""),"",F161))</f>
        <v/>
      </c>
      <c r="J161" s="350">
        <f>IF(G161="Sim",0,IF(OR(F161="",D161="",L161=""),"",IF(L161="Sim",ROUND(F161-D161,2),0)))</f>
        <v/>
      </c>
      <c r="K161" s="97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27" t="n"/>
      <c r="V161" s="110" t="inlineStr">
        <is>
          <t>Nao</t>
        </is>
      </c>
      <c r="W161" s="110" t="inlineStr">
        <is>
          <t>PC em analise</t>
        </is>
      </c>
      <c r="X161" s="110" t="inlineStr">
        <is>
          <t>Pedido de Compra</t>
        </is>
      </c>
      <c r="Y161" s="111" t="inlineStr">
        <is>
          <t>Impacto Potencial</t>
        </is>
      </c>
      <c r="Z161" s="111" t="inlineStr">
        <is>
          <t>PC</t>
        </is>
      </c>
      <c r="AA161" s="111" t="inlineStr">
        <is>
          <t>Nao</t>
        </is>
      </c>
      <c r="AB161" s="111" t="inlineStr">
        <is>
          <t>NAO_COMPUTADO</t>
        </is>
      </c>
      <c r="AC161" s="112" t="inlineStr">
        <is>
          <t>Estrutura Fase 1: sem impacto no VTA oficial</t>
        </is>
      </c>
    </row>
    <row r="162" ht="25.5" customHeight="1" s="289">
      <c r="A162" s="205" t="n"/>
      <c r="B162" s="207" t="n"/>
      <c r="C162" s="104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348" t="n"/>
      <c r="E162" s="349">
        <f>IF(C162="","",IFERROR(VLOOKUP(C162,parametros!$A$11:$E$15,5,0),""))</f>
        <v/>
      </c>
      <c r="F162" s="335">
        <f>IF(OR(D162="",E162=""),"",ROUND(D162*E162,2))</f>
        <v/>
      </c>
      <c r="G162" s="106" t="n"/>
      <c r="H162" s="350">
        <f>IF(G162="Sim",IF(OR(F162="",D162="",L162=""),"",IF(L162="Sim",ROUND(F162-D162,2),0)),0)</f>
        <v/>
      </c>
      <c r="I162" s="350">
        <f>IF(G162="Sim",0,IF(OR(F162="",L162=""),"",F162))</f>
        <v/>
      </c>
      <c r="J162" s="350">
        <f>IF(G162="Sim",0,IF(OR(F162="",D162="",L162=""),"",IF(L162="Sim",ROUND(F162-D162,2),0)))</f>
        <v/>
      </c>
      <c r="K162" s="97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27" t="n"/>
      <c r="V162" s="110" t="inlineStr">
        <is>
          <t>Nao</t>
        </is>
      </c>
      <c r="W162" s="110" t="inlineStr">
        <is>
          <t>PC em analise</t>
        </is>
      </c>
      <c r="X162" s="110" t="inlineStr">
        <is>
          <t>Pedido de Compra</t>
        </is>
      </c>
      <c r="Y162" s="111" t="inlineStr">
        <is>
          <t>Impacto Potencial</t>
        </is>
      </c>
      <c r="Z162" s="111" t="inlineStr">
        <is>
          <t>PC</t>
        </is>
      </c>
      <c r="AA162" s="111" t="inlineStr">
        <is>
          <t>Nao</t>
        </is>
      </c>
      <c r="AB162" s="111" t="inlineStr">
        <is>
          <t>NAO_COMPUTADO</t>
        </is>
      </c>
      <c r="AC162" s="112" t="inlineStr">
        <is>
          <t>Estrutura Fase 1: sem impacto no VTA oficial</t>
        </is>
      </c>
    </row>
    <row r="163" ht="25.5" customHeight="1" s="289">
      <c r="A163" s="205" t="n"/>
      <c r="B163" s="207" t="n"/>
      <c r="C163" s="104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348" t="n"/>
      <c r="E163" s="349">
        <f>IF(C163="","",IFERROR(VLOOKUP(C163,parametros!$A$11:$E$15,5,0),""))</f>
        <v/>
      </c>
      <c r="F163" s="335">
        <f>IF(OR(D163="",E163=""),"",ROUND(D163*E163,2))</f>
        <v/>
      </c>
      <c r="G163" s="106" t="n"/>
      <c r="H163" s="350">
        <f>IF(G163="Sim",IF(OR(F163="",D163="",L163=""),"",IF(L163="Sim",ROUND(F163-D163,2),0)),0)</f>
        <v/>
      </c>
      <c r="I163" s="350">
        <f>IF(G163="Sim",0,IF(OR(F163="",L163=""),"",F163))</f>
        <v/>
      </c>
      <c r="J163" s="350">
        <f>IF(G163="Sim",0,IF(OR(F163="",D163="",L163=""),"",IF(L163="Sim",ROUND(F163-D163,2),0)))</f>
        <v/>
      </c>
      <c r="K163" s="97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27" t="n"/>
      <c r="V163" s="110" t="inlineStr">
        <is>
          <t>Nao</t>
        </is>
      </c>
      <c r="W163" s="110" t="inlineStr">
        <is>
          <t>PC em analise</t>
        </is>
      </c>
      <c r="X163" s="110" t="inlineStr">
        <is>
          <t>Pedido de Compra</t>
        </is>
      </c>
      <c r="Y163" s="111" t="inlineStr">
        <is>
          <t>Impacto Potencial</t>
        </is>
      </c>
      <c r="Z163" s="111" t="inlineStr">
        <is>
          <t>PC</t>
        </is>
      </c>
      <c r="AA163" s="111" t="inlineStr">
        <is>
          <t>Nao</t>
        </is>
      </c>
      <c r="AB163" s="111" t="inlineStr">
        <is>
          <t>NAO_COMPUTADO</t>
        </is>
      </c>
      <c r="AC163" s="112" t="inlineStr">
        <is>
          <t>Estrutura Fase 1: sem impacto no VTA oficial</t>
        </is>
      </c>
    </row>
    <row r="164" ht="25.5" customHeight="1" s="289">
      <c r="A164" s="205" t="n"/>
      <c r="B164" s="207" t="n"/>
      <c r="C164" s="104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348" t="n"/>
      <c r="E164" s="349">
        <f>IF(C164="","",IFERROR(VLOOKUP(C164,parametros!$A$11:$E$15,5,0),""))</f>
        <v/>
      </c>
      <c r="F164" s="335">
        <f>IF(OR(D164="",E164=""),"",ROUND(D164*E164,2))</f>
        <v/>
      </c>
      <c r="G164" s="106" t="n"/>
      <c r="H164" s="350">
        <f>IF(G164="Sim",IF(OR(F164="",D164="",L164=""),"",IF(L164="Sim",ROUND(F164-D164,2),0)),0)</f>
        <v/>
      </c>
      <c r="I164" s="350">
        <f>IF(G164="Sim",0,IF(OR(F164="",L164=""),"",F164))</f>
        <v/>
      </c>
      <c r="J164" s="350">
        <f>IF(G164="Sim",0,IF(OR(F164="",D164="",L164=""),"",IF(L164="Sim",ROUND(F164-D164,2),0)))</f>
        <v/>
      </c>
      <c r="K164" s="97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27" t="n"/>
      <c r="V164" s="110" t="inlineStr">
        <is>
          <t>Nao</t>
        </is>
      </c>
      <c r="W164" s="110" t="inlineStr">
        <is>
          <t>PC em analise</t>
        </is>
      </c>
      <c r="X164" s="110" t="inlineStr">
        <is>
          <t>Pedido de Compra</t>
        </is>
      </c>
      <c r="Y164" s="111" t="inlineStr">
        <is>
          <t>Impacto Potencial</t>
        </is>
      </c>
      <c r="Z164" s="111" t="inlineStr">
        <is>
          <t>PC</t>
        </is>
      </c>
      <c r="AA164" s="111" t="inlineStr">
        <is>
          <t>Nao</t>
        </is>
      </c>
      <c r="AB164" s="111" t="inlineStr">
        <is>
          <t>NAO_COMPUTADO</t>
        </is>
      </c>
      <c r="AC164" s="112" t="inlineStr">
        <is>
          <t>Estrutura Fase 1: sem impacto no VTA oficial</t>
        </is>
      </c>
    </row>
    <row r="165" ht="25.5" customHeight="1" s="289">
      <c r="A165" s="205" t="n"/>
      <c r="B165" s="207" t="n"/>
      <c r="C165" s="104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348" t="n"/>
      <c r="E165" s="349">
        <f>IF(C165="","",IFERROR(VLOOKUP(C165,parametros!$A$11:$E$15,5,0),""))</f>
        <v/>
      </c>
      <c r="F165" s="335">
        <f>IF(OR(D165="",E165=""),"",ROUND(D165*E165,2))</f>
        <v/>
      </c>
      <c r="G165" s="106" t="n"/>
      <c r="H165" s="350">
        <f>IF(G165="Sim",IF(OR(F165="",D165="",L165=""),"",IF(L165="Sim",ROUND(F165-D165,2),0)),0)</f>
        <v/>
      </c>
      <c r="I165" s="350">
        <f>IF(G165="Sim",0,IF(OR(F165="",L165=""),"",F165))</f>
        <v/>
      </c>
      <c r="J165" s="350">
        <f>IF(G165="Sim",0,IF(OR(F165="",D165="",L165=""),"",IF(L165="Sim",ROUND(F165-D165,2),0)))</f>
        <v/>
      </c>
      <c r="K165" s="97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27" t="n"/>
      <c r="V165" s="110" t="inlineStr">
        <is>
          <t>Nao</t>
        </is>
      </c>
      <c r="W165" s="110" t="inlineStr">
        <is>
          <t>PC em analise</t>
        </is>
      </c>
      <c r="X165" s="110" t="inlineStr">
        <is>
          <t>Pedido de Compra</t>
        </is>
      </c>
      <c r="Y165" s="111" t="inlineStr">
        <is>
          <t>Impacto Potencial</t>
        </is>
      </c>
      <c r="Z165" s="111" t="inlineStr">
        <is>
          <t>PC</t>
        </is>
      </c>
      <c r="AA165" s="111" t="inlineStr">
        <is>
          <t>Nao</t>
        </is>
      </c>
      <c r="AB165" s="111" t="inlineStr">
        <is>
          <t>NAO_COMPUTADO</t>
        </is>
      </c>
      <c r="AC165" s="112" t="inlineStr">
        <is>
          <t>Estrutura Fase 1: sem impacto no VTA oficial</t>
        </is>
      </c>
    </row>
    <row r="166" ht="25.5" customHeight="1" s="289">
      <c r="A166" s="205" t="n"/>
      <c r="B166" s="207" t="n"/>
      <c r="C166" s="104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348" t="n"/>
      <c r="E166" s="349">
        <f>IF(C166="","",IFERROR(VLOOKUP(C166,parametros!$A$11:$E$15,5,0),""))</f>
        <v/>
      </c>
      <c r="F166" s="335">
        <f>IF(OR(D166="",E166=""),"",ROUND(D166*E166,2))</f>
        <v/>
      </c>
      <c r="G166" s="106" t="n"/>
      <c r="H166" s="350">
        <f>IF(G166="Sim",IF(OR(F166="",D166="",L166=""),"",IF(L166="Sim",ROUND(F166-D166,2),0)),0)</f>
        <v/>
      </c>
      <c r="I166" s="350">
        <f>IF(G166="Sim",0,IF(OR(F166="",L166=""),"",F166))</f>
        <v/>
      </c>
      <c r="J166" s="350">
        <f>IF(G166="Sim",0,IF(OR(F166="",D166="",L166=""),"",IF(L166="Sim",ROUND(F166-D166,2),0)))</f>
        <v/>
      </c>
      <c r="K166" s="97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27" t="n"/>
      <c r="V166" s="110" t="inlineStr">
        <is>
          <t>Nao</t>
        </is>
      </c>
      <c r="W166" s="110" t="inlineStr">
        <is>
          <t>PC em analise</t>
        </is>
      </c>
      <c r="X166" s="110" t="inlineStr">
        <is>
          <t>Pedido de Compra</t>
        </is>
      </c>
      <c r="Y166" s="111" t="inlineStr">
        <is>
          <t>Impacto Potencial</t>
        </is>
      </c>
      <c r="Z166" s="111" t="inlineStr">
        <is>
          <t>PC</t>
        </is>
      </c>
      <c r="AA166" s="111" t="inlineStr">
        <is>
          <t>Nao</t>
        </is>
      </c>
      <c r="AB166" s="111" t="inlineStr">
        <is>
          <t>NAO_COMPUTADO</t>
        </is>
      </c>
      <c r="AC166" s="112" t="inlineStr">
        <is>
          <t>Estrutura Fase 1: sem impacto no VTA oficial</t>
        </is>
      </c>
    </row>
    <row r="167" ht="25.5" customHeight="1" s="289">
      <c r="A167" s="205" t="n"/>
      <c r="B167" s="207" t="n"/>
      <c r="C167" s="104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348" t="n"/>
      <c r="E167" s="349">
        <f>IF(C167="","",IFERROR(VLOOKUP(C167,parametros!$A$11:$E$15,5,0),""))</f>
        <v/>
      </c>
      <c r="F167" s="335">
        <f>IF(OR(D167="",E167=""),"",ROUND(D167*E167,2))</f>
        <v/>
      </c>
      <c r="G167" s="106" t="n"/>
      <c r="H167" s="350">
        <f>IF(G167="Sim",IF(OR(F167="",D167="",L167=""),"",IF(L167="Sim",ROUND(F167-D167,2),0)),0)</f>
        <v/>
      </c>
      <c r="I167" s="350">
        <f>IF(G167="Sim",0,IF(OR(F167="",L167=""),"",F167))</f>
        <v/>
      </c>
      <c r="J167" s="350">
        <f>IF(G167="Sim",0,IF(OR(F167="",D167="",L167=""),"",IF(L167="Sim",ROUND(F167-D167,2),0)))</f>
        <v/>
      </c>
      <c r="K167" s="97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27" t="n"/>
      <c r="V167" s="110" t="inlineStr">
        <is>
          <t>Nao</t>
        </is>
      </c>
      <c r="W167" s="110" t="inlineStr">
        <is>
          <t>PC em analise</t>
        </is>
      </c>
      <c r="X167" s="110" t="inlineStr">
        <is>
          <t>Pedido de Compra</t>
        </is>
      </c>
      <c r="Y167" s="111" t="inlineStr">
        <is>
          <t>Impacto Potencial</t>
        </is>
      </c>
      <c r="Z167" s="111" t="inlineStr">
        <is>
          <t>PC</t>
        </is>
      </c>
      <c r="AA167" s="111" t="inlineStr">
        <is>
          <t>Nao</t>
        </is>
      </c>
      <c r="AB167" s="111" t="inlineStr">
        <is>
          <t>NAO_COMPUTADO</t>
        </is>
      </c>
      <c r="AC167" s="112" t="inlineStr">
        <is>
          <t>Estrutura Fase 1: sem impacto no VTA oficial</t>
        </is>
      </c>
    </row>
    <row r="168" ht="25.5" customHeight="1" s="289">
      <c r="A168" s="205" t="n"/>
      <c r="B168" s="207" t="n"/>
      <c r="C168" s="104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348" t="n"/>
      <c r="E168" s="349">
        <f>IF(C168="","",IFERROR(VLOOKUP(C168,parametros!$A$11:$E$15,5,0),""))</f>
        <v/>
      </c>
      <c r="F168" s="335">
        <f>IF(OR(D168="",E168=""),"",ROUND(D168*E168,2))</f>
        <v/>
      </c>
      <c r="G168" s="106" t="n"/>
      <c r="H168" s="350">
        <f>IF(G168="Sim",IF(OR(F168="",D168="",L168=""),"",IF(L168="Sim",ROUND(F168-D168,2),0)),0)</f>
        <v/>
      </c>
      <c r="I168" s="350">
        <f>IF(G168="Sim",0,IF(OR(F168="",L168=""),"",F168))</f>
        <v/>
      </c>
      <c r="J168" s="350">
        <f>IF(G168="Sim",0,IF(OR(F168="",D168="",L168=""),"",IF(L168="Sim",ROUND(F168-D168,2),0)))</f>
        <v/>
      </c>
      <c r="K168" s="97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27" t="n"/>
      <c r="V168" s="110" t="inlineStr">
        <is>
          <t>Nao</t>
        </is>
      </c>
      <c r="W168" s="110" t="inlineStr">
        <is>
          <t>PC em analise</t>
        </is>
      </c>
      <c r="X168" s="110" t="inlineStr">
        <is>
          <t>Pedido de Compra</t>
        </is>
      </c>
      <c r="Y168" s="111" t="inlineStr">
        <is>
          <t>Impacto Potencial</t>
        </is>
      </c>
      <c r="Z168" s="111" t="inlineStr">
        <is>
          <t>PC</t>
        </is>
      </c>
      <c r="AA168" s="111" t="inlineStr">
        <is>
          <t>Nao</t>
        </is>
      </c>
      <c r="AB168" s="111" t="inlineStr">
        <is>
          <t>NAO_COMPUTADO</t>
        </is>
      </c>
      <c r="AC168" s="112" t="inlineStr">
        <is>
          <t>Estrutura Fase 1: sem impacto no VTA oficial</t>
        </is>
      </c>
    </row>
    <row r="169" ht="25.5" customHeight="1" s="289">
      <c r="A169" s="205" t="n"/>
      <c r="B169" s="207" t="n"/>
      <c r="C169" s="104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348" t="n"/>
      <c r="E169" s="349">
        <f>IF(C169="","",IFERROR(VLOOKUP(C169,parametros!$A$11:$E$15,5,0),""))</f>
        <v/>
      </c>
      <c r="F169" s="335">
        <f>IF(OR(D169="",E169=""),"",ROUND(D169*E169,2))</f>
        <v/>
      </c>
      <c r="G169" s="106" t="n"/>
      <c r="H169" s="350">
        <f>IF(G169="Sim",IF(OR(F169="",D169="",L169=""),"",IF(L169="Sim",ROUND(F169-D169,2),0)),0)</f>
        <v/>
      </c>
      <c r="I169" s="350">
        <f>IF(G169="Sim",0,IF(OR(F169="",L169=""),"",F169))</f>
        <v/>
      </c>
      <c r="J169" s="350">
        <f>IF(G169="Sim",0,IF(OR(F169="",D169="",L169=""),"",IF(L169="Sim",ROUND(F169-D169,2),0)))</f>
        <v/>
      </c>
      <c r="K169" s="97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27" t="n"/>
      <c r="V169" s="110" t="inlineStr">
        <is>
          <t>Nao</t>
        </is>
      </c>
      <c r="W169" s="110" t="inlineStr">
        <is>
          <t>PC em analise</t>
        </is>
      </c>
      <c r="X169" s="110" t="inlineStr">
        <is>
          <t>Pedido de Compra</t>
        </is>
      </c>
      <c r="Y169" s="111" t="inlineStr">
        <is>
          <t>Impacto Potencial</t>
        </is>
      </c>
      <c r="Z169" s="111" t="inlineStr">
        <is>
          <t>PC</t>
        </is>
      </c>
      <c r="AA169" s="111" t="inlineStr">
        <is>
          <t>Nao</t>
        </is>
      </c>
      <c r="AB169" s="111" t="inlineStr">
        <is>
          <t>NAO_COMPUTADO</t>
        </is>
      </c>
      <c r="AC169" s="112" t="inlineStr">
        <is>
          <t>Estrutura Fase 1: sem impacto no VTA oficial</t>
        </is>
      </c>
    </row>
    <row r="170" ht="25.5" customHeight="1" s="289">
      <c r="A170" s="205" t="n"/>
      <c r="B170" s="207" t="n"/>
      <c r="C170" s="104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348" t="n"/>
      <c r="E170" s="349">
        <f>IF(C170="","",IFERROR(VLOOKUP(C170,parametros!$A$11:$E$15,5,0),""))</f>
        <v/>
      </c>
      <c r="F170" s="335">
        <f>IF(OR(D170="",E170=""),"",ROUND(D170*E170,2))</f>
        <v/>
      </c>
      <c r="G170" s="106" t="n"/>
      <c r="H170" s="350">
        <f>IF(G170="Sim",IF(OR(F170="",D170="",L170=""),"",IF(L170="Sim",ROUND(F170-D170,2),0)),0)</f>
        <v/>
      </c>
      <c r="I170" s="350">
        <f>IF(G170="Sim",0,IF(OR(F170="",L170=""),"",F170))</f>
        <v/>
      </c>
      <c r="J170" s="350">
        <f>IF(G170="Sim",0,IF(OR(F170="",D170="",L170=""),"",IF(L170="Sim",ROUND(F170-D170,2),0)))</f>
        <v/>
      </c>
      <c r="K170" s="97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27" t="n"/>
      <c r="V170" s="110" t="inlineStr">
        <is>
          <t>Nao</t>
        </is>
      </c>
      <c r="W170" s="110" t="inlineStr">
        <is>
          <t>PC em analise</t>
        </is>
      </c>
      <c r="X170" s="110" t="inlineStr">
        <is>
          <t>Pedido de Compra</t>
        </is>
      </c>
      <c r="Y170" s="111" t="inlineStr">
        <is>
          <t>Impacto Potencial</t>
        </is>
      </c>
      <c r="Z170" s="111" t="inlineStr">
        <is>
          <t>PC</t>
        </is>
      </c>
      <c r="AA170" s="111" t="inlineStr">
        <is>
          <t>Nao</t>
        </is>
      </c>
      <c r="AB170" s="111" t="inlineStr">
        <is>
          <t>NAO_COMPUTADO</t>
        </is>
      </c>
      <c r="AC170" s="112" t="inlineStr">
        <is>
          <t>Estrutura Fase 1: sem impacto no VTA oficial</t>
        </is>
      </c>
    </row>
    <row r="171" ht="25.5" customHeight="1" s="289">
      <c r="A171" s="205" t="n"/>
      <c r="B171" s="207" t="n"/>
      <c r="C171" s="104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348" t="n"/>
      <c r="E171" s="349">
        <f>IF(C171="","",IFERROR(VLOOKUP(C171,parametros!$A$11:$E$15,5,0),""))</f>
        <v/>
      </c>
      <c r="F171" s="335">
        <f>IF(OR(D171="",E171=""),"",ROUND(D171*E171,2))</f>
        <v/>
      </c>
      <c r="G171" s="106" t="n"/>
      <c r="H171" s="350">
        <f>IF(G171="Sim",IF(OR(F171="",D171="",L171=""),"",IF(L171="Sim",ROUND(F171-D171,2),0)),0)</f>
        <v/>
      </c>
      <c r="I171" s="350">
        <f>IF(G171="Sim",0,IF(OR(F171="",L171=""),"",F171))</f>
        <v/>
      </c>
      <c r="J171" s="350">
        <f>IF(G171="Sim",0,IF(OR(F171="",D171="",L171=""),"",IF(L171="Sim",ROUND(F171-D171,2),0)))</f>
        <v/>
      </c>
      <c r="K171" s="97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27" t="n"/>
      <c r="V171" s="110" t="inlineStr">
        <is>
          <t>Nao</t>
        </is>
      </c>
      <c r="W171" s="110" t="inlineStr">
        <is>
          <t>PC em analise</t>
        </is>
      </c>
      <c r="X171" s="110" t="inlineStr">
        <is>
          <t>Pedido de Compra</t>
        </is>
      </c>
      <c r="Y171" s="111" t="inlineStr">
        <is>
          <t>Impacto Potencial</t>
        </is>
      </c>
      <c r="Z171" s="111" t="inlineStr">
        <is>
          <t>PC</t>
        </is>
      </c>
      <c r="AA171" s="111" t="inlineStr">
        <is>
          <t>Nao</t>
        </is>
      </c>
      <c r="AB171" s="111" t="inlineStr">
        <is>
          <t>NAO_COMPUTADO</t>
        </is>
      </c>
      <c r="AC171" s="112" t="inlineStr">
        <is>
          <t>Estrutura Fase 1: sem impacto no VTA oficial</t>
        </is>
      </c>
    </row>
    <row r="172" ht="25.5" customHeight="1" s="289">
      <c r="A172" s="205" t="n"/>
      <c r="B172" s="207" t="n"/>
      <c r="C172" s="104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348" t="n"/>
      <c r="E172" s="349">
        <f>IF(C172="","",IFERROR(VLOOKUP(C172,parametros!$A$11:$E$15,5,0),""))</f>
        <v/>
      </c>
      <c r="F172" s="335">
        <f>IF(OR(D172="",E172=""),"",ROUND(D172*E172,2))</f>
        <v/>
      </c>
      <c r="G172" s="106" t="n"/>
      <c r="H172" s="350">
        <f>IF(G172="Sim",IF(OR(F172="",D172="",L172=""),"",IF(L172="Sim",ROUND(F172-D172,2),0)),0)</f>
        <v/>
      </c>
      <c r="I172" s="350">
        <f>IF(G172="Sim",0,IF(OR(F172="",L172=""),"",F172))</f>
        <v/>
      </c>
      <c r="J172" s="350">
        <f>IF(G172="Sim",0,IF(OR(F172="",D172="",L172=""),"",IF(L172="Sim",ROUND(F172-D172,2),0)))</f>
        <v/>
      </c>
      <c r="K172" s="97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27" t="n"/>
      <c r="V172" s="110" t="inlineStr">
        <is>
          <t>Nao</t>
        </is>
      </c>
      <c r="W172" s="110" t="inlineStr">
        <is>
          <t>PC em analise</t>
        </is>
      </c>
      <c r="X172" s="110" t="inlineStr">
        <is>
          <t>Pedido de Compra</t>
        </is>
      </c>
      <c r="Y172" s="111" t="inlineStr">
        <is>
          <t>Impacto Potencial</t>
        </is>
      </c>
      <c r="Z172" s="111" t="inlineStr">
        <is>
          <t>PC</t>
        </is>
      </c>
      <c r="AA172" s="111" t="inlineStr">
        <is>
          <t>Nao</t>
        </is>
      </c>
      <c r="AB172" s="111" t="inlineStr">
        <is>
          <t>NAO_COMPUTADO</t>
        </is>
      </c>
      <c r="AC172" s="112" t="inlineStr">
        <is>
          <t>Estrutura Fase 1: sem impacto no VTA oficial</t>
        </is>
      </c>
    </row>
    <row r="173" ht="25.5" customHeight="1" s="289">
      <c r="A173" s="205" t="n"/>
      <c r="B173" s="207" t="n"/>
      <c r="C173" s="104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348" t="n"/>
      <c r="E173" s="349">
        <f>IF(C173="","",IFERROR(VLOOKUP(C173,parametros!$A$11:$E$15,5,0),""))</f>
        <v/>
      </c>
      <c r="F173" s="335">
        <f>IF(OR(D173="",E173=""),"",ROUND(D173*E173,2))</f>
        <v/>
      </c>
      <c r="G173" s="106" t="n"/>
      <c r="H173" s="350">
        <f>IF(G173="Sim",IF(OR(F173="",D173="",L173=""),"",IF(L173="Sim",ROUND(F173-D173,2),0)),0)</f>
        <v/>
      </c>
      <c r="I173" s="350">
        <f>IF(G173="Sim",0,IF(OR(F173="",L173=""),"",F173))</f>
        <v/>
      </c>
      <c r="J173" s="350">
        <f>IF(G173="Sim",0,IF(OR(F173="",D173="",L173=""),"",IF(L173="Sim",ROUND(F173-D173,2),0)))</f>
        <v/>
      </c>
      <c r="K173" s="97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27" t="n"/>
      <c r="V173" s="110" t="inlineStr">
        <is>
          <t>Nao</t>
        </is>
      </c>
      <c r="W173" s="110" t="inlineStr">
        <is>
          <t>PC em analise</t>
        </is>
      </c>
      <c r="X173" s="110" t="inlineStr">
        <is>
          <t>Pedido de Compra</t>
        </is>
      </c>
      <c r="Y173" s="111" t="inlineStr">
        <is>
          <t>Impacto Potencial</t>
        </is>
      </c>
      <c r="Z173" s="111" t="inlineStr">
        <is>
          <t>PC</t>
        </is>
      </c>
      <c r="AA173" s="111" t="inlineStr">
        <is>
          <t>Nao</t>
        </is>
      </c>
      <c r="AB173" s="111" t="inlineStr">
        <is>
          <t>NAO_COMPUTADO</t>
        </is>
      </c>
      <c r="AC173" s="112" t="inlineStr">
        <is>
          <t>Estrutura Fase 1: sem impacto no VTA oficial</t>
        </is>
      </c>
    </row>
    <row r="174" ht="25.5" customHeight="1" s="289">
      <c r="A174" s="205" t="n"/>
      <c r="B174" s="207" t="n"/>
      <c r="C174" s="104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348" t="n"/>
      <c r="E174" s="349">
        <f>IF(C174="","",IFERROR(VLOOKUP(C174,parametros!$A$11:$E$15,5,0),""))</f>
        <v/>
      </c>
      <c r="F174" s="335">
        <f>IF(OR(D174="",E174=""),"",ROUND(D174*E174,2))</f>
        <v/>
      </c>
      <c r="G174" s="106" t="n"/>
      <c r="H174" s="350">
        <f>IF(G174="Sim",IF(OR(F174="",D174="",L174=""),"",IF(L174="Sim",ROUND(F174-D174,2),0)),0)</f>
        <v/>
      </c>
      <c r="I174" s="350">
        <f>IF(G174="Sim",0,IF(OR(F174="",L174=""),"",F174))</f>
        <v/>
      </c>
      <c r="J174" s="350">
        <f>IF(G174="Sim",0,IF(OR(F174="",D174="",L174=""),"",IF(L174="Sim",ROUND(F174-D174,2),0)))</f>
        <v/>
      </c>
      <c r="K174" s="97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27" t="n"/>
      <c r="V174" s="110" t="inlineStr">
        <is>
          <t>Nao</t>
        </is>
      </c>
      <c r="W174" s="110" t="inlineStr">
        <is>
          <t>PC em analise</t>
        </is>
      </c>
      <c r="X174" s="110" t="inlineStr">
        <is>
          <t>Pedido de Compra</t>
        </is>
      </c>
      <c r="Y174" s="111" t="inlineStr">
        <is>
          <t>Impacto Potencial</t>
        </is>
      </c>
      <c r="Z174" s="111" t="inlineStr">
        <is>
          <t>PC</t>
        </is>
      </c>
      <c r="AA174" s="111" t="inlineStr">
        <is>
          <t>Nao</t>
        </is>
      </c>
      <c r="AB174" s="111" t="inlineStr">
        <is>
          <t>NAO_COMPUTADO</t>
        </is>
      </c>
      <c r="AC174" s="112" t="inlineStr">
        <is>
          <t>Estrutura Fase 1: sem impacto no VTA oficial</t>
        </is>
      </c>
    </row>
    <row r="175" ht="25.5" customHeight="1" s="289">
      <c r="A175" s="205" t="n"/>
      <c r="B175" s="207" t="n"/>
      <c r="C175" s="104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348" t="n"/>
      <c r="E175" s="349">
        <f>IF(C175="","",IFERROR(VLOOKUP(C175,parametros!$A$11:$E$15,5,0),""))</f>
        <v/>
      </c>
      <c r="F175" s="335">
        <f>IF(OR(D175="",E175=""),"",ROUND(D175*E175,2))</f>
        <v/>
      </c>
      <c r="G175" s="106" t="n"/>
      <c r="H175" s="350">
        <f>IF(G175="Sim",IF(OR(F175="",D175="",L175=""),"",IF(L175="Sim",ROUND(F175-D175,2),0)),0)</f>
        <v/>
      </c>
      <c r="I175" s="350">
        <f>IF(G175="Sim",0,IF(OR(F175="",L175=""),"",F175))</f>
        <v/>
      </c>
      <c r="J175" s="350">
        <f>IF(G175="Sim",0,IF(OR(F175="",D175="",L175=""),"",IF(L175="Sim",ROUND(F175-D175,2),0)))</f>
        <v/>
      </c>
      <c r="K175" s="97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27" t="n"/>
      <c r="V175" s="110" t="inlineStr">
        <is>
          <t>Nao</t>
        </is>
      </c>
      <c r="W175" s="110" t="inlineStr">
        <is>
          <t>PC em analise</t>
        </is>
      </c>
      <c r="X175" s="110" t="inlineStr">
        <is>
          <t>Pedido de Compra</t>
        </is>
      </c>
      <c r="Y175" s="111" t="inlineStr">
        <is>
          <t>Impacto Potencial</t>
        </is>
      </c>
      <c r="Z175" s="111" t="inlineStr">
        <is>
          <t>PC</t>
        </is>
      </c>
      <c r="AA175" s="111" t="inlineStr">
        <is>
          <t>Nao</t>
        </is>
      </c>
      <c r="AB175" s="111" t="inlineStr">
        <is>
          <t>NAO_COMPUTADO</t>
        </is>
      </c>
      <c r="AC175" s="112" t="inlineStr">
        <is>
          <t>Estrutura Fase 1: sem impacto no VTA oficial</t>
        </is>
      </c>
    </row>
    <row r="176" ht="25.5" customHeight="1" s="289">
      <c r="A176" s="205" t="n"/>
      <c r="B176" s="207" t="n"/>
      <c r="C176" s="104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348" t="n"/>
      <c r="E176" s="349">
        <f>IF(C176="","",IFERROR(VLOOKUP(C176,parametros!$A$11:$E$15,5,0),""))</f>
        <v/>
      </c>
      <c r="F176" s="335">
        <f>IF(OR(D176="",E176=""),"",ROUND(D176*E176,2))</f>
        <v/>
      </c>
      <c r="G176" s="106" t="n"/>
      <c r="H176" s="350">
        <f>IF(G176="Sim",IF(OR(F176="",D176="",L176=""),"",IF(L176="Sim",ROUND(F176-D176,2),0)),0)</f>
        <v/>
      </c>
      <c r="I176" s="350">
        <f>IF(G176="Sim",0,IF(OR(F176="",L176=""),"",F176))</f>
        <v/>
      </c>
      <c r="J176" s="350">
        <f>IF(G176="Sim",0,IF(OR(F176="",D176="",L176=""),"",IF(L176="Sim",ROUND(F176-D176,2),0)))</f>
        <v/>
      </c>
      <c r="K176" s="97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27" t="n"/>
      <c r="V176" s="110" t="inlineStr">
        <is>
          <t>Nao</t>
        </is>
      </c>
      <c r="W176" s="110" t="inlineStr">
        <is>
          <t>PC em analise</t>
        </is>
      </c>
      <c r="X176" s="110" t="inlineStr">
        <is>
          <t>Pedido de Compra</t>
        </is>
      </c>
      <c r="Y176" s="111" t="inlineStr">
        <is>
          <t>Impacto Potencial</t>
        </is>
      </c>
      <c r="Z176" s="111" t="inlineStr">
        <is>
          <t>PC</t>
        </is>
      </c>
      <c r="AA176" s="111" t="inlineStr">
        <is>
          <t>Nao</t>
        </is>
      </c>
      <c r="AB176" s="111" t="inlineStr">
        <is>
          <t>NAO_COMPUTADO</t>
        </is>
      </c>
      <c r="AC176" s="112" t="inlineStr">
        <is>
          <t>Estrutura Fase 1: sem impacto no VTA oficial</t>
        </is>
      </c>
    </row>
    <row r="177" ht="25.5" customHeight="1" s="289">
      <c r="A177" s="205" t="n"/>
      <c r="B177" s="207" t="n"/>
      <c r="C177" s="104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348" t="n"/>
      <c r="E177" s="349">
        <f>IF(C177="","",IFERROR(VLOOKUP(C177,parametros!$A$11:$E$15,5,0),""))</f>
        <v/>
      </c>
      <c r="F177" s="335">
        <f>IF(OR(D177="",E177=""),"",ROUND(D177*E177,2))</f>
        <v/>
      </c>
      <c r="G177" s="106" t="n"/>
      <c r="H177" s="350">
        <f>IF(G177="Sim",IF(OR(F177="",D177="",L177=""),"",IF(L177="Sim",ROUND(F177-D177,2),0)),0)</f>
        <v/>
      </c>
      <c r="I177" s="350">
        <f>IF(G177="Sim",0,IF(OR(F177="",L177=""),"",F177))</f>
        <v/>
      </c>
      <c r="J177" s="350">
        <f>IF(G177="Sim",0,IF(OR(F177="",D177="",L177=""),"",IF(L177="Sim",ROUND(F177-D177,2),0)))</f>
        <v/>
      </c>
      <c r="K177" s="97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27" t="n"/>
      <c r="V177" s="110" t="inlineStr">
        <is>
          <t>Nao</t>
        </is>
      </c>
      <c r="W177" s="110" t="inlineStr">
        <is>
          <t>PC em analise</t>
        </is>
      </c>
      <c r="X177" s="110" t="inlineStr">
        <is>
          <t>Pedido de Compra</t>
        </is>
      </c>
      <c r="Y177" s="111" t="inlineStr">
        <is>
          <t>Impacto Potencial</t>
        </is>
      </c>
      <c r="Z177" s="111" t="inlineStr">
        <is>
          <t>PC</t>
        </is>
      </c>
      <c r="AA177" s="111" t="inlineStr">
        <is>
          <t>Nao</t>
        </is>
      </c>
      <c r="AB177" s="111" t="inlineStr">
        <is>
          <t>NAO_COMPUTADO</t>
        </is>
      </c>
      <c r="AC177" s="112" t="inlineStr">
        <is>
          <t>Estrutura Fase 1: sem impacto no VTA oficial</t>
        </is>
      </c>
    </row>
    <row r="178" ht="25.5" customHeight="1" s="289">
      <c r="A178" s="205" t="n"/>
      <c r="B178" s="207" t="n"/>
      <c r="C178" s="104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348" t="n"/>
      <c r="E178" s="349">
        <f>IF(C178="","",IFERROR(VLOOKUP(C178,parametros!$A$11:$E$15,5,0),""))</f>
        <v/>
      </c>
      <c r="F178" s="335">
        <f>IF(OR(D178="",E178=""),"",ROUND(D178*E178,2))</f>
        <v/>
      </c>
      <c r="G178" s="106" t="n"/>
      <c r="H178" s="350">
        <f>IF(G178="Sim",IF(OR(F178="",D178="",L178=""),"",IF(L178="Sim",ROUND(F178-D178,2),0)),0)</f>
        <v/>
      </c>
      <c r="I178" s="350">
        <f>IF(G178="Sim",0,IF(OR(F178="",L178=""),"",F178))</f>
        <v/>
      </c>
      <c r="J178" s="350">
        <f>IF(G178="Sim",0,IF(OR(F178="",D178="",L178=""),"",IF(L178="Sim",ROUND(F178-D178,2),0)))</f>
        <v/>
      </c>
      <c r="K178" s="97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27" t="n"/>
      <c r="V178" s="110" t="inlineStr">
        <is>
          <t>Nao</t>
        </is>
      </c>
      <c r="W178" s="110" t="inlineStr">
        <is>
          <t>PC em analise</t>
        </is>
      </c>
      <c r="X178" s="110" t="inlineStr">
        <is>
          <t>Pedido de Compra</t>
        </is>
      </c>
      <c r="Y178" s="111" t="inlineStr">
        <is>
          <t>Impacto Potencial</t>
        </is>
      </c>
      <c r="Z178" s="111" t="inlineStr">
        <is>
          <t>PC</t>
        </is>
      </c>
      <c r="AA178" s="111" t="inlineStr">
        <is>
          <t>Nao</t>
        </is>
      </c>
      <c r="AB178" s="111" t="inlineStr">
        <is>
          <t>NAO_COMPUTADO</t>
        </is>
      </c>
      <c r="AC178" s="112" t="inlineStr">
        <is>
          <t>Estrutura Fase 1: sem impacto no VTA oficial</t>
        </is>
      </c>
    </row>
    <row r="179" ht="25.5" customHeight="1" s="289">
      <c r="A179" s="205" t="n"/>
      <c r="B179" s="207" t="n"/>
      <c r="C179" s="104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348" t="n"/>
      <c r="E179" s="349">
        <f>IF(C179="","",IFERROR(VLOOKUP(C179,parametros!$A$11:$E$15,5,0),""))</f>
        <v/>
      </c>
      <c r="F179" s="335">
        <f>IF(OR(D179="",E179=""),"",ROUND(D179*E179,2))</f>
        <v/>
      </c>
      <c r="G179" s="106" t="n"/>
      <c r="H179" s="350">
        <f>IF(G179="Sim",IF(OR(F179="",D179="",L179=""),"",IF(L179="Sim",ROUND(F179-D179,2),0)),0)</f>
        <v/>
      </c>
      <c r="I179" s="350">
        <f>IF(G179="Sim",0,IF(OR(F179="",L179=""),"",F179))</f>
        <v/>
      </c>
      <c r="J179" s="350">
        <f>IF(G179="Sim",0,IF(OR(F179="",D179="",L179=""),"",IF(L179="Sim",ROUND(F179-D179,2),0)))</f>
        <v/>
      </c>
      <c r="K179" s="97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27" t="n"/>
      <c r="V179" s="110" t="inlineStr">
        <is>
          <t>Nao</t>
        </is>
      </c>
      <c r="W179" s="110" t="inlineStr">
        <is>
          <t>PC em analise</t>
        </is>
      </c>
      <c r="X179" s="110" t="inlineStr">
        <is>
          <t>Pedido de Compra</t>
        </is>
      </c>
      <c r="Y179" s="111" t="inlineStr">
        <is>
          <t>Impacto Potencial</t>
        </is>
      </c>
      <c r="Z179" s="111" t="inlineStr">
        <is>
          <t>PC</t>
        </is>
      </c>
      <c r="AA179" s="111" t="inlineStr">
        <is>
          <t>Nao</t>
        </is>
      </c>
      <c r="AB179" s="111" t="inlineStr">
        <is>
          <t>NAO_COMPUTADO</t>
        </is>
      </c>
      <c r="AC179" s="112" t="inlineStr">
        <is>
          <t>Estrutura Fase 1: sem impacto no VTA oficial</t>
        </is>
      </c>
    </row>
    <row r="180" ht="25.5" customHeight="1" s="289">
      <c r="A180" s="205" t="n"/>
      <c r="B180" s="207" t="n"/>
      <c r="C180" s="104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348" t="n"/>
      <c r="E180" s="349">
        <f>IF(C180="","",IFERROR(VLOOKUP(C180,parametros!$A$11:$E$15,5,0),""))</f>
        <v/>
      </c>
      <c r="F180" s="335">
        <f>IF(OR(D180="",E180=""),"",ROUND(D180*E180,2))</f>
        <v/>
      </c>
      <c r="G180" s="106" t="n"/>
      <c r="H180" s="350">
        <f>IF(G180="Sim",IF(OR(F180="",D180="",L180=""),"",IF(L180="Sim",ROUND(F180-D180,2),0)),0)</f>
        <v/>
      </c>
      <c r="I180" s="350">
        <f>IF(G180="Sim",0,IF(OR(F180="",L180=""),"",F180))</f>
        <v/>
      </c>
      <c r="J180" s="350">
        <f>IF(G180="Sim",0,IF(OR(F180="",D180="",L180=""),"",IF(L180="Sim",ROUND(F180-D180,2),0)))</f>
        <v/>
      </c>
      <c r="K180" s="97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27" t="n"/>
      <c r="V180" s="110" t="inlineStr">
        <is>
          <t>Nao</t>
        </is>
      </c>
      <c r="W180" s="110" t="inlineStr">
        <is>
          <t>PC em analise</t>
        </is>
      </c>
      <c r="X180" s="110" t="inlineStr">
        <is>
          <t>Pedido de Compra</t>
        </is>
      </c>
      <c r="Y180" s="111" t="inlineStr">
        <is>
          <t>Impacto Potencial</t>
        </is>
      </c>
      <c r="Z180" s="111" t="inlineStr">
        <is>
          <t>PC</t>
        </is>
      </c>
      <c r="AA180" s="111" t="inlineStr">
        <is>
          <t>Nao</t>
        </is>
      </c>
      <c r="AB180" s="111" t="inlineStr">
        <is>
          <t>NAO_COMPUTADO</t>
        </is>
      </c>
      <c r="AC180" s="112" t="inlineStr">
        <is>
          <t>Estrutura Fase 1: sem impacto no VTA oficial</t>
        </is>
      </c>
    </row>
    <row r="181" ht="25.5" customHeight="1" s="289">
      <c r="A181" s="205" t="n"/>
      <c r="B181" s="207" t="n"/>
      <c r="C181" s="104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348" t="n"/>
      <c r="E181" s="349">
        <f>IF(C181="","",IFERROR(VLOOKUP(C181,parametros!$A$11:$E$15,5,0),""))</f>
        <v/>
      </c>
      <c r="F181" s="335">
        <f>IF(OR(D181="",E181=""),"",ROUND(D181*E181,2))</f>
        <v/>
      </c>
      <c r="G181" s="106" t="n"/>
      <c r="H181" s="350">
        <f>IF(G181="Sim",IF(OR(F181="",D181="",L181=""),"",IF(L181="Sim",ROUND(F181-D181,2),0)),0)</f>
        <v/>
      </c>
      <c r="I181" s="350">
        <f>IF(G181="Sim",0,IF(OR(F181="",L181=""),"",F181))</f>
        <v/>
      </c>
      <c r="J181" s="350">
        <f>IF(G181="Sim",0,IF(OR(F181="",D181="",L181=""),"",IF(L181="Sim",ROUND(F181-D181,2),0)))</f>
        <v/>
      </c>
      <c r="K181" s="97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27" t="n"/>
      <c r="V181" s="110" t="inlineStr">
        <is>
          <t>Nao</t>
        </is>
      </c>
      <c r="W181" s="110" t="inlineStr">
        <is>
          <t>PC em analise</t>
        </is>
      </c>
      <c r="X181" s="110" t="inlineStr">
        <is>
          <t>Pedido de Compra</t>
        </is>
      </c>
      <c r="Y181" s="111" t="inlineStr">
        <is>
          <t>Impacto Potencial</t>
        </is>
      </c>
      <c r="Z181" s="111" t="inlineStr">
        <is>
          <t>PC</t>
        </is>
      </c>
      <c r="AA181" s="111" t="inlineStr">
        <is>
          <t>Nao</t>
        </is>
      </c>
      <c r="AB181" s="111" t="inlineStr">
        <is>
          <t>NAO_COMPUTADO</t>
        </is>
      </c>
      <c r="AC181" s="112" t="inlineStr">
        <is>
          <t>Estrutura Fase 1: sem impacto no VTA oficial</t>
        </is>
      </c>
    </row>
    <row r="182" ht="25.5" customHeight="1" s="289">
      <c r="A182" s="205" t="n"/>
      <c r="B182" s="207" t="n"/>
      <c r="C182" s="104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348" t="n"/>
      <c r="E182" s="349">
        <f>IF(C182="","",IFERROR(VLOOKUP(C182,parametros!$A$11:$E$15,5,0),""))</f>
        <v/>
      </c>
      <c r="F182" s="335">
        <f>IF(OR(D182="",E182=""),"",ROUND(D182*E182,2))</f>
        <v/>
      </c>
      <c r="G182" s="106" t="n"/>
      <c r="H182" s="350">
        <f>IF(G182="Sim",IF(OR(F182="",D182="",L182=""),"",IF(L182="Sim",ROUND(F182-D182,2),0)),0)</f>
        <v/>
      </c>
      <c r="I182" s="350">
        <f>IF(G182="Sim",0,IF(OR(F182="",L182=""),"",F182))</f>
        <v/>
      </c>
      <c r="J182" s="350">
        <f>IF(G182="Sim",0,IF(OR(F182="",D182="",L182=""),"",IF(L182="Sim",ROUND(F182-D182,2),0)))</f>
        <v/>
      </c>
      <c r="K182" s="97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27" t="n"/>
      <c r="V182" s="110" t="inlineStr">
        <is>
          <t>Nao</t>
        </is>
      </c>
      <c r="W182" s="110" t="inlineStr">
        <is>
          <t>PC em analise</t>
        </is>
      </c>
      <c r="X182" s="110" t="inlineStr">
        <is>
          <t>Pedido de Compra</t>
        </is>
      </c>
      <c r="Y182" s="111" t="inlineStr">
        <is>
          <t>Impacto Potencial</t>
        </is>
      </c>
      <c r="Z182" s="111" t="inlineStr">
        <is>
          <t>PC</t>
        </is>
      </c>
      <c r="AA182" s="111" t="inlineStr">
        <is>
          <t>Nao</t>
        </is>
      </c>
      <c r="AB182" s="111" t="inlineStr">
        <is>
          <t>NAO_COMPUTADO</t>
        </is>
      </c>
      <c r="AC182" s="112" t="inlineStr">
        <is>
          <t>Estrutura Fase 1: sem impacto no VTA oficial</t>
        </is>
      </c>
    </row>
    <row r="183" ht="25.5" customHeight="1" s="289">
      <c r="A183" s="205" t="n"/>
      <c r="B183" s="207" t="n"/>
      <c r="C183" s="104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348" t="n"/>
      <c r="E183" s="349">
        <f>IF(C183="","",IFERROR(VLOOKUP(C183,parametros!$A$11:$E$15,5,0),""))</f>
        <v/>
      </c>
      <c r="F183" s="335">
        <f>IF(OR(D183="",E183=""),"",ROUND(D183*E183,2))</f>
        <v/>
      </c>
      <c r="G183" s="106" t="n"/>
      <c r="H183" s="350">
        <f>IF(G183="Sim",IF(OR(F183="",D183="",L183=""),"",IF(L183="Sim",ROUND(F183-D183,2),0)),0)</f>
        <v/>
      </c>
      <c r="I183" s="350">
        <f>IF(G183="Sim",0,IF(OR(F183="",L183=""),"",F183))</f>
        <v/>
      </c>
      <c r="J183" s="350">
        <f>IF(G183="Sim",0,IF(OR(F183="",D183="",L183=""),"",IF(L183="Sim",ROUND(F183-D183,2),0)))</f>
        <v/>
      </c>
      <c r="K183" s="97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27" t="n"/>
      <c r="V183" s="110" t="inlineStr">
        <is>
          <t>Nao</t>
        </is>
      </c>
      <c r="W183" s="110" t="inlineStr">
        <is>
          <t>PC em analise</t>
        </is>
      </c>
      <c r="X183" s="110" t="inlineStr">
        <is>
          <t>Pedido de Compra</t>
        </is>
      </c>
      <c r="Y183" s="111" t="inlineStr">
        <is>
          <t>Impacto Potencial</t>
        </is>
      </c>
      <c r="Z183" s="111" t="inlineStr">
        <is>
          <t>PC</t>
        </is>
      </c>
      <c r="AA183" s="111" t="inlineStr">
        <is>
          <t>Nao</t>
        </is>
      </c>
      <c r="AB183" s="111" t="inlineStr">
        <is>
          <t>NAO_COMPUTADO</t>
        </is>
      </c>
      <c r="AC183" s="112" t="inlineStr">
        <is>
          <t>Estrutura Fase 1: sem impacto no VTA oficial</t>
        </is>
      </c>
    </row>
    <row r="184" ht="25.5" customHeight="1" s="289">
      <c r="A184" s="205" t="n"/>
      <c r="B184" s="207" t="n"/>
      <c r="C184" s="104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348" t="n"/>
      <c r="E184" s="349">
        <f>IF(C184="","",IFERROR(VLOOKUP(C184,parametros!$A$11:$E$15,5,0),""))</f>
        <v/>
      </c>
      <c r="F184" s="335">
        <f>IF(OR(D184="",E184=""),"",ROUND(D184*E184,2))</f>
        <v/>
      </c>
      <c r="G184" s="106" t="n"/>
      <c r="H184" s="350">
        <f>IF(G184="Sim",IF(OR(F184="",D184="",L184=""),"",IF(L184="Sim",ROUND(F184-D184,2),0)),0)</f>
        <v/>
      </c>
      <c r="I184" s="350">
        <f>IF(G184="Sim",0,IF(OR(F184="",L184=""),"",F184))</f>
        <v/>
      </c>
      <c r="J184" s="350">
        <f>IF(G184="Sim",0,IF(OR(F184="",D184="",L184=""),"",IF(L184="Sim",ROUND(F184-D184,2),0)))</f>
        <v/>
      </c>
      <c r="K184" s="97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27" t="n"/>
      <c r="V184" s="110" t="inlineStr">
        <is>
          <t>Nao</t>
        </is>
      </c>
      <c r="W184" s="110" t="inlineStr">
        <is>
          <t>PC em analise</t>
        </is>
      </c>
      <c r="X184" s="110" t="inlineStr">
        <is>
          <t>Pedido de Compra</t>
        </is>
      </c>
      <c r="Y184" s="111" t="inlineStr">
        <is>
          <t>Impacto Potencial</t>
        </is>
      </c>
      <c r="Z184" s="111" t="inlineStr">
        <is>
          <t>PC</t>
        </is>
      </c>
      <c r="AA184" s="111" t="inlineStr">
        <is>
          <t>Nao</t>
        </is>
      </c>
      <c r="AB184" s="111" t="inlineStr">
        <is>
          <t>NAO_COMPUTADO</t>
        </is>
      </c>
      <c r="AC184" s="112" t="inlineStr">
        <is>
          <t>Estrutura Fase 1: sem impacto no VTA oficial</t>
        </is>
      </c>
    </row>
    <row r="185" ht="25.5" customHeight="1" s="289">
      <c r="A185" s="205" t="n"/>
      <c r="B185" s="207" t="n"/>
      <c r="C185" s="104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348" t="n"/>
      <c r="E185" s="349">
        <f>IF(C185="","",IFERROR(VLOOKUP(C185,parametros!$A$11:$E$15,5,0),""))</f>
        <v/>
      </c>
      <c r="F185" s="335">
        <f>IF(OR(D185="",E185=""),"",ROUND(D185*E185,2))</f>
        <v/>
      </c>
      <c r="G185" s="106" t="n"/>
      <c r="H185" s="350">
        <f>IF(G185="Sim",IF(OR(F185="",D185="",L185=""),"",IF(L185="Sim",ROUND(F185-D185,2),0)),0)</f>
        <v/>
      </c>
      <c r="I185" s="350">
        <f>IF(G185="Sim",0,IF(OR(F185="",L185=""),"",F185))</f>
        <v/>
      </c>
      <c r="J185" s="350">
        <f>IF(G185="Sim",0,IF(OR(F185="",D185="",L185=""),"",IF(L185="Sim",ROUND(F185-D185,2),0)))</f>
        <v/>
      </c>
      <c r="K185" s="97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27" t="n"/>
      <c r="V185" s="110" t="inlineStr">
        <is>
          <t>Nao</t>
        </is>
      </c>
      <c r="W185" s="110" t="inlineStr">
        <is>
          <t>PC em analise</t>
        </is>
      </c>
      <c r="X185" s="110" t="inlineStr">
        <is>
          <t>Pedido de Compra</t>
        </is>
      </c>
      <c r="Y185" s="111" t="inlineStr">
        <is>
          <t>Impacto Potencial</t>
        </is>
      </c>
      <c r="Z185" s="111" t="inlineStr">
        <is>
          <t>PC</t>
        </is>
      </c>
      <c r="AA185" s="111" t="inlineStr">
        <is>
          <t>Nao</t>
        </is>
      </c>
      <c r="AB185" s="111" t="inlineStr">
        <is>
          <t>NAO_COMPUTADO</t>
        </is>
      </c>
      <c r="AC185" s="112" t="inlineStr">
        <is>
          <t>Estrutura Fase 1: sem impacto no VTA oficial</t>
        </is>
      </c>
    </row>
    <row r="186" ht="25.5" customHeight="1" s="289">
      <c r="A186" s="205" t="n"/>
      <c r="B186" s="207" t="n"/>
      <c r="C186" s="104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348" t="n"/>
      <c r="E186" s="349">
        <f>IF(C186="","",IFERROR(VLOOKUP(C186,parametros!$A$11:$E$15,5,0),""))</f>
        <v/>
      </c>
      <c r="F186" s="335">
        <f>IF(OR(D186="",E186=""),"",ROUND(D186*E186,2))</f>
        <v/>
      </c>
      <c r="G186" s="106" t="n"/>
      <c r="H186" s="350">
        <f>IF(G186="Sim",IF(OR(F186="",D186="",L186=""),"",IF(L186="Sim",ROUND(F186-D186,2),0)),0)</f>
        <v/>
      </c>
      <c r="I186" s="350">
        <f>IF(G186="Sim",0,IF(OR(F186="",L186=""),"",F186))</f>
        <v/>
      </c>
      <c r="J186" s="350">
        <f>IF(G186="Sim",0,IF(OR(F186="",D186="",L186=""),"",IF(L186="Sim",ROUND(F186-D186,2),0)))</f>
        <v/>
      </c>
      <c r="K186" s="97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27" t="n"/>
      <c r="V186" s="110" t="inlineStr">
        <is>
          <t>Nao</t>
        </is>
      </c>
      <c r="W186" s="110" t="inlineStr">
        <is>
          <t>PC em analise</t>
        </is>
      </c>
      <c r="X186" s="110" t="inlineStr">
        <is>
          <t>Pedido de Compra</t>
        </is>
      </c>
      <c r="Y186" s="111" t="inlineStr">
        <is>
          <t>Impacto Potencial</t>
        </is>
      </c>
      <c r="Z186" s="111" t="inlineStr">
        <is>
          <t>PC</t>
        </is>
      </c>
      <c r="AA186" s="111" t="inlineStr">
        <is>
          <t>Nao</t>
        </is>
      </c>
      <c r="AB186" s="111" t="inlineStr">
        <is>
          <t>NAO_COMPUTADO</t>
        </is>
      </c>
      <c r="AC186" s="112" t="inlineStr">
        <is>
          <t>Estrutura Fase 1: sem impacto no VTA oficial</t>
        </is>
      </c>
    </row>
    <row r="187" ht="25.5" customHeight="1" s="289">
      <c r="A187" s="205" t="n"/>
      <c r="B187" s="207" t="n"/>
      <c r="C187" s="104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348" t="n"/>
      <c r="E187" s="349">
        <f>IF(C187="","",IFERROR(VLOOKUP(C187,parametros!$A$11:$E$15,5,0),""))</f>
        <v/>
      </c>
      <c r="F187" s="335">
        <f>IF(OR(D187="",E187=""),"",ROUND(D187*E187,2))</f>
        <v/>
      </c>
      <c r="G187" s="106" t="n"/>
      <c r="H187" s="350">
        <f>IF(G187="Sim",IF(OR(F187="",D187="",L187=""),"",IF(L187="Sim",ROUND(F187-D187,2),0)),0)</f>
        <v/>
      </c>
      <c r="I187" s="350">
        <f>IF(G187="Sim",0,IF(OR(F187="",L187=""),"",F187))</f>
        <v/>
      </c>
      <c r="J187" s="350">
        <f>IF(G187="Sim",0,IF(OR(F187="",D187="",L187=""),"",IF(L187="Sim",ROUND(F187-D187,2),0)))</f>
        <v/>
      </c>
      <c r="K187" s="97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27" t="n"/>
      <c r="V187" s="110" t="inlineStr">
        <is>
          <t>Nao</t>
        </is>
      </c>
      <c r="W187" s="110" t="inlineStr">
        <is>
          <t>PC em analise</t>
        </is>
      </c>
      <c r="X187" s="110" t="inlineStr">
        <is>
          <t>Pedido de Compra</t>
        </is>
      </c>
      <c r="Y187" s="111" t="inlineStr">
        <is>
          <t>Impacto Potencial</t>
        </is>
      </c>
      <c r="Z187" s="111" t="inlineStr">
        <is>
          <t>PC</t>
        </is>
      </c>
      <c r="AA187" s="111" t="inlineStr">
        <is>
          <t>Nao</t>
        </is>
      </c>
      <c r="AB187" s="111" t="inlineStr">
        <is>
          <t>NAO_COMPUTADO</t>
        </is>
      </c>
      <c r="AC187" s="112" t="inlineStr">
        <is>
          <t>Estrutura Fase 1: sem impacto no VTA oficial</t>
        </is>
      </c>
    </row>
    <row r="188" ht="25.5" customHeight="1" s="289">
      <c r="A188" s="205" t="n"/>
      <c r="B188" s="207" t="n"/>
      <c r="C188" s="104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348" t="n"/>
      <c r="E188" s="349">
        <f>IF(C188="","",IFERROR(VLOOKUP(C188,parametros!$A$11:$E$15,5,0),""))</f>
        <v/>
      </c>
      <c r="F188" s="335">
        <f>IF(OR(D188="",E188=""),"",ROUND(D188*E188,2))</f>
        <v/>
      </c>
      <c r="G188" s="106" t="n"/>
      <c r="H188" s="350">
        <f>IF(G188="Sim",IF(OR(F188="",D188="",L188=""),"",IF(L188="Sim",ROUND(F188-D188,2),0)),0)</f>
        <v/>
      </c>
      <c r="I188" s="350">
        <f>IF(G188="Sim",0,IF(OR(F188="",L188=""),"",F188))</f>
        <v/>
      </c>
      <c r="J188" s="350">
        <f>IF(G188="Sim",0,IF(OR(F188="",D188="",L188=""),"",IF(L188="Sim",ROUND(F188-D188,2),0)))</f>
        <v/>
      </c>
      <c r="K188" s="97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27" t="n"/>
      <c r="V188" s="110" t="inlineStr">
        <is>
          <t>Nao</t>
        </is>
      </c>
      <c r="W188" s="110" t="inlineStr">
        <is>
          <t>PC em analise</t>
        </is>
      </c>
      <c r="X188" s="110" t="inlineStr">
        <is>
          <t>Pedido de Compra</t>
        </is>
      </c>
      <c r="Y188" s="111" t="inlineStr">
        <is>
          <t>Impacto Potencial</t>
        </is>
      </c>
      <c r="Z188" s="111" t="inlineStr">
        <is>
          <t>PC</t>
        </is>
      </c>
      <c r="AA188" s="111" t="inlineStr">
        <is>
          <t>Nao</t>
        </is>
      </c>
      <c r="AB188" s="111" t="inlineStr">
        <is>
          <t>NAO_COMPUTADO</t>
        </is>
      </c>
      <c r="AC188" s="112" t="inlineStr">
        <is>
          <t>Estrutura Fase 1: sem impacto no VTA oficial</t>
        </is>
      </c>
    </row>
    <row r="189" ht="25.5" customHeight="1" s="289">
      <c r="A189" s="205" t="n"/>
      <c r="B189" s="207" t="n"/>
      <c r="C189" s="104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348" t="n"/>
      <c r="E189" s="349">
        <f>IF(C189="","",IFERROR(VLOOKUP(C189,parametros!$A$11:$E$15,5,0),""))</f>
        <v/>
      </c>
      <c r="F189" s="335">
        <f>IF(OR(D189="",E189=""),"",ROUND(D189*E189,2))</f>
        <v/>
      </c>
      <c r="G189" s="106" t="n"/>
      <c r="H189" s="350">
        <f>IF(G189="Sim",IF(OR(F189="",D189="",L189=""),"",IF(L189="Sim",ROUND(F189-D189,2),0)),0)</f>
        <v/>
      </c>
      <c r="I189" s="350">
        <f>IF(G189="Sim",0,IF(OR(F189="",L189=""),"",F189))</f>
        <v/>
      </c>
      <c r="J189" s="350">
        <f>IF(G189="Sim",0,IF(OR(F189="",D189="",L189=""),"",IF(L189="Sim",ROUND(F189-D189,2),0)))</f>
        <v/>
      </c>
      <c r="K189" s="97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27" t="n"/>
      <c r="V189" s="110" t="inlineStr">
        <is>
          <t>Nao</t>
        </is>
      </c>
      <c r="W189" s="110" t="inlineStr">
        <is>
          <t>PC em analise</t>
        </is>
      </c>
      <c r="X189" s="110" t="inlineStr">
        <is>
          <t>Pedido de Compra</t>
        </is>
      </c>
      <c r="Y189" s="111" t="inlineStr">
        <is>
          <t>Impacto Potencial</t>
        </is>
      </c>
      <c r="Z189" s="111" t="inlineStr">
        <is>
          <t>PC</t>
        </is>
      </c>
      <c r="AA189" s="111" t="inlineStr">
        <is>
          <t>Nao</t>
        </is>
      </c>
      <c r="AB189" s="111" t="inlineStr">
        <is>
          <t>NAO_COMPUTADO</t>
        </is>
      </c>
      <c r="AC189" s="112" t="inlineStr">
        <is>
          <t>Estrutura Fase 1: sem impacto no VTA oficial</t>
        </is>
      </c>
    </row>
    <row r="190" ht="25.5" customHeight="1" s="289">
      <c r="A190" s="205" t="n"/>
      <c r="B190" s="207" t="n"/>
      <c r="C190" s="104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348" t="n"/>
      <c r="E190" s="349">
        <f>IF(C190="","",IFERROR(VLOOKUP(C190,parametros!$A$11:$E$15,5,0),""))</f>
        <v/>
      </c>
      <c r="F190" s="335">
        <f>IF(OR(D190="",E190=""),"",ROUND(D190*E190,2))</f>
        <v/>
      </c>
      <c r="G190" s="106" t="n"/>
      <c r="H190" s="350">
        <f>IF(G190="Sim",IF(OR(F190="",D190="",L190=""),"",IF(L190="Sim",ROUND(F190-D190,2),0)),0)</f>
        <v/>
      </c>
      <c r="I190" s="350">
        <f>IF(G190="Sim",0,IF(OR(F190="",L190=""),"",F190))</f>
        <v/>
      </c>
      <c r="J190" s="350">
        <f>IF(G190="Sim",0,IF(OR(F190="",D190="",L190=""),"",IF(L190="Sim",ROUND(F190-D190,2),0)))</f>
        <v/>
      </c>
      <c r="K190" s="97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27" t="n"/>
      <c r="V190" s="110" t="inlineStr">
        <is>
          <t>Nao</t>
        </is>
      </c>
      <c r="W190" s="110" t="inlineStr">
        <is>
          <t>PC em analise</t>
        </is>
      </c>
      <c r="X190" s="110" t="inlineStr">
        <is>
          <t>Pedido de Compra</t>
        </is>
      </c>
      <c r="Y190" s="111" t="inlineStr">
        <is>
          <t>Impacto Potencial</t>
        </is>
      </c>
      <c r="Z190" s="111" t="inlineStr">
        <is>
          <t>PC</t>
        </is>
      </c>
      <c r="AA190" s="111" t="inlineStr">
        <is>
          <t>Nao</t>
        </is>
      </c>
      <c r="AB190" s="111" t="inlineStr">
        <is>
          <t>NAO_COMPUTADO</t>
        </is>
      </c>
      <c r="AC190" s="112" t="inlineStr">
        <is>
          <t>Estrutura Fase 1: sem impacto no VTA oficial</t>
        </is>
      </c>
    </row>
    <row r="191" ht="25.5" customHeight="1" s="289">
      <c r="A191" s="205" t="n"/>
      <c r="B191" s="207" t="n"/>
      <c r="C191" s="104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348" t="n"/>
      <c r="E191" s="349">
        <f>IF(C191="","",IFERROR(VLOOKUP(C191,parametros!$A$11:$E$15,5,0),""))</f>
        <v/>
      </c>
      <c r="F191" s="335">
        <f>IF(OR(D191="",E191=""),"",ROUND(D191*E191,2))</f>
        <v/>
      </c>
      <c r="G191" s="106" t="n"/>
      <c r="H191" s="350">
        <f>IF(G191="Sim",IF(OR(F191="",D191="",L191=""),"",IF(L191="Sim",ROUND(F191-D191,2),0)),0)</f>
        <v/>
      </c>
      <c r="I191" s="350">
        <f>IF(G191="Sim",0,IF(OR(F191="",L191=""),"",F191))</f>
        <v/>
      </c>
      <c r="J191" s="350">
        <f>IF(G191="Sim",0,IF(OR(F191="",D191="",L191=""),"",IF(L191="Sim",ROUND(F191-D191,2),0)))</f>
        <v/>
      </c>
      <c r="K191" s="97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27" t="n"/>
      <c r="V191" s="110" t="inlineStr">
        <is>
          <t>Nao</t>
        </is>
      </c>
      <c r="W191" s="110" t="inlineStr">
        <is>
          <t>PC em analise</t>
        </is>
      </c>
      <c r="X191" s="110" t="inlineStr">
        <is>
          <t>Pedido de Compra</t>
        </is>
      </c>
      <c r="Y191" s="111" t="inlineStr">
        <is>
          <t>Impacto Potencial</t>
        </is>
      </c>
      <c r="Z191" s="111" t="inlineStr">
        <is>
          <t>PC</t>
        </is>
      </c>
      <c r="AA191" s="111" t="inlineStr">
        <is>
          <t>Nao</t>
        </is>
      </c>
      <c r="AB191" s="111" t="inlineStr">
        <is>
          <t>NAO_COMPUTADO</t>
        </is>
      </c>
      <c r="AC191" s="112" t="inlineStr">
        <is>
          <t>Estrutura Fase 1: sem impacto no VTA oficial</t>
        </is>
      </c>
    </row>
    <row r="192" ht="25.5" customHeight="1" s="289">
      <c r="A192" s="205" t="n"/>
      <c r="B192" s="207" t="n"/>
      <c r="C192" s="104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348" t="n"/>
      <c r="E192" s="349">
        <f>IF(C192="","",IFERROR(VLOOKUP(C192,parametros!$A$11:$E$15,5,0),""))</f>
        <v/>
      </c>
      <c r="F192" s="335">
        <f>IF(OR(D192="",E192=""),"",ROUND(D192*E192,2))</f>
        <v/>
      </c>
      <c r="G192" s="106" t="n"/>
      <c r="H192" s="350">
        <f>IF(G192="Sim",IF(OR(F192="",D192="",L192=""),"",IF(L192="Sim",ROUND(F192-D192,2),0)),0)</f>
        <v/>
      </c>
      <c r="I192" s="350">
        <f>IF(G192="Sim",0,IF(OR(F192="",L192=""),"",F192))</f>
        <v/>
      </c>
      <c r="J192" s="350">
        <f>IF(G192="Sim",0,IF(OR(F192="",D192="",L192=""),"",IF(L192="Sim",ROUND(F192-D192,2),0)))</f>
        <v/>
      </c>
      <c r="K192" s="97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27" t="n"/>
      <c r="V192" s="110" t="inlineStr">
        <is>
          <t>Nao</t>
        </is>
      </c>
      <c r="W192" s="110" t="inlineStr">
        <is>
          <t>PC em analise</t>
        </is>
      </c>
      <c r="X192" s="110" t="inlineStr">
        <is>
          <t>Pedido de Compra</t>
        </is>
      </c>
      <c r="Y192" s="111" t="inlineStr">
        <is>
          <t>Impacto Potencial</t>
        </is>
      </c>
      <c r="Z192" s="111" t="inlineStr">
        <is>
          <t>PC</t>
        </is>
      </c>
      <c r="AA192" s="111" t="inlineStr">
        <is>
          <t>Nao</t>
        </is>
      </c>
      <c r="AB192" s="111" t="inlineStr">
        <is>
          <t>NAO_COMPUTADO</t>
        </is>
      </c>
      <c r="AC192" s="112" t="inlineStr">
        <is>
          <t>Estrutura Fase 1: sem impacto no VTA oficial</t>
        </is>
      </c>
    </row>
    <row r="193" ht="25.5" customHeight="1" s="289">
      <c r="A193" s="205" t="n"/>
      <c r="B193" s="207" t="n"/>
      <c r="C193" s="104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348" t="n"/>
      <c r="E193" s="349">
        <f>IF(C193="","",IFERROR(VLOOKUP(C193,parametros!$A$11:$E$15,5,0),""))</f>
        <v/>
      </c>
      <c r="F193" s="335">
        <f>IF(OR(D193="",E193=""),"",ROUND(D193*E193,2))</f>
        <v/>
      </c>
      <c r="G193" s="106" t="n"/>
      <c r="H193" s="350">
        <f>IF(G193="Sim",IF(OR(F193="",D193="",L193=""),"",IF(L193="Sim",ROUND(F193-D193,2),0)),0)</f>
        <v/>
      </c>
      <c r="I193" s="350">
        <f>IF(G193="Sim",0,IF(OR(F193="",L193=""),"",F193))</f>
        <v/>
      </c>
      <c r="J193" s="350">
        <f>IF(G193="Sim",0,IF(OR(F193="",D193="",L193=""),"",IF(L193="Sim",ROUND(F193-D193,2),0)))</f>
        <v/>
      </c>
      <c r="K193" s="97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27" t="n"/>
      <c r="V193" s="110" t="inlineStr">
        <is>
          <t>Nao</t>
        </is>
      </c>
      <c r="W193" s="110" t="inlineStr">
        <is>
          <t>PC em analise</t>
        </is>
      </c>
      <c r="X193" s="110" t="inlineStr">
        <is>
          <t>Pedido de Compra</t>
        </is>
      </c>
      <c r="Y193" s="111" t="inlineStr">
        <is>
          <t>Impacto Potencial</t>
        </is>
      </c>
      <c r="Z193" s="111" t="inlineStr">
        <is>
          <t>PC</t>
        </is>
      </c>
      <c r="AA193" s="111" t="inlineStr">
        <is>
          <t>Nao</t>
        </is>
      </c>
      <c r="AB193" s="111" t="inlineStr">
        <is>
          <t>NAO_COMPUTADO</t>
        </is>
      </c>
      <c r="AC193" s="112" t="inlineStr">
        <is>
          <t>Estrutura Fase 1: sem impacto no VTA oficial</t>
        </is>
      </c>
    </row>
    <row r="194" ht="25.5" customHeight="1" s="289">
      <c r="A194" s="205" t="n"/>
      <c r="B194" s="207" t="n"/>
      <c r="C194" s="104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348" t="n"/>
      <c r="E194" s="349">
        <f>IF(C194="","",IFERROR(VLOOKUP(C194,parametros!$A$11:$E$15,5,0),""))</f>
        <v/>
      </c>
      <c r="F194" s="335">
        <f>IF(OR(D194="",E194=""),"",ROUND(D194*E194,2))</f>
        <v/>
      </c>
      <c r="G194" s="106" t="n"/>
      <c r="H194" s="350">
        <f>IF(G194="Sim",IF(OR(F194="",D194="",L194=""),"",IF(L194="Sim",ROUND(F194-D194,2),0)),0)</f>
        <v/>
      </c>
      <c r="I194" s="350">
        <f>IF(G194="Sim",0,IF(OR(F194="",L194=""),"",F194))</f>
        <v/>
      </c>
      <c r="J194" s="350">
        <f>IF(G194="Sim",0,IF(OR(F194="",D194="",L194=""),"",IF(L194="Sim",ROUND(F194-D194,2),0)))</f>
        <v/>
      </c>
      <c r="K194" s="97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27" t="n"/>
      <c r="V194" s="110" t="inlineStr">
        <is>
          <t>Nao</t>
        </is>
      </c>
      <c r="W194" s="110" t="inlineStr">
        <is>
          <t>PC em analise</t>
        </is>
      </c>
      <c r="X194" s="110" t="inlineStr">
        <is>
          <t>Pedido de Compra</t>
        </is>
      </c>
      <c r="Y194" s="111" t="inlineStr">
        <is>
          <t>Impacto Potencial</t>
        </is>
      </c>
      <c r="Z194" s="111" t="inlineStr">
        <is>
          <t>PC</t>
        </is>
      </c>
      <c r="AA194" s="111" t="inlineStr">
        <is>
          <t>Nao</t>
        </is>
      </c>
      <c r="AB194" s="111" t="inlineStr">
        <is>
          <t>NAO_COMPUTADO</t>
        </is>
      </c>
      <c r="AC194" s="112" t="inlineStr">
        <is>
          <t>Estrutura Fase 1: sem impacto no VTA oficial</t>
        </is>
      </c>
    </row>
    <row r="195" ht="25.5" customHeight="1" s="289">
      <c r="A195" s="205" t="n"/>
      <c r="B195" s="207" t="n"/>
      <c r="C195" s="104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348" t="n"/>
      <c r="E195" s="349">
        <f>IF(C195="","",IFERROR(VLOOKUP(C195,parametros!$A$11:$E$15,5,0),""))</f>
        <v/>
      </c>
      <c r="F195" s="335">
        <f>IF(OR(D195="",E195=""),"",ROUND(D195*E195,2))</f>
        <v/>
      </c>
      <c r="G195" s="106" t="n"/>
      <c r="H195" s="350">
        <f>IF(G195="Sim",IF(OR(F195="",D195="",L195=""),"",IF(L195="Sim",ROUND(F195-D195,2),0)),0)</f>
        <v/>
      </c>
      <c r="I195" s="350">
        <f>IF(G195="Sim",0,IF(OR(F195="",L195=""),"",F195))</f>
        <v/>
      </c>
      <c r="J195" s="350">
        <f>IF(G195="Sim",0,IF(OR(F195="",D195="",L195=""),"",IF(L195="Sim",ROUND(F195-D195,2),0)))</f>
        <v/>
      </c>
      <c r="K195" s="97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27" t="n"/>
      <c r="V195" s="110" t="inlineStr">
        <is>
          <t>Nao</t>
        </is>
      </c>
      <c r="W195" s="110" t="inlineStr">
        <is>
          <t>PC em analise</t>
        </is>
      </c>
      <c r="X195" s="110" t="inlineStr">
        <is>
          <t>Pedido de Compra</t>
        </is>
      </c>
      <c r="Y195" s="111" t="inlineStr">
        <is>
          <t>Impacto Potencial</t>
        </is>
      </c>
      <c r="Z195" s="111" t="inlineStr">
        <is>
          <t>PC</t>
        </is>
      </c>
      <c r="AA195" s="111" t="inlineStr">
        <is>
          <t>Nao</t>
        </is>
      </c>
      <c r="AB195" s="111" t="inlineStr">
        <is>
          <t>NAO_COMPUTADO</t>
        </is>
      </c>
      <c r="AC195" s="112" t="inlineStr">
        <is>
          <t>Estrutura Fase 1: sem impacto no VTA oficial</t>
        </is>
      </c>
    </row>
    <row r="196" ht="25.5" customHeight="1" s="289">
      <c r="A196" s="205" t="n"/>
      <c r="B196" s="207" t="n"/>
      <c r="C196" s="104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348" t="n"/>
      <c r="E196" s="349">
        <f>IF(C196="","",IFERROR(VLOOKUP(C196,parametros!$A$11:$E$15,5,0),""))</f>
        <v/>
      </c>
      <c r="F196" s="335">
        <f>IF(OR(D196="",E196=""),"",ROUND(D196*E196,2))</f>
        <v/>
      </c>
      <c r="G196" s="106" t="n"/>
      <c r="H196" s="350">
        <f>IF(G196="Sim",IF(OR(F196="",D196="",L196=""),"",IF(L196="Sim",ROUND(F196-D196,2),0)),0)</f>
        <v/>
      </c>
      <c r="I196" s="350">
        <f>IF(G196="Sim",0,IF(OR(F196="",L196=""),"",F196))</f>
        <v/>
      </c>
      <c r="J196" s="350">
        <f>IF(G196="Sim",0,IF(OR(F196="",D196="",L196=""),"",IF(L196="Sim",ROUND(F196-D196,2),0)))</f>
        <v/>
      </c>
      <c r="K196" s="97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27" t="n"/>
      <c r="V196" s="110" t="inlineStr">
        <is>
          <t>Nao</t>
        </is>
      </c>
      <c r="W196" s="110" t="inlineStr">
        <is>
          <t>PC em analise</t>
        </is>
      </c>
      <c r="X196" s="110" t="inlineStr">
        <is>
          <t>Pedido de Compra</t>
        </is>
      </c>
      <c r="Y196" s="111" t="inlineStr">
        <is>
          <t>Impacto Potencial</t>
        </is>
      </c>
      <c r="Z196" s="111" t="inlineStr">
        <is>
          <t>PC</t>
        </is>
      </c>
      <c r="AA196" s="111" t="inlineStr">
        <is>
          <t>Nao</t>
        </is>
      </c>
      <c r="AB196" s="111" t="inlineStr">
        <is>
          <t>NAO_COMPUTADO</t>
        </is>
      </c>
      <c r="AC196" s="112" t="inlineStr">
        <is>
          <t>Estrutura Fase 1: sem impacto no VTA oficial</t>
        </is>
      </c>
    </row>
    <row r="197" ht="25.5" customHeight="1" s="289">
      <c r="A197" s="205" t="n"/>
      <c r="B197" s="207" t="n"/>
      <c r="C197" s="104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348" t="n"/>
      <c r="E197" s="349">
        <f>IF(C197="","",IFERROR(VLOOKUP(C197,parametros!$A$11:$E$15,5,0),""))</f>
        <v/>
      </c>
      <c r="F197" s="335">
        <f>IF(OR(D197="",E197=""),"",ROUND(D197*E197,2))</f>
        <v/>
      </c>
      <c r="G197" s="106" t="n"/>
      <c r="H197" s="350">
        <f>IF(G197="Sim",IF(OR(F197="",D197="",L197=""),"",IF(L197="Sim",ROUND(F197-D197,2),0)),0)</f>
        <v/>
      </c>
      <c r="I197" s="350">
        <f>IF(G197="Sim",0,IF(OR(F197="",L197=""),"",F197))</f>
        <v/>
      </c>
      <c r="J197" s="350">
        <f>IF(G197="Sim",0,IF(OR(F197="",D197="",L197=""),"",IF(L197="Sim",ROUND(F197-D197,2),0)))</f>
        <v/>
      </c>
      <c r="K197" s="97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27" t="n"/>
      <c r="V197" s="110" t="inlineStr">
        <is>
          <t>Nao</t>
        </is>
      </c>
      <c r="W197" s="110" t="inlineStr">
        <is>
          <t>PC em analise</t>
        </is>
      </c>
      <c r="X197" s="110" t="inlineStr">
        <is>
          <t>Pedido de Compra</t>
        </is>
      </c>
      <c r="Y197" s="111" t="inlineStr">
        <is>
          <t>Impacto Potencial</t>
        </is>
      </c>
      <c r="Z197" s="111" t="inlineStr">
        <is>
          <t>PC</t>
        </is>
      </c>
      <c r="AA197" s="111" t="inlineStr">
        <is>
          <t>Nao</t>
        </is>
      </c>
      <c r="AB197" s="111" t="inlineStr">
        <is>
          <t>NAO_COMPUTADO</t>
        </is>
      </c>
      <c r="AC197" s="112" t="inlineStr">
        <is>
          <t>Estrutura Fase 1: sem impacto no VTA oficial</t>
        </is>
      </c>
    </row>
    <row r="198" ht="25.5" customHeight="1" s="289">
      <c r="A198" s="205" t="n"/>
      <c r="B198" s="207" t="n"/>
      <c r="C198" s="104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348" t="n"/>
      <c r="E198" s="349">
        <f>IF(C198="","",IFERROR(VLOOKUP(C198,parametros!$A$11:$E$15,5,0),""))</f>
        <v/>
      </c>
      <c r="F198" s="335">
        <f>IF(OR(D198="",E198=""),"",ROUND(D198*E198,2))</f>
        <v/>
      </c>
      <c r="G198" s="106" t="n"/>
      <c r="H198" s="350">
        <f>IF(G198="Sim",IF(OR(F198="",D198="",L198=""),"",IF(L198="Sim",ROUND(F198-D198,2),0)),0)</f>
        <v/>
      </c>
      <c r="I198" s="350">
        <f>IF(G198="Sim",0,IF(OR(F198="",L198=""),"",F198))</f>
        <v/>
      </c>
      <c r="J198" s="350">
        <f>IF(G198="Sim",0,IF(OR(F198="",D198="",L198=""),"",IF(L198="Sim",ROUND(F198-D198,2),0)))</f>
        <v/>
      </c>
      <c r="K198" s="97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27" t="n"/>
      <c r="V198" s="110" t="inlineStr">
        <is>
          <t>Nao</t>
        </is>
      </c>
      <c r="W198" s="110" t="inlineStr">
        <is>
          <t>PC em analise</t>
        </is>
      </c>
      <c r="X198" s="110" t="inlineStr">
        <is>
          <t>Pedido de Compra</t>
        </is>
      </c>
      <c r="Y198" s="111" t="inlineStr">
        <is>
          <t>Impacto Potencial</t>
        </is>
      </c>
      <c r="Z198" s="111" t="inlineStr">
        <is>
          <t>PC</t>
        </is>
      </c>
      <c r="AA198" s="111" t="inlineStr">
        <is>
          <t>Nao</t>
        </is>
      </c>
      <c r="AB198" s="111" t="inlineStr">
        <is>
          <t>NAO_COMPUTADO</t>
        </is>
      </c>
      <c r="AC198" s="112" t="inlineStr">
        <is>
          <t>Estrutura Fase 1: sem impacto no VTA oficial</t>
        </is>
      </c>
    </row>
    <row r="199" ht="25.5" customHeight="1" s="289">
      <c r="A199" s="205" t="n"/>
      <c r="B199" s="207" t="n"/>
      <c r="C199" s="104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348" t="n"/>
      <c r="E199" s="349">
        <f>IF(C199="","",IFERROR(VLOOKUP(C199,parametros!$A$11:$E$15,5,0),""))</f>
        <v/>
      </c>
      <c r="F199" s="335">
        <f>IF(OR(D199="",E199=""),"",ROUND(D199*E199,2))</f>
        <v/>
      </c>
      <c r="G199" s="106" t="n"/>
      <c r="H199" s="350">
        <f>IF(G199="Sim",IF(OR(F199="",D199="",L199=""),"",IF(L199="Sim",ROUND(F199-D199,2),0)),0)</f>
        <v/>
      </c>
      <c r="I199" s="350">
        <f>IF(G199="Sim",0,IF(OR(F199="",L199=""),"",F199))</f>
        <v/>
      </c>
      <c r="J199" s="350">
        <f>IF(G199="Sim",0,IF(OR(F199="",D199="",L199=""),"",IF(L199="Sim",ROUND(F199-D199,2),0)))</f>
        <v/>
      </c>
      <c r="K199" s="97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27" t="n"/>
      <c r="V199" s="110" t="inlineStr">
        <is>
          <t>Nao</t>
        </is>
      </c>
      <c r="W199" s="110" t="inlineStr">
        <is>
          <t>PC em analise</t>
        </is>
      </c>
      <c r="X199" s="110" t="inlineStr">
        <is>
          <t>Pedido de Compra</t>
        </is>
      </c>
      <c r="Y199" s="111" t="inlineStr">
        <is>
          <t>Impacto Potencial</t>
        </is>
      </c>
      <c r="Z199" s="111" t="inlineStr">
        <is>
          <t>PC</t>
        </is>
      </c>
      <c r="AA199" s="111" t="inlineStr">
        <is>
          <t>Nao</t>
        </is>
      </c>
      <c r="AB199" s="111" t="inlineStr">
        <is>
          <t>NAO_COMPUTADO</t>
        </is>
      </c>
      <c r="AC199" s="112" t="inlineStr">
        <is>
          <t>Estrutura Fase 1: sem impacto no VTA oficial</t>
        </is>
      </c>
    </row>
    <row r="200" ht="25.5" customHeight="1" s="289">
      <c r="A200" s="205" t="n"/>
      <c r="B200" s="207" t="n"/>
      <c r="C200" s="104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348" t="n"/>
      <c r="E200" s="349">
        <f>IF(C200="","",IFERROR(VLOOKUP(C200,parametros!$A$11:$E$15,5,0),""))</f>
        <v/>
      </c>
      <c r="F200" s="335">
        <f>IF(OR(D200="",E200=""),"",ROUND(D200*E200,2))</f>
        <v/>
      </c>
      <c r="G200" s="106" t="n"/>
      <c r="H200" s="350">
        <f>IF(G200="Sim",IF(OR(F200="",D200="",L200=""),"",IF(L200="Sim",ROUND(F200-D200,2),0)),0)</f>
        <v/>
      </c>
      <c r="I200" s="350">
        <f>IF(G200="Sim",0,IF(OR(F200="",L200=""),"",F200))</f>
        <v/>
      </c>
      <c r="J200" s="350">
        <f>IF(G200="Sim",0,IF(OR(F200="",D200="",L200=""),"",IF(L200="Sim",ROUND(F200-D200,2),0)))</f>
        <v/>
      </c>
      <c r="K200" s="97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27" t="n"/>
      <c r="V200" s="110" t="inlineStr">
        <is>
          <t>Nao</t>
        </is>
      </c>
      <c r="W200" s="110" t="inlineStr">
        <is>
          <t>PC em analise</t>
        </is>
      </c>
      <c r="X200" s="110" t="inlineStr">
        <is>
          <t>Pedido de Compra</t>
        </is>
      </c>
      <c r="Y200" s="111" t="inlineStr">
        <is>
          <t>Impacto Potencial</t>
        </is>
      </c>
      <c r="Z200" s="111" t="inlineStr">
        <is>
          <t>PC</t>
        </is>
      </c>
      <c r="AA200" s="111" t="inlineStr">
        <is>
          <t>Nao</t>
        </is>
      </c>
      <c r="AB200" s="111" t="inlineStr">
        <is>
          <t>NAO_COMPUTADO</t>
        </is>
      </c>
      <c r="AC200" s="112" t="inlineStr">
        <is>
          <t>Estrutura Fase 1: sem impacto no VTA oficial</t>
        </is>
      </c>
    </row>
    <row r="201" ht="25.5" customHeight="1" s="289">
      <c r="A201" s="205" t="n"/>
      <c r="B201" s="207" t="n"/>
      <c r="C201" s="104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348" t="n"/>
      <c r="E201" s="349">
        <f>IF(C201="","",IFERROR(VLOOKUP(C201,parametros!$A$11:$E$15,5,0),""))</f>
        <v/>
      </c>
      <c r="F201" s="335">
        <f>IF(OR(D201="",E201=""),"",ROUND(D201*E201,2))</f>
        <v/>
      </c>
      <c r="G201" s="106" t="n"/>
      <c r="H201" s="350">
        <f>IF(G201="Sim",IF(OR(F201="",D201="",L201=""),"",IF(L201="Sim",ROUND(F201-D201,2),0)),0)</f>
        <v/>
      </c>
      <c r="I201" s="350">
        <f>IF(G201="Sim",0,IF(OR(F201="",L201=""),"",F201))</f>
        <v/>
      </c>
      <c r="J201" s="350">
        <f>IF(G201="Sim",0,IF(OR(F201="",D201="",L201=""),"",IF(L201="Sim",ROUND(F201-D201,2),0)))</f>
        <v/>
      </c>
      <c r="K201" s="97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27" t="n"/>
      <c r="V201" s="110" t="inlineStr">
        <is>
          <t>Nao</t>
        </is>
      </c>
      <c r="W201" s="110" t="inlineStr">
        <is>
          <t>PC em analise</t>
        </is>
      </c>
      <c r="X201" s="110" t="inlineStr">
        <is>
          <t>Pedido de Compra</t>
        </is>
      </c>
      <c r="Y201" s="111" t="inlineStr">
        <is>
          <t>Impacto Potencial</t>
        </is>
      </c>
      <c r="Z201" s="111" t="inlineStr">
        <is>
          <t>PC</t>
        </is>
      </c>
      <c r="AA201" s="111" t="inlineStr">
        <is>
          <t>Nao</t>
        </is>
      </c>
      <c r="AB201" s="111" t="inlineStr">
        <is>
          <t>NAO_COMPUTADO</t>
        </is>
      </c>
      <c r="AC201" s="112" t="inlineStr">
        <is>
          <t>Estrutura Fase 1: sem impacto no VTA oficial</t>
        </is>
      </c>
    </row>
    <row r="202" ht="25.5" customHeight="1" s="289">
      <c r="A202" s="205" t="n"/>
      <c r="B202" s="207" t="n"/>
      <c r="C202" s="104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348" t="n"/>
      <c r="E202" s="349">
        <f>IF(C202="","",IFERROR(VLOOKUP(C202,parametros!$A$11:$E$15,5,0),""))</f>
        <v/>
      </c>
      <c r="F202" s="335">
        <f>IF(OR(D202="",E202=""),"",ROUND(D202*E202,2))</f>
        <v/>
      </c>
      <c r="G202" s="106" t="n"/>
      <c r="H202" s="350">
        <f>IF(G202="Sim",IF(OR(F202="",D202="",L202=""),"",IF(L202="Sim",ROUND(F202-D202,2),0)),0)</f>
        <v/>
      </c>
      <c r="I202" s="350">
        <f>IF(G202="Sim",0,IF(OR(F202="",L202=""),"",F202))</f>
        <v/>
      </c>
      <c r="J202" s="350">
        <f>IF(G202="Sim",0,IF(OR(F202="",D202="",L202=""),"",IF(L202="Sim",ROUND(F202-D202,2),0)))</f>
        <v/>
      </c>
      <c r="K202" s="97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27" t="n"/>
      <c r="V202" s="110" t="inlineStr">
        <is>
          <t>Nao</t>
        </is>
      </c>
      <c r="W202" s="110" t="inlineStr">
        <is>
          <t>PC em analise</t>
        </is>
      </c>
      <c r="X202" s="110" t="inlineStr">
        <is>
          <t>Pedido de Compra</t>
        </is>
      </c>
      <c r="Y202" s="111" t="inlineStr">
        <is>
          <t>Impacto Potencial</t>
        </is>
      </c>
      <c r="Z202" s="111" t="inlineStr">
        <is>
          <t>PC</t>
        </is>
      </c>
      <c r="AA202" s="111" t="inlineStr">
        <is>
          <t>Nao</t>
        </is>
      </c>
      <c r="AB202" s="111" t="inlineStr">
        <is>
          <t>NAO_COMPUTADO</t>
        </is>
      </c>
      <c r="AC202" s="112" t="inlineStr">
        <is>
          <t>Estrutura Fase 1: sem impacto no VTA oficial</t>
        </is>
      </c>
    </row>
    <row r="203" ht="25.5" customHeight="1" s="289">
      <c r="A203" s="205" t="n"/>
      <c r="B203" s="207" t="n"/>
      <c r="C203" s="104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348" t="n"/>
      <c r="E203" s="349">
        <f>IF(C203="","",IFERROR(VLOOKUP(C203,parametros!$A$11:$E$15,5,0),""))</f>
        <v/>
      </c>
      <c r="F203" s="335">
        <f>IF(OR(D203="",E203=""),"",ROUND(D203*E203,2))</f>
        <v/>
      </c>
      <c r="G203" s="106" t="n"/>
      <c r="H203" s="350">
        <f>IF(G203="Sim",IF(OR(F203="",D203="",L203=""),"",IF(L203="Sim",ROUND(F203-D203,2),0)),0)</f>
        <v/>
      </c>
      <c r="I203" s="350">
        <f>IF(G203="Sim",0,IF(OR(F203="",L203=""),"",F203))</f>
        <v/>
      </c>
      <c r="J203" s="350">
        <f>IF(G203="Sim",0,IF(OR(F203="",D203="",L203=""),"",IF(L203="Sim",ROUND(F203-D203,2),0)))</f>
        <v/>
      </c>
      <c r="K203" s="97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27" t="n"/>
      <c r="V203" s="110" t="inlineStr">
        <is>
          <t>Nao</t>
        </is>
      </c>
      <c r="W203" s="110" t="inlineStr">
        <is>
          <t>PC em analise</t>
        </is>
      </c>
      <c r="X203" s="110" t="inlineStr">
        <is>
          <t>Pedido de Compra</t>
        </is>
      </c>
      <c r="Y203" s="111" t="inlineStr">
        <is>
          <t>Impacto Potencial</t>
        </is>
      </c>
      <c r="Z203" s="111" t="inlineStr">
        <is>
          <t>PC</t>
        </is>
      </c>
      <c r="AA203" s="111" t="inlineStr">
        <is>
          <t>Nao</t>
        </is>
      </c>
      <c r="AB203" s="111" t="inlineStr">
        <is>
          <t>NAO_COMPUTADO</t>
        </is>
      </c>
      <c r="AC203" s="112" t="inlineStr">
        <is>
          <t>Estrutura Fase 1: sem impacto no VTA oficial</t>
        </is>
      </c>
    </row>
    <row r="204" ht="25.5" customHeight="1" s="289">
      <c r="A204" s="205" t="n"/>
      <c r="B204" s="207" t="n"/>
      <c r="C204" s="104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348" t="n"/>
      <c r="E204" s="349">
        <f>IF(C204="","",IFERROR(VLOOKUP(C204,parametros!$A$11:$E$15,5,0),""))</f>
        <v/>
      </c>
      <c r="F204" s="335">
        <f>IF(OR(D204="",E204=""),"",ROUND(D204*E204,2))</f>
        <v/>
      </c>
      <c r="G204" s="106" t="n"/>
      <c r="H204" s="350">
        <f>IF(G204="Sim",IF(OR(F204="",D204="",L204=""),"",IF(L204="Sim",ROUND(F204-D204,2),0)),0)</f>
        <v/>
      </c>
      <c r="I204" s="350">
        <f>IF(G204="Sim",0,IF(OR(F204="",L204=""),"",F204))</f>
        <v/>
      </c>
      <c r="J204" s="350">
        <f>IF(G204="Sim",0,IF(OR(F204="",D204="",L204=""),"",IF(L204="Sim",ROUND(F204-D204,2),0)))</f>
        <v/>
      </c>
      <c r="K204" s="97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27" t="n"/>
      <c r="V204" s="110" t="inlineStr">
        <is>
          <t>Nao</t>
        </is>
      </c>
      <c r="W204" s="110" t="inlineStr">
        <is>
          <t>PC em analise</t>
        </is>
      </c>
      <c r="X204" s="110" t="inlineStr">
        <is>
          <t>Pedido de Compra</t>
        </is>
      </c>
      <c r="Y204" s="111" t="inlineStr">
        <is>
          <t>Impacto Potencial</t>
        </is>
      </c>
      <c r="Z204" s="111" t="inlineStr">
        <is>
          <t>PC</t>
        </is>
      </c>
      <c r="AA204" s="111" t="inlineStr">
        <is>
          <t>Nao</t>
        </is>
      </c>
      <c r="AB204" s="111" t="inlineStr">
        <is>
          <t>NAO_COMPUTADO</t>
        </is>
      </c>
      <c r="AC204" s="112" t="inlineStr">
        <is>
          <t>Estrutura Fase 1: sem impacto no VTA oficial</t>
        </is>
      </c>
    </row>
    <row r="205" ht="25.5" customHeight="1" s="289">
      <c r="A205" s="205" t="n"/>
      <c r="B205" s="207" t="n"/>
      <c r="C205" s="104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348" t="n"/>
      <c r="E205" s="349">
        <f>IF(C205="","",IFERROR(VLOOKUP(C205,parametros!$A$11:$E$15,5,0),""))</f>
        <v/>
      </c>
      <c r="F205" s="335">
        <f>IF(OR(D205="",E205=""),"",ROUND(D205*E205,2))</f>
        <v/>
      </c>
      <c r="G205" s="106" t="n"/>
      <c r="H205" s="350">
        <f>IF(G205="Sim",IF(OR(F205="",D205="",L205=""),"",IF(L205="Sim",ROUND(F205-D205,2),0)),0)</f>
        <v/>
      </c>
      <c r="I205" s="350">
        <f>IF(G205="Sim",0,IF(OR(F205="",L205=""),"",F205))</f>
        <v/>
      </c>
      <c r="J205" s="350">
        <f>IF(G205="Sim",0,IF(OR(F205="",D205="",L205=""),"",IF(L205="Sim",ROUND(F205-D205,2),0)))</f>
        <v/>
      </c>
      <c r="K205" s="97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27" t="n"/>
      <c r="V205" s="110" t="inlineStr">
        <is>
          <t>Nao</t>
        </is>
      </c>
      <c r="W205" s="110" t="inlineStr">
        <is>
          <t>PC em analise</t>
        </is>
      </c>
      <c r="X205" s="110" t="inlineStr">
        <is>
          <t>Pedido de Compra</t>
        </is>
      </c>
      <c r="Y205" s="111" t="inlineStr">
        <is>
          <t>Impacto Potencial</t>
        </is>
      </c>
      <c r="Z205" s="111" t="inlineStr">
        <is>
          <t>PC</t>
        </is>
      </c>
      <c r="AA205" s="111" t="inlineStr">
        <is>
          <t>Nao</t>
        </is>
      </c>
      <c r="AB205" s="111" t="inlineStr">
        <is>
          <t>NAO_COMPUTADO</t>
        </is>
      </c>
      <c r="AC205" s="112" t="inlineStr">
        <is>
          <t>Estrutura Fase 1: sem impacto no VTA oficial</t>
        </is>
      </c>
    </row>
    <row r="206" ht="25.5" customHeight="1" s="289">
      <c r="A206" s="205" t="n"/>
      <c r="B206" s="207" t="n"/>
      <c r="C206" s="104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348" t="n"/>
      <c r="E206" s="349">
        <f>IF(C206="","",IFERROR(VLOOKUP(C206,parametros!$A$11:$E$15,5,0),""))</f>
        <v/>
      </c>
      <c r="F206" s="335">
        <f>IF(OR(D206="",E206=""),"",ROUND(D206*E206,2))</f>
        <v/>
      </c>
      <c r="G206" s="106" t="n"/>
      <c r="H206" s="350">
        <f>IF(G206="Sim",IF(OR(F206="",D206="",L206=""),"",IF(L206="Sim",ROUND(F206-D206,2),0)),0)</f>
        <v/>
      </c>
      <c r="I206" s="350">
        <f>IF(G206="Sim",0,IF(OR(F206="",L206=""),"",F206))</f>
        <v/>
      </c>
      <c r="J206" s="350">
        <f>IF(G206="Sim",0,IF(OR(F206="",D206="",L206=""),"",IF(L206="Sim",ROUND(F206-D206,2),0)))</f>
        <v/>
      </c>
      <c r="K206" s="97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27" t="n"/>
      <c r="V206" s="110" t="inlineStr">
        <is>
          <t>Nao</t>
        </is>
      </c>
      <c r="W206" s="110" t="inlineStr">
        <is>
          <t>PC em analise</t>
        </is>
      </c>
      <c r="X206" s="110" t="inlineStr">
        <is>
          <t>Pedido de Compra</t>
        </is>
      </c>
      <c r="Y206" s="111" t="inlineStr">
        <is>
          <t>Impacto Potencial</t>
        </is>
      </c>
      <c r="Z206" s="111" t="inlineStr">
        <is>
          <t>PC</t>
        </is>
      </c>
      <c r="AA206" s="111" t="inlineStr">
        <is>
          <t>Nao</t>
        </is>
      </c>
      <c r="AB206" s="111" t="inlineStr">
        <is>
          <t>NAO_COMPUTADO</t>
        </is>
      </c>
      <c r="AC206" s="112" t="inlineStr">
        <is>
          <t>Estrutura Fase 1: sem impacto no VTA oficial</t>
        </is>
      </c>
    </row>
    <row r="207" ht="25.5" customHeight="1" s="289">
      <c r="A207" s="205" t="n"/>
      <c r="B207" s="207" t="n"/>
      <c r="C207" s="104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348" t="n"/>
      <c r="E207" s="349">
        <f>IF(C207="","",IFERROR(VLOOKUP(C207,parametros!$A$11:$E$15,5,0),""))</f>
        <v/>
      </c>
      <c r="F207" s="335">
        <f>IF(OR(D207="",E207=""),"",ROUND(D207*E207,2))</f>
        <v/>
      </c>
      <c r="G207" s="106" t="n"/>
      <c r="H207" s="350">
        <f>IF(G207="Sim",IF(OR(F207="",D207="",L207=""),"",IF(L207="Sim",ROUND(F207-D207,2),0)),0)</f>
        <v/>
      </c>
      <c r="I207" s="350">
        <f>IF(G207="Sim",0,IF(OR(F207="",L207=""),"",F207))</f>
        <v/>
      </c>
      <c r="J207" s="350">
        <f>IF(G207="Sim",0,IF(OR(F207="",D207="",L207=""),"",IF(L207="Sim",ROUND(F207-D207,2),0)))</f>
        <v/>
      </c>
      <c r="K207" s="97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27" t="n"/>
      <c r="V207" s="110" t="inlineStr">
        <is>
          <t>Nao</t>
        </is>
      </c>
      <c r="W207" s="110" t="inlineStr">
        <is>
          <t>PC em analise</t>
        </is>
      </c>
      <c r="X207" s="110" t="inlineStr">
        <is>
          <t>Pedido de Compra</t>
        </is>
      </c>
      <c r="Y207" s="111" t="inlineStr">
        <is>
          <t>Impacto Potencial</t>
        </is>
      </c>
      <c r="Z207" s="111" t="inlineStr">
        <is>
          <t>PC</t>
        </is>
      </c>
      <c r="AA207" s="111" t="inlineStr">
        <is>
          <t>Nao</t>
        </is>
      </c>
      <c r="AB207" s="111" t="inlineStr">
        <is>
          <t>NAO_COMPUTADO</t>
        </is>
      </c>
      <c r="AC207" s="112" t="inlineStr">
        <is>
          <t>Estrutura Fase 1: sem impacto no VTA oficial</t>
        </is>
      </c>
    </row>
    <row r="208" ht="25.5" customHeight="1" s="289">
      <c r="A208" s="205" t="n"/>
      <c r="B208" s="207" t="n"/>
      <c r="C208" s="104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348" t="n"/>
      <c r="E208" s="349">
        <f>IF(C208="","",IFERROR(VLOOKUP(C208,parametros!$A$11:$E$15,5,0),""))</f>
        <v/>
      </c>
      <c r="F208" s="335">
        <f>IF(OR(D208="",E208=""),"",ROUND(D208*E208,2))</f>
        <v/>
      </c>
      <c r="G208" s="106" t="n"/>
      <c r="H208" s="350">
        <f>IF(G208="Sim",IF(OR(F208="",D208="",L208=""),"",IF(L208="Sim",ROUND(F208-D208,2),0)),0)</f>
        <v/>
      </c>
      <c r="I208" s="350">
        <f>IF(G208="Sim",0,IF(OR(F208="",L208=""),"",F208))</f>
        <v/>
      </c>
      <c r="J208" s="350">
        <f>IF(G208="Sim",0,IF(OR(F208="",D208="",L208=""),"",IF(L208="Sim",ROUND(F208-D208,2),0)))</f>
        <v/>
      </c>
      <c r="K208" s="97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27" t="n"/>
      <c r="V208" s="110" t="inlineStr">
        <is>
          <t>Nao</t>
        </is>
      </c>
      <c r="W208" s="110" t="inlineStr">
        <is>
          <t>PC em analise</t>
        </is>
      </c>
      <c r="X208" s="110" t="inlineStr">
        <is>
          <t>Pedido de Compra</t>
        </is>
      </c>
      <c r="Y208" s="111" t="inlineStr">
        <is>
          <t>Impacto Potencial</t>
        </is>
      </c>
      <c r="Z208" s="111" t="inlineStr">
        <is>
          <t>PC</t>
        </is>
      </c>
      <c r="AA208" s="111" t="inlineStr">
        <is>
          <t>Nao</t>
        </is>
      </c>
      <c r="AB208" s="111" t="inlineStr">
        <is>
          <t>NAO_COMPUTADO</t>
        </is>
      </c>
      <c r="AC208" s="112" t="inlineStr">
        <is>
          <t>Estrutura Fase 1: sem impacto no VTA oficial</t>
        </is>
      </c>
    </row>
    <row r="209" ht="25.5" customHeight="1" s="289">
      <c r="A209" s="205" t="n"/>
      <c r="B209" s="207" t="n"/>
      <c r="C209" s="104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348" t="n"/>
      <c r="E209" s="349">
        <f>IF(C209="","",IFERROR(VLOOKUP(C209,parametros!$A$11:$E$15,5,0),""))</f>
        <v/>
      </c>
      <c r="F209" s="335">
        <f>IF(OR(D209="",E209=""),"",ROUND(D209*E209,2))</f>
        <v/>
      </c>
      <c r="G209" s="106" t="n"/>
      <c r="H209" s="350">
        <f>IF(G209="Sim",IF(OR(F209="",D209="",L209=""),"",IF(L209="Sim",ROUND(F209-D209,2),0)),0)</f>
        <v/>
      </c>
      <c r="I209" s="350">
        <f>IF(G209="Sim",0,IF(OR(F209="",L209=""),"",F209))</f>
        <v/>
      </c>
      <c r="J209" s="350">
        <f>IF(G209="Sim",0,IF(OR(F209="",D209="",L209=""),"",IF(L209="Sim",ROUND(F209-D209,2),0)))</f>
        <v/>
      </c>
      <c r="K209" s="97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27" t="n"/>
      <c r="V209" s="110" t="inlineStr">
        <is>
          <t>Nao</t>
        </is>
      </c>
      <c r="W209" s="110" t="inlineStr">
        <is>
          <t>PC em analise</t>
        </is>
      </c>
      <c r="X209" s="110" t="inlineStr">
        <is>
          <t>Pedido de Compra</t>
        </is>
      </c>
      <c r="Y209" s="111" t="inlineStr">
        <is>
          <t>Impacto Potencial</t>
        </is>
      </c>
      <c r="Z209" s="111" t="inlineStr">
        <is>
          <t>PC</t>
        </is>
      </c>
      <c r="AA209" s="111" t="inlineStr">
        <is>
          <t>Nao</t>
        </is>
      </c>
      <c r="AB209" s="111" t="inlineStr">
        <is>
          <t>NAO_COMPUTADO</t>
        </is>
      </c>
      <c r="AC209" s="112" t="inlineStr">
        <is>
          <t>Estrutura Fase 1: sem impacto no VTA oficial</t>
        </is>
      </c>
    </row>
    <row r="210" ht="25.5" customHeight="1" s="289">
      <c r="A210" s="205" t="n"/>
      <c r="B210" s="207" t="n"/>
      <c r="C210" s="104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348" t="n"/>
      <c r="E210" s="349">
        <f>IF(C210="","",IFERROR(VLOOKUP(C210,parametros!$A$11:$E$15,5,0),""))</f>
        <v/>
      </c>
      <c r="F210" s="335">
        <f>IF(OR(D210="",E210=""),"",ROUND(D210*E210,2))</f>
        <v/>
      </c>
      <c r="G210" s="106" t="n"/>
      <c r="H210" s="350">
        <f>IF(G210="Sim",IF(OR(F210="",D210="",L210=""),"",IF(L210="Sim",ROUND(F210-D210,2),0)),0)</f>
        <v/>
      </c>
      <c r="I210" s="350">
        <f>IF(G210="Sim",0,IF(OR(F210="",L210=""),"",F210))</f>
        <v/>
      </c>
      <c r="J210" s="350">
        <f>IF(G210="Sim",0,IF(OR(F210="",D210="",L210=""),"",IF(L210="Sim",ROUND(F210-D210,2),0)))</f>
        <v/>
      </c>
      <c r="K210" s="97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27" t="n"/>
      <c r="V210" s="110" t="inlineStr">
        <is>
          <t>Nao</t>
        </is>
      </c>
      <c r="W210" s="110" t="inlineStr">
        <is>
          <t>PC em analise</t>
        </is>
      </c>
      <c r="X210" s="110" t="inlineStr">
        <is>
          <t>Pedido de Compra</t>
        </is>
      </c>
      <c r="Y210" s="111" t="inlineStr">
        <is>
          <t>Impacto Potencial</t>
        </is>
      </c>
      <c r="Z210" s="111" t="inlineStr">
        <is>
          <t>PC</t>
        </is>
      </c>
      <c r="AA210" s="111" t="inlineStr">
        <is>
          <t>Nao</t>
        </is>
      </c>
      <c r="AB210" s="111" t="inlineStr">
        <is>
          <t>NAO_COMPUTADO</t>
        </is>
      </c>
      <c r="AC210" s="112" t="inlineStr">
        <is>
          <t>Estrutura Fase 1: sem impacto no VTA oficial</t>
        </is>
      </c>
    </row>
    <row r="211" ht="25.5" customHeight="1" s="289">
      <c r="A211" s="205" t="n"/>
      <c r="B211" s="207" t="n"/>
      <c r="C211" s="104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348" t="n"/>
      <c r="E211" s="349">
        <f>IF(C211="","",IFERROR(VLOOKUP(C211,parametros!$A$11:$E$15,5,0),""))</f>
        <v/>
      </c>
      <c r="F211" s="335">
        <f>IF(OR(D211="",E211=""),"",ROUND(D211*E211,2))</f>
        <v/>
      </c>
      <c r="G211" s="106" t="n"/>
      <c r="H211" s="350">
        <f>IF(G211="Sim",IF(OR(F211="",D211="",L211=""),"",IF(L211="Sim",ROUND(F211-D211,2),0)),0)</f>
        <v/>
      </c>
      <c r="I211" s="350">
        <f>IF(G211="Sim",0,IF(OR(F211="",L211=""),"",F211))</f>
        <v/>
      </c>
      <c r="J211" s="350">
        <f>IF(G211="Sim",0,IF(OR(F211="",D211="",L211=""),"",IF(L211="Sim",ROUND(F211-D211,2),0)))</f>
        <v/>
      </c>
      <c r="K211" s="97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inlineStr">
        <is>
          <t>Nao</t>
        </is>
      </c>
      <c r="W211" s="110" t="inlineStr">
        <is>
          <t>PC em analise</t>
        </is>
      </c>
      <c r="X211" s="110" t="inlineStr">
        <is>
          <t>Pedido de Compra</t>
        </is>
      </c>
      <c r="Y211" s="111" t="inlineStr">
        <is>
          <t>Impacto Potencial</t>
        </is>
      </c>
      <c r="Z211" s="111" t="inlineStr">
        <is>
          <t>PC</t>
        </is>
      </c>
      <c r="AA211" s="111" t="inlineStr">
        <is>
          <t>Nao</t>
        </is>
      </c>
      <c r="AB211" s="111" t="inlineStr">
        <is>
          <t>NAO_COMPUTADO</t>
        </is>
      </c>
      <c r="AC211" s="112" t="inlineStr">
        <is>
          <t>Estrutura Fase 1: sem impacto no VTA oficial</t>
        </is>
      </c>
    </row>
    <row r="212" ht="25.5" customHeight="1" s="289">
      <c r="A212" s="205" t="n"/>
      <c r="B212" s="207" t="n"/>
      <c r="C212" s="104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348" t="n"/>
      <c r="E212" s="349">
        <f>IF(C212="","",IFERROR(VLOOKUP(C212,parametros!$A$11:$E$15,5,0),""))</f>
        <v/>
      </c>
      <c r="F212" s="335">
        <f>IF(OR(D212="",E212=""),"",ROUND(D212*E212,2))</f>
        <v/>
      </c>
      <c r="G212" s="106" t="n"/>
      <c r="H212" s="350">
        <f>IF(G212="Sim",IF(OR(F212="",D212="",L212=""),"",IF(L212="Sim",ROUND(F212-D212,2),0)),0)</f>
        <v/>
      </c>
      <c r="I212" s="350">
        <f>IF(G212="Sim",0,IF(OR(F212="",L212=""),"",F212))</f>
        <v/>
      </c>
      <c r="J212" s="350">
        <f>IF(G212="Sim",0,IF(OR(F212="",D212="",L212=""),"",IF(L212="Sim",ROUND(F212-D212,2),0)))</f>
        <v/>
      </c>
      <c r="K212" s="97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inlineStr">
        <is>
          <t>Nao</t>
        </is>
      </c>
      <c r="W212" s="110" t="inlineStr">
        <is>
          <t>PC em analise</t>
        </is>
      </c>
      <c r="X212" s="110" t="inlineStr">
        <is>
          <t>Pedido de Compra</t>
        </is>
      </c>
      <c r="Y212" s="111" t="inlineStr">
        <is>
          <t>Impacto Potencial</t>
        </is>
      </c>
      <c r="Z212" s="111" t="inlineStr">
        <is>
          <t>PC</t>
        </is>
      </c>
      <c r="AA212" s="111" t="inlineStr">
        <is>
          <t>Nao</t>
        </is>
      </c>
      <c r="AB212" s="111" t="inlineStr">
        <is>
          <t>NAO_COMPUTADO</t>
        </is>
      </c>
      <c r="AC212" s="112" t="inlineStr">
        <is>
          <t>Estrutura Fase 1: sem impacto no VTA oficial</t>
        </is>
      </c>
    </row>
    <row r="213" ht="25.5" customHeight="1" s="289">
      <c r="A213" s="205" t="n"/>
      <c r="B213" s="207" t="n"/>
      <c r="C213" s="104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348" t="n"/>
      <c r="E213" s="349">
        <f>IF(C213="","",IFERROR(VLOOKUP(C213,parametros!$A$11:$E$15,5,0),""))</f>
        <v/>
      </c>
      <c r="F213" s="335">
        <f>IF(OR(D213="",E213=""),"",ROUND(D213*E213,2))</f>
        <v/>
      </c>
      <c r="G213" s="106" t="n"/>
      <c r="H213" s="350">
        <f>IF(G213="Sim",IF(OR(F213="",D213="",L213=""),"",IF(L213="Sim",ROUND(F213-D213,2),0)),0)</f>
        <v/>
      </c>
      <c r="I213" s="350">
        <f>IF(G213="Sim",0,IF(OR(F213="",L213=""),"",F213))</f>
        <v/>
      </c>
      <c r="J213" s="350">
        <f>IF(G213="Sim",0,IF(OR(F213="",D213="",L213=""),"",IF(L213="Sim",ROUND(F213-D213,2),0)))</f>
        <v/>
      </c>
      <c r="K213" s="97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inlineStr">
        <is>
          <t>Nao</t>
        </is>
      </c>
      <c r="W213" s="110" t="inlineStr">
        <is>
          <t>PC em analise</t>
        </is>
      </c>
      <c r="X213" s="110" t="inlineStr">
        <is>
          <t>Pedido de Compra</t>
        </is>
      </c>
      <c r="Y213" s="111" t="inlineStr">
        <is>
          <t>Impacto Potencial</t>
        </is>
      </c>
      <c r="Z213" s="111" t="inlineStr">
        <is>
          <t>PC</t>
        </is>
      </c>
      <c r="AA213" s="111" t="inlineStr">
        <is>
          <t>Nao</t>
        </is>
      </c>
      <c r="AB213" s="111" t="inlineStr">
        <is>
          <t>NAO_COMPUTADO</t>
        </is>
      </c>
      <c r="AC213" s="112" t="inlineStr">
        <is>
          <t>Estrutura Fase 1: sem impacto no VTA oficial</t>
        </is>
      </c>
    </row>
    <row r="214" ht="25.5" customHeight="1" s="289">
      <c r="A214" s="205" t="n"/>
      <c r="B214" s="207" t="n"/>
      <c r="C214" s="104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348" t="n"/>
      <c r="E214" s="349">
        <f>IF(C214="","",IFERROR(VLOOKUP(C214,parametros!$A$11:$E$15,5,0),""))</f>
        <v/>
      </c>
      <c r="F214" s="335">
        <f>IF(OR(D214="",E214=""),"",ROUND(D214*E214,2))</f>
        <v/>
      </c>
      <c r="G214" s="106" t="n"/>
      <c r="H214" s="350">
        <f>IF(G214="Sim",IF(OR(F214="",D214="",L214=""),"",IF(L214="Sim",ROUND(F214-D214,2),0)),0)</f>
        <v/>
      </c>
      <c r="I214" s="350">
        <f>IF(G214="Sim",0,IF(OR(F214="",L214=""),"",F214))</f>
        <v/>
      </c>
      <c r="J214" s="350">
        <f>IF(G214="Sim",0,IF(OR(F214="",D214="",L214=""),"",IF(L214="Sim",ROUND(F214-D214,2),0)))</f>
        <v/>
      </c>
      <c r="K214" s="97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inlineStr">
        <is>
          <t>Nao</t>
        </is>
      </c>
      <c r="W214" s="110" t="inlineStr">
        <is>
          <t>PC em analise</t>
        </is>
      </c>
      <c r="X214" s="110" t="inlineStr">
        <is>
          <t>Pedido de Compra</t>
        </is>
      </c>
      <c r="Y214" s="111" t="inlineStr">
        <is>
          <t>Impacto Potencial</t>
        </is>
      </c>
      <c r="Z214" s="111" t="inlineStr">
        <is>
          <t>PC</t>
        </is>
      </c>
      <c r="AA214" s="111" t="inlineStr">
        <is>
          <t>Nao</t>
        </is>
      </c>
      <c r="AB214" s="111" t="inlineStr">
        <is>
          <t>NAO_COMPUTADO</t>
        </is>
      </c>
      <c r="AC214" s="112" t="inlineStr">
        <is>
          <t>Estrutura Fase 1: sem impacto no VTA oficial</t>
        </is>
      </c>
    </row>
    <row r="215" ht="25.5" customHeight="1" s="289">
      <c r="A215" s="205" t="n"/>
      <c r="B215" s="207" t="n"/>
      <c r="C215" s="104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348" t="n"/>
      <c r="E215" s="349">
        <f>IF(C215="","",IFERROR(VLOOKUP(C215,parametros!$A$11:$E$15,5,0),""))</f>
        <v/>
      </c>
      <c r="F215" s="335">
        <f>IF(OR(D215="",E215=""),"",ROUND(D215*E215,2))</f>
        <v/>
      </c>
      <c r="G215" s="106" t="n"/>
      <c r="H215" s="350">
        <f>IF(G215="Sim",IF(OR(F215="",D215="",L215=""),"",IF(L215="Sim",ROUND(F215-D215,2),0)),0)</f>
        <v/>
      </c>
      <c r="I215" s="350">
        <f>IF(G215="Sim",0,IF(OR(F215="",L215=""),"",F215))</f>
        <v/>
      </c>
      <c r="J215" s="350">
        <f>IF(G215="Sim",0,IF(OR(F215="",D215="",L215=""),"",IF(L215="Sim",ROUND(F215-D215,2),0)))</f>
        <v/>
      </c>
      <c r="K215" s="97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inlineStr">
        <is>
          <t>Nao</t>
        </is>
      </c>
      <c r="W215" s="110" t="inlineStr">
        <is>
          <t>PC em analise</t>
        </is>
      </c>
      <c r="X215" s="110" t="inlineStr">
        <is>
          <t>Pedido de Compra</t>
        </is>
      </c>
      <c r="Y215" s="111" t="inlineStr">
        <is>
          <t>Impacto Potencial</t>
        </is>
      </c>
      <c r="Z215" s="111" t="inlineStr">
        <is>
          <t>PC</t>
        </is>
      </c>
      <c r="AA215" s="111" t="inlineStr">
        <is>
          <t>Nao</t>
        </is>
      </c>
      <c r="AB215" s="111" t="inlineStr">
        <is>
          <t>NAO_COMPUTADO</t>
        </is>
      </c>
      <c r="AC215" s="112" t="inlineStr">
        <is>
          <t>Estrutura Fase 1: sem impacto no VTA oficial</t>
        </is>
      </c>
    </row>
    <row r="216" ht="25.5" customHeight="1" s="289">
      <c r="A216" s="205" t="n"/>
      <c r="B216" s="207" t="n"/>
      <c r="C216" s="104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348" t="n"/>
      <c r="E216" s="349">
        <f>IF(C216="","",IFERROR(VLOOKUP(C216,parametros!$A$11:$E$15,5,0),""))</f>
        <v/>
      </c>
      <c r="F216" s="335">
        <f>IF(OR(D216="",E216=""),"",ROUND(D216*E216,2))</f>
        <v/>
      </c>
      <c r="G216" s="106" t="n"/>
      <c r="H216" s="350">
        <f>IF(G216="Sim",IF(OR(F216="",D216="",L216=""),"",IF(L216="Sim",ROUND(F216-D216,2),0)),0)</f>
        <v/>
      </c>
      <c r="I216" s="350">
        <f>IF(G216="Sim",0,IF(OR(F216="",L216=""),"",F216))</f>
        <v/>
      </c>
      <c r="J216" s="350">
        <f>IF(G216="Sim",0,IF(OR(F216="",D216="",L216=""),"",IF(L216="Sim",ROUND(F216-D216,2),0)))</f>
        <v/>
      </c>
      <c r="K216" s="97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inlineStr">
        <is>
          <t>Nao</t>
        </is>
      </c>
      <c r="W216" s="110" t="inlineStr">
        <is>
          <t>PC em analise</t>
        </is>
      </c>
      <c r="X216" s="110" t="inlineStr">
        <is>
          <t>Pedido de Compra</t>
        </is>
      </c>
      <c r="Y216" s="111" t="inlineStr">
        <is>
          <t>Impacto Potencial</t>
        </is>
      </c>
      <c r="Z216" s="111" t="inlineStr">
        <is>
          <t>PC</t>
        </is>
      </c>
      <c r="AA216" s="111" t="inlineStr">
        <is>
          <t>Nao</t>
        </is>
      </c>
      <c r="AB216" s="111" t="inlineStr">
        <is>
          <t>NAO_COMPUTADO</t>
        </is>
      </c>
      <c r="AC216" s="112" t="inlineStr">
        <is>
          <t>Estrutura Fase 1: sem impacto no VTA oficial</t>
        </is>
      </c>
    </row>
    <row r="217" ht="25.5" customHeight="1" s="289">
      <c r="A217" s="205" t="n"/>
      <c r="B217" s="207" t="n"/>
      <c r="C217" s="104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348" t="n"/>
      <c r="E217" s="349">
        <f>IF(C217="","",IFERROR(VLOOKUP(C217,parametros!$A$11:$E$15,5,0),""))</f>
        <v/>
      </c>
      <c r="F217" s="335">
        <f>IF(OR(D217="",E217=""),"",ROUND(D217*E217,2))</f>
        <v/>
      </c>
      <c r="G217" s="106" t="n"/>
      <c r="H217" s="350">
        <f>IF(G217="Sim",IF(OR(F217="",D217="",L217=""),"",IF(L217="Sim",ROUND(F217-D217,2),0)),0)</f>
        <v/>
      </c>
      <c r="I217" s="350">
        <f>IF(G217="Sim",0,IF(OR(F217="",L217=""),"",F217))</f>
        <v/>
      </c>
      <c r="J217" s="350">
        <f>IF(G217="Sim",0,IF(OR(F217="",D217="",L217=""),"",IF(L217="Sim",ROUND(F217-D217,2),0)))</f>
        <v/>
      </c>
      <c r="K217" s="97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inlineStr">
        <is>
          <t>Nao</t>
        </is>
      </c>
      <c r="W217" s="110" t="inlineStr">
        <is>
          <t>PC em analise</t>
        </is>
      </c>
      <c r="X217" s="110" t="inlineStr">
        <is>
          <t>Pedido de Compra</t>
        </is>
      </c>
      <c r="Y217" s="111" t="inlineStr">
        <is>
          <t>Impacto Potencial</t>
        </is>
      </c>
      <c r="Z217" s="111" t="inlineStr">
        <is>
          <t>PC</t>
        </is>
      </c>
      <c r="AA217" s="111" t="inlineStr">
        <is>
          <t>Nao</t>
        </is>
      </c>
      <c r="AB217" s="111" t="inlineStr">
        <is>
          <t>NAO_COMPUTADO</t>
        </is>
      </c>
      <c r="AC217" s="112" t="inlineStr">
        <is>
          <t>Estrutura Fase 1: sem impacto no VTA oficial</t>
        </is>
      </c>
    </row>
    <row r="218" ht="25.5" customHeight="1" s="289">
      <c r="A218" s="205" t="n"/>
      <c r="B218" s="207" t="n"/>
      <c r="C218" s="104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348" t="n"/>
      <c r="E218" s="349">
        <f>IF(C218="","",IFERROR(VLOOKUP(C218,parametros!$A$11:$E$15,5,0),""))</f>
        <v/>
      </c>
      <c r="F218" s="335">
        <f>IF(OR(D218="",E218=""),"",ROUND(D218*E218,2))</f>
        <v/>
      </c>
      <c r="G218" s="106" t="n"/>
      <c r="H218" s="350">
        <f>IF(G218="Sim",IF(OR(F218="",D218="",L218=""),"",IF(L218="Sim",ROUND(F218-D218,2),0)),0)</f>
        <v/>
      </c>
      <c r="I218" s="350">
        <f>IF(G218="Sim",0,IF(OR(F218="",L218=""),"",F218))</f>
        <v/>
      </c>
      <c r="J218" s="350">
        <f>IF(G218="Sim",0,IF(OR(F218="",D218="",L218=""),"",IF(L218="Sim",ROUND(F218-D218,2),0)))</f>
        <v/>
      </c>
      <c r="K218" s="97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inlineStr">
        <is>
          <t>Nao</t>
        </is>
      </c>
      <c r="W218" s="110" t="inlineStr">
        <is>
          <t>PC em analise</t>
        </is>
      </c>
      <c r="X218" s="110" t="inlineStr">
        <is>
          <t>Pedido de Compra</t>
        </is>
      </c>
      <c r="Y218" s="111" t="inlineStr">
        <is>
          <t>Impacto Potencial</t>
        </is>
      </c>
      <c r="Z218" s="111" t="inlineStr">
        <is>
          <t>PC</t>
        </is>
      </c>
      <c r="AA218" s="111" t="inlineStr">
        <is>
          <t>Nao</t>
        </is>
      </c>
      <c r="AB218" s="111" t="inlineStr">
        <is>
          <t>NAO_COMPUTADO</t>
        </is>
      </c>
      <c r="AC218" s="112" t="inlineStr">
        <is>
          <t>Estrutura Fase 1: sem impacto no VTA oficial</t>
        </is>
      </c>
    </row>
    <row r="219" ht="25.5" customHeight="1" s="289">
      <c r="A219" s="205" t="n"/>
      <c r="B219" s="207" t="n"/>
      <c r="C219" s="104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348" t="n"/>
      <c r="E219" s="349">
        <f>IF(C219="","",IFERROR(VLOOKUP(C219,parametros!$A$11:$E$15,5,0),""))</f>
        <v/>
      </c>
      <c r="F219" s="335">
        <f>IF(OR(D219="",E219=""),"",ROUND(D219*E219,2))</f>
        <v/>
      </c>
      <c r="G219" s="106" t="n"/>
      <c r="H219" s="350">
        <f>IF(G219="Sim",IF(OR(F219="",D219="",L219=""),"",IF(L219="Sim",ROUND(F219-D219,2),0)),0)</f>
        <v/>
      </c>
      <c r="I219" s="350">
        <f>IF(G219="Sim",0,IF(OR(F219="",L219=""),"",F219))</f>
        <v/>
      </c>
      <c r="J219" s="350">
        <f>IF(G219="Sim",0,IF(OR(F219="",D219="",L219=""),"",IF(L219="Sim",ROUND(F219-D219,2),0)))</f>
        <v/>
      </c>
      <c r="K219" s="97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inlineStr">
        <is>
          <t>Nao</t>
        </is>
      </c>
      <c r="W219" s="110" t="inlineStr">
        <is>
          <t>PC em analise</t>
        </is>
      </c>
      <c r="X219" s="110" t="inlineStr">
        <is>
          <t>Pedido de Compra</t>
        </is>
      </c>
      <c r="Y219" s="111" t="inlineStr">
        <is>
          <t>Impacto Potencial</t>
        </is>
      </c>
      <c r="Z219" s="111" t="inlineStr">
        <is>
          <t>PC</t>
        </is>
      </c>
      <c r="AA219" s="111" t="inlineStr">
        <is>
          <t>Nao</t>
        </is>
      </c>
      <c r="AB219" s="111" t="inlineStr">
        <is>
          <t>NAO_COMPUTADO</t>
        </is>
      </c>
      <c r="AC219" s="112" t="inlineStr">
        <is>
          <t>Estrutura Fase 1: sem impacto no VTA oficial</t>
        </is>
      </c>
    </row>
    <row r="220" ht="25.5" customHeight="1" s="289">
      <c r="A220" s="205" t="n"/>
      <c r="B220" s="207" t="n"/>
      <c r="C220" s="104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348" t="n"/>
      <c r="E220" s="349">
        <f>IF(C220="","",IFERROR(VLOOKUP(C220,parametros!$A$11:$E$15,5,0),""))</f>
        <v/>
      </c>
      <c r="F220" s="335">
        <f>IF(OR(D220="",E220=""),"",ROUND(D220*E220,2))</f>
        <v/>
      </c>
      <c r="G220" s="106" t="n"/>
      <c r="H220" s="350">
        <f>IF(G220="Sim",IF(OR(F220="",D220="",L220=""),"",IF(L220="Sim",ROUND(F220-D220,2),0)),0)</f>
        <v/>
      </c>
      <c r="I220" s="350">
        <f>IF(G220="Sim",0,IF(OR(F220="",L220=""),"",F220))</f>
        <v/>
      </c>
      <c r="J220" s="350">
        <f>IF(G220="Sim",0,IF(OR(F220="",D220="",L220=""),"",IF(L220="Sim",ROUND(F220-D220,2),0)))</f>
        <v/>
      </c>
      <c r="K220" s="97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inlineStr">
        <is>
          <t>Nao</t>
        </is>
      </c>
      <c r="W220" s="110" t="inlineStr">
        <is>
          <t>PC em analise</t>
        </is>
      </c>
      <c r="X220" s="110" t="inlineStr">
        <is>
          <t>Pedido de Compra</t>
        </is>
      </c>
      <c r="Y220" s="111" t="inlineStr">
        <is>
          <t>Impacto Potencial</t>
        </is>
      </c>
      <c r="Z220" s="111" t="inlineStr">
        <is>
          <t>PC</t>
        </is>
      </c>
      <c r="AA220" s="111" t="inlineStr">
        <is>
          <t>Nao</t>
        </is>
      </c>
      <c r="AB220" s="111" t="inlineStr">
        <is>
          <t>NAO_COMPUTADO</t>
        </is>
      </c>
      <c r="AC220" s="112" t="inlineStr">
        <is>
          <t>Estrutura Fase 1: sem impacto no VTA oficial</t>
        </is>
      </c>
    </row>
    <row r="221" ht="25.5" customHeight="1" s="289">
      <c r="A221" s="205" t="n"/>
      <c r="B221" s="207" t="n"/>
      <c r="C221" s="104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348" t="n"/>
      <c r="E221" s="349">
        <f>IF(C221="","",IFERROR(VLOOKUP(C221,parametros!$A$11:$E$15,5,0),""))</f>
        <v/>
      </c>
      <c r="F221" s="335">
        <f>IF(OR(D221="",E221=""),"",ROUND(D221*E221,2))</f>
        <v/>
      </c>
      <c r="G221" s="106" t="n"/>
      <c r="H221" s="350">
        <f>IF(G221="Sim",IF(OR(F221="",D221="",L221=""),"",IF(L221="Sim",ROUND(F221-D221,2),0)),0)</f>
        <v/>
      </c>
      <c r="I221" s="350">
        <f>IF(G221="Sim",0,IF(OR(F221="",L221=""),"",F221))</f>
        <v/>
      </c>
      <c r="J221" s="350">
        <f>IF(G221="Sim",0,IF(OR(F221="",D221="",L221=""),"",IF(L221="Sim",ROUND(F221-D221,2),0)))</f>
        <v/>
      </c>
      <c r="K221" s="97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inlineStr">
        <is>
          <t>Nao</t>
        </is>
      </c>
      <c r="W221" s="110" t="inlineStr">
        <is>
          <t>PC em analise</t>
        </is>
      </c>
      <c r="X221" s="110" t="inlineStr">
        <is>
          <t>Pedido de Compra</t>
        </is>
      </c>
      <c r="Y221" s="111" t="inlineStr">
        <is>
          <t>Impacto Potencial</t>
        </is>
      </c>
      <c r="Z221" s="111" t="inlineStr">
        <is>
          <t>PC</t>
        </is>
      </c>
      <c r="AA221" s="111" t="inlineStr">
        <is>
          <t>Nao</t>
        </is>
      </c>
      <c r="AB221" s="111" t="inlineStr">
        <is>
          <t>NAO_COMPUTADO</t>
        </is>
      </c>
      <c r="AC221" s="112" t="inlineStr">
        <is>
          <t>Estrutura Fase 1: sem impacto no VTA oficial</t>
        </is>
      </c>
    </row>
    <row r="222" ht="25.5" customHeight="1" s="289">
      <c r="A222" s="205" t="n"/>
      <c r="B222" s="207" t="n"/>
      <c r="C222" s="104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348" t="n"/>
      <c r="E222" s="349">
        <f>IF(C222="","",IFERROR(VLOOKUP(C222,parametros!$A$11:$E$15,5,0),""))</f>
        <v/>
      </c>
      <c r="F222" s="335">
        <f>IF(OR(D222="",E222=""),"",ROUND(D222*E222,2))</f>
        <v/>
      </c>
      <c r="G222" s="106" t="n"/>
      <c r="H222" s="350">
        <f>IF(G222="Sim",IF(OR(F222="",D222="",L222=""),"",IF(L222="Sim",ROUND(F222-D222,2),0)),0)</f>
        <v/>
      </c>
      <c r="I222" s="350">
        <f>IF(G222="Sim",0,IF(OR(F222="",L222=""),"",F222))</f>
        <v/>
      </c>
      <c r="J222" s="350">
        <f>IF(G222="Sim",0,IF(OR(F222="",D222="",L222=""),"",IF(L222="Sim",ROUND(F222-D222,2),0)))</f>
        <v/>
      </c>
      <c r="K222" s="97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inlineStr">
        <is>
          <t>Nao</t>
        </is>
      </c>
      <c r="W222" s="110" t="inlineStr">
        <is>
          <t>PC em analise</t>
        </is>
      </c>
      <c r="X222" s="110" t="inlineStr">
        <is>
          <t>Pedido de Compra</t>
        </is>
      </c>
      <c r="Y222" s="111" t="inlineStr">
        <is>
          <t>Impacto Potencial</t>
        </is>
      </c>
      <c r="Z222" s="111" t="inlineStr">
        <is>
          <t>PC</t>
        </is>
      </c>
      <c r="AA222" s="111" t="inlineStr">
        <is>
          <t>Nao</t>
        </is>
      </c>
      <c r="AB222" s="111" t="inlineStr">
        <is>
          <t>NAO_COMPUTADO</t>
        </is>
      </c>
      <c r="AC222" s="112" t="inlineStr">
        <is>
          <t>Estrutura Fase 1: sem impacto no VTA oficial</t>
        </is>
      </c>
    </row>
    <row r="223" ht="25.5" customHeight="1" s="289">
      <c r="A223" s="205" t="n"/>
      <c r="B223" s="207" t="n"/>
      <c r="C223" s="104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348" t="n"/>
      <c r="E223" s="349">
        <f>IF(C223="","",IFERROR(VLOOKUP(C223,parametros!$A$11:$E$15,5,0),""))</f>
        <v/>
      </c>
      <c r="F223" s="335">
        <f>IF(OR(D223="",E223=""),"",ROUND(D223*E223,2))</f>
        <v/>
      </c>
      <c r="G223" s="106" t="n"/>
      <c r="H223" s="350">
        <f>IF(G223="Sim",IF(OR(F223="",D223="",L223=""),"",IF(L223="Sim",ROUND(F223-D223,2),0)),0)</f>
        <v/>
      </c>
      <c r="I223" s="350">
        <f>IF(G223="Sim",0,IF(OR(F223="",L223=""),"",F223))</f>
        <v/>
      </c>
      <c r="J223" s="350">
        <f>IF(G223="Sim",0,IF(OR(F223="",D223="",L223=""),"",IF(L223="Sim",ROUND(F223-D223,2),0)))</f>
        <v/>
      </c>
      <c r="K223" s="97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inlineStr">
        <is>
          <t>Nao</t>
        </is>
      </c>
      <c r="W223" s="110" t="inlineStr">
        <is>
          <t>PC em analise</t>
        </is>
      </c>
      <c r="X223" s="110" t="inlineStr">
        <is>
          <t>Pedido de Compra</t>
        </is>
      </c>
      <c r="Y223" s="111" t="inlineStr">
        <is>
          <t>Impacto Potencial</t>
        </is>
      </c>
      <c r="Z223" s="111" t="inlineStr">
        <is>
          <t>PC</t>
        </is>
      </c>
      <c r="AA223" s="111" t="inlineStr">
        <is>
          <t>Nao</t>
        </is>
      </c>
      <c r="AB223" s="111" t="inlineStr">
        <is>
          <t>NAO_COMPUTADO</t>
        </is>
      </c>
      <c r="AC223" s="112" t="inlineStr">
        <is>
          <t>Estrutura Fase 1: sem impacto no VTA oficial</t>
        </is>
      </c>
    </row>
    <row r="224" ht="25.5" customHeight="1" s="289">
      <c r="A224" s="205" t="n"/>
      <c r="B224" s="207" t="n"/>
      <c r="C224" s="104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348" t="n"/>
      <c r="E224" s="349">
        <f>IF(C224="","",IFERROR(VLOOKUP(C224,parametros!$A$11:$E$15,5,0),""))</f>
        <v/>
      </c>
      <c r="F224" s="335">
        <f>IF(OR(D224="",E224=""),"",ROUND(D224*E224,2))</f>
        <v/>
      </c>
      <c r="G224" s="106" t="n"/>
      <c r="H224" s="350">
        <f>IF(G224="Sim",IF(OR(F224="",D224="",L224=""),"",IF(L224="Sim",ROUND(F224-D224,2),0)),0)</f>
        <v/>
      </c>
      <c r="I224" s="350">
        <f>IF(G224="Sim",0,IF(OR(F224="",L224=""),"",F224))</f>
        <v/>
      </c>
      <c r="J224" s="350">
        <f>IF(G224="Sim",0,IF(OR(F224="",D224="",L224=""),"",IF(L224="Sim",ROUND(F224-D224,2),0)))</f>
        <v/>
      </c>
      <c r="K224" s="97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inlineStr">
        <is>
          <t>Nao</t>
        </is>
      </c>
      <c r="W224" s="110" t="inlineStr">
        <is>
          <t>PC em analise</t>
        </is>
      </c>
      <c r="X224" s="110" t="inlineStr">
        <is>
          <t>Pedido de Compra</t>
        </is>
      </c>
      <c r="Y224" s="111" t="inlineStr">
        <is>
          <t>Impacto Potencial</t>
        </is>
      </c>
      <c r="Z224" s="111" t="inlineStr">
        <is>
          <t>PC</t>
        </is>
      </c>
      <c r="AA224" s="111" t="inlineStr">
        <is>
          <t>Nao</t>
        </is>
      </c>
      <c r="AB224" s="111" t="inlineStr">
        <is>
          <t>NAO_COMPUTADO</t>
        </is>
      </c>
      <c r="AC224" s="112" t="inlineStr">
        <is>
          <t>Estrutura Fase 1: sem impacto no VTA oficial</t>
        </is>
      </c>
    </row>
    <row r="225" ht="25.5" customHeight="1" s="289">
      <c r="A225" s="205" t="n"/>
      <c r="B225" s="207" t="n"/>
      <c r="C225" s="104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348" t="n"/>
      <c r="E225" s="349">
        <f>IF(C225="","",IFERROR(VLOOKUP(C225,parametros!$A$11:$E$15,5,0),""))</f>
        <v/>
      </c>
      <c r="F225" s="335">
        <f>IF(OR(D225="",E225=""),"",ROUND(D225*E225,2))</f>
        <v/>
      </c>
      <c r="G225" s="106" t="n"/>
      <c r="H225" s="350">
        <f>IF(G225="Sim",IF(OR(F225="",D225="",L225=""),"",IF(L225="Sim",ROUND(F225-D225,2),0)),0)</f>
        <v/>
      </c>
      <c r="I225" s="350">
        <f>IF(G225="Sim",0,IF(OR(F225="",L225=""),"",F225))</f>
        <v/>
      </c>
      <c r="J225" s="350">
        <f>IF(G225="Sim",0,IF(OR(F225="",D225="",L225=""),"",IF(L225="Sim",ROUND(F225-D225,2),0)))</f>
        <v/>
      </c>
      <c r="K225" s="97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inlineStr">
        <is>
          <t>Nao</t>
        </is>
      </c>
      <c r="W225" s="110" t="inlineStr">
        <is>
          <t>PC em analise</t>
        </is>
      </c>
      <c r="X225" s="110" t="inlineStr">
        <is>
          <t>Pedido de Compra</t>
        </is>
      </c>
      <c r="Y225" s="111" t="inlineStr">
        <is>
          <t>Impacto Potencial</t>
        </is>
      </c>
      <c r="Z225" s="111" t="inlineStr">
        <is>
          <t>PC</t>
        </is>
      </c>
      <c r="AA225" s="111" t="inlineStr">
        <is>
          <t>Nao</t>
        </is>
      </c>
      <c r="AB225" s="111" t="inlineStr">
        <is>
          <t>NAO_COMPUTADO</t>
        </is>
      </c>
      <c r="AC225" s="112" t="inlineStr">
        <is>
          <t>Estrutura Fase 1: sem impacto no VTA oficial</t>
        </is>
      </c>
    </row>
    <row r="226" ht="25.5" customHeight="1" s="289">
      <c r="A226" s="205" t="n"/>
      <c r="B226" s="207" t="n"/>
      <c r="C226" s="104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348" t="n"/>
      <c r="E226" s="349">
        <f>IF(C226="","",IFERROR(VLOOKUP(C226,parametros!$A$11:$E$15,5,0),""))</f>
        <v/>
      </c>
      <c r="F226" s="335">
        <f>IF(OR(D226="",E226=""),"",ROUND(D226*E226,2))</f>
        <v/>
      </c>
      <c r="G226" s="106" t="n"/>
      <c r="H226" s="350">
        <f>IF(G226="Sim",IF(OR(F226="",D226="",L226=""),"",IF(L226="Sim",ROUND(F226-D226,2),0)),0)</f>
        <v/>
      </c>
      <c r="I226" s="350">
        <f>IF(G226="Sim",0,IF(OR(F226="",L226=""),"",F226))</f>
        <v/>
      </c>
      <c r="J226" s="350">
        <f>IF(G226="Sim",0,IF(OR(F226="",D226="",L226=""),"",IF(L226="Sim",ROUND(F226-D226,2),0)))</f>
        <v/>
      </c>
      <c r="K226" s="97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inlineStr">
        <is>
          <t>Nao</t>
        </is>
      </c>
      <c r="W226" s="110" t="inlineStr">
        <is>
          <t>PC em analise</t>
        </is>
      </c>
      <c r="X226" s="110" t="inlineStr">
        <is>
          <t>Pedido de Compra</t>
        </is>
      </c>
      <c r="Y226" s="111" t="inlineStr">
        <is>
          <t>Impacto Potencial</t>
        </is>
      </c>
      <c r="Z226" s="111" t="inlineStr">
        <is>
          <t>PC</t>
        </is>
      </c>
      <c r="AA226" s="111" t="inlineStr">
        <is>
          <t>Nao</t>
        </is>
      </c>
      <c r="AB226" s="111" t="inlineStr">
        <is>
          <t>NAO_COMPUTADO</t>
        </is>
      </c>
      <c r="AC226" s="112" t="inlineStr">
        <is>
          <t>Estrutura Fase 1: sem impacto no VTA oficial</t>
        </is>
      </c>
    </row>
    <row r="227" ht="25.5" customHeight="1" s="289">
      <c r="A227" s="205" t="n"/>
      <c r="B227" s="207" t="n"/>
      <c r="C227" s="104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348" t="n"/>
      <c r="E227" s="349">
        <f>IF(C227="","",IFERROR(VLOOKUP(C227,parametros!$A$11:$E$15,5,0),""))</f>
        <v/>
      </c>
      <c r="F227" s="335">
        <f>IF(OR(D227="",E227=""),"",ROUND(D227*E227,2))</f>
        <v/>
      </c>
      <c r="G227" s="106" t="n"/>
      <c r="H227" s="350">
        <f>IF(G227="Sim",IF(OR(F227="",D227="",L227=""),"",IF(L227="Sim",ROUND(F227-D227,2),0)),0)</f>
        <v/>
      </c>
      <c r="I227" s="350">
        <f>IF(G227="Sim",0,IF(OR(F227="",L227=""),"",F227))</f>
        <v/>
      </c>
      <c r="J227" s="350">
        <f>IF(G227="Sim",0,IF(OR(F227="",D227="",L227=""),"",IF(L227="Sim",ROUND(F227-D227,2),0)))</f>
        <v/>
      </c>
      <c r="K227" s="97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inlineStr">
        <is>
          <t>Nao</t>
        </is>
      </c>
      <c r="W227" s="110" t="inlineStr">
        <is>
          <t>PC em analise</t>
        </is>
      </c>
      <c r="X227" s="110" t="inlineStr">
        <is>
          <t>Pedido de Compra</t>
        </is>
      </c>
      <c r="Y227" s="111" t="inlineStr">
        <is>
          <t>Impacto Potencial</t>
        </is>
      </c>
      <c r="Z227" s="111" t="inlineStr">
        <is>
          <t>PC</t>
        </is>
      </c>
      <c r="AA227" s="111" t="inlineStr">
        <is>
          <t>Nao</t>
        </is>
      </c>
      <c r="AB227" s="111" t="inlineStr">
        <is>
          <t>NAO_COMPUTADO</t>
        </is>
      </c>
      <c r="AC227" s="112" t="inlineStr">
        <is>
          <t>Estrutura Fase 1: sem impacto no VTA oficial</t>
        </is>
      </c>
    </row>
    <row r="228" ht="25.5" customHeight="1" s="289">
      <c r="A228" s="205" t="n"/>
      <c r="B228" s="207" t="n"/>
      <c r="C228" s="104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348" t="n"/>
      <c r="E228" s="349">
        <f>IF(C228="","",IFERROR(VLOOKUP(C228,parametros!$A$11:$E$15,5,0),""))</f>
        <v/>
      </c>
      <c r="F228" s="335">
        <f>IF(OR(D228="",E228=""),"",ROUND(D228*E228,2))</f>
        <v/>
      </c>
      <c r="G228" s="106" t="n"/>
      <c r="H228" s="350">
        <f>IF(G228="Sim",IF(OR(F228="",D228="",L228=""),"",IF(L228="Sim",ROUND(F228-D228,2),0)),0)</f>
        <v/>
      </c>
      <c r="I228" s="350">
        <f>IF(G228="Sim",0,IF(OR(F228="",L228=""),"",F228))</f>
        <v/>
      </c>
      <c r="J228" s="350">
        <f>IF(G228="Sim",0,IF(OR(F228="",D228="",L228=""),"",IF(L228="Sim",ROUND(F228-D228,2),0)))</f>
        <v/>
      </c>
      <c r="K228" s="97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inlineStr">
        <is>
          <t>Nao</t>
        </is>
      </c>
      <c r="W228" s="110" t="inlineStr">
        <is>
          <t>PC em analise</t>
        </is>
      </c>
      <c r="X228" s="110" t="inlineStr">
        <is>
          <t>Pedido de Compra</t>
        </is>
      </c>
      <c r="Y228" s="111" t="inlineStr">
        <is>
          <t>Impacto Potencial</t>
        </is>
      </c>
      <c r="Z228" s="111" t="inlineStr">
        <is>
          <t>PC</t>
        </is>
      </c>
      <c r="AA228" s="111" t="inlineStr">
        <is>
          <t>Nao</t>
        </is>
      </c>
      <c r="AB228" s="111" t="inlineStr">
        <is>
          <t>NAO_COMPUTADO</t>
        </is>
      </c>
      <c r="AC228" s="112" t="inlineStr">
        <is>
          <t>Estrutura Fase 1: sem impacto no VTA oficial</t>
        </is>
      </c>
    </row>
    <row r="229" ht="25.5" customHeight="1" s="289">
      <c r="A229" s="205" t="n"/>
      <c r="B229" s="207" t="n"/>
      <c r="C229" s="104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348" t="n"/>
      <c r="E229" s="349">
        <f>IF(C229="","",IFERROR(VLOOKUP(C229,parametros!$A$11:$E$15,5,0),""))</f>
        <v/>
      </c>
      <c r="F229" s="335">
        <f>IF(OR(D229="",E229=""),"",ROUND(D229*E229,2))</f>
        <v/>
      </c>
      <c r="G229" s="106" t="n"/>
      <c r="H229" s="350">
        <f>IF(G229="Sim",IF(OR(F229="",D229="",L229=""),"",IF(L229="Sim",ROUND(F229-D229,2),0)),0)</f>
        <v/>
      </c>
      <c r="I229" s="350">
        <f>IF(G229="Sim",0,IF(OR(F229="",L229=""),"",F229))</f>
        <v/>
      </c>
      <c r="J229" s="350">
        <f>IF(G229="Sim",0,IF(OR(F229="",D229="",L229=""),"",IF(L229="Sim",ROUND(F229-D229,2),0)))</f>
        <v/>
      </c>
      <c r="K229" s="97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inlineStr">
        <is>
          <t>Nao</t>
        </is>
      </c>
      <c r="W229" s="110" t="inlineStr">
        <is>
          <t>PC em analise</t>
        </is>
      </c>
      <c r="X229" s="110" t="inlineStr">
        <is>
          <t>Pedido de Compra</t>
        </is>
      </c>
      <c r="Y229" s="111" t="inlineStr">
        <is>
          <t>Impacto Potencial</t>
        </is>
      </c>
      <c r="Z229" s="111" t="inlineStr">
        <is>
          <t>PC</t>
        </is>
      </c>
      <c r="AA229" s="111" t="inlineStr">
        <is>
          <t>Nao</t>
        </is>
      </c>
      <c r="AB229" s="111" t="inlineStr">
        <is>
          <t>NAO_COMPUTADO</t>
        </is>
      </c>
      <c r="AC229" s="112" t="inlineStr">
        <is>
          <t>Estrutura Fase 1: sem impacto no VTA oficial</t>
        </is>
      </c>
    </row>
    <row r="230" ht="25.5" customHeight="1" s="289">
      <c r="A230" s="205" t="n"/>
      <c r="B230" s="207" t="n"/>
      <c r="C230" s="104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348" t="n"/>
      <c r="E230" s="349">
        <f>IF(C230="","",IFERROR(VLOOKUP(C230,parametros!$A$11:$E$15,5,0),""))</f>
        <v/>
      </c>
      <c r="F230" s="335">
        <f>IF(OR(D230="",E230=""),"",ROUND(D230*E230,2))</f>
        <v/>
      </c>
      <c r="G230" s="106" t="n"/>
      <c r="H230" s="350">
        <f>IF(G230="Sim",IF(OR(F230="",D230="",L230=""),"",IF(L230="Sim",ROUND(F230-D230,2),0)),0)</f>
        <v/>
      </c>
      <c r="I230" s="350">
        <f>IF(G230="Sim",0,IF(OR(F230="",L230=""),"",F230))</f>
        <v/>
      </c>
      <c r="J230" s="350">
        <f>IF(G230="Sim",0,IF(OR(F230="",D230="",L230=""),"",IF(L230="Sim",ROUND(F230-D230,2),0)))</f>
        <v/>
      </c>
      <c r="K230" s="97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inlineStr">
        <is>
          <t>Nao</t>
        </is>
      </c>
      <c r="W230" s="110" t="inlineStr">
        <is>
          <t>PC em analise</t>
        </is>
      </c>
      <c r="X230" s="110" t="inlineStr">
        <is>
          <t>Pedido de Compra</t>
        </is>
      </c>
      <c r="Y230" s="111" t="inlineStr">
        <is>
          <t>Impacto Potencial</t>
        </is>
      </c>
      <c r="Z230" s="111" t="inlineStr">
        <is>
          <t>PC</t>
        </is>
      </c>
      <c r="AA230" s="111" t="inlineStr">
        <is>
          <t>Nao</t>
        </is>
      </c>
      <c r="AB230" s="111" t="inlineStr">
        <is>
          <t>NAO_COMPUTADO</t>
        </is>
      </c>
      <c r="AC230" s="112" t="inlineStr">
        <is>
          <t>Estrutura Fase 1: sem impacto no VTA oficial</t>
        </is>
      </c>
    </row>
    <row r="231" ht="25.5" customHeight="1" s="289">
      <c r="A231" s="205" t="n"/>
      <c r="B231" s="207" t="n"/>
      <c r="C231" s="104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348" t="n"/>
      <c r="E231" s="349">
        <f>IF(C231="","",IFERROR(VLOOKUP(C231,parametros!$A$11:$E$15,5,0),""))</f>
        <v/>
      </c>
      <c r="F231" s="335">
        <f>IF(OR(D231="",E231=""),"",ROUND(D231*E231,2))</f>
        <v/>
      </c>
      <c r="G231" s="106" t="n"/>
      <c r="H231" s="350">
        <f>IF(G231="Sim",IF(OR(F231="",D231="",L231=""),"",IF(L231="Sim",ROUND(F231-D231,2),0)),0)</f>
        <v/>
      </c>
      <c r="I231" s="350">
        <f>IF(G231="Sim",0,IF(OR(F231="",L231=""),"",F231))</f>
        <v/>
      </c>
      <c r="J231" s="350">
        <f>IF(G231="Sim",0,IF(OR(F231="",D231="",L231=""),"",IF(L231="Sim",ROUND(F231-D231,2),0)))</f>
        <v/>
      </c>
      <c r="K231" s="97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inlineStr">
        <is>
          <t>Nao</t>
        </is>
      </c>
      <c r="W231" s="110" t="inlineStr">
        <is>
          <t>PC em analise</t>
        </is>
      </c>
      <c r="X231" s="110" t="inlineStr">
        <is>
          <t>Pedido de Compra</t>
        </is>
      </c>
      <c r="Y231" s="111" t="inlineStr">
        <is>
          <t>Impacto Potencial</t>
        </is>
      </c>
      <c r="Z231" s="111" t="inlineStr">
        <is>
          <t>PC</t>
        </is>
      </c>
      <c r="AA231" s="111" t="inlineStr">
        <is>
          <t>Nao</t>
        </is>
      </c>
      <c r="AB231" s="111" t="inlineStr">
        <is>
          <t>NAO_COMPUTADO</t>
        </is>
      </c>
      <c r="AC231" s="112" t="inlineStr">
        <is>
          <t>Estrutura Fase 1: sem impacto no VTA oficial</t>
        </is>
      </c>
    </row>
    <row r="232" ht="25.5" customHeight="1" s="289">
      <c r="A232" s="205" t="n"/>
      <c r="B232" s="207" t="n"/>
      <c r="C232" s="104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348" t="n"/>
      <c r="E232" s="349">
        <f>IF(C232="","",IFERROR(VLOOKUP(C232,parametros!$A$11:$E$15,5,0),""))</f>
        <v/>
      </c>
      <c r="F232" s="335">
        <f>IF(OR(D232="",E232=""),"",ROUND(D232*E232,2))</f>
        <v/>
      </c>
      <c r="G232" s="106" t="n"/>
      <c r="H232" s="350">
        <f>IF(G232="Sim",IF(OR(F232="",D232="",L232=""),"",IF(L232="Sim",ROUND(F232-D232,2),0)),0)</f>
        <v/>
      </c>
      <c r="I232" s="350">
        <f>IF(G232="Sim",0,IF(OR(F232="",L232=""),"",F232))</f>
        <v/>
      </c>
      <c r="J232" s="350">
        <f>IF(G232="Sim",0,IF(OR(F232="",D232="",L232=""),"",IF(L232="Sim",ROUND(F232-D232,2),0)))</f>
        <v/>
      </c>
      <c r="K232" s="97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inlineStr">
        <is>
          <t>Nao</t>
        </is>
      </c>
      <c r="W232" s="110" t="inlineStr">
        <is>
          <t>PC em analise</t>
        </is>
      </c>
      <c r="X232" s="110" t="inlineStr">
        <is>
          <t>Pedido de Compra</t>
        </is>
      </c>
      <c r="Y232" s="111" t="inlineStr">
        <is>
          <t>Impacto Potencial</t>
        </is>
      </c>
      <c r="Z232" s="111" t="inlineStr">
        <is>
          <t>PC</t>
        </is>
      </c>
      <c r="AA232" s="111" t="inlineStr">
        <is>
          <t>Nao</t>
        </is>
      </c>
      <c r="AB232" s="111" t="inlineStr">
        <is>
          <t>NAO_COMPUTADO</t>
        </is>
      </c>
      <c r="AC232" s="112" t="inlineStr">
        <is>
          <t>Estrutura Fase 1: sem impacto no VTA oficial</t>
        </is>
      </c>
    </row>
    <row r="233" ht="25.5" customHeight="1" s="289">
      <c r="A233" s="205" t="n"/>
      <c r="B233" s="207" t="n"/>
      <c r="C233" s="104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348" t="n"/>
      <c r="E233" s="349">
        <f>IF(C233="","",IFERROR(VLOOKUP(C233,parametros!$A$11:$E$15,5,0),""))</f>
        <v/>
      </c>
      <c r="F233" s="335">
        <f>IF(OR(D233="",E233=""),"",ROUND(D233*E233,2))</f>
        <v/>
      </c>
      <c r="G233" s="106" t="n"/>
      <c r="H233" s="350">
        <f>IF(G233="Sim",IF(OR(F233="",D233="",L233=""),"",IF(L233="Sim",ROUND(F233-D233,2),0)),0)</f>
        <v/>
      </c>
      <c r="I233" s="350">
        <f>IF(G233="Sim",0,IF(OR(F233="",L233=""),"",F233))</f>
        <v/>
      </c>
      <c r="J233" s="350">
        <f>IF(G233="Sim",0,IF(OR(F233="",D233="",L233=""),"",IF(L233="Sim",ROUND(F233-D233,2),0)))</f>
        <v/>
      </c>
      <c r="K233" s="97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inlineStr">
        <is>
          <t>Nao</t>
        </is>
      </c>
      <c r="W233" s="110" t="inlineStr">
        <is>
          <t>PC em analise</t>
        </is>
      </c>
      <c r="X233" s="110" t="inlineStr">
        <is>
          <t>Pedido de Compra</t>
        </is>
      </c>
      <c r="Y233" s="111" t="inlineStr">
        <is>
          <t>Impacto Potencial</t>
        </is>
      </c>
      <c r="Z233" s="111" t="inlineStr">
        <is>
          <t>PC</t>
        </is>
      </c>
      <c r="AA233" s="111" t="inlineStr">
        <is>
          <t>Nao</t>
        </is>
      </c>
      <c r="AB233" s="111" t="inlineStr">
        <is>
          <t>NAO_COMPUTADO</t>
        </is>
      </c>
      <c r="AC233" s="112" t="inlineStr">
        <is>
          <t>Estrutura Fase 1: sem impacto no VTA oficial</t>
        </is>
      </c>
    </row>
    <row r="234" ht="25.5" customHeight="1" s="289">
      <c r="A234" s="205" t="n"/>
      <c r="B234" s="207" t="n"/>
      <c r="C234" s="104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348" t="n"/>
      <c r="E234" s="349">
        <f>IF(C234="","",IFERROR(VLOOKUP(C234,parametros!$A$11:$E$15,5,0),""))</f>
        <v/>
      </c>
      <c r="F234" s="335">
        <f>IF(OR(D234="",E234=""),"",ROUND(D234*E234,2))</f>
        <v/>
      </c>
      <c r="G234" s="106" t="n"/>
      <c r="H234" s="350">
        <f>IF(G234="Sim",IF(OR(F234="",D234="",L234=""),"",IF(L234="Sim",ROUND(F234-D234,2),0)),0)</f>
        <v/>
      </c>
      <c r="I234" s="350">
        <f>IF(G234="Sim",0,IF(OR(F234="",L234=""),"",F234))</f>
        <v/>
      </c>
      <c r="J234" s="350">
        <f>IF(G234="Sim",0,IF(OR(F234="",D234="",L234=""),"",IF(L234="Sim",ROUND(F234-D234,2),0)))</f>
        <v/>
      </c>
      <c r="K234" s="97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inlineStr">
        <is>
          <t>Nao</t>
        </is>
      </c>
      <c r="W234" s="110" t="inlineStr">
        <is>
          <t>PC em analise</t>
        </is>
      </c>
      <c r="X234" s="110" t="inlineStr">
        <is>
          <t>Pedido de Compra</t>
        </is>
      </c>
      <c r="Y234" s="111" t="inlineStr">
        <is>
          <t>Impacto Potencial</t>
        </is>
      </c>
      <c r="Z234" s="111" t="inlineStr">
        <is>
          <t>PC</t>
        </is>
      </c>
      <c r="AA234" s="111" t="inlineStr">
        <is>
          <t>Nao</t>
        </is>
      </c>
      <c r="AB234" s="111" t="inlineStr">
        <is>
          <t>NAO_COMPUTADO</t>
        </is>
      </c>
      <c r="AC234" s="112" t="inlineStr">
        <is>
          <t>Estrutura Fase 1: sem impacto no VTA oficial</t>
        </is>
      </c>
    </row>
    <row r="235" ht="25.5" customHeight="1" s="289">
      <c r="A235" s="205" t="n"/>
      <c r="B235" s="207" t="n"/>
      <c r="C235" s="104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348" t="n"/>
      <c r="E235" s="349">
        <f>IF(C235="","",IFERROR(VLOOKUP(C235,parametros!$A$11:$E$15,5,0),""))</f>
        <v/>
      </c>
      <c r="F235" s="335">
        <f>IF(OR(D235="",E235=""),"",ROUND(D235*E235,2))</f>
        <v/>
      </c>
      <c r="G235" s="106" t="n"/>
      <c r="H235" s="350">
        <f>IF(G235="Sim",IF(OR(F235="",D235="",L235=""),"",IF(L235="Sim",ROUND(F235-D235,2),0)),0)</f>
        <v/>
      </c>
      <c r="I235" s="350">
        <f>IF(G235="Sim",0,IF(OR(F235="",L235=""),"",F235))</f>
        <v/>
      </c>
      <c r="J235" s="350">
        <f>IF(G235="Sim",0,IF(OR(F235="",D235="",L235=""),"",IF(L235="Sim",ROUND(F235-D235,2),0)))</f>
        <v/>
      </c>
      <c r="K235" s="97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inlineStr">
        <is>
          <t>Nao</t>
        </is>
      </c>
      <c r="W235" s="110" t="inlineStr">
        <is>
          <t>PC em analise</t>
        </is>
      </c>
      <c r="X235" s="110" t="inlineStr">
        <is>
          <t>Pedido de Compra</t>
        </is>
      </c>
      <c r="Y235" s="111" t="inlineStr">
        <is>
          <t>Impacto Potencial</t>
        </is>
      </c>
      <c r="Z235" s="111" t="inlineStr">
        <is>
          <t>PC</t>
        </is>
      </c>
      <c r="AA235" s="111" t="inlineStr">
        <is>
          <t>Nao</t>
        </is>
      </c>
      <c r="AB235" s="111" t="inlineStr">
        <is>
          <t>NAO_COMPUTADO</t>
        </is>
      </c>
      <c r="AC235" s="112" t="inlineStr">
        <is>
          <t>Estrutura Fase 1: sem impacto no VTA oficial</t>
        </is>
      </c>
    </row>
    <row r="236" ht="25.5" customHeight="1" s="289">
      <c r="A236" s="205" t="n"/>
      <c r="B236" s="207" t="n"/>
      <c r="C236" s="104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348" t="n"/>
      <c r="E236" s="349">
        <f>IF(C236="","",IFERROR(VLOOKUP(C236,parametros!$A$11:$E$15,5,0),""))</f>
        <v/>
      </c>
      <c r="F236" s="335">
        <f>IF(OR(D236="",E236=""),"",ROUND(D236*E236,2))</f>
        <v/>
      </c>
      <c r="G236" s="106" t="n"/>
      <c r="H236" s="350">
        <f>IF(G236="Sim",IF(OR(F236="",D236="",L236=""),"",IF(L236="Sim",ROUND(F236-D236,2),0)),0)</f>
        <v/>
      </c>
      <c r="I236" s="350">
        <f>IF(G236="Sim",0,IF(OR(F236="",L236=""),"",F236))</f>
        <v/>
      </c>
      <c r="J236" s="350">
        <f>IF(G236="Sim",0,IF(OR(F236="",D236="",L236=""),"",IF(L236="Sim",ROUND(F236-D236,2),0)))</f>
        <v/>
      </c>
      <c r="K236" s="97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inlineStr">
        <is>
          <t>Nao</t>
        </is>
      </c>
      <c r="W236" s="110" t="inlineStr">
        <is>
          <t>PC em analise</t>
        </is>
      </c>
      <c r="X236" s="110" t="inlineStr">
        <is>
          <t>Pedido de Compra</t>
        </is>
      </c>
      <c r="Y236" s="111" t="inlineStr">
        <is>
          <t>Impacto Potencial</t>
        </is>
      </c>
      <c r="Z236" s="111" t="inlineStr">
        <is>
          <t>PC</t>
        </is>
      </c>
      <c r="AA236" s="111" t="inlineStr">
        <is>
          <t>Nao</t>
        </is>
      </c>
      <c r="AB236" s="111" t="inlineStr">
        <is>
          <t>NAO_COMPUTADO</t>
        </is>
      </c>
      <c r="AC236" s="112" t="inlineStr">
        <is>
          <t>Estrutura Fase 1: sem impacto no VTA oficial</t>
        </is>
      </c>
    </row>
    <row r="237" ht="25.5" customHeight="1" s="289">
      <c r="A237" s="205" t="n"/>
      <c r="B237" s="207" t="n"/>
      <c r="C237" s="104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348" t="n"/>
      <c r="E237" s="349">
        <f>IF(C237="","",IFERROR(VLOOKUP(C237,parametros!$A$11:$E$15,5,0),""))</f>
        <v/>
      </c>
      <c r="F237" s="335">
        <f>IF(OR(D237="",E237=""),"",ROUND(D237*E237,2))</f>
        <v/>
      </c>
      <c r="G237" s="106" t="n"/>
      <c r="H237" s="350">
        <f>IF(G237="Sim",IF(OR(F237="",D237="",L237=""),"",IF(L237="Sim",ROUND(F237-D237,2),0)),0)</f>
        <v/>
      </c>
      <c r="I237" s="350">
        <f>IF(G237="Sim",0,IF(OR(F237="",L237=""),"",F237))</f>
        <v/>
      </c>
      <c r="J237" s="350">
        <f>IF(G237="Sim",0,IF(OR(F237="",D237="",L237=""),"",IF(L237="Sim",ROUND(F237-D237,2),0)))</f>
        <v/>
      </c>
      <c r="K237" s="97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inlineStr">
        <is>
          <t>Nao</t>
        </is>
      </c>
      <c r="W237" s="110" t="inlineStr">
        <is>
          <t>PC em analise</t>
        </is>
      </c>
      <c r="X237" s="110" t="inlineStr">
        <is>
          <t>Pedido de Compra</t>
        </is>
      </c>
      <c r="Y237" s="111" t="inlineStr">
        <is>
          <t>Impacto Potencial</t>
        </is>
      </c>
      <c r="Z237" s="111" t="inlineStr">
        <is>
          <t>PC</t>
        </is>
      </c>
      <c r="AA237" s="111" t="inlineStr">
        <is>
          <t>Nao</t>
        </is>
      </c>
      <c r="AB237" s="111" t="inlineStr">
        <is>
          <t>NAO_COMPUTADO</t>
        </is>
      </c>
      <c r="AC237" s="112" t="inlineStr">
        <is>
          <t>Estrutura Fase 1: sem impacto no VTA oficial</t>
        </is>
      </c>
    </row>
    <row r="238" ht="25.5" customHeight="1" s="289">
      <c r="A238" s="205" t="n"/>
      <c r="B238" s="207" t="n"/>
      <c r="C238" s="104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348" t="n"/>
      <c r="E238" s="349">
        <f>IF(C238="","",IFERROR(VLOOKUP(C238,parametros!$A$11:$E$15,5,0),""))</f>
        <v/>
      </c>
      <c r="F238" s="335">
        <f>IF(OR(D238="",E238=""),"",ROUND(D238*E238,2))</f>
        <v/>
      </c>
      <c r="G238" s="106" t="n"/>
      <c r="H238" s="350">
        <f>IF(G238="Sim",IF(OR(F238="",D238="",L238=""),"",IF(L238="Sim",ROUND(F238-D238,2),0)),0)</f>
        <v/>
      </c>
      <c r="I238" s="350">
        <f>IF(G238="Sim",0,IF(OR(F238="",L238=""),"",F238))</f>
        <v/>
      </c>
      <c r="J238" s="350">
        <f>IF(G238="Sim",0,IF(OR(F238="",D238="",L238=""),"",IF(L238="Sim",ROUND(F238-D238,2),0)))</f>
        <v/>
      </c>
      <c r="K238" s="97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inlineStr">
        <is>
          <t>Nao</t>
        </is>
      </c>
      <c r="W238" s="110" t="inlineStr">
        <is>
          <t>PC em analise</t>
        </is>
      </c>
      <c r="X238" s="110" t="inlineStr">
        <is>
          <t>Pedido de Compra</t>
        </is>
      </c>
      <c r="Y238" s="111" t="inlineStr">
        <is>
          <t>Impacto Potencial</t>
        </is>
      </c>
      <c r="Z238" s="111" t="inlineStr">
        <is>
          <t>PC</t>
        </is>
      </c>
      <c r="AA238" s="111" t="inlineStr">
        <is>
          <t>Nao</t>
        </is>
      </c>
      <c r="AB238" s="111" t="inlineStr">
        <is>
          <t>NAO_COMPUTADO</t>
        </is>
      </c>
      <c r="AC238" s="112" t="inlineStr">
        <is>
          <t>Estrutura Fase 1: sem impacto no VTA oficial</t>
        </is>
      </c>
    </row>
    <row r="239" ht="25.5" customHeight="1" s="289">
      <c r="A239" s="205" t="n"/>
      <c r="B239" s="207" t="n"/>
      <c r="C239" s="104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348" t="n"/>
      <c r="E239" s="349">
        <f>IF(C239="","",IFERROR(VLOOKUP(C239,parametros!$A$11:$E$15,5,0),""))</f>
        <v/>
      </c>
      <c r="F239" s="335">
        <f>IF(OR(D239="",E239=""),"",ROUND(D239*E239,2))</f>
        <v/>
      </c>
      <c r="G239" s="106" t="n"/>
      <c r="H239" s="350">
        <f>IF(G239="Sim",IF(OR(F239="",D239="",L239=""),"",IF(L239="Sim",ROUND(F239-D239,2),0)),0)</f>
        <v/>
      </c>
      <c r="I239" s="350">
        <f>IF(G239="Sim",0,IF(OR(F239="",L239=""),"",F239))</f>
        <v/>
      </c>
      <c r="J239" s="350">
        <f>IF(G239="Sim",0,IF(OR(F239="",D239="",L239=""),"",IF(L239="Sim",ROUND(F239-D239,2),0)))</f>
        <v/>
      </c>
      <c r="K239" s="97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inlineStr">
        <is>
          <t>Nao</t>
        </is>
      </c>
      <c r="W239" s="110" t="inlineStr">
        <is>
          <t>PC em analise</t>
        </is>
      </c>
      <c r="X239" s="110" t="inlineStr">
        <is>
          <t>Pedido de Compra</t>
        </is>
      </c>
      <c r="Y239" s="111" t="inlineStr">
        <is>
          <t>Impacto Potencial</t>
        </is>
      </c>
      <c r="Z239" s="111" t="inlineStr">
        <is>
          <t>PC</t>
        </is>
      </c>
      <c r="AA239" s="111" t="inlineStr">
        <is>
          <t>Nao</t>
        </is>
      </c>
      <c r="AB239" s="111" t="inlineStr">
        <is>
          <t>NAO_COMPUTADO</t>
        </is>
      </c>
      <c r="AC239" s="112" t="inlineStr">
        <is>
          <t>Estrutura Fase 1: sem impacto no VTA oficial</t>
        </is>
      </c>
    </row>
    <row r="240" ht="25.5" customHeight="1" s="289">
      <c r="A240" s="205" t="n"/>
      <c r="B240" s="207" t="n"/>
      <c r="C240" s="104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348" t="n"/>
      <c r="E240" s="349">
        <f>IF(C240="","",IFERROR(VLOOKUP(C240,parametros!$A$11:$E$15,5,0),""))</f>
        <v/>
      </c>
      <c r="F240" s="335">
        <f>IF(OR(D240="",E240=""),"",ROUND(D240*E240,2))</f>
        <v/>
      </c>
      <c r="G240" s="106" t="n"/>
      <c r="H240" s="350">
        <f>IF(G240="Sim",IF(OR(F240="",D240="",L240=""),"",IF(L240="Sim",ROUND(F240-D240,2),0)),0)</f>
        <v/>
      </c>
      <c r="I240" s="350">
        <f>IF(G240="Sim",0,IF(OR(F240="",L240=""),"",F240))</f>
        <v/>
      </c>
      <c r="J240" s="350">
        <f>IF(G240="Sim",0,IF(OR(F240="",D240="",L240=""),"",IF(L240="Sim",ROUND(F240-D240,2),0)))</f>
        <v/>
      </c>
      <c r="K240" s="97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inlineStr">
        <is>
          <t>Nao</t>
        </is>
      </c>
      <c r="W240" s="110" t="inlineStr">
        <is>
          <t>PC em analise</t>
        </is>
      </c>
      <c r="X240" s="110" t="inlineStr">
        <is>
          <t>Pedido de Compra</t>
        </is>
      </c>
      <c r="Y240" s="111" t="inlineStr">
        <is>
          <t>Impacto Potencial</t>
        </is>
      </c>
      <c r="Z240" s="111" t="inlineStr">
        <is>
          <t>PC</t>
        </is>
      </c>
      <c r="AA240" s="111" t="inlineStr">
        <is>
          <t>Nao</t>
        </is>
      </c>
      <c r="AB240" s="111" t="inlineStr">
        <is>
          <t>NAO_COMPUTADO</t>
        </is>
      </c>
      <c r="AC240" s="112" t="inlineStr">
        <is>
          <t>Estrutura Fase 1: sem impacto no VTA oficial</t>
        </is>
      </c>
    </row>
    <row r="241" ht="25.5" customHeight="1" s="289">
      <c r="A241" s="205" t="n"/>
      <c r="B241" s="207" t="n"/>
      <c r="C241" s="104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348" t="n"/>
      <c r="E241" s="349">
        <f>IF(C241="","",IFERROR(VLOOKUP(C241,parametros!$A$11:$E$15,5,0),""))</f>
        <v/>
      </c>
      <c r="F241" s="335">
        <f>IF(OR(D241="",E241=""),"",ROUND(D241*E241,2))</f>
        <v/>
      </c>
      <c r="G241" s="106" t="n"/>
      <c r="H241" s="350">
        <f>IF(G241="Sim",IF(OR(F241="",D241="",L241=""),"",IF(L241="Sim",ROUND(F241-D241,2),0)),0)</f>
        <v/>
      </c>
      <c r="I241" s="350">
        <f>IF(G241="Sim",0,IF(OR(F241="",L241=""),"",F241))</f>
        <v/>
      </c>
      <c r="J241" s="350">
        <f>IF(G241="Sim",0,IF(OR(F241="",D241="",L241=""),"",IF(L241="Sim",ROUND(F241-D241,2),0)))</f>
        <v/>
      </c>
      <c r="K241" s="97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inlineStr">
        <is>
          <t>Nao</t>
        </is>
      </c>
      <c r="W241" s="110" t="inlineStr">
        <is>
          <t>PC em analise</t>
        </is>
      </c>
      <c r="X241" s="110" t="inlineStr">
        <is>
          <t>Pedido de Compra</t>
        </is>
      </c>
      <c r="Y241" s="111" t="inlineStr">
        <is>
          <t>Impacto Potencial</t>
        </is>
      </c>
      <c r="Z241" s="111" t="inlineStr">
        <is>
          <t>PC</t>
        </is>
      </c>
      <c r="AA241" s="111" t="inlineStr">
        <is>
          <t>Nao</t>
        </is>
      </c>
      <c r="AB241" s="111" t="inlineStr">
        <is>
          <t>NAO_COMPUTADO</t>
        </is>
      </c>
      <c r="AC241" s="112" t="inlineStr">
        <is>
          <t>Estrutura Fase 1: sem impacto no VTA oficial</t>
        </is>
      </c>
    </row>
    <row r="242" ht="25.5" customHeight="1" s="289">
      <c r="A242" s="205" t="n"/>
      <c r="B242" s="207" t="n"/>
      <c r="C242" s="104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348" t="n"/>
      <c r="E242" s="349">
        <f>IF(C242="","",IFERROR(VLOOKUP(C242,parametros!$A$11:$E$15,5,0),""))</f>
        <v/>
      </c>
      <c r="F242" s="335">
        <f>IF(OR(D242="",E242=""),"",ROUND(D242*E242,2))</f>
        <v/>
      </c>
      <c r="G242" s="106" t="n"/>
      <c r="H242" s="350">
        <f>IF(G242="Sim",IF(OR(F242="",D242="",L242=""),"",IF(L242="Sim",ROUND(F242-D242,2),0)),0)</f>
        <v/>
      </c>
      <c r="I242" s="350">
        <f>IF(G242="Sim",0,IF(OR(F242="",L242=""),"",F242))</f>
        <v/>
      </c>
      <c r="J242" s="350">
        <f>IF(G242="Sim",0,IF(OR(F242="",D242="",L242=""),"",IF(L242="Sim",ROUND(F242-D242,2),0)))</f>
        <v/>
      </c>
      <c r="K242" s="97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inlineStr">
        <is>
          <t>Nao</t>
        </is>
      </c>
      <c r="W242" s="110" t="inlineStr">
        <is>
          <t>PC em analise</t>
        </is>
      </c>
      <c r="X242" s="110" t="inlineStr">
        <is>
          <t>Pedido de Compra</t>
        </is>
      </c>
      <c r="Y242" s="111" t="inlineStr">
        <is>
          <t>Impacto Potencial</t>
        </is>
      </c>
      <c r="Z242" s="111" t="inlineStr">
        <is>
          <t>PC</t>
        </is>
      </c>
      <c r="AA242" s="111" t="inlineStr">
        <is>
          <t>Nao</t>
        </is>
      </c>
      <c r="AB242" s="111" t="inlineStr">
        <is>
          <t>NAO_COMPUTADO</t>
        </is>
      </c>
      <c r="AC242" s="112" t="inlineStr">
        <is>
          <t>Estrutura Fase 1: sem impacto no VTA oficial</t>
        </is>
      </c>
    </row>
    <row r="243" ht="25.5" customHeight="1" s="289">
      <c r="A243" s="205" t="n"/>
      <c r="B243" s="207" t="n"/>
      <c r="C243" s="104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348" t="n"/>
      <c r="E243" s="349">
        <f>IF(C243="","",IFERROR(VLOOKUP(C243,parametros!$A$11:$E$15,5,0),""))</f>
        <v/>
      </c>
      <c r="F243" s="335">
        <f>IF(OR(D243="",E243=""),"",ROUND(D243*E243,2))</f>
        <v/>
      </c>
      <c r="G243" s="106" t="n"/>
      <c r="H243" s="350">
        <f>IF(G243="Sim",IF(OR(F243="",D243="",L243=""),"",IF(L243="Sim",ROUND(F243-D243,2),0)),0)</f>
        <v/>
      </c>
      <c r="I243" s="350">
        <f>IF(G243="Sim",0,IF(OR(F243="",L243=""),"",F243))</f>
        <v/>
      </c>
      <c r="J243" s="350">
        <f>IF(G243="Sim",0,IF(OR(F243="",D243="",L243=""),"",IF(L243="Sim",ROUND(F243-D243,2),0)))</f>
        <v/>
      </c>
      <c r="K243" s="97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inlineStr">
        <is>
          <t>Nao</t>
        </is>
      </c>
      <c r="W243" s="110" t="inlineStr">
        <is>
          <t>PC em analise</t>
        </is>
      </c>
      <c r="X243" s="110" t="inlineStr">
        <is>
          <t>Pedido de Compra</t>
        </is>
      </c>
      <c r="Y243" s="111" t="inlineStr">
        <is>
          <t>Impacto Potencial</t>
        </is>
      </c>
      <c r="Z243" s="111" t="inlineStr">
        <is>
          <t>PC</t>
        </is>
      </c>
      <c r="AA243" s="111" t="inlineStr">
        <is>
          <t>Nao</t>
        </is>
      </c>
      <c r="AB243" s="111" t="inlineStr">
        <is>
          <t>NAO_COMPUTADO</t>
        </is>
      </c>
      <c r="AC243" s="112" t="inlineStr">
        <is>
          <t>Estrutura Fase 1: sem impacto no VTA oficial</t>
        </is>
      </c>
    </row>
    <row r="244" ht="25.5" customHeight="1" s="289">
      <c r="A244" s="205" t="n"/>
      <c r="B244" s="207" t="n"/>
      <c r="C244" s="104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348" t="n"/>
      <c r="E244" s="349">
        <f>IF(C244="","",IFERROR(VLOOKUP(C244,parametros!$A$11:$E$15,5,0),""))</f>
        <v/>
      </c>
      <c r="F244" s="335">
        <f>IF(OR(D244="",E244=""),"",ROUND(D244*E244,2))</f>
        <v/>
      </c>
      <c r="G244" s="106" t="n"/>
      <c r="H244" s="350">
        <f>IF(G244="Sim",IF(OR(F244="",D244="",L244=""),"",IF(L244="Sim",ROUND(F244-D244,2),0)),0)</f>
        <v/>
      </c>
      <c r="I244" s="350">
        <f>IF(G244="Sim",0,IF(OR(F244="",L244=""),"",F244))</f>
        <v/>
      </c>
      <c r="J244" s="350">
        <f>IF(G244="Sim",0,IF(OR(F244="",D244="",L244=""),"",IF(L244="Sim",ROUND(F244-D244,2),0)))</f>
        <v/>
      </c>
      <c r="K244" s="97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inlineStr">
        <is>
          <t>Nao</t>
        </is>
      </c>
      <c r="W244" s="110" t="inlineStr">
        <is>
          <t>PC em analise</t>
        </is>
      </c>
      <c r="X244" s="110" t="inlineStr">
        <is>
          <t>Pedido de Compra</t>
        </is>
      </c>
      <c r="Y244" s="111" t="inlineStr">
        <is>
          <t>Impacto Potencial</t>
        </is>
      </c>
      <c r="Z244" s="111" t="inlineStr">
        <is>
          <t>PC</t>
        </is>
      </c>
      <c r="AA244" s="111" t="inlineStr">
        <is>
          <t>Nao</t>
        </is>
      </c>
      <c r="AB244" s="111" t="inlineStr">
        <is>
          <t>NAO_COMPUTADO</t>
        </is>
      </c>
      <c r="AC244" s="112" t="inlineStr">
        <is>
          <t>Estrutura Fase 1: sem impacto no VTA oficial</t>
        </is>
      </c>
    </row>
    <row r="245" ht="25.5" customHeight="1" s="289">
      <c r="A245" s="205" t="n"/>
      <c r="B245" s="207" t="n"/>
      <c r="C245" s="104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348" t="n"/>
      <c r="E245" s="349">
        <f>IF(C245="","",IFERROR(VLOOKUP(C245,parametros!$A$11:$E$15,5,0),""))</f>
        <v/>
      </c>
      <c r="F245" s="335">
        <f>IF(OR(D245="",E245=""),"",ROUND(D245*E245,2))</f>
        <v/>
      </c>
      <c r="G245" s="106" t="n"/>
      <c r="H245" s="350">
        <f>IF(G245="Sim",IF(OR(F245="",D245="",L245=""),"",IF(L245="Sim",ROUND(F245-D245,2),0)),0)</f>
        <v/>
      </c>
      <c r="I245" s="350">
        <f>IF(G245="Sim",0,IF(OR(F245="",L245=""),"",F245))</f>
        <v/>
      </c>
      <c r="J245" s="350">
        <f>IF(G245="Sim",0,IF(OR(F245="",D245="",L245=""),"",IF(L245="Sim",ROUND(F245-D245,2),0)))</f>
        <v/>
      </c>
      <c r="K245" s="97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inlineStr">
        <is>
          <t>Nao</t>
        </is>
      </c>
      <c r="W245" s="110" t="inlineStr">
        <is>
          <t>PC em analise</t>
        </is>
      </c>
      <c r="X245" s="110" t="inlineStr">
        <is>
          <t>Pedido de Compra</t>
        </is>
      </c>
      <c r="Y245" s="111" t="inlineStr">
        <is>
          <t>Impacto Potencial</t>
        </is>
      </c>
      <c r="Z245" s="111" t="inlineStr">
        <is>
          <t>PC</t>
        </is>
      </c>
      <c r="AA245" s="111" t="inlineStr">
        <is>
          <t>Nao</t>
        </is>
      </c>
      <c r="AB245" s="111" t="inlineStr">
        <is>
          <t>NAO_COMPUTADO</t>
        </is>
      </c>
      <c r="AC245" s="112" t="inlineStr">
        <is>
          <t>Estrutura Fase 1: sem impacto no VTA oficial</t>
        </is>
      </c>
    </row>
    <row r="246" ht="25.5" customHeight="1" s="289">
      <c r="A246" s="205" t="n"/>
      <c r="B246" s="207" t="n"/>
      <c r="C246" s="104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348" t="n"/>
      <c r="E246" s="349">
        <f>IF(C246="","",IFERROR(VLOOKUP(C246,parametros!$A$11:$E$15,5,0),""))</f>
        <v/>
      </c>
      <c r="F246" s="335">
        <f>IF(OR(D246="",E246=""),"",ROUND(D246*E246,2))</f>
        <v/>
      </c>
      <c r="G246" s="106" t="n"/>
      <c r="H246" s="350">
        <f>IF(G246="Sim",IF(OR(F246="",D246="",L246=""),"",IF(L246="Sim",ROUND(F246-D246,2),0)),0)</f>
        <v/>
      </c>
      <c r="I246" s="350">
        <f>IF(G246="Sim",0,IF(OR(F246="",L246=""),"",F246))</f>
        <v/>
      </c>
      <c r="J246" s="350">
        <f>IF(G246="Sim",0,IF(OR(F246="",D246="",L246=""),"",IF(L246="Sim",ROUND(F246-D246,2),0)))</f>
        <v/>
      </c>
      <c r="K246" s="97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inlineStr">
        <is>
          <t>Nao</t>
        </is>
      </c>
      <c r="W246" s="110" t="inlineStr">
        <is>
          <t>PC em analise</t>
        </is>
      </c>
      <c r="X246" s="110" t="inlineStr">
        <is>
          <t>Pedido de Compra</t>
        </is>
      </c>
      <c r="Y246" s="111" t="inlineStr">
        <is>
          <t>Impacto Potencial</t>
        </is>
      </c>
      <c r="Z246" s="111" t="inlineStr">
        <is>
          <t>PC</t>
        </is>
      </c>
      <c r="AA246" s="111" t="inlineStr">
        <is>
          <t>Nao</t>
        </is>
      </c>
      <c r="AB246" s="111" t="inlineStr">
        <is>
          <t>NAO_COMPUTADO</t>
        </is>
      </c>
      <c r="AC246" s="112" t="inlineStr">
        <is>
          <t>Estrutura Fase 1: sem impacto no VTA oficial</t>
        </is>
      </c>
    </row>
    <row r="247" ht="25.5" customHeight="1" s="289">
      <c r="A247" s="205" t="n"/>
      <c r="B247" s="207" t="n"/>
      <c r="C247" s="104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348" t="n"/>
      <c r="E247" s="349">
        <f>IF(C247="","",IFERROR(VLOOKUP(C247,parametros!$A$11:$E$15,5,0),""))</f>
        <v/>
      </c>
      <c r="F247" s="335">
        <f>IF(OR(D247="",E247=""),"",ROUND(D247*E247,2))</f>
        <v/>
      </c>
      <c r="G247" s="106" t="n"/>
      <c r="H247" s="350">
        <f>IF(G247="Sim",IF(OR(F247="",D247="",L247=""),"",IF(L247="Sim",ROUND(F247-D247,2),0)),0)</f>
        <v/>
      </c>
      <c r="I247" s="350">
        <f>IF(G247="Sim",0,IF(OR(F247="",L247=""),"",F247))</f>
        <v/>
      </c>
      <c r="J247" s="350">
        <f>IF(G247="Sim",0,IF(OR(F247="",D247="",L247=""),"",IF(L247="Sim",ROUND(F247-D247,2),0)))</f>
        <v/>
      </c>
      <c r="K247" s="97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inlineStr">
        <is>
          <t>Nao</t>
        </is>
      </c>
      <c r="W247" s="110" t="inlineStr">
        <is>
          <t>PC em analise</t>
        </is>
      </c>
      <c r="X247" s="110" t="inlineStr">
        <is>
          <t>Pedido de Compra</t>
        </is>
      </c>
      <c r="Y247" s="111" t="inlineStr">
        <is>
          <t>Impacto Potencial</t>
        </is>
      </c>
      <c r="Z247" s="111" t="inlineStr">
        <is>
          <t>PC</t>
        </is>
      </c>
      <c r="AA247" s="111" t="inlineStr">
        <is>
          <t>Nao</t>
        </is>
      </c>
      <c r="AB247" s="111" t="inlineStr">
        <is>
          <t>NAO_COMPUTADO</t>
        </is>
      </c>
      <c r="AC247" s="112" t="inlineStr">
        <is>
          <t>Estrutura Fase 1: sem impacto no VTA oficial</t>
        </is>
      </c>
    </row>
    <row r="248" ht="25.5" customHeight="1" s="289">
      <c r="A248" s="205" t="n"/>
      <c r="B248" s="207" t="n"/>
      <c r="C248" s="104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348" t="n"/>
      <c r="E248" s="349">
        <f>IF(C248="","",IFERROR(VLOOKUP(C248,parametros!$A$11:$E$15,5,0),""))</f>
        <v/>
      </c>
      <c r="F248" s="335">
        <f>IF(OR(D248="",E248=""),"",ROUND(D248*E248,2))</f>
        <v/>
      </c>
      <c r="G248" s="106" t="n"/>
      <c r="H248" s="350">
        <f>IF(G248="Sim",IF(OR(F248="",D248="",L248=""),"",IF(L248="Sim",ROUND(F248-D248,2),0)),0)</f>
        <v/>
      </c>
      <c r="I248" s="350">
        <f>IF(G248="Sim",0,IF(OR(F248="",L248=""),"",F248))</f>
        <v/>
      </c>
      <c r="J248" s="350">
        <f>IF(G248="Sim",0,IF(OR(F248="",D248="",L248=""),"",IF(L248="Sim",ROUND(F248-D248,2),0)))</f>
        <v/>
      </c>
      <c r="K248" s="97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inlineStr">
        <is>
          <t>Nao</t>
        </is>
      </c>
      <c r="W248" s="110" t="inlineStr">
        <is>
          <t>PC em analise</t>
        </is>
      </c>
      <c r="X248" s="110" t="inlineStr">
        <is>
          <t>Pedido de Compra</t>
        </is>
      </c>
      <c r="Y248" s="111" t="inlineStr">
        <is>
          <t>Impacto Potencial</t>
        </is>
      </c>
      <c r="Z248" s="111" t="inlineStr">
        <is>
          <t>PC</t>
        </is>
      </c>
      <c r="AA248" s="111" t="inlineStr">
        <is>
          <t>Nao</t>
        </is>
      </c>
      <c r="AB248" s="111" t="inlineStr">
        <is>
          <t>NAO_COMPUTADO</t>
        </is>
      </c>
      <c r="AC248" s="112" t="inlineStr">
        <is>
          <t>Estrutura Fase 1: sem impacto no VTA oficial</t>
        </is>
      </c>
    </row>
    <row r="249" ht="25.5" customHeight="1" s="289">
      <c r="A249" s="205" t="n"/>
      <c r="B249" s="207" t="n"/>
      <c r="C249" s="104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348" t="n"/>
      <c r="E249" s="349">
        <f>IF(C249="","",IFERROR(VLOOKUP(C249,parametros!$A$11:$E$15,5,0),""))</f>
        <v/>
      </c>
      <c r="F249" s="335">
        <f>IF(OR(D249="",E249=""),"",ROUND(D249*E249,2))</f>
        <v/>
      </c>
      <c r="G249" s="106" t="n"/>
      <c r="H249" s="350">
        <f>IF(G249="Sim",IF(OR(F249="",D249="",L249=""),"",IF(L249="Sim",ROUND(F249-D249,2),0)),0)</f>
        <v/>
      </c>
      <c r="I249" s="350">
        <f>IF(G249="Sim",0,IF(OR(F249="",L249=""),"",F249))</f>
        <v/>
      </c>
      <c r="J249" s="350">
        <f>IF(G249="Sim",0,IF(OR(F249="",D249="",L249=""),"",IF(L249="Sim",ROUND(F249-D249,2),0)))</f>
        <v/>
      </c>
      <c r="K249" s="97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inlineStr">
        <is>
          <t>Nao</t>
        </is>
      </c>
      <c r="W249" s="110" t="inlineStr">
        <is>
          <t>PC em analise</t>
        </is>
      </c>
      <c r="X249" s="110" t="inlineStr">
        <is>
          <t>Pedido de Compra</t>
        </is>
      </c>
      <c r="Y249" s="111" t="inlineStr">
        <is>
          <t>Impacto Potencial</t>
        </is>
      </c>
      <c r="Z249" s="111" t="inlineStr">
        <is>
          <t>PC</t>
        </is>
      </c>
      <c r="AA249" s="111" t="inlineStr">
        <is>
          <t>Nao</t>
        </is>
      </c>
      <c r="AB249" s="111" t="inlineStr">
        <is>
          <t>NAO_COMPUTADO</t>
        </is>
      </c>
      <c r="AC249" s="112" t="inlineStr">
        <is>
          <t>Estrutura Fase 1: sem impacto no VTA oficial</t>
        </is>
      </c>
    </row>
    <row r="250" ht="25.5" customHeight="1" s="289">
      <c r="A250" s="205" t="n"/>
      <c r="B250" s="207" t="n"/>
      <c r="C250" s="104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348" t="n"/>
      <c r="E250" s="349">
        <f>IF(C250="","",IFERROR(VLOOKUP(C250,parametros!$A$11:$E$15,5,0),""))</f>
        <v/>
      </c>
      <c r="F250" s="335">
        <f>IF(OR(D250="",E250=""),"",ROUND(D250*E250,2))</f>
        <v/>
      </c>
      <c r="G250" s="106" t="n"/>
      <c r="H250" s="350">
        <f>IF(G250="Sim",IF(OR(F250="",D250="",L250=""),"",IF(L250="Sim",ROUND(F250-D250,2),0)),0)</f>
        <v/>
      </c>
      <c r="I250" s="350">
        <f>IF(G250="Sim",0,IF(OR(F250="",L250=""),"",F250))</f>
        <v/>
      </c>
      <c r="J250" s="350">
        <f>IF(G250="Sim",0,IF(OR(F250="",D250="",L250=""),"",IF(L250="Sim",ROUND(F250-D250,2),0)))</f>
        <v/>
      </c>
      <c r="K250" s="97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inlineStr">
        <is>
          <t>Nao</t>
        </is>
      </c>
      <c r="W250" s="110" t="inlineStr">
        <is>
          <t>PC em analise</t>
        </is>
      </c>
      <c r="X250" s="110" t="inlineStr">
        <is>
          <t>Pedido de Compra</t>
        </is>
      </c>
      <c r="Y250" s="111" t="inlineStr">
        <is>
          <t>Impacto Potencial</t>
        </is>
      </c>
      <c r="Z250" s="111" t="inlineStr">
        <is>
          <t>PC</t>
        </is>
      </c>
      <c r="AA250" s="111" t="inlineStr">
        <is>
          <t>Nao</t>
        </is>
      </c>
      <c r="AB250" s="111" t="inlineStr">
        <is>
          <t>NAO_COMPUTADO</t>
        </is>
      </c>
      <c r="AC250" s="112" t="inlineStr">
        <is>
          <t>Estrutura Fase 1: sem impacto no VTA oficial</t>
        </is>
      </c>
    </row>
    <row r="251" ht="25.5" customHeight="1" s="289">
      <c r="A251" s="205" t="n"/>
      <c r="B251" s="207" t="n"/>
      <c r="C251" s="104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348" t="n"/>
      <c r="E251" s="349">
        <f>IF(C251="","",IFERROR(VLOOKUP(C251,parametros!$A$11:$E$15,5,0),""))</f>
        <v/>
      </c>
      <c r="F251" s="335">
        <f>IF(OR(D251="",E251=""),"",ROUND(D251*E251,2))</f>
        <v/>
      </c>
      <c r="G251" s="106" t="n"/>
      <c r="H251" s="350">
        <f>IF(G251="Sim",IF(OR(F251="",D251="",L251=""),"",IF(L251="Sim",ROUND(F251-D251,2),0)),0)</f>
        <v/>
      </c>
      <c r="I251" s="350">
        <f>IF(G251="Sim",0,IF(OR(F251="",L251=""),"",F251))</f>
        <v/>
      </c>
      <c r="J251" s="350">
        <f>IF(G251="Sim",0,IF(OR(F251="",D251="",L251=""),"",IF(L251="Sim",ROUND(F251-D251,2),0)))</f>
        <v/>
      </c>
      <c r="K251" s="97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inlineStr">
        <is>
          <t>Nao</t>
        </is>
      </c>
      <c r="W251" s="110" t="inlineStr">
        <is>
          <t>PC em analise</t>
        </is>
      </c>
      <c r="X251" s="110" t="inlineStr">
        <is>
          <t>Pedido de Compra</t>
        </is>
      </c>
      <c r="Y251" s="111" t="inlineStr">
        <is>
          <t>Impacto Potencial</t>
        </is>
      </c>
      <c r="Z251" s="111" t="inlineStr">
        <is>
          <t>PC</t>
        </is>
      </c>
      <c r="AA251" s="111" t="inlineStr">
        <is>
          <t>Nao</t>
        </is>
      </c>
      <c r="AB251" s="111" t="inlineStr">
        <is>
          <t>NAO_COMPUTADO</t>
        </is>
      </c>
      <c r="AC251" s="112" t="inlineStr">
        <is>
          <t>Estrutura Fase 1: sem impacto no VTA oficial</t>
        </is>
      </c>
    </row>
    <row r="252" ht="25.5" customHeight="1" s="289">
      <c r="A252" s="205" t="n"/>
      <c r="B252" s="207" t="n"/>
      <c r="C252" s="104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348" t="n"/>
      <c r="E252" s="349">
        <f>IF(C252="","",IFERROR(VLOOKUP(C252,parametros!$A$11:$E$15,5,0),""))</f>
        <v/>
      </c>
      <c r="F252" s="335">
        <f>IF(OR(D252="",E252=""),"",ROUND(D252*E252,2))</f>
        <v/>
      </c>
      <c r="G252" s="106" t="n"/>
      <c r="H252" s="350">
        <f>IF(G252="Sim",IF(OR(F252="",D252="",L252=""),"",IF(L252="Sim",ROUND(F252-D252,2),0)),0)</f>
        <v/>
      </c>
      <c r="I252" s="350">
        <f>IF(G252="Sim",0,IF(OR(F252="",L252=""),"",F252))</f>
        <v/>
      </c>
      <c r="J252" s="350">
        <f>IF(G252="Sim",0,IF(OR(F252="",D252="",L252=""),"",IF(L252="Sim",ROUND(F252-D252,2),0)))</f>
        <v/>
      </c>
      <c r="K252" s="97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inlineStr">
        <is>
          <t>Nao</t>
        </is>
      </c>
      <c r="W252" s="110" t="inlineStr">
        <is>
          <t>PC em analise</t>
        </is>
      </c>
      <c r="X252" s="110" t="inlineStr">
        <is>
          <t>Pedido de Compra</t>
        </is>
      </c>
      <c r="Y252" s="111" t="inlineStr">
        <is>
          <t>Impacto Potencial</t>
        </is>
      </c>
      <c r="Z252" s="111" t="inlineStr">
        <is>
          <t>PC</t>
        </is>
      </c>
      <c r="AA252" s="111" t="inlineStr">
        <is>
          <t>Nao</t>
        </is>
      </c>
      <c r="AB252" s="111" t="inlineStr">
        <is>
          <t>NAO_COMPUTADO</t>
        </is>
      </c>
      <c r="AC252" s="112" t="inlineStr">
        <is>
          <t>Estrutura Fase 1: sem impacto no VTA oficial</t>
        </is>
      </c>
    </row>
    <row r="253" ht="25.5" customHeight="1" s="289">
      <c r="A253" s="205" t="n"/>
      <c r="B253" s="207" t="n"/>
      <c r="C253" s="104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348" t="n"/>
      <c r="E253" s="349">
        <f>IF(C253="","",IFERROR(VLOOKUP(C253,parametros!$A$11:$E$15,5,0),""))</f>
        <v/>
      </c>
      <c r="F253" s="335">
        <f>IF(OR(D253="",E253=""),"",ROUND(D253*E253,2))</f>
        <v/>
      </c>
      <c r="G253" s="106" t="n"/>
      <c r="H253" s="350">
        <f>IF(G253="Sim",IF(OR(F253="",D253="",L253=""),"",IF(L253="Sim",ROUND(F253-D253,2),0)),0)</f>
        <v/>
      </c>
      <c r="I253" s="350">
        <f>IF(G253="Sim",0,IF(OR(F253="",L253=""),"",F253))</f>
        <v/>
      </c>
      <c r="J253" s="350">
        <f>IF(G253="Sim",0,IF(OR(F253="",D253="",L253=""),"",IF(L253="Sim",ROUND(F253-D253,2),0)))</f>
        <v/>
      </c>
      <c r="K253" s="97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inlineStr">
        <is>
          <t>Nao</t>
        </is>
      </c>
      <c r="W253" s="110" t="inlineStr">
        <is>
          <t>PC em analise</t>
        </is>
      </c>
      <c r="X253" s="110" t="inlineStr">
        <is>
          <t>Pedido de Compra</t>
        </is>
      </c>
      <c r="Y253" s="111" t="inlineStr">
        <is>
          <t>Impacto Potencial</t>
        </is>
      </c>
      <c r="Z253" s="111" t="inlineStr">
        <is>
          <t>PC</t>
        </is>
      </c>
      <c r="AA253" s="111" t="inlineStr">
        <is>
          <t>Nao</t>
        </is>
      </c>
      <c r="AB253" s="111" t="inlineStr">
        <is>
          <t>NAO_COMPUTADO</t>
        </is>
      </c>
      <c r="AC253" s="112" t="inlineStr">
        <is>
          <t>Estrutura Fase 1: sem impacto no VTA oficial</t>
        </is>
      </c>
    </row>
    <row r="254" ht="25.5" customHeight="1" s="289">
      <c r="A254" s="205" t="n"/>
      <c r="B254" s="207" t="n"/>
      <c r="C254" s="104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348" t="n"/>
      <c r="E254" s="349">
        <f>IF(C254="","",IFERROR(VLOOKUP(C254,parametros!$A$11:$E$15,5,0),""))</f>
        <v/>
      </c>
      <c r="F254" s="335">
        <f>IF(OR(D254="",E254=""),"",ROUND(D254*E254,2))</f>
        <v/>
      </c>
      <c r="G254" s="106" t="n"/>
      <c r="H254" s="350">
        <f>IF(G254="Sim",IF(OR(F254="",D254="",L254=""),"",IF(L254="Sim",ROUND(F254-D254,2),0)),0)</f>
        <v/>
      </c>
      <c r="I254" s="350">
        <f>IF(G254="Sim",0,IF(OR(F254="",L254=""),"",F254))</f>
        <v/>
      </c>
      <c r="J254" s="350">
        <f>IF(G254="Sim",0,IF(OR(F254="",D254="",L254=""),"",IF(L254="Sim",ROUND(F254-D254,2),0)))</f>
        <v/>
      </c>
      <c r="K254" s="97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inlineStr">
        <is>
          <t>Nao</t>
        </is>
      </c>
      <c r="W254" s="110" t="inlineStr">
        <is>
          <t>PC em analise</t>
        </is>
      </c>
      <c r="X254" s="110" t="inlineStr">
        <is>
          <t>Pedido de Compra</t>
        </is>
      </c>
      <c r="Y254" s="111" t="inlineStr">
        <is>
          <t>Impacto Potencial</t>
        </is>
      </c>
      <c r="Z254" s="111" t="inlineStr">
        <is>
          <t>PC</t>
        </is>
      </c>
      <c r="AA254" s="111" t="inlineStr">
        <is>
          <t>Nao</t>
        </is>
      </c>
      <c r="AB254" s="111" t="inlineStr">
        <is>
          <t>NAO_COMPUTADO</t>
        </is>
      </c>
      <c r="AC254" s="112" t="inlineStr">
        <is>
          <t>Estrutura Fase 1: sem impacto no VTA oficial</t>
        </is>
      </c>
    </row>
    <row r="255" ht="25.5" customHeight="1" s="289">
      <c r="A255" s="205" t="n"/>
      <c r="B255" s="207" t="n"/>
      <c r="C255" s="104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348" t="n"/>
      <c r="E255" s="349">
        <f>IF(C255="","",IFERROR(VLOOKUP(C255,parametros!$A$11:$E$15,5,0),""))</f>
        <v/>
      </c>
      <c r="F255" s="335">
        <f>IF(OR(D255="",E255=""),"",ROUND(D255*E255,2))</f>
        <v/>
      </c>
      <c r="G255" s="106" t="n"/>
      <c r="H255" s="350">
        <f>IF(G255="Sim",IF(OR(F255="",D255="",L255=""),"",IF(L255="Sim",ROUND(F255-D255,2),0)),0)</f>
        <v/>
      </c>
      <c r="I255" s="350">
        <f>IF(G255="Sim",0,IF(OR(F255="",L255=""),"",F255))</f>
        <v/>
      </c>
      <c r="J255" s="350">
        <f>IF(G255="Sim",0,IF(OR(F255="",D255="",L255=""),"",IF(L255="Sim",ROUND(F255-D255,2),0)))</f>
        <v/>
      </c>
      <c r="K255" s="97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inlineStr">
        <is>
          <t>Nao</t>
        </is>
      </c>
      <c r="W255" s="110" t="inlineStr">
        <is>
          <t>PC em analise</t>
        </is>
      </c>
      <c r="X255" s="110" t="inlineStr">
        <is>
          <t>Pedido de Compra</t>
        </is>
      </c>
      <c r="Y255" s="111" t="inlineStr">
        <is>
          <t>Impacto Potencial</t>
        </is>
      </c>
      <c r="Z255" s="111" t="inlineStr">
        <is>
          <t>PC</t>
        </is>
      </c>
      <c r="AA255" s="111" t="inlineStr">
        <is>
          <t>Nao</t>
        </is>
      </c>
      <c r="AB255" s="111" t="inlineStr">
        <is>
          <t>NAO_COMPUTADO</t>
        </is>
      </c>
      <c r="AC255" s="112" t="inlineStr">
        <is>
          <t>Estrutura Fase 1: sem impacto no VTA oficial</t>
        </is>
      </c>
    </row>
    <row r="256" ht="25.5" customHeight="1" s="289">
      <c r="A256" s="205" t="n"/>
      <c r="B256" s="207" t="n"/>
      <c r="C256" s="104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348" t="n"/>
      <c r="E256" s="349">
        <f>IF(C256="","",IFERROR(VLOOKUP(C256,parametros!$A$11:$E$15,5,0),""))</f>
        <v/>
      </c>
      <c r="F256" s="335">
        <f>IF(OR(D256="",E256=""),"",ROUND(D256*E256,2))</f>
        <v/>
      </c>
      <c r="G256" s="106" t="n"/>
      <c r="H256" s="350">
        <f>IF(G256="Sim",IF(OR(F256="",D256="",L256=""),"",IF(L256="Sim",ROUND(F256-D256,2),0)),0)</f>
        <v/>
      </c>
      <c r="I256" s="350">
        <f>IF(G256="Sim",0,IF(OR(F256="",L256=""),"",F256))</f>
        <v/>
      </c>
      <c r="J256" s="350">
        <f>IF(G256="Sim",0,IF(OR(F256="",D256="",L256=""),"",IF(L256="Sim",ROUND(F256-D256,2),0)))</f>
        <v/>
      </c>
      <c r="K256" s="97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inlineStr">
        <is>
          <t>Nao</t>
        </is>
      </c>
      <c r="W256" s="110" t="inlineStr">
        <is>
          <t>PC em analise</t>
        </is>
      </c>
      <c r="X256" s="110" t="inlineStr">
        <is>
          <t>Pedido de Compra</t>
        </is>
      </c>
      <c r="Y256" s="111" t="inlineStr">
        <is>
          <t>Impacto Potencial</t>
        </is>
      </c>
      <c r="Z256" s="111" t="inlineStr">
        <is>
          <t>PC</t>
        </is>
      </c>
      <c r="AA256" s="111" t="inlineStr">
        <is>
          <t>Nao</t>
        </is>
      </c>
      <c r="AB256" s="111" t="inlineStr">
        <is>
          <t>NAO_COMPUTADO</t>
        </is>
      </c>
      <c r="AC256" s="112" t="inlineStr">
        <is>
          <t>Estrutura Fase 1: sem impacto no VTA oficial</t>
        </is>
      </c>
    </row>
    <row r="257" ht="25.5" customHeight="1" s="289">
      <c r="A257" s="205" t="n"/>
      <c r="B257" s="207" t="n"/>
      <c r="C257" s="104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348" t="n"/>
      <c r="E257" s="349">
        <f>IF(C257="","",IFERROR(VLOOKUP(C257,parametros!$A$11:$E$15,5,0),""))</f>
        <v/>
      </c>
      <c r="F257" s="335">
        <f>IF(OR(D257="",E257=""),"",ROUND(D257*E257,2))</f>
        <v/>
      </c>
      <c r="G257" s="106" t="n"/>
      <c r="H257" s="350">
        <f>IF(G257="Sim",IF(OR(F257="",D257="",L257=""),"",IF(L257="Sim",ROUND(F257-D257,2),0)),0)</f>
        <v/>
      </c>
      <c r="I257" s="350">
        <f>IF(G257="Sim",0,IF(OR(F257="",L257=""),"",F257))</f>
        <v/>
      </c>
      <c r="J257" s="350">
        <f>IF(G257="Sim",0,IF(OR(F257="",D257="",L257=""),"",IF(L257="Sim",ROUND(F257-D257,2),0)))</f>
        <v/>
      </c>
      <c r="K257" s="97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inlineStr">
        <is>
          <t>Nao</t>
        </is>
      </c>
      <c r="W257" s="110" t="inlineStr">
        <is>
          <t>PC em analise</t>
        </is>
      </c>
      <c r="X257" s="110" t="inlineStr">
        <is>
          <t>Pedido de Compra</t>
        </is>
      </c>
      <c r="Y257" s="111" t="inlineStr">
        <is>
          <t>Impacto Potencial</t>
        </is>
      </c>
      <c r="Z257" s="111" t="inlineStr">
        <is>
          <t>PC</t>
        </is>
      </c>
      <c r="AA257" s="111" t="inlineStr">
        <is>
          <t>Nao</t>
        </is>
      </c>
      <c r="AB257" s="111" t="inlineStr">
        <is>
          <t>NAO_COMPUTADO</t>
        </is>
      </c>
      <c r="AC257" s="112" t="inlineStr">
        <is>
          <t>Estrutura Fase 1: sem impacto no VTA oficial</t>
        </is>
      </c>
    </row>
    <row r="258" ht="25.5" customHeight="1" s="289">
      <c r="A258" s="205" t="n"/>
      <c r="B258" s="207" t="n"/>
      <c r="C258" s="104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348" t="n"/>
      <c r="E258" s="349">
        <f>IF(C258="","",IFERROR(VLOOKUP(C258,parametros!$A$11:$E$15,5,0),""))</f>
        <v/>
      </c>
      <c r="F258" s="335">
        <f>IF(OR(D258="",E258=""),"",ROUND(D258*E258,2))</f>
        <v/>
      </c>
      <c r="G258" s="106" t="n"/>
      <c r="H258" s="350">
        <f>IF(G258="Sim",IF(OR(F258="",D258="",L258=""),"",IF(L258="Sim",ROUND(F258-D258,2),0)),0)</f>
        <v/>
      </c>
      <c r="I258" s="350">
        <f>IF(G258="Sim",0,IF(OR(F258="",L258=""),"",F258))</f>
        <v/>
      </c>
      <c r="J258" s="350">
        <f>IF(G258="Sim",0,IF(OR(F258="",D258="",L258=""),"",IF(L258="Sim",ROUND(F258-D258,2),0)))</f>
        <v/>
      </c>
      <c r="K258" s="97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inlineStr">
        <is>
          <t>Nao</t>
        </is>
      </c>
      <c r="W258" s="110" t="inlineStr">
        <is>
          <t>PC em analise</t>
        </is>
      </c>
      <c r="X258" s="110" t="inlineStr">
        <is>
          <t>Pedido de Compra</t>
        </is>
      </c>
      <c r="Y258" s="111" t="inlineStr">
        <is>
          <t>Impacto Potencial</t>
        </is>
      </c>
      <c r="Z258" s="111" t="inlineStr">
        <is>
          <t>PC</t>
        </is>
      </c>
      <c r="AA258" s="111" t="inlineStr">
        <is>
          <t>Nao</t>
        </is>
      </c>
      <c r="AB258" s="111" t="inlineStr">
        <is>
          <t>NAO_COMPUTADO</t>
        </is>
      </c>
      <c r="AC258" s="112" t="inlineStr">
        <is>
          <t>Estrutura Fase 1: sem impacto no VTA oficial</t>
        </is>
      </c>
    </row>
    <row r="259" ht="25.5" customHeight="1" s="289">
      <c r="A259" s="205" t="n"/>
      <c r="B259" s="207" t="n"/>
      <c r="C259" s="104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348" t="n"/>
      <c r="E259" s="349">
        <f>IF(C259="","",IFERROR(VLOOKUP(C259,parametros!$A$11:$E$15,5,0),""))</f>
        <v/>
      </c>
      <c r="F259" s="335">
        <f>IF(OR(D259="",E259=""),"",ROUND(D259*E259,2))</f>
        <v/>
      </c>
      <c r="G259" s="106" t="n"/>
      <c r="H259" s="350">
        <f>IF(G259="Sim",IF(OR(F259="",D259="",L259=""),"",IF(L259="Sim",ROUND(F259-D259,2),0)),0)</f>
        <v/>
      </c>
      <c r="I259" s="350">
        <f>IF(G259="Sim",0,IF(OR(F259="",L259=""),"",F259))</f>
        <v/>
      </c>
      <c r="J259" s="350">
        <f>IF(G259="Sim",0,IF(OR(F259="",D259="",L259=""),"",IF(L259="Sim",ROUND(F259-D259,2),0)))</f>
        <v/>
      </c>
      <c r="K259" s="97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inlineStr">
        <is>
          <t>Nao</t>
        </is>
      </c>
      <c r="W259" s="110" t="inlineStr">
        <is>
          <t>PC em analise</t>
        </is>
      </c>
      <c r="X259" s="110" t="inlineStr">
        <is>
          <t>Pedido de Compra</t>
        </is>
      </c>
      <c r="Y259" s="111" t="inlineStr">
        <is>
          <t>Impacto Potencial</t>
        </is>
      </c>
      <c r="Z259" s="111" t="inlineStr">
        <is>
          <t>PC</t>
        </is>
      </c>
      <c r="AA259" s="111" t="inlineStr">
        <is>
          <t>Nao</t>
        </is>
      </c>
      <c r="AB259" s="111" t="inlineStr">
        <is>
          <t>NAO_COMPUTADO</t>
        </is>
      </c>
      <c r="AC259" s="112" t="inlineStr">
        <is>
          <t>Estrutura Fase 1: sem impacto no VTA oficial</t>
        </is>
      </c>
    </row>
    <row r="260" ht="25.5" customHeight="1" s="289">
      <c r="A260" s="205" t="n"/>
      <c r="B260" s="207" t="n"/>
      <c r="C260" s="104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348" t="n"/>
      <c r="E260" s="349">
        <f>IF(C260="","",IFERROR(VLOOKUP(C260,parametros!$A$11:$E$15,5,0),""))</f>
        <v/>
      </c>
      <c r="F260" s="335">
        <f>IF(OR(D260="",E260=""),"",ROUND(D260*E260,2))</f>
        <v/>
      </c>
      <c r="G260" s="106" t="n"/>
      <c r="H260" s="350">
        <f>IF(G260="Sim",IF(OR(F260="",D260="",L260=""),"",IF(L260="Sim",ROUND(F260-D260,2),0)),0)</f>
        <v/>
      </c>
      <c r="I260" s="350">
        <f>IF(G260="Sim",0,IF(OR(F260="",L260=""),"",F260))</f>
        <v/>
      </c>
      <c r="J260" s="350">
        <f>IF(G260="Sim",0,IF(OR(F260="",D260="",L260=""),"",IF(L260="Sim",ROUND(F260-D260,2),0)))</f>
        <v/>
      </c>
      <c r="K260" s="97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inlineStr">
        <is>
          <t>Nao</t>
        </is>
      </c>
      <c r="W260" s="110" t="inlineStr">
        <is>
          <t>PC em analise</t>
        </is>
      </c>
      <c r="X260" s="110" t="inlineStr">
        <is>
          <t>Pedido de Compra</t>
        </is>
      </c>
      <c r="Y260" s="111" t="inlineStr">
        <is>
          <t>Impacto Potencial</t>
        </is>
      </c>
      <c r="Z260" s="111" t="inlineStr">
        <is>
          <t>PC</t>
        </is>
      </c>
      <c r="AA260" s="111" t="inlineStr">
        <is>
          <t>Nao</t>
        </is>
      </c>
      <c r="AB260" s="111" t="inlineStr">
        <is>
          <t>NAO_COMPUTADO</t>
        </is>
      </c>
      <c r="AC260" s="112" t="inlineStr">
        <is>
          <t>Estrutura Fase 1: sem impacto no VTA oficial</t>
        </is>
      </c>
    </row>
    <row r="261" ht="25.5" customHeight="1" s="289">
      <c r="A261" s="205" t="n"/>
      <c r="B261" s="207" t="n"/>
      <c r="C261" s="104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348" t="n"/>
      <c r="E261" s="349">
        <f>IF(C261="","",IFERROR(VLOOKUP(C261,parametros!$A$11:$E$15,5,0),""))</f>
        <v/>
      </c>
      <c r="F261" s="335">
        <f>IF(OR(D261="",E261=""),"",ROUND(D261*E261,2))</f>
        <v/>
      </c>
      <c r="G261" s="106" t="n"/>
      <c r="H261" s="350">
        <f>IF(G261="Sim",IF(OR(F261="",D261="",L261=""),"",IF(L261="Sim",ROUND(F261-D261,2),0)),0)</f>
        <v/>
      </c>
      <c r="I261" s="350">
        <f>IF(G261="Sim",0,IF(OR(F261="",L261=""),"",F261))</f>
        <v/>
      </c>
      <c r="J261" s="350">
        <f>IF(G261="Sim",0,IF(OR(F261="",D261="",L261=""),"",IF(L261="Sim",ROUND(F261-D261,2),0)))</f>
        <v/>
      </c>
      <c r="K261" s="97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inlineStr">
        <is>
          <t>Nao</t>
        </is>
      </c>
      <c r="W261" s="110" t="inlineStr">
        <is>
          <t>PC em analise</t>
        </is>
      </c>
      <c r="X261" s="110" t="inlineStr">
        <is>
          <t>Pedido de Compra</t>
        </is>
      </c>
      <c r="Y261" s="111" t="inlineStr">
        <is>
          <t>Impacto Potencial</t>
        </is>
      </c>
      <c r="Z261" s="111" t="inlineStr">
        <is>
          <t>PC</t>
        </is>
      </c>
      <c r="AA261" s="111" t="inlineStr">
        <is>
          <t>Nao</t>
        </is>
      </c>
      <c r="AB261" s="111" t="inlineStr">
        <is>
          <t>NAO_COMPUTADO</t>
        </is>
      </c>
      <c r="AC261" s="112" t="inlineStr">
        <is>
          <t>Estrutura Fase 1: sem impacto no VTA oficial</t>
        </is>
      </c>
    </row>
    <row r="262" ht="25.5" customHeight="1" s="289">
      <c r="A262" s="205" t="n"/>
      <c r="B262" s="207" t="n"/>
      <c r="C262" s="104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348" t="n"/>
      <c r="E262" s="349">
        <f>IF(C262="","",IFERROR(VLOOKUP(C262,parametros!$A$11:$E$15,5,0),""))</f>
        <v/>
      </c>
      <c r="F262" s="335">
        <f>IF(OR(D262="",E262=""),"",ROUND(D262*E262,2))</f>
        <v/>
      </c>
      <c r="G262" s="106" t="n"/>
      <c r="H262" s="350">
        <f>IF(G262="Sim",IF(OR(F262="",D262="",L262=""),"",IF(L262="Sim",ROUND(F262-D262,2),0)),0)</f>
        <v/>
      </c>
      <c r="I262" s="350">
        <f>IF(G262="Sim",0,IF(OR(F262="",L262=""),"",F262))</f>
        <v/>
      </c>
      <c r="J262" s="350">
        <f>IF(G262="Sim",0,IF(OR(F262="",D262="",L262=""),"",IF(L262="Sim",ROUND(F262-D262,2),0)))</f>
        <v/>
      </c>
      <c r="K262" s="97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inlineStr">
        <is>
          <t>Nao</t>
        </is>
      </c>
      <c r="W262" s="110" t="inlineStr">
        <is>
          <t>PC em analise</t>
        </is>
      </c>
      <c r="X262" s="110" t="inlineStr">
        <is>
          <t>Pedido de Compra</t>
        </is>
      </c>
      <c r="Y262" s="111" t="inlineStr">
        <is>
          <t>Impacto Potencial</t>
        </is>
      </c>
      <c r="Z262" s="111" t="inlineStr">
        <is>
          <t>PC</t>
        </is>
      </c>
      <c r="AA262" s="111" t="inlineStr">
        <is>
          <t>Nao</t>
        </is>
      </c>
      <c r="AB262" s="111" t="inlineStr">
        <is>
          <t>NAO_COMPUTADO</t>
        </is>
      </c>
      <c r="AC262" s="112" t="inlineStr">
        <is>
          <t>Estrutura Fase 1: sem impacto no VTA oficial</t>
        </is>
      </c>
    </row>
    <row r="263" ht="25.5" customHeight="1" s="289">
      <c r="A263" s="205" t="n"/>
      <c r="B263" s="207" t="n"/>
      <c r="C263" s="104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348" t="n"/>
      <c r="E263" s="349">
        <f>IF(C263="","",IFERROR(VLOOKUP(C263,parametros!$A$11:$E$15,5,0),""))</f>
        <v/>
      </c>
      <c r="F263" s="335">
        <f>IF(OR(D263="",E263=""),"",ROUND(D263*E263,2))</f>
        <v/>
      </c>
      <c r="G263" s="106" t="n"/>
      <c r="H263" s="350">
        <f>IF(G263="Sim",IF(OR(F263="",D263="",L263=""),"",IF(L263="Sim",ROUND(F263-D263,2),0)),0)</f>
        <v/>
      </c>
      <c r="I263" s="350">
        <f>IF(G263="Sim",0,IF(OR(F263="",L263=""),"",F263))</f>
        <v/>
      </c>
      <c r="J263" s="350">
        <f>IF(G263="Sim",0,IF(OR(F263="",D263="",L263=""),"",IF(L263="Sim",ROUND(F263-D263,2),0)))</f>
        <v/>
      </c>
      <c r="K263" s="97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inlineStr">
        <is>
          <t>Nao</t>
        </is>
      </c>
      <c r="W263" s="110" t="inlineStr">
        <is>
          <t>PC em analise</t>
        </is>
      </c>
      <c r="X263" s="110" t="inlineStr">
        <is>
          <t>Pedido de Compra</t>
        </is>
      </c>
      <c r="Y263" s="111" t="inlineStr">
        <is>
          <t>Impacto Potencial</t>
        </is>
      </c>
      <c r="Z263" s="111" t="inlineStr">
        <is>
          <t>PC</t>
        </is>
      </c>
      <c r="AA263" s="111" t="inlineStr">
        <is>
          <t>Nao</t>
        </is>
      </c>
      <c r="AB263" s="111" t="inlineStr">
        <is>
          <t>NAO_COMPUTADO</t>
        </is>
      </c>
      <c r="AC263" s="112" t="inlineStr">
        <is>
          <t>Estrutura Fase 1: sem impacto no VTA oficial</t>
        </is>
      </c>
    </row>
    <row r="264" ht="25.5" customHeight="1" s="289">
      <c r="A264" s="205" t="n"/>
      <c r="B264" s="207" t="n"/>
      <c r="C264" s="104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348" t="n"/>
      <c r="E264" s="349">
        <f>IF(C264="","",IFERROR(VLOOKUP(C264,parametros!$A$11:$E$15,5,0),""))</f>
        <v/>
      </c>
      <c r="F264" s="335">
        <f>IF(OR(D264="",E264=""),"",ROUND(D264*E264,2))</f>
        <v/>
      </c>
      <c r="G264" s="106" t="n"/>
      <c r="H264" s="350">
        <f>IF(G264="Sim",IF(OR(F264="",D264="",L264=""),"",IF(L264="Sim",ROUND(F264-D264,2),0)),0)</f>
        <v/>
      </c>
      <c r="I264" s="350">
        <f>IF(G264="Sim",0,IF(OR(F264="",L264=""),"",F264))</f>
        <v/>
      </c>
      <c r="J264" s="350">
        <f>IF(G264="Sim",0,IF(OR(F264="",D264="",L264=""),"",IF(L264="Sim",ROUND(F264-D264,2),0)))</f>
        <v/>
      </c>
      <c r="K264" s="97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inlineStr">
        <is>
          <t>Nao</t>
        </is>
      </c>
      <c r="W264" s="110" t="inlineStr">
        <is>
          <t>PC em analise</t>
        </is>
      </c>
      <c r="X264" s="110" t="inlineStr">
        <is>
          <t>Pedido de Compra</t>
        </is>
      </c>
      <c r="Y264" s="111" t="inlineStr">
        <is>
          <t>Impacto Potencial</t>
        </is>
      </c>
      <c r="Z264" s="111" t="inlineStr">
        <is>
          <t>PC</t>
        </is>
      </c>
      <c r="AA264" s="111" t="inlineStr">
        <is>
          <t>Nao</t>
        </is>
      </c>
      <c r="AB264" s="111" t="inlineStr">
        <is>
          <t>NAO_COMPUTADO</t>
        </is>
      </c>
      <c r="AC264" s="112" t="inlineStr">
        <is>
          <t>Estrutura Fase 1: sem impacto no VTA oficial</t>
        </is>
      </c>
    </row>
    <row r="265" ht="25.5" customHeight="1" s="289">
      <c r="A265" s="205" t="n"/>
      <c r="B265" s="207" t="n"/>
      <c r="C265" s="104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348" t="n"/>
      <c r="E265" s="349">
        <f>IF(C265="","",IFERROR(VLOOKUP(C265,parametros!$A$11:$E$15,5,0),""))</f>
        <v/>
      </c>
      <c r="F265" s="335">
        <f>IF(OR(D265="",E265=""),"",ROUND(D265*E265,2))</f>
        <v/>
      </c>
      <c r="G265" s="106" t="n"/>
      <c r="H265" s="350">
        <f>IF(G265="Sim",IF(OR(F265="",D265="",L265=""),"",IF(L265="Sim",ROUND(F265-D265,2),0)),0)</f>
        <v/>
      </c>
      <c r="I265" s="350">
        <f>IF(G265="Sim",0,IF(OR(F265="",L265=""),"",F265))</f>
        <v/>
      </c>
      <c r="J265" s="350">
        <f>IF(G265="Sim",0,IF(OR(F265="",D265="",L265=""),"",IF(L265="Sim",ROUND(F265-D265,2),0)))</f>
        <v/>
      </c>
      <c r="K265" s="97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inlineStr">
        <is>
          <t>Nao</t>
        </is>
      </c>
      <c r="W265" s="110" t="inlineStr">
        <is>
          <t>PC em analise</t>
        </is>
      </c>
      <c r="X265" s="110" t="inlineStr">
        <is>
          <t>Pedido de Compra</t>
        </is>
      </c>
      <c r="Y265" s="111" t="inlineStr">
        <is>
          <t>Impacto Potencial</t>
        </is>
      </c>
      <c r="Z265" s="111" t="inlineStr">
        <is>
          <t>PC</t>
        </is>
      </c>
      <c r="AA265" s="111" t="inlineStr">
        <is>
          <t>Nao</t>
        </is>
      </c>
      <c r="AB265" s="111" t="inlineStr">
        <is>
          <t>NAO_COMPUTADO</t>
        </is>
      </c>
      <c r="AC265" s="112" t="inlineStr">
        <is>
          <t>Estrutura Fase 1: sem impacto no VTA oficial</t>
        </is>
      </c>
    </row>
    <row r="266" ht="25.5" customHeight="1" s="289">
      <c r="A266" s="205" t="n"/>
      <c r="B266" s="207" t="n"/>
      <c r="C266" s="104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348" t="n"/>
      <c r="E266" s="349">
        <f>IF(C266="","",IFERROR(VLOOKUP(C266,parametros!$A$11:$E$15,5,0),""))</f>
        <v/>
      </c>
      <c r="F266" s="335">
        <f>IF(OR(D266="",E266=""),"",ROUND(D266*E266,2))</f>
        <v/>
      </c>
      <c r="G266" s="106" t="n"/>
      <c r="H266" s="350">
        <f>IF(G266="Sim",IF(OR(F266="",D266="",L266=""),"",IF(L266="Sim",ROUND(F266-D266,2),0)),0)</f>
        <v/>
      </c>
      <c r="I266" s="350">
        <f>IF(G266="Sim",0,IF(OR(F266="",L266=""),"",F266))</f>
        <v/>
      </c>
      <c r="J266" s="350">
        <f>IF(G266="Sim",0,IF(OR(F266="",D266="",L266=""),"",IF(L266="Sim",ROUND(F266-D266,2),0)))</f>
        <v/>
      </c>
      <c r="K266" s="97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inlineStr">
        <is>
          <t>Nao</t>
        </is>
      </c>
      <c r="W266" s="110" t="inlineStr">
        <is>
          <t>PC em analise</t>
        </is>
      </c>
      <c r="X266" s="110" t="inlineStr">
        <is>
          <t>Pedido de Compra</t>
        </is>
      </c>
      <c r="Y266" s="111" t="inlineStr">
        <is>
          <t>Impacto Potencial</t>
        </is>
      </c>
      <c r="Z266" s="111" t="inlineStr">
        <is>
          <t>PC</t>
        </is>
      </c>
      <c r="AA266" s="111" t="inlineStr">
        <is>
          <t>Nao</t>
        </is>
      </c>
      <c r="AB266" s="111" t="inlineStr">
        <is>
          <t>NAO_COMPUTADO</t>
        </is>
      </c>
      <c r="AC266" s="112" t="inlineStr">
        <is>
          <t>Estrutura Fase 1: sem impacto no VTA oficial</t>
        </is>
      </c>
    </row>
    <row r="267" ht="25.5" customHeight="1" s="289">
      <c r="A267" s="205" t="n"/>
      <c r="B267" s="207" t="n"/>
      <c r="C267" s="104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348" t="n"/>
      <c r="E267" s="349">
        <f>IF(C267="","",IFERROR(VLOOKUP(C267,parametros!$A$11:$E$15,5,0),""))</f>
        <v/>
      </c>
      <c r="F267" s="335">
        <f>IF(OR(D267="",E267=""),"",ROUND(D267*E267,2))</f>
        <v/>
      </c>
      <c r="G267" s="106" t="n"/>
      <c r="H267" s="350">
        <f>IF(G267="Sim",IF(OR(F267="",D267="",L267=""),"",IF(L267="Sim",ROUND(F267-D267,2),0)),0)</f>
        <v/>
      </c>
      <c r="I267" s="350">
        <f>IF(G267="Sim",0,IF(OR(F267="",L267=""),"",F267))</f>
        <v/>
      </c>
      <c r="J267" s="350">
        <f>IF(G267="Sim",0,IF(OR(F267="",D267="",L267=""),"",IF(L267="Sim",ROUND(F267-D267,2),0)))</f>
        <v/>
      </c>
      <c r="K267" s="97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inlineStr">
        <is>
          <t>Nao</t>
        </is>
      </c>
      <c r="W267" s="110" t="inlineStr">
        <is>
          <t>PC em analise</t>
        </is>
      </c>
      <c r="X267" s="110" t="inlineStr">
        <is>
          <t>Pedido de Compra</t>
        </is>
      </c>
      <c r="Y267" s="111" t="inlineStr">
        <is>
          <t>Impacto Potencial</t>
        </is>
      </c>
      <c r="Z267" s="111" t="inlineStr">
        <is>
          <t>PC</t>
        </is>
      </c>
      <c r="AA267" s="111" t="inlineStr">
        <is>
          <t>Nao</t>
        </is>
      </c>
      <c r="AB267" s="111" t="inlineStr">
        <is>
          <t>NAO_COMPUTADO</t>
        </is>
      </c>
      <c r="AC267" s="112" t="inlineStr">
        <is>
          <t>Estrutura Fase 1: sem impacto no VTA oficial</t>
        </is>
      </c>
    </row>
    <row r="268" ht="25.5" customHeight="1" s="289">
      <c r="A268" s="205" t="n"/>
      <c r="B268" s="207" t="n"/>
      <c r="C268" s="104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348" t="n"/>
      <c r="E268" s="349">
        <f>IF(C268="","",IFERROR(VLOOKUP(C268,parametros!$A$11:$E$15,5,0),""))</f>
        <v/>
      </c>
      <c r="F268" s="335">
        <f>IF(OR(D268="",E268=""),"",ROUND(D268*E268,2))</f>
        <v/>
      </c>
      <c r="G268" s="106" t="n"/>
      <c r="H268" s="350">
        <f>IF(G268="Sim",IF(OR(F268="",D268="",L268=""),"",IF(L268="Sim",ROUND(F268-D268,2),0)),0)</f>
        <v/>
      </c>
      <c r="I268" s="350">
        <f>IF(G268="Sim",0,IF(OR(F268="",L268=""),"",F268))</f>
        <v/>
      </c>
      <c r="J268" s="350">
        <f>IF(G268="Sim",0,IF(OR(F268="",D268="",L268=""),"",IF(L268="Sim",ROUND(F268-D268,2),0)))</f>
        <v/>
      </c>
      <c r="K268" s="97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inlineStr">
        <is>
          <t>Nao</t>
        </is>
      </c>
      <c r="W268" s="110" t="inlineStr">
        <is>
          <t>PC em analise</t>
        </is>
      </c>
      <c r="X268" s="110" t="inlineStr">
        <is>
          <t>Pedido de Compra</t>
        </is>
      </c>
      <c r="Y268" s="111" t="inlineStr">
        <is>
          <t>Impacto Potencial</t>
        </is>
      </c>
      <c r="Z268" s="111" t="inlineStr">
        <is>
          <t>PC</t>
        </is>
      </c>
      <c r="AA268" s="111" t="inlineStr">
        <is>
          <t>Nao</t>
        </is>
      </c>
      <c r="AB268" s="111" t="inlineStr">
        <is>
          <t>NAO_COMPUTADO</t>
        </is>
      </c>
      <c r="AC268" s="112" t="inlineStr">
        <is>
          <t>Estrutura Fase 1: sem impacto no VTA oficial</t>
        </is>
      </c>
    </row>
    <row r="269" ht="25.5" customHeight="1" s="289">
      <c r="A269" s="205" t="n"/>
      <c r="B269" s="207" t="n"/>
      <c r="C269" s="104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348" t="n"/>
      <c r="E269" s="349">
        <f>IF(C269="","",IFERROR(VLOOKUP(C269,parametros!$A$11:$E$15,5,0),""))</f>
        <v/>
      </c>
      <c r="F269" s="335">
        <f>IF(OR(D269="",E269=""),"",ROUND(D269*E269,2))</f>
        <v/>
      </c>
      <c r="G269" s="106" t="n"/>
      <c r="H269" s="350">
        <f>IF(G269="Sim",IF(OR(F269="",D269="",L269=""),"",IF(L269="Sim",ROUND(F269-D269,2),0)),0)</f>
        <v/>
      </c>
      <c r="I269" s="350">
        <f>IF(G269="Sim",0,IF(OR(F269="",L269=""),"",F269))</f>
        <v/>
      </c>
      <c r="J269" s="350">
        <f>IF(G269="Sim",0,IF(OR(F269="",D269="",L269=""),"",IF(L269="Sim",ROUND(F269-D269,2),0)))</f>
        <v/>
      </c>
      <c r="K269" s="97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inlineStr">
        <is>
          <t>Nao</t>
        </is>
      </c>
      <c r="W269" s="110" t="inlineStr">
        <is>
          <t>PC em analise</t>
        </is>
      </c>
      <c r="X269" s="110" t="inlineStr">
        <is>
          <t>Pedido de Compra</t>
        </is>
      </c>
      <c r="Y269" s="111" t="inlineStr">
        <is>
          <t>Impacto Potencial</t>
        </is>
      </c>
      <c r="Z269" s="111" t="inlineStr">
        <is>
          <t>PC</t>
        </is>
      </c>
      <c r="AA269" s="111" t="inlineStr">
        <is>
          <t>Nao</t>
        </is>
      </c>
      <c r="AB269" s="111" t="inlineStr">
        <is>
          <t>NAO_COMPUTADO</t>
        </is>
      </c>
      <c r="AC269" s="112" t="inlineStr">
        <is>
          <t>Estrutura Fase 1: sem impacto no VTA oficial</t>
        </is>
      </c>
    </row>
    <row r="270" ht="25.5" customHeight="1" s="289">
      <c r="A270" s="205" t="n"/>
      <c r="B270" s="207" t="n"/>
      <c r="C270" s="104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348" t="n"/>
      <c r="E270" s="349">
        <f>IF(C270="","",IFERROR(VLOOKUP(C270,parametros!$A$11:$E$15,5,0),""))</f>
        <v/>
      </c>
      <c r="F270" s="335">
        <f>IF(OR(D270="",E270=""),"",ROUND(D270*E270,2))</f>
        <v/>
      </c>
      <c r="G270" s="106" t="n"/>
      <c r="H270" s="350">
        <f>IF(G270="Sim",IF(OR(F270="",D270="",L270=""),"",IF(L270="Sim",ROUND(F270-D270,2),0)),0)</f>
        <v/>
      </c>
      <c r="I270" s="350">
        <f>IF(G270="Sim",0,IF(OR(F270="",L270=""),"",F270))</f>
        <v/>
      </c>
      <c r="J270" s="350">
        <f>IF(G270="Sim",0,IF(OR(F270="",D270="",L270=""),"",IF(L270="Sim",ROUND(F270-D270,2),0)))</f>
        <v/>
      </c>
      <c r="K270" s="97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inlineStr">
        <is>
          <t>Nao</t>
        </is>
      </c>
      <c r="W270" s="110" t="inlineStr">
        <is>
          <t>PC em analise</t>
        </is>
      </c>
      <c r="X270" s="110" t="inlineStr">
        <is>
          <t>Pedido de Compra</t>
        </is>
      </c>
      <c r="Y270" s="111" t="inlineStr">
        <is>
          <t>Impacto Potencial</t>
        </is>
      </c>
      <c r="Z270" s="111" t="inlineStr">
        <is>
          <t>PC</t>
        </is>
      </c>
      <c r="AA270" s="111" t="inlineStr">
        <is>
          <t>Nao</t>
        </is>
      </c>
      <c r="AB270" s="111" t="inlineStr">
        <is>
          <t>NAO_COMPUTADO</t>
        </is>
      </c>
      <c r="AC270" s="112" t="inlineStr">
        <is>
          <t>Estrutura Fase 1: sem impacto no VTA oficial</t>
        </is>
      </c>
    </row>
    <row r="271" ht="25.5" customHeight="1" s="289">
      <c r="A271" s="205" t="n"/>
      <c r="B271" s="207" t="n"/>
      <c r="C271" s="104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348" t="n"/>
      <c r="E271" s="349">
        <f>IF(C271="","",IFERROR(VLOOKUP(C271,parametros!$A$11:$E$15,5,0),""))</f>
        <v/>
      </c>
      <c r="F271" s="335">
        <f>IF(OR(D271="",E271=""),"",ROUND(D271*E271,2))</f>
        <v/>
      </c>
      <c r="G271" s="106" t="n"/>
      <c r="H271" s="350">
        <f>IF(G271="Sim",IF(OR(F271="",D271="",L271=""),"",IF(L271="Sim",ROUND(F271-D271,2),0)),0)</f>
        <v/>
      </c>
      <c r="I271" s="350">
        <f>IF(G271="Sim",0,IF(OR(F271="",L271=""),"",F271))</f>
        <v/>
      </c>
      <c r="J271" s="350">
        <f>IF(G271="Sim",0,IF(OR(F271="",D271="",L271=""),"",IF(L271="Sim",ROUND(F271-D271,2),0)))</f>
        <v/>
      </c>
      <c r="K271" s="97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inlineStr">
        <is>
          <t>Nao</t>
        </is>
      </c>
      <c r="W271" s="110" t="inlineStr">
        <is>
          <t>PC em analise</t>
        </is>
      </c>
      <c r="X271" s="110" t="inlineStr">
        <is>
          <t>Pedido de Compra</t>
        </is>
      </c>
      <c r="Y271" s="111" t="inlineStr">
        <is>
          <t>Impacto Potencial</t>
        </is>
      </c>
      <c r="Z271" s="111" t="inlineStr">
        <is>
          <t>PC</t>
        </is>
      </c>
      <c r="AA271" s="111" t="inlineStr">
        <is>
          <t>Nao</t>
        </is>
      </c>
      <c r="AB271" s="111" t="inlineStr">
        <is>
          <t>NAO_COMPUTADO</t>
        </is>
      </c>
      <c r="AC271" s="112" t="inlineStr">
        <is>
          <t>Estrutura Fase 1: sem impacto no VTA oficial</t>
        </is>
      </c>
    </row>
    <row r="272" ht="25.5" customHeight="1" s="289">
      <c r="A272" s="205" t="n"/>
      <c r="B272" s="207" t="n"/>
      <c r="C272" s="104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348" t="n"/>
      <c r="E272" s="349">
        <f>IF(C272="","",IFERROR(VLOOKUP(C272,parametros!$A$11:$E$15,5,0),""))</f>
        <v/>
      </c>
      <c r="F272" s="335">
        <f>IF(OR(D272="",E272=""),"",ROUND(D272*E272,2))</f>
        <v/>
      </c>
      <c r="G272" s="106" t="n"/>
      <c r="H272" s="350">
        <f>IF(G272="Sim",IF(OR(F272="",D272="",L272=""),"",IF(L272="Sim",ROUND(F272-D272,2),0)),0)</f>
        <v/>
      </c>
      <c r="I272" s="350">
        <f>IF(G272="Sim",0,IF(OR(F272="",L272=""),"",F272))</f>
        <v/>
      </c>
      <c r="J272" s="350">
        <f>IF(G272="Sim",0,IF(OR(F272="",D272="",L272=""),"",IF(L272="Sim",ROUND(F272-D272,2),0)))</f>
        <v/>
      </c>
      <c r="K272" s="97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inlineStr">
        <is>
          <t>Nao</t>
        </is>
      </c>
      <c r="W272" s="110" t="inlineStr">
        <is>
          <t>PC em analise</t>
        </is>
      </c>
      <c r="X272" s="110" t="inlineStr">
        <is>
          <t>Pedido de Compra</t>
        </is>
      </c>
      <c r="Y272" s="111" t="inlineStr">
        <is>
          <t>Impacto Potencial</t>
        </is>
      </c>
      <c r="Z272" s="111" t="inlineStr">
        <is>
          <t>PC</t>
        </is>
      </c>
      <c r="AA272" s="111" t="inlineStr">
        <is>
          <t>Nao</t>
        </is>
      </c>
      <c r="AB272" s="111" t="inlineStr">
        <is>
          <t>NAO_COMPUTADO</t>
        </is>
      </c>
      <c r="AC272" s="112" t="inlineStr">
        <is>
          <t>Estrutura Fase 1: sem impacto no VTA oficial</t>
        </is>
      </c>
    </row>
    <row r="273" ht="25.5" customHeight="1" s="289">
      <c r="A273" s="205" t="n"/>
      <c r="B273" s="207" t="n"/>
      <c r="C273" s="104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348" t="n"/>
      <c r="E273" s="349">
        <f>IF(C273="","",IFERROR(VLOOKUP(C273,parametros!$A$11:$E$15,5,0),""))</f>
        <v/>
      </c>
      <c r="F273" s="335">
        <f>IF(OR(D273="",E273=""),"",ROUND(D273*E273,2))</f>
        <v/>
      </c>
      <c r="G273" s="106" t="n"/>
      <c r="H273" s="350">
        <f>IF(G273="Sim",IF(OR(F273="",D273="",L273=""),"",IF(L273="Sim",ROUND(F273-D273,2),0)),0)</f>
        <v/>
      </c>
      <c r="I273" s="350">
        <f>IF(G273="Sim",0,IF(OR(F273="",L273=""),"",F273))</f>
        <v/>
      </c>
      <c r="J273" s="350">
        <f>IF(G273="Sim",0,IF(OR(F273="",D273="",L273=""),"",IF(L273="Sim",ROUND(F273-D273,2),0)))</f>
        <v/>
      </c>
      <c r="K273" s="97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inlineStr">
        <is>
          <t>Nao</t>
        </is>
      </c>
      <c r="W273" s="110" t="inlineStr">
        <is>
          <t>PC em analise</t>
        </is>
      </c>
      <c r="X273" s="110" t="inlineStr">
        <is>
          <t>Pedido de Compra</t>
        </is>
      </c>
      <c r="Y273" s="111" t="inlineStr">
        <is>
          <t>Impacto Potencial</t>
        </is>
      </c>
      <c r="Z273" s="111" t="inlineStr">
        <is>
          <t>PC</t>
        </is>
      </c>
      <c r="AA273" s="111" t="inlineStr">
        <is>
          <t>Nao</t>
        </is>
      </c>
      <c r="AB273" s="111" t="inlineStr">
        <is>
          <t>NAO_COMPUTADO</t>
        </is>
      </c>
      <c r="AC273" s="112" t="inlineStr">
        <is>
          <t>Estrutura Fase 1: sem impacto no VTA oficial</t>
        </is>
      </c>
    </row>
    <row r="274" ht="25.5" customHeight="1" s="289">
      <c r="A274" s="205" t="n"/>
      <c r="B274" s="207" t="n"/>
      <c r="C274" s="104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348" t="n"/>
      <c r="E274" s="349">
        <f>IF(C274="","",IFERROR(VLOOKUP(C274,parametros!$A$11:$E$15,5,0),""))</f>
        <v/>
      </c>
      <c r="F274" s="335">
        <f>IF(OR(D274="",E274=""),"",ROUND(D274*E274,2))</f>
        <v/>
      </c>
      <c r="G274" s="106" t="n"/>
      <c r="H274" s="350">
        <f>IF(G274="Sim",IF(OR(F274="",D274="",L274=""),"",IF(L274="Sim",ROUND(F274-D274,2),0)),0)</f>
        <v/>
      </c>
      <c r="I274" s="350">
        <f>IF(G274="Sim",0,IF(OR(F274="",L274=""),"",F274))</f>
        <v/>
      </c>
      <c r="J274" s="350">
        <f>IF(G274="Sim",0,IF(OR(F274="",D274="",L274=""),"",IF(L274="Sim",ROUND(F274-D274,2),0)))</f>
        <v/>
      </c>
      <c r="K274" s="97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inlineStr">
        <is>
          <t>Nao</t>
        </is>
      </c>
      <c r="W274" s="110" t="inlineStr">
        <is>
          <t>PC em analise</t>
        </is>
      </c>
      <c r="X274" s="110" t="inlineStr">
        <is>
          <t>Pedido de Compra</t>
        </is>
      </c>
      <c r="Y274" s="111" t="inlineStr">
        <is>
          <t>Impacto Potencial</t>
        </is>
      </c>
      <c r="Z274" s="111" t="inlineStr">
        <is>
          <t>PC</t>
        </is>
      </c>
      <c r="AA274" s="111" t="inlineStr">
        <is>
          <t>Nao</t>
        </is>
      </c>
      <c r="AB274" s="111" t="inlineStr">
        <is>
          <t>NAO_COMPUTADO</t>
        </is>
      </c>
      <c r="AC274" s="112" t="inlineStr">
        <is>
          <t>Estrutura Fase 1: sem impacto no VTA oficial</t>
        </is>
      </c>
    </row>
    <row r="275" ht="25.5" customHeight="1" s="289">
      <c r="A275" s="205" t="n"/>
      <c r="B275" s="207" t="n"/>
      <c r="C275" s="104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348" t="n"/>
      <c r="E275" s="349">
        <f>IF(C275="","",IFERROR(VLOOKUP(C275,parametros!$A$11:$E$15,5,0),""))</f>
        <v/>
      </c>
      <c r="F275" s="335">
        <f>IF(OR(D275="",E275=""),"",ROUND(D275*E275,2))</f>
        <v/>
      </c>
      <c r="G275" s="106" t="n"/>
      <c r="H275" s="350">
        <f>IF(G275="Sim",IF(OR(F275="",D275="",L275=""),"",IF(L275="Sim",ROUND(F275-D275,2),0)),0)</f>
        <v/>
      </c>
      <c r="I275" s="350">
        <f>IF(G275="Sim",0,IF(OR(F275="",L275=""),"",F275))</f>
        <v/>
      </c>
      <c r="J275" s="350">
        <f>IF(G275="Sim",0,IF(OR(F275="",D275="",L275=""),"",IF(L275="Sim",ROUND(F275-D275,2),0)))</f>
        <v/>
      </c>
      <c r="K275" s="97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inlineStr">
        <is>
          <t>Nao</t>
        </is>
      </c>
      <c r="W275" s="110" t="inlineStr">
        <is>
          <t>PC em analise</t>
        </is>
      </c>
      <c r="X275" s="110" t="inlineStr">
        <is>
          <t>Pedido de Compra</t>
        </is>
      </c>
      <c r="Y275" s="111" t="inlineStr">
        <is>
          <t>Impacto Potencial</t>
        </is>
      </c>
      <c r="Z275" s="111" t="inlineStr">
        <is>
          <t>PC</t>
        </is>
      </c>
      <c r="AA275" s="111" t="inlineStr">
        <is>
          <t>Nao</t>
        </is>
      </c>
      <c r="AB275" s="111" t="inlineStr">
        <is>
          <t>NAO_COMPUTADO</t>
        </is>
      </c>
      <c r="AC275" s="112" t="inlineStr">
        <is>
          <t>Estrutura Fase 1: sem impacto no VTA oficial</t>
        </is>
      </c>
    </row>
    <row r="276" ht="25.5" customHeight="1" s="289">
      <c r="A276" s="205" t="n"/>
      <c r="B276" s="207" t="n"/>
      <c r="C276" s="104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348" t="n"/>
      <c r="E276" s="349">
        <f>IF(C276="","",IFERROR(VLOOKUP(C276,parametros!$A$11:$E$15,5,0),""))</f>
        <v/>
      </c>
      <c r="F276" s="335">
        <f>IF(OR(D276="",E276=""),"",ROUND(D276*E276,2))</f>
        <v/>
      </c>
      <c r="G276" s="106" t="n"/>
      <c r="H276" s="350">
        <f>IF(G276="Sim",IF(OR(F276="",D276="",L276=""),"",IF(L276="Sim",ROUND(F276-D276,2),0)),0)</f>
        <v/>
      </c>
      <c r="I276" s="350">
        <f>IF(G276="Sim",0,IF(OR(F276="",L276=""),"",F276))</f>
        <v/>
      </c>
      <c r="J276" s="350">
        <f>IF(G276="Sim",0,IF(OR(F276="",D276="",L276=""),"",IF(L276="Sim",ROUND(F276-D276,2),0)))</f>
        <v/>
      </c>
      <c r="K276" s="97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inlineStr">
        <is>
          <t>Nao</t>
        </is>
      </c>
      <c r="W276" s="110" t="inlineStr">
        <is>
          <t>PC em analise</t>
        </is>
      </c>
      <c r="X276" s="110" t="inlineStr">
        <is>
          <t>Pedido de Compra</t>
        </is>
      </c>
      <c r="Y276" s="111" t="inlineStr">
        <is>
          <t>Impacto Potencial</t>
        </is>
      </c>
      <c r="Z276" s="111" t="inlineStr">
        <is>
          <t>PC</t>
        </is>
      </c>
      <c r="AA276" s="111" t="inlineStr">
        <is>
          <t>Nao</t>
        </is>
      </c>
      <c r="AB276" s="111" t="inlineStr">
        <is>
          <t>NAO_COMPUTADO</t>
        </is>
      </c>
      <c r="AC276" s="112" t="inlineStr">
        <is>
          <t>Estrutura Fase 1: sem impacto no VTA oficial</t>
        </is>
      </c>
    </row>
    <row r="277" ht="25.5" customHeight="1" s="289">
      <c r="A277" s="205" t="n"/>
      <c r="B277" s="207" t="n"/>
      <c r="C277" s="104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348" t="n"/>
      <c r="E277" s="349">
        <f>IF(C277="","",IFERROR(VLOOKUP(C277,parametros!$A$11:$E$15,5,0),""))</f>
        <v/>
      </c>
      <c r="F277" s="335">
        <f>IF(OR(D277="",E277=""),"",ROUND(D277*E277,2))</f>
        <v/>
      </c>
      <c r="G277" s="106" t="n"/>
      <c r="H277" s="350">
        <f>IF(G277="Sim",IF(OR(F277="",D277="",L277=""),"",IF(L277="Sim",ROUND(F277-D277,2),0)),0)</f>
        <v/>
      </c>
      <c r="I277" s="350">
        <f>IF(G277="Sim",0,IF(OR(F277="",L277=""),"",F277))</f>
        <v/>
      </c>
      <c r="J277" s="350">
        <f>IF(G277="Sim",0,IF(OR(F277="",D277="",L277=""),"",IF(L277="Sim",ROUND(F277-D277,2),0)))</f>
        <v/>
      </c>
      <c r="K277" s="97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inlineStr">
        <is>
          <t>Nao</t>
        </is>
      </c>
      <c r="W277" s="110" t="inlineStr">
        <is>
          <t>PC em analise</t>
        </is>
      </c>
      <c r="X277" s="110" t="inlineStr">
        <is>
          <t>Pedido de Compra</t>
        </is>
      </c>
      <c r="Y277" s="111" t="inlineStr">
        <is>
          <t>Impacto Potencial</t>
        </is>
      </c>
      <c r="Z277" s="111" t="inlineStr">
        <is>
          <t>PC</t>
        </is>
      </c>
      <c r="AA277" s="111" t="inlineStr">
        <is>
          <t>Nao</t>
        </is>
      </c>
      <c r="AB277" s="111" t="inlineStr">
        <is>
          <t>NAO_COMPUTADO</t>
        </is>
      </c>
      <c r="AC277" s="112" t="inlineStr">
        <is>
          <t>Estrutura Fase 1: sem impacto no VTA oficial</t>
        </is>
      </c>
    </row>
    <row r="278" ht="25.5" customHeight="1" s="289">
      <c r="A278" s="205" t="n"/>
      <c r="B278" s="207" t="n"/>
      <c r="C278" s="104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348" t="n"/>
      <c r="E278" s="349">
        <f>IF(C278="","",IFERROR(VLOOKUP(C278,parametros!$A$11:$E$15,5,0),""))</f>
        <v/>
      </c>
      <c r="F278" s="335">
        <f>IF(OR(D278="",E278=""),"",ROUND(D278*E278,2))</f>
        <v/>
      </c>
      <c r="G278" s="106" t="n"/>
      <c r="H278" s="350">
        <f>IF(G278="Sim",IF(OR(F278="",D278="",L278=""),"",IF(L278="Sim",ROUND(F278-D278,2),0)),0)</f>
        <v/>
      </c>
      <c r="I278" s="350">
        <f>IF(G278="Sim",0,IF(OR(F278="",L278=""),"",F278))</f>
        <v/>
      </c>
      <c r="J278" s="350">
        <f>IF(G278="Sim",0,IF(OR(F278="",D278="",L278=""),"",IF(L278="Sim",ROUND(F278-D278,2),0)))</f>
        <v/>
      </c>
      <c r="K278" s="97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inlineStr">
        <is>
          <t>Nao</t>
        </is>
      </c>
      <c r="W278" s="110" t="inlineStr">
        <is>
          <t>PC em analise</t>
        </is>
      </c>
      <c r="X278" s="110" t="inlineStr">
        <is>
          <t>Pedido de Compra</t>
        </is>
      </c>
      <c r="Y278" s="111" t="inlineStr">
        <is>
          <t>Impacto Potencial</t>
        </is>
      </c>
      <c r="Z278" s="111" t="inlineStr">
        <is>
          <t>PC</t>
        </is>
      </c>
      <c r="AA278" s="111" t="inlineStr">
        <is>
          <t>Nao</t>
        </is>
      </c>
      <c r="AB278" s="111" t="inlineStr">
        <is>
          <t>NAO_COMPUTADO</t>
        </is>
      </c>
      <c r="AC278" s="112" t="inlineStr">
        <is>
          <t>Estrutura Fase 1: sem impacto no VTA oficial</t>
        </is>
      </c>
    </row>
    <row r="279" ht="25.5" customHeight="1" s="289">
      <c r="A279" s="205" t="n"/>
      <c r="B279" s="207" t="n"/>
      <c r="C279" s="104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348" t="n"/>
      <c r="E279" s="349">
        <f>IF(C279="","",IFERROR(VLOOKUP(C279,parametros!$A$11:$E$15,5,0),""))</f>
        <v/>
      </c>
      <c r="F279" s="335">
        <f>IF(OR(D279="",E279=""),"",ROUND(D279*E279,2))</f>
        <v/>
      </c>
      <c r="G279" s="106" t="n"/>
      <c r="H279" s="350">
        <f>IF(G279="Sim",IF(OR(F279="",D279="",L279=""),"",IF(L279="Sim",ROUND(F279-D279,2),0)),0)</f>
        <v/>
      </c>
      <c r="I279" s="350">
        <f>IF(G279="Sim",0,IF(OR(F279="",L279=""),"",F279))</f>
        <v/>
      </c>
      <c r="J279" s="350">
        <f>IF(G279="Sim",0,IF(OR(F279="",D279="",L279=""),"",IF(L279="Sim",ROUND(F279-D279,2),0)))</f>
        <v/>
      </c>
      <c r="K279" s="97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inlineStr">
        <is>
          <t>Nao</t>
        </is>
      </c>
      <c r="W279" s="110" t="inlineStr">
        <is>
          <t>PC em analise</t>
        </is>
      </c>
      <c r="X279" s="110" t="inlineStr">
        <is>
          <t>Pedido de Compra</t>
        </is>
      </c>
      <c r="Y279" s="111" t="inlineStr">
        <is>
          <t>Impacto Potencial</t>
        </is>
      </c>
      <c r="Z279" s="111" t="inlineStr">
        <is>
          <t>PC</t>
        </is>
      </c>
      <c r="AA279" s="111" t="inlineStr">
        <is>
          <t>Nao</t>
        </is>
      </c>
      <c r="AB279" s="111" t="inlineStr">
        <is>
          <t>NAO_COMPUTADO</t>
        </is>
      </c>
      <c r="AC279" s="112" t="inlineStr">
        <is>
          <t>Estrutura Fase 1: sem impacto no VTA oficial</t>
        </is>
      </c>
    </row>
    <row r="280" ht="25.5" customHeight="1" s="289">
      <c r="A280" s="205" t="n"/>
      <c r="B280" s="207" t="n"/>
      <c r="C280" s="104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348" t="n"/>
      <c r="E280" s="349">
        <f>IF(C280="","",IFERROR(VLOOKUP(C280,parametros!$A$11:$E$15,5,0),""))</f>
        <v/>
      </c>
      <c r="F280" s="335">
        <f>IF(OR(D280="",E280=""),"",ROUND(D280*E280,2))</f>
        <v/>
      </c>
      <c r="G280" s="106" t="n"/>
      <c r="H280" s="350">
        <f>IF(G280="Sim",IF(OR(F280="",D280="",L280=""),"",IF(L280="Sim",ROUND(F280-D280,2),0)),0)</f>
        <v/>
      </c>
      <c r="I280" s="350">
        <f>IF(G280="Sim",0,IF(OR(F280="",L280=""),"",F280))</f>
        <v/>
      </c>
      <c r="J280" s="350">
        <f>IF(G280="Sim",0,IF(OR(F280="",D280="",L280=""),"",IF(L280="Sim",ROUND(F280-D280,2),0)))</f>
        <v/>
      </c>
      <c r="K280" s="97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inlineStr">
        <is>
          <t>Nao</t>
        </is>
      </c>
      <c r="W280" s="110" t="inlineStr">
        <is>
          <t>PC em analise</t>
        </is>
      </c>
      <c r="X280" s="110" t="inlineStr">
        <is>
          <t>Pedido de Compra</t>
        </is>
      </c>
      <c r="Y280" s="111" t="inlineStr">
        <is>
          <t>Impacto Potencial</t>
        </is>
      </c>
      <c r="Z280" s="111" t="inlineStr">
        <is>
          <t>PC</t>
        </is>
      </c>
      <c r="AA280" s="111" t="inlineStr">
        <is>
          <t>Nao</t>
        </is>
      </c>
      <c r="AB280" s="111" t="inlineStr">
        <is>
          <t>NAO_COMPUTADO</t>
        </is>
      </c>
      <c r="AC280" s="112" t="inlineStr">
        <is>
          <t>Estrutura Fase 1: sem impacto no VTA oficial</t>
        </is>
      </c>
    </row>
    <row r="281" ht="25.5" customHeight="1" s="289">
      <c r="A281" s="205" t="n"/>
      <c r="B281" s="207" t="n"/>
      <c r="C281" s="104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348" t="n"/>
      <c r="E281" s="349">
        <f>IF(C281="","",IFERROR(VLOOKUP(C281,parametros!$A$11:$E$15,5,0),""))</f>
        <v/>
      </c>
      <c r="F281" s="335">
        <f>IF(OR(D281="",E281=""),"",ROUND(D281*E281,2))</f>
        <v/>
      </c>
      <c r="G281" s="106" t="n"/>
      <c r="H281" s="350">
        <f>IF(G281="Sim",IF(OR(F281="",D281="",L281=""),"",IF(L281="Sim",ROUND(F281-D281,2),0)),0)</f>
        <v/>
      </c>
      <c r="I281" s="350">
        <f>IF(G281="Sim",0,IF(OR(F281="",L281=""),"",F281))</f>
        <v/>
      </c>
      <c r="J281" s="350">
        <f>IF(G281="Sim",0,IF(OR(F281="",D281="",L281=""),"",IF(L281="Sim",ROUND(F281-D281,2),0)))</f>
        <v/>
      </c>
      <c r="K281" s="97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inlineStr">
        <is>
          <t>Nao</t>
        </is>
      </c>
      <c r="W281" s="110" t="inlineStr">
        <is>
          <t>PC em analise</t>
        </is>
      </c>
      <c r="X281" s="110" t="inlineStr">
        <is>
          <t>Pedido de Compra</t>
        </is>
      </c>
      <c r="Y281" s="111" t="inlineStr">
        <is>
          <t>Impacto Potencial</t>
        </is>
      </c>
      <c r="Z281" s="111" t="inlineStr">
        <is>
          <t>PC</t>
        </is>
      </c>
      <c r="AA281" s="111" t="inlineStr">
        <is>
          <t>Nao</t>
        </is>
      </c>
      <c r="AB281" s="111" t="inlineStr">
        <is>
          <t>NAO_COMPUTADO</t>
        </is>
      </c>
      <c r="AC281" s="112" t="inlineStr">
        <is>
          <t>Estrutura Fase 1: sem impacto no VTA oficial</t>
        </is>
      </c>
    </row>
    <row r="282" ht="25.5" customHeight="1" s="289">
      <c r="A282" s="205" t="n"/>
      <c r="B282" s="207" t="n"/>
      <c r="C282" s="104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348" t="n"/>
      <c r="E282" s="349">
        <f>IF(C282="","",IFERROR(VLOOKUP(C282,parametros!$A$11:$E$15,5,0),""))</f>
        <v/>
      </c>
      <c r="F282" s="335">
        <f>IF(OR(D282="",E282=""),"",ROUND(D282*E282,2))</f>
        <v/>
      </c>
      <c r="G282" s="106" t="n"/>
      <c r="H282" s="350">
        <f>IF(G282="Sim",IF(OR(F282="",D282="",L282=""),"",IF(L282="Sim",ROUND(F282-D282,2),0)),0)</f>
        <v/>
      </c>
      <c r="I282" s="350">
        <f>IF(G282="Sim",0,IF(OR(F282="",L282=""),"",F282))</f>
        <v/>
      </c>
      <c r="J282" s="350">
        <f>IF(G282="Sim",0,IF(OR(F282="",D282="",L282=""),"",IF(L282="Sim",ROUND(F282-D282,2),0)))</f>
        <v/>
      </c>
      <c r="K282" s="97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inlineStr">
        <is>
          <t>Nao</t>
        </is>
      </c>
      <c r="W282" s="110" t="inlineStr">
        <is>
          <t>PC em analise</t>
        </is>
      </c>
      <c r="X282" s="110" t="inlineStr">
        <is>
          <t>Pedido de Compra</t>
        </is>
      </c>
      <c r="Y282" s="111" t="inlineStr">
        <is>
          <t>Impacto Potencial</t>
        </is>
      </c>
      <c r="Z282" s="111" t="inlineStr">
        <is>
          <t>PC</t>
        </is>
      </c>
      <c r="AA282" s="111" t="inlineStr">
        <is>
          <t>Nao</t>
        </is>
      </c>
      <c r="AB282" s="111" t="inlineStr">
        <is>
          <t>NAO_COMPUTADO</t>
        </is>
      </c>
      <c r="AC282" s="112" t="inlineStr">
        <is>
          <t>Estrutura Fase 1: sem impacto no VTA oficial</t>
        </is>
      </c>
    </row>
    <row r="283" ht="25.5" customHeight="1" s="289">
      <c r="A283" s="205" t="n"/>
      <c r="B283" s="207" t="n"/>
      <c r="C283" s="104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348" t="n"/>
      <c r="E283" s="349">
        <f>IF(C283="","",IFERROR(VLOOKUP(C283,parametros!$A$11:$E$15,5,0),""))</f>
        <v/>
      </c>
      <c r="F283" s="335">
        <f>IF(OR(D283="",E283=""),"",ROUND(D283*E283,2))</f>
        <v/>
      </c>
      <c r="G283" s="106" t="n"/>
      <c r="H283" s="350">
        <f>IF(G283="Sim",IF(OR(F283="",D283="",L283=""),"",IF(L283="Sim",ROUND(F283-D283,2),0)),0)</f>
        <v/>
      </c>
      <c r="I283" s="350">
        <f>IF(G283="Sim",0,IF(OR(F283="",L283=""),"",F283))</f>
        <v/>
      </c>
      <c r="J283" s="350">
        <f>IF(G283="Sim",0,IF(OR(F283="",D283="",L283=""),"",IF(L283="Sim",ROUND(F283-D283,2),0)))</f>
        <v/>
      </c>
      <c r="K283" s="97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inlineStr">
        <is>
          <t>Nao</t>
        </is>
      </c>
      <c r="W283" s="110" t="inlineStr">
        <is>
          <t>PC em analise</t>
        </is>
      </c>
      <c r="X283" s="110" t="inlineStr">
        <is>
          <t>Pedido de Compra</t>
        </is>
      </c>
      <c r="Y283" s="111" t="inlineStr">
        <is>
          <t>Impacto Potencial</t>
        </is>
      </c>
      <c r="Z283" s="111" t="inlineStr">
        <is>
          <t>PC</t>
        </is>
      </c>
      <c r="AA283" s="111" t="inlineStr">
        <is>
          <t>Nao</t>
        </is>
      </c>
      <c r="AB283" s="111" t="inlineStr">
        <is>
          <t>NAO_COMPUTADO</t>
        </is>
      </c>
      <c r="AC283" s="112" t="inlineStr">
        <is>
          <t>Estrutura Fase 1: sem impacto no VTA oficial</t>
        </is>
      </c>
    </row>
    <row r="284" ht="25.5" customHeight="1" s="289">
      <c r="A284" s="205" t="n"/>
      <c r="B284" s="207" t="n"/>
      <c r="C284" s="104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348" t="n"/>
      <c r="E284" s="349">
        <f>IF(C284="","",IFERROR(VLOOKUP(C284,parametros!$A$11:$E$15,5,0),""))</f>
        <v/>
      </c>
      <c r="F284" s="335">
        <f>IF(OR(D284="",E284=""),"",ROUND(D284*E284,2))</f>
        <v/>
      </c>
      <c r="G284" s="106" t="n"/>
      <c r="H284" s="350">
        <f>IF(G284="Sim",IF(OR(F284="",D284="",L284=""),"",IF(L284="Sim",ROUND(F284-D284,2),0)),0)</f>
        <v/>
      </c>
      <c r="I284" s="350">
        <f>IF(G284="Sim",0,IF(OR(F284="",L284=""),"",F284))</f>
        <v/>
      </c>
      <c r="J284" s="350">
        <f>IF(G284="Sim",0,IF(OR(F284="",D284="",L284=""),"",IF(L284="Sim",ROUND(F284-D284,2),0)))</f>
        <v/>
      </c>
      <c r="K284" s="97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inlineStr">
        <is>
          <t>Nao</t>
        </is>
      </c>
      <c r="W284" s="110" t="inlineStr">
        <is>
          <t>PC em analise</t>
        </is>
      </c>
      <c r="X284" s="110" t="inlineStr">
        <is>
          <t>Pedido de Compra</t>
        </is>
      </c>
      <c r="Y284" s="111" t="inlineStr">
        <is>
          <t>Impacto Potencial</t>
        </is>
      </c>
      <c r="Z284" s="111" t="inlineStr">
        <is>
          <t>PC</t>
        </is>
      </c>
      <c r="AA284" s="111" t="inlineStr">
        <is>
          <t>Nao</t>
        </is>
      </c>
      <c r="AB284" s="111" t="inlineStr">
        <is>
          <t>NAO_COMPUTADO</t>
        </is>
      </c>
      <c r="AC284" s="112" t="inlineStr">
        <is>
          <t>Estrutura Fase 1: sem impacto no VTA oficial</t>
        </is>
      </c>
    </row>
    <row r="285" ht="25.5" customHeight="1" s="289">
      <c r="A285" s="205" t="n"/>
      <c r="B285" s="207" t="n"/>
      <c r="C285" s="104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348" t="n"/>
      <c r="E285" s="349">
        <f>IF(C285="","",IFERROR(VLOOKUP(C285,parametros!$A$11:$E$15,5,0),""))</f>
        <v/>
      </c>
      <c r="F285" s="335">
        <f>IF(OR(D285="",E285=""),"",ROUND(D285*E285,2))</f>
        <v/>
      </c>
      <c r="G285" s="106" t="n"/>
      <c r="H285" s="350">
        <f>IF(G285="Sim",IF(OR(F285="",D285="",L285=""),"",IF(L285="Sim",ROUND(F285-D285,2),0)),0)</f>
        <v/>
      </c>
      <c r="I285" s="350">
        <f>IF(G285="Sim",0,IF(OR(F285="",L285=""),"",F285))</f>
        <v/>
      </c>
      <c r="J285" s="350">
        <f>IF(G285="Sim",0,IF(OR(F285="",D285="",L285=""),"",IF(L285="Sim",ROUND(F285-D285,2),0)))</f>
        <v/>
      </c>
      <c r="K285" s="97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inlineStr">
        <is>
          <t>Nao</t>
        </is>
      </c>
      <c r="W285" s="110" t="inlineStr">
        <is>
          <t>PC em analise</t>
        </is>
      </c>
      <c r="X285" s="110" t="inlineStr">
        <is>
          <t>Pedido de Compra</t>
        </is>
      </c>
      <c r="Y285" s="111" t="inlineStr">
        <is>
          <t>Impacto Potencial</t>
        </is>
      </c>
      <c r="Z285" s="111" t="inlineStr">
        <is>
          <t>PC</t>
        </is>
      </c>
      <c r="AA285" s="111" t="inlineStr">
        <is>
          <t>Nao</t>
        </is>
      </c>
      <c r="AB285" s="111" t="inlineStr">
        <is>
          <t>NAO_COMPUTADO</t>
        </is>
      </c>
      <c r="AC285" s="112" t="inlineStr">
        <is>
          <t>Estrutura Fase 1: sem impacto no VTA oficial</t>
        </is>
      </c>
    </row>
    <row r="286" ht="25.5" customHeight="1" s="289">
      <c r="A286" s="205" t="n"/>
      <c r="B286" s="207" t="n"/>
      <c r="C286" s="104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348" t="n"/>
      <c r="E286" s="349">
        <f>IF(C286="","",IFERROR(VLOOKUP(C286,parametros!$A$11:$E$15,5,0),""))</f>
        <v/>
      </c>
      <c r="F286" s="335">
        <f>IF(OR(D286="",E286=""),"",ROUND(D286*E286,2))</f>
        <v/>
      </c>
      <c r="G286" s="106" t="n"/>
      <c r="H286" s="350">
        <f>IF(G286="Sim",IF(OR(F286="",D286="",L286=""),"",IF(L286="Sim",ROUND(F286-D286,2),0)),0)</f>
        <v/>
      </c>
      <c r="I286" s="350">
        <f>IF(G286="Sim",0,IF(OR(F286="",L286=""),"",F286))</f>
        <v/>
      </c>
      <c r="J286" s="350">
        <f>IF(G286="Sim",0,IF(OR(F286="",D286="",L286=""),"",IF(L286="Sim",ROUND(F286-D286,2),0)))</f>
        <v/>
      </c>
      <c r="K286" s="97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inlineStr">
        <is>
          <t>Nao</t>
        </is>
      </c>
      <c r="W286" s="110" t="inlineStr">
        <is>
          <t>PC em analise</t>
        </is>
      </c>
      <c r="X286" s="110" t="inlineStr">
        <is>
          <t>Pedido de Compra</t>
        </is>
      </c>
      <c r="Y286" s="111" t="inlineStr">
        <is>
          <t>Impacto Potencial</t>
        </is>
      </c>
      <c r="Z286" s="111" t="inlineStr">
        <is>
          <t>PC</t>
        </is>
      </c>
      <c r="AA286" s="111" t="inlineStr">
        <is>
          <t>Nao</t>
        </is>
      </c>
      <c r="AB286" s="111" t="inlineStr">
        <is>
          <t>NAO_COMPUTADO</t>
        </is>
      </c>
      <c r="AC286" s="112" t="inlineStr">
        <is>
          <t>Estrutura Fase 1: sem impacto no VTA oficial</t>
        </is>
      </c>
    </row>
    <row r="287" ht="25.5" customHeight="1" s="289">
      <c r="A287" s="205" t="n"/>
      <c r="B287" s="207" t="n"/>
      <c r="C287" s="104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348" t="n"/>
      <c r="E287" s="349">
        <f>IF(C287="","",IFERROR(VLOOKUP(C287,parametros!$A$11:$E$15,5,0),""))</f>
        <v/>
      </c>
      <c r="F287" s="335">
        <f>IF(OR(D287="",E287=""),"",ROUND(D287*E287,2))</f>
        <v/>
      </c>
      <c r="G287" s="106" t="n"/>
      <c r="H287" s="350">
        <f>IF(G287="Sim",IF(OR(F287="",D287="",L287=""),"",IF(L287="Sim",ROUND(F287-D287,2),0)),0)</f>
        <v/>
      </c>
      <c r="I287" s="350">
        <f>IF(G287="Sim",0,IF(OR(F287="",L287=""),"",F287))</f>
        <v/>
      </c>
      <c r="J287" s="350">
        <f>IF(G287="Sim",0,IF(OR(F287="",D287="",L287=""),"",IF(L287="Sim",ROUND(F287-D287,2),0)))</f>
        <v/>
      </c>
      <c r="K287" s="97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inlineStr">
        <is>
          <t>Nao</t>
        </is>
      </c>
      <c r="W287" s="110" t="inlineStr">
        <is>
          <t>PC em analise</t>
        </is>
      </c>
      <c r="X287" s="110" t="inlineStr">
        <is>
          <t>Pedido de Compra</t>
        </is>
      </c>
      <c r="Y287" s="111" t="inlineStr">
        <is>
          <t>Impacto Potencial</t>
        </is>
      </c>
      <c r="Z287" s="111" t="inlineStr">
        <is>
          <t>PC</t>
        </is>
      </c>
      <c r="AA287" s="111" t="inlineStr">
        <is>
          <t>Nao</t>
        </is>
      </c>
      <c r="AB287" s="111" t="inlineStr">
        <is>
          <t>NAO_COMPUTADO</t>
        </is>
      </c>
      <c r="AC287" s="112" t="inlineStr">
        <is>
          <t>Estrutura Fase 1: sem impacto no VTA oficial</t>
        </is>
      </c>
    </row>
    <row r="288" ht="25.5" customHeight="1" s="289">
      <c r="A288" s="205" t="n"/>
      <c r="B288" s="207" t="n"/>
      <c r="C288" s="104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348" t="n"/>
      <c r="E288" s="349">
        <f>IF(C288="","",IFERROR(VLOOKUP(C288,parametros!$A$11:$E$15,5,0),""))</f>
        <v/>
      </c>
      <c r="F288" s="335">
        <f>IF(OR(D288="",E288=""),"",ROUND(D288*E288,2))</f>
        <v/>
      </c>
      <c r="G288" s="106" t="n"/>
      <c r="H288" s="350">
        <f>IF(G288="Sim",IF(OR(F288="",D288="",L288=""),"",IF(L288="Sim",ROUND(F288-D288,2),0)),0)</f>
        <v/>
      </c>
      <c r="I288" s="350">
        <f>IF(G288="Sim",0,IF(OR(F288="",L288=""),"",F288))</f>
        <v/>
      </c>
      <c r="J288" s="350">
        <f>IF(G288="Sim",0,IF(OR(F288="",D288="",L288=""),"",IF(L288="Sim",ROUND(F288-D288,2),0)))</f>
        <v/>
      </c>
      <c r="K288" s="97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inlineStr">
        <is>
          <t>Nao</t>
        </is>
      </c>
      <c r="W288" s="110" t="inlineStr">
        <is>
          <t>PC em analise</t>
        </is>
      </c>
      <c r="X288" s="110" t="inlineStr">
        <is>
          <t>Pedido de Compra</t>
        </is>
      </c>
      <c r="Y288" s="111" t="inlineStr">
        <is>
          <t>Impacto Potencial</t>
        </is>
      </c>
      <c r="Z288" s="111" t="inlineStr">
        <is>
          <t>PC</t>
        </is>
      </c>
      <c r="AA288" s="111" t="inlineStr">
        <is>
          <t>Nao</t>
        </is>
      </c>
      <c r="AB288" s="111" t="inlineStr">
        <is>
          <t>NAO_COMPUTADO</t>
        </is>
      </c>
      <c r="AC288" s="112" t="inlineStr">
        <is>
          <t>Estrutura Fase 1: sem impacto no VTA oficial</t>
        </is>
      </c>
    </row>
    <row r="289" ht="25.5" customHeight="1" s="289">
      <c r="A289" s="205" t="n"/>
      <c r="B289" s="207" t="n"/>
      <c r="C289" s="104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348" t="n"/>
      <c r="E289" s="349">
        <f>IF(C289="","",IFERROR(VLOOKUP(C289,parametros!$A$11:$E$15,5,0),""))</f>
        <v/>
      </c>
      <c r="F289" s="335">
        <f>IF(OR(D289="",E289=""),"",ROUND(D289*E289,2))</f>
        <v/>
      </c>
      <c r="G289" s="106" t="n"/>
      <c r="H289" s="350">
        <f>IF(G289="Sim",IF(OR(F289="",D289="",L289=""),"",IF(L289="Sim",ROUND(F289-D289,2),0)),0)</f>
        <v/>
      </c>
      <c r="I289" s="350">
        <f>IF(G289="Sim",0,IF(OR(F289="",L289=""),"",F289))</f>
        <v/>
      </c>
      <c r="J289" s="350">
        <f>IF(G289="Sim",0,IF(OR(F289="",D289="",L289=""),"",IF(L289="Sim",ROUND(F289-D289,2),0)))</f>
        <v/>
      </c>
      <c r="K289" s="97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inlineStr">
        <is>
          <t>Nao</t>
        </is>
      </c>
      <c r="W289" s="110" t="inlineStr">
        <is>
          <t>PC em analise</t>
        </is>
      </c>
      <c r="X289" s="110" t="inlineStr">
        <is>
          <t>Pedido de Compra</t>
        </is>
      </c>
      <c r="Y289" s="111" t="inlineStr">
        <is>
          <t>Impacto Potencial</t>
        </is>
      </c>
      <c r="Z289" s="111" t="inlineStr">
        <is>
          <t>PC</t>
        </is>
      </c>
      <c r="AA289" s="111" t="inlineStr">
        <is>
          <t>Nao</t>
        </is>
      </c>
      <c r="AB289" s="111" t="inlineStr">
        <is>
          <t>NAO_COMPUTADO</t>
        </is>
      </c>
      <c r="AC289" s="112" t="inlineStr">
        <is>
          <t>Estrutura Fase 1: sem impacto no VTA oficial</t>
        </is>
      </c>
    </row>
    <row r="290" ht="25.5" customHeight="1" s="289">
      <c r="A290" s="205" t="n"/>
      <c r="B290" s="207" t="n"/>
      <c r="C290" s="104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348" t="n"/>
      <c r="E290" s="349">
        <f>IF(C290="","",IFERROR(VLOOKUP(C290,parametros!$A$11:$E$15,5,0),""))</f>
        <v/>
      </c>
      <c r="F290" s="335">
        <f>IF(OR(D290="",E290=""),"",ROUND(D290*E290,2))</f>
        <v/>
      </c>
      <c r="G290" s="106" t="n"/>
      <c r="H290" s="350">
        <f>IF(G290="Sim",IF(OR(F290="",D290="",L290=""),"",IF(L290="Sim",ROUND(F290-D290,2),0)),0)</f>
        <v/>
      </c>
      <c r="I290" s="350">
        <f>IF(G290="Sim",0,IF(OR(F290="",L290=""),"",F290))</f>
        <v/>
      </c>
      <c r="J290" s="350">
        <f>IF(G290="Sim",0,IF(OR(F290="",D290="",L290=""),"",IF(L290="Sim",ROUND(F290-D290,2),0)))</f>
        <v/>
      </c>
      <c r="K290" s="97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inlineStr">
        <is>
          <t>Nao</t>
        </is>
      </c>
      <c r="W290" s="110" t="inlineStr">
        <is>
          <t>PC em analise</t>
        </is>
      </c>
      <c r="X290" s="110" t="inlineStr">
        <is>
          <t>Pedido de Compra</t>
        </is>
      </c>
      <c r="Y290" s="111" t="inlineStr">
        <is>
          <t>Impacto Potencial</t>
        </is>
      </c>
      <c r="Z290" s="111" t="inlineStr">
        <is>
          <t>PC</t>
        </is>
      </c>
      <c r="AA290" s="111" t="inlineStr">
        <is>
          <t>Nao</t>
        </is>
      </c>
      <c r="AB290" s="111" t="inlineStr">
        <is>
          <t>NAO_COMPUTADO</t>
        </is>
      </c>
      <c r="AC290" s="112" t="inlineStr">
        <is>
          <t>Estrutura Fase 1: sem impacto no VTA oficial</t>
        </is>
      </c>
    </row>
    <row r="291" ht="25.5" customHeight="1" s="289">
      <c r="A291" s="205" t="n"/>
      <c r="B291" s="207" t="n"/>
      <c r="C291" s="104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348" t="n"/>
      <c r="E291" s="349">
        <f>IF(C291="","",IFERROR(VLOOKUP(C291,parametros!$A$11:$E$15,5,0),""))</f>
        <v/>
      </c>
      <c r="F291" s="335">
        <f>IF(OR(D291="",E291=""),"",ROUND(D291*E291,2))</f>
        <v/>
      </c>
      <c r="G291" s="106" t="n"/>
      <c r="H291" s="350">
        <f>IF(G291="Sim",IF(OR(F291="",D291="",L291=""),"",IF(L291="Sim",ROUND(F291-D291,2),0)),0)</f>
        <v/>
      </c>
      <c r="I291" s="350">
        <f>IF(G291="Sim",0,IF(OR(F291="",L291=""),"",F291))</f>
        <v/>
      </c>
      <c r="J291" s="350">
        <f>IF(G291="Sim",0,IF(OR(F291="",D291="",L291=""),"",IF(L291="Sim",ROUND(F291-D291,2),0)))</f>
        <v/>
      </c>
      <c r="K291" s="97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inlineStr">
        <is>
          <t>Nao</t>
        </is>
      </c>
      <c r="W291" s="110" t="inlineStr">
        <is>
          <t>PC em analise</t>
        </is>
      </c>
      <c r="X291" s="110" t="inlineStr">
        <is>
          <t>Pedido de Compra</t>
        </is>
      </c>
      <c r="Y291" s="111" t="inlineStr">
        <is>
          <t>Impacto Potencial</t>
        </is>
      </c>
      <c r="Z291" s="111" t="inlineStr">
        <is>
          <t>PC</t>
        </is>
      </c>
      <c r="AA291" s="111" t="inlineStr">
        <is>
          <t>Nao</t>
        </is>
      </c>
      <c r="AB291" s="111" t="inlineStr">
        <is>
          <t>NAO_COMPUTADO</t>
        </is>
      </c>
      <c r="AC291" s="112" t="inlineStr">
        <is>
          <t>Estrutura Fase 1: sem impacto no VTA oficial</t>
        </is>
      </c>
    </row>
    <row r="292" ht="25.5" customHeight="1" s="289">
      <c r="A292" s="205" t="n"/>
      <c r="B292" s="207" t="n"/>
      <c r="C292" s="104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348" t="n"/>
      <c r="E292" s="349">
        <f>IF(C292="","",IFERROR(VLOOKUP(C292,parametros!$A$11:$E$15,5,0),""))</f>
        <v/>
      </c>
      <c r="F292" s="335">
        <f>IF(OR(D292="",E292=""),"",ROUND(D292*E292,2))</f>
        <v/>
      </c>
      <c r="G292" s="106" t="n"/>
      <c r="H292" s="350">
        <f>IF(G292="Sim",IF(OR(F292="",D292="",L292=""),"",IF(L292="Sim",ROUND(F292-D292,2),0)),0)</f>
        <v/>
      </c>
      <c r="I292" s="350">
        <f>IF(G292="Sim",0,IF(OR(F292="",L292=""),"",F292))</f>
        <v/>
      </c>
      <c r="J292" s="350">
        <f>IF(G292="Sim",0,IF(OR(F292="",D292="",L292=""),"",IF(L292="Sim",ROUND(F292-D292,2),0)))</f>
        <v/>
      </c>
      <c r="K292" s="97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inlineStr">
        <is>
          <t>Nao</t>
        </is>
      </c>
      <c r="W292" s="110" t="inlineStr">
        <is>
          <t>PC em analise</t>
        </is>
      </c>
      <c r="X292" s="110" t="inlineStr">
        <is>
          <t>Pedido de Compra</t>
        </is>
      </c>
      <c r="Y292" s="111" t="inlineStr">
        <is>
          <t>Impacto Potencial</t>
        </is>
      </c>
      <c r="Z292" s="111" t="inlineStr">
        <is>
          <t>PC</t>
        </is>
      </c>
      <c r="AA292" s="111" t="inlineStr">
        <is>
          <t>Nao</t>
        </is>
      </c>
      <c r="AB292" s="111" t="inlineStr">
        <is>
          <t>NAO_COMPUTADO</t>
        </is>
      </c>
      <c r="AC292" s="112" t="inlineStr">
        <is>
          <t>Estrutura Fase 1: sem impacto no VTA oficial</t>
        </is>
      </c>
    </row>
    <row r="293" ht="25.5" customHeight="1" s="289">
      <c r="A293" s="205" t="n"/>
      <c r="B293" s="207" t="n"/>
      <c r="C293" s="104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348" t="n"/>
      <c r="E293" s="349">
        <f>IF(C293="","",IFERROR(VLOOKUP(C293,parametros!$A$11:$E$15,5,0),""))</f>
        <v/>
      </c>
      <c r="F293" s="335">
        <f>IF(OR(D293="",E293=""),"",ROUND(D293*E293,2))</f>
        <v/>
      </c>
      <c r="G293" s="106" t="n"/>
      <c r="H293" s="350">
        <f>IF(G293="Sim",IF(OR(F293="",D293="",L293=""),"",IF(L293="Sim",ROUND(F293-D293,2),0)),0)</f>
        <v/>
      </c>
      <c r="I293" s="350">
        <f>IF(G293="Sim",0,IF(OR(F293="",L293=""),"",F293))</f>
        <v/>
      </c>
      <c r="J293" s="350">
        <f>IF(G293="Sim",0,IF(OR(F293="",D293="",L293=""),"",IF(L293="Sim",ROUND(F293-D293,2),0)))</f>
        <v/>
      </c>
      <c r="K293" s="97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inlineStr">
        <is>
          <t>Nao</t>
        </is>
      </c>
      <c r="W293" s="110" t="inlineStr">
        <is>
          <t>PC em analise</t>
        </is>
      </c>
      <c r="X293" s="110" t="inlineStr">
        <is>
          <t>Pedido de Compra</t>
        </is>
      </c>
      <c r="Y293" s="111" t="inlineStr">
        <is>
          <t>Impacto Potencial</t>
        </is>
      </c>
      <c r="Z293" s="111" t="inlineStr">
        <is>
          <t>PC</t>
        </is>
      </c>
      <c r="AA293" s="111" t="inlineStr">
        <is>
          <t>Nao</t>
        </is>
      </c>
      <c r="AB293" s="111" t="inlineStr">
        <is>
          <t>NAO_COMPUTADO</t>
        </is>
      </c>
      <c r="AC293" s="112" t="inlineStr">
        <is>
          <t>Estrutura Fase 1: sem impacto no VTA oficial</t>
        </is>
      </c>
    </row>
    <row r="294" ht="25.5" customHeight="1" s="289">
      <c r="A294" s="205" t="n"/>
      <c r="B294" s="207" t="n"/>
      <c r="C294" s="104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348" t="n"/>
      <c r="E294" s="349">
        <f>IF(C294="","",IFERROR(VLOOKUP(C294,parametros!$A$11:$E$15,5,0),""))</f>
        <v/>
      </c>
      <c r="F294" s="335">
        <f>IF(OR(D294="",E294=""),"",ROUND(D294*E294,2))</f>
        <v/>
      </c>
      <c r="G294" s="106" t="n"/>
      <c r="H294" s="350">
        <f>IF(G294="Sim",IF(OR(F294="",D294="",L294=""),"",IF(L294="Sim",ROUND(F294-D294,2),0)),0)</f>
        <v/>
      </c>
      <c r="I294" s="350">
        <f>IF(G294="Sim",0,IF(OR(F294="",L294=""),"",F294))</f>
        <v/>
      </c>
      <c r="J294" s="350">
        <f>IF(G294="Sim",0,IF(OR(F294="",D294="",L294=""),"",IF(L294="Sim",ROUND(F294-D294,2),0)))</f>
        <v/>
      </c>
      <c r="K294" s="97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inlineStr">
        <is>
          <t>Nao</t>
        </is>
      </c>
      <c r="W294" s="110" t="inlineStr">
        <is>
          <t>PC em analise</t>
        </is>
      </c>
      <c r="X294" s="110" t="inlineStr">
        <is>
          <t>Pedido de Compra</t>
        </is>
      </c>
      <c r="Y294" s="111" t="inlineStr">
        <is>
          <t>Impacto Potencial</t>
        </is>
      </c>
      <c r="Z294" s="111" t="inlineStr">
        <is>
          <t>PC</t>
        </is>
      </c>
      <c r="AA294" s="111" t="inlineStr">
        <is>
          <t>Nao</t>
        </is>
      </c>
      <c r="AB294" s="111" t="inlineStr">
        <is>
          <t>NAO_COMPUTADO</t>
        </is>
      </c>
      <c r="AC294" s="112" t="inlineStr">
        <is>
          <t>Estrutura Fase 1: sem impacto no VTA oficial</t>
        </is>
      </c>
    </row>
    <row r="295" ht="25.5" customHeight="1" s="289">
      <c r="A295" s="205" t="n"/>
      <c r="B295" s="207" t="n"/>
      <c r="C295" s="104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348" t="n"/>
      <c r="E295" s="349">
        <f>IF(C295="","",IFERROR(VLOOKUP(C295,parametros!$A$11:$E$15,5,0),""))</f>
        <v/>
      </c>
      <c r="F295" s="335">
        <f>IF(OR(D295="",E295=""),"",ROUND(D295*E295,2))</f>
        <v/>
      </c>
      <c r="G295" s="106" t="n"/>
      <c r="H295" s="350">
        <f>IF(G295="Sim",IF(OR(F295="",D295="",L295=""),"",IF(L295="Sim",ROUND(F295-D295,2),0)),0)</f>
        <v/>
      </c>
      <c r="I295" s="350">
        <f>IF(G295="Sim",0,IF(OR(F295="",L295=""),"",F295))</f>
        <v/>
      </c>
      <c r="J295" s="350">
        <f>IF(G295="Sim",0,IF(OR(F295="",D295="",L295=""),"",IF(L295="Sim",ROUND(F295-D295,2),0)))</f>
        <v/>
      </c>
      <c r="K295" s="97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inlineStr">
        <is>
          <t>Nao</t>
        </is>
      </c>
      <c r="W295" s="110" t="inlineStr">
        <is>
          <t>PC em analise</t>
        </is>
      </c>
      <c r="X295" s="110" t="inlineStr">
        <is>
          <t>Pedido de Compra</t>
        </is>
      </c>
      <c r="Y295" s="111" t="inlineStr">
        <is>
          <t>Impacto Potencial</t>
        </is>
      </c>
      <c r="Z295" s="111" t="inlineStr">
        <is>
          <t>PC</t>
        </is>
      </c>
      <c r="AA295" s="111" t="inlineStr">
        <is>
          <t>Nao</t>
        </is>
      </c>
      <c r="AB295" s="111" t="inlineStr">
        <is>
          <t>NAO_COMPUTADO</t>
        </is>
      </c>
      <c r="AC295" s="112" t="inlineStr">
        <is>
          <t>Estrutura Fase 1: sem impacto no VTA oficial</t>
        </is>
      </c>
    </row>
    <row r="296" ht="25.5" customHeight="1" s="289">
      <c r="A296" s="205" t="n"/>
      <c r="B296" s="207" t="n"/>
      <c r="C296" s="104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348" t="n"/>
      <c r="E296" s="349">
        <f>IF(C296="","",IFERROR(VLOOKUP(C296,parametros!$A$11:$E$15,5,0),""))</f>
        <v/>
      </c>
      <c r="F296" s="335">
        <f>IF(OR(D296="",E296=""),"",ROUND(D296*E296,2))</f>
        <v/>
      </c>
      <c r="G296" s="106" t="n"/>
      <c r="H296" s="350">
        <f>IF(G296="Sim",IF(OR(F296="",D296="",L296=""),"",IF(L296="Sim",ROUND(F296-D296,2),0)),0)</f>
        <v/>
      </c>
      <c r="I296" s="350">
        <f>IF(G296="Sim",0,IF(OR(F296="",L296=""),"",F296))</f>
        <v/>
      </c>
      <c r="J296" s="350">
        <f>IF(G296="Sim",0,IF(OR(F296="",D296="",L296=""),"",IF(L296="Sim",ROUND(F296-D296,2),0)))</f>
        <v/>
      </c>
      <c r="K296" s="97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inlineStr">
        <is>
          <t>Nao</t>
        </is>
      </c>
      <c r="W296" s="110" t="inlineStr">
        <is>
          <t>PC em analise</t>
        </is>
      </c>
      <c r="X296" s="110" t="inlineStr">
        <is>
          <t>Pedido de Compra</t>
        </is>
      </c>
      <c r="Y296" s="111" t="inlineStr">
        <is>
          <t>Impacto Potencial</t>
        </is>
      </c>
      <c r="Z296" s="111" t="inlineStr">
        <is>
          <t>PC</t>
        </is>
      </c>
      <c r="AA296" s="111" t="inlineStr">
        <is>
          <t>Nao</t>
        </is>
      </c>
      <c r="AB296" s="111" t="inlineStr">
        <is>
          <t>NAO_COMPUTADO</t>
        </is>
      </c>
      <c r="AC296" s="112" t="inlineStr">
        <is>
          <t>Estrutura Fase 1: sem impacto no VTA oficial</t>
        </is>
      </c>
    </row>
    <row r="297" ht="25.5" customHeight="1" s="289">
      <c r="A297" s="205" t="n"/>
      <c r="B297" s="207" t="n"/>
      <c r="C297" s="104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348" t="n"/>
      <c r="E297" s="349">
        <f>IF(C297="","",IFERROR(VLOOKUP(C297,parametros!$A$11:$E$15,5,0),""))</f>
        <v/>
      </c>
      <c r="F297" s="335">
        <f>IF(OR(D297="",E297=""),"",ROUND(D297*E297,2))</f>
        <v/>
      </c>
      <c r="G297" s="106" t="n"/>
      <c r="H297" s="350">
        <f>IF(G297="Sim",IF(OR(F297="",D297="",L297=""),"",IF(L297="Sim",ROUND(F297-D297,2),0)),0)</f>
        <v/>
      </c>
      <c r="I297" s="350">
        <f>IF(G297="Sim",0,IF(OR(F297="",L297=""),"",F297))</f>
        <v/>
      </c>
      <c r="J297" s="350">
        <f>IF(G297="Sim",0,IF(OR(F297="",D297="",L297=""),"",IF(L297="Sim",ROUND(F297-D297,2),0)))</f>
        <v/>
      </c>
      <c r="K297" s="97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inlineStr">
        <is>
          <t>Nao</t>
        </is>
      </c>
      <c r="W297" s="110" t="inlineStr">
        <is>
          <t>PC em analise</t>
        </is>
      </c>
      <c r="X297" s="110" t="inlineStr">
        <is>
          <t>Pedido de Compra</t>
        </is>
      </c>
      <c r="Y297" s="111" t="inlineStr">
        <is>
          <t>Impacto Potencial</t>
        </is>
      </c>
      <c r="Z297" s="111" t="inlineStr">
        <is>
          <t>PC</t>
        </is>
      </c>
      <c r="AA297" s="111" t="inlineStr">
        <is>
          <t>Nao</t>
        </is>
      </c>
      <c r="AB297" s="111" t="inlineStr">
        <is>
          <t>NAO_COMPUTADO</t>
        </is>
      </c>
      <c r="AC297" s="112" t="inlineStr">
        <is>
          <t>Estrutura Fase 1: sem impacto no VTA oficial</t>
        </is>
      </c>
    </row>
    <row r="298" ht="25.5" customHeight="1" s="289">
      <c r="A298" s="205" t="n"/>
      <c r="B298" s="207" t="n"/>
      <c r="C298" s="104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348" t="n"/>
      <c r="E298" s="349">
        <f>IF(C298="","",IFERROR(VLOOKUP(C298,parametros!$A$11:$E$15,5,0),""))</f>
        <v/>
      </c>
      <c r="F298" s="335">
        <f>IF(OR(D298="",E298=""),"",ROUND(D298*E298,2))</f>
        <v/>
      </c>
      <c r="G298" s="106" t="n"/>
      <c r="H298" s="350">
        <f>IF(G298="Sim",IF(OR(F298="",D298="",L298=""),"",IF(L298="Sim",ROUND(F298-D298,2),0)),0)</f>
        <v/>
      </c>
      <c r="I298" s="350">
        <f>IF(G298="Sim",0,IF(OR(F298="",L298=""),"",F298))</f>
        <v/>
      </c>
      <c r="J298" s="350">
        <f>IF(G298="Sim",0,IF(OR(F298="",D298="",L298=""),"",IF(L298="Sim",ROUND(F298-D298,2),0)))</f>
        <v/>
      </c>
      <c r="K298" s="97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inlineStr">
        <is>
          <t>Nao</t>
        </is>
      </c>
      <c r="W298" s="110" t="inlineStr">
        <is>
          <t>PC em analise</t>
        </is>
      </c>
      <c r="X298" s="110" t="inlineStr">
        <is>
          <t>Pedido de Compra</t>
        </is>
      </c>
      <c r="Y298" s="111" t="inlineStr">
        <is>
          <t>Impacto Potencial</t>
        </is>
      </c>
      <c r="Z298" s="111" t="inlineStr">
        <is>
          <t>PC</t>
        </is>
      </c>
      <c r="AA298" s="111" t="inlineStr">
        <is>
          <t>Nao</t>
        </is>
      </c>
      <c r="AB298" s="111" t="inlineStr">
        <is>
          <t>NAO_COMPUTADO</t>
        </is>
      </c>
      <c r="AC298" s="112" t="inlineStr">
        <is>
          <t>Estrutura Fase 1: sem impacto no VTA oficial</t>
        </is>
      </c>
    </row>
    <row r="299" ht="25.5" customHeight="1" s="289">
      <c r="A299" s="205" t="n"/>
      <c r="B299" s="207" t="n"/>
      <c r="C299" s="104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348" t="n"/>
      <c r="E299" s="349">
        <f>IF(C299="","",IFERROR(VLOOKUP(C299,parametros!$A$11:$E$15,5,0),""))</f>
        <v/>
      </c>
      <c r="F299" s="335">
        <f>IF(OR(D299="",E299=""),"",ROUND(D299*E299,2))</f>
        <v/>
      </c>
      <c r="G299" s="106" t="n"/>
      <c r="H299" s="350">
        <f>IF(G299="Sim",IF(OR(F299="",D299="",L299=""),"",IF(L299="Sim",ROUND(F299-D299,2),0)),0)</f>
        <v/>
      </c>
      <c r="I299" s="350">
        <f>IF(G299="Sim",0,IF(OR(F299="",L299=""),"",F299))</f>
        <v/>
      </c>
      <c r="J299" s="350">
        <f>IF(G299="Sim",0,IF(OR(F299="",D299="",L299=""),"",IF(L299="Sim",ROUND(F299-D299,2),0)))</f>
        <v/>
      </c>
      <c r="K299" s="97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inlineStr">
        <is>
          <t>Nao</t>
        </is>
      </c>
      <c r="W299" s="110" t="inlineStr">
        <is>
          <t>PC em analise</t>
        </is>
      </c>
      <c r="X299" s="110" t="inlineStr">
        <is>
          <t>Pedido de Compra</t>
        </is>
      </c>
      <c r="Y299" s="111" t="inlineStr">
        <is>
          <t>Impacto Potencial</t>
        </is>
      </c>
      <c r="Z299" s="111" t="inlineStr">
        <is>
          <t>PC</t>
        </is>
      </c>
      <c r="AA299" s="111" t="inlineStr">
        <is>
          <t>Nao</t>
        </is>
      </c>
      <c r="AB299" s="111" t="inlineStr">
        <is>
          <t>NAO_COMPUTADO</t>
        </is>
      </c>
      <c r="AC299" s="112" t="inlineStr">
        <is>
          <t>Estrutura Fase 1: sem impacto no VTA oficial</t>
        </is>
      </c>
    </row>
    <row r="300" ht="25.5" customHeight="1" s="289">
      <c r="A300" s="205" t="n"/>
      <c r="B300" s="207" t="n"/>
      <c r="C300" s="104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348" t="n"/>
      <c r="E300" s="349">
        <f>IF(C300="","",IFERROR(VLOOKUP(C300,parametros!$A$11:$E$15,5,0),""))</f>
        <v/>
      </c>
      <c r="F300" s="335">
        <f>IF(OR(D300="",E300=""),"",ROUND(D300*E300,2))</f>
        <v/>
      </c>
      <c r="G300" s="106" t="n"/>
      <c r="H300" s="350">
        <f>IF(G300="Sim",IF(OR(F300="",D300="",L300=""),"",IF(L300="Sim",ROUND(F300-D300,2),0)),0)</f>
        <v/>
      </c>
      <c r="I300" s="350">
        <f>IF(G300="Sim",0,IF(OR(F300="",L300=""),"",F300))</f>
        <v/>
      </c>
      <c r="J300" s="350">
        <f>IF(G300="Sim",0,IF(OR(F300="",D300="",L300=""),"",IF(L300="Sim",ROUND(F300-D300,2),0)))</f>
        <v/>
      </c>
      <c r="K300" s="97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inlineStr">
        <is>
          <t>Nao</t>
        </is>
      </c>
      <c r="W300" s="110" t="inlineStr">
        <is>
          <t>PC em analise</t>
        </is>
      </c>
      <c r="X300" s="110" t="inlineStr">
        <is>
          <t>Pedido de Compra</t>
        </is>
      </c>
      <c r="Y300" s="111" t="inlineStr">
        <is>
          <t>Impacto Potencial</t>
        </is>
      </c>
      <c r="Z300" s="111" t="inlineStr">
        <is>
          <t>PC</t>
        </is>
      </c>
      <c r="AA300" s="111" t="inlineStr">
        <is>
          <t>Nao</t>
        </is>
      </c>
      <c r="AB300" s="111" t="inlineStr">
        <is>
          <t>NAO_COMPUTADO</t>
        </is>
      </c>
      <c r="AC300" s="112" t="inlineStr">
        <is>
          <t>Estrutura Fase 1: sem impacto no VTA oficial</t>
        </is>
      </c>
    </row>
    <row r="301" ht="25.5" customHeight="1" s="289">
      <c r="A301" s="205" t="n"/>
      <c r="B301" s="207" t="n"/>
      <c r="C301" s="104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348" t="n"/>
      <c r="E301" s="349">
        <f>IF(C301="","",IFERROR(VLOOKUP(C301,parametros!$A$11:$E$15,5,0),""))</f>
        <v/>
      </c>
      <c r="F301" s="335">
        <f>IF(OR(D301="",E301=""),"",ROUND(D301*E301,2))</f>
        <v/>
      </c>
      <c r="G301" s="106" t="n"/>
      <c r="H301" s="350">
        <f>IF(G301="Sim",IF(OR(F301="",D301="",L301=""),"",IF(L301="Sim",ROUND(F301-D301,2),0)),0)</f>
        <v/>
      </c>
      <c r="I301" s="350">
        <f>IF(G301="Sim",0,IF(OR(F301="",L301=""),"",F301))</f>
        <v/>
      </c>
      <c r="J301" s="350">
        <f>IF(G301="Sim",0,IF(OR(F301="",D301="",L301=""),"",IF(L301="Sim",ROUND(F301-D301,2),0)))</f>
        <v/>
      </c>
      <c r="K301" s="97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inlineStr">
        <is>
          <t>Nao</t>
        </is>
      </c>
      <c r="W301" s="110" t="inlineStr">
        <is>
          <t>PC em analise</t>
        </is>
      </c>
      <c r="X301" s="110" t="inlineStr">
        <is>
          <t>Pedido de Compra</t>
        </is>
      </c>
      <c r="Y301" s="111" t="inlineStr">
        <is>
          <t>Impacto Potencial</t>
        </is>
      </c>
      <c r="Z301" s="111" t="inlineStr">
        <is>
          <t>PC</t>
        </is>
      </c>
      <c r="AA301" s="111" t="inlineStr">
        <is>
          <t>Nao</t>
        </is>
      </c>
      <c r="AB301" s="111" t="inlineStr">
        <is>
          <t>NAO_COMPUTADO</t>
        </is>
      </c>
      <c r="AC301" s="112" t="inlineStr">
        <is>
          <t>Estrutura Fase 1: sem impacto no VTA oficial</t>
        </is>
      </c>
    </row>
    <row r="302" ht="25.5" customHeight="1" s="289">
      <c r="A302" s="205" t="n"/>
      <c r="B302" s="207" t="n"/>
      <c r="C302" s="104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348" t="n"/>
      <c r="E302" s="349">
        <f>IF(C302="","",IFERROR(VLOOKUP(C302,parametros!$A$11:$E$15,5,0),""))</f>
        <v/>
      </c>
      <c r="F302" s="335">
        <f>IF(OR(D302="",E302=""),"",ROUND(D302*E302,2))</f>
        <v/>
      </c>
      <c r="G302" s="106" t="n"/>
      <c r="H302" s="350">
        <f>IF(G302="Sim",IF(OR(F302="",D302="",L302=""),"",IF(L302="Sim",ROUND(F302-D302,2),0)),0)</f>
        <v/>
      </c>
      <c r="I302" s="350">
        <f>IF(G302="Sim",0,IF(OR(F302="",L302=""),"",F302))</f>
        <v/>
      </c>
      <c r="J302" s="350">
        <f>IF(G302="Sim",0,IF(OR(F302="",D302="",L302=""),"",IF(L302="Sim",ROUND(F302-D302,2),0)))</f>
        <v/>
      </c>
      <c r="K302" s="97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inlineStr">
        <is>
          <t>Nao</t>
        </is>
      </c>
      <c r="W302" s="110" t="inlineStr">
        <is>
          <t>PC em analise</t>
        </is>
      </c>
      <c r="X302" s="110" t="inlineStr">
        <is>
          <t>Pedido de Compra</t>
        </is>
      </c>
      <c r="Y302" s="111" t="inlineStr">
        <is>
          <t>Impacto Potencial</t>
        </is>
      </c>
      <c r="Z302" s="111" t="inlineStr">
        <is>
          <t>PC</t>
        </is>
      </c>
      <c r="AA302" s="111" t="inlineStr">
        <is>
          <t>Nao</t>
        </is>
      </c>
      <c r="AB302" s="111" t="inlineStr">
        <is>
          <t>NAO_COMPUTADO</t>
        </is>
      </c>
      <c r="AC302" s="112" t="inlineStr">
        <is>
          <t>Estrutura Fase 1: sem impacto no VTA oficial</t>
        </is>
      </c>
    </row>
    <row r="303" ht="25.5" customHeight="1" s="289">
      <c r="A303" s="205" t="n"/>
      <c r="B303" s="207" t="n"/>
      <c r="C303" s="104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348" t="n"/>
      <c r="E303" s="349">
        <f>IF(C303="","",IFERROR(VLOOKUP(C303,parametros!$A$11:$E$15,5,0),""))</f>
        <v/>
      </c>
      <c r="F303" s="335">
        <f>IF(OR(D303="",E303=""),"",ROUND(D303*E303,2))</f>
        <v/>
      </c>
      <c r="G303" s="106" t="n"/>
      <c r="H303" s="350">
        <f>IF(G303="Sim",IF(OR(F303="",D303="",L303=""),"",IF(L303="Sim",ROUND(F303-D303,2),0)),0)</f>
        <v/>
      </c>
      <c r="I303" s="350">
        <f>IF(G303="Sim",0,IF(OR(F303="",L303=""),"",F303))</f>
        <v/>
      </c>
      <c r="J303" s="350">
        <f>IF(G303="Sim",0,IF(OR(F303="",D303="",L303=""),"",IF(L303="Sim",ROUND(F303-D303,2),0)))</f>
        <v/>
      </c>
      <c r="K303" s="97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inlineStr">
        <is>
          <t>Nao</t>
        </is>
      </c>
      <c r="W303" s="110" t="inlineStr">
        <is>
          <t>PC em analise</t>
        </is>
      </c>
      <c r="X303" s="110" t="inlineStr">
        <is>
          <t>Pedido de Compra</t>
        </is>
      </c>
      <c r="Y303" s="111" t="inlineStr">
        <is>
          <t>Impacto Potencial</t>
        </is>
      </c>
      <c r="Z303" s="111" t="inlineStr">
        <is>
          <t>PC</t>
        </is>
      </c>
      <c r="AA303" s="111" t="inlineStr">
        <is>
          <t>Nao</t>
        </is>
      </c>
      <c r="AB303" s="111" t="inlineStr">
        <is>
          <t>NAO_COMPUTADO</t>
        </is>
      </c>
      <c r="AC303" s="112" t="inlineStr">
        <is>
          <t>Estrutura Fase 1: sem impacto no VTA oficial</t>
        </is>
      </c>
    </row>
    <row r="304" ht="25.5" customHeight="1" s="289">
      <c r="A304" s="205" t="n"/>
      <c r="B304" s="207" t="n"/>
      <c r="C304" s="104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348" t="n"/>
      <c r="E304" s="349">
        <f>IF(C304="","",IFERROR(VLOOKUP(C304,parametros!$A$11:$E$15,5,0),""))</f>
        <v/>
      </c>
      <c r="F304" s="335">
        <f>IF(OR(D304="",E304=""),"",ROUND(D304*E304,2))</f>
        <v/>
      </c>
      <c r="G304" s="106" t="n"/>
      <c r="H304" s="350">
        <f>IF(G304="Sim",IF(OR(F304="",D304="",L304=""),"",IF(L304="Sim",ROUND(F304-D304,2),0)),0)</f>
        <v/>
      </c>
      <c r="I304" s="350">
        <f>IF(G304="Sim",0,IF(OR(F304="",L304=""),"",F304))</f>
        <v/>
      </c>
      <c r="J304" s="350">
        <f>IF(G304="Sim",0,IF(OR(F304="",D304="",L304=""),"",IF(L304="Sim",ROUND(F304-D304,2),0)))</f>
        <v/>
      </c>
      <c r="K304" s="97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inlineStr">
        <is>
          <t>Nao</t>
        </is>
      </c>
      <c r="W304" s="110" t="inlineStr">
        <is>
          <t>PC em analise</t>
        </is>
      </c>
      <c r="X304" s="110" t="inlineStr">
        <is>
          <t>Pedido de Compra</t>
        </is>
      </c>
      <c r="Y304" s="111" t="inlineStr">
        <is>
          <t>Impacto Potencial</t>
        </is>
      </c>
      <c r="Z304" s="111" t="inlineStr">
        <is>
          <t>PC</t>
        </is>
      </c>
      <c r="AA304" s="111" t="inlineStr">
        <is>
          <t>Nao</t>
        </is>
      </c>
      <c r="AB304" s="111" t="inlineStr">
        <is>
          <t>NAO_COMPUTADO</t>
        </is>
      </c>
      <c r="AC304" s="112" t="inlineStr">
        <is>
          <t>Estrutura Fase 1: sem impacto no VTA oficial</t>
        </is>
      </c>
    </row>
    <row r="305" ht="25.5" customHeight="1" s="289">
      <c r="A305" s="205" t="n"/>
      <c r="B305" s="207" t="n"/>
      <c r="C305" s="104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348" t="n"/>
      <c r="E305" s="349">
        <f>IF(C305="","",IFERROR(VLOOKUP(C305,parametros!$A$11:$E$15,5,0),""))</f>
        <v/>
      </c>
      <c r="F305" s="335">
        <f>IF(OR(D305="",E305=""),"",ROUND(D305*E305,2))</f>
        <v/>
      </c>
      <c r="G305" s="106" t="n"/>
      <c r="H305" s="350">
        <f>IF(G305="Sim",IF(OR(F305="",D305="",L305=""),"",IF(L305="Sim",ROUND(F305-D305,2),0)),0)</f>
        <v/>
      </c>
      <c r="I305" s="350">
        <f>IF(G305="Sim",0,IF(OR(F305="",L305=""),"",F305))</f>
        <v/>
      </c>
      <c r="J305" s="350">
        <f>IF(G305="Sim",0,IF(OR(F305="",D305="",L305=""),"",IF(L305="Sim",ROUND(F305-D305,2),0)))</f>
        <v/>
      </c>
      <c r="K305" s="97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inlineStr">
        <is>
          <t>Nao</t>
        </is>
      </c>
      <c r="W305" s="110" t="inlineStr">
        <is>
          <t>PC em analise</t>
        </is>
      </c>
      <c r="X305" s="110" t="inlineStr">
        <is>
          <t>Pedido de Compra</t>
        </is>
      </c>
      <c r="Y305" s="111" t="inlineStr">
        <is>
          <t>Impacto Potencial</t>
        </is>
      </c>
      <c r="Z305" s="111" t="inlineStr">
        <is>
          <t>PC</t>
        </is>
      </c>
      <c r="AA305" s="111" t="inlineStr">
        <is>
          <t>Nao</t>
        </is>
      </c>
      <c r="AB305" s="111" t="inlineStr">
        <is>
          <t>NAO_COMPUTADO</t>
        </is>
      </c>
      <c r="AC305" s="112" t="inlineStr">
        <is>
          <t>Estrutura Fase 1: sem impacto no VTA oficial</t>
        </is>
      </c>
    </row>
    <row r="306" ht="25.5" customHeight="1" s="289">
      <c r="A306" s="205" t="n"/>
      <c r="B306" s="207" t="n"/>
      <c r="C306" s="104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348" t="n"/>
      <c r="E306" s="349">
        <f>IF(C306="","",IFERROR(VLOOKUP(C306,parametros!$A$11:$E$15,5,0),""))</f>
        <v/>
      </c>
      <c r="F306" s="335">
        <f>IF(OR(D306="",E306=""),"",ROUND(D306*E306,2))</f>
        <v/>
      </c>
      <c r="G306" s="106" t="n"/>
      <c r="H306" s="350">
        <f>IF(G306="Sim",IF(OR(F306="",D306="",L306=""),"",IF(L306="Sim",ROUND(F306-D306,2),0)),0)</f>
        <v/>
      </c>
      <c r="I306" s="350">
        <f>IF(G306="Sim",0,IF(OR(F306="",L306=""),"",F306))</f>
        <v/>
      </c>
      <c r="J306" s="350">
        <f>IF(G306="Sim",0,IF(OR(F306="",D306="",L306=""),"",IF(L306="Sim",ROUND(F306-D306,2),0)))</f>
        <v/>
      </c>
      <c r="K306" s="97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inlineStr">
        <is>
          <t>Nao</t>
        </is>
      </c>
      <c r="W306" s="110" t="inlineStr">
        <is>
          <t>PC em analise</t>
        </is>
      </c>
      <c r="X306" s="110" t="inlineStr">
        <is>
          <t>Pedido de Compra</t>
        </is>
      </c>
      <c r="Y306" s="111" t="inlineStr">
        <is>
          <t>Impacto Potencial</t>
        </is>
      </c>
      <c r="Z306" s="111" t="inlineStr">
        <is>
          <t>PC</t>
        </is>
      </c>
      <c r="AA306" s="111" t="inlineStr">
        <is>
          <t>Nao</t>
        </is>
      </c>
      <c r="AB306" s="111" t="inlineStr">
        <is>
          <t>NAO_COMPUTADO</t>
        </is>
      </c>
      <c r="AC306" s="112" t="inlineStr">
        <is>
          <t>Estrutura Fase 1: sem impacto no VTA oficial</t>
        </is>
      </c>
    </row>
    <row r="307" ht="25.5" customHeight="1" s="289">
      <c r="A307" s="205" t="n"/>
      <c r="B307" s="207" t="n"/>
      <c r="C307" s="104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348" t="n"/>
      <c r="E307" s="349">
        <f>IF(C307="","",IFERROR(VLOOKUP(C307,parametros!$A$11:$E$15,5,0),""))</f>
        <v/>
      </c>
      <c r="F307" s="335">
        <f>IF(OR(D307="",E307=""),"",ROUND(D307*E307,2))</f>
        <v/>
      </c>
      <c r="G307" s="106" t="n"/>
      <c r="H307" s="350">
        <f>IF(G307="Sim",IF(OR(F307="",D307="",L307=""),"",IF(L307="Sim",ROUND(F307-D307,2),0)),0)</f>
        <v/>
      </c>
      <c r="I307" s="350">
        <f>IF(G307="Sim",0,IF(OR(F307="",L307=""),"",F307))</f>
        <v/>
      </c>
      <c r="J307" s="350">
        <f>IF(G307="Sim",0,IF(OR(F307="",D307="",L307=""),"",IF(L307="Sim",ROUND(F307-D307,2),0)))</f>
        <v/>
      </c>
      <c r="K307" s="97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inlineStr">
        <is>
          <t>Nao</t>
        </is>
      </c>
      <c r="W307" s="110" t="inlineStr">
        <is>
          <t>PC em analise</t>
        </is>
      </c>
      <c r="X307" s="110" t="inlineStr">
        <is>
          <t>Pedido de Compra</t>
        </is>
      </c>
      <c r="Y307" s="111" t="inlineStr">
        <is>
          <t>Impacto Potencial</t>
        </is>
      </c>
      <c r="Z307" s="111" t="inlineStr">
        <is>
          <t>PC</t>
        </is>
      </c>
      <c r="AA307" s="111" t="inlineStr">
        <is>
          <t>Nao</t>
        </is>
      </c>
      <c r="AB307" s="111" t="inlineStr">
        <is>
          <t>NAO_COMPUTADO</t>
        </is>
      </c>
      <c r="AC307" s="112" t="inlineStr">
        <is>
          <t>Estrutura Fase 1: sem impacto no VTA oficial</t>
        </is>
      </c>
    </row>
    <row r="308" ht="25.5" customHeight="1" s="289">
      <c r="A308" s="205" t="n"/>
      <c r="B308" s="207" t="n"/>
      <c r="C308" s="104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348" t="n"/>
      <c r="E308" s="349">
        <f>IF(C308="","",IFERROR(VLOOKUP(C308,parametros!$A$11:$E$15,5,0),""))</f>
        <v/>
      </c>
      <c r="F308" s="335">
        <f>IF(OR(D308="",E308=""),"",ROUND(D308*E308,2))</f>
        <v/>
      </c>
      <c r="G308" s="106" t="n"/>
      <c r="H308" s="350">
        <f>IF(G308="Sim",IF(OR(F308="",D308="",L308=""),"",IF(L308="Sim",ROUND(F308-D308,2),0)),0)</f>
        <v/>
      </c>
      <c r="I308" s="350">
        <f>IF(G308="Sim",0,IF(OR(F308="",L308=""),"",F308))</f>
        <v/>
      </c>
      <c r="J308" s="350">
        <f>IF(G308="Sim",0,IF(OR(F308="",D308="",L308=""),"",IF(L308="Sim",ROUND(F308-D308,2),0)))</f>
        <v/>
      </c>
      <c r="K308" s="97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inlineStr">
        <is>
          <t>Nao</t>
        </is>
      </c>
      <c r="W308" s="110" t="inlineStr">
        <is>
          <t>PC em analise</t>
        </is>
      </c>
      <c r="X308" s="110" t="inlineStr">
        <is>
          <t>Pedido de Compra</t>
        </is>
      </c>
      <c r="Y308" s="111" t="inlineStr">
        <is>
          <t>Impacto Potencial</t>
        </is>
      </c>
      <c r="Z308" s="111" t="inlineStr">
        <is>
          <t>PC</t>
        </is>
      </c>
      <c r="AA308" s="111" t="inlineStr">
        <is>
          <t>Nao</t>
        </is>
      </c>
      <c r="AB308" s="111" t="inlineStr">
        <is>
          <t>NAO_COMPUTADO</t>
        </is>
      </c>
      <c r="AC308" s="112" t="inlineStr">
        <is>
          <t>Estrutura Fase 1: sem impacto no VTA oficial</t>
        </is>
      </c>
    </row>
    <row r="309" ht="25.5" customHeight="1" s="289">
      <c r="A309" s="205" t="n"/>
      <c r="B309" s="207" t="n"/>
      <c r="C309" s="104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348" t="n"/>
      <c r="E309" s="349">
        <f>IF(C309="","",IFERROR(VLOOKUP(C309,parametros!$A$11:$E$15,5,0),""))</f>
        <v/>
      </c>
      <c r="F309" s="335">
        <f>IF(OR(D309="",E309=""),"",ROUND(D309*E309,2))</f>
        <v/>
      </c>
      <c r="G309" s="106" t="n"/>
      <c r="H309" s="350">
        <f>IF(G309="Sim",IF(OR(F309="",D309="",L309=""),"",IF(L309="Sim",ROUND(F309-D309,2),0)),0)</f>
        <v/>
      </c>
      <c r="I309" s="350">
        <f>IF(G309="Sim",0,IF(OR(F309="",L309=""),"",F309))</f>
        <v/>
      </c>
      <c r="J309" s="350">
        <f>IF(G309="Sim",0,IF(OR(F309="",D309="",L309=""),"",IF(L309="Sim",ROUND(F309-D309,2),0)))</f>
        <v/>
      </c>
      <c r="K309" s="97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inlineStr">
        <is>
          <t>Nao</t>
        </is>
      </c>
      <c r="W309" s="110" t="inlineStr">
        <is>
          <t>PC em analise</t>
        </is>
      </c>
      <c r="X309" s="110" t="inlineStr">
        <is>
          <t>Pedido de Compra</t>
        </is>
      </c>
      <c r="Y309" s="111" t="inlineStr">
        <is>
          <t>Impacto Potencial</t>
        </is>
      </c>
      <c r="Z309" s="111" t="inlineStr">
        <is>
          <t>PC</t>
        </is>
      </c>
      <c r="AA309" s="111" t="inlineStr">
        <is>
          <t>Nao</t>
        </is>
      </c>
      <c r="AB309" s="111" t="inlineStr">
        <is>
          <t>NAO_COMPUTADO</t>
        </is>
      </c>
      <c r="AC309" s="112" t="inlineStr">
        <is>
          <t>Estrutura Fase 1: sem impacto no VTA oficial</t>
        </is>
      </c>
    </row>
    <row r="310" ht="25.5" customHeight="1" s="289">
      <c r="A310" s="205" t="n"/>
      <c r="B310" s="207" t="n"/>
      <c r="C310" s="104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348" t="n"/>
      <c r="E310" s="349">
        <f>IF(C310="","",IFERROR(VLOOKUP(C310,parametros!$A$11:$E$15,5,0),""))</f>
        <v/>
      </c>
      <c r="F310" s="335">
        <f>IF(OR(D310="",E310=""),"",ROUND(D310*E310,2))</f>
        <v/>
      </c>
      <c r="G310" s="106" t="n"/>
      <c r="H310" s="350">
        <f>IF(G310="Sim",IF(OR(F310="",D310="",L310=""),"",IF(L310="Sim",ROUND(F310-D310,2),0)),0)</f>
        <v/>
      </c>
      <c r="I310" s="350">
        <f>IF(G310="Sim",0,IF(OR(F310="",L310=""),"",F310))</f>
        <v/>
      </c>
      <c r="J310" s="350">
        <f>IF(G310="Sim",0,IF(OR(F310="",D310="",L310=""),"",IF(L310="Sim",ROUND(F310-D310,2),0)))</f>
        <v/>
      </c>
      <c r="K310" s="97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inlineStr">
        <is>
          <t>Nao</t>
        </is>
      </c>
      <c r="W310" s="110" t="inlineStr">
        <is>
          <t>PC em analise</t>
        </is>
      </c>
      <c r="X310" s="110" t="inlineStr">
        <is>
          <t>Pedido de Compra</t>
        </is>
      </c>
      <c r="Y310" s="111" t="inlineStr">
        <is>
          <t>Impacto Potencial</t>
        </is>
      </c>
      <c r="Z310" s="111" t="inlineStr">
        <is>
          <t>PC</t>
        </is>
      </c>
      <c r="AA310" s="111" t="inlineStr">
        <is>
          <t>Nao</t>
        </is>
      </c>
      <c r="AB310" s="111" t="inlineStr">
        <is>
          <t>NAO_COMPUTADO</t>
        </is>
      </c>
      <c r="AC310" s="112" t="inlineStr">
        <is>
          <t>Estrutura Fase 1: sem impacto no VTA oficial</t>
        </is>
      </c>
    </row>
    <row r="311" ht="25.5" customHeight="1" s="289">
      <c r="A311" s="205" t="n"/>
      <c r="B311" s="207" t="n"/>
      <c r="C311" s="104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348" t="n"/>
      <c r="E311" s="349">
        <f>IF(C311="","",IFERROR(VLOOKUP(C311,parametros!$A$11:$E$15,5,0),""))</f>
        <v/>
      </c>
      <c r="F311" s="335">
        <f>IF(OR(D311="",E311=""),"",ROUND(D311*E311,2))</f>
        <v/>
      </c>
      <c r="G311" s="106" t="n"/>
      <c r="H311" s="350">
        <f>IF(G311="Sim",IF(OR(F311="",D311="",L311=""),"",IF(L311="Sim",ROUND(F311-D311,2),0)),0)</f>
        <v/>
      </c>
      <c r="I311" s="350">
        <f>IF(G311="Sim",0,IF(OR(F311="",L311=""),"",F311))</f>
        <v/>
      </c>
      <c r="J311" s="350">
        <f>IF(G311="Sim",0,IF(OR(F311="",D311="",L311=""),"",IF(L311="Sim",ROUND(F311-D311,2),0)))</f>
        <v/>
      </c>
      <c r="K311" s="97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inlineStr">
        <is>
          <t>Nao</t>
        </is>
      </c>
      <c r="W311" s="110" t="inlineStr">
        <is>
          <t>PC em analise</t>
        </is>
      </c>
      <c r="X311" s="110" t="inlineStr">
        <is>
          <t>Pedido de Compra</t>
        </is>
      </c>
      <c r="Y311" s="111" t="inlineStr">
        <is>
          <t>Impacto Potencial</t>
        </is>
      </c>
      <c r="Z311" s="111" t="inlineStr">
        <is>
          <t>PC</t>
        </is>
      </c>
      <c r="AA311" s="111" t="inlineStr">
        <is>
          <t>Nao</t>
        </is>
      </c>
      <c r="AB311" s="111" t="inlineStr">
        <is>
          <t>NAO_COMPUTADO</t>
        </is>
      </c>
      <c r="AC311" s="112" t="inlineStr">
        <is>
          <t>Estrutura Fase 1: sem impacto no VTA oficial</t>
        </is>
      </c>
    </row>
    <row r="312" ht="25.5" customHeight="1" s="289">
      <c r="A312" s="205" t="n"/>
      <c r="B312" s="207" t="n"/>
      <c r="C312" s="104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348" t="n"/>
      <c r="E312" s="349">
        <f>IF(C312="","",IFERROR(VLOOKUP(C312,parametros!$A$11:$E$15,5,0),""))</f>
        <v/>
      </c>
      <c r="F312" s="335">
        <f>IF(OR(D312="",E312=""),"",ROUND(D312*E312,2))</f>
        <v/>
      </c>
      <c r="G312" s="106" t="n"/>
      <c r="H312" s="350">
        <f>IF(G312="Sim",IF(OR(F312="",D312="",L312=""),"",IF(L312="Sim",ROUND(F312-D312,2),0)),0)</f>
        <v/>
      </c>
      <c r="I312" s="350">
        <f>IF(G312="Sim",0,IF(OR(F312="",L312=""),"",F312))</f>
        <v/>
      </c>
      <c r="J312" s="350">
        <f>IF(G312="Sim",0,IF(OR(F312="",D312="",L312=""),"",IF(L312="Sim",ROUND(F312-D312,2),0)))</f>
        <v/>
      </c>
      <c r="K312" s="97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inlineStr">
        <is>
          <t>Nao</t>
        </is>
      </c>
      <c r="W312" s="110" t="inlineStr">
        <is>
          <t>PC em analise</t>
        </is>
      </c>
      <c r="X312" s="110" t="inlineStr">
        <is>
          <t>Pedido de Compra</t>
        </is>
      </c>
      <c r="Y312" s="111" t="inlineStr">
        <is>
          <t>Impacto Potencial</t>
        </is>
      </c>
      <c r="Z312" s="111" t="inlineStr">
        <is>
          <t>PC</t>
        </is>
      </c>
      <c r="AA312" s="111" t="inlineStr">
        <is>
          <t>Nao</t>
        </is>
      </c>
      <c r="AB312" s="111" t="inlineStr">
        <is>
          <t>NAO_COMPUTADO</t>
        </is>
      </c>
      <c r="AC312" s="112" t="inlineStr">
        <is>
          <t>Estrutura Fase 1: sem impacto no VTA oficial</t>
        </is>
      </c>
    </row>
    <row r="313" ht="25.5" customHeight="1" s="289">
      <c r="A313" s="205" t="n"/>
      <c r="B313" s="207" t="n"/>
      <c r="C313" s="104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348" t="n"/>
      <c r="E313" s="349">
        <f>IF(C313="","",IFERROR(VLOOKUP(C313,parametros!$A$11:$E$15,5,0),""))</f>
        <v/>
      </c>
      <c r="F313" s="335">
        <f>IF(OR(D313="",E313=""),"",ROUND(D313*E313,2))</f>
        <v/>
      </c>
      <c r="G313" s="106" t="n"/>
      <c r="H313" s="350">
        <f>IF(G313="Sim",IF(OR(F313="",D313="",L313=""),"",IF(L313="Sim",ROUND(F313-D313,2),0)),0)</f>
        <v/>
      </c>
      <c r="I313" s="350">
        <f>IF(G313="Sim",0,IF(OR(F313="",L313=""),"",F313))</f>
        <v/>
      </c>
      <c r="J313" s="350">
        <f>IF(G313="Sim",0,IF(OR(F313="",D313="",L313=""),"",IF(L313="Sim",ROUND(F313-D313,2),0)))</f>
        <v/>
      </c>
      <c r="K313" s="97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inlineStr">
        <is>
          <t>Nao</t>
        </is>
      </c>
      <c r="W313" s="110" t="inlineStr">
        <is>
          <t>PC em analise</t>
        </is>
      </c>
      <c r="X313" s="110" t="inlineStr">
        <is>
          <t>Pedido de Compra</t>
        </is>
      </c>
      <c r="Y313" s="111" t="inlineStr">
        <is>
          <t>Impacto Potencial</t>
        </is>
      </c>
      <c r="Z313" s="111" t="inlineStr">
        <is>
          <t>PC</t>
        </is>
      </c>
      <c r="AA313" s="111" t="inlineStr">
        <is>
          <t>Nao</t>
        </is>
      </c>
      <c r="AB313" s="111" t="inlineStr">
        <is>
          <t>NAO_COMPUTADO</t>
        </is>
      </c>
      <c r="AC313" s="112" t="inlineStr">
        <is>
          <t>Estrutura Fase 1: sem impacto no VTA oficial</t>
        </is>
      </c>
    </row>
    <row r="314" ht="25.5" customHeight="1" s="289">
      <c r="A314" s="205" t="n"/>
      <c r="B314" s="207" t="n"/>
      <c r="C314" s="104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348" t="n"/>
      <c r="E314" s="349">
        <f>IF(C314="","",IFERROR(VLOOKUP(C314,parametros!$A$11:$E$15,5,0),""))</f>
        <v/>
      </c>
      <c r="F314" s="335">
        <f>IF(OR(D314="",E314=""),"",ROUND(D314*E314,2))</f>
        <v/>
      </c>
      <c r="G314" s="106" t="n"/>
      <c r="H314" s="350">
        <f>IF(G314="Sim",IF(OR(F314="",D314="",L314=""),"",IF(L314="Sim",ROUND(F314-D314,2),0)),0)</f>
        <v/>
      </c>
      <c r="I314" s="350">
        <f>IF(G314="Sim",0,IF(OR(F314="",L314=""),"",F314))</f>
        <v/>
      </c>
      <c r="J314" s="350">
        <f>IF(G314="Sim",0,IF(OR(F314="",D314="",L314=""),"",IF(L314="Sim",ROUND(F314-D314,2),0)))</f>
        <v/>
      </c>
      <c r="K314" s="97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inlineStr">
        <is>
          <t>Nao</t>
        </is>
      </c>
      <c r="W314" s="110" t="inlineStr">
        <is>
          <t>PC em analise</t>
        </is>
      </c>
      <c r="X314" s="110" t="inlineStr">
        <is>
          <t>Pedido de Compra</t>
        </is>
      </c>
      <c r="Y314" s="111" t="inlineStr">
        <is>
          <t>Impacto Potencial</t>
        </is>
      </c>
      <c r="Z314" s="111" t="inlineStr">
        <is>
          <t>PC</t>
        </is>
      </c>
      <c r="AA314" s="111" t="inlineStr">
        <is>
          <t>Nao</t>
        </is>
      </c>
      <c r="AB314" s="111" t="inlineStr">
        <is>
          <t>NAO_COMPUTADO</t>
        </is>
      </c>
      <c r="AC314" s="112" t="inlineStr">
        <is>
          <t>Estrutura Fase 1: sem impacto no VTA oficial</t>
        </is>
      </c>
    </row>
    <row r="315" ht="25.5" customHeight="1" s="289">
      <c r="A315" s="205" t="n"/>
      <c r="B315" s="207" t="n"/>
      <c r="C315" s="104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348" t="n"/>
      <c r="E315" s="349">
        <f>IF(C315="","",IFERROR(VLOOKUP(C315,parametros!$A$11:$E$15,5,0),""))</f>
        <v/>
      </c>
      <c r="F315" s="335">
        <f>IF(OR(D315="",E315=""),"",ROUND(D315*E315,2))</f>
        <v/>
      </c>
      <c r="G315" s="106" t="n"/>
      <c r="H315" s="350">
        <f>IF(G315="Sim",IF(OR(F315="",D315="",L315=""),"",IF(L315="Sim",ROUND(F315-D315,2),0)),0)</f>
        <v/>
      </c>
      <c r="I315" s="350">
        <f>IF(G315="Sim",0,IF(OR(F315="",L315=""),"",F315))</f>
        <v/>
      </c>
      <c r="J315" s="350">
        <f>IF(G315="Sim",0,IF(OR(F315="",D315="",L315=""),"",IF(L315="Sim",ROUND(F315-D315,2),0)))</f>
        <v/>
      </c>
      <c r="K315" s="97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inlineStr">
        <is>
          <t>Nao</t>
        </is>
      </c>
      <c r="W315" s="110" t="inlineStr">
        <is>
          <t>PC em analise</t>
        </is>
      </c>
      <c r="X315" s="110" t="inlineStr">
        <is>
          <t>Pedido de Compra</t>
        </is>
      </c>
      <c r="Y315" s="111" t="inlineStr">
        <is>
          <t>Impacto Potencial</t>
        </is>
      </c>
      <c r="Z315" s="111" t="inlineStr">
        <is>
          <t>PC</t>
        </is>
      </c>
      <c r="AA315" s="111" t="inlineStr">
        <is>
          <t>Nao</t>
        </is>
      </c>
      <c r="AB315" s="111" t="inlineStr">
        <is>
          <t>NAO_COMPUTADO</t>
        </is>
      </c>
      <c r="AC315" s="112" t="inlineStr">
        <is>
          <t>Estrutura Fase 1: sem impacto no VTA oficial</t>
        </is>
      </c>
    </row>
    <row r="316" ht="25.5" customHeight="1" s="289">
      <c r="A316" s="205" t="n"/>
      <c r="B316" s="207" t="n"/>
      <c r="C316" s="104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348" t="n"/>
      <c r="E316" s="349">
        <f>IF(C316="","",IFERROR(VLOOKUP(C316,parametros!$A$11:$E$15,5,0),""))</f>
        <v/>
      </c>
      <c r="F316" s="335">
        <f>IF(OR(D316="",E316=""),"",ROUND(D316*E316,2))</f>
        <v/>
      </c>
      <c r="G316" s="106" t="n"/>
      <c r="H316" s="350">
        <f>IF(G316="Sim",IF(OR(F316="",D316="",L316=""),"",IF(L316="Sim",ROUND(F316-D316,2),0)),0)</f>
        <v/>
      </c>
      <c r="I316" s="350">
        <f>IF(G316="Sim",0,IF(OR(F316="",L316=""),"",F316))</f>
        <v/>
      </c>
      <c r="J316" s="350">
        <f>IF(G316="Sim",0,IF(OR(F316="",D316="",L316=""),"",IF(L316="Sim",ROUND(F316-D316,2),0)))</f>
        <v/>
      </c>
      <c r="K316" s="97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inlineStr">
        <is>
          <t>Nao</t>
        </is>
      </c>
      <c r="W316" s="110" t="inlineStr">
        <is>
          <t>PC em analise</t>
        </is>
      </c>
      <c r="X316" s="110" t="inlineStr">
        <is>
          <t>Pedido de Compra</t>
        </is>
      </c>
      <c r="Y316" s="111" t="inlineStr">
        <is>
          <t>Impacto Potencial</t>
        </is>
      </c>
      <c r="Z316" s="111" t="inlineStr">
        <is>
          <t>PC</t>
        </is>
      </c>
      <c r="AA316" s="111" t="inlineStr">
        <is>
          <t>Nao</t>
        </is>
      </c>
      <c r="AB316" s="111" t="inlineStr">
        <is>
          <t>NAO_COMPUTADO</t>
        </is>
      </c>
      <c r="AC316" s="112" t="inlineStr">
        <is>
          <t>Estrutura Fase 1: sem impacto no VTA oficial</t>
        </is>
      </c>
    </row>
    <row r="317" ht="25.5" customHeight="1" s="289">
      <c r="A317" s="205" t="n"/>
      <c r="B317" s="207" t="n"/>
      <c r="C317" s="104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348" t="n"/>
      <c r="E317" s="349">
        <f>IF(C317="","",IFERROR(VLOOKUP(C317,parametros!$A$11:$E$15,5,0),""))</f>
        <v/>
      </c>
      <c r="F317" s="335">
        <f>IF(OR(D317="",E317=""),"",ROUND(D317*E317,2))</f>
        <v/>
      </c>
      <c r="G317" s="106" t="n"/>
      <c r="H317" s="350">
        <f>IF(G317="Sim",IF(OR(F317="",D317="",L317=""),"",IF(L317="Sim",ROUND(F317-D317,2),0)),0)</f>
        <v/>
      </c>
      <c r="I317" s="350">
        <f>IF(G317="Sim",0,IF(OR(F317="",L317=""),"",F317))</f>
        <v/>
      </c>
      <c r="J317" s="350">
        <f>IF(G317="Sim",0,IF(OR(F317="",D317="",L317=""),"",IF(L317="Sim",ROUND(F317-D317,2),0)))</f>
        <v/>
      </c>
      <c r="K317" s="97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inlineStr">
        <is>
          <t>Nao</t>
        </is>
      </c>
      <c r="W317" s="110" t="inlineStr">
        <is>
          <t>PC em analise</t>
        </is>
      </c>
      <c r="X317" s="110" t="inlineStr">
        <is>
          <t>Pedido de Compra</t>
        </is>
      </c>
      <c r="Y317" s="111" t="inlineStr">
        <is>
          <t>Impacto Potencial</t>
        </is>
      </c>
      <c r="Z317" s="111" t="inlineStr">
        <is>
          <t>PC</t>
        </is>
      </c>
      <c r="AA317" s="111" t="inlineStr">
        <is>
          <t>Nao</t>
        </is>
      </c>
      <c r="AB317" s="111" t="inlineStr">
        <is>
          <t>NAO_COMPUTADO</t>
        </is>
      </c>
      <c r="AC317" s="112" t="inlineStr">
        <is>
          <t>Estrutura Fase 1: sem impacto no VTA oficial</t>
        </is>
      </c>
    </row>
    <row r="318" ht="25.5" customHeight="1" s="289">
      <c r="A318" s="205" t="n"/>
      <c r="B318" s="207" t="n"/>
      <c r="C318" s="104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348" t="n"/>
      <c r="E318" s="349">
        <f>IF(C318="","",IFERROR(VLOOKUP(C318,parametros!$A$11:$E$15,5,0),""))</f>
        <v/>
      </c>
      <c r="F318" s="335">
        <f>IF(OR(D318="",E318=""),"",ROUND(D318*E318,2))</f>
        <v/>
      </c>
      <c r="G318" s="106" t="n"/>
      <c r="H318" s="350">
        <f>IF(G318="Sim",IF(OR(F318="",D318="",L318=""),"",IF(L318="Sim",ROUND(F318-D318,2),0)),0)</f>
        <v/>
      </c>
      <c r="I318" s="350">
        <f>IF(G318="Sim",0,IF(OR(F318="",L318=""),"",F318))</f>
        <v/>
      </c>
      <c r="J318" s="350">
        <f>IF(G318="Sim",0,IF(OR(F318="",D318="",L318=""),"",IF(L318="Sim",ROUND(F318-D318,2),0)))</f>
        <v/>
      </c>
      <c r="K318" s="97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inlineStr">
        <is>
          <t>Nao</t>
        </is>
      </c>
      <c r="W318" s="110" t="inlineStr">
        <is>
          <t>PC em analise</t>
        </is>
      </c>
      <c r="X318" s="110" t="inlineStr">
        <is>
          <t>Pedido de Compra</t>
        </is>
      </c>
      <c r="Y318" s="111" t="inlineStr">
        <is>
          <t>Impacto Potencial</t>
        </is>
      </c>
      <c r="Z318" s="111" t="inlineStr">
        <is>
          <t>PC</t>
        </is>
      </c>
      <c r="AA318" s="111" t="inlineStr">
        <is>
          <t>Nao</t>
        </is>
      </c>
      <c r="AB318" s="111" t="inlineStr">
        <is>
          <t>NAO_COMPUTADO</t>
        </is>
      </c>
      <c r="AC318" s="112" t="inlineStr">
        <is>
          <t>Estrutura Fase 1: sem impacto no VTA oficial</t>
        </is>
      </c>
    </row>
    <row r="319" ht="25.5" customHeight="1" s="289">
      <c r="A319" s="205" t="n"/>
      <c r="B319" s="207" t="n"/>
      <c r="C319" s="104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348" t="n"/>
      <c r="E319" s="349">
        <f>IF(C319="","",IFERROR(VLOOKUP(C319,parametros!$A$11:$E$15,5,0),""))</f>
        <v/>
      </c>
      <c r="F319" s="335">
        <f>IF(OR(D319="",E319=""),"",ROUND(D319*E319,2))</f>
        <v/>
      </c>
      <c r="G319" s="106" t="n"/>
      <c r="H319" s="350">
        <f>IF(G319="Sim",IF(OR(F319="",D319="",L319=""),"",IF(L319="Sim",ROUND(F319-D319,2),0)),0)</f>
        <v/>
      </c>
      <c r="I319" s="350">
        <f>IF(G319="Sim",0,IF(OR(F319="",L319=""),"",F319))</f>
        <v/>
      </c>
      <c r="J319" s="350">
        <f>IF(G319="Sim",0,IF(OR(F319="",D319="",L319=""),"",IF(L319="Sim",ROUND(F319-D319,2),0)))</f>
        <v/>
      </c>
      <c r="K319" s="97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inlineStr">
        <is>
          <t>Nao</t>
        </is>
      </c>
      <c r="W319" s="110" t="inlineStr">
        <is>
          <t>PC em analise</t>
        </is>
      </c>
      <c r="X319" s="110" t="inlineStr">
        <is>
          <t>Pedido de Compra</t>
        </is>
      </c>
      <c r="Y319" s="111" t="inlineStr">
        <is>
          <t>Impacto Potencial</t>
        </is>
      </c>
      <c r="Z319" s="111" t="inlineStr">
        <is>
          <t>PC</t>
        </is>
      </c>
      <c r="AA319" s="111" t="inlineStr">
        <is>
          <t>Nao</t>
        </is>
      </c>
      <c r="AB319" s="111" t="inlineStr">
        <is>
          <t>NAO_COMPUTADO</t>
        </is>
      </c>
      <c r="AC319" s="112" t="inlineStr">
        <is>
          <t>Estrutura Fase 1: sem impacto no VTA oficial</t>
        </is>
      </c>
    </row>
    <row r="320" ht="25.5" customHeight="1" s="289">
      <c r="A320" s="205" t="n"/>
      <c r="B320" s="207" t="n"/>
      <c r="C320" s="104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348" t="n"/>
      <c r="E320" s="349">
        <f>IF(C320="","",IFERROR(VLOOKUP(C320,parametros!$A$11:$E$15,5,0),""))</f>
        <v/>
      </c>
      <c r="F320" s="335">
        <f>IF(OR(D320="",E320=""),"",ROUND(D320*E320,2))</f>
        <v/>
      </c>
      <c r="G320" s="106" t="n"/>
      <c r="H320" s="350">
        <f>IF(G320="Sim",IF(OR(F320="",D320="",L320=""),"",IF(L320="Sim",ROUND(F320-D320,2),0)),0)</f>
        <v/>
      </c>
      <c r="I320" s="350">
        <f>IF(G320="Sim",0,IF(OR(F320="",L320=""),"",F320))</f>
        <v/>
      </c>
      <c r="J320" s="350">
        <f>IF(G320="Sim",0,IF(OR(F320="",D320="",L320=""),"",IF(L320="Sim",ROUND(F320-D320,2),0)))</f>
        <v/>
      </c>
      <c r="K320" s="97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inlineStr">
        <is>
          <t>Nao</t>
        </is>
      </c>
      <c r="W320" s="110" t="inlineStr">
        <is>
          <t>PC em analise</t>
        </is>
      </c>
      <c r="X320" s="110" t="inlineStr">
        <is>
          <t>Pedido de Compra</t>
        </is>
      </c>
      <c r="Y320" s="111" t="inlineStr">
        <is>
          <t>Impacto Potencial</t>
        </is>
      </c>
      <c r="Z320" s="111" t="inlineStr">
        <is>
          <t>PC</t>
        </is>
      </c>
      <c r="AA320" s="111" t="inlineStr">
        <is>
          <t>Nao</t>
        </is>
      </c>
      <c r="AB320" s="111" t="inlineStr">
        <is>
          <t>NAO_COMPUTADO</t>
        </is>
      </c>
      <c r="AC320" s="112" t="inlineStr">
        <is>
          <t>Estrutura Fase 1: sem impacto no VTA oficial</t>
        </is>
      </c>
    </row>
    <row r="321" ht="25.5" customHeight="1" s="289">
      <c r="A321" s="205" t="n"/>
      <c r="B321" s="207" t="n"/>
      <c r="C321" s="104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348" t="n"/>
      <c r="E321" s="349">
        <f>IF(C321="","",IFERROR(VLOOKUP(C321,parametros!$A$11:$E$15,5,0),""))</f>
        <v/>
      </c>
      <c r="F321" s="335">
        <f>IF(OR(D321="",E321=""),"",ROUND(D321*E321,2))</f>
        <v/>
      </c>
      <c r="G321" s="106" t="n"/>
      <c r="H321" s="350">
        <f>IF(G321="Sim",IF(OR(F321="",D321="",L321=""),"",IF(L321="Sim",ROUND(F321-D321,2),0)),0)</f>
        <v/>
      </c>
      <c r="I321" s="350">
        <f>IF(G321="Sim",0,IF(OR(F321="",L321=""),"",F321))</f>
        <v/>
      </c>
      <c r="J321" s="350">
        <f>IF(G321="Sim",0,IF(OR(F321="",D321="",L321=""),"",IF(L321="Sim",ROUND(F321-D321,2),0)))</f>
        <v/>
      </c>
      <c r="K321" s="97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inlineStr">
        <is>
          <t>Nao</t>
        </is>
      </c>
      <c r="W321" s="110" t="inlineStr">
        <is>
          <t>PC em analise</t>
        </is>
      </c>
      <c r="X321" s="110" t="inlineStr">
        <is>
          <t>Pedido de Compra</t>
        </is>
      </c>
      <c r="Y321" s="111" t="inlineStr">
        <is>
          <t>Impacto Potencial</t>
        </is>
      </c>
      <c r="Z321" s="111" t="inlineStr">
        <is>
          <t>PC</t>
        </is>
      </c>
      <c r="AA321" s="111" t="inlineStr">
        <is>
          <t>Nao</t>
        </is>
      </c>
      <c r="AB321" s="111" t="inlineStr">
        <is>
          <t>NAO_COMPUTADO</t>
        </is>
      </c>
      <c r="AC321" s="112" t="inlineStr">
        <is>
          <t>Estrutura Fase 1: sem impacto no VTA oficial</t>
        </is>
      </c>
    </row>
    <row r="322" ht="25.5" customHeight="1" s="289">
      <c r="A322" s="205" t="n"/>
      <c r="B322" s="207" t="n"/>
      <c r="C322" s="104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348" t="n"/>
      <c r="E322" s="349">
        <f>IF(C322="","",IFERROR(VLOOKUP(C322,parametros!$A$11:$E$15,5,0),""))</f>
        <v/>
      </c>
      <c r="F322" s="335">
        <f>IF(OR(D322="",E322=""),"",ROUND(D322*E322,2))</f>
        <v/>
      </c>
      <c r="G322" s="106" t="n"/>
      <c r="H322" s="350">
        <f>IF(G322="Sim",IF(OR(F322="",D322="",L322=""),"",IF(L322="Sim",ROUND(F322-D322,2),0)),0)</f>
        <v/>
      </c>
      <c r="I322" s="350">
        <f>IF(G322="Sim",0,IF(OR(F322="",L322=""),"",F322))</f>
        <v/>
      </c>
      <c r="J322" s="350">
        <f>IF(G322="Sim",0,IF(OR(F322="",D322="",L322=""),"",IF(L322="Sim",ROUND(F322-D322,2),0)))</f>
        <v/>
      </c>
      <c r="K322" s="97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inlineStr">
        <is>
          <t>Nao</t>
        </is>
      </c>
      <c r="W322" s="110" t="inlineStr">
        <is>
          <t>PC em analise</t>
        </is>
      </c>
      <c r="X322" s="110" t="inlineStr">
        <is>
          <t>Pedido de Compra</t>
        </is>
      </c>
      <c r="Y322" s="111" t="inlineStr">
        <is>
          <t>Impacto Potencial</t>
        </is>
      </c>
      <c r="Z322" s="111" t="inlineStr">
        <is>
          <t>PC</t>
        </is>
      </c>
      <c r="AA322" s="111" t="inlineStr">
        <is>
          <t>Nao</t>
        </is>
      </c>
      <c r="AB322" s="111" t="inlineStr">
        <is>
          <t>NAO_COMPUTADO</t>
        </is>
      </c>
      <c r="AC322" s="112" t="inlineStr">
        <is>
          <t>Estrutura Fase 1: sem impacto no VTA oficial</t>
        </is>
      </c>
    </row>
    <row r="323" ht="25.5" customHeight="1" s="289">
      <c r="A323" s="205" t="n"/>
      <c r="B323" s="207" t="n"/>
      <c r="C323" s="104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348" t="n"/>
      <c r="E323" s="349">
        <f>IF(C323="","",IFERROR(VLOOKUP(C323,parametros!$A$11:$E$15,5,0),""))</f>
        <v/>
      </c>
      <c r="F323" s="335">
        <f>IF(OR(D323="",E323=""),"",ROUND(D323*E323,2))</f>
        <v/>
      </c>
      <c r="G323" s="106" t="n"/>
      <c r="H323" s="350">
        <f>IF(G323="Sim",IF(OR(F323="",D323="",L323=""),"",IF(L323="Sim",ROUND(F323-D323,2),0)),0)</f>
        <v/>
      </c>
      <c r="I323" s="350">
        <f>IF(G323="Sim",0,IF(OR(F323="",L323=""),"",F323))</f>
        <v/>
      </c>
      <c r="J323" s="350">
        <f>IF(G323="Sim",0,IF(OR(F323="",D323="",L323=""),"",IF(L323="Sim",ROUND(F323-D323,2),0)))</f>
        <v/>
      </c>
      <c r="K323" s="97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inlineStr">
        <is>
          <t>Nao</t>
        </is>
      </c>
      <c r="W323" s="110" t="inlineStr">
        <is>
          <t>PC em analise</t>
        </is>
      </c>
      <c r="X323" s="110" t="inlineStr">
        <is>
          <t>Pedido de Compra</t>
        </is>
      </c>
      <c r="Y323" s="111" t="inlineStr">
        <is>
          <t>Impacto Potencial</t>
        </is>
      </c>
      <c r="Z323" s="111" t="inlineStr">
        <is>
          <t>PC</t>
        </is>
      </c>
      <c r="AA323" s="111" t="inlineStr">
        <is>
          <t>Nao</t>
        </is>
      </c>
      <c r="AB323" s="111" t="inlineStr">
        <is>
          <t>NAO_COMPUTADO</t>
        </is>
      </c>
      <c r="AC323" s="112" t="inlineStr">
        <is>
          <t>Estrutura Fase 1: sem impacto no VTA oficial</t>
        </is>
      </c>
    </row>
    <row r="324" ht="25.5" customHeight="1" s="289">
      <c r="A324" s="205" t="n"/>
      <c r="B324" s="207" t="n"/>
      <c r="C324" s="104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348" t="n"/>
      <c r="E324" s="349">
        <f>IF(C324="","",IFERROR(VLOOKUP(C324,parametros!$A$11:$E$15,5,0),""))</f>
        <v/>
      </c>
      <c r="F324" s="335">
        <f>IF(OR(D324="",E324=""),"",ROUND(D324*E324,2))</f>
        <v/>
      </c>
      <c r="G324" s="106" t="n"/>
      <c r="H324" s="350">
        <f>IF(G324="Sim",IF(OR(F324="",D324="",L324=""),"",IF(L324="Sim",ROUND(F324-D324,2),0)),0)</f>
        <v/>
      </c>
      <c r="I324" s="350">
        <f>IF(G324="Sim",0,IF(OR(F324="",L324=""),"",F324))</f>
        <v/>
      </c>
      <c r="J324" s="350">
        <f>IF(G324="Sim",0,IF(OR(F324="",D324="",L324=""),"",IF(L324="Sim",ROUND(F324-D324,2),0)))</f>
        <v/>
      </c>
      <c r="K324" s="97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inlineStr">
        <is>
          <t>Nao</t>
        </is>
      </c>
      <c r="W324" s="110" t="inlineStr">
        <is>
          <t>PC em analise</t>
        </is>
      </c>
      <c r="X324" s="110" t="inlineStr">
        <is>
          <t>Pedido de Compra</t>
        </is>
      </c>
      <c r="Y324" s="111" t="inlineStr">
        <is>
          <t>Impacto Potencial</t>
        </is>
      </c>
      <c r="Z324" s="111" t="inlineStr">
        <is>
          <t>PC</t>
        </is>
      </c>
      <c r="AA324" s="111" t="inlineStr">
        <is>
          <t>Nao</t>
        </is>
      </c>
      <c r="AB324" s="111" t="inlineStr">
        <is>
          <t>NAO_COMPUTADO</t>
        </is>
      </c>
      <c r="AC324" s="112" t="inlineStr">
        <is>
          <t>Estrutura Fase 1: sem impacto no VTA oficial</t>
        </is>
      </c>
    </row>
    <row r="325" ht="25.5" customHeight="1" s="289">
      <c r="A325" s="205" t="n"/>
      <c r="B325" s="207" t="n"/>
      <c r="C325" s="104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348" t="n"/>
      <c r="E325" s="349">
        <f>IF(C325="","",IFERROR(VLOOKUP(C325,parametros!$A$11:$E$15,5,0),""))</f>
        <v/>
      </c>
      <c r="F325" s="335">
        <f>IF(OR(D325="",E325=""),"",ROUND(D325*E325,2))</f>
        <v/>
      </c>
      <c r="G325" s="106" t="n"/>
      <c r="H325" s="350">
        <f>IF(G325="Sim",IF(OR(F325="",D325="",L325=""),"",IF(L325="Sim",ROUND(F325-D325,2),0)),0)</f>
        <v/>
      </c>
      <c r="I325" s="350">
        <f>IF(G325="Sim",0,IF(OR(F325="",L325=""),"",F325))</f>
        <v/>
      </c>
      <c r="J325" s="350">
        <f>IF(G325="Sim",0,IF(OR(F325="",D325="",L325=""),"",IF(L325="Sim",ROUND(F325-D325,2),0)))</f>
        <v/>
      </c>
      <c r="K325" s="97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inlineStr">
        <is>
          <t>Nao</t>
        </is>
      </c>
      <c r="W325" s="110" t="inlineStr">
        <is>
          <t>PC em analise</t>
        </is>
      </c>
      <c r="X325" s="110" t="inlineStr">
        <is>
          <t>Pedido de Compra</t>
        </is>
      </c>
      <c r="Y325" s="111" t="inlineStr">
        <is>
          <t>Impacto Potencial</t>
        </is>
      </c>
      <c r="Z325" s="111" t="inlineStr">
        <is>
          <t>PC</t>
        </is>
      </c>
      <c r="AA325" s="111" t="inlineStr">
        <is>
          <t>Nao</t>
        </is>
      </c>
      <c r="AB325" s="111" t="inlineStr">
        <is>
          <t>NAO_COMPUTADO</t>
        </is>
      </c>
      <c r="AC325" s="112" t="inlineStr">
        <is>
          <t>Estrutura Fase 1: sem impacto no VTA oficial</t>
        </is>
      </c>
    </row>
    <row r="326" ht="25.5" customHeight="1" s="289">
      <c r="A326" s="205" t="n"/>
      <c r="B326" s="207" t="n"/>
      <c r="C326" s="104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348" t="n"/>
      <c r="E326" s="349">
        <f>IF(C326="","",IFERROR(VLOOKUP(C326,parametros!$A$11:$E$15,5,0),""))</f>
        <v/>
      </c>
      <c r="F326" s="335">
        <f>IF(OR(D326="",E326=""),"",ROUND(D326*E326,2))</f>
        <v/>
      </c>
      <c r="G326" s="106" t="n"/>
      <c r="H326" s="350">
        <f>IF(G326="Sim",IF(OR(F326="",D326="",L326=""),"",IF(L326="Sim",ROUND(F326-D326,2),0)),0)</f>
        <v/>
      </c>
      <c r="I326" s="350">
        <f>IF(G326="Sim",0,IF(OR(F326="",L326=""),"",F326))</f>
        <v/>
      </c>
      <c r="J326" s="350">
        <f>IF(G326="Sim",0,IF(OR(F326="",D326="",L326=""),"",IF(L326="Sim",ROUND(F326-D326,2),0)))</f>
        <v/>
      </c>
      <c r="K326" s="97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inlineStr">
        <is>
          <t>Nao</t>
        </is>
      </c>
      <c r="W326" s="110" t="inlineStr">
        <is>
          <t>PC em analise</t>
        </is>
      </c>
      <c r="X326" s="110" t="inlineStr">
        <is>
          <t>Pedido de Compra</t>
        </is>
      </c>
      <c r="Y326" s="111" t="inlineStr">
        <is>
          <t>Impacto Potencial</t>
        </is>
      </c>
      <c r="Z326" s="111" t="inlineStr">
        <is>
          <t>PC</t>
        </is>
      </c>
      <c r="AA326" s="111" t="inlineStr">
        <is>
          <t>Nao</t>
        </is>
      </c>
      <c r="AB326" s="111" t="inlineStr">
        <is>
          <t>NAO_COMPUTADO</t>
        </is>
      </c>
      <c r="AC326" s="112" t="inlineStr">
        <is>
          <t>Estrutura Fase 1: sem impacto no VTA oficial</t>
        </is>
      </c>
    </row>
    <row r="327" ht="25.5" customHeight="1" s="289">
      <c r="A327" s="205" t="n"/>
      <c r="B327" s="207" t="n"/>
      <c r="C327" s="104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348" t="n"/>
      <c r="E327" s="349">
        <f>IF(C327="","",IFERROR(VLOOKUP(C327,parametros!$A$11:$E$15,5,0),""))</f>
        <v/>
      </c>
      <c r="F327" s="335">
        <f>IF(OR(D327="",E327=""),"",ROUND(D327*E327,2))</f>
        <v/>
      </c>
      <c r="G327" s="106" t="n"/>
      <c r="H327" s="350">
        <f>IF(G327="Sim",IF(OR(F327="",D327="",L327=""),"",IF(L327="Sim",ROUND(F327-D327,2),0)),0)</f>
        <v/>
      </c>
      <c r="I327" s="350">
        <f>IF(G327="Sim",0,IF(OR(F327="",L327=""),"",F327))</f>
        <v/>
      </c>
      <c r="J327" s="350">
        <f>IF(G327="Sim",0,IF(OR(F327="",D327="",L327=""),"",IF(L327="Sim",ROUND(F327-D327,2),0)))</f>
        <v/>
      </c>
      <c r="K327" s="97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inlineStr">
        <is>
          <t>Nao</t>
        </is>
      </c>
      <c r="W327" s="110" t="inlineStr">
        <is>
          <t>PC em analise</t>
        </is>
      </c>
      <c r="X327" s="110" t="inlineStr">
        <is>
          <t>Pedido de Compra</t>
        </is>
      </c>
      <c r="Y327" s="111" t="inlineStr">
        <is>
          <t>Impacto Potencial</t>
        </is>
      </c>
      <c r="Z327" s="111" t="inlineStr">
        <is>
          <t>PC</t>
        </is>
      </c>
      <c r="AA327" s="111" t="inlineStr">
        <is>
          <t>Nao</t>
        </is>
      </c>
      <c r="AB327" s="111" t="inlineStr">
        <is>
          <t>NAO_COMPUTADO</t>
        </is>
      </c>
      <c r="AC327" s="112" t="inlineStr">
        <is>
          <t>Estrutura Fase 1: sem impacto no VTA oficial</t>
        </is>
      </c>
    </row>
    <row r="328" ht="25.5" customHeight="1" s="289">
      <c r="A328" s="205" t="n"/>
      <c r="B328" s="207" t="n"/>
      <c r="C328" s="104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348" t="n"/>
      <c r="E328" s="349">
        <f>IF(C328="","",IFERROR(VLOOKUP(C328,parametros!$A$11:$E$15,5,0),""))</f>
        <v/>
      </c>
      <c r="F328" s="335">
        <f>IF(OR(D328="",E328=""),"",ROUND(D328*E328,2))</f>
        <v/>
      </c>
      <c r="G328" s="106" t="n"/>
      <c r="H328" s="350">
        <f>IF(G328="Sim",IF(OR(F328="",D328="",L328=""),"",IF(L328="Sim",ROUND(F328-D328,2),0)),0)</f>
        <v/>
      </c>
      <c r="I328" s="350">
        <f>IF(G328="Sim",0,IF(OR(F328="",L328=""),"",F328))</f>
        <v/>
      </c>
      <c r="J328" s="350">
        <f>IF(G328="Sim",0,IF(OR(F328="",D328="",L328=""),"",IF(L328="Sim",ROUND(F328-D328,2),0)))</f>
        <v/>
      </c>
      <c r="K328" s="97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inlineStr">
        <is>
          <t>Nao</t>
        </is>
      </c>
      <c r="W328" s="110" t="inlineStr">
        <is>
          <t>PC em analise</t>
        </is>
      </c>
      <c r="X328" s="110" t="inlineStr">
        <is>
          <t>Pedido de Compra</t>
        </is>
      </c>
      <c r="Y328" s="111" t="inlineStr">
        <is>
          <t>Impacto Potencial</t>
        </is>
      </c>
      <c r="Z328" s="111" t="inlineStr">
        <is>
          <t>PC</t>
        </is>
      </c>
      <c r="AA328" s="111" t="inlineStr">
        <is>
          <t>Nao</t>
        </is>
      </c>
      <c r="AB328" s="111" t="inlineStr">
        <is>
          <t>NAO_COMPUTADO</t>
        </is>
      </c>
      <c r="AC328" s="112" t="inlineStr">
        <is>
          <t>Estrutura Fase 1: sem impacto no VTA oficial</t>
        </is>
      </c>
    </row>
    <row r="329" ht="25.5" customHeight="1" s="289">
      <c r="A329" s="205" t="n"/>
      <c r="B329" s="207" t="n"/>
      <c r="C329" s="104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348" t="n"/>
      <c r="E329" s="349">
        <f>IF(C329="","",IFERROR(VLOOKUP(C329,parametros!$A$11:$E$15,5,0),""))</f>
        <v/>
      </c>
      <c r="F329" s="335">
        <f>IF(OR(D329="",E329=""),"",ROUND(D329*E329,2))</f>
        <v/>
      </c>
      <c r="G329" s="106" t="n"/>
      <c r="H329" s="350">
        <f>IF(G329="Sim",IF(OR(F329="",D329="",L329=""),"",IF(L329="Sim",ROUND(F329-D329,2),0)),0)</f>
        <v/>
      </c>
      <c r="I329" s="350">
        <f>IF(G329="Sim",0,IF(OR(F329="",L329=""),"",F329))</f>
        <v/>
      </c>
      <c r="J329" s="350">
        <f>IF(G329="Sim",0,IF(OR(F329="",D329="",L329=""),"",IF(L329="Sim",ROUND(F329-D329,2),0)))</f>
        <v/>
      </c>
      <c r="K329" s="97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inlineStr">
        <is>
          <t>Nao</t>
        </is>
      </c>
      <c r="W329" s="110" t="inlineStr">
        <is>
          <t>PC em analise</t>
        </is>
      </c>
      <c r="X329" s="110" t="inlineStr">
        <is>
          <t>Pedido de Compra</t>
        </is>
      </c>
      <c r="Y329" s="111" t="inlineStr">
        <is>
          <t>Impacto Potencial</t>
        </is>
      </c>
      <c r="Z329" s="111" t="inlineStr">
        <is>
          <t>PC</t>
        </is>
      </c>
      <c r="AA329" s="111" t="inlineStr">
        <is>
          <t>Nao</t>
        </is>
      </c>
      <c r="AB329" s="111" t="inlineStr">
        <is>
          <t>NAO_COMPUTADO</t>
        </is>
      </c>
      <c r="AC329" s="112" t="inlineStr">
        <is>
          <t>Estrutura Fase 1: sem impacto no VTA oficial</t>
        </is>
      </c>
    </row>
    <row r="330" ht="25.5" customHeight="1" s="289">
      <c r="A330" s="205" t="n"/>
      <c r="B330" s="207" t="n"/>
      <c r="C330" s="104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348" t="n"/>
      <c r="E330" s="349">
        <f>IF(C330="","",IFERROR(VLOOKUP(C330,parametros!$A$11:$E$15,5,0),""))</f>
        <v/>
      </c>
      <c r="F330" s="335">
        <f>IF(OR(D330="",E330=""),"",ROUND(D330*E330,2))</f>
        <v/>
      </c>
      <c r="G330" s="106" t="n"/>
      <c r="H330" s="350">
        <f>IF(G330="Sim",IF(OR(F330="",D330="",L330=""),"",IF(L330="Sim",ROUND(F330-D330,2),0)),0)</f>
        <v/>
      </c>
      <c r="I330" s="350">
        <f>IF(G330="Sim",0,IF(OR(F330="",L330=""),"",F330))</f>
        <v/>
      </c>
      <c r="J330" s="350">
        <f>IF(G330="Sim",0,IF(OR(F330="",D330="",L330=""),"",IF(L330="Sim",ROUND(F330-D330,2),0)))</f>
        <v/>
      </c>
      <c r="K330" s="97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inlineStr">
        <is>
          <t>Nao</t>
        </is>
      </c>
      <c r="W330" s="110" t="inlineStr">
        <is>
          <t>PC em analise</t>
        </is>
      </c>
      <c r="X330" s="110" t="inlineStr">
        <is>
          <t>Pedido de Compra</t>
        </is>
      </c>
      <c r="Y330" s="111" t="inlineStr">
        <is>
          <t>Impacto Potencial</t>
        </is>
      </c>
      <c r="Z330" s="111" t="inlineStr">
        <is>
          <t>PC</t>
        </is>
      </c>
      <c r="AA330" s="111" t="inlineStr">
        <is>
          <t>Nao</t>
        </is>
      </c>
      <c r="AB330" s="111" t="inlineStr">
        <is>
          <t>NAO_COMPUTADO</t>
        </is>
      </c>
      <c r="AC330" s="112" t="inlineStr">
        <is>
          <t>Estrutura Fase 1: sem impacto no VTA oficial</t>
        </is>
      </c>
    </row>
    <row r="331" ht="25.5" customHeight="1" s="289">
      <c r="A331" s="205" t="n"/>
      <c r="B331" s="207" t="n"/>
      <c r="C331" s="104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348" t="n"/>
      <c r="E331" s="349">
        <f>IF(C331="","",IFERROR(VLOOKUP(C331,parametros!$A$11:$E$15,5,0),""))</f>
        <v/>
      </c>
      <c r="F331" s="335">
        <f>IF(OR(D331="",E331=""),"",ROUND(D331*E331,2))</f>
        <v/>
      </c>
      <c r="G331" s="106" t="n"/>
      <c r="H331" s="350">
        <f>IF(G331="Sim",IF(OR(F331="",D331="",L331=""),"",IF(L331="Sim",ROUND(F331-D331,2),0)),0)</f>
        <v/>
      </c>
      <c r="I331" s="350">
        <f>IF(G331="Sim",0,IF(OR(F331="",L331=""),"",F331))</f>
        <v/>
      </c>
      <c r="J331" s="350">
        <f>IF(G331="Sim",0,IF(OR(F331="",D331="",L331=""),"",IF(L331="Sim",ROUND(F331-D331,2),0)))</f>
        <v/>
      </c>
      <c r="K331" s="97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inlineStr">
        <is>
          <t>Nao</t>
        </is>
      </c>
      <c r="W331" s="110" t="inlineStr">
        <is>
          <t>PC em analise</t>
        </is>
      </c>
      <c r="X331" s="110" t="inlineStr">
        <is>
          <t>Pedido de Compra</t>
        </is>
      </c>
      <c r="Y331" s="111" t="inlineStr">
        <is>
          <t>Impacto Potencial</t>
        </is>
      </c>
      <c r="Z331" s="111" t="inlineStr">
        <is>
          <t>PC</t>
        </is>
      </c>
      <c r="AA331" s="111" t="inlineStr">
        <is>
          <t>Nao</t>
        </is>
      </c>
      <c r="AB331" s="111" t="inlineStr">
        <is>
          <t>NAO_COMPUTADO</t>
        </is>
      </c>
      <c r="AC331" s="112" t="inlineStr">
        <is>
          <t>Estrutura Fase 1: sem impacto no VTA oficial</t>
        </is>
      </c>
    </row>
    <row r="332" ht="25.5" customHeight="1" s="289">
      <c r="A332" s="205" t="n"/>
      <c r="B332" s="207" t="n"/>
      <c r="C332" s="104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348" t="n"/>
      <c r="E332" s="349">
        <f>IF(C332="","",IFERROR(VLOOKUP(C332,parametros!$A$11:$E$15,5,0),""))</f>
        <v/>
      </c>
      <c r="F332" s="335">
        <f>IF(OR(D332="",E332=""),"",ROUND(D332*E332,2))</f>
        <v/>
      </c>
      <c r="G332" s="106" t="n"/>
      <c r="H332" s="350">
        <f>IF(G332="Sim",IF(OR(F332="",D332="",L332=""),"",IF(L332="Sim",ROUND(F332-D332,2),0)),0)</f>
        <v/>
      </c>
      <c r="I332" s="350">
        <f>IF(G332="Sim",0,IF(OR(F332="",L332=""),"",F332))</f>
        <v/>
      </c>
      <c r="J332" s="350">
        <f>IF(G332="Sim",0,IF(OR(F332="",D332="",L332=""),"",IF(L332="Sim",ROUND(F332-D332,2),0)))</f>
        <v/>
      </c>
      <c r="K332" s="97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inlineStr">
        <is>
          <t>Nao</t>
        </is>
      </c>
      <c r="W332" s="110" t="inlineStr">
        <is>
          <t>PC em analise</t>
        </is>
      </c>
      <c r="X332" s="110" t="inlineStr">
        <is>
          <t>Pedido de Compra</t>
        </is>
      </c>
      <c r="Y332" s="111" t="inlineStr">
        <is>
          <t>Impacto Potencial</t>
        </is>
      </c>
      <c r="Z332" s="111" t="inlineStr">
        <is>
          <t>PC</t>
        </is>
      </c>
      <c r="AA332" s="111" t="inlineStr">
        <is>
          <t>Nao</t>
        </is>
      </c>
      <c r="AB332" s="111" t="inlineStr">
        <is>
          <t>NAO_COMPUTADO</t>
        </is>
      </c>
      <c r="AC332" s="112" t="inlineStr">
        <is>
          <t>Estrutura Fase 1: sem impacto no VTA oficial</t>
        </is>
      </c>
    </row>
    <row r="333" ht="25.5" customHeight="1" s="289">
      <c r="A333" s="205" t="n"/>
      <c r="B333" s="207" t="n"/>
      <c r="C333" s="104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348" t="n"/>
      <c r="E333" s="349">
        <f>IF(C333="","",IFERROR(VLOOKUP(C333,parametros!$A$11:$E$15,5,0),""))</f>
        <v/>
      </c>
      <c r="F333" s="335">
        <f>IF(OR(D333="",E333=""),"",ROUND(D333*E333,2))</f>
        <v/>
      </c>
      <c r="G333" s="106" t="n"/>
      <c r="H333" s="350">
        <f>IF(G333="Sim",IF(OR(F333="",D333="",L333=""),"",IF(L333="Sim",ROUND(F333-D333,2),0)),0)</f>
        <v/>
      </c>
      <c r="I333" s="350">
        <f>IF(G333="Sim",0,IF(OR(F333="",L333=""),"",F333))</f>
        <v/>
      </c>
      <c r="J333" s="350">
        <f>IF(G333="Sim",0,IF(OR(F333="",D333="",L333=""),"",IF(L333="Sim",ROUND(F333-D333,2),0)))</f>
        <v/>
      </c>
      <c r="K333" s="97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inlineStr">
        <is>
          <t>Nao</t>
        </is>
      </c>
      <c r="W333" s="110" t="inlineStr">
        <is>
          <t>PC em analise</t>
        </is>
      </c>
      <c r="X333" s="110" t="inlineStr">
        <is>
          <t>Pedido de Compra</t>
        </is>
      </c>
      <c r="Y333" s="111" t="inlineStr">
        <is>
          <t>Impacto Potencial</t>
        </is>
      </c>
      <c r="Z333" s="111" t="inlineStr">
        <is>
          <t>PC</t>
        </is>
      </c>
      <c r="AA333" s="111" t="inlineStr">
        <is>
          <t>Nao</t>
        </is>
      </c>
      <c r="AB333" s="111" t="inlineStr">
        <is>
          <t>NAO_COMPUTADO</t>
        </is>
      </c>
      <c r="AC333" s="112" t="inlineStr">
        <is>
          <t>Estrutura Fase 1: sem impacto no VTA oficial</t>
        </is>
      </c>
    </row>
    <row r="334" ht="25.5" customHeight="1" s="289">
      <c r="A334" s="205" t="n"/>
      <c r="B334" s="207" t="n"/>
      <c r="C334" s="104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348" t="n"/>
      <c r="E334" s="349">
        <f>IF(C334="","",IFERROR(VLOOKUP(C334,parametros!$A$11:$E$15,5,0),""))</f>
        <v/>
      </c>
      <c r="F334" s="335">
        <f>IF(OR(D334="",E334=""),"",ROUND(D334*E334,2))</f>
        <v/>
      </c>
      <c r="G334" s="106" t="n"/>
      <c r="H334" s="350">
        <f>IF(G334="Sim",IF(OR(F334="",D334="",L334=""),"",IF(L334="Sim",ROUND(F334-D334,2),0)),0)</f>
        <v/>
      </c>
      <c r="I334" s="350">
        <f>IF(G334="Sim",0,IF(OR(F334="",L334=""),"",F334))</f>
        <v/>
      </c>
      <c r="J334" s="350">
        <f>IF(G334="Sim",0,IF(OR(F334="",D334="",L334=""),"",IF(L334="Sim",ROUND(F334-D334,2),0)))</f>
        <v/>
      </c>
      <c r="K334" s="97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inlineStr">
        <is>
          <t>Nao</t>
        </is>
      </c>
      <c r="W334" s="110" t="inlineStr">
        <is>
          <t>PC em analise</t>
        </is>
      </c>
      <c r="X334" s="110" t="inlineStr">
        <is>
          <t>Pedido de Compra</t>
        </is>
      </c>
      <c r="Y334" s="111" t="inlineStr">
        <is>
          <t>Impacto Potencial</t>
        </is>
      </c>
      <c r="Z334" s="111" t="inlineStr">
        <is>
          <t>PC</t>
        </is>
      </c>
      <c r="AA334" s="111" t="inlineStr">
        <is>
          <t>Nao</t>
        </is>
      </c>
      <c r="AB334" s="111" t="inlineStr">
        <is>
          <t>NAO_COMPUTADO</t>
        </is>
      </c>
      <c r="AC334" s="112" t="inlineStr">
        <is>
          <t>Estrutura Fase 1: sem impacto no VTA oficial</t>
        </is>
      </c>
    </row>
    <row r="335" ht="25.5" customHeight="1" s="289">
      <c r="A335" s="205" t="n"/>
      <c r="B335" s="207" t="n"/>
      <c r="C335" s="104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348" t="n"/>
      <c r="E335" s="349">
        <f>IF(C335="","",IFERROR(VLOOKUP(C335,parametros!$A$11:$E$15,5,0),""))</f>
        <v/>
      </c>
      <c r="F335" s="335">
        <f>IF(OR(D335="",E335=""),"",ROUND(D335*E335,2))</f>
        <v/>
      </c>
      <c r="G335" s="106" t="n"/>
      <c r="H335" s="350">
        <f>IF(G335="Sim",IF(OR(F335="",D335="",L335=""),"",IF(L335="Sim",ROUND(F335-D335,2),0)),0)</f>
        <v/>
      </c>
      <c r="I335" s="350">
        <f>IF(G335="Sim",0,IF(OR(F335="",L335=""),"",F335))</f>
        <v/>
      </c>
      <c r="J335" s="350">
        <f>IF(G335="Sim",0,IF(OR(F335="",D335="",L335=""),"",IF(L335="Sim",ROUND(F335-D335,2),0)))</f>
        <v/>
      </c>
      <c r="K335" s="97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inlineStr">
        <is>
          <t>Nao</t>
        </is>
      </c>
      <c r="W335" s="110" t="inlineStr">
        <is>
          <t>PC em analise</t>
        </is>
      </c>
      <c r="X335" s="110" t="inlineStr">
        <is>
          <t>Pedido de Compra</t>
        </is>
      </c>
      <c r="Y335" s="111" t="inlineStr">
        <is>
          <t>Impacto Potencial</t>
        </is>
      </c>
      <c r="Z335" s="111" t="inlineStr">
        <is>
          <t>PC</t>
        </is>
      </c>
      <c r="AA335" s="111" t="inlineStr">
        <is>
          <t>Nao</t>
        </is>
      </c>
      <c r="AB335" s="111" t="inlineStr">
        <is>
          <t>NAO_COMPUTADO</t>
        </is>
      </c>
      <c r="AC335" s="112" t="inlineStr">
        <is>
          <t>Estrutura Fase 1: sem impacto no VTA oficial</t>
        </is>
      </c>
    </row>
    <row r="336" ht="25.5" customHeight="1" s="289">
      <c r="A336" s="205" t="n"/>
      <c r="B336" s="207" t="n"/>
      <c r="C336" s="104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348" t="n"/>
      <c r="E336" s="349">
        <f>IF(C336="","",IFERROR(VLOOKUP(C336,parametros!$A$11:$E$15,5,0),""))</f>
        <v/>
      </c>
      <c r="F336" s="335">
        <f>IF(OR(D336="",E336=""),"",ROUND(D336*E336,2))</f>
        <v/>
      </c>
      <c r="G336" s="106" t="n"/>
      <c r="H336" s="350">
        <f>IF(G336="Sim",IF(OR(F336="",D336="",L336=""),"",IF(L336="Sim",ROUND(F336-D336,2),0)),0)</f>
        <v/>
      </c>
      <c r="I336" s="350">
        <f>IF(G336="Sim",0,IF(OR(F336="",L336=""),"",F336))</f>
        <v/>
      </c>
      <c r="J336" s="350">
        <f>IF(G336="Sim",0,IF(OR(F336="",D336="",L336=""),"",IF(L336="Sim",ROUND(F336-D336,2),0)))</f>
        <v/>
      </c>
      <c r="K336" s="97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inlineStr">
        <is>
          <t>Nao</t>
        </is>
      </c>
      <c r="W336" s="110" t="inlineStr">
        <is>
          <t>PC em analise</t>
        </is>
      </c>
      <c r="X336" s="110" t="inlineStr">
        <is>
          <t>Pedido de Compra</t>
        </is>
      </c>
      <c r="Y336" s="111" t="inlineStr">
        <is>
          <t>Impacto Potencial</t>
        </is>
      </c>
      <c r="Z336" s="111" t="inlineStr">
        <is>
          <t>PC</t>
        </is>
      </c>
      <c r="AA336" s="111" t="inlineStr">
        <is>
          <t>Nao</t>
        </is>
      </c>
      <c r="AB336" s="111" t="inlineStr">
        <is>
          <t>NAO_COMPUTADO</t>
        </is>
      </c>
      <c r="AC336" s="112" t="inlineStr">
        <is>
          <t>Estrutura Fase 1: sem impacto no VTA oficial</t>
        </is>
      </c>
    </row>
    <row r="337" ht="25.5" customHeight="1" s="289">
      <c r="A337" s="205" t="n"/>
      <c r="B337" s="207" t="n"/>
      <c r="C337" s="104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348" t="n"/>
      <c r="E337" s="349">
        <f>IF(C337="","",IFERROR(VLOOKUP(C337,parametros!$A$11:$E$15,5,0),""))</f>
        <v/>
      </c>
      <c r="F337" s="335">
        <f>IF(OR(D337="",E337=""),"",ROUND(D337*E337,2))</f>
        <v/>
      </c>
      <c r="G337" s="106" t="n"/>
      <c r="H337" s="350">
        <f>IF(G337="Sim",IF(OR(F337="",D337="",L337=""),"",IF(L337="Sim",ROUND(F337-D337,2),0)),0)</f>
        <v/>
      </c>
      <c r="I337" s="350">
        <f>IF(G337="Sim",0,IF(OR(F337="",L337=""),"",F337))</f>
        <v/>
      </c>
      <c r="J337" s="350">
        <f>IF(G337="Sim",0,IF(OR(F337="",D337="",L337=""),"",IF(L337="Sim",ROUND(F337-D337,2),0)))</f>
        <v/>
      </c>
      <c r="K337" s="97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inlineStr">
        <is>
          <t>Nao</t>
        </is>
      </c>
      <c r="W337" s="110" t="inlineStr">
        <is>
          <t>PC em analise</t>
        </is>
      </c>
      <c r="X337" s="110" t="inlineStr">
        <is>
          <t>Pedido de Compra</t>
        </is>
      </c>
      <c r="Y337" s="111" t="inlineStr">
        <is>
          <t>Impacto Potencial</t>
        </is>
      </c>
      <c r="Z337" s="111" t="inlineStr">
        <is>
          <t>PC</t>
        </is>
      </c>
      <c r="AA337" s="111" t="inlineStr">
        <is>
          <t>Nao</t>
        </is>
      </c>
      <c r="AB337" s="111" t="inlineStr">
        <is>
          <t>NAO_COMPUTADO</t>
        </is>
      </c>
      <c r="AC337" s="112" t="inlineStr">
        <is>
          <t>Estrutura Fase 1: sem impacto no VTA oficial</t>
        </is>
      </c>
    </row>
    <row r="338" ht="25.5" customHeight="1" s="289">
      <c r="A338" s="205" t="n"/>
      <c r="B338" s="207" t="n"/>
      <c r="C338" s="104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348" t="n"/>
      <c r="E338" s="349">
        <f>IF(C338="","",IFERROR(VLOOKUP(C338,parametros!$A$11:$E$15,5,0),""))</f>
        <v/>
      </c>
      <c r="F338" s="335">
        <f>IF(OR(D338="",E338=""),"",ROUND(D338*E338,2))</f>
        <v/>
      </c>
      <c r="G338" s="106" t="n"/>
      <c r="H338" s="350">
        <f>IF(G338="Sim",IF(OR(F338="",D338="",L338=""),"",IF(L338="Sim",ROUND(F338-D338,2),0)),0)</f>
        <v/>
      </c>
      <c r="I338" s="350">
        <f>IF(G338="Sim",0,IF(OR(F338="",L338=""),"",F338))</f>
        <v/>
      </c>
      <c r="J338" s="350">
        <f>IF(G338="Sim",0,IF(OR(F338="",D338="",L338=""),"",IF(L338="Sim",ROUND(F338-D338,2),0)))</f>
        <v/>
      </c>
      <c r="K338" s="97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inlineStr">
        <is>
          <t>Nao</t>
        </is>
      </c>
      <c r="W338" s="110" t="inlineStr">
        <is>
          <t>PC em analise</t>
        </is>
      </c>
      <c r="X338" s="110" t="inlineStr">
        <is>
          <t>Pedido de Compra</t>
        </is>
      </c>
      <c r="Y338" s="111" t="inlineStr">
        <is>
          <t>Impacto Potencial</t>
        </is>
      </c>
      <c r="Z338" s="111" t="inlineStr">
        <is>
          <t>PC</t>
        </is>
      </c>
      <c r="AA338" s="111" t="inlineStr">
        <is>
          <t>Nao</t>
        </is>
      </c>
      <c r="AB338" s="111" t="inlineStr">
        <is>
          <t>NAO_COMPUTADO</t>
        </is>
      </c>
      <c r="AC338" s="112" t="inlineStr">
        <is>
          <t>Estrutura Fase 1: sem impacto no VTA oficial</t>
        </is>
      </c>
    </row>
    <row r="339" ht="25.5" customHeight="1" s="289">
      <c r="A339" s="205" t="n"/>
      <c r="B339" s="207" t="n"/>
      <c r="C339" s="104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348" t="n"/>
      <c r="E339" s="349">
        <f>IF(C339="","",IFERROR(VLOOKUP(C339,parametros!$A$11:$E$15,5,0),""))</f>
        <v/>
      </c>
      <c r="F339" s="335">
        <f>IF(OR(D339="",E339=""),"",ROUND(D339*E339,2))</f>
        <v/>
      </c>
      <c r="G339" s="106" t="n"/>
      <c r="H339" s="350">
        <f>IF(G339="Sim",IF(OR(F339="",D339="",L339=""),"",IF(L339="Sim",ROUND(F339-D339,2),0)),0)</f>
        <v/>
      </c>
      <c r="I339" s="350">
        <f>IF(G339="Sim",0,IF(OR(F339="",L339=""),"",F339))</f>
        <v/>
      </c>
      <c r="J339" s="350">
        <f>IF(G339="Sim",0,IF(OR(F339="",D339="",L339=""),"",IF(L339="Sim",ROUND(F339-D339,2),0)))</f>
        <v/>
      </c>
      <c r="K339" s="97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inlineStr">
        <is>
          <t>Nao</t>
        </is>
      </c>
      <c r="W339" s="110" t="inlineStr">
        <is>
          <t>PC em analise</t>
        </is>
      </c>
      <c r="X339" s="110" t="inlineStr">
        <is>
          <t>Pedido de Compra</t>
        </is>
      </c>
      <c r="Y339" s="111" t="inlineStr">
        <is>
          <t>Impacto Potencial</t>
        </is>
      </c>
      <c r="Z339" s="111" t="inlineStr">
        <is>
          <t>PC</t>
        </is>
      </c>
      <c r="AA339" s="111" t="inlineStr">
        <is>
          <t>Nao</t>
        </is>
      </c>
      <c r="AB339" s="111" t="inlineStr">
        <is>
          <t>NAO_COMPUTADO</t>
        </is>
      </c>
      <c r="AC339" s="112" t="inlineStr">
        <is>
          <t>Estrutura Fase 1: sem impacto no VTA oficial</t>
        </is>
      </c>
    </row>
    <row r="340" ht="25.5" customHeight="1" s="289">
      <c r="A340" s="205" t="n"/>
      <c r="B340" s="207" t="n"/>
      <c r="C340" s="104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348" t="n"/>
      <c r="E340" s="349">
        <f>IF(C340="","",IFERROR(VLOOKUP(C340,parametros!$A$11:$E$15,5,0),""))</f>
        <v/>
      </c>
      <c r="F340" s="335">
        <f>IF(OR(D340="",E340=""),"",ROUND(D340*E340,2))</f>
        <v/>
      </c>
      <c r="G340" s="106" t="n"/>
      <c r="H340" s="350">
        <f>IF(G340="Sim",IF(OR(F340="",D340="",L340=""),"",IF(L340="Sim",ROUND(F340-D340,2),0)),0)</f>
        <v/>
      </c>
      <c r="I340" s="350">
        <f>IF(G340="Sim",0,IF(OR(F340="",L340=""),"",F340))</f>
        <v/>
      </c>
      <c r="J340" s="350">
        <f>IF(G340="Sim",0,IF(OR(F340="",D340="",L340=""),"",IF(L340="Sim",ROUND(F340-D340,2),0)))</f>
        <v/>
      </c>
      <c r="K340" s="97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inlineStr">
        <is>
          <t>Nao</t>
        </is>
      </c>
      <c r="W340" s="110" t="inlineStr">
        <is>
          <t>PC em analise</t>
        </is>
      </c>
      <c r="X340" s="110" t="inlineStr">
        <is>
          <t>Pedido de Compra</t>
        </is>
      </c>
      <c r="Y340" s="111" t="inlineStr">
        <is>
          <t>Impacto Potencial</t>
        </is>
      </c>
      <c r="Z340" s="111" t="inlineStr">
        <is>
          <t>PC</t>
        </is>
      </c>
      <c r="AA340" s="111" t="inlineStr">
        <is>
          <t>Nao</t>
        </is>
      </c>
      <c r="AB340" s="111" t="inlineStr">
        <is>
          <t>NAO_COMPUTADO</t>
        </is>
      </c>
      <c r="AC340" s="112" t="inlineStr">
        <is>
          <t>Estrutura Fase 1: sem impacto no VTA oficial</t>
        </is>
      </c>
    </row>
    <row r="341" ht="25.5" customHeight="1" s="289">
      <c r="A341" s="205" t="n"/>
      <c r="B341" s="207" t="n"/>
      <c r="C341" s="104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348" t="n"/>
      <c r="E341" s="349">
        <f>IF(C341="","",IFERROR(VLOOKUP(C341,parametros!$A$11:$E$15,5,0),""))</f>
        <v/>
      </c>
      <c r="F341" s="335">
        <f>IF(OR(D341="",E341=""),"",ROUND(D341*E341,2))</f>
        <v/>
      </c>
      <c r="G341" s="106" t="n"/>
      <c r="H341" s="350">
        <f>IF(G341="Sim",IF(OR(F341="",D341="",L341=""),"",IF(L341="Sim",ROUND(F341-D341,2),0)),0)</f>
        <v/>
      </c>
      <c r="I341" s="350">
        <f>IF(G341="Sim",0,IF(OR(F341="",L341=""),"",F341))</f>
        <v/>
      </c>
      <c r="J341" s="350">
        <f>IF(G341="Sim",0,IF(OR(F341="",D341="",L341=""),"",IF(L341="Sim",ROUND(F341-D341,2),0)))</f>
        <v/>
      </c>
      <c r="K341" s="97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inlineStr">
        <is>
          <t>Nao</t>
        </is>
      </c>
      <c r="W341" s="110" t="inlineStr">
        <is>
          <t>PC em analise</t>
        </is>
      </c>
      <c r="X341" s="110" t="inlineStr">
        <is>
          <t>Pedido de Compra</t>
        </is>
      </c>
      <c r="Y341" s="111" t="inlineStr">
        <is>
          <t>Impacto Potencial</t>
        </is>
      </c>
      <c r="Z341" s="111" t="inlineStr">
        <is>
          <t>PC</t>
        </is>
      </c>
      <c r="AA341" s="111" t="inlineStr">
        <is>
          <t>Nao</t>
        </is>
      </c>
      <c r="AB341" s="111" t="inlineStr">
        <is>
          <t>NAO_COMPUTADO</t>
        </is>
      </c>
      <c r="AC341" s="112" t="inlineStr">
        <is>
          <t>Estrutura Fase 1: sem impacto no VTA oficial</t>
        </is>
      </c>
    </row>
    <row r="342" ht="25.5" customHeight="1" s="289">
      <c r="A342" s="205" t="n"/>
      <c r="B342" s="207" t="n"/>
      <c r="C342" s="104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348" t="n"/>
      <c r="E342" s="349">
        <f>IF(C342="","",IFERROR(VLOOKUP(C342,parametros!$A$11:$E$15,5,0),""))</f>
        <v/>
      </c>
      <c r="F342" s="335">
        <f>IF(OR(D342="",E342=""),"",ROUND(D342*E342,2))</f>
        <v/>
      </c>
      <c r="G342" s="106" t="n"/>
      <c r="H342" s="350">
        <f>IF(G342="Sim",IF(OR(F342="",D342="",L342=""),"",IF(L342="Sim",ROUND(F342-D342,2),0)),0)</f>
        <v/>
      </c>
      <c r="I342" s="350">
        <f>IF(G342="Sim",0,IF(OR(F342="",L342=""),"",F342))</f>
        <v/>
      </c>
      <c r="J342" s="350">
        <f>IF(G342="Sim",0,IF(OR(F342="",D342="",L342=""),"",IF(L342="Sim",ROUND(F342-D342,2),0)))</f>
        <v/>
      </c>
      <c r="K342" s="97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inlineStr">
        <is>
          <t>Nao</t>
        </is>
      </c>
      <c r="W342" s="110" t="inlineStr">
        <is>
          <t>PC em analise</t>
        </is>
      </c>
      <c r="X342" s="110" t="inlineStr">
        <is>
          <t>Pedido de Compra</t>
        </is>
      </c>
      <c r="Y342" s="111" t="inlineStr">
        <is>
          <t>Impacto Potencial</t>
        </is>
      </c>
      <c r="Z342" s="111" t="inlineStr">
        <is>
          <t>PC</t>
        </is>
      </c>
      <c r="AA342" s="111" t="inlineStr">
        <is>
          <t>Nao</t>
        </is>
      </c>
      <c r="AB342" s="111" t="inlineStr">
        <is>
          <t>NAO_COMPUTADO</t>
        </is>
      </c>
      <c r="AC342" s="112" t="inlineStr">
        <is>
          <t>Estrutura Fase 1: sem impacto no VTA oficial</t>
        </is>
      </c>
    </row>
    <row r="343" ht="25.5" customHeight="1" s="289">
      <c r="A343" s="205" t="n"/>
      <c r="B343" s="207" t="n"/>
      <c r="C343" s="104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348" t="n"/>
      <c r="E343" s="349">
        <f>IF(C343="","",IFERROR(VLOOKUP(C343,parametros!$A$11:$E$15,5,0),""))</f>
        <v/>
      </c>
      <c r="F343" s="335">
        <f>IF(OR(D343="",E343=""),"",ROUND(D343*E343,2))</f>
        <v/>
      </c>
      <c r="G343" s="106" t="n"/>
      <c r="H343" s="350">
        <f>IF(G343="Sim",IF(OR(F343="",D343="",L343=""),"",IF(L343="Sim",ROUND(F343-D343,2),0)),0)</f>
        <v/>
      </c>
      <c r="I343" s="350">
        <f>IF(G343="Sim",0,IF(OR(F343="",L343=""),"",F343))</f>
        <v/>
      </c>
      <c r="J343" s="350">
        <f>IF(G343="Sim",0,IF(OR(F343="",D343="",L343=""),"",IF(L343="Sim",ROUND(F343-D343,2),0)))</f>
        <v/>
      </c>
      <c r="K343" s="97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inlineStr">
        <is>
          <t>Nao</t>
        </is>
      </c>
      <c r="W343" s="110" t="inlineStr">
        <is>
          <t>PC em analise</t>
        </is>
      </c>
      <c r="X343" s="110" t="inlineStr">
        <is>
          <t>Pedido de Compra</t>
        </is>
      </c>
      <c r="Y343" s="111" t="inlineStr">
        <is>
          <t>Impacto Potencial</t>
        </is>
      </c>
      <c r="Z343" s="111" t="inlineStr">
        <is>
          <t>PC</t>
        </is>
      </c>
      <c r="AA343" s="111" t="inlineStr">
        <is>
          <t>Nao</t>
        </is>
      </c>
      <c r="AB343" s="111" t="inlineStr">
        <is>
          <t>NAO_COMPUTADO</t>
        </is>
      </c>
      <c r="AC343" s="112" t="inlineStr">
        <is>
          <t>Estrutura Fase 1: sem impacto no VTA oficial</t>
        </is>
      </c>
    </row>
    <row r="344" ht="25.5" customHeight="1" s="289">
      <c r="A344" s="205" t="n"/>
      <c r="B344" s="207" t="n"/>
      <c r="C344" s="104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348" t="n"/>
      <c r="E344" s="349">
        <f>IF(C344="","",IFERROR(VLOOKUP(C344,parametros!$A$11:$E$15,5,0),""))</f>
        <v/>
      </c>
      <c r="F344" s="335">
        <f>IF(OR(D344="",E344=""),"",ROUND(D344*E344,2))</f>
        <v/>
      </c>
      <c r="G344" s="106" t="n"/>
      <c r="H344" s="350">
        <f>IF(G344="Sim",IF(OR(F344="",D344="",L344=""),"",IF(L344="Sim",ROUND(F344-D344,2),0)),0)</f>
        <v/>
      </c>
      <c r="I344" s="350">
        <f>IF(G344="Sim",0,IF(OR(F344="",L344=""),"",F344))</f>
        <v/>
      </c>
      <c r="J344" s="350">
        <f>IF(G344="Sim",0,IF(OR(F344="",D344="",L344=""),"",IF(L344="Sim",ROUND(F344-D344,2),0)))</f>
        <v/>
      </c>
      <c r="K344" s="97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inlineStr">
        <is>
          <t>Nao</t>
        </is>
      </c>
      <c r="W344" s="110" t="inlineStr">
        <is>
          <t>PC em analise</t>
        </is>
      </c>
      <c r="X344" s="110" t="inlineStr">
        <is>
          <t>Pedido de Compra</t>
        </is>
      </c>
      <c r="Y344" s="111" t="inlineStr">
        <is>
          <t>Impacto Potencial</t>
        </is>
      </c>
      <c r="Z344" s="111" t="inlineStr">
        <is>
          <t>PC</t>
        </is>
      </c>
      <c r="AA344" s="111" t="inlineStr">
        <is>
          <t>Nao</t>
        </is>
      </c>
      <c r="AB344" s="111" t="inlineStr">
        <is>
          <t>NAO_COMPUTADO</t>
        </is>
      </c>
      <c r="AC344" s="112" t="inlineStr">
        <is>
          <t>Estrutura Fase 1: sem impacto no VTA oficial</t>
        </is>
      </c>
    </row>
    <row r="345" ht="25.5" customHeight="1" s="289">
      <c r="A345" s="205" t="n"/>
      <c r="B345" s="207" t="n"/>
      <c r="C345" s="104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348" t="n"/>
      <c r="E345" s="349">
        <f>IF(C345="","",IFERROR(VLOOKUP(C345,parametros!$A$11:$E$15,5,0),""))</f>
        <v/>
      </c>
      <c r="F345" s="335">
        <f>IF(OR(D345="",E345=""),"",ROUND(D345*E345,2))</f>
        <v/>
      </c>
      <c r="G345" s="106" t="n"/>
      <c r="H345" s="350">
        <f>IF(G345="Sim",IF(OR(F345="",D345="",L345=""),"",IF(L345="Sim",ROUND(F345-D345,2),0)),0)</f>
        <v/>
      </c>
      <c r="I345" s="350">
        <f>IF(G345="Sim",0,IF(OR(F345="",L345=""),"",F345))</f>
        <v/>
      </c>
      <c r="J345" s="350">
        <f>IF(G345="Sim",0,IF(OR(F345="",D345="",L345=""),"",IF(L345="Sim",ROUND(F345-D345,2),0)))</f>
        <v/>
      </c>
      <c r="K345" s="97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inlineStr">
        <is>
          <t>Nao</t>
        </is>
      </c>
      <c r="W345" s="110" t="inlineStr">
        <is>
          <t>PC em analise</t>
        </is>
      </c>
      <c r="X345" s="110" t="inlineStr">
        <is>
          <t>Pedido de Compra</t>
        </is>
      </c>
      <c r="Y345" s="111" t="inlineStr">
        <is>
          <t>Impacto Potencial</t>
        </is>
      </c>
      <c r="Z345" s="111" t="inlineStr">
        <is>
          <t>PC</t>
        </is>
      </c>
      <c r="AA345" s="111" t="inlineStr">
        <is>
          <t>Nao</t>
        </is>
      </c>
      <c r="AB345" s="111" t="inlineStr">
        <is>
          <t>NAO_COMPUTADO</t>
        </is>
      </c>
      <c r="AC345" s="112" t="inlineStr">
        <is>
          <t>Estrutura Fase 1: sem impacto no VTA oficial</t>
        </is>
      </c>
    </row>
    <row r="346" ht="25.5" customHeight="1" s="289">
      <c r="A346" s="205" t="n"/>
      <c r="B346" s="207" t="n"/>
      <c r="C346" s="104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348" t="n"/>
      <c r="E346" s="349">
        <f>IF(C346="","",IFERROR(VLOOKUP(C346,parametros!$A$11:$E$15,5,0),""))</f>
        <v/>
      </c>
      <c r="F346" s="335">
        <f>IF(OR(D346="",E346=""),"",ROUND(D346*E346,2))</f>
        <v/>
      </c>
      <c r="G346" s="106" t="n"/>
      <c r="H346" s="350">
        <f>IF(G346="Sim",IF(OR(F346="",D346="",L346=""),"",IF(L346="Sim",ROUND(F346-D346,2),0)),0)</f>
        <v/>
      </c>
      <c r="I346" s="350">
        <f>IF(G346="Sim",0,IF(OR(F346="",L346=""),"",F346))</f>
        <v/>
      </c>
      <c r="J346" s="350">
        <f>IF(G346="Sim",0,IF(OR(F346="",D346="",L346=""),"",IF(L346="Sim",ROUND(F346-D346,2),0)))</f>
        <v/>
      </c>
      <c r="K346" s="97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inlineStr">
        <is>
          <t>Nao</t>
        </is>
      </c>
      <c r="W346" s="110" t="inlineStr">
        <is>
          <t>PC em analise</t>
        </is>
      </c>
      <c r="X346" s="110" t="inlineStr">
        <is>
          <t>Pedido de Compra</t>
        </is>
      </c>
      <c r="Y346" s="111" t="inlineStr">
        <is>
          <t>Impacto Potencial</t>
        </is>
      </c>
      <c r="Z346" s="111" t="inlineStr">
        <is>
          <t>PC</t>
        </is>
      </c>
      <c r="AA346" s="111" t="inlineStr">
        <is>
          <t>Nao</t>
        </is>
      </c>
      <c r="AB346" s="111" t="inlineStr">
        <is>
          <t>NAO_COMPUTADO</t>
        </is>
      </c>
      <c r="AC346" s="112" t="inlineStr">
        <is>
          <t>Estrutura Fase 1: sem impacto no VTA oficial</t>
        </is>
      </c>
    </row>
    <row r="347" ht="25.5" customHeight="1" s="289">
      <c r="A347" s="205" t="n"/>
      <c r="B347" s="207" t="n"/>
      <c r="C347" s="104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348" t="n"/>
      <c r="E347" s="349">
        <f>IF(C347="","",IFERROR(VLOOKUP(C347,parametros!$A$11:$E$15,5,0),""))</f>
        <v/>
      </c>
      <c r="F347" s="335">
        <f>IF(OR(D347="",E347=""),"",ROUND(D347*E347,2))</f>
        <v/>
      </c>
      <c r="G347" s="106" t="n"/>
      <c r="H347" s="350">
        <f>IF(G347="Sim",IF(OR(F347="",D347="",L347=""),"",IF(L347="Sim",ROUND(F347-D347,2),0)),0)</f>
        <v/>
      </c>
      <c r="I347" s="350">
        <f>IF(G347="Sim",0,IF(OR(F347="",L347=""),"",F347))</f>
        <v/>
      </c>
      <c r="J347" s="350">
        <f>IF(G347="Sim",0,IF(OR(F347="",D347="",L347=""),"",IF(L347="Sim",ROUND(F347-D347,2),0)))</f>
        <v/>
      </c>
      <c r="K347" s="97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inlineStr">
        <is>
          <t>Nao</t>
        </is>
      </c>
      <c r="W347" s="110" t="inlineStr">
        <is>
          <t>PC em analise</t>
        </is>
      </c>
      <c r="X347" s="110" t="inlineStr">
        <is>
          <t>Pedido de Compra</t>
        </is>
      </c>
      <c r="Y347" s="111" t="inlineStr">
        <is>
          <t>Impacto Potencial</t>
        </is>
      </c>
      <c r="Z347" s="111" t="inlineStr">
        <is>
          <t>PC</t>
        </is>
      </c>
      <c r="AA347" s="111" t="inlineStr">
        <is>
          <t>Nao</t>
        </is>
      </c>
      <c r="AB347" s="111" t="inlineStr">
        <is>
          <t>NAO_COMPUTADO</t>
        </is>
      </c>
      <c r="AC347" s="112" t="inlineStr">
        <is>
          <t>Estrutura Fase 1: sem impacto no VTA oficial</t>
        </is>
      </c>
    </row>
    <row r="348" ht="25.5" customHeight="1" s="289">
      <c r="A348" s="205" t="n"/>
      <c r="B348" s="207" t="n"/>
      <c r="C348" s="104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348" t="n"/>
      <c r="E348" s="349">
        <f>IF(C348="","",IFERROR(VLOOKUP(C348,parametros!$A$11:$E$15,5,0),""))</f>
        <v/>
      </c>
      <c r="F348" s="335">
        <f>IF(OR(D348="",E348=""),"",ROUND(D348*E348,2))</f>
        <v/>
      </c>
      <c r="G348" s="106" t="n"/>
      <c r="H348" s="350">
        <f>IF(G348="Sim",IF(OR(F348="",D348="",L348=""),"",IF(L348="Sim",ROUND(F348-D348,2),0)),0)</f>
        <v/>
      </c>
      <c r="I348" s="350">
        <f>IF(G348="Sim",0,IF(OR(F348="",L348=""),"",F348))</f>
        <v/>
      </c>
      <c r="J348" s="350">
        <f>IF(G348="Sim",0,IF(OR(F348="",D348="",L348=""),"",IF(L348="Sim",ROUND(F348-D348,2),0)))</f>
        <v/>
      </c>
      <c r="K348" s="97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inlineStr">
        <is>
          <t>Nao</t>
        </is>
      </c>
      <c r="W348" s="110" t="inlineStr">
        <is>
          <t>PC em analise</t>
        </is>
      </c>
      <c r="X348" s="110" t="inlineStr">
        <is>
          <t>Pedido de Compra</t>
        </is>
      </c>
      <c r="Y348" s="111" t="inlineStr">
        <is>
          <t>Impacto Potencial</t>
        </is>
      </c>
      <c r="Z348" s="111" t="inlineStr">
        <is>
          <t>PC</t>
        </is>
      </c>
      <c r="AA348" s="111" t="inlineStr">
        <is>
          <t>Nao</t>
        </is>
      </c>
      <c r="AB348" s="111" t="inlineStr">
        <is>
          <t>NAO_COMPUTADO</t>
        </is>
      </c>
      <c r="AC348" s="112" t="inlineStr">
        <is>
          <t>Estrutura Fase 1: sem impacto no VTA oficial</t>
        </is>
      </c>
    </row>
    <row r="349" ht="25.5" customHeight="1" s="289">
      <c r="A349" s="205" t="n"/>
      <c r="B349" s="207" t="n"/>
      <c r="C349" s="104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348" t="n"/>
      <c r="E349" s="349">
        <f>IF(C349="","",IFERROR(VLOOKUP(C349,parametros!$A$11:$E$15,5,0),""))</f>
        <v/>
      </c>
      <c r="F349" s="335">
        <f>IF(OR(D349="",E349=""),"",ROUND(D349*E349,2))</f>
        <v/>
      </c>
      <c r="G349" s="106" t="n"/>
      <c r="H349" s="350">
        <f>IF(G349="Sim",IF(OR(F349="",D349="",L349=""),"",IF(L349="Sim",ROUND(F349-D349,2),0)),0)</f>
        <v/>
      </c>
      <c r="I349" s="350">
        <f>IF(G349="Sim",0,IF(OR(F349="",L349=""),"",F349))</f>
        <v/>
      </c>
      <c r="J349" s="350">
        <f>IF(G349="Sim",0,IF(OR(F349="",D349="",L349=""),"",IF(L349="Sim",ROUND(F349-D349,2),0)))</f>
        <v/>
      </c>
      <c r="K349" s="97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inlineStr">
        <is>
          <t>Nao</t>
        </is>
      </c>
      <c r="W349" s="110" t="inlineStr">
        <is>
          <t>PC em analise</t>
        </is>
      </c>
      <c r="X349" s="110" t="inlineStr">
        <is>
          <t>Pedido de Compra</t>
        </is>
      </c>
      <c r="Y349" s="111" t="inlineStr">
        <is>
          <t>Impacto Potencial</t>
        </is>
      </c>
      <c r="Z349" s="111" t="inlineStr">
        <is>
          <t>PC</t>
        </is>
      </c>
      <c r="AA349" s="111" t="inlineStr">
        <is>
          <t>Nao</t>
        </is>
      </c>
      <c r="AB349" s="111" t="inlineStr">
        <is>
          <t>NAO_COMPUTADO</t>
        </is>
      </c>
      <c r="AC349" s="112" t="inlineStr">
        <is>
          <t>Estrutura Fase 1: sem impacto no VTA oficial</t>
        </is>
      </c>
    </row>
    <row r="350" ht="25.5" customHeight="1" s="289">
      <c r="A350" s="205" t="n"/>
      <c r="B350" s="207" t="n"/>
      <c r="C350" s="104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348" t="n"/>
      <c r="E350" s="349">
        <f>IF(C350="","",IFERROR(VLOOKUP(C350,parametros!$A$11:$E$15,5,0),""))</f>
        <v/>
      </c>
      <c r="F350" s="335">
        <f>IF(OR(D350="",E350=""),"",ROUND(D350*E350,2))</f>
        <v/>
      </c>
      <c r="G350" s="106" t="n"/>
      <c r="H350" s="350">
        <f>IF(G350="Sim",IF(OR(F350="",D350="",L350=""),"",IF(L350="Sim",ROUND(F350-D350,2),0)),0)</f>
        <v/>
      </c>
      <c r="I350" s="350">
        <f>IF(G350="Sim",0,IF(OR(F350="",L350=""),"",F350))</f>
        <v/>
      </c>
      <c r="J350" s="350">
        <f>IF(G350="Sim",0,IF(OR(F350="",D350="",L350=""),"",IF(L350="Sim",ROUND(F350-D350,2),0)))</f>
        <v/>
      </c>
      <c r="K350" s="97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inlineStr">
        <is>
          <t>Nao</t>
        </is>
      </c>
      <c r="W350" s="110" t="inlineStr">
        <is>
          <t>PC em analise</t>
        </is>
      </c>
      <c r="X350" s="110" t="inlineStr">
        <is>
          <t>Pedido de Compra</t>
        </is>
      </c>
      <c r="Y350" s="111" t="inlineStr">
        <is>
          <t>Impacto Potencial</t>
        </is>
      </c>
      <c r="Z350" s="111" t="inlineStr">
        <is>
          <t>PC</t>
        </is>
      </c>
      <c r="AA350" s="111" t="inlineStr">
        <is>
          <t>Nao</t>
        </is>
      </c>
      <c r="AB350" s="111" t="inlineStr">
        <is>
          <t>NAO_COMPUTADO</t>
        </is>
      </c>
      <c r="AC350" s="112" t="inlineStr">
        <is>
          <t>Estrutura Fase 1: sem impacto no VTA oficial</t>
        </is>
      </c>
    </row>
    <row r="351" ht="25.5" customHeight="1" s="289">
      <c r="A351" s="205" t="n"/>
      <c r="B351" s="207" t="n"/>
      <c r="C351" s="104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348" t="n"/>
      <c r="E351" s="349">
        <f>IF(C351="","",IFERROR(VLOOKUP(C351,parametros!$A$11:$E$15,5,0),""))</f>
        <v/>
      </c>
      <c r="F351" s="335">
        <f>IF(OR(D351="",E351=""),"",ROUND(D351*E351,2))</f>
        <v/>
      </c>
      <c r="G351" s="106" t="n"/>
      <c r="H351" s="350">
        <f>IF(G351="Sim",IF(OR(F351="",D351="",L351=""),"",IF(L351="Sim",ROUND(F351-D351,2),0)),0)</f>
        <v/>
      </c>
      <c r="I351" s="350">
        <f>IF(G351="Sim",0,IF(OR(F351="",L351=""),"",F351))</f>
        <v/>
      </c>
      <c r="J351" s="350">
        <f>IF(G351="Sim",0,IF(OR(F351="",D351="",L351=""),"",IF(L351="Sim",ROUND(F351-D351,2),0)))</f>
        <v/>
      </c>
      <c r="K351" s="97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inlineStr">
        <is>
          <t>Nao</t>
        </is>
      </c>
      <c r="W351" s="110" t="inlineStr">
        <is>
          <t>PC em analise</t>
        </is>
      </c>
      <c r="X351" s="110" t="inlineStr">
        <is>
          <t>Pedido de Compra</t>
        </is>
      </c>
      <c r="Y351" s="111" t="inlineStr">
        <is>
          <t>Impacto Potencial</t>
        </is>
      </c>
      <c r="Z351" s="111" t="inlineStr">
        <is>
          <t>PC</t>
        </is>
      </c>
      <c r="AA351" s="111" t="inlineStr">
        <is>
          <t>Nao</t>
        </is>
      </c>
      <c r="AB351" s="111" t="inlineStr">
        <is>
          <t>NAO_COMPUTADO</t>
        </is>
      </c>
      <c r="AC351" s="112" t="inlineStr">
        <is>
          <t>Estrutura Fase 1: sem impacto no VTA oficial</t>
        </is>
      </c>
    </row>
    <row r="352" ht="25.5" customHeight="1" s="289">
      <c r="A352" s="205" t="n"/>
      <c r="B352" s="207" t="n"/>
      <c r="C352" s="104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348" t="n"/>
      <c r="E352" s="349">
        <f>IF(C352="","",IFERROR(VLOOKUP(C352,parametros!$A$11:$E$15,5,0),""))</f>
        <v/>
      </c>
      <c r="F352" s="335">
        <f>IF(OR(D352="",E352=""),"",ROUND(D352*E352,2))</f>
        <v/>
      </c>
      <c r="G352" s="106" t="n"/>
      <c r="H352" s="350">
        <f>IF(G352="Sim",IF(OR(F352="",D352="",L352=""),"",IF(L352="Sim",ROUND(F352-D352,2),0)),0)</f>
        <v/>
      </c>
      <c r="I352" s="350">
        <f>IF(G352="Sim",0,IF(OR(F352="",L352=""),"",F352))</f>
        <v/>
      </c>
      <c r="J352" s="350">
        <f>IF(G352="Sim",0,IF(OR(F352="",D352="",L352=""),"",IF(L352="Sim",ROUND(F352-D352,2),0)))</f>
        <v/>
      </c>
      <c r="K352" s="97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inlineStr">
        <is>
          <t>Nao</t>
        </is>
      </c>
      <c r="W352" s="110" t="inlineStr">
        <is>
          <t>PC em analise</t>
        </is>
      </c>
      <c r="X352" s="110" t="inlineStr">
        <is>
          <t>Pedido de Compra</t>
        </is>
      </c>
      <c r="Y352" s="111" t="inlineStr">
        <is>
          <t>Impacto Potencial</t>
        </is>
      </c>
      <c r="Z352" s="111" t="inlineStr">
        <is>
          <t>PC</t>
        </is>
      </c>
      <c r="AA352" s="111" t="inlineStr">
        <is>
          <t>Nao</t>
        </is>
      </c>
      <c r="AB352" s="111" t="inlineStr">
        <is>
          <t>NAO_COMPUTADO</t>
        </is>
      </c>
      <c r="AC352" s="112" t="inlineStr">
        <is>
          <t>Estrutura Fase 1: sem impacto no VTA oficial</t>
        </is>
      </c>
    </row>
    <row r="353" ht="25.5" customHeight="1" s="289">
      <c r="A353" s="205" t="n"/>
      <c r="B353" s="207" t="n"/>
      <c r="C353" s="104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348" t="n"/>
      <c r="E353" s="349">
        <f>IF(C353="","",IFERROR(VLOOKUP(C353,parametros!$A$11:$E$15,5,0),""))</f>
        <v/>
      </c>
      <c r="F353" s="335">
        <f>IF(OR(D353="",E353=""),"",ROUND(D353*E353,2))</f>
        <v/>
      </c>
      <c r="G353" s="106" t="n"/>
      <c r="H353" s="350">
        <f>IF(G353="Sim",IF(OR(F353="",D353="",L353=""),"",IF(L353="Sim",ROUND(F353-D353,2),0)),0)</f>
        <v/>
      </c>
      <c r="I353" s="350">
        <f>IF(G353="Sim",0,IF(OR(F353="",L353=""),"",F353))</f>
        <v/>
      </c>
      <c r="J353" s="350">
        <f>IF(G353="Sim",0,IF(OR(F353="",D353="",L353=""),"",IF(L353="Sim",ROUND(F353-D353,2),0)))</f>
        <v/>
      </c>
      <c r="K353" s="97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inlineStr">
        <is>
          <t>Nao</t>
        </is>
      </c>
      <c r="W353" s="110" t="inlineStr">
        <is>
          <t>PC em analise</t>
        </is>
      </c>
      <c r="X353" s="110" t="inlineStr">
        <is>
          <t>Pedido de Compra</t>
        </is>
      </c>
      <c r="Y353" s="111" t="inlineStr">
        <is>
          <t>Impacto Potencial</t>
        </is>
      </c>
      <c r="Z353" s="111" t="inlineStr">
        <is>
          <t>PC</t>
        </is>
      </c>
      <c r="AA353" s="111" t="inlineStr">
        <is>
          <t>Nao</t>
        </is>
      </c>
      <c r="AB353" s="111" t="inlineStr">
        <is>
          <t>NAO_COMPUTADO</t>
        </is>
      </c>
      <c r="AC353" s="112" t="inlineStr">
        <is>
          <t>Estrutura Fase 1: sem impacto no VTA oficial</t>
        </is>
      </c>
    </row>
    <row r="354" ht="25.5" customHeight="1" s="289">
      <c r="A354" s="205" t="n"/>
      <c r="B354" s="207" t="n"/>
      <c r="C354" s="104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348" t="n"/>
      <c r="E354" s="349">
        <f>IF(C354="","",IFERROR(VLOOKUP(C354,parametros!$A$11:$E$15,5,0),""))</f>
        <v/>
      </c>
      <c r="F354" s="335">
        <f>IF(OR(D354="",E354=""),"",ROUND(D354*E354,2))</f>
        <v/>
      </c>
      <c r="G354" s="106" t="n"/>
      <c r="H354" s="350">
        <f>IF(G354="Sim",IF(OR(F354="",D354="",L354=""),"",IF(L354="Sim",ROUND(F354-D354,2),0)),0)</f>
        <v/>
      </c>
      <c r="I354" s="350">
        <f>IF(G354="Sim",0,IF(OR(F354="",L354=""),"",F354))</f>
        <v/>
      </c>
      <c r="J354" s="350">
        <f>IF(G354="Sim",0,IF(OR(F354="",D354="",L354=""),"",IF(L354="Sim",ROUND(F354-D354,2),0)))</f>
        <v/>
      </c>
      <c r="K354" s="97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inlineStr">
        <is>
          <t>Nao</t>
        </is>
      </c>
      <c r="W354" s="110" t="inlineStr">
        <is>
          <t>PC em analise</t>
        </is>
      </c>
      <c r="X354" s="110" t="inlineStr">
        <is>
          <t>Pedido de Compra</t>
        </is>
      </c>
      <c r="Y354" s="111" t="inlineStr">
        <is>
          <t>Impacto Potencial</t>
        </is>
      </c>
      <c r="Z354" s="111" t="inlineStr">
        <is>
          <t>PC</t>
        </is>
      </c>
      <c r="AA354" s="111" t="inlineStr">
        <is>
          <t>Nao</t>
        </is>
      </c>
      <c r="AB354" s="111" t="inlineStr">
        <is>
          <t>NAO_COMPUTADO</t>
        </is>
      </c>
      <c r="AC354" s="112" t="inlineStr">
        <is>
          <t>Estrutura Fase 1: sem impacto no VTA oficial</t>
        </is>
      </c>
    </row>
    <row r="355" ht="25.5" customHeight="1" s="289">
      <c r="A355" s="205" t="n"/>
      <c r="B355" s="207" t="n"/>
      <c r="C355" s="104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348" t="n"/>
      <c r="E355" s="349">
        <f>IF(C355="","",IFERROR(VLOOKUP(C355,parametros!$A$11:$E$15,5,0),""))</f>
        <v/>
      </c>
      <c r="F355" s="335">
        <f>IF(OR(D355="",E355=""),"",ROUND(D355*E355,2))</f>
        <v/>
      </c>
      <c r="G355" s="106" t="n"/>
      <c r="H355" s="350">
        <f>IF(G355="Sim",IF(OR(F355="",D355="",L355=""),"",IF(L355="Sim",ROUND(F355-D355,2),0)),0)</f>
        <v/>
      </c>
      <c r="I355" s="350">
        <f>IF(G355="Sim",0,IF(OR(F355="",L355=""),"",F355))</f>
        <v/>
      </c>
      <c r="J355" s="350">
        <f>IF(G355="Sim",0,IF(OR(F355="",D355="",L355=""),"",IF(L355="Sim",ROUND(F355-D355,2),0)))</f>
        <v/>
      </c>
      <c r="K355" s="97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inlineStr">
        <is>
          <t>Nao</t>
        </is>
      </c>
      <c r="W355" s="110" t="inlineStr">
        <is>
          <t>PC em analise</t>
        </is>
      </c>
      <c r="X355" s="110" t="inlineStr">
        <is>
          <t>Pedido de Compra</t>
        </is>
      </c>
      <c r="Y355" s="111" t="inlineStr">
        <is>
          <t>Impacto Potencial</t>
        </is>
      </c>
      <c r="Z355" s="111" t="inlineStr">
        <is>
          <t>PC</t>
        </is>
      </c>
      <c r="AA355" s="111" t="inlineStr">
        <is>
          <t>Nao</t>
        </is>
      </c>
      <c r="AB355" s="111" t="inlineStr">
        <is>
          <t>NAO_COMPUTADO</t>
        </is>
      </c>
      <c r="AC355" s="112" t="inlineStr">
        <is>
          <t>Estrutura Fase 1: sem impacto no VTA oficial</t>
        </is>
      </c>
    </row>
    <row r="356" ht="25.5" customHeight="1" s="289">
      <c r="A356" s="205" t="n"/>
      <c r="B356" s="207" t="n"/>
      <c r="C356" s="104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348" t="n"/>
      <c r="E356" s="349">
        <f>IF(C356="","",IFERROR(VLOOKUP(C356,parametros!$A$11:$E$15,5,0),""))</f>
        <v/>
      </c>
      <c r="F356" s="335">
        <f>IF(OR(D356="",E356=""),"",ROUND(D356*E356,2))</f>
        <v/>
      </c>
      <c r="G356" s="106" t="n"/>
      <c r="H356" s="350">
        <f>IF(G356="Sim",IF(OR(F356="",D356="",L356=""),"",IF(L356="Sim",ROUND(F356-D356,2),0)),0)</f>
        <v/>
      </c>
      <c r="I356" s="350">
        <f>IF(G356="Sim",0,IF(OR(F356="",L356=""),"",F356))</f>
        <v/>
      </c>
      <c r="J356" s="350">
        <f>IF(G356="Sim",0,IF(OR(F356="",D356="",L356=""),"",IF(L356="Sim",ROUND(F356-D356,2),0)))</f>
        <v/>
      </c>
      <c r="K356" s="97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inlineStr">
        <is>
          <t>Nao</t>
        </is>
      </c>
      <c r="W356" s="110" t="inlineStr">
        <is>
          <t>PC em analise</t>
        </is>
      </c>
      <c r="X356" s="110" t="inlineStr">
        <is>
          <t>Pedido de Compra</t>
        </is>
      </c>
      <c r="Y356" s="111" t="inlineStr">
        <is>
          <t>Impacto Potencial</t>
        </is>
      </c>
      <c r="Z356" s="111" t="inlineStr">
        <is>
          <t>PC</t>
        </is>
      </c>
      <c r="AA356" s="111" t="inlineStr">
        <is>
          <t>Nao</t>
        </is>
      </c>
      <c r="AB356" s="111" t="inlineStr">
        <is>
          <t>NAO_COMPUTADO</t>
        </is>
      </c>
      <c r="AC356" s="112" t="inlineStr">
        <is>
          <t>Estrutura Fase 1: sem impacto no VTA oficial</t>
        </is>
      </c>
    </row>
    <row r="357" ht="25.5" customHeight="1" s="289">
      <c r="A357" s="205" t="n"/>
      <c r="B357" s="207" t="n"/>
      <c r="C357" s="104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348" t="n"/>
      <c r="E357" s="349">
        <f>IF(C357="","",IFERROR(VLOOKUP(C357,parametros!$A$11:$E$15,5,0),""))</f>
        <v/>
      </c>
      <c r="F357" s="335">
        <f>IF(OR(D357="",E357=""),"",ROUND(D357*E357,2))</f>
        <v/>
      </c>
      <c r="G357" s="106" t="n"/>
      <c r="H357" s="350">
        <f>IF(G357="Sim",IF(OR(F357="",D357="",L357=""),"",IF(L357="Sim",ROUND(F357-D357,2),0)),0)</f>
        <v/>
      </c>
      <c r="I357" s="350">
        <f>IF(G357="Sim",0,IF(OR(F357="",L357=""),"",F357))</f>
        <v/>
      </c>
      <c r="J357" s="350">
        <f>IF(G357="Sim",0,IF(OR(F357="",D357="",L357=""),"",IF(L357="Sim",ROUND(F357-D357,2),0)))</f>
        <v/>
      </c>
      <c r="K357" s="97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inlineStr">
        <is>
          <t>Nao</t>
        </is>
      </c>
      <c r="W357" s="110" t="inlineStr">
        <is>
          <t>PC em analise</t>
        </is>
      </c>
      <c r="X357" s="110" t="inlineStr">
        <is>
          <t>Pedido de Compra</t>
        </is>
      </c>
      <c r="Y357" s="111" t="inlineStr">
        <is>
          <t>Impacto Potencial</t>
        </is>
      </c>
      <c r="Z357" s="111" t="inlineStr">
        <is>
          <t>PC</t>
        </is>
      </c>
      <c r="AA357" s="111" t="inlineStr">
        <is>
          <t>Nao</t>
        </is>
      </c>
      <c r="AB357" s="111" t="inlineStr">
        <is>
          <t>NAO_COMPUTADO</t>
        </is>
      </c>
      <c r="AC357" s="112" t="inlineStr">
        <is>
          <t>Estrutura Fase 1: sem impacto no VTA oficial</t>
        </is>
      </c>
    </row>
    <row r="358" ht="25.5" customHeight="1" s="289">
      <c r="A358" s="205" t="n"/>
      <c r="B358" s="207" t="n"/>
      <c r="C358" s="104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348" t="n"/>
      <c r="E358" s="349">
        <f>IF(C358="","",IFERROR(VLOOKUP(C358,parametros!$A$11:$E$15,5,0),""))</f>
        <v/>
      </c>
      <c r="F358" s="335">
        <f>IF(OR(D358="",E358=""),"",ROUND(D358*E358,2))</f>
        <v/>
      </c>
      <c r="G358" s="106" t="n"/>
      <c r="H358" s="350">
        <f>IF(G358="Sim",IF(OR(F358="",D358="",L358=""),"",IF(L358="Sim",ROUND(F358-D358,2),0)),0)</f>
        <v/>
      </c>
      <c r="I358" s="350">
        <f>IF(G358="Sim",0,IF(OR(F358="",L358=""),"",F358))</f>
        <v/>
      </c>
      <c r="J358" s="350">
        <f>IF(G358="Sim",0,IF(OR(F358="",D358="",L358=""),"",IF(L358="Sim",ROUND(F358-D358,2),0)))</f>
        <v/>
      </c>
      <c r="K358" s="97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inlineStr">
        <is>
          <t>Nao</t>
        </is>
      </c>
      <c r="W358" s="110" t="inlineStr">
        <is>
          <t>PC em analise</t>
        </is>
      </c>
      <c r="X358" s="110" t="inlineStr">
        <is>
          <t>Pedido de Compra</t>
        </is>
      </c>
      <c r="Y358" s="111" t="inlineStr">
        <is>
          <t>Impacto Potencial</t>
        </is>
      </c>
      <c r="Z358" s="111" t="inlineStr">
        <is>
          <t>PC</t>
        </is>
      </c>
      <c r="AA358" s="111" t="inlineStr">
        <is>
          <t>Nao</t>
        </is>
      </c>
      <c r="AB358" s="111" t="inlineStr">
        <is>
          <t>NAO_COMPUTADO</t>
        </is>
      </c>
      <c r="AC358" s="112" t="inlineStr">
        <is>
          <t>Estrutura Fase 1: sem impacto no VTA oficial</t>
        </is>
      </c>
    </row>
    <row r="359" ht="25.5" customHeight="1" s="289">
      <c r="A359" s="205" t="n"/>
      <c r="B359" s="207" t="n"/>
      <c r="C359" s="104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348" t="n"/>
      <c r="E359" s="349">
        <f>IF(C359="","",IFERROR(VLOOKUP(C359,parametros!$A$11:$E$15,5,0),""))</f>
        <v/>
      </c>
      <c r="F359" s="335">
        <f>IF(OR(D359="",E359=""),"",ROUND(D359*E359,2))</f>
        <v/>
      </c>
      <c r="G359" s="106" t="n"/>
      <c r="H359" s="350">
        <f>IF(G359="Sim",IF(OR(F359="",D359="",L359=""),"",IF(L359="Sim",ROUND(F359-D359,2),0)),0)</f>
        <v/>
      </c>
      <c r="I359" s="350">
        <f>IF(G359="Sim",0,IF(OR(F359="",L359=""),"",F359))</f>
        <v/>
      </c>
      <c r="J359" s="350">
        <f>IF(G359="Sim",0,IF(OR(F359="",D359="",L359=""),"",IF(L359="Sim",ROUND(F359-D359,2),0)))</f>
        <v/>
      </c>
      <c r="K359" s="97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inlineStr">
        <is>
          <t>Nao</t>
        </is>
      </c>
      <c r="W359" s="110" t="inlineStr">
        <is>
          <t>PC em analise</t>
        </is>
      </c>
      <c r="X359" s="110" t="inlineStr">
        <is>
          <t>Pedido de Compra</t>
        </is>
      </c>
      <c r="Y359" s="111" t="inlineStr">
        <is>
          <t>Impacto Potencial</t>
        </is>
      </c>
      <c r="Z359" s="111" t="inlineStr">
        <is>
          <t>PC</t>
        </is>
      </c>
      <c r="AA359" s="111" t="inlineStr">
        <is>
          <t>Nao</t>
        </is>
      </c>
      <c r="AB359" s="111" t="inlineStr">
        <is>
          <t>NAO_COMPUTADO</t>
        </is>
      </c>
      <c r="AC359" s="112" t="inlineStr">
        <is>
          <t>Estrutura Fase 1: sem impacto no VTA oficial</t>
        </is>
      </c>
    </row>
    <row r="360" ht="25.5" customHeight="1" s="289">
      <c r="A360" s="205" t="n"/>
      <c r="B360" s="207" t="n"/>
      <c r="C360" s="104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348" t="n"/>
      <c r="E360" s="349">
        <f>IF(C360="","",IFERROR(VLOOKUP(C360,parametros!$A$11:$E$15,5,0),""))</f>
        <v/>
      </c>
      <c r="F360" s="335">
        <f>IF(OR(D360="",E360=""),"",ROUND(D360*E360,2))</f>
        <v/>
      </c>
      <c r="G360" s="106" t="n"/>
      <c r="H360" s="350">
        <f>IF(G360="Sim",IF(OR(F360="",D360="",L360=""),"",IF(L360="Sim",ROUND(F360-D360,2),0)),0)</f>
        <v/>
      </c>
      <c r="I360" s="350">
        <f>IF(G360="Sim",0,IF(OR(F360="",L360=""),"",F360))</f>
        <v/>
      </c>
      <c r="J360" s="350">
        <f>IF(G360="Sim",0,IF(OR(F360="",D360="",L360=""),"",IF(L360="Sim",ROUND(F360-D360,2),0)))</f>
        <v/>
      </c>
      <c r="K360" s="97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inlineStr">
        <is>
          <t>Nao</t>
        </is>
      </c>
      <c r="W360" s="110" t="inlineStr">
        <is>
          <t>PC em analise</t>
        </is>
      </c>
      <c r="X360" s="110" t="inlineStr">
        <is>
          <t>Pedido de Compra</t>
        </is>
      </c>
      <c r="Y360" s="111" t="inlineStr">
        <is>
          <t>Impacto Potencial</t>
        </is>
      </c>
      <c r="Z360" s="111" t="inlineStr">
        <is>
          <t>PC</t>
        </is>
      </c>
      <c r="AA360" s="111" t="inlineStr">
        <is>
          <t>Nao</t>
        </is>
      </c>
      <c r="AB360" s="111" t="inlineStr">
        <is>
          <t>NAO_COMPUTADO</t>
        </is>
      </c>
      <c r="AC360" s="112" t="inlineStr">
        <is>
          <t>Estrutura Fase 1: sem impacto no VTA oficial</t>
        </is>
      </c>
    </row>
    <row r="361" ht="25.5" customHeight="1" s="289">
      <c r="A361" s="205" t="n"/>
      <c r="B361" s="207" t="n"/>
      <c r="C361" s="104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348" t="n"/>
      <c r="E361" s="349">
        <f>IF(C361="","",IFERROR(VLOOKUP(C361,parametros!$A$11:$E$15,5,0),""))</f>
        <v/>
      </c>
      <c r="F361" s="335">
        <f>IF(OR(D361="",E361=""),"",ROUND(D361*E361,2))</f>
        <v/>
      </c>
      <c r="G361" s="106" t="n"/>
      <c r="H361" s="350">
        <f>IF(G361="Sim",IF(OR(F361="",D361="",L361=""),"",IF(L361="Sim",ROUND(F361-D361,2),0)),0)</f>
        <v/>
      </c>
      <c r="I361" s="350">
        <f>IF(G361="Sim",0,IF(OR(F361="",L361=""),"",F361))</f>
        <v/>
      </c>
      <c r="J361" s="350">
        <f>IF(G361="Sim",0,IF(OR(F361="",D361="",L361=""),"",IF(L361="Sim",ROUND(F361-D361,2),0)))</f>
        <v/>
      </c>
      <c r="K361" s="97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inlineStr">
        <is>
          <t>Nao</t>
        </is>
      </c>
      <c r="W361" s="110" t="inlineStr">
        <is>
          <t>PC em analise</t>
        </is>
      </c>
      <c r="X361" s="110" t="inlineStr">
        <is>
          <t>Pedido de Compra</t>
        </is>
      </c>
      <c r="Y361" s="111" t="inlineStr">
        <is>
          <t>Impacto Potencial</t>
        </is>
      </c>
      <c r="Z361" s="111" t="inlineStr">
        <is>
          <t>PC</t>
        </is>
      </c>
      <c r="AA361" s="111" t="inlineStr">
        <is>
          <t>Nao</t>
        </is>
      </c>
      <c r="AB361" s="111" t="inlineStr">
        <is>
          <t>NAO_COMPUTADO</t>
        </is>
      </c>
      <c r="AC361" s="112" t="inlineStr">
        <is>
          <t>Estrutura Fase 1: sem impacto no VTA oficial</t>
        </is>
      </c>
    </row>
    <row r="362" ht="25.5" customHeight="1" s="289">
      <c r="A362" s="205" t="n"/>
      <c r="B362" s="207" t="n"/>
      <c r="C362" s="104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348" t="n"/>
      <c r="E362" s="349">
        <f>IF(C362="","",IFERROR(VLOOKUP(C362,parametros!$A$11:$E$15,5,0),""))</f>
        <v/>
      </c>
      <c r="F362" s="335">
        <f>IF(OR(D362="",E362=""),"",ROUND(D362*E362,2))</f>
        <v/>
      </c>
      <c r="G362" s="106" t="n"/>
      <c r="H362" s="350">
        <f>IF(G362="Sim",IF(OR(F362="",D362="",L362=""),"",IF(L362="Sim",ROUND(F362-D362,2),0)),0)</f>
        <v/>
      </c>
      <c r="I362" s="350">
        <f>IF(G362="Sim",0,IF(OR(F362="",L362=""),"",F362))</f>
        <v/>
      </c>
      <c r="J362" s="350">
        <f>IF(G362="Sim",0,IF(OR(F362="",D362="",L362=""),"",IF(L362="Sim",ROUND(F362-D362,2),0)))</f>
        <v/>
      </c>
      <c r="K362" s="97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inlineStr">
        <is>
          <t>Nao</t>
        </is>
      </c>
      <c r="W362" s="110" t="inlineStr">
        <is>
          <t>PC em analise</t>
        </is>
      </c>
      <c r="X362" s="110" t="inlineStr">
        <is>
          <t>Pedido de Compra</t>
        </is>
      </c>
      <c r="Y362" s="111" t="inlineStr">
        <is>
          <t>Impacto Potencial</t>
        </is>
      </c>
      <c r="Z362" s="111" t="inlineStr">
        <is>
          <t>PC</t>
        </is>
      </c>
      <c r="AA362" s="111" t="inlineStr">
        <is>
          <t>Nao</t>
        </is>
      </c>
      <c r="AB362" s="111" t="inlineStr">
        <is>
          <t>NAO_COMPUTADO</t>
        </is>
      </c>
      <c r="AC362" s="112" t="inlineStr">
        <is>
          <t>Estrutura Fase 1: sem impacto no VTA oficial</t>
        </is>
      </c>
    </row>
    <row r="363" ht="25.5" customHeight="1" s="289">
      <c r="A363" s="205" t="n"/>
      <c r="B363" s="207" t="n"/>
      <c r="C363" s="104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348" t="n"/>
      <c r="E363" s="349">
        <f>IF(C363="","",IFERROR(VLOOKUP(C363,parametros!$A$11:$E$15,5,0),""))</f>
        <v/>
      </c>
      <c r="F363" s="335">
        <f>IF(OR(D363="",E363=""),"",ROUND(D363*E363,2))</f>
        <v/>
      </c>
      <c r="G363" s="106" t="n"/>
      <c r="H363" s="350">
        <f>IF(G363="Sim",IF(OR(F363="",D363="",L363=""),"",IF(L363="Sim",ROUND(F363-D363,2),0)),0)</f>
        <v/>
      </c>
      <c r="I363" s="350">
        <f>IF(G363="Sim",0,IF(OR(F363="",L363=""),"",F363))</f>
        <v/>
      </c>
      <c r="J363" s="350">
        <f>IF(G363="Sim",0,IF(OR(F363="",D363="",L363=""),"",IF(L363="Sim",ROUND(F363-D363,2),0)))</f>
        <v/>
      </c>
      <c r="K363" s="97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inlineStr">
        <is>
          <t>Nao</t>
        </is>
      </c>
      <c r="W363" s="110" t="inlineStr">
        <is>
          <t>PC em analise</t>
        </is>
      </c>
      <c r="X363" s="110" t="inlineStr">
        <is>
          <t>Pedido de Compra</t>
        </is>
      </c>
      <c r="Y363" s="111" t="inlineStr">
        <is>
          <t>Impacto Potencial</t>
        </is>
      </c>
      <c r="Z363" s="111" t="inlineStr">
        <is>
          <t>PC</t>
        </is>
      </c>
      <c r="AA363" s="111" t="inlineStr">
        <is>
          <t>Nao</t>
        </is>
      </c>
      <c r="AB363" s="111" t="inlineStr">
        <is>
          <t>NAO_COMPUTADO</t>
        </is>
      </c>
      <c r="AC363" s="112" t="inlineStr">
        <is>
          <t>Estrutura Fase 1: sem impacto no VTA oficial</t>
        </is>
      </c>
    </row>
    <row r="364" ht="25.5" customHeight="1" s="289">
      <c r="A364" s="205" t="n"/>
      <c r="B364" s="207" t="n"/>
      <c r="C364" s="104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348" t="n"/>
      <c r="E364" s="349">
        <f>IF(C364="","",IFERROR(VLOOKUP(C364,parametros!$A$11:$E$15,5,0),""))</f>
        <v/>
      </c>
      <c r="F364" s="335">
        <f>IF(OR(D364="",E364=""),"",ROUND(D364*E364,2))</f>
        <v/>
      </c>
      <c r="G364" s="106" t="n"/>
      <c r="H364" s="350">
        <f>IF(G364="Sim",IF(OR(F364="",D364="",L364=""),"",IF(L364="Sim",ROUND(F364-D364,2),0)),0)</f>
        <v/>
      </c>
      <c r="I364" s="350">
        <f>IF(G364="Sim",0,IF(OR(F364="",L364=""),"",F364))</f>
        <v/>
      </c>
      <c r="J364" s="350">
        <f>IF(G364="Sim",0,IF(OR(F364="",D364="",L364=""),"",IF(L364="Sim",ROUND(F364-D364,2),0)))</f>
        <v/>
      </c>
      <c r="K364" s="97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inlineStr">
        <is>
          <t>Nao</t>
        </is>
      </c>
      <c r="W364" s="110" t="inlineStr">
        <is>
          <t>PC em analise</t>
        </is>
      </c>
      <c r="X364" s="110" t="inlineStr">
        <is>
          <t>Pedido de Compra</t>
        </is>
      </c>
      <c r="Y364" s="111" t="inlineStr">
        <is>
          <t>Impacto Potencial</t>
        </is>
      </c>
      <c r="Z364" s="111" t="inlineStr">
        <is>
          <t>PC</t>
        </is>
      </c>
      <c r="AA364" s="111" t="inlineStr">
        <is>
          <t>Nao</t>
        </is>
      </c>
      <c r="AB364" s="111" t="inlineStr">
        <is>
          <t>NAO_COMPUTADO</t>
        </is>
      </c>
      <c r="AC364" s="112" t="inlineStr">
        <is>
          <t>Estrutura Fase 1: sem impacto no VTA oficial</t>
        </is>
      </c>
    </row>
    <row r="365" ht="25.5" customHeight="1" s="289">
      <c r="A365" s="205" t="n"/>
      <c r="B365" s="207" t="n"/>
      <c r="C365" s="104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348" t="n"/>
      <c r="E365" s="349">
        <f>IF(C365="","",IFERROR(VLOOKUP(C365,parametros!$A$11:$E$15,5,0),""))</f>
        <v/>
      </c>
      <c r="F365" s="335">
        <f>IF(OR(D365="",E365=""),"",ROUND(D365*E365,2))</f>
        <v/>
      </c>
      <c r="G365" s="106" t="n"/>
      <c r="H365" s="350">
        <f>IF(G365="Sim",IF(OR(F365="",D365="",L365=""),"",IF(L365="Sim",ROUND(F365-D365,2),0)),0)</f>
        <v/>
      </c>
      <c r="I365" s="350">
        <f>IF(G365="Sim",0,IF(OR(F365="",L365=""),"",F365))</f>
        <v/>
      </c>
      <c r="J365" s="350">
        <f>IF(G365="Sim",0,IF(OR(F365="",D365="",L365=""),"",IF(L365="Sim",ROUND(F365-D365,2),0)))</f>
        <v/>
      </c>
      <c r="K365" s="97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inlineStr">
        <is>
          <t>Nao</t>
        </is>
      </c>
      <c r="W365" s="110" t="inlineStr">
        <is>
          <t>PC em analise</t>
        </is>
      </c>
      <c r="X365" s="110" t="inlineStr">
        <is>
          <t>Pedido de Compra</t>
        </is>
      </c>
      <c r="Y365" s="111" t="inlineStr">
        <is>
          <t>Impacto Potencial</t>
        </is>
      </c>
      <c r="Z365" s="111" t="inlineStr">
        <is>
          <t>PC</t>
        </is>
      </c>
      <c r="AA365" s="111" t="inlineStr">
        <is>
          <t>Nao</t>
        </is>
      </c>
      <c r="AB365" s="111" t="inlineStr">
        <is>
          <t>NAO_COMPUTADO</t>
        </is>
      </c>
      <c r="AC365" s="112" t="inlineStr">
        <is>
          <t>Estrutura Fase 1: sem impacto no VTA oficial</t>
        </is>
      </c>
    </row>
    <row r="366" ht="25.5" customHeight="1" s="289">
      <c r="A366" s="205" t="n"/>
      <c r="B366" s="207" t="n"/>
      <c r="C366" s="104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348" t="n"/>
      <c r="E366" s="349">
        <f>IF(C366="","",IFERROR(VLOOKUP(C366,parametros!$A$11:$E$15,5,0),""))</f>
        <v/>
      </c>
      <c r="F366" s="335">
        <f>IF(OR(D366="",E366=""),"",ROUND(D366*E366,2))</f>
        <v/>
      </c>
      <c r="G366" s="106" t="n"/>
      <c r="H366" s="350">
        <f>IF(G366="Sim",IF(OR(F366="",D366="",L366=""),"",IF(L366="Sim",ROUND(F366-D366,2),0)),0)</f>
        <v/>
      </c>
      <c r="I366" s="350">
        <f>IF(G366="Sim",0,IF(OR(F366="",L366=""),"",F366))</f>
        <v/>
      </c>
      <c r="J366" s="350">
        <f>IF(G366="Sim",0,IF(OR(F366="",D366="",L366=""),"",IF(L366="Sim",ROUND(F366-D366,2),0)))</f>
        <v/>
      </c>
      <c r="K366" s="97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inlineStr">
        <is>
          <t>Nao</t>
        </is>
      </c>
      <c r="W366" s="110" t="inlineStr">
        <is>
          <t>PC em analise</t>
        </is>
      </c>
      <c r="X366" s="110" t="inlineStr">
        <is>
          <t>Pedido de Compra</t>
        </is>
      </c>
      <c r="Y366" s="111" t="inlineStr">
        <is>
          <t>Impacto Potencial</t>
        </is>
      </c>
      <c r="Z366" s="111" t="inlineStr">
        <is>
          <t>PC</t>
        </is>
      </c>
      <c r="AA366" s="111" t="inlineStr">
        <is>
          <t>Nao</t>
        </is>
      </c>
      <c r="AB366" s="111" t="inlineStr">
        <is>
          <t>NAO_COMPUTADO</t>
        </is>
      </c>
      <c r="AC366" s="112" t="inlineStr">
        <is>
          <t>Estrutura Fase 1: sem impacto no VTA oficial</t>
        </is>
      </c>
    </row>
    <row r="367" ht="25.5" customHeight="1" s="289">
      <c r="A367" s="205" t="n"/>
      <c r="B367" s="207" t="n"/>
      <c r="C367" s="104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348" t="n"/>
      <c r="E367" s="349">
        <f>IF(C367="","",IFERROR(VLOOKUP(C367,parametros!$A$11:$E$15,5,0),""))</f>
        <v/>
      </c>
      <c r="F367" s="335">
        <f>IF(OR(D367="",E367=""),"",ROUND(D367*E367,2))</f>
        <v/>
      </c>
      <c r="G367" s="106" t="n"/>
      <c r="H367" s="350">
        <f>IF(G367="Sim",IF(OR(F367="",D367="",L367=""),"",IF(L367="Sim",ROUND(F367-D367,2),0)),0)</f>
        <v/>
      </c>
      <c r="I367" s="350">
        <f>IF(G367="Sim",0,IF(OR(F367="",L367=""),"",F367))</f>
        <v/>
      </c>
      <c r="J367" s="350">
        <f>IF(G367="Sim",0,IF(OR(F367="",D367="",L367=""),"",IF(L367="Sim",ROUND(F367-D367,2),0)))</f>
        <v/>
      </c>
      <c r="K367" s="97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inlineStr">
        <is>
          <t>Nao</t>
        </is>
      </c>
      <c r="W367" s="110" t="inlineStr">
        <is>
          <t>PC em analise</t>
        </is>
      </c>
      <c r="X367" s="110" t="inlineStr">
        <is>
          <t>Pedido de Compra</t>
        </is>
      </c>
      <c r="Y367" s="111" t="inlineStr">
        <is>
          <t>Impacto Potencial</t>
        </is>
      </c>
      <c r="Z367" s="111" t="inlineStr">
        <is>
          <t>PC</t>
        </is>
      </c>
      <c r="AA367" s="111" t="inlineStr">
        <is>
          <t>Nao</t>
        </is>
      </c>
      <c r="AB367" s="111" t="inlineStr">
        <is>
          <t>NAO_COMPUTADO</t>
        </is>
      </c>
      <c r="AC367" s="112" t="inlineStr">
        <is>
          <t>Estrutura Fase 1: sem impacto no VTA oficial</t>
        </is>
      </c>
    </row>
    <row r="368" ht="25.5" customHeight="1" s="289">
      <c r="A368" s="205" t="n"/>
      <c r="B368" s="207" t="n"/>
      <c r="C368" s="104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348" t="n"/>
      <c r="E368" s="349">
        <f>IF(C368="","",IFERROR(VLOOKUP(C368,parametros!$A$11:$E$15,5,0),""))</f>
        <v/>
      </c>
      <c r="F368" s="335">
        <f>IF(OR(D368="",E368=""),"",ROUND(D368*E368,2))</f>
        <v/>
      </c>
      <c r="G368" s="106" t="n"/>
      <c r="H368" s="350">
        <f>IF(G368="Sim",IF(OR(F368="",D368="",L368=""),"",IF(L368="Sim",ROUND(F368-D368,2),0)),0)</f>
        <v/>
      </c>
      <c r="I368" s="350">
        <f>IF(G368="Sim",0,IF(OR(F368="",L368=""),"",F368))</f>
        <v/>
      </c>
      <c r="J368" s="350">
        <f>IF(G368="Sim",0,IF(OR(F368="",D368="",L368=""),"",IF(L368="Sim",ROUND(F368-D368,2),0)))</f>
        <v/>
      </c>
      <c r="K368" s="97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inlineStr">
        <is>
          <t>Nao</t>
        </is>
      </c>
      <c r="W368" s="110" t="inlineStr">
        <is>
          <t>PC em analise</t>
        </is>
      </c>
      <c r="X368" s="110" t="inlineStr">
        <is>
          <t>Pedido de Compra</t>
        </is>
      </c>
      <c r="Y368" s="111" t="inlineStr">
        <is>
          <t>Impacto Potencial</t>
        </is>
      </c>
      <c r="Z368" s="111" t="inlineStr">
        <is>
          <t>PC</t>
        </is>
      </c>
      <c r="AA368" s="111" t="inlineStr">
        <is>
          <t>Nao</t>
        </is>
      </c>
      <c r="AB368" s="111" t="inlineStr">
        <is>
          <t>NAO_COMPUTADO</t>
        </is>
      </c>
      <c r="AC368" s="112" t="inlineStr">
        <is>
          <t>Estrutura Fase 1: sem impacto no VTA oficial</t>
        </is>
      </c>
    </row>
    <row r="369" ht="25.5" customHeight="1" s="289">
      <c r="A369" s="205" t="n"/>
      <c r="B369" s="207" t="n"/>
      <c r="C369" s="104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348" t="n"/>
      <c r="E369" s="349">
        <f>IF(C369="","",IFERROR(VLOOKUP(C369,parametros!$A$11:$E$15,5,0),""))</f>
        <v/>
      </c>
      <c r="F369" s="335">
        <f>IF(OR(D369="",E369=""),"",ROUND(D369*E369,2))</f>
        <v/>
      </c>
      <c r="G369" s="106" t="n"/>
      <c r="H369" s="350">
        <f>IF(G369="Sim",IF(OR(F369="",D369="",L369=""),"",IF(L369="Sim",ROUND(F369-D369,2),0)),0)</f>
        <v/>
      </c>
      <c r="I369" s="350">
        <f>IF(G369="Sim",0,IF(OR(F369="",L369=""),"",F369))</f>
        <v/>
      </c>
      <c r="J369" s="350">
        <f>IF(G369="Sim",0,IF(OR(F369="",D369="",L369=""),"",IF(L369="Sim",ROUND(F369-D369,2),0)))</f>
        <v/>
      </c>
      <c r="K369" s="97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inlineStr">
        <is>
          <t>Nao</t>
        </is>
      </c>
      <c r="W369" s="110" t="inlineStr">
        <is>
          <t>PC em analise</t>
        </is>
      </c>
      <c r="X369" s="110" t="inlineStr">
        <is>
          <t>Pedido de Compra</t>
        </is>
      </c>
      <c r="Y369" s="111" t="inlineStr">
        <is>
          <t>Impacto Potencial</t>
        </is>
      </c>
      <c r="Z369" s="111" t="inlineStr">
        <is>
          <t>PC</t>
        </is>
      </c>
      <c r="AA369" s="111" t="inlineStr">
        <is>
          <t>Nao</t>
        </is>
      </c>
      <c r="AB369" s="111" t="inlineStr">
        <is>
          <t>NAO_COMPUTADO</t>
        </is>
      </c>
      <c r="AC369" s="112" t="inlineStr">
        <is>
          <t>Estrutura Fase 1: sem impacto no VTA oficial</t>
        </is>
      </c>
    </row>
    <row r="370" ht="25.5" customHeight="1" s="289">
      <c r="A370" s="205" t="n"/>
      <c r="B370" s="207" t="n"/>
      <c r="C370" s="104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348" t="n"/>
      <c r="E370" s="349">
        <f>IF(C370="","",IFERROR(VLOOKUP(C370,parametros!$A$11:$E$15,5,0),""))</f>
        <v/>
      </c>
      <c r="F370" s="335">
        <f>IF(OR(D370="",E370=""),"",ROUND(D370*E370,2))</f>
        <v/>
      </c>
      <c r="G370" s="106" t="n"/>
      <c r="H370" s="350">
        <f>IF(G370="Sim",IF(OR(F370="",D370="",L370=""),"",IF(L370="Sim",ROUND(F370-D370,2),0)),0)</f>
        <v/>
      </c>
      <c r="I370" s="350">
        <f>IF(G370="Sim",0,IF(OR(F370="",L370=""),"",F370))</f>
        <v/>
      </c>
      <c r="J370" s="350">
        <f>IF(G370="Sim",0,IF(OR(F370="",D370="",L370=""),"",IF(L370="Sim",ROUND(F370-D370,2),0)))</f>
        <v/>
      </c>
      <c r="K370" s="97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inlineStr">
        <is>
          <t>Nao</t>
        </is>
      </c>
      <c r="W370" s="110" t="inlineStr">
        <is>
          <t>PC em analise</t>
        </is>
      </c>
      <c r="X370" s="110" t="inlineStr">
        <is>
          <t>Pedido de Compra</t>
        </is>
      </c>
      <c r="Y370" s="111" t="inlineStr">
        <is>
          <t>Impacto Potencial</t>
        </is>
      </c>
      <c r="Z370" s="111" t="inlineStr">
        <is>
          <t>PC</t>
        </is>
      </c>
      <c r="AA370" s="111" t="inlineStr">
        <is>
          <t>Nao</t>
        </is>
      </c>
      <c r="AB370" s="111" t="inlineStr">
        <is>
          <t>NAO_COMPUTADO</t>
        </is>
      </c>
      <c r="AC370" s="112" t="inlineStr">
        <is>
          <t>Estrutura Fase 1: sem impacto no VTA oficial</t>
        </is>
      </c>
    </row>
    <row r="371" ht="25.5" customHeight="1" s="289">
      <c r="A371" s="205" t="n"/>
      <c r="B371" s="207" t="n"/>
      <c r="C371" s="104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348" t="n"/>
      <c r="E371" s="349">
        <f>IF(C371="","",IFERROR(VLOOKUP(C371,parametros!$A$11:$E$15,5,0),""))</f>
        <v/>
      </c>
      <c r="F371" s="335">
        <f>IF(OR(D371="",E371=""),"",ROUND(D371*E371,2))</f>
        <v/>
      </c>
      <c r="G371" s="106" t="n"/>
      <c r="H371" s="350">
        <f>IF(G371="Sim",IF(OR(F371="",D371="",L371=""),"",IF(L371="Sim",ROUND(F371-D371,2),0)),0)</f>
        <v/>
      </c>
      <c r="I371" s="350">
        <f>IF(G371="Sim",0,IF(OR(F371="",L371=""),"",F371))</f>
        <v/>
      </c>
      <c r="J371" s="350">
        <f>IF(G371="Sim",0,IF(OR(F371="",D371="",L371=""),"",IF(L371="Sim",ROUND(F371-D371,2),0)))</f>
        <v/>
      </c>
      <c r="K371" s="97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inlineStr">
        <is>
          <t>Nao</t>
        </is>
      </c>
      <c r="W371" s="110" t="inlineStr">
        <is>
          <t>PC em analise</t>
        </is>
      </c>
      <c r="X371" s="110" t="inlineStr">
        <is>
          <t>Pedido de Compra</t>
        </is>
      </c>
      <c r="Y371" s="111" t="inlineStr">
        <is>
          <t>Impacto Potencial</t>
        </is>
      </c>
      <c r="Z371" s="111" t="inlineStr">
        <is>
          <t>PC</t>
        </is>
      </c>
      <c r="AA371" s="111" t="inlineStr">
        <is>
          <t>Nao</t>
        </is>
      </c>
      <c r="AB371" s="111" t="inlineStr">
        <is>
          <t>NAO_COMPUTADO</t>
        </is>
      </c>
      <c r="AC371" s="112" t="inlineStr">
        <is>
          <t>Estrutura Fase 1: sem impacto no VTA oficial</t>
        </is>
      </c>
    </row>
    <row r="372" ht="25.5" customHeight="1" s="289">
      <c r="A372" s="205" t="n"/>
      <c r="B372" s="207" t="n"/>
      <c r="C372" s="104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348" t="n"/>
      <c r="E372" s="349">
        <f>IF(C372="","",IFERROR(VLOOKUP(C372,parametros!$A$11:$E$15,5,0),""))</f>
        <v/>
      </c>
      <c r="F372" s="335">
        <f>IF(OR(D372="",E372=""),"",ROUND(D372*E372,2))</f>
        <v/>
      </c>
      <c r="G372" s="106" t="n"/>
      <c r="H372" s="350">
        <f>IF(G372="Sim",IF(OR(F372="",D372="",L372=""),"",IF(L372="Sim",ROUND(F372-D372,2),0)),0)</f>
        <v/>
      </c>
      <c r="I372" s="350">
        <f>IF(G372="Sim",0,IF(OR(F372="",L372=""),"",F372))</f>
        <v/>
      </c>
      <c r="J372" s="350">
        <f>IF(G372="Sim",0,IF(OR(F372="",D372="",L372=""),"",IF(L372="Sim",ROUND(F372-D372,2),0)))</f>
        <v/>
      </c>
      <c r="K372" s="97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inlineStr">
        <is>
          <t>Nao</t>
        </is>
      </c>
      <c r="W372" s="110" t="inlineStr">
        <is>
          <t>PC em analise</t>
        </is>
      </c>
      <c r="X372" s="110" t="inlineStr">
        <is>
          <t>Pedido de Compra</t>
        </is>
      </c>
      <c r="Y372" s="111" t="inlineStr">
        <is>
          <t>Impacto Potencial</t>
        </is>
      </c>
      <c r="Z372" s="111" t="inlineStr">
        <is>
          <t>PC</t>
        </is>
      </c>
      <c r="AA372" s="111" t="inlineStr">
        <is>
          <t>Nao</t>
        </is>
      </c>
      <c r="AB372" s="111" t="inlineStr">
        <is>
          <t>NAO_COMPUTADO</t>
        </is>
      </c>
      <c r="AC372" s="112" t="inlineStr">
        <is>
          <t>Estrutura Fase 1: sem impacto no VTA oficial</t>
        </is>
      </c>
    </row>
    <row r="373" ht="25.5" customHeight="1" s="289">
      <c r="A373" s="205" t="n"/>
      <c r="B373" s="207" t="n"/>
      <c r="C373" s="104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348" t="n"/>
      <c r="E373" s="349">
        <f>IF(C373="","",IFERROR(VLOOKUP(C373,parametros!$A$11:$E$15,5,0),""))</f>
        <v/>
      </c>
      <c r="F373" s="335">
        <f>IF(OR(D373="",E373=""),"",ROUND(D373*E373,2))</f>
        <v/>
      </c>
      <c r="G373" s="106" t="n"/>
      <c r="H373" s="350">
        <f>IF(G373="Sim",IF(OR(F373="",D373="",L373=""),"",IF(L373="Sim",ROUND(F373-D373,2),0)),0)</f>
        <v/>
      </c>
      <c r="I373" s="350">
        <f>IF(G373="Sim",0,IF(OR(F373="",L373=""),"",F373))</f>
        <v/>
      </c>
      <c r="J373" s="350">
        <f>IF(G373="Sim",0,IF(OR(F373="",D373="",L373=""),"",IF(L373="Sim",ROUND(F373-D373,2),0)))</f>
        <v/>
      </c>
      <c r="K373" s="97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inlineStr">
        <is>
          <t>Nao</t>
        </is>
      </c>
      <c r="W373" s="110" t="inlineStr">
        <is>
          <t>PC em analise</t>
        </is>
      </c>
      <c r="X373" s="110" t="inlineStr">
        <is>
          <t>Pedido de Compra</t>
        </is>
      </c>
      <c r="Y373" s="111" t="inlineStr">
        <is>
          <t>Impacto Potencial</t>
        </is>
      </c>
      <c r="Z373" s="111" t="inlineStr">
        <is>
          <t>PC</t>
        </is>
      </c>
      <c r="AA373" s="111" t="inlineStr">
        <is>
          <t>Nao</t>
        </is>
      </c>
      <c r="AB373" s="111" t="inlineStr">
        <is>
          <t>NAO_COMPUTADO</t>
        </is>
      </c>
      <c r="AC373" s="112" t="inlineStr">
        <is>
          <t>Estrutura Fase 1: sem impacto no VTA oficial</t>
        </is>
      </c>
    </row>
    <row r="374" ht="25.5" customHeight="1" s="289">
      <c r="A374" s="205" t="n"/>
      <c r="B374" s="207" t="n"/>
      <c r="C374" s="104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348" t="n"/>
      <c r="E374" s="349">
        <f>IF(C374="","",IFERROR(VLOOKUP(C374,parametros!$A$11:$E$15,5,0),""))</f>
        <v/>
      </c>
      <c r="F374" s="335">
        <f>IF(OR(D374="",E374=""),"",ROUND(D374*E374,2))</f>
        <v/>
      </c>
      <c r="G374" s="106" t="n"/>
      <c r="H374" s="350">
        <f>IF(G374="Sim",IF(OR(F374="",D374="",L374=""),"",IF(L374="Sim",ROUND(F374-D374,2),0)),0)</f>
        <v/>
      </c>
      <c r="I374" s="350">
        <f>IF(G374="Sim",0,IF(OR(F374="",L374=""),"",F374))</f>
        <v/>
      </c>
      <c r="J374" s="350">
        <f>IF(G374="Sim",0,IF(OR(F374="",D374="",L374=""),"",IF(L374="Sim",ROUND(F374-D374,2),0)))</f>
        <v/>
      </c>
      <c r="K374" s="97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inlineStr">
        <is>
          <t>Nao</t>
        </is>
      </c>
      <c r="W374" s="110" t="inlineStr">
        <is>
          <t>PC em analise</t>
        </is>
      </c>
      <c r="X374" s="110" t="inlineStr">
        <is>
          <t>Pedido de Compra</t>
        </is>
      </c>
      <c r="Y374" s="111" t="inlineStr">
        <is>
          <t>Impacto Potencial</t>
        </is>
      </c>
      <c r="Z374" s="111" t="inlineStr">
        <is>
          <t>PC</t>
        </is>
      </c>
      <c r="AA374" s="111" t="inlineStr">
        <is>
          <t>Nao</t>
        </is>
      </c>
      <c r="AB374" s="111" t="inlineStr">
        <is>
          <t>NAO_COMPUTADO</t>
        </is>
      </c>
      <c r="AC374" s="112" t="inlineStr">
        <is>
          <t>Estrutura Fase 1: sem impacto no VTA oficial</t>
        </is>
      </c>
    </row>
    <row r="375" ht="25.5" customHeight="1" s="289">
      <c r="A375" s="205" t="n"/>
      <c r="B375" s="207" t="n"/>
      <c r="C375" s="104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348" t="n"/>
      <c r="E375" s="349">
        <f>IF(C375="","",IFERROR(VLOOKUP(C375,parametros!$A$11:$E$15,5,0),""))</f>
        <v/>
      </c>
      <c r="F375" s="335">
        <f>IF(OR(D375="",E375=""),"",ROUND(D375*E375,2))</f>
        <v/>
      </c>
      <c r="G375" s="106" t="n"/>
      <c r="H375" s="350">
        <f>IF(G375="Sim",IF(OR(F375="",D375="",L375=""),"",IF(L375="Sim",ROUND(F375-D375,2),0)),0)</f>
        <v/>
      </c>
      <c r="I375" s="350">
        <f>IF(G375="Sim",0,IF(OR(F375="",L375=""),"",F375))</f>
        <v/>
      </c>
      <c r="J375" s="350">
        <f>IF(G375="Sim",0,IF(OR(F375="",D375="",L375=""),"",IF(L375="Sim",ROUND(F375-D375,2),0)))</f>
        <v/>
      </c>
      <c r="K375" s="97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inlineStr">
        <is>
          <t>Nao</t>
        </is>
      </c>
      <c r="W375" s="110" t="inlineStr">
        <is>
          <t>PC em analise</t>
        </is>
      </c>
      <c r="X375" s="110" t="inlineStr">
        <is>
          <t>Pedido de Compra</t>
        </is>
      </c>
      <c r="Y375" s="111" t="inlineStr">
        <is>
          <t>Impacto Potencial</t>
        </is>
      </c>
      <c r="Z375" s="111" t="inlineStr">
        <is>
          <t>PC</t>
        </is>
      </c>
      <c r="AA375" s="111" t="inlineStr">
        <is>
          <t>Nao</t>
        </is>
      </c>
      <c r="AB375" s="111" t="inlineStr">
        <is>
          <t>NAO_COMPUTADO</t>
        </is>
      </c>
      <c r="AC375" s="112" t="inlineStr">
        <is>
          <t>Estrutura Fase 1: sem impacto no VTA oficial</t>
        </is>
      </c>
    </row>
    <row r="376" ht="25.5" customHeight="1" s="289">
      <c r="A376" s="205" t="n"/>
      <c r="B376" s="207" t="n"/>
      <c r="C376" s="104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348" t="n"/>
      <c r="E376" s="349">
        <f>IF(C376="","",IFERROR(VLOOKUP(C376,parametros!$A$11:$E$15,5,0),""))</f>
        <v/>
      </c>
      <c r="F376" s="335">
        <f>IF(OR(D376="",E376=""),"",ROUND(D376*E376,2))</f>
        <v/>
      </c>
      <c r="G376" s="106" t="n"/>
      <c r="H376" s="350">
        <f>IF(G376="Sim",IF(OR(F376="",D376="",L376=""),"",IF(L376="Sim",ROUND(F376-D376,2),0)),0)</f>
        <v/>
      </c>
      <c r="I376" s="350">
        <f>IF(G376="Sim",0,IF(OR(F376="",L376=""),"",F376))</f>
        <v/>
      </c>
      <c r="J376" s="350">
        <f>IF(G376="Sim",0,IF(OR(F376="",D376="",L376=""),"",IF(L376="Sim",ROUND(F376-D376,2),0)))</f>
        <v/>
      </c>
      <c r="K376" s="97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inlineStr">
        <is>
          <t>Nao</t>
        </is>
      </c>
      <c r="W376" s="110" t="inlineStr">
        <is>
          <t>PC em analise</t>
        </is>
      </c>
      <c r="X376" s="110" t="inlineStr">
        <is>
          <t>Pedido de Compra</t>
        </is>
      </c>
      <c r="Y376" s="111" t="inlineStr">
        <is>
          <t>Impacto Potencial</t>
        </is>
      </c>
      <c r="Z376" s="111" t="inlineStr">
        <is>
          <t>PC</t>
        </is>
      </c>
      <c r="AA376" s="111" t="inlineStr">
        <is>
          <t>Nao</t>
        </is>
      </c>
      <c r="AB376" s="111" t="inlineStr">
        <is>
          <t>NAO_COMPUTADO</t>
        </is>
      </c>
      <c r="AC376" s="112" t="inlineStr">
        <is>
          <t>Estrutura Fase 1: sem impacto no VTA oficial</t>
        </is>
      </c>
    </row>
    <row r="377" ht="25.5" customHeight="1" s="289">
      <c r="A377" s="205" t="n"/>
      <c r="B377" s="207" t="n"/>
      <c r="C377" s="104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348" t="n"/>
      <c r="E377" s="349">
        <f>IF(C377="","",IFERROR(VLOOKUP(C377,parametros!$A$11:$E$15,5,0),""))</f>
        <v/>
      </c>
      <c r="F377" s="335">
        <f>IF(OR(D377="",E377=""),"",ROUND(D377*E377,2))</f>
        <v/>
      </c>
      <c r="G377" s="106" t="n"/>
      <c r="H377" s="350">
        <f>IF(G377="Sim",IF(OR(F377="",D377="",L377=""),"",IF(L377="Sim",ROUND(F377-D377,2),0)),0)</f>
        <v/>
      </c>
      <c r="I377" s="350">
        <f>IF(G377="Sim",0,IF(OR(F377="",L377=""),"",F377))</f>
        <v/>
      </c>
      <c r="J377" s="350">
        <f>IF(G377="Sim",0,IF(OR(F377="",D377="",L377=""),"",IF(L377="Sim",ROUND(F377-D377,2),0)))</f>
        <v/>
      </c>
      <c r="K377" s="97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inlineStr">
        <is>
          <t>Nao</t>
        </is>
      </c>
      <c r="W377" s="110" t="inlineStr">
        <is>
          <t>PC em analise</t>
        </is>
      </c>
      <c r="X377" s="110" t="inlineStr">
        <is>
          <t>Pedido de Compra</t>
        </is>
      </c>
      <c r="Y377" s="111" t="inlineStr">
        <is>
          <t>Impacto Potencial</t>
        </is>
      </c>
      <c r="Z377" s="111" t="inlineStr">
        <is>
          <t>PC</t>
        </is>
      </c>
      <c r="AA377" s="111" t="inlineStr">
        <is>
          <t>Nao</t>
        </is>
      </c>
      <c r="AB377" s="111" t="inlineStr">
        <is>
          <t>NAO_COMPUTADO</t>
        </is>
      </c>
      <c r="AC377" s="112" t="inlineStr">
        <is>
          <t>Estrutura Fase 1: sem impacto no VTA oficial</t>
        </is>
      </c>
    </row>
    <row r="378" ht="25.5" customHeight="1" s="289">
      <c r="A378" s="205" t="n"/>
      <c r="B378" s="207" t="n"/>
      <c r="C378" s="104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348" t="n"/>
      <c r="E378" s="349">
        <f>IF(C378="","",IFERROR(VLOOKUP(C378,parametros!$A$11:$E$15,5,0),""))</f>
        <v/>
      </c>
      <c r="F378" s="335">
        <f>IF(OR(D378="",E378=""),"",ROUND(D378*E378,2))</f>
        <v/>
      </c>
      <c r="G378" s="106" t="n"/>
      <c r="H378" s="350">
        <f>IF(G378="Sim",IF(OR(F378="",D378="",L378=""),"",IF(L378="Sim",ROUND(F378-D378,2),0)),0)</f>
        <v/>
      </c>
      <c r="I378" s="350">
        <f>IF(G378="Sim",0,IF(OR(F378="",L378=""),"",F378))</f>
        <v/>
      </c>
      <c r="J378" s="350">
        <f>IF(G378="Sim",0,IF(OR(F378="",D378="",L378=""),"",IF(L378="Sim",ROUND(F378-D378,2),0)))</f>
        <v/>
      </c>
      <c r="K378" s="97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inlineStr">
        <is>
          <t>Nao</t>
        </is>
      </c>
      <c r="W378" s="110" t="inlineStr">
        <is>
          <t>PC em analise</t>
        </is>
      </c>
      <c r="X378" s="110" t="inlineStr">
        <is>
          <t>Pedido de Compra</t>
        </is>
      </c>
      <c r="Y378" s="111" t="inlineStr">
        <is>
          <t>Impacto Potencial</t>
        </is>
      </c>
      <c r="Z378" s="111" t="inlineStr">
        <is>
          <t>PC</t>
        </is>
      </c>
      <c r="AA378" s="111" t="inlineStr">
        <is>
          <t>Nao</t>
        </is>
      </c>
      <c r="AB378" s="111" t="inlineStr">
        <is>
          <t>NAO_COMPUTADO</t>
        </is>
      </c>
      <c r="AC378" s="112" t="inlineStr">
        <is>
          <t>Estrutura Fase 1: sem impacto no VTA oficial</t>
        </is>
      </c>
    </row>
    <row r="379" ht="25.5" customHeight="1" s="289">
      <c r="A379" s="205" t="n"/>
      <c r="B379" s="207" t="n"/>
      <c r="C379" s="104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348" t="n"/>
      <c r="E379" s="349">
        <f>IF(C379="","",IFERROR(VLOOKUP(C379,parametros!$A$11:$E$15,5,0),""))</f>
        <v/>
      </c>
      <c r="F379" s="335">
        <f>IF(OR(D379="",E379=""),"",ROUND(D379*E379,2))</f>
        <v/>
      </c>
      <c r="G379" s="106" t="n"/>
      <c r="H379" s="350">
        <f>IF(G379="Sim",IF(OR(F379="",D379="",L379=""),"",IF(L379="Sim",ROUND(F379-D379,2),0)),0)</f>
        <v/>
      </c>
      <c r="I379" s="350">
        <f>IF(G379="Sim",0,IF(OR(F379="",L379=""),"",F379))</f>
        <v/>
      </c>
      <c r="J379" s="350">
        <f>IF(G379="Sim",0,IF(OR(F379="",D379="",L379=""),"",IF(L379="Sim",ROUND(F379-D379,2),0)))</f>
        <v/>
      </c>
      <c r="K379" s="97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inlineStr">
        <is>
          <t>Nao</t>
        </is>
      </c>
      <c r="W379" s="110" t="inlineStr">
        <is>
          <t>PC em analise</t>
        </is>
      </c>
      <c r="X379" s="110" t="inlineStr">
        <is>
          <t>Pedido de Compra</t>
        </is>
      </c>
      <c r="Y379" s="111" t="inlineStr">
        <is>
          <t>Impacto Potencial</t>
        </is>
      </c>
      <c r="Z379" s="111" t="inlineStr">
        <is>
          <t>PC</t>
        </is>
      </c>
      <c r="AA379" s="111" t="inlineStr">
        <is>
          <t>Nao</t>
        </is>
      </c>
      <c r="AB379" s="111" t="inlineStr">
        <is>
          <t>NAO_COMPUTADO</t>
        </is>
      </c>
      <c r="AC379" s="112" t="inlineStr">
        <is>
          <t>Estrutura Fase 1: sem impacto no VTA oficial</t>
        </is>
      </c>
    </row>
    <row r="380" ht="25.5" customHeight="1" s="289">
      <c r="A380" s="205" t="n"/>
      <c r="B380" s="207" t="n"/>
      <c r="C380" s="104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348" t="n"/>
      <c r="E380" s="349">
        <f>IF(C380="","",IFERROR(VLOOKUP(C380,parametros!$A$11:$E$15,5,0),""))</f>
        <v/>
      </c>
      <c r="F380" s="335">
        <f>IF(OR(D380="",E380=""),"",ROUND(D380*E380,2))</f>
        <v/>
      </c>
      <c r="G380" s="106" t="n"/>
      <c r="H380" s="350">
        <f>IF(G380="Sim",IF(OR(F380="",D380="",L380=""),"",IF(L380="Sim",ROUND(F380-D380,2),0)),0)</f>
        <v/>
      </c>
      <c r="I380" s="350">
        <f>IF(G380="Sim",0,IF(OR(F380="",L380=""),"",F380))</f>
        <v/>
      </c>
      <c r="J380" s="350">
        <f>IF(G380="Sim",0,IF(OR(F380="",D380="",L380=""),"",IF(L380="Sim",ROUND(F380-D380,2),0)))</f>
        <v/>
      </c>
      <c r="K380" s="97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inlineStr">
        <is>
          <t>Nao</t>
        </is>
      </c>
      <c r="W380" s="110" t="inlineStr">
        <is>
          <t>PC em analise</t>
        </is>
      </c>
      <c r="X380" s="110" t="inlineStr">
        <is>
          <t>Pedido de Compra</t>
        </is>
      </c>
      <c r="Y380" s="111" t="inlineStr">
        <is>
          <t>Impacto Potencial</t>
        </is>
      </c>
      <c r="Z380" s="111" t="inlineStr">
        <is>
          <t>PC</t>
        </is>
      </c>
      <c r="AA380" s="111" t="inlineStr">
        <is>
          <t>Nao</t>
        </is>
      </c>
      <c r="AB380" s="111" t="inlineStr">
        <is>
          <t>NAO_COMPUTADO</t>
        </is>
      </c>
      <c r="AC380" s="112" t="inlineStr">
        <is>
          <t>Estrutura Fase 1: sem impacto no VTA oficial</t>
        </is>
      </c>
    </row>
    <row r="381" ht="25.5" customHeight="1" s="289">
      <c r="A381" s="205" t="n"/>
      <c r="B381" s="207" t="n"/>
      <c r="C381" s="104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348" t="n"/>
      <c r="E381" s="349">
        <f>IF(C381="","",IFERROR(VLOOKUP(C381,parametros!$A$11:$E$15,5,0),""))</f>
        <v/>
      </c>
      <c r="F381" s="335">
        <f>IF(OR(D381="",E381=""),"",ROUND(D381*E381,2))</f>
        <v/>
      </c>
      <c r="G381" s="106" t="n"/>
      <c r="H381" s="350">
        <f>IF(G381="Sim",IF(OR(F381="",D381="",L381=""),"",IF(L381="Sim",ROUND(F381-D381,2),0)),0)</f>
        <v/>
      </c>
      <c r="I381" s="350">
        <f>IF(G381="Sim",0,IF(OR(F381="",L381=""),"",F381))</f>
        <v/>
      </c>
      <c r="J381" s="350">
        <f>IF(G381="Sim",0,IF(OR(F381="",D381="",L381=""),"",IF(L381="Sim",ROUND(F381-D381,2),0)))</f>
        <v/>
      </c>
      <c r="K381" s="97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inlineStr">
        <is>
          <t>Nao</t>
        </is>
      </c>
      <c r="W381" s="110" t="inlineStr">
        <is>
          <t>PC em analise</t>
        </is>
      </c>
      <c r="X381" s="110" t="inlineStr">
        <is>
          <t>Pedido de Compra</t>
        </is>
      </c>
      <c r="Y381" s="111" t="inlineStr">
        <is>
          <t>Impacto Potencial</t>
        </is>
      </c>
      <c r="Z381" s="111" t="inlineStr">
        <is>
          <t>PC</t>
        </is>
      </c>
      <c r="AA381" s="111" t="inlineStr">
        <is>
          <t>Nao</t>
        </is>
      </c>
      <c r="AB381" s="111" t="inlineStr">
        <is>
          <t>NAO_COMPUTADO</t>
        </is>
      </c>
      <c r="AC381" s="112" t="inlineStr">
        <is>
          <t>Estrutura Fase 1: sem impacto no VTA oficial</t>
        </is>
      </c>
    </row>
    <row r="382" ht="25.5" customHeight="1" s="289">
      <c r="A382" s="205" t="n"/>
      <c r="B382" s="207" t="n"/>
      <c r="C382" s="104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348" t="n"/>
      <c r="E382" s="349">
        <f>IF(C382="","",IFERROR(VLOOKUP(C382,parametros!$A$11:$E$15,5,0),""))</f>
        <v/>
      </c>
      <c r="F382" s="335">
        <f>IF(OR(D382="",E382=""),"",ROUND(D382*E382,2))</f>
        <v/>
      </c>
      <c r="G382" s="106" t="n"/>
      <c r="H382" s="350">
        <f>IF(G382="Sim",IF(OR(F382="",D382="",L382=""),"",IF(L382="Sim",ROUND(F382-D382,2),0)),0)</f>
        <v/>
      </c>
      <c r="I382" s="350">
        <f>IF(G382="Sim",0,IF(OR(F382="",L382=""),"",F382))</f>
        <v/>
      </c>
      <c r="J382" s="350">
        <f>IF(G382="Sim",0,IF(OR(F382="",D382="",L382=""),"",IF(L382="Sim",ROUND(F382-D382,2),0)))</f>
        <v/>
      </c>
      <c r="K382" s="97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inlineStr">
        <is>
          <t>Nao</t>
        </is>
      </c>
      <c r="W382" s="110" t="inlineStr">
        <is>
          <t>PC em analise</t>
        </is>
      </c>
      <c r="X382" s="110" t="inlineStr">
        <is>
          <t>Pedido de Compra</t>
        </is>
      </c>
      <c r="Y382" s="111" t="inlineStr">
        <is>
          <t>Impacto Potencial</t>
        </is>
      </c>
      <c r="Z382" s="111" t="inlineStr">
        <is>
          <t>PC</t>
        </is>
      </c>
      <c r="AA382" s="111" t="inlineStr">
        <is>
          <t>Nao</t>
        </is>
      </c>
      <c r="AB382" s="111" t="inlineStr">
        <is>
          <t>NAO_COMPUTADO</t>
        </is>
      </c>
      <c r="AC382" s="112" t="inlineStr">
        <is>
          <t>Estrutura Fase 1: sem impacto no VTA oficial</t>
        </is>
      </c>
    </row>
    <row r="383" ht="25.5" customHeight="1" s="289">
      <c r="A383" s="205" t="n"/>
      <c r="B383" s="207" t="n"/>
      <c r="C383" s="104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348" t="n"/>
      <c r="E383" s="349">
        <f>IF(C383="","",IFERROR(VLOOKUP(C383,parametros!$A$11:$E$15,5,0),""))</f>
        <v/>
      </c>
      <c r="F383" s="335">
        <f>IF(OR(D383="",E383=""),"",ROUND(D383*E383,2))</f>
        <v/>
      </c>
      <c r="G383" s="106" t="n"/>
      <c r="H383" s="350">
        <f>IF(G383="Sim",IF(OR(F383="",D383="",L383=""),"",IF(L383="Sim",ROUND(F383-D383,2),0)),0)</f>
        <v/>
      </c>
      <c r="I383" s="350">
        <f>IF(G383="Sim",0,IF(OR(F383="",L383=""),"",F383))</f>
        <v/>
      </c>
      <c r="J383" s="350">
        <f>IF(G383="Sim",0,IF(OR(F383="",D383="",L383=""),"",IF(L383="Sim",ROUND(F383-D383,2),0)))</f>
        <v/>
      </c>
      <c r="K383" s="97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inlineStr">
        <is>
          <t>Nao</t>
        </is>
      </c>
      <c r="W383" s="110" t="inlineStr">
        <is>
          <t>PC em analise</t>
        </is>
      </c>
      <c r="X383" s="110" t="inlineStr">
        <is>
          <t>Pedido de Compra</t>
        </is>
      </c>
      <c r="Y383" s="111" t="inlineStr">
        <is>
          <t>Impacto Potencial</t>
        </is>
      </c>
      <c r="Z383" s="111" t="inlineStr">
        <is>
          <t>PC</t>
        </is>
      </c>
      <c r="AA383" s="111" t="inlineStr">
        <is>
          <t>Nao</t>
        </is>
      </c>
      <c r="AB383" s="111" t="inlineStr">
        <is>
          <t>NAO_COMPUTADO</t>
        </is>
      </c>
      <c r="AC383" s="112" t="inlineStr">
        <is>
          <t>Estrutura Fase 1: sem impacto no VTA oficial</t>
        </is>
      </c>
    </row>
    <row r="384" ht="25.5" customHeight="1" s="289">
      <c r="A384" s="205" t="n"/>
      <c r="B384" s="207" t="n"/>
      <c r="C384" s="104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348" t="n"/>
      <c r="E384" s="349">
        <f>IF(C384="","",IFERROR(VLOOKUP(C384,parametros!$A$11:$E$15,5,0),""))</f>
        <v/>
      </c>
      <c r="F384" s="335">
        <f>IF(OR(D384="",E384=""),"",ROUND(D384*E384,2))</f>
        <v/>
      </c>
      <c r="G384" s="106" t="n"/>
      <c r="H384" s="350">
        <f>IF(G384="Sim",IF(OR(F384="",D384="",L384=""),"",IF(L384="Sim",ROUND(F384-D384,2),0)),0)</f>
        <v/>
      </c>
      <c r="I384" s="350">
        <f>IF(G384="Sim",0,IF(OR(F384="",L384=""),"",F384))</f>
        <v/>
      </c>
      <c r="J384" s="350">
        <f>IF(G384="Sim",0,IF(OR(F384="",D384="",L384=""),"",IF(L384="Sim",ROUND(F384-D384,2),0)))</f>
        <v/>
      </c>
      <c r="K384" s="97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inlineStr">
        <is>
          <t>Nao</t>
        </is>
      </c>
      <c r="W384" s="110" t="inlineStr">
        <is>
          <t>PC em analise</t>
        </is>
      </c>
      <c r="X384" s="110" t="inlineStr">
        <is>
          <t>Pedido de Compra</t>
        </is>
      </c>
      <c r="Y384" s="111" t="inlineStr">
        <is>
          <t>Impacto Potencial</t>
        </is>
      </c>
      <c r="Z384" s="111" t="inlineStr">
        <is>
          <t>PC</t>
        </is>
      </c>
      <c r="AA384" s="111" t="inlineStr">
        <is>
          <t>Nao</t>
        </is>
      </c>
      <c r="AB384" s="111" t="inlineStr">
        <is>
          <t>NAO_COMPUTADO</t>
        </is>
      </c>
      <c r="AC384" s="112" t="inlineStr">
        <is>
          <t>Estrutura Fase 1: sem impacto no VTA oficial</t>
        </is>
      </c>
    </row>
    <row r="385" ht="25.5" customHeight="1" s="289">
      <c r="A385" s="205" t="n"/>
      <c r="B385" s="207" t="n"/>
      <c r="C385" s="104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348" t="n"/>
      <c r="E385" s="349">
        <f>IF(C385="","",IFERROR(VLOOKUP(C385,parametros!$A$11:$E$15,5,0),""))</f>
        <v/>
      </c>
      <c r="F385" s="335">
        <f>IF(OR(D385="",E385=""),"",ROUND(D385*E385,2))</f>
        <v/>
      </c>
      <c r="G385" s="106" t="n"/>
      <c r="H385" s="350">
        <f>IF(G385="Sim",IF(OR(F385="",D385="",L385=""),"",IF(L385="Sim",ROUND(F385-D385,2),0)),0)</f>
        <v/>
      </c>
      <c r="I385" s="350">
        <f>IF(G385="Sim",0,IF(OR(F385="",L385=""),"",F385))</f>
        <v/>
      </c>
      <c r="J385" s="350">
        <f>IF(G385="Sim",0,IF(OR(F385="",D385="",L385=""),"",IF(L385="Sim",ROUND(F385-D385,2),0)))</f>
        <v/>
      </c>
      <c r="K385" s="97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inlineStr">
        <is>
          <t>Nao</t>
        </is>
      </c>
      <c r="W385" s="110" t="inlineStr">
        <is>
          <t>PC em analise</t>
        </is>
      </c>
      <c r="X385" s="110" t="inlineStr">
        <is>
          <t>Pedido de Compra</t>
        </is>
      </c>
      <c r="Y385" s="111" t="inlineStr">
        <is>
          <t>Impacto Potencial</t>
        </is>
      </c>
      <c r="Z385" s="111" t="inlineStr">
        <is>
          <t>PC</t>
        </is>
      </c>
      <c r="AA385" s="111" t="inlineStr">
        <is>
          <t>Nao</t>
        </is>
      </c>
      <c r="AB385" s="111" t="inlineStr">
        <is>
          <t>NAO_COMPUTADO</t>
        </is>
      </c>
      <c r="AC385" s="112" t="inlineStr">
        <is>
          <t>Estrutura Fase 1: sem impacto no VTA oficial</t>
        </is>
      </c>
    </row>
    <row r="386" ht="25.5" customHeight="1" s="289">
      <c r="A386" s="205" t="n"/>
      <c r="B386" s="207" t="n"/>
      <c r="C386" s="104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348" t="n"/>
      <c r="E386" s="349">
        <f>IF(C386="","",IFERROR(VLOOKUP(C386,parametros!$A$11:$E$15,5,0),""))</f>
        <v/>
      </c>
      <c r="F386" s="335">
        <f>IF(OR(D386="",E386=""),"",ROUND(D386*E386,2))</f>
        <v/>
      </c>
      <c r="G386" s="106" t="n"/>
      <c r="H386" s="350">
        <f>IF(G386="Sim",IF(OR(F386="",D386="",L386=""),"",IF(L386="Sim",ROUND(F386-D386,2),0)),0)</f>
        <v/>
      </c>
      <c r="I386" s="350">
        <f>IF(G386="Sim",0,IF(OR(F386="",L386=""),"",F386))</f>
        <v/>
      </c>
      <c r="J386" s="350">
        <f>IF(G386="Sim",0,IF(OR(F386="",D386="",L386=""),"",IF(L386="Sim",ROUND(F386-D386,2),0)))</f>
        <v/>
      </c>
      <c r="K386" s="97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inlineStr">
        <is>
          <t>Nao</t>
        </is>
      </c>
      <c r="W386" s="110" t="inlineStr">
        <is>
          <t>PC em analise</t>
        </is>
      </c>
      <c r="X386" s="110" t="inlineStr">
        <is>
          <t>Pedido de Compra</t>
        </is>
      </c>
      <c r="Y386" s="111" t="inlineStr">
        <is>
          <t>Impacto Potencial</t>
        </is>
      </c>
      <c r="Z386" s="111" t="inlineStr">
        <is>
          <t>PC</t>
        </is>
      </c>
      <c r="AA386" s="111" t="inlineStr">
        <is>
          <t>Nao</t>
        </is>
      </c>
      <c r="AB386" s="111" t="inlineStr">
        <is>
          <t>NAO_COMPUTADO</t>
        </is>
      </c>
      <c r="AC386" s="112" t="inlineStr">
        <is>
          <t>Estrutura Fase 1: sem impacto no VTA oficial</t>
        </is>
      </c>
    </row>
    <row r="387" ht="25.5" customHeight="1" s="289">
      <c r="A387" s="205" t="n"/>
      <c r="B387" s="207" t="n"/>
      <c r="C387" s="104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348" t="n"/>
      <c r="E387" s="349">
        <f>IF(C387="","",IFERROR(VLOOKUP(C387,parametros!$A$11:$E$15,5,0),""))</f>
        <v/>
      </c>
      <c r="F387" s="335">
        <f>IF(OR(D387="",E387=""),"",ROUND(D387*E387,2))</f>
        <v/>
      </c>
      <c r="G387" s="106" t="n"/>
      <c r="H387" s="350">
        <f>IF(G387="Sim",IF(OR(F387="",D387="",L387=""),"",IF(L387="Sim",ROUND(F387-D387,2),0)),0)</f>
        <v/>
      </c>
      <c r="I387" s="350">
        <f>IF(G387="Sim",0,IF(OR(F387="",L387=""),"",F387))</f>
        <v/>
      </c>
      <c r="J387" s="350">
        <f>IF(G387="Sim",0,IF(OR(F387="",D387="",L387=""),"",IF(L387="Sim",ROUND(F387-D387,2),0)))</f>
        <v/>
      </c>
      <c r="K387" s="97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inlineStr">
        <is>
          <t>Nao</t>
        </is>
      </c>
      <c r="W387" s="110" t="inlineStr">
        <is>
          <t>PC em analise</t>
        </is>
      </c>
      <c r="X387" s="110" t="inlineStr">
        <is>
          <t>Pedido de Compra</t>
        </is>
      </c>
      <c r="Y387" s="111" t="inlineStr">
        <is>
          <t>Impacto Potencial</t>
        </is>
      </c>
      <c r="Z387" s="111" t="inlineStr">
        <is>
          <t>PC</t>
        </is>
      </c>
      <c r="AA387" s="111" t="inlineStr">
        <is>
          <t>Nao</t>
        </is>
      </c>
      <c r="AB387" s="111" t="inlineStr">
        <is>
          <t>NAO_COMPUTADO</t>
        </is>
      </c>
      <c r="AC387" s="112" t="inlineStr">
        <is>
          <t>Estrutura Fase 1: sem impacto no VTA oficial</t>
        </is>
      </c>
    </row>
    <row r="388" ht="25.5" customHeight="1" s="289">
      <c r="A388" s="205" t="n"/>
      <c r="B388" s="207" t="n"/>
      <c r="C388" s="104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348" t="n"/>
      <c r="E388" s="349">
        <f>IF(C388="","",IFERROR(VLOOKUP(C388,parametros!$A$11:$E$15,5,0),""))</f>
        <v/>
      </c>
      <c r="F388" s="335">
        <f>IF(OR(D388="",E388=""),"",ROUND(D388*E388,2))</f>
        <v/>
      </c>
      <c r="G388" s="106" t="n"/>
      <c r="H388" s="350">
        <f>IF(G388="Sim",IF(OR(F388="",D388="",L388=""),"",IF(L388="Sim",ROUND(F388-D388,2),0)),0)</f>
        <v/>
      </c>
      <c r="I388" s="350">
        <f>IF(G388="Sim",0,IF(OR(F388="",L388=""),"",F388))</f>
        <v/>
      </c>
      <c r="J388" s="350">
        <f>IF(G388="Sim",0,IF(OR(F388="",D388="",L388=""),"",IF(L388="Sim",ROUND(F388-D388,2),0)))</f>
        <v/>
      </c>
      <c r="K388" s="97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inlineStr">
        <is>
          <t>Nao</t>
        </is>
      </c>
      <c r="W388" s="110" t="inlineStr">
        <is>
          <t>PC em analise</t>
        </is>
      </c>
      <c r="X388" s="110" t="inlineStr">
        <is>
          <t>Pedido de Compra</t>
        </is>
      </c>
      <c r="Y388" s="111" t="inlineStr">
        <is>
          <t>Impacto Potencial</t>
        </is>
      </c>
      <c r="Z388" s="111" t="inlineStr">
        <is>
          <t>PC</t>
        </is>
      </c>
      <c r="AA388" s="111" t="inlineStr">
        <is>
          <t>Nao</t>
        </is>
      </c>
      <c r="AB388" s="111" t="inlineStr">
        <is>
          <t>NAO_COMPUTADO</t>
        </is>
      </c>
      <c r="AC388" s="112" t="inlineStr">
        <is>
          <t>Estrutura Fase 1: sem impacto no VTA oficial</t>
        </is>
      </c>
    </row>
    <row r="389" ht="25.5" customHeight="1" s="289">
      <c r="A389" s="205" t="n"/>
      <c r="B389" s="207" t="n"/>
      <c r="C389" s="104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348" t="n"/>
      <c r="E389" s="349">
        <f>IF(C389="","",IFERROR(VLOOKUP(C389,parametros!$A$11:$E$15,5,0),""))</f>
        <v/>
      </c>
      <c r="F389" s="335">
        <f>IF(OR(D389="",E389=""),"",ROUND(D389*E389,2))</f>
        <v/>
      </c>
      <c r="G389" s="106" t="n"/>
      <c r="H389" s="350">
        <f>IF(G389="Sim",IF(OR(F389="",D389="",L389=""),"",IF(L389="Sim",ROUND(F389-D389,2),0)),0)</f>
        <v/>
      </c>
      <c r="I389" s="350">
        <f>IF(G389="Sim",0,IF(OR(F389="",L389=""),"",F389))</f>
        <v/>
      </c>
      <c r="J389" s="350">
        <f>IF(G389="Sim",0,IF(OR(F389="",D389="",L389=""),"",IF(L389="Sim",ROUND(F389-D389,2),0)))</f>
        <v/>
      </c>
      <c r="K389" s="97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inlineStr">
        <is>
          <t>Nao</t>
        </is>
      </c>
      <c r="W389" s="110" t="inlineStr">
        <is>
          <t>PC em analise</t>
        </is>
      </c>
      <c r="X389" s="110" t="inlineStr">
        <is>
          <t>Pedido de Compra</t>
        </is>
      </c>
      <c r="Y389" s="111" t="inlineStr">
        <is>
          <t>Impacto Potencial</t>
        </is>
      </c>
      <c r="Z389" s="111" t="inlineStr">
        <is>
          <t>PC</t>
        </is>
      </c>
      <c r="AA389" s="111" t="inlineStr">
        <is>
          <t>Nao</t>
        </is>
      </c>
      <c r="AB389" s="111" t="inlineStr">
        <is>
          <t>NAO_COMPUTADO</t>
        </is>
      </c>
      <c r="AC389" s="112" t="inlineStr">
        <is>
          <t>Estrutura Fase 1: sem impacto no VTA oficial</t>
        </is>
      </c>
    </row>
    <row r="390" ht="25.5" customHeight="1" s="289">
      <c r="A390" s="205" t="n"/>
      <c r="B390" s="207" t="n"/>
      <c r="C390" s="104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348" t="n"/>
      <c r="E390" s="349">
        <f>IF(C390="","",IFERROR(VLOOKUP(C390,parametros!$A$11:$E$15,5,0),""))</f>
        <v/>
      </c>
      <c r="F390" s="335">
        <f>IF(OR(D390="",E390=""),"",ROUND(D390*E390,2))</f>
        <v/>
      </c>
      <c r="G390" s="106" t="n"/>
      <c r="H390" s="350">
        <f>IF(G390="Sim",IF(OR(F390="",D390="",L390=""),"",IF(L390="Sim",ROUND(F390-D390,2),0)),0)</f>
        <v/>
      </c>
      <c r="I390" s="350">
        <f>IF(G390="Sim",0,IF(OR(F390="",L390=""),"",F390))</f>
        <v/>
      </c>
      <c r="J390" s="350">
        <f>IF(G390="Sim",0,IF(OR(F390="",D390="",L390=""),"",IF(L390="Sim",ROUND(F390-D390,2),0)))</f>
        <v/>
      </c>
      <c r="K390" s="97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inlineStr">
        <is>
          <t>Nao</t>
        </is>
      </c>
      <c r="W390" s="110" t="inlineStr">
        <is>
          <t>PC em analise</t>
        </is>
      </c>
      <c r="X390" s="110" t="inlineStr">
        <is>
          <t>Pedido de Compra</t>
        </is>
      </c>
      <c r="Y390" s="111" t="inlineStr">
        <is>
          <t>Impacto Potencial</t>
        </is>
      </c>
      <c r="Z390" s="111" t="inlineStr">
        <is>
          <t>PC</t>
        </is>
      </c>
      <c r="AA390" s="111" t="inlineStr">
        <is>
          <t>Nao</t>
        </is>
      </c>
      <c r="AB390" s="111" t="inlineStr">
        <is>
          <t>NAO_COMPUTADO</t>
        </is>
      </c>
      <c r="AC390" s="112" t="inlineStr">
        <is>
          <t>Estrutura Fase 1: sem impacto no VTA oficial</t>
        </is>
      </c>
    </row>
    <row r="391" ht="25.5" customHeight="1" s="289">
      <c r="A391" s="205" t="n"/>
      <c r="B391" s="207" t="n"/>
      <c r="C391" s="104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348" t="n"/>
      <c r="E391" s="349">
        <f>IF(C391="","",IFERROR(VLOOKUP(C391,parametros!$A$11:$E$15,5,0),""))</f>
        <v/>
      </c>
      <c r="F391" s="335">
        <f>IF(OR(D391="",E391=""),"",ROUND(D391*E391,2))</f>
        <v/>
      </c>
      <c r="G391" s="106" t="n"/>
      <c r="H391" s="350">
        <f>IF(G391="Sim",IF(OR(F391="",D391="",L391=""),"",IF(L391="Sim",ROUND(F391-D391,2),0)),0)</f>
        <v/>
      </c>
      <c r="I391" s="350">
        <f>IF(G391="Sim",0,IF(OR(F391="",L391=""),"",F391))</f>
        <v/>
      </c>
      <c r="J391" s="350">
        <f>IF(G391="Sim",0,IF(OR(F391="",D391="",L391=""),"",IF(L391="Sim",ROUND(F391-D391,2),0)))</f>
        <v/>
      </c>
      <c r="K391" s="97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inlineStr">
        <is>
          <t>Nao</t>
        </is>
      </c>
      <c r="W391" s="110" t="inlineStr">
        <is>
          <t>PC em analise</t>
        </is>
      </c>
      <c r="X391" s="110" t="inlineStr">
        <is>
          <t>Pedido de Compra</t>
        </is>
      </c>
      <c r="Y391" s="111" t="inlineStr">
        <is>
          <t>Impacto Potencial</t>
        </is>
      </c>
      <c r="Z391" s="111" t="inlineStr">
        <is>
          <t>PC</t>
        </is>
      </c>
      <c r="AA391" s="111" t="inlineStr">
        <is>
          <t>Nao</t>
        </is>
      </c>
      <c r="AB391" s="111" t="inlineStr">
        <is>
          <t>NAO_COMPUTADO</t>
        </is>
      </c>
      <c r="AC391" s="112" t="inlineStr">
        <is>
          <t>Estrutura Fase 1: sem impacto no VTA oficial</t>
        </is>
      </c>
    </row>
    <row r="392" ht="25.5" customHeight="1" s="289">
      <c r="A392" s="205" t="n"/>
      <c r="B392" s="207" t="n"/>
      <c r="C392" s="104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348" t="n"/>
      <c r="E392" s="349">
        <f>IF(C392="","",IFERROR(VLOOKUP(C392,parametros!$A$11:$E$15,5,0),""))</f>
        <v/>
      </c>
      <c r="F392" s="335">
        <f>IF(OR(D392="",E392=""),"",ROUND(D392*E392,2))</f>
        <v/>
      </c>
      <c r="G392" s="106" t="n"/>
      <c r="H392" s="350">
        <f>IF(G392="Sim",IF(OR(F392="",D392="",L392=""),"",IF(L392="Sim",ROUND(F392-D392,2),0)),0)</f>
        <v/>
      </c>
      <c r="I392" s="350">
        <f>IF(G392="Sim",0,IF(OR(F392="",L392=""),"",F392))</f>
        <v/>
      </c>
      <c r="J392" s="350">
        <f>IF(G392="Sim",0,IF(OR(F392="",D392="",L392=""),"",IF(L392="Sim",ROUND(F392-D392,2),0)))</f>
        <v/>
      </c>
      <c r="K392" s="97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inlineStr">
        <is>
          <t>Nao</t>
        </is>
      </c>
      <c r="W392" s="110" t="inlineStr">
        <is>
          <t>PC em analise</t>
        </is>
      </c>
      <c r="X392" s="110" t="inlineStr">
        <is>
          <t>Pedido de Compra</t>
        </is>
      </c>
      <c r="Y392" s="111" t="inlineStr">
        <is>
          <t>Impacto Potencial</t>
        </is>
      </c>
      <c r="Z392" s="111" t="inlineStr">
        <is>
          <t>PC</t>
        </is>
      </c>
      <c r="AA392" s="111" t="inlineStr">
        <is>
          <t>Nao</t>
        </is>
      </c>
      <c r="AB392" s="111" t="inlineStr">
        <is>
          <t>NAO_COMPUTADO</t>
        </is>
      </c>
      <c r="AC392" s="112" t="inlineStr">
        <is>
          <t>Estrutura Fase 1: sem impacto no VTA oficial</t>
        </is>
      </c>
    </row>
    <row r="393" ht="25.5" customHeight="1" s="289">
      <c r="A393" s="205" t="n"/>
      <c r="B393" s="207" t="n"/>
      <c r="C393" s="104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348" t="n"/>
      <c r="E393" s="349">
        <f>IF(C393="","",IFERROR(VLOOKUP(C393,parametros!$A$11:$E$15,5,0),""))</f>
        <v/>
      </c>
      <c r="F393" s="335">
        <f>IF(OR(D393="",E393=""),"",ROUND(D393*E393,2))</f>
        <v/>
      </c>
      <c r="G393" s="106" t="n"/>
      <c r="H393" s="350">
        <f>IF(G393="Sim",IF(OR(F393="",D393="",L393=""),"",IF(L393="Sim",ROUND(F393-D393,2),0)),0)</f>
        <v/>
      </c>
      <c r="I393" s="350">
        <f>IF(G393="Sim",0,IF(OR(F393="",L393=""),"",F393))</f>
        <v/>
      </c>
      <c r="J393" s="350">
        <f>IF(G393="Sim",0,IF(OR(F393="",D393="",L393=""),"",IF(L393="Sim",ROUND(F393-D393,2),0)))</f>
        <v/>
      </c>
      <c r="K393" s="97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inlineStr">
        <is>
          <t>Nao</t>
        </is>
      </c>
      <c r="W393" s="110" t="inlineStr">
        <is>
          <t>PC em analise</t>
        </is>
      </c>
      <c r="X393" s="110" t="inlineStr">
        <is>
          <t>Pedido de Compra</t>
        </is>
      </c>
      <c r="Y393" s="111" t="inlineStr">
        <is>
          <t>Impacto Potencial</t>
        </is>
      </c>
      <c r="Z393" s="111" t="inlineStr">
        <is>
          <t>PC</t>
        </is>
      </c>
      <c r="AA393" s="111" t="inlineStr">
        <is>
          <t>Nao</t>
        </is>
      </c>
      <c r="AB393" s="111" t="inlineStr">
        <is>
          <t>NAO_COMPUTADO</t>
        </is>
      </c>
      <c r="AC393" s="112" t="inlineStr">
        <is>
          <t>Estrutura Fase 1: sem impacto no VTA oficial</t>
        </is>
      </c>
    </row>
    <row r="394" ht="25.5" customHeight="1" s="289">
      <c r="A394" s="205" t="n"/>
      <c r="B394" s="207" t="n"/>
      <c r="C394" s="104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348" t="n"/>
      <c r="E394" s="349">
        <f>IF(C394="","",IFERROR(VLOOKUP(C394,parametros!$A$11:$E$15,5,0),""))</f>
        <v/>
      </c>
      <c r="F394" s="335">
        <f>IF(OR(D394="",E394=""),"",ROUND(D394*E394,2))</f>
        <v/>
      </c>
      <c r="G394" s="106" t="n"/>
      <c r="H394" s="350">
        <f>IF(G394="Sim",IF(OR(F394="",D394="",L394=""),"",IF(L394="Sim",ROUND(F394-D394,2),0)),0)</f>
        <v/>
      </c>
      <c r="I394" s="350">
        <f>IF(G394="Sim",0,IF(OR(F394="",L394=""),"",F394))</f>
        <v/>
      </c>
      <c r="J394" s="350">
        <f>IF(G394="Sim",0,IF(OR(F394="",D394="",L394=""),"",IF(L394="Sim",ROUND(F394-D394,2),0)))</f>
        <v/>
      </c>
      <c r="K394" s="97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inlineStr">
        <is>
          <t>Nao</t>
        </is>
      </c>
      <c r="W394" s="110" t="inlineStr">
        <is>
          <t>PC em analise</t>
        </is>
      </c>
      <c r="X394" s="110" t="inlineStr">
        <is>
          <t>Pedido de Compra</t>
        </is>
      </c>
      <c r="Y394" s="111" t="inlineStr">
        <is>
          <t>Impacto Potencial</t>
        </is>
      </c>
      <c r="Z394" s="111" t="inlineStr">
        <is>
          <t>PC</t>
        </is>
      </c>
      <c r="AA394" s="111" t="inlineStr">
        <is>
          <t>Nao</t>
        </is>
      </c>
      <c r="AB394" s="111" t="inlineStr">
        <is>
          <t>NAO_COMPUTADO</t>
        </is>
      </c>
      <c r="AC394" s="112" t="inlineStr">
        <is>
          <t>Estrutura Fase 1: sem impacto no VTA oficial</t>
        </is>
      </c>
    </row>
    <row r="395" ht="25.5" customHeight="1" s="289">
      <c r="A395" s="205" t="n"/>
      <c r="B395" s="207" t="n"/>
      <c r="C395" s="104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348" t="n"/>
      <c r="E395" s="349">
        <f>IF(C395="","",IFERROR(VLOOKUP(C395,parametros!$A$11:$E$15,5,0),""))</f>
        <v/>
      </c>
      <c r="F395" s="335">
        <f>IF(OR(D395="",E395=""),"",ROUND(D395*E395,2))</f>
        <v/>
      </c>
      <c r="G395" s="106" t="n"/>
      <c r="H395" s="350">
        <f>IF(G395="Sim",IF(OR(F395="",D395="",L395=""),"",IF(L395="Sim",ROUND(F395-D395,2),0)),0)</f>
        <v/>
      </c>
      <c r="I395" s="350">
        <f>IF(G395="Sim",0,IF(OR(F395="",L395=""),"",F395))</f>
        <v/>
      </c>
      <c r="J395" s="350">
        <f>IF(G395="Sim",0,IF(OR(F395="",D395="",L395=""),"",IF(L395="Sim",ROUND(F395-D395,2),0)))</f>
        <v/>
      </c>
      <c r="K395" s="97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inlineStr">
        <is>
          <t>Nao</t>
        </is>
      </c>
      <c r="W395" s="110" t="inlineStr">
        <is>
          <t>PC em analise</t>
        </is>
      </c>
      <c r="X395" s="110" t="inlineStr">
        <is>
          <t>Pedido de Compra</t>
        </is>
      </c>
      <c r="Y395" s="111" t="inlineStr">
        <is>
          <t>Impacto Potencial</t>
        </is>
      </c>
      <c r="Z395" s="111" t="inlineStr">
        <is>
          <t>PC</t>
        </is>
      </c>
      <c r="AA395" s="111" t="inlineStr">
        <is>
          <t>Nao</t>
        </is>
      </c>
      <c r="AB395" s="111" t="inlineStr">
        <is>
          <t>NAO_COMPUTADO</t>
        </is>
      </c>
      <c r="AC395" s="112" t="inlineStr">
        <is>
          <t>Estrutura Fase 1: sem impacto no VTA oficial</t>
        </is>
      </c>
    </row>
    <row r="396" ht="25.5" customHeight="1" s="289">
      <c r="A396" s="205" t="n"/>
      <c r="B396" s="207" t="n"/>
      <c r="C396" s="104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348" t="n"/>
      <c r="E396" s="349">
        <f>IF(C396="","",IFERROR(VLOOKUP(C396,parametros!$A$11:$E$15,5,0),""))</f>
        <v/>
      </c>
      <c r="F396" s="335">
        <f>IF(OR(D396="",E396=""),"",ROUND(D396*E396,2))</f>
        <v/>
      </c>
      <c r="G396" s="106" t="n"/>
      <c r="H396" s="350">
        <f>IF(G396="Sim",IF(OR(F396="",D396="",L396=""),"",IF(L396="Sim",ROUND(F396-D396,2),0)),0)</f>
        <v/>
      </c>
      <c r="I396" s="350">
        <f>IF(G396="Sim",0,IF(OR(F396="",L396=""),"",F396))</f>
        <v/>
      </c>
      <c r="J396" s="350">
        <f>IF(G396="Sim",0,IF(OR(F396="",D396="",L396=""),"",IF(L396="Sim",ROUND(F396-D396,2),0)))</f>
        <v/>
      </c>
      <c r="K396" s="97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inlineStr">
        <is>
          <t>Nao</t>
        </is>
      </c>
      <c r="W396" s="110" t="inlineStr">
        <is>
          <t>PC em analise</t>
        </is>
      </c>
      <c r="X396" s="110" t="inlineStr">
        <is>
          <t>Pedido de Compra</t>
        </is>
      </c>
      <c r="Y396" s="111" t="inlineStr">
        <is>
          <t>Impacto Potencial</t>
        </is>
      </c>
      <c r="Z396" s="111" t="inlineStr">
        <is>
          <t>PC</t>
        </is>
      </c>
      <c r="AA396" s="111" t="inlineStr">
        <is>
          <t>Nao</t>
        </is>
      </c>
      <c r="AB396" s="111" t="inlineStr">
        <is>
          <t>NAO_COMPUTADO</t>
        </is>
      </c>
      <c r="AC396" s="112" t="inlineStr">
        <is>
          <t>Estrutura Fase 1: sem impacto no VTA oficial</t>
        </is>
      </c>
    </row>
    <row r="397" ht="25.5" customHeight="1" s="289">
      <c r="A397" s="205" t="n"/>
      <c r="B397" s="207" t="n"/>
      <c r="C397" s="104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348" t="n"/>
      <c r="E397" s="349">
        <f>IF(C397="","",IFERROR(VLOOKUP(C397,parametros!$A$11:$E$15,5,0),""))</f>
        <v/>
      </c>
      <c r="F397" s="335">
        <f>IF(OR(D397="",E397=""),"",ROUND(D397*E397,2))</f>
        <v/>
      </c>
      <c r="G397" s="106" t="n"/>
      <c r="H397" s="350">
        <f>IF(G397="Sim",IF(OR(F397="",D397="",L397=""),"",IF(L397="Sim",ROUND(F397-D397,2),0)),0)</f>
        <v/>
      </c>
      <c r="I397" s="350">
        <f>IF(G397="Sim",0,IF(OR(F397="",L397=""),"",F397))</f>
        <v/>
      </c>
      <c r="J397" s="350">
        <f>IF(G397="Sim",0,IF(OR(F397="",D397="",L397=""),"",IF(L397="Sim",ROUND(F397-D397,2),0)))</f>
        <v/>
      </c>
      <c r="K397" s="97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inlineStr">
        <is>
          <t>Nao</t>
        </is>
      </c>
      <c r="W397" s="110" t="inlineStr">
        <is>
          <t>PC em analise</t>
        </is>
      </c>
      <c r="X397" s="110" t="inlineStr">
        <is>
          <t>Pedido de Compra</t>
        </is>
      </c>
      <c r="Y397" s="111" t="inlineStr">
        <is>
          <t>Impacto Potencial</t>
        </is>
      </c>
      <c r="Z397" s="111" t="inlineStr">
        <is>
          <t>PC</t>
        </is>
      </c>
      <c r="AA397" s="111" t="inlineStr">
        <is>
          <t>Nao</t>
        </is>
      </c>
      <c r="AB397" s="111" t="inlineStr">
        <is>
          <t>NAO_COMPUTADO</t>
        </is>
      </c>
      <c r="AC397" s="112" t="inlineStr">
        <is>
          <t>Estrutura Fase 1: sem impacto no VTA oficial</t>
        </is>
      </c>
    </row>
    <row r="398" ht="25.5" customHeight="1" s="289">
      <c r="A398" s="205" t="n"/>
      <c r="B398" s="207" t="n"/>
      <c r="C398" s="104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348" t="n"/>
      <c r="E398" s="349">
        <f>IF(C398="","",IFERROR(VLOOKUP(C398,parametros!$A$11:$E$15,5,0),""))</f>
        <v/>
      </c>
      <c r="F398" s="335">
        <f>IF(OR(D398="",E398=""),"",ROUND(D398*E398,2))</f>
        <v/>
      </c>
      <c r="G398" s="106" t="n"/>
      <c r="H398" s="350">
        <f>IF(G398="Sim",IF(OR(F398="",D398="",L398=""),"",IF(L398="Sim",ROUND(F398-D398,2),0)),0)</f>
        <v/>
      </c>
      <c r="I398" s="350">
        <f>IF(G398="Sim",0,IF(OR(F398="",L398=""),"",F398))</f>
        <v/>
      </c>
      <c r="J398" s="350">
        <f>IF(G398="Sim",0,IF(OR(F398="",D398="",L398=""),"",IF(L398="Sim",ROUND(F398-D398,2),0)))</f>
        <v/>
      </c>
      <c r="K398" s="97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inlineStr">
        <is>
          <t>Nao</t>
        </is>
      </c>
      <c r="W398" s="110" t="inlineStr">
        <is>
          <t>PC em analise</t>
        </is>
      </c>
      <c r="X398" s="110" t="inlineStr">
        <is>
          <t>Pedido de Compra</t>
        </is>
      </c>
      <c r="Y398" s="111" t="inlineStr">
        <is>
          <t>Impacto Potencial</t>
        </is>
      </c>
      <c r="Z398" s="111" t="inlineStr">
        <is>
          <t>PC</t>
        </is>
      </c>
      <c r="AA398" s="111" t="inlineStr">
        <is>
          <t>Nao</t>
        </is>
      </c>
      <c r="AB398" s="111" t="inlineStr">
        <is>
          <t>NAO_COMPUTADO</t>
        </is>
      </c>
      <c r="AC398" s="112" t="inlineStr">
        <is>
          <t>Estrutura Fase 1: sem impacto no VTA oficial</t>
        </is>
      </c>
    </row>
    <row r="399" ht="25.5" customHeight="1" s="289">
      <c r="A399" s="205" t="n"/>
      <c r="B399" s="207" t="n"/>
      <c r="C399" s="104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348" t="n"/>
      <c r="E399" s="349">
        <f>IF(C399="","",IFERROR(VLOOKUP(C399,parametros!$A$11:$E$15,5,0),""))</f>
        <v/>
      </c>
      <c r="F399" s="335">
        <f>IF(OR(D399="",E399=""),"",ROUND(D399*E399,2))</f>
        <v/>
      </c>
      <c r="G399" s="106" t="n"/>
      <c r="H399" s="350">
        <f>IF(G399="Sim",IF(OR(F399="",D399="",L399=""),"",IF(L399="Sim",ROUND(F399-D399,2),0)),0)</f>
        <v/>
      </c>
      <c r="I399" s="350">
        <f>IF(G399="Sim",0,IF(OR(F399="",L399=""),"",F399))</f>
        <v/>
      </c>
      <c r="J399" s="350">
        <f>IF(G399="Sim",0,IF(OR(F399="",D399="",L399=""),"",IF(L399="Sim",ROUND(F399-D399,2),0)))</f>
        <v/>
      </c>
      <c r="K399" s="97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inlineStr">
        <is>
          <t>Nao</t>
        </is>
      </c>
      <c r="W399" s="110" t="inlineStr">
        <is>
          <t>PC em analise</t>
        </is>
      </c>
      <c r="X399" s="110" t="inlineStr">
        <is>
          <t>Pedido de Compra</t>
        </is>
      </c>
      <c r="Y399" s="111" t="inlineStr">
        <is>
          <t>Impacto Potencial</t>
        </is>
      </c>
      <c r="Z399" s="111" t="inlineStr">
        <is>
          <t>PC</t>
        </is>
      </c>
      <c r="AA399" s="111" t="inlineStr">
        <is>
          <t>Nao</t>
        </is>
      </c>
      <c r="AB399" s="111" t="inlineStr">
        <is>
          <t>NAO_COMPUTADO</t>
        </is>
      </c>
      <c r="AC399" s="112" t="inlineStr">
        <is>
          <t>Estrutura Fase 1: sem impacto no VTA oficial</t>
        </is>
      </c>
    </row>
    <row r="400" ht="25.5" customHeight="1" s="289">
      <c r="A400" s="205" t="n"/>
      <c r="B400" s="207" t="n"/>
      <c r="C400" s="104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348" t="n"/>
      <c r="E400" s="349">
        <f>IF(C400="","",IFERROR(VLOOKUP(C400,parametros!$A$11:$E$15,5,0),""))</f>
        <v/>
      </c>
      <c r="F400" s="335">
        <f>IF(OR(D400="",E400=""),"",ROUND(D400*E400,2))</f>
        <v/>
      </c>
      <c r="G400" s="106" t="n"/>
      <c r="H400" s="350">
        <f>IF(G400="Sim",IF(OR(F400="",D400="",L400=""),"",IF(L400="Sim",ROUND(F400-D400,2),0)),0)</f>
        <v/>
      </c>
      <c r="I400" s="350">
        <f>IF(G400="Sim",0,IF(OR(F400="",L400=""),"",F400))</f>
        <v/>
      </c>
      <c r="J400" s="350">
        <f>IF(G400="Sim",0,IF(OR(F400="",D400="",L400=""),"",IF(L400="Sim",ROUND(F400-D400,2),0)))</f>
        <v/>
      </c>
      <c r="K400" s="97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inlineStr">
        <is>
          <t>Nao</t>
        </is>
      </c>
      <c r="W400" s="110" t="inlineStr">
        <is>
          <t>PC em analise</t>
        </is>
      </c>
      <c r="X400" s="110" t="inlineStr">
        <is>
          <t>Pedido de Compra</t>
        </is>
      </c>
      <c r="Y400" s="111" t="inlineStr">
        <is>
          <t>Impacto Potencial</t>
        </is>
      </c>
      <c r="Z400" s="111" t="inlineStr">
        <is>
          <t>PC</t>
        </is>
      </c>
      <c r="AA400" s="111" t="inlineStr">
        <is>
          <t>Nao</t>
        </is>
      </c>
      <c r="AB400" s="111" t="inlineStr">
        <is>
          <t>NAO_COMPUTADO</t>
        </is>
      </c>
      <c r="AC400" s="112" t="inlineStr">
        <is>
          <t>Estrutura Fase 1: sem impacto no VTA oficial</t>
        </is>
      </c>
    </row>
    <row r="401" ht="25.5" customHeight="1" s="289">
      <c r="A401" s="205" t="n"/>
      <c r="B401" s="207" t="n"/>
      <c r="C401" s="104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348" t="n"/>
      <c r="E401" s="349">
        <f>IF(C401="","",IFERROR(VLOOKUP(C401,parametros!$A$11:$E$15,5,0),""))</f>
        <v/>
      </c>
      <c r="F401" s="335">
        <f>IF(OR(D401="",E401=""),"",ROUND(D401*E401,2))</f>
        <v/>
      </c>
      <c r="G401" s="106" t="n"/>
      <c r="H401" s="350">
        <f>IF(G401="Sim",IF(OR(F401="",D401="",L401=""),"",IF(L401="Sim",ROUND(F401-D401,2),0)),0)</f>
        <v/>
      </c>
      <c r="I401" s="350">
        <f>IF(G401="Sim",0,IF(OR(F401="",L401=""),"",F401))</f>
        <v/>
      </c>
      <c r="J401" s="350">
        <f>IF(G401="Sim",0,IF(OR(F401="",D401="",L401=""),"",IF(L401="Sim",ROUND(F401-D401,2),0)))</f>
        <v/>
      </c>
      <c r="K401" s="97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inlineStr">
        <is>
          <t>Nao</t>
        </is>
      </c>
      <c r="W401" s="110" t="inlineStr">
        <is>
          <t>PC em analise</t>
        </is>
      </c>
      <c r="X401" s="110" t="inlineStr">
        <is>
          <t>Pedido de Compra</t>
        </is>
      </c>
      <c r="Y401" s="111" t="inlineStr">
        <is>
          <t>Impacto Potencial</t>
        </is>
      </c>
      <c r="Z401" s="111" t="inlineStr">
        <is>
          <t>PC</t>
        </is>
      </c>
      <c r="AA401" s="111" t="inlineStr">
        <is>
          <t>Nao</t>
        </is>
      </c>
      <c r="AB401" s="111" t="inlineStr">
        <is>
          <t>NAO_COMPUTADO</t>
        </is>
      </c>
      <c r="AC401" s="112" t="inlineStr">
        <is>
          <t>Estrutura Fase 1: sem impacto no VTA oficial</t>
        </is>
      </c>
    </row>
    <row r="402" ht="25.5" customHeight="1" s="289">
      <c r="A402" s="205" t="n"/>
      <c r="B402" s="207" t="n"/>
      <c r="C402" s="104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348" t="n"/>
      <c r="E402" s="349">
        <f>IF(C402="","",IFERROR(VLOOKUP(C402,parametros!$A$11:$E$15,5,0),""))</f>
        <v/>
      </c>
      <c r="F402" s="335">
        <f>IF(OR(D402="",E402=""),"",ROUND(D402*E402,2))</f>
        <v/>
      </c>
      <c r="G402" s="106" t="n"/>
      <c r="H402" s="350">
        <f>IF(G402="Sim",IF(OR(F402="",D402="",L402=""),"",IF(L402="Sim",ROUND(F402-D402,2),0)),0)</f>
        <v/>
      </c>
      <c r="I402" s="350">
        <f>IF(G402="Sim",0,IF(OR(F402="",L402=""),"",F402))</f>
        <v/>
      </c>
      <c r="J402" s="350">
        <f>IF(G402="Sim",0,IF(OR(F402="",D402="",L402=""),"",IF(L402="Sim",ROUND(F402-D402,2),0)))</f>
        <v/>
      </c>
      <c r="K402" s="97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inlineStr">
        <is>
          <t>Nao</t>
        </is>
      </c>
      <c r="W402" s="110" t="inlineStr">
        <is>
          <t>PC em analise</t>
        </is>
      </c>
      <c r="X402" s="110" t="inlineStr">
        <is>
          <t>Pedido de Compra</t>
        </is>
      </c>
      <c r="Y402" s="111" t="inlineStr">
        <is>
          <t>Impacto Potencial</t>
        </is>
      </c>
      <c r="Z402" s="111" t="inlineStr">
        <is>
          <t>PC</t>
        </is>
      </c>
      <c r="AA402" s="111" t="inlineStr">
        <is>
          <t>Nao</t>
        </is>
      </c>
      <c r="AB402" s="111" t="inlineStr">
        <is>
          <t>NAO_COMPUTADO</t>
        </is>
      </c>
      <c r="AC402" s="112" t="inlineStr">
        <is>
          <t>Estrutura Fase 1: sem impacto no VTA oficial</t>
        </is>
      </c>
    </row>
    <row r="403" ht="25.5" customHeight="1" s="289">
      <c r="A403" s="205" t="n"/>
      <c r="B403" s="207" t="n"/>
      <c r="C403" s="104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348" t="n"/>
      <c r="E403" s="349">
        <f>IF(C403="","",IFERROR(VLOOKUP(C403,parametros!$A$11:$E$15,5,0),""))</f>
        <v/>
      </c>
      <c r="F403" s="335">
        <f>IF(OR(D403="",E403=""),"",ROUND(D403*E403,2))</f>
        <v/>
      </c>
      <c r="G403" s="106" t="n"/>
      <c r="H403" s="350">
        <f>IF(G403="Sim",IF(OR(F403="",D403="",L403=""),"",IF(L403="Sim",ROUND(F403-D403,2),0)),0)</f>
        <v/>
      </c>
      <c r="I403" s="350">
        <f>IF(G403="Sim",0,IF(OR(F403="",L403=""),"",F403))</f>
        <v/>
      </c>
      <c r="J403" s="350">
        <f>IF(G403="Sim",0,IF(OR(F403="",D403="",L403=""),"",IF(L403="Sim",ROUND(F403-D403,2),0)))</f>
        <v/>
      </c>
      <c r="K403" s="97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inlineStr">
        <is>
          <t>Nao</t>
        </is>
      </c>
      <c r="W403" s="110" t="inlineStr">
        <is>
          <t>PC em analise</t>
        </is>
      </c>
      <c r="X403" s="110" t="inlineStr">
        <is>
          <t>Pedido de Compra</t>
        </is>
      </c>
      <c r="Y403" s="111" t="inlineStr">
        <is>
          <t>Impacto Potencial</t>
        </is>
      </c>
      <c r="Z403" s="111" t="inlineStr">
        <is>
          <t>PC</t>
        </is>
      </c>
      <c r="AA403" s="111" t="inlineStr">
        <is>
          <t>Nao</t>
        </is>
      </c>
      <c r="AB403" s="111" t="inlineStr">
        <is>
          <t>NAO_COMPUTADO</t>
        </is>
      </c>
      <c r="AC403" s="112" t="inlineStr">
        <is>
          <t>Estrutura Fase 1: sem impacto no VTA oficial</t>
        </is>
      </c>
    </row>
    <row r="404" ht="25.5" customHeight="1" s="289">
      <c r="A404" s="205" t="n"/>
      <c r="B404" s="207" t="n"/>
      <c r="C404" s="104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348" t="n"/>
      <c r="E404" s="349">
        <f>IF(C404="","",IFERROR(VLOOKUP(C404,parametros!$A$11:$E$15,5,0),""))</f>
        <v/>
      </c>
      <c r="F404" s="335">
        <f>IF(OR(D404="",E404=""),"",ROUND(D404*E404,2))</f>
        <v/>
      </c>
      <c r="G404" s="106" t="n"/>
      <c r="H404" s="350">
        <f>IF(G404="Sim",IF(OR(F404="",D404="",L404=""),"",IF(L404="Sim",ROUND(F404-D404,2),0)),0)</f>
        <v/>
      </c>
      <c r="I404" s="350">
        <f>IF(G404="Sim",0,IF(OR(F404="",L404=""),"",F404))</f>
        <v/>
      </c>
      <c r="J404" s="350">
        <f>IF(G404="Sim",0,IF(OR(F404="",D404="",L404=""),"",IF(L404="Sim",ROUND(F404-D404,2),0)))</f>
        <v/>
      </c>
      <c r="K404" s="97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inlineStr">
        <is>
          <t>Nao</t>
        </is>
      </c>
      <c r="W404" s="110" t="inlineStr">
        <is>
          <t>PC em analise</t>
        </is>
      </c>
      <c r="X404" s="110" t="inlineStr">
        <is>
          <t>Pedido de Compra</t>
        </is>
      </c>
      <c r="Y404" s="111" t="inlineStr">
        <is>
          <t>Impacto Potencial</t>
        </is>
      </c>
      <c r="Z404" s="111" t="inlineStr">
        <is>
          <t>PC</t>
        </is>
      </c>
      <c r="AA404" s="111" t="inlineStr">
        <is>
          <t>Nao</t>
        </is>
      </c>
      <c r="AB404" s="111" t="inlineStr">
        <is>
          <t>NAO_COMPUTADO</t>
        </is>
      </c>
      <c r="AC404" s="112" t="inlineStr">
        <is>
          <t>Estrutura Fase 1: sem impacto no VTA oficial</t>
        </is>
      </c>
    </row>
    <row r="405" ht="25.5" customHeight="1" s="289">
      <c r="A405" s="205" t="n"/>
      <c r="B405" s="207" t="n"/>
      <c r="C405" s="104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348" t="n"/>
      <c r="E405" s="349">
        <f>IF(C405="","",IFERROR(VLOOKUP(C405,parametros!$A$11:$E$15,5,0),""))</f>
        <v/>
      </c>
      <c r="F405" s="335">
        <f>IF(OR(D405="",E405=""),"",ROUND(D405*E405,2))</f>
        <v/>
      </c>
      <c r="G405" s="106" t="n"/>
      <c r="H405" s="350">
        <f>IF(G405="Sim",IF(OR(F405="",D405="",L405=""),"",IF(L405="Sim",ROUND(F405-D405,2),0)),0)</f>
        <v/>
      </c>
      <c r="I405" s="350">
        <f>IF(G405="Sim",0,IF(OR(F405="",L405=""),"",F405))</f>
        <v/>
      </c>
      <c r="J405" s="350">
        <f>IF(G405="Sim",0,IF(OR(F405="",D405="",L405=""),"",IF(L405="Sim",ROUND(F405-D405,2),0)))</f>
        <v/>
      </c>
      <c r="K405" s="97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inlineStr">
        <is>
          <t>Nao</t>
        </is>
      </c>
      <c r="W405" s="110" t="inlineStr">
        <is>
          <t>PC em analise</t>
        </is>
      </c>
      <c r="X405" s="110" t="inlineStr">
        <is>
          <t>Pedido de Compra</t>
        </is>
      </c>
      <c r="Y405" s="111" t="inlineStr">
        <is>
          <t>Impacto Potencial</t>
        </is>
      </c>
      <c r="Z405" s="111" t="inlineStr">
        <is>
          <t>PC</t>
        </is>
      </c>
      <c r="AA405" s="111" t="inlineStr">
        <is>
          <t>Nao</t>
        </is>
      </c>
      <c r="AB405" s="111" t="inlineStr">
        <is>
          <t>NAO_COMPUTADO</t>
        </is>
      </c>
      <c r="AC405" s="112" t="inlineStr">
        <is>
          <t>Estrutura Fase 1: sem impacto no VTA oficial</t>
        </is>
      </c>
    </row>
    <row r="406" ht="25.5" customHeight="1" s="289">
      <c r="A406" s="205" t="n"/>
      <c r="B406" s="207" t="n"/>
      <c r="C406" s="104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348" t="n"/>
      <c r="E406" s="349">
        <f>IF(C406="","",IFERROR(VLOOKUP(C406,parametros!$A$11:$E$15,5,0),""))</f>
        <v/>
      </c>
      <c r="F406" s="335">
        <f>IF(OR(D406="",E406=""),"",ROUND(D406*E406,2))</f>
        <v/>
      </c>
      <c r="G406" s="106" t="n"/>
      <c r="H406" s="350">
        <f>IF(G406="Sim",IF(OR(F406="",D406="",L406=""),"",IF(L406="Sim",ROUND(F406-D406,2),0)),0)</f>
        <v/>
      </c>
      <c r="I406" s="350">
        <f>IF(G406="Sim",0,IF(OR(F406="",L406=""),"",F406))</f>
        <v/>
      </c>
      <c r="J406" s="350">
        <f>IF(G406="Sim",0,IF(OR(F406="",D406="",L406=""),"",IF(L406="Sim",ROUND(F406-D406,2),0)))</f>
        <v/>
      </c>
      <c r="K406" s="97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inlineStr">
        <is>
          <t>Nao</t>
        </is>
      </c>
      <c r="W406" s="110" t="inlineStr">
        <is>
          <t>PC em analise</t>
        </is>
      </c>
      <c r="X406" s="110" t="inlineStr">
        <is>
          <t>Pedido de Compra</t>
        </is>
      </c>
      <c r="Y406" s="111" t="inlineStr">
        <is>
          <t>Impacto Potencial</t>
        </is>
      </c>
      <c r="Z406" s="111" t="inlineStr">
        <is>
          <t>PC</t>
        </is>
      </c>
      <c r="AA406" s="111" t="inlineStr">
        <is>
          <t>Nao</t>
        </is>
      </c>
      <c r="AB406" s="111" t="inlineStr">
        <is>
          <t>NAO_COMPUTADO</t>
        </is>
      </c>
      <c r="AC406" s="112" t="inlineStr">
        <is>
          <t>Estrutura Fase 1: sem impacto no VTA oficial</t>
        </is>
      </c>
    </row>
    <row r="407" ht="25.5" customHeight="1" s="289">
      <c r="A407" s="205" t="n"/>
      <c r="B407" s="207" t="n"/>
      <c r="C407" s="104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348" t="n"/>
      <c r="E407" s="349">
        <f>IF(C407="","",IFERROR(VLOOKUP(C407,parametros!$A$11:$E$15,5,0),""))</f>
        <v/>
      </c>
      <c r="F407" s="335">
        <f>IF(OR(D407="",E407=""),"",ROUND(D407*E407,2))</f>
        <v/>
      </c>
      <c r="G407" s="106" t="n"/>
      <c r="H407" s="350">
        <f>IF(G407="Sim",IF(OR(F407="",D407="",L407=""),"",IF(L407="Sim",ROUND(F407-D407,2),0)),0)</f>
        <v/>
      </c>
      <c r="I407" s="350">
        <f>IF(G407="Sim",0,IF(OR(F407="",L407=""),"",F407))</f>
        <v/>
      </c>
      <c r="J407" s="350">
        <f>IF(G407="Sim",0,IF(OR(F407="",D407="",L407=""),"",IF(L407="Sim",ROUND(F407-D407,2),0)))</f>
        <v/>
      </c>
      <c r="K407" s="97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inlineStr">
        <is>
          <t>Nao</t>
        </is>
      </c>
      <c r="W407" s="110" t="inlineStr">
        <is>
          <t>PC em analise</t>
        </is>
      </c>
      <c r="X407" s="110" t="inlineStr">
        <is>
          <t>Pedido de Compra</t>
        </is>
      </c>
      <c r="Y407" s="111" t="inlineStr">
        <is>
          <t>Impacto Potencial</t>
        </is>
      </c>
      <c r="Z407" s="111" t="inlineStr">
        <is>
          <t>PC</t>
        </is>
      </c>
      <c r="AA407" s="111" t="inlineStr">
        <is>
          <t>Nao</t>
        </is>
      </c>
      <c r="AB407" s="111" t="inlineStr">
        <is>
          <t>NAO_COMPUTADO</t>
        </is>
      </c>
      <c r="AC407" s="112" t="inlineStr">
        <is>
          <t>Estrutura Fase 1: sem impacto no VTA oficial</t>
        </is>
      </c>
    </row>
    <row r="408" ht="25.5" customHeight="1" s="289">
      <c r="A408" s="205" t="n"/>
      <c r="B408" s="207" t="n"/>
      <c r="C408" s="104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348" t="n"/>
      <c r="E408" s="349">
        <f>IF(C408="","",IFERROR(VLOOKUP(C408,parametros!$A$11:$E$15,5,0),""))</f>
        <v/>
      </c>
      <c r="F408" s="335">
        <f>IF(OR(D408="",E408=""),"",ROUND(D408*E408,2))</f>
        <v/>
      </c>
      <c r="G408" s="106" t="n"/>
      <c r="H408" s="350">
        <f>IF(G408="Sim",IF(OR(F408="",D408="",L408=""),"",IF(L408="Sim",ROUND(F408-D408,2),0)),0)</f>
        <v/>
      </c>
      <c r="I408" s="350">
        <f>IF(G408="Sim",0,IF(OR(F408="",L408=""),"",F408))</f>
        <v/>
      </c>
      <c r="J408" s="350">
        <f>IF(G408="Sim",0,IF(OR(F408="",D408="",L408=""),"",IF(L408="Sim",ROUND(F408-D408,2),0)))</f>
        <v/>
      </c>
      <c r="K408" s="97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inlineStr">
        <is>
          <t>Nao</t>
        </is>
      </c>
      <c r="W408" s="110" t="inlineStr">
        <is>
          <t>PC em analise</t>
        </is>
      </c>
      <c r="X408" s="110" t="inlineStr">
        <is>
          <t>Pedido de Compra</t>
        </is>
      </c>
      <c r="Y408" s="111" t="inlineStr">
        <is>
          <t>Impacto Potencial</t>
        </is>
      </c>
      <c r="Z408" s="111" t="inlineStr">
        <is>
          <t>PC</t>
        </is>
      </c>
      <c r="AA408" s="111" t="inlineStr">
        <is>
          <t>Nao</t>
        </is>
      </c>
      <c r="AB408" s="111" t="inlineStr">
        <is>
          <t>NAO_COMPUTADO</t>
        </is>
      </c>
      <c r="AC408" s="112" t="inlineStr">
        <is>
          <t>Estrutura Fase 1: sem impacto no VTA oficial</t>
        </is>
      </c>
    </row>
    <row r="409" ht="25.5" customHeight="1" s="289">
      <c r="A409" s="205" t="n"/>
      <c r="B409" s="207" t="n"/>
      <c r="C409" s="104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348" t="n"/>
      <c r="E409" s="349">
        <f>IF(C409="","",IFERROR(VLOOKUP(C409,parametros!$A$11:$E$15,5,0),""))</f>
        <v/>
      </c>
      <c r="F409" s="335">
        <f>IF(OR(D409="",E409=""),"",ROUND(D409*E409,2))</f>
        <v/>
      </c>
      <c r="G409" s="106" t="n"/>
      <c r="H409" s="350">
        <f>IF(G409="Sim",IF(OR(F409="",D409="",L409=""),"",IF(L409="Sim",ROUND(F409-D409,2),0)),0)</f>
        <v/>
      </c>
      <c r="I409" s="350">
        <f>IF(G409="Sim",0,IF(OR(F409="",L409=""),"",F409))</f>
        <v/>
      </c>
      <c r="J409" s="350">
        <f>IF(G409="Sim",0,IF(OR(F409="",D409="",L409=""),"",IF(L409="Sim",ROUND(F409-D409,2),0)))</f>
        <v/>
      </c>
      <c r="K409" s="97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inlineStr">
        <is>
          <t>Nao</t>
        </is>
      </c>
      <c r="W409" s="110" t="inlineStr">
        <is>
          <t>PC em analise</t>
        </is>
      </c>
      <c r="X409" s="110" t="inlineStr">
        <is>
          <t>Pedido de Compra</t>
        </is>
      </c>
      <c r="Y409" s="111" t="inlineStr">
        <is>
          <t>Impacto Potencial</t>
        </is>
      </c>
      <c r="Z409" s="111" t="inlineStr">
        <is>
          <t>PC</t>
        </is>
      </c>
      <c r="AA409" s="111" t="inlineStr">
        <is>
          <t>Nao</t>
        </is>
      </c>
      <c r="AB409" s="111" t="inlineStr">
        <is>
          <t>NAO_COMPUTADO</t>
        </is>
      </c>
      <c r="AC409" s="112" t="inlineStr">
        <is>
          <t>Estrutura Fase 1: sem impacto no VTA oficial</t>
        </is>
      </c>
    </row>
    <row r="410" ht="25.5" customHeight="1" s="289">
      <c r="A410" s="205" t="n"/>
      <c r="B410" s="207" t="n"/>
      <c r="C410" s="104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348" t="n"/>
      <c r="E410" s="349">
        <f>IF(C410="","",IFERROR(VLOOKUP(C410,parametros!$A$11:$E$15,5,0),""))</f>
        <v/>
      </c>
      <c r="F410" s="335">
        <f>IF(OR(D410="",E410=""),"",ROUND(D410*E410,2))</f>
        <v/>
      </c>
      <c r="G410" s="106" t="n"/>
      <c r="H410" s="350">
        <f>IF(G410="Sim",IF(OR(F410="",D410="",L410=""),"",IF(L410="Sim",ROUND(F410-D410,2),0)),0)</f>
        <v/>
      </c>
      <c r="I410" s="350">
        <f>IF(G410="Sim",0,IF(OR(F410="",L410=""),"",F410))</f>
        <v/>
      </c>
      <c r="J410" s="350">
        <f>IF(G410="Sim",0,IF(OR(F410="",D410="",L410=""),"",IF(L410="Sim",ROUND(F410-D410,2),0)))</f>
        <v/>
      </c>
      <c r="K410" s="97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inlineStr">
        <is>
          <t>Nao</t>
        </is>
      </c>
      <c r="W410" s="110" t="inlineStr">
        <is>
          <t>PC em analise</t>
        </is>
      </c>
      <c r="X410" s="110" t="inlineStr">
        <is>
          <t>Pedido de Compra</t>
        </is>
      </c>
      <c r="Y410" s="111" t="inlineStr">
        <is>
          <t>Impacto Potencial</t>
        </is>
      </c>
      <c r="Z410" s="111" t="inlineStr">
        <is>
          <t>PC</t>
        </is>
      </c>
      <c r="AA410" s="111" t="inlineStr">
        <is>
          <t>Nao</t>
        </is>
      </c>
      <c r="AB410" s="111" t="inlineStr">
        <is>
          <t>NAO_COMPUTADO</t>
        </is>
      </c>
      <c r="AC410" s="112" t="inlineStr">
        <is>
          <t>Estrutura Fase 1: sem impacto no VTA oficial</t>
        </is>
      </c>
    </row>
    <row r="411" ht="25.5" customHeight="1" s="289">
      <c r="A411" s="205" t="n"/>
      <c r="B411" s="207" t="n"/>
      <c r="C411" s="104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348" t="n"/>
      <c r="E411" s="349">
        <f>IF(C411="","",IFERROR(VLOOKUP(C411,parametros!$A$11:$E$15,5,0),""))</f>
        <v/>
      </c>
      <c r="F411" s="335">
        <f>IF(OR(D411="",E411=""),"",ROUND(D411*E411,2))</f>
        <v/>
      </c>
      <c r="G411" s="106" t="n"/>
      <c r="H411" s="350">
        <f>IF(G411="Sim",IF(OR(F411="",D411="",L411=""),"",IF(L411="Sim",ROUND(F411-D411,2),0)),0)</f>
        <v/>
      </c>
      <c r="I411" s="350">
        <f>IF(G411="Sim",0,IF(OR(F411="",L411=""),"",F411))</f>
        <v/>
      </c>
      <c r="J411" s="350">
        <f>IF(G411="Sim",0,IF(OR(F411="",D411="",L411=""),"",IF(L411="Sim",ROUND(F411-D411,2),0)))</f>
        <v/>
      </c>
      <c r="K411" s="97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inlineStr">
        <is>
          <t>Nao</t>
        </is>
      </c>
      <c r="W411" s="110" t="inlineStr">
        <is>
          <t>PC em analise</t>
        </is>
      </c>
      <c r="X411" s="110" t="inlineStr">
        <is>
          <t>Pedido de Compra</t>
        </is>
      </c>
      <c r="Y411" s="111" t="inlineStr">
        <is>
          <t>Impacto Potencial</t>
        </is>
      </c>
      <c r="Z411" s="111" t="inlineStr">
        <is>
          <t>PC</t>
        </is>
      </c>
      <c r="AA411" s="111" t="inlineStr">
        <is>
          <t>Nao</t>
        </is>
      </c>
      <c r="AB411" s="111" t="inlineStr">
        <is>
          <t>NAO_COMPUTADO</t>
        </is>
      </c>
      <c r="AC411" s="112" t="inlineStr">
        <is>
          <t>Estrutura Fase 1: sem impacto no VTA oficial</t>
        </is>
      </c>
    </row>
    <row r="412" ht="25.5" customHeight="1" s="289">
      <c r="A412" s="205" t="n"/>
      <c r="B412" s="207" t="n"/>
      <c r="C412" s="104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348" t="n"/>
      <c r="E412" s="349">
        <f>IF(C412="","",IFERROR(VLOOKUP(C412,parametros!$A$11:$E$15,5,0),""))</f>
        <v/>
      </c>
      <c r="F412" s="335">
        <f>IF(OR(D412="",E412=""),"",ROUND(D412*E412,2))</f>
        <v/>
      </c>
      <c r="G412" s="106" t="n"/>
      <c r="H412" s="350">
        <f>IF(G412="Sim",IF(OR(F412="",D412="",L412=""),"",IF(L412="Sim",ROUND(F412-D412,2),0)),0)</f>
        <v/>
      </c>
      <c r="I412" s="350">
        <f>IF(G412="Sim",0,IF(OR(F412="",L412=""),"",F412))</f>
        <v/>
      </c>
      <c r="J412" s="350">
        <f>IF(G412="Sim",0,IF(OR(F412="",D412="",L412=""),"",IF(L412="Sim",ROUND(F412-D412,2),0)))</f>
        <v/>
      </c>
      <c r="K412" s="97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inlineStr">
        <is>
          <t>Nao</t>
        </is>
      </c>
      <c r="W412" s="110" t="inlineStr">
        <is>
          <t>PC em analise</t>
        </is>
      </c>
      <c r="X412" s="110" t="inlineStr">
        <is>
          <t>Pedido de Compra</t>
        </is>
      </c>
      <c r="Y412" s="111" t="inlineStr">
        <is>
          <t>Impacto Potencial</t>
        </is>
      </c>
      <c r="Z412" s="111" t="inlineStr">
        <is>
          <t>PC</t>
        </is>
      </c>
      <c r="AA412" s="111" t="inlineStr">
        <is>
          <t>Nao</t>
        </is>
      </c>
      <c r="AB412" s="111" t="inlineStr">
        <is>
          <t>NAO_COMPUTADO</t>
        </is>
      </c>
      <c r="AC412" s="112" t="inlineStr">
        <is>
          <t>Estrutura Fase 1: sem impacto no VTA oficial</t>
        </is>
      </c>
    </row>
    <row r="413" ht="25.5" customHeight="1" s="289">
      <c r="A413" s="205" t="n"/>
      <c r="B413" s="207" t="n"/>
      <c r="C413" s="104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348" t="n"/>
      <c r="E413" s="349">
        <f>IF(C413="","",IFERROR(VLOOKUP(C413,parametros!$A$11:$E$15,5,0),""))</f>
        <v/>
      </c>
      <c r="F413" s="335">
        <f>IF(OR(D413="",E413=""),"",ROUND(D413*E413,2))</f>
        <v/>
      </c>
      <c r="G413" s="106" t="n"/>
      <c r="H413" s="350">
        <f>IF(G413="Sim",IF(OR(F413="",D413="",L413=""),"",IF(L413="Sim",ROUND(F413-D413,2),0)),0)</f>
        <v/>
      </c>
      <c r="I413" s="350">
        <f>IF(G413="Sim",0,IF(OR(F413="",L413=""),"",F413))</f>
        <v/>
      </c>
      <c r="J413" s="350">
        <f>IF(G413="Sim",0,IF(OR(F413="",D413="",L413=""),"",IF(L413="Sim",ROUND(F413-D413,2),0)))</f>
        <v/>
      </c>
      <c r="K413" s="97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inlineStr">
        <is>
          <t>Nao</t>
        </is>
      </c>
      <c r="W413" s="110" t="inlineStr">
        <is>
          <t>PC em analise</t>
        </is>
      </c>
      <c r="X413" s="110" t="inlineStr">
        <is>
          <t>Pedido de Compra</t>
        </is>
      </c>
      <c r="Y413" s="111" t="inlineStr">
        <is>
          <t>Impacto Potencial</t>
        </is>
      </c>
      <c r="Z413" s="111" t="inlineStr">
        <is>
          <t>PC</t>
        </is>
      </c>
      <c r="AA413" s="111" t="inlineStr">
        <is>
          <t>Nao</t>
        </is>
      </c>
      <c r="AB413" s="111" t="inlineStr">
        <is>
          <t>NAO_COMPUTADO</t>
        </is>
      </c>
      <c r="AC413" s="112" t="inlineStr">
        <is>
          <t>Estrutura Fase 1: sem impacto no VTA oficial</t>
        </is>
      </c>
    </row>
    <row r="414" ht="25.5" customHeight="1" s="289">
      <c r="A414" s="205" t="n"/>
      <c r="B414" s="207" t="n"/>
      <c r="C414" s="104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348" t="n"/>
      <c r="E414" s="349">
        <f>IF(C414="","",IFERROR(VLOOKUP(C414,parametros!$A$11:$E$15,5,0),""))</f>
        <v/>
      </c>
      <c r="F414" s="335">
        <f>IF(OR(D414="",E414=""),"",ROUND(D414*E414,2))</f>
        <v/>
      </c>
      <c r="G414" s="106" t="n"/>
      <c r="H414" s="350">
        <f>IF(G414="Sim",IF(OR(F414="",D414="",L414=""),"",IF(L414="Sim",ROUND(F414-D414,2),0)),0)</f>
        <v/>
      </c>
      <c r="I414" s="350">
        <f>IF(G414="Sim",0,IF(OR(F414="",L414=""),"",F414))</f>
        <v/>
      </c>
      <c r="J414" s="350">
        <f>IF(G414="Sim",0,IF(OR(F414="",D414="",L414=""),"",IF(L414="Sim",ROUND(F414-D414,2),0)))</f>
        <v/>
      </c>
      <c r="K414" s="97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inlineStr">
        <is>
          <t>Nao</t>
        </is>
      </c>
      <c r="W414" s="110" t="inlineStr">
        <is>
          <t>PC em analise</t>
        </is>
      </c>
      <c r="X414" s="110" t="inlineStr">
        <is>
          <t>Pedido de Compra</t>
        </is>
      </c>
      <c r="Y414" s="111" t="inlineStr">
        <is>
          <t>Impacto Potencial</t>
        </is>
      </c>
      <c r="Z414" s="111" t="inlineStr">
        <is>
          <t>PC</t>
        </is>
      </c>
      <c r="AA414" s="111" t="inlineStr">
        <is>
          <t>Nao</t>
        </is>
      </c>
      <c r="AB414" s="111" t="inlineStr">
        <is>
          <t>NAO_COMPUTADO</t>
        </is>
      </c>
      <c r="AC414" s="112" t="inlineStr">
        <is>
          <t>Estrutura Fase 1: sem impacto no VTA oficial</t>
        </is>
      </c>
    </row>
    <row r="415" ht="25.5" customHeight="1" s="289">
      <c r="A415" s="205" t="n"/>
      <c r="B415" s="207" t="n"/>
      <c r="C415" s="104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348" t="n"/>
      <c r="E415" s="349">
        <f>IF(C415="","",IFERROR(VLOOKUP(C415,parametros!$A$11:$E$15,5,0),""))</f>
        <v/>
      </c>
      <c r="F415" s="335">
        <f>IF(OR(D415="",E415=""),"",ROUND(D415*E415,2))</f>
        <v/>
      </c>
      <c r="G415" s="106" t="n"/>
      <c r="H415" s="350">
        <f>IF(G415="Sim",IF(OR(F415="",D415="",L415=""),"",IF(L415="Sim",ROUND(F415-D415,2),0)),0)</f>
        <v/>
      </c>
      <c r="I415" s="350">
        <f>IF(G415="Sim",0,IF(OR(F415="",L415=""),"",F415))</f>
        <v/>
      </c>
      <c r="J415" s="350">
        <f>IF(G415="Sim",0,IF(OR(F415="",D415="",L415=""),"",IF(L415="Sim",ROUND(F415-D415,2),0)))</f>
        <v/>
      </c>
      <c r="K415" s="97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inlineStr">
        <is>
          <t>Nao</t>
        </is>
      </c>
      <c r="W415" s="110" t="inlineStr">
        <is>
          <t>PC em analise</t>
        </is>
      </c>
      <c r="X415" s="110" t="inlineStr">
        <is>
          <t>Pedido de Compra</t>
        </is>
      </c>
      <c r="Y415" s="111" t="inlineStr">
        <is>
          <t>Impacto Potencial</t>
        </is>
      </c>
      <c r="Z415" s="111" t="inlineStr">
        <is>
          <t>PC</t>
        </is>
      </c>
      <c r="AA415" s="111" t="inlineStr">
        <is>
          <t>Nao</t>
        </is>
      </c>
      <c r="AB415" s="111" t="inlineStr">
        <is>
          <t>NAO_COMPUTADO</t>
        </is>
      </c>
      <c r="AC415" s="112" t="inlineStr">
        <is>
          <t>Estrutura Fase 1: sem impacto no VTA oficial</t>
        </is>
      </c>
    </row>
    <row r="416" ht="25.5" customHeight="1" s="289">
      <c r="A416" s="205" t="n"/>
      <c r="B416" s="207" t="n"/>
      <c r="C416" s="104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348" t="n"/>
      <c r="E416" s="349">
        <f>IF(C416="","",IFERROR(VLOOKUP(C416,parametros!$A$11:$E$15,5,0),""))</f>
        <v/>
      </c>
      <c r="F416" s="335">
        <f>IF(OR(D416="",E416=""),"",ROUND(D416*E416,2))</f>
        <v/>
      </c>
      <c r="G416" s="106" t="n"/>
      <c r="H416" s="350">
        <f>IF(G416="Sim",IF(OR(F416="",D416="",L416=""),"",IF(L416="Sim",ROUND(F416-D416,2),0)),0)</f>
        <v/>
      </c>
      <c r="I416" s="350">
        <f>IF(G416="Sim",0,IF(OR(F416="",L416=""),"",F416))</f>
        <v/>
      </c>
      <c r="J416" s="350">
        <f>IF(G416="Sim",0,IF(OR(F416="",D416="",L416=""),"",IF(L416="Sim",ROUND(F416-D416,2),0)))</f>
        <v/>
      </c>
      <c r="K416" s="97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inlineStr">
        <is>
          <t>Nao</t>
        </is>
      </c>
      <c r="W416" s="110" t="inlineStr">
        <is>
          <t>PC em analise</t>
        </is>
      </c>
      <c r="X416" s="110" t="inlineStr">
        <is>
          <t>Pedido de Compra</t>
        </is>
      </c>
      <c r="Y416" s="111" t="inlineStr">
        <is>
          <t>Impacto Potencial</t>
        </is>
      </c>
      <c r="Z416" s="111" t="inlineStr">
        <is>
          <t>PC</t>
        </is>
      </c>
      <c r="AA416" s="111" t="inlineStr">
        <is>
          <t>Nao</t>
        </is>
      </c>
      <c r="AB416" s="111" t="inlineStr">
        <is>
          <t>NAO_COMPUTADO</t>
        </is>
      </c>
      <c r="AC416" s="112" t="inlineStr">
        <is>
          <t>Estrutura Fase 1: sem impacto no VTA oficial</t>
        </is>
      </c>
    </row>
    <row r="417" ht="25.5" customHeight="1" s="289">
      <c r="A417" s="205" t="n"/>
      <c r="B417" s="207" t="n"/>
      <c r="C417" s="104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348" t="n"/>
      <c r="E417" s="349">
        <f>IF(C417="","",IFERROR(VLOOKUP(C417,parametros!$A$11:$E$15,5,0),""))</f>
        <v/>
      </c>
      <c r="F417" s="335">
        <f>IF(OR(D417="",E417=""),"",ROUND(D417*E417,2))</f>
        <v/>
      </c>
      <c r="G417" s="106" t="n"/>
      <c r="H417" s="350">
        <f>IF(G417="Sim",IF(OR(F417="",D417="",L417=""),"",IF(L417="Sim",ROUND(F417-D417,2),0)),0)</f>
        <v/>
      </c>
      <c r="I417" s="350">
        <f>IF(G417="Sim",0,IF(OR(F417="",L417=""),"",F417))</f>
        <v/>
      </c>
      <c r="J417" s="350">
        <f>IF(G417="Sim",0,IF(OR(F417="",D417="",L417=""),"",IF(L417="Sim",ROUND(F417-D417,2),0)))</f>
        <v/>
      </c>
      <c r="K417" s="97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inlineStr">
        <is>
          <t>Nao</t>
        </is>
      </c>
      <c r="W417" s="110" t="inlineStr">
        <is>
          <t>PC em analise</t>
        </is>
      </c>
      <c r="X417" s="110" t="inlineStr">
        <is>
          <t>Pedido de Compra</t>
        </is>
      </c>
      <c r="Y417" s="111" t="inlineStr">
        <is>
          <t>Impacto Potencial</t>
        </is>
      </c>
      <c r="Z417" s="111" t="inlineStr">
        <is>
          <t>PC</t>
        </is>
      </c>
      <c r="AA417" s="111" t="inlineStr">
        <is>
          <t>Nao</t>
        </is>
      </c>
      <c r="AB417" s="111" t="inlineStr">
        <is>
          <t>NAO_COMPUTADO</t>
        </is>
      </c>
      <c r="AC417" s="112" t="inlineStr">
        <is>
          <t>Estrutura Fase 1: sem impacto no VTA oficial</t>
        </is>
      </c>
    </row>
    <row r="418" ht="25.5" customHeight="1" s="289">
      <c r="A418" s="205" t="n"/>
      <c r="B418" s="207" t="n"/>
      <c r="C418" s="104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348" t="n"/>
      <c r="E418" s="349">
        <f>IF(C418="","",IFERROR(VLOOKUP(C418,parametros!$A$11:$E$15,5,0),""))</f>
        <v/>
      </c>
      <c r="F418" s="335">
        <f>IF(OR(D418="",E418=""),"",ROUND(D418*E418,2))</f>
        <v/>
      </c>
      <c r="G418" s="106" t="n"/>
      <c r="H418" s="350">
        <f>IF(G418="Sim",IF(OR(F418="",D418="",L418=""),"",IF(L418="Sim",ROUND(F418-D418,2),0)),0)</f>
        <v/>
      </c>
      <c r="I418" s="350">
        <f>IF(G418="Sim",0,IF(OR(F418="",L418=""),"",F418))</f>
        <v/>
      </c>
      <c r="J418" s="350">
        <f>IF(G418="Sim",0,IF(OR(F418="",D418="",L418=""),"",IF(L418="Sim",ROUND(F418-D418,2),0)))</f>
        <v/>
      </c>
      <c r="K418" s="97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inlineStr">
        <is>
          <t>Nao</t>
        </is>
      </c>
      <c r="W418" s="110" t="inlineStr">
        <is>
          <t>PC em analise</t>
        </is>
      </c>
      <c r="X418" s="110" t="inlineStr">
        <is>
          <t>Pedido de Compra</t>
        </is>
      </c>
      <c r="Y418" s="111" t="inlineStr">
        <is>
          <t>Impacto Potencial</t>
        </is>
      </c>
      <c r="Z418" s="111" t="inlineStr">
        <is>
          <t>PC</t>
        </is>
      </c>
      <c r="AA418" s="111" t="inlineStr">
        <is>
          <t>Nao</t>
        </is>
      </c>
      <c r="AB418" s="111" t="inlineStr">
        <is>
          <t>NAO_COMPUTADO</t>
        </is>
      </c>
      <c r="AC418" s="112" t="inlineStr">
        <is>
          <t>Estrutura Fase 1: sem impacto no VTA oficial</t>
        </is>
      </c>
    </row>
    <row r="419" ht="25.5" customHeight="1" s="289">
      <c r="A419" s="205" t="n"/>
      <c r="B419" s="207" t="n"/>
      <c r="C419" s="104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348" t="n"/>
      <c r="E419" s="349">
        <f>IF(C419="","",IFERROR(VLOOKUP(C419,parametros!$A$11:$E$15,5,0),""))</f>
        <v/>
      </c>
      <c r="F419" s="335">
        <f>IF(OR(D419="",E419=""),"",ROUND(D419*E419,2))</f>
        <v/>
      </c>
      <c r="G419" s="106" t="n"/>
      <c r="H419" s="350">
        <f>IF(G419="Sim",IF(OR(F419="",D419="",L419=""),"",IF(L419="Sim",ROUND(F419-D419,2),0)),0)</f>
        <v/>
      </c>
      <c r="I419" s="350">
        <f>IF(G419="Sim",0,IF(OR(F419="",L419=""),"",F419))</f>
        <v/>
      </c>
      <c r="J419" s="350">
        <f>IF(G419="Sim",0,IF(OR(F419="",D419="",L419=""),"",IF(L419="Sim",ROUND(F419-D419,2),0)))</f>
        <v/>
      </c>
      <c r="K419" s="97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inlineStr">
        <is>
          <t>Nao</t>
        </is>
      </c>
      <c r="W419" s="110" t="inlineStr">
        <is>
          <t>PC em analise</t>
        </is>
      </c>
      <c r="X419" s="110" t="inlineStr">
        <is>
          <t>Pedido de Compra</t>
        </is>
      </c>
      <c r="Y419" s="111" t="inlineStr">
        <is>
          <t>Impacto Potencial</t>
        </is>
      </c>
      <c r="Z419" s="111" t="inlineStr">
        <is>
          <t>PC</t>
        </is>
      </c>
      <c r="AA419" s="111" t="inlineStr">
        <is>
          <t>Nao</t>
        </is>
      </c>
      <c r="AB419" s="111" t="inlineStr">
        <is>
          <t>NAO_COMPUTADO</t>
        </is>
      </c>
      <c r="AC419" s="112" t="inlineStr">
        <is>
          <t>Estrutura Fase 1: sem impacto no VTA oficial</t>
        </is>
      </c>
    </row>
    <row r="420" ht="25.5" customHeight="1" s="289">
      <c r="A420" s="205" t="n"/>
      <c r="B420" s="207" t="n"/>
      <c r="C420" s="104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348" t="n"/>
      <c r="E420" s="349">
        <f>IF(C420="","",IFERROR(VLOOKUP(C420,parametros!$A$11:$E$15,5,0),""))</f>
        <v/>
      </c>
      <c r="F420" s="335">
        <f>IF(OR(D420="",E420=""),"",ROUND(D420*E420,2))</f>
        <v/>
      </c>
      <c r="G420" s="106" t="n"/>
      <c r="H420" s="350">
        <f>IF(G420="Sim",IF(OR(F420="",D420="",L420=""),"",IF(L420="Sim",ROUND(F420-D420,2),0)),0)</f>
        <v/>
      </c>
      <c r="I420" s="350">
        <f>IF(G420="Sim",0,IF(OR(F420="",L420=""),"",F420))</f>
        <v/>
      </c>
      <c r="J420" s="350">
        <f>IF(G420="Sim",0,IF(OR(F420="",D420="",L420=""),"",IF(L420="Sim",ROUND(F420-D420,2),0)))</f>
        <v/>
      </c>
      <c r="K420" s="97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inlineStr">
        <is>
          <t>Nao</t>
        </is>
      </c>
      <c r="W420" s="110" t="inlineStr">
        <is>
          <t>PC em analise</t>
        </is>
      </c>
      <c r="X420" s="110" t="inlineStr">
        <is>
          <t>Pedido de Compra</t>
        </is>
      </c>
      <c r="Y420" s="111" t="inlineStr">
        <is>
          <t>Impacto Potencial</t>
        </is>
      </c>
      <c r="Z420" s="111" t="inlineStr">
        <is>
          <t>PC</t>
        </is>
      </c>
      <c r="AA420" s="111" t="inlineStr">
        <is>
          <t>Nao</t>
        </is>
      </c>
      <c r="AB420" s="111" t="inlineStr">
        <is>
          <t>NAO_COMPUTADO</t>
        </is>
      </c>
      <c r="AC420" s="112" t="inlineStr">
        <is>
          <t>Estrutura Fase 1: sem impacto no VTA oficial</t>
        </is>
      </c>
    </row>
    <row r="421" ht="25.5" customHeight="1" s="289">
      <c r="A421" s="205" t="n"/>
      <c r="B421" s="207" t="n"/>
      <c r="C421" s="104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348" t="n"/>
      <c r="E421" s="349">
        <f>IF(C421="","",IFERROR(VLOOKUP(C421,parametros!$A$11:$E$15,5,0),""))</f>
        <v/>
      </c>
      <c r="F421" s="335">
        <f>IF(OR(D421="",E421=""),"",ROUND(D421*E421,2))</f>
        <v/>
      </c>
      <c r="G421" s="106" t="n"/>
      <c r="H421" s="350">
        <f>IF(G421="Sim",IF(OR(F421="",D421="",L421=""),"",IF(L421="Sim",ROUND(F421-D421,2),0)),0)</f>
        <v/>
      </c>
      <c r="I421" s="350">
        <f>IF(G421="Sim",0,IF(OR(F421="",L421=""),"",F421))</f>
        <v/>
      </c>
      <c r="J421" s="350">
        <f>IF(G421="Sim",0,IF(OR(F421="",D421="",L421=""),"",IF(L421="Sim",ROUND(F421-D421,2),0)))</f>
        <v/>
      </c>
      <c r="K421" s="97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inlineStr">
        <is>
          <t>Nao</t>
        </is>
      </c>
      <c r="W421" s="110" t="inlineStr">
        <is>
          <t>PC em analise</t>
        </is>
      </c>
      <c r="X421" s="110" t="inlineStr">
        <is>
          <t>Pedido de Compra</t>
        </is>
      </c>
      <c r="Y421" s="111" t="inlineStr">
        <is>
          <t>Impacto Potencial</t>
        </is>
      </c>
      <c r="Z421" s="111" t="inlineStr">
        <is>
          <t>PC</t>
        </is>
      </c>
      <c r="AA421" s="111" t="inlineStr">
        <is>
          <t>Nao</t>
        </is>
      </c>
      <c r="AB421" s="111" t="inlineStr">
        <is>
          <t>NAO_COMPUTADO</t>
        </is>
      </c>
      <c r="AC421" s="112" t="inlineStr">
        <is>
          <t>Estrutura Fase 1: sem impacto no VTA oficial</t>
        </is>
      </c>
    </row>
    <row r="422" ht="25.5" customHeight="1" s="289">
      <c r="A422" s="205" t="n"/>
      <c r="B422" s="207" t="n"/>
      <c r="C422" s="104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348" t="n"/>
      <c r="E422" s="349">
        <f>IF(C422="","",IFERROR(VLOOKUP(C422,parametros!$A$11:$E$15,5,0),""))</f>
        <v/>
      </c>
      <c r="F422" s="335">
        <f>IF(OR(D422="",E422=""),"",ROUND(D422*E422,2))</f>
        <v/>
      </c>
      <c r="G422" s="106" t="n"/>
      <c r="H422" s="350">
        <f>IF(G422="Sim",IF(OR(F422="",D422="",L422=""),"",IF(L422="Sim",ROUND(F422-D422,2),0)),0)</f>
        <v/>
      </c>
      <c r="I422" s="350">
        <f>IF(G422="Sim",0,IF(OR(F422="",L422=""),"",F422))</f>
        <v/>
      </c>
      <c r="J422" s="350">
        <f>IF(G422="Sim",0,IF(OR(F422="",D422="",L422=""),"",IF(L422="Sim",ROUND(F422-D422,2),0)))</f>
        <v/>
      </c>
      <c r="K422" s="97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inlineStr">
        <is>
          <t>Nao</t>
        </is>
      </c>
      <c r="W422" s="110" t="inlineStr">
        <is>
          <t>PC em analise</t>
        </is>
      </c>
      <c r="X422" s="110" t="inlineStr">
        <is>
          <t>Pedido de Compra</t>
        </is>
      </c>
      <c r="Y422" s="111" t="inlineStr">
        <is>
          <t>Impacto Potencial</t>
        </is>
      </c>
      <c r="Z422" s="111" t="inlineStr">
        <is>
          <t>PC</t>
        </is>
      </c>
      <c r="AA422" s="111" t="inlineStr">
        <is>
          <t>Nao</t>
        </is>
      </c>
      <c r="AB422" s="111" t="inlineStr">
        <is>
          <t>NAO_COMPUTADO</t>
        </is>
      </c>
      <c r="AC422" s="112" t="inlineStr">
        <is>
          <t>Estrutura Fase 1: sem impacto no VTA oficial</t>
        </is>
      </c>
    </row>
    <row r="423" ht="25.5" customHeight="1" s="289">
      <c r="A423" s="205" t="n"/>
      <c r="B423" s="207" t="n"/>
      <c r="C423" s="104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348" t="n"/>
      <c r="E423" s="349">
        <f>IF(C423="","",IFERROR(VLOOKUP(C423,parametros!$A$11:$E$15,5,0),""))</f>
        <v/>
      </c>
      <c r="F423" s="335">
        <f>IF(OR(D423="",E423=""),"",ROUND(D423*E423,2))</f>
        <v/>
      </c>
      <c r="G423" s="106" t="n"/>
      <c r="H423" s="350">
        <f>IF(G423="Sim",IF(OR(F423="",D423="",L423=""),"",IF(L423="Sim",ROUND(F423-D423,2),0)),0)</f>
        <v/>
      </c>
      <c r="I423" s="350">
        <f>IF(G423="Sim",0,IF(OR(F423="",L423=""),"",F423))</f>
        <v/>
      </c>
      <c r="J423" s="350">
        <f>IF(G423="Sim",0,IF(OR(F423="",D423="",L423=""),"",IF(L423="Sim",ROUND(F423-D423,2),0)))</f>
        <v/>
      </c>
      <c r="K423" s="97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inlineStr">
        <is>
          <t>Nao</t>
        </is>
      </c>
      <c r="W423" s="110" t="inlineStr">
        <is>
          <t>PC em analise</t>
        </is>
      </c>
      <c r="X423" s="110" t="inlineStr">
        <is>
          <t>Pedido de Compra</t>
        </is>
      </c>
      <c r="Y423" s="111" t="inlineStr">
        <is>
          <t>Impacto Potencial</t>
        </is>
      </c>
      <c r="Z423" s="111" t="inlineStr">
        <is>
          <t>PC</t>
        </is>
      </c>
      <c r="AA423" s="111" t="inlineStr">
        <is>
          <t>Nao</t>
        </is>
      </c>
      <c r="AB423" s="111" t="inlineStr">
        <is>
          <t>NAO_COMPUTADO</t>
        </is>
      </c>
      <c r="AC423" s="112" t="inlineStr">
        <is>
          <t>Estrutura Fase 1: sem impacto no VTA oficial</t>
        </is>
      </c>
    </row>
    <row r="424" ht="25.5" customHeight="1" s="289">
      <c r="A424" s="205" t="n"/>
      <c r="B424" s="207" t="n"/>
      <c r="C424" s="104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348" t="n"/>
      <c r="E424" s="349">
        <f>IF(C424="","",IFERROR(VLOOKUP(C424,parametros!$A$11:$E$15,5,0),""))</f>
        <v/>
      </c>
      <c r="F424" s="335">
        <f>IF(OR(D424="",E424=""),"",ROUND(D424*E424,2))</f>
        <v/>
      </c>
      <c r="G424" s="106" t="n"/>
      <c r="H424" s="350">
        <f>IF(G424="Sim",IF(OR(F424="",D424="",L424=""),"",IF(L424="Sim",ROUND(F424-D424,2),0)),0)</f>
        <v/>
      </c>
      <c r="I424" s="350">
        <f>IF(G424="Sim",0,IF(OR(F424="",L424=""),"",F424))</f>
        <v/>
      </c>
      <c r="J424" s="350">
        <f>IF(G424="Sim",0,IF(OR(F424="",D424="",L424=""),"",IF(L424="Sim",ROUND(F424-D424,2),0)))</f>
        <v/>
      </c>
      <c r="K424" s="97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inlineStr">
        <is>
          <t>Nao</t>
        </is>
      </c>
      <c r="W424" s="110" t="inlineStr">
        <is>
          <t>PC em analise</t>
        </is>
      </c>
      <c r="X424" s="110" t="inlineStr">
        <is>
          <t>Pedido de Compra</t>
        </is>
      </c>
      <c r="Y424" s="111" t="inlineStr">
        <is>
          <t>Impacto Potencial</t>
        </is>
      </c>
      <c r="Z424" s="111" t="inlineStr">
        <is>
          <t>PC</t>
        </is>
      </c>
      <c r="AA424" s="111" t="inlineStr">
        <is>
          <t>Nao</t>
        </is>
      </c>
      <c r="AB424" s="111" t="inlineStr">
        <is>
          <t>NAO_COMPUTADO</t>
        </is>
      </c>
      <c r="AC424" s="112" t="inlineStr">
        <is>
          <t>Estrutura Fase 1: sem impacto no VTA oficial</t>
        </is>
      </c>
    </row>
    <row r="425" ht="25.5" customHeight="1" s="289">
      <c r="A425" s="205" t="n"/>
      <c r="B425" s="207" t="n"/>
      <c r="C425" s="104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348" t="n"/>
      <c r="E425" s="349">
        <f>IF(C425="","",IFERROR(VLOOKUP(C425,parametros!$A$11:$E$15,5,0),""))</f>
        <v/>
      </c>
      <c r="F425" s="335">
        <f>IF(OR(D425="",E425=""),"",ROUND(D425*E425,2))</f>
        <v/>
      </c>
      <c r="G425" s="106" t="n"/>
      <c r="H425" s="350">
        <f>IF(G425="Sim",IF(OR(F425="",D425="",L425=""),"",IF(L425="Sim",ROUND(F425-D425,2),0)),0)</f>
        <v/>
      </c>
      <c r="I425" s="350">
        <f>IF(G425="Sim",0,IF(OR(F425="",L425=""),"",F425))</f>
        <v/>
      </c>
      <c r="J425" s="350">
        <f>IF(G425="Sim",0,IF(OR(F425="",D425="",L425=""),"",IF(L425="Sim",ROUND(F425-D425,2),0)))</f>
        <v/>
      </c>
      <c r="K425" s="97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inlineStr">
        <is>
          <t>Nao</t>
        </is>
      </c>
      <c r="W425" s="110" t="inlineStr">
        <is>
          <t>PC em analise</t>
        </is>
      </c>
      <c r="X425" s="110" t="inlineStr">
        <is>
          <t>Pedido de Compra</t>
        </is>
      </c>
      <c r="Y425" s="111" t="inlineStr">
        <is>
          <t>Impacto Potencial</t>
        </is>
      </c>
      <c r="Z425" s="111" t="inlineStr">
        <is>
          <t>PC</t>
        </is>
      </c>
      <c r="AA425" s="111" t="inlineStr">
        <is>
          <t>Nao</t>
        </is>
      </c>
      <c r="AB425" s="111" t="inlineStr">
        <is>
          <t>NAO_COMPUTADO</t>
        </is>
      </c>
      <c r="AC425" s="112" t="inlineStr">
        <is>
          <t>Estrutura Fase 1: sem impacto no VTA oficial</t>
        </is>
      </c>
    </row>
    <row r="426" ht="25.5" customHeight="1" s="289">
      <c r="A426" s="205" t="n"/>
      <c r="B426" s="207" t="n"/>
      <c r="C426" s="104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348" t="n"/>
      <c r="E426" s="349">
        <f>IF(C426="","",IFERROR(VLOOKUP(C426,parametros!$A$11:$E$15,5,0),""))</f>
        <v/>
      </c>
      <c r="F426" s="335">
        <f>IF(OR(D426="",E426=""),"",ROUND(D426*E426,2))</f>
        <v/>
      </c>
      <c r="G426" s="106" t="n"/>
      <c r="H426" s="350">
        <f>IF(G426="Sim",IF(OR(F426="",D426="",L426=""),"",IF(L426="Sim",ROUND(F426-D426,2),0)),0)</f>
        <v/>
      </c>
      <c r="I426" s="350">
        <f>IF(G426="Sim",0,IF(OR(F426="",L426=""),"",F426))</f>
        <v/>
      </c>
      <c r="J426" s="350">
        <f>IF(G426="Sim",0,IF(OR(F426="",D426="",L426=""),"",IF(L426="Sim",ROUND(F426-D426,2),0)))</f>
        <v/>
      </c>
      <c r="K426" s="97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inlineStr">
        <is>
          <t>Nao</t>
        </is>
      </c>
      <c r="W426" s="110" t="inlineStr">
        <is>
          <t>PC em analise</t>
        </is>
      </c>
      <c r="X426" s="110" t="inlineStr">
        <is>
          <t>Pedido de Compra</t>
        </is>
      </c>
      <c r="Y426" s="111" t="inlineStr">
        <is>
          <t>Impacto Potencial</t>
        </is>
      </c>
      <c r="Z426" s="111" t="inlineStr">
        <is>
          <t>PC</t>
        </is>
      </c>
      <c r="AA426" s="111" t="inlineStr">
        <is>
          <t>Nao</t>
        </is>
      </c>
      <c r="AB426" s="111" t="inlineStr">
        <is>
          <t>NAO_COMPUTADO</t>
        </is>
      </c>
      <c r="AC426" s="112" t="inlineStr">
        <is>
          <t>Estrutura Fase 1: sem impacto no VTA oficial</t>
        </is>
      </c>
    </row>
    <row r="427" ht="25.5" customHeight="1" s="289">
      <c r="A427" s="205" t="n"/>
      <c r="B427" s="207" t="n"/>
      <c r="C427" s="104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348" t="n"/>
      <c r="E427" s="349">
        <f>IF(C427="","",IFERROR(VLOOKUP(C427,parametros!$A$11:$E$15,5,0),""))</f>
        <v/>
      </c>
      <c r="F427" s="335">
        <f>IF(OR(D427="",E427=""),"",ROUND(D427*E427,2))</f>
        <v/>
      </c>
      <c r="G427" s="106" t="n"/>
      <c r="H427" s="350">
        <f>IF(G427="Sim",IF(OR(F427="",D427="",L427=""),"",IF(L427="Sim",ROUND(F427-D427,2),0)),0)</f>
        <v/>
      </c>
      <c r="I427" s="350">
        <f>IF(G427="Sim",0,IF(OR(F427="",L427=""),"",F427))</f>
        <v/>
      </c>
      <c r="J427" s="350">
        <f>IF(G427="Sim",0,IF(OR(F427="",D427="",L427=""),"",IF(L427="Sim",ROUND(F427-D427,2),0)))</f>
        <v/>
      </c>
      <c r="K427" s="97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inlineStr">
        <is>
          <t>Nao</t>
        </is>
      </c>
      <c r="W427" s="110" t="inlineStr">
        <is>
          <t>PC em analise</t>
        </is>
      </c>
      <c r="X427" s="110" t="inlineStr">
        <is>
          <t>Pedido de Compra</t>
        </is>
      </c>
      <c r="Y427" s="111" t="inlineStr">
        <is>
          <t>Impacto Potencial</t>
        </is>
      </c>
      <c r="Z427" s="111" t="inlineStr">
        <is>
          <t>PC</t>
        </is>
      </c>
      <c r="AA427" s="111" t="inlineStr">
        <is>
          <t>Nao</t>
        </is>
      </c>
      <c r="AB427" s="111" t="inlineStr">
        <is>
          <t>NAO_COMPUTADO</t>
        </is>
      </c>
      <c r="AC427" s="112" t="inlineStr">
        <is>
          <t>Estrutura Fase 1: sem impacto no VTA oficial</t>
        </is>
      </c>
    </row>
    <row r="428" ht="25.5" customHeight="1" s="289">
      <c r="A428" s="205" t="n"/>
      <c r="B428" s="207" t="n"/>
      <c r="C428" s="104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348" t="n"/>
      <c r="E428" s="349">
        <f>IF(C428="","",IFERROR(VLOOKUP(C428,parametros!$A$11:$E$15,5,0),""))</f>
        <v/>
      </c>
      <c r="F428" s="335">
        <f>IF(OR(D428="",E428=""),"",ROUND(D428*E428,2))</f>
        <v/>
      </c>
      <c r="G428" s="106" t="n"/>
      <c r="H428" s="350">
        <f>IF(G428="Sim",IF(OR(F428="",D428="",L428=""),"",IF(L428="Sim",ROUND(F428-D428,2),0)),0)</f>
        <v/>
      </c>
      <c r="I428" s="350">
        <f>IF(G428="Sim",0,IF(OR(F428="",L428=""),"",F428))</f>
        <v/>
      </c>
      <c r="J428" s="350">
        <f>IF(G428="Sim",0,IF(OR(F428="",D428="",L428=""),"",IF(L428="Sim",ROUND(F428-D428,2),0)))</f>
        <v/>
      </c>
      <c r="K428" s="97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inlineStr">
        <is>
          <t>Nao</t>
        </is>
      </c>
      <c r="W428" s="110" t="inlineStr">
        <is>
          <t>PC em analise</t>
        </is>
      </c>
      <c r="X428" s="110" t="inlineStr">
        <is>
          <t>Pedido de Compra</t>
        </is>
      </c>
      <c r="Y428" s="111" t="inlineStr">
        <is>
          <t>Impacto Potencial</t>
        </is>
      </c>
      <c r="Z428" s="111" t="inlineStr">
        <is>
          <t>PC</t>
        </is>
      </c>
      <c r="AA428" s="111" t="inlineStr">
        <is>
          <t>Nao</t>
        </is>
      </c>
      <c r="AB428" s="111" t="inlineStr">
        <is>
          <t>NAO_COMPUTADO</t>
        </is>
      </c>
      <c r="AC428" s="112" t="inlineStr">
        <is>
          <t>Estrutura Fase 1: sem impacto no VTA oficial</t>
        </is>
      </c>
    </row>
    <row r="429" ht="25.5" customHeight="1" s="289">
      <c r="A429" s="205" t="n"/>
      <c r="B429" s="207" t="n"/>
      <c r="C429" s="104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348" t="n"/>
      <c r="E429" s="349">
        <f>IF(C429="","",IFERROR(VLOOKUP(C429,parametros!$A$11:$E$15,5,0),""))</f>
        <v/>
      </c>
      <c r="F429" s="335">
        <f>IF(OR(D429="",E429=""),"",ROUND(D429*E429,2))</f>
        <v/>
      </c>
      <c r="G429" s="106" t="n"/>
      <c r="H429" s="350">
        <f>IF(G429="Sim",IF(OR(F429="",D429="",L429=""),"",IF(L429="Sim",ROUND(F429-D429,2),0)),0)</f>
        <v/>
      </c>
      <c r="I429" s="350">
        <f>IF(G429="Sim",0,IF(OR(F429="",L429=""),"",F429))</f>
        <v/>
      </c>
      <c r="J429" s="350">
        <f>IF(G429="Sim",0,IF(OR(F429="",D429="",L429=""),"",IF(L429="Sim",ROUND(F429-D429,2),0)))</f>
        <v/>
      </c>
      <c r="K429" s="97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inlineStr">
        <is>
          <t>Nao</t>
        </is>
      </c>
      <c r="W429" s="110" t="inlineStr">
        <is>
          <t>PC em analise</t>
        </is>
      </c>
      <c r="X429" s="110" t="inlineStr">
        <is>
          <t>Pedido de Compra</t>
        </is>
      </c>
      <c r="Y429" s="111" t="inlineStr">
        <is>
          <t>Impacto Potencial</t>
        </is>
      </c>
      <c r="Z429" s="111" t="inlineStr">
        <is>
          <t>PC</t>
        </is>
      </c>
      <c r="AA429" s="111" t="inlineStr">
        <is>
          <t>Nao</t>
        </is>
      </c>
      <c r="AB429" s="111" t="inlineStr">
        <is>
          <t>NAO_COMPUTADO</t>
        </is>
      </c>
      <c r="AC429" s="112" t="inlineStr">
        <is>
          <t>Estrutura Fase 1: sem impacto no VTA oficial</t>
        </is>
      </c>
    </row>
    <row r="430" ht="25.5" customHeight="1" s="289">
      <c r="A430" s="205" t="n"/>
      <c r="B430" s="207" t="n"/>
      <c r="C430" s="104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348" t="n"/>
      <c r="E430" s="349">
        <f>IF(C430="","",IFERROR(VLOOKUP(C430,parametros!$A$11:$E$15,5,0),""))</f>
        <v/>
      </c>
      <c r="F430" s="335">
        <f>IF(OR(D430="",E430=""),"",ROUND(D430*E430,2))</f>
        <v/>
      </c>
      <c r="G430" s="106" t="n"/>
      <c r="H430" s="350">
        <f>IF(G430="Sim",IF(OR(F430="",D430="",L430=""),"",IF(L430="Sim",ROUND(F430-D430,2),0)),0)</f>
        <v/>
      </c>
      <c r="I430" s="350">
        <f>IF(G430="Sim",0,IF(OR(F430="",L430=""),"",F430))</f>
        <v/>
      </c>
      <c r="J430" s="350">
        <f>IF(G430="Sim",0,IF(OR(F430="",D430="",L430=""),"",IF(L430="Sim",ROUND(F430-D430,2),0)))</f>
        <v/>
      </c>
      <c r="K430" s="97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inlineStr">
        <is>
          <t>Nao</t>
        </is>
      </c>
      <c r="W430" s="110" t="inlineStr">
        <is>
          <t>PC em analise</t>
        </is>
      </c>
      <c r="X430" s="110" t="inlineStr">
        <is>
          <t>Pedido de Compra</t>
        </is>
      </c>
      <c r="Y430" s="111" t="inlineStr">
        <is>
          <t>Impacto Potencial</t>
        </is>
      </c>
      <c r="Z430" s="111" t="inlineStr">
        <is>
          <t>PC</t>
        </is>
      </c>
      <c r="AA430" s="111" t="inlineStr">
        <is>
          <t>Nao</t>
        </is>
      </c>
      <c r="AB430" s="111" t="inlineStr">
        <is>
          <t>NAO_COMPUTADO</t>
        </is>
      </c>
      <c r="AC430" s="112" t="inlineStr">
        <is>
          <t>Estrutura Fase 1: sem impacto no VTA oficial</t>
        </is>
      </c>
    </row>
    <row r="431" ht="25.5" customHeight="1" s="289">
      <c r="A431" s="205" t="n"/>
      <c r="B431" s="207" t="n"/>
      <c r="C431" s="104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348" t="n"/>
      <c r="E431" s="349">
        <f>IF(C431="","",IFERROR(VLOOKUP(C431,parametros!$A$11:$E$15,5,0),""))</f>
        <v/>
      </c>
      <c r="F431" s="335">
        <f>IF(OR(D431="",E431=""),"",ROUND(D431*E431,2))</f>
        <v/>
      </c>
      <c r="G431" s="106" t="n"/>
      <c r="H431" s="350">
        <f>IF(G431="Sim",IF(OR(F431="",D431="",L431=""),"",IF(L431="Sim",ROUND(F431-D431,2),0)),0)</f>
        <v/>
      </c>
      <c r="I431" s="350">
        <f>IF(G431="Sim",0,IF(OR(F431="",L431=""),"",F431))</f>
        <v/>
      </c>
      <c r="J431" s="350">
        <f>IF(G431="Sim",0,IF(OR(F431="",D431="",L431=""),"",IF(L431="Sim",ROUND(F431-D431,2),0)))</f>
        <v/>
      </c>
      <c r="K431" s="97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inlineStr">
        <is>
          <t>Nao</t>
        </is>
      </c>
      <c r="W431" s="110" t="inlineStr">
        <is>
          <t>PC em analise</t>
        </is>
      </c>
      <c r="X431" s="110" t="inlineStr">
        <is>
          <t>Pedido de Compra</t>
        </is>
      </c>
      <c r="Y431" s="111" t="inlineStr">
        <is>
          <t>Impacto Potencial</t>
        </is>
      </c>
      <c r="Z431" s="111" t="inlineStr">
        <is>
          <t>PC</t>
        </is>
      </c>
      <c r="AA431" s="111" t="inlineStr">
        <is>
          <t>Nao</t>
        </is>
      </c>
      <c r="AB431" s="111" t="inlineStr">
        <is>
          <t>NAO_COMPUTADO</t>
        </is>
      </c>
      <c r="AC431" s="112" t="inlineStr">
        <is>
          <t>Estrutura Fase 1: sem impacto no VTA oficial</t>
        </is>
      </c>
    </row>
    <row r="432" ht="25.5" customHeight="1" s="289">
      <c r="A432" s="205" t="n"/>
      <c r="B432" s="207" t="n"/>
      <c r="C432" s="104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348" t="n"/>
      <c r="E432" s="349">
        <f>IF(C432="","",IFERROR(VLOOKUP(C432,parametros!$A$11:$E$15,5,0),""))</f>
        <v/>
      </c>
      <c r="F432" s="335">
        <f>IF(OR(D432="",E432=""),"",ROUND(D432*E432,2))</f>
        <v/>
      </c>
      <c r="G432" s="106" t="n"/>
      <c r="H432" s="350">
        <f>IF(G432="Sim",IF(OR(F432="",D432="",L432=""),"",IF(L432="Sim",ROUND(F432-D432,2),0)),0)</f>
        <v/>
      </c>
      <c r="I432" s="350">
        <f>IF(G432="Sim",0,IF(OR(F432="",L432=""),"",F432))</f>
        <v/>
      </c>
      <c r="J432" s="350">
        <f>IF(G432="Sim",0,IF(OR(F432="",D432="",L432=""),"",IF(L432="Sim",ROUND(F432-D432,2),0)))</f>
        <v/>
      </c>
      <c r="K432" s="97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inlineStr">
        <is>
          <t>Nao</t>
        </is>
      </c>
      <c r="W432" s="110" t="inlineStr">
        <is>
          <t>PC em analise</t>
        </is>
      </c>
      <c r="X432" s="110" t="inlineStr">
        <is>
          <t>Pedido de Compra</t>
        </is>
      </c>
      <c r="Y432" s="111" t="inlineStr">
        <is>
          <t>Impacto Potencial</t>
        </is>
      </c>
      <c r="Z432" s="111" t="inlineStr">
        <is>
          <t>PC</t>
        </is>
      </c>
      <c r="AA432" s="111" t="inlineStr">
        <is>
          <t>Nao</t>
        </is>
      </c>
      <c r="AB432" s="111" t="inlineStr">
        <is>
          <t>NAO_COMPUTADO</t>
        </is>
      </c>
      <c r="AC432" s="112" t="inlineStr">
        <is>
          <t>Estrutura Fase 1: sem impacto no VTA oficial</t>
        </is>
      </c>
    </row>
    <row r="433" ht="25.5" customHeight="1" s="289">
      <c r="A433" s="205" t="n"/>
      <c r="B433" s="207" t="n"/>
      <c r="C433" s="104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348" t="n"/>
      <c r="E433" s="349">
        <f>IF(C433="","",IFERROR(VLOOKUP(C433,parametros!$A$11:$E$15,5,0),""))</f>
        <v/>
      </c>
      <c r="F433" s="335">
        <f>IF(OR(D433="",E433=""),"",ROUND(D433*E433,2))</f>
        <v/>
      </c>
      <c r="G433" s="106" t="n"/>
      <c r="H433" s="350">
        <f>IF(G433="Sim",IF(OR(F433="",D433="",L433=""),"",IF(L433="Sim",ROUND(F433-D433,2),0)),0)</f>
        <v/>
      </c>
      <c r="I433" s="350">
        <f>IF(G433="Sim",0,IF(OR(F433="",L433=""),"",F433))</f>
        <v/>
      </c>
      <c r="J433" s="350">
        <f>IF(G433="Sim",0,IF(OR(F433="",D433="",L433=""),"",IF(L433="Sim",ROUND(F433-D433,2),0)))</f>
        <v/>
      </c>
      <c r="K433" s="97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inlineStr">
        <is>
          <t>Nao</t>
        </is>
      </c>
      <c r="W433" s="110" t="inlineStr">
        <is>
          <t>PC em analise</t>
        </is>
      </c>
      <c r="X433" s="110" t="inlineStr">
        <is>
          <t>Pedido de Compra</t>
        </is>
      </c>
      <c r="Y433" s="111" t="inlineStr">
        <is>
          <t>Impacto Potencial</t>
        </is>
      </c>
      <c r="Z433" s="111" t="inlineStr">
        <is>
          <t>PC</t>
        </is>
      </c>
      <c r="AA433" s="111" t="inlineStr">
        <is>
          <t>Nao</t>
        </is>
      </c>
      <c r="AB433" s="111" t="inlineStr">
        <is>
          <t>NAO_COMPUTADO</t>
        </is>
      </c>
      <c r="AC433" s="112" t="inlineStr">
        <is>
          <t>Estrutura Fase 1: sem impacto no VTA oficial</t>
        </is>
      </c>
    </row>
    <row r="434" ht="25.5" customHeight="1" s="289">
      <c r="A434" s="205" t="n"/>
      <c r="B434" s="207" t="n"/>
      <c r="C434" s="104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348" t="n"/>
      <c r="E434" s="349">
        <f>IF(C434="","",IFERROR(VLOOKUP(C434,parametros!$A$11:$E$15,5,0),""))</f>
        <v/>
      </c>
      <c r="F434" s="335">
        <f>IF(OR(D434="",E434=""),"",ROUND(D434*E434,2))</f>
        <v/>
      </c>
      <c r="G434" s="106" t="n"/>
      <c r="H434" s="350">
        <f>IF(G434="Sim",IF(OR(F434="",D434="",L434=""),"",IF(L434="Sim",ROUND(F434-D434,2),0)),0)</f>
        <v/>
      </c>
      <c r="I434" s="350">
        <f>IF(G434="Sim",0,IF(OR(F434="",L434=""),"",F434))</f>
        <v/>
      </c>
      <c r="J434" s="350">
        <f>IF(G434="Sim",0,IF(OR(F434="",D434="",L434=""),"",IF(L434="Sim",ROUND(F434-D434,2),0)))</f>
        <v/>
      </c>
      <c r="K434" s="97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inlineStr">
        <is>
          <t>Nao</t>
        </is>
      </c>
      <c r="W434" s="110" t="inlineStr">
        <is>
          <t>PC em analise</t>
        </is>
      </c>
      <c r="X434" s="110" t="inlineStr">
        <is>
          <t>Pedido de Compra</t>
        </is>
      </c>
      <c r="Y434" s="111" t="inlineStr">
        <is>
          <t>Impacto Potencial</t>
        </is>
      </c>
      <c r="Z434" s="111" t="inlineStr">
        <is>
          <t>PC</t>
        </is>
      </c>
      <c r="AA434" s="111" t="inlineStr">
        <is>
          <t>Nao</t>
        </is>
      </c>
      <c r="AB434" s="111" t="inlineStr">
        <is>
          <t>NAO_COMPUTADO</t>
        </is>
      </c>
      <c r="AC434" s="112" t="inlineStr">
        <is>
          <t>Estrutura Fase 1: sem impacto no VTA oficial</t>
        </is>
      </c>
    </row>
    <row r="435" ht="25.5" customHeight="1" s="289">
      <c r="A435" s="205" t="n"/>
      <c r="B435" s="207" t="n"/>
      <c r="C435" s="104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348" t="n"/>
      <c r="E435" s="349">
        <f>IF(C435="","",IFERROR(VLOOKUP(C435,parametros!$A$11:$E$15,5,0),""))</f>
        <v/>
      </c>
      <c r="F435" s="335">
        <f>IF(OR(D435="",E435=""),"",ROUND(D435*E435,2))</f>
        <v/>
      </c>
      <c r="G435" s="106" t="n"/>
      <c r="H435" s="350">
        <f>IF(G435="Sim",IF(OR(F435="",D435="",L435=""),"",IF(L435="Sim",ROUND(F435-D435,2),0)),0)</f>
        <v/>
      </c>
      <c r="I435" s="350">
        <f>IF(G435="Sim",0,IF(OR(F435="",L435=""),"",F435))</f>
        <v/>
      </c>
      <c r="J435" s="350">
        <f>IF(G435="Sim",0,IF(OR(F435="",D435="",L435=""),"",IF(L435="Sim",ROUND(F435-D435,2),0)))</f>
        <v/>
      </c>
      <c r="K435" s="97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inlineStr">
        <is>
          <t>Nao</t>
        </is>
      </c>
      <c r="W435" s="110" t="inlineStr">
        <is>
          <t>PC em analise</t>
        </is>
      </c>
      <c r="X435" s="110" t="inlineStr">
        <is>
          <t>Pedido de Compra</t>
        </is>
      </c>
      <c r="Y435" s="111" t="inlineStr">
        <is>
          <t>Impacto Potencial</t>
        </is>
      </c>
      <c r="Z435" s="111" t="inlineStr">
        <is>
          <t>PC</t>
        </is>
      </c>
      <c r="AA435" s="111" t="inlineStr">
        <is>
          <t>Nao</t>
        </is>
      </c>
      <c r="AB435" s="111" t="inlineStr">
        <is>
          <t>NAO_COMPUTADO</t>
        </is>
      </c>
      <c r="AC435" s="112" t="inlineStr">
        <is>
          <t>Estrutura Fase 1: sem impacto no VTA oficial</t>
        </is>
      </c>
    </row>
    <row r="436" ht="25.5" customHeight="1" s="289">
      <c r="A436" s="205" t="n"/>
      <c r="B436" s="207" t="n"/>
      <c r="C436" s="104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348" t="n"/>
      <c r="E436" s="349">
        <f>IF(C436="","",IFERROR(VLOOKUP(C436,parametros!$A$11:$E$15,5,0),""))</f>
        <v/>
      </c>
      <c r="F436" s="335">
        <f>IF(OR(D436="",E436=""),"",ROUND(D436*E436,2))</f>
        <v/>
      </c>
      <c r="G436" s="106" t="n"/>
      <c r="H436" s="350">
        <f>IF(G436="Sim",IF(OR(F436="",D436="",L436=""),"",IF(L436="Sim",ROUND(F436-D436,2),0)),0)</f>
        <v/>
      </c>
      <c r="I436" s="350">
        <f>IF(G436="Sim",0,IF(OR(F436="",L436=""),"",F436))</f>
        <v/>
      </c>
      <c r="J436" s="350">
        <f>IF(G436="Sim",0,IF(OR(F436="",D436="",L436=""),"",IF(L436="Sim",ROUND(F436-D436,2),0)))</f>
        <v/>
      </c>
      <c r="K436" s="97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inlineStr">
        <is>
          <t>Nao</t>
        </is>
      </c>
      <c r="W436" s="110" t="inlineStr">
        <is>
          <t>PC em analise</t>
        </is>
      </c>
      <c r="X436" s="110" t="inlineStr">
        <is>
          <t>Pedido de Compra</t>
        </is>
      </c>
      <c r="Y436" s="111" t="inlineStr">
        <is>
          <t>Impacto Potencial</t>
        </is>
      </c>
      <c r="Z436" s="111" t="inlineStr">
        <is>
          <t>PC</t>
        </is>
      </c>
      <c r="AA436" s="111" t="inlineStr">
        <is>
          <t>Nao</t>
        </is>
      </c>
      <c r="AB436" s="111" t="inlineStr">
        <is>
          <t>NAO_COMPUTADO</t>
        </is>
      </c>
      <c r="AC436" s="112" t="inlineStr">
        <is>
          <t>Estrutura Fase 1: sem impacto no VTA oficial</t>
        </is>
      </c>
    </row>
    <row r="437" ht="25.5" customHeight="1" s="289">
      <c r="A437" s="205" t="n"/>
      <c r="B437" s="207" t="n"/>
      <c r="C437" s="104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348" t="n"/>
      <c r="E437" s="349">
        <f>IF(C437="","",IFERROR(VLOOKUP(C437,parametros!$A$11:$E$15,5,0),""))</f>
        <v/>
      </c>
      <c r="F437" s="335">
        <f>IF(OR(D437="",E437=""),"",ROUND(D437*E437,2))</f>
        <v/>
      </c>
      <c r="G437" s="106" t="n"/>
      <c r="H437" s="350">
        <f>IF(G437="Sim",IF(OR(F437="",D437="",L437=""),"",IF(L437="Sim",ROUND(F437-D437,2),0)),0)</f>
        <v/>
      </c>
      <c r="I437" s="350">
        <f>IF(G437="Sim",0,IF(OR(F437="",L437=""),"",F437))</f>
        <v/>
      </c>
      <c r="J437" s="350">
        <f>IF(G437="Sim",0,IF(OR(F437="",D437="",L437=""),"",IF(L437="Sim",ROUND(F437-D437,2),0)))</f>
        <v/>
      </c>
      <c r="K437" s="97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inlineStr">
        <is>
          <t>Nao</t>
        </is>
      </c>
      <c r="W437" s="110" t="inlineStr">
        <is>
          <t>PC em analise</t>
        </is>
      </c>
      <c r="X437" s="110" t="inlineStr">
        <is>
          <t>Pedido de Compra</t>
        </is>
      </c>
      <c r="Y437" s="111" t="inlineStr">
        <is>
          <t>Impacto Potencial</t>
        </is>
      </c>
      <c r="Z437" s="111" t="inlineStr">
        <is>
          <t>PC</t>
        </is>
      </c>
      <c r="AA437" s="111" t="inlineStr">
        <is>
          <t>Nao</t>
        </is>
      </c>
      <c r="AB437" s="111" t="inlineStr">
        <is>
          <t>NAO_COMPUTADO</t>
        </is>
      </c>
      <c r="AC437" s="112" t="inlineStr">
        <is>
          <t>Estrutura Fase 1: sem impacto no VTA oficial</t>
        </is>
      </c>
    </row>
    <row r="438" ht="25.5" customHeight="1" s="289">
      <c r="A438" s="205" t="n"/>
      <c r="B438" s="207" t="n"/>
      <c r="C438" s="104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348" t="n"/>
      <c r="E438" s="349">
        <f>IF(C438="","",IFERROR(VLOOKUP(C438,parametros!$A$11:$E$15,5,0),""))</f>
        <v/>
      </c>
      <c r="F438" s="335">
        <f>IF(OR(D438="",E438=""),"",ROUND(D438*E438,2))</f>
        <v/>
      </c>
      <c r="G438" s="106" t="n"/>
      <c r="H438" s="350">
        <f>IF(G438="Sim",IF(OR(F438="",D438="",L438=""),"",IF(L438="Sim",ROUND(F438-D438,2),0)),0)</f>
        <v/>
      </c>
      <c r="I438" s="350">
        <f>IF(G438="Sim",0,IF(OR(F438="",L438=""),"",F438))</f>
        <v/>
      </c>
      <c r="J438" s="350">
        <f>IF(G438="Sim",0,IF(OR(F438="",D438="",L438=""),"",IF(L438="Sim",ROUND(F438-D438,2),0)))</f>
        <v/>
      </c>
      <c r="K438" s="97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inlineStr">
        <is>
          <t>Nao</t>
        </is>
      </c>
      <c r="W438" s="110" t="inlineStr">
        <is>
          <t>PC em analise</t>
        </is>
      </c>
      <c r="X438" s="110" t="inlineStr">
        <is>
          <t>Pedido de Compra</t>
        </is>
      </c>
      <c r="Y438" s="111" t="inlineStr">
        <is>
          <t>Impacto Potencial</t>
        </is>
      </c>
      <c r="Z438" s="111" t="inlineStr">
        <is>
          <t>PC</t>
        </is>
      </c>
      <c r="AA438" s="111" t="inlineStr">
        <is>
          <t>Nao</t>
        </is>
      </c>
      <c r="AB438" s="111" t="inlineStr">
        <is>
          <t>NAO_COMPUTADO</t>
        </is>
      </c>
      <c r="AC438" s="112" t="inlineStr">
        <is>
          <t>Estrutura Fase 1: sem impacto no VTA oficial</t>
        </is>
      </c>
    </row>
    <row r="439" ht="25.5" customHeight="1" s="289">
      <c r="A439" s="205" t="n"/>
      <c r="B439" s="207" t="n"/>
      <c r="C439" s="104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348" t="n"/>
      <c r="E439" s="349">
        <f>IF(C439="","",IFERROR(VLOOKUP(C439,parametros!$A$11:$E$15,5,0),""))</f>
        <v/>
      </c>
      <c r="F439" s="335">
        <f>IF(OR(D439="",E439=""),"",ROUND(D439*E439,2))</f>
        <v/>
      </c>
      <c r="G439" s="106" t="n"/>
      <c r="H439" s="350">
        <f>IF(G439="Sim",IF(OR(F439="",D439="",L439=""),"",IF(L439="Sim",ROUND(F439-D439,2),0)),0)</f>
        <v/>
      </c>
      <c r="I439" s="350">
        <f>IF(G439="Sim",0,IF(OR(F439="",L439=""),"",F439))</f>
        <v/>
      </c>
      <c r="J439" s="350">
        <f>IF(G439="Sim",0,IF(OR(F439="",D439="",L439=""),"",IF(L439="Sim",ROUND(F439-D439,2),0)))</f>
        <v/>
      </c>
      <c r="K439" s="97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inlineStr">
        <is>
          <t>Nao</t>
        </is>
      </c>
      <c r="W439" s="110" t="inlineStr">
        <is>
          <t>PC em analise</t>
        </is>
      </c>
      <c r="X439" s="110" t="inlineStr">
        <is>
          <t>Pedido de Compra</t>
        </is>
      </c>
      <c r="Y439" s="111" t="inlineStr">
        <is>
          <t>Impacto Potencial</t>
        </is>
      </c>
      <c r="Z439" s="111" t="inlineStr">
        <is>
          <t>PC</t>
        </is>
      </c>
      <c r="AA439" s="111" t="inlineStr">
        <is>
          <t>Nao</t>
        </is>
      </c>
      <c r="AB439" s="111" t="inlineStr">
        <is>
          <t>NAO_COMPUTADO</t>
        </is>
      </c>
      <c r="AC439" s="112" t="inlineStr">
        <is>
          <t>Estrutura Fase 1: sem impacto no VTA oficial</t>
        </is>
      </c>
    </row>
    <row r="440" ht="25.5" customHeight="1" s="289">
      <c r="A440" s="205" t="n"/>
      <c r="B440" s="207" t="n"/>
      <c r="C440" s="104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348" t="n"/>
      <c r="E440" s="349">
        <f>IF(C440="","",IFERROR(VLOOKUP(C440,parametros!$A$11:$E$15,5,0),""))</f>
        <v/>
      </c>
      <c r="F440" s="335">
        <f>IF(OR(D440="",E440=""),"",ROUND(D440*E440,2))</f>
        <v/>
      </c>
      <c r="G440" s="106" t="n"/>
      <c r="H440" s="350">
        <f>IF(G440="Sim",IF(OR(F440="",D440="",L440=""),"",IF(L440="Sim",ROUND(F440-D440,2),0)),0)</f>
        <v/>
      </c>
      <c r="I440" s="350">
        <f>IF(G440="Sim",0,IF(OR(F440="",L440=""),"",F440))</f>
        <v/>
      </c>
      <c r="J440" s="350">
        <f>IF(G440="Sim",0,IF(OR(F440="",D440="",L440=""),"",IF(L440="Sim",ROUND(F440-D440,2),0)))</f>
        <v/>
      </c>
      <c r="K440" s="97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inlineStr">
        <is>
          <t>Nao</t>
        </is>
      </c>
      <c r="W440" s="110" t="inlineStr">
        <is>
          <t>PC em analise</t>
        </is>
      </c>
      <c r="X440" s="110" t="inlineStr">
        <is>
          <t>Pedido de Compra</t>
        </is>
      </c>
      <c r="Y440" s="111" t="inlineStr">
        <is>
          <t>Impacto Potencial</t>
        </is>
      </c>
      <c r="Z440" s="111" t="inlineStr">
        <is>
          <t>PC</t>
        </is>
      </c>
      <c r="AA440" s="111" t="inlineStr">
        <is>
          <t>Nao</t>
        </is>
      </c>
      <c r="AB440" s="111" t="inlineStr">
        <is>
          <t>NAO_COMPUTADO</t>
        </is>
      </c>
      <c r="AC440" s="112" t="inlineStr">
        <is>
          <t>Estrutura Fase 1: sem impacto no VTA oficial</t>
        </is>
      </c>
    </row>
    <row r="441" ht="25.5" customHeight="1" s="289">
      <c r="A441" s="205" t="n"/>
      <c r="B441" s="207" t="n"/>
      <c r="C441" s="104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348" t="n"/>
      <c r="E441" s="349">
        <f>IF(C441="","",IFERROR(VLOOKUP(C441,parametros!$A$11:$E$15,5,0),""))</f>
        <v/>
      </c>
      <c r="F441" s="335">
        <f>IF(OR(D441="",E441=""),"",ROUND(D441*E441,2))</f>
        <v/>
      </c>
      <c r="G441" s="106" t="n"/>
      <c r="H441" s="350">
        <f>IF(G441="Sim",IF(OR(F441="",D441="",L441=""),"",IF(L441="Sim",ROUND(F441-D441,2),0)),0)</f>
        <v/>
      </c>
      <c r="I441" s="350">
        <f>IF(G441="Sim",0,IF(OR(F441="",L441=""),"",F441))</f>
        <v/>
      </c>
      <c r="J441" s="350">
        <f>IF(G441="Sim",0,IF(OR(F441="",D441="",L441=""),"",IF(L441="Sim",ROUND(F441-D441,2),0)))</f>
        <v/>
      </c>
      <c r="K441" s="97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inlineStr">
        <is>
          <t>Nao</t>
        </is>
      </c>
      <c r="W441" s="110" t="inlineStr">
        <is>
          <t>PC em analise</t>
        </is>
      </c>
      <c r="X441" s="110" t="inlineStr">
        <is>
          <t>Pedido de Compra</t>
        </is>
      </c>
      <c r="Y441" s="111" t="inlineStr">
        <is>
          <t>Impacto Potencial</t>
        </is>
      </c>
      <c r="Z441" s="111" t="inlineStr">
        <is>
          <t>PC</t>
        </is>
      </c>
      <c r="AA441" s="111" t="inlineStr">
        <is>
          <t>Nao</t>
        </is>
      </c>
      <c r="AB441" s="111" t="inlineStr">
        <is>
          <t>NAO_COMPUTADO</t>
        </is>
      </c>
      <c r="AC441" s="112" t="inlineStr">
        <is>
          <t>Estrutura Fase 1: sem impacto no VTA oficial</t>
        </is>
      </c>
    </row>
    <row r="442" ht="25.5" customHeight="1" s="289">
      <c r="A442" s="205" t="n"/>
      <c r="B442" s="207" t="n"/>
      <c r="C442" s="104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348" t="n"/>
      <c r="E442" s="349">
        <f>IF(C442="","",IFERROR(VLOOKUP(C442,parametros!$A$11:$E$15,5,0),""))</f>
        <v/>
      </c>
      <c r="F442" s="335">
        <f>IF(OR(D442="",E442=""),"",ROUND(D442*E442,2))</f>
        <v/>
      </c>
      <c r="G442" s="106" t="n"/>
      <c r="H442" s="350">
        <f>IF(G442="Sim",IF(OR(F442="",D442="",L442=""),"",IF(L442="Sim",ROUND(F442-D442,2),0)),0)</f>
        <v/>
      </c>
      <c r="I442" s="350">
        <f>IF(G442="Sim",0,IF(OR(F442="",L442=""),"",F442))</f>
        <v/>
      </c>
      <c r="J442" s="350">
        <f>IF(G442="Sim",0,IF(OR(F442="",D442="",L442=""),"",IF(L442="Sim",ROUND(F442-D442,2),0)))</f>
        <v/>
      </c>
      <c r="K442" s="97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inlineStr">
        <is>
          <t>Nao</t>
        </is>
      </c>
      <c r="W442" s="110" t="inlineStr">
        <is>
          <t>PC em analise</t>
        </is>
      </c>
      <c r="X442" s="110" t="inlineStr">
        <is>
          <t>Pedido de Compra</t>
        </is>
      </c>
      <c r="Y442" s="111" t="inlineStr">
        <is>
          <t>Impacto Potencial</t>
        </is>
      </c>
      <c r="Z442" s="111" t="inlineStr">
        <is>
          <t>PC</t>
        </is>
      </c>
      <c r="AA442" s="111" t="inlineStr">
        <is>
          <t>Nao</t>
        </is>
      </c>
      <c r="AB442" s="111" t="inlineStr">
        <is>
          <t>NAO_COMPUTADO</t>
        </is>
      </c>
      <c r="AC442" s="112" t="inlineStr">
        <is>
          <t>Estrutura Fase 1: sem impacto no VTA oficial</t>
        </is>
      </c>
    </row>
    <row r="443" ht="25.5" customHeight="1" s="289">
      <c r="A443" s="205" t="n"/>
      <c r="B443" s="207" t="n"/>
      <c r="C443" s="104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348" t="n"/>
      <c r="E443" s="349">
        <f>IF(C443="","",IFERROR(VLOOKUP(C443,parametros!$A$11:$E$15,5,0),""))</f>
        <v/>
      </c>
      <c r="F443" s="335">
        <f>IF(OR(D443="",E443=""),"",ROUND(D443*E443,2))</f>
        <v/>
      </c>
      <c r="G443" s="106" t="n"/>
      <c r="H443" s="350">
        <f>IF(G443="Sim",IF(OR(F443="",D443="",L443=""),"",IF(L443="Sim",ROUND(F443-D443,2),0)),0)</f>
        <v/>
      </c>
      <c r="I443" s="350">
        <f>IF(G443="Sim",0,IF(OR(F443="",L443=""),"",F443))</f>
        <v/>
      </c>
      <c r="J443" s="350">
        <f>IF(G443="Sim",0,IF(OR(F443="",D443="",L443=""),"",IF(L443="Sim",ROUND(F443-D443,2),0)))</f>
        <v/>
      </c>
      <c r="K443" s="97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inlineStr">
        <is>
          <t>Nao</t>
        </is>
      </c>
      <c r="W443" s="110" t="inlineStr">
        <is>
          <t>PC em analise</t>
        </is>
      </c>
      <c r="X443" s="110" t="inlineStr">
        <is>
          <t>Pedido de Compra</t>
        </is>
      </c>
      <c r="Y443" s="111" t="inlineStr">
        <is>
          <t>Impacto Potencial</t>
        </is>
      </c>
      <c r="Z443" s="111" t="inlineStr">
        <is>
          <t>PC</t>
        </is>
      </c>
      <c r="AA443" s="111" t="inlineStr">
        <is>
          <t>Nao</t>
        </is>
      </c>
      <c r="AB443" s="111" t="inlineStr">
        <is>
          <t>NAO_COMPUTADO</t>
        </is>
      </c>
      <c r="AC443" s="112" t="inlineStr">
        <is>
          <t>Estrutura Fase 1: sem impacto no VTA oficial</t>
        </is>
      </c>
    </row>
    <row r="444" ht="25.5" customHeight="1" s="289">
      <c r="A444" s="205" t="n"/>
      <c r="B444" s="207" t="n"/>
      <c r="C444" s="104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348" t="n"/>
      <c r="E444" s="349">
        <f>IF(C444="","",IFERROR(VLOOKUP(C444,parametros!$A$11:$E$15,5,0),""))</f>
        <v/>
      </c>
      <c r="F444" s="335">
        <f>IF(OR(D444="",E444=""),"",ROUND(D444*E444,2))</f>
        <v/>
      </c>
      <c r="G444" s="106" t="n"/>
      <c r="H444" s="350">
        <f>IF(G444="Sim",IF(OR(F444="",D444="",L444=""),"",IF(L444="Sim",ROUND(F444-D444,2),0)),0)</f>
        <v/>
      </c>
      <c r="I444" s="350">
        <f>IF(G444="Sim",0,IF(OR(F444="",L444=""),"",F444))</f>
        <v/>
      </c>
      <c r="J444" s="350">
        <f>IF(G444="Sim",0,IF(OR(F444="",D444="",L444=""),"",IF(L444="Sim",ROUND(F444-D444,2),0)))</f>
        <v/>
      </c>
      <c r="K444" s="97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inlineStr">
        <is>
          <t>Nao</t>
        </is>
      </c>
      <c r="W444" s="110" t="inlineStr">
        <is>
          <t>PC em analise</t>
        </is>
      </c>
      <c r="X444" s="110" t="inlineStr">
        <is>
          <t>Pedido de Compra</t>
        </is>
      </c>
      <c r="Y444" s="111" t="inlineStr">
        <is>
          <t>Impacto Potencial</t>
        </is>
      </c>
      <c r="Z444" s="111" t="inlineStr">
        <is>
          <t>PC</t>
        </is>
      </c>
      <c r="AA444" s="111" t="inlineStr">
        <is>
          <t>Nao</t>
        </is>
      </c>
      <c r="AB444" s="111" t="inlineStr">
        <is>
          <t>NAO_COMPUTADO</t>
        </is>
      </c>
      <c r="AC444" s="112" t="inlineStr">
        <is>
          <t>Estrutura Fase 1: sem impacto no VTA oficial</t>
        </is>
      </c>
    </row>
    <row r="445" ht="25.5" customHeight="1" s="289">
      <c r="A445" s="205" t="n"/>
      <c r="B445" s="207" t="n"/>
      <c r="C445" s="104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348" t="n"/>
      <c r="E445" s="349">
        <f>IF(C445="","",IFERROR(VLOOKUP(C445,parametros!$A$11:$E$15,5,0),""))</f>
        <v/>
      </c>
      <c r="F445" s="335">
        <f>IF(OR(D445="",E445=""),"",ROUND(D445*E445,2))</f>
        <v/>
      </c>
      <c r="G445" s="106" t="n"/>
      <c r="H445" s="350">
        <f>IF(G445="Sim",IF(OR(F445="",D445="",L445=""),"",IF(L445="Sim",ROUND(F445-D445,2),0)),0)</f>
        <v/>
      </c>
      <c r="I445" s="350">
        <f>IF(G445="Sim",0,IF(OR(F445="",L445=""),"",F445))</f>
        <v/>
      </c>
      <c r="J445" s="350">
        <f>IF(G445="Sim",0,IF(OR(F445="",D445="",L445=""),"",IF(L445="Sim",ROUND(F445-D445,2),0)))</f>
        <v/>
      </c>
      <c r="K445" s="97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inlineStr">
        <is>
          <t>Nao</t>
        </is>
      </c>
      <c r="W445" s="110" t="inlineStr">
        <is>
          <t>PC em analise</t>
        </is>
      </c>
      <c r="X445" s="110" t="inlineStr">
        <is>
          <t>Pedido de Compra</t>
        </is>
      </c>
      <c r="Y445" s="111" t="inlineStr">
        <is>
          <t>Impacto Potencial</t>
        </is>
      </c>
      <c r="Z445" s="111" t="inlineStr">
        <is>
          <t>PC</t>
        </is>
      </c>
      <c r="AA445" s="111" t="inlineStr">
        <is>
          <t>Nao</t>
        </is>
      </c>
      <c r="AB445" s="111" t="inlineStr">
        <is>
          <t>NAO_COMPUTADO</t>
        </is>
      </c>
      <c r="AC445" s="112" t="inlineStr">
        <is>
          <t>Estrutura Fase 1: sem impacto no VTA oficial</t>
        </is>
      </c>
    </row>
    <row r="446" ht="25.5" customHeight="1" s="289">
      <c r="A446" s="205" t="n"/>
      <c r="B446" s="207" t="n"/>
      <c r="C446" s="104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348" t="n"/>
      <c r="E446" s="349">
        <f>IF(C446="","",IFERROR(VLOOKUP(C446,parametros!$A$11:$E$15,5,0),""))</f>
        <v/>
      </c>
      <c r="F446" s="335">
        <f>IF(OR(D446="",E446=""),"",ROUND(D446*E446,2))</f>
        <v/>
      </c>
      <c r="G446" s="106" t="n"/>
      <c r="H446" s="350">
        <f>IF(G446="Sim",IF(OR(F446="",D446="",L446=""),"",IF(L446="Sim",ROUND(F446-D446,2),0)),0)</f>
        <v/>
      </c>
      <c r="I446" s="350">
        <f>IF(G446="Sim",0,IF(OR(F446="",L446=""),"",F446))</f>
        <v/>
      </c>
      <c r="J446" s="350">
        <f>IF(G446="Sim",0,IF(OR(F446="",D446="",L446=""),"",IF(L446="Sim",ROUND(F446-D446,2),0)))</f>
        <v/>
      </c>
      <c r="K446" s="97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inlineStr">
        <is>
          <t>Nao</t>
        </is>
      </c>
      <c r="W446" s="110" t="inlineStr">
        <is>
          <t>PC em analise</t>
        </is>
      </c>
      <c r="X446" s="110" t="inlineStr">
        <is>
          <t>Pedido de Compra</t>
        </is>
      </c>
      <c r="Y446" s="111" t="inlineStr">
        <is>
          <t>Impacto Potencial</t>
        </is>
      </c>
      <c r="Z446" s="111" t="inlineStr">
        <is>
          <t>PC</t>
        </is>
      </c>
      <c r="AA446" s="111" t="inlineStr">
        <is>
          <t>Nao</t>
        </is>
      </c>
      <c r="AB446" s="111" t="inlineStr">
        <is>
          <t>NAO_COMPUTADO</t>
        </is>
      </c>
      <c r="AC446" s="112" t="inlineStr">
        <is>
          <t>Estrutura Fase 1: sem impacto no VTA oficial</t>
        </is>
      </c>
    </row>
    <row r="447" ht="25.5" customHeight="1" s="289">
      <c r="A447" s="205" t="n"/>
      <c r="B447" s="207" t="n"/>
      <c r="C447" s="104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348" t="n"/>
      <c r="E447" s="349">
        <f>IF(C447="","",IFERROR(VLOOKUP(C447,parametros!$A$11:$E$15,5,0),""))</f>
        <v/>
      </c>
      <c r="F447" s="335">
        <f>IF(OR(D447="",E447=""),"",ROUND(D447*E447,2))</f>
        <v/>
      </c>
      <c r="G447" s="106" t="n"/>
      <c r="H447" s="350">
        <f>IF(G447="Sim",IF(OR(F447="",D447="",L447=""),"",IF(L447="Sim",ROUND(F447-D447,2),0)),0)</f>
        <v/>
      </c>
      <c r="I447" s="350">
        <f>IF(G447="Sim",0,IF(OR(F447="",L447=""),"",F447))</f>
        <v/>
      </c>
      <c r="J447" s="350">
        <f>IF(G447="Sim",0,IF(OR(F447="",D447="",L447=""),"",IF(L447="Sim",ROUND(F447-D447,2),0)))</f>
        <v/>
      </c>
      <c r="K447" s="97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inlineStr">
        <is>
          <t>Nao</t>
        </is>
      </c>
      <c r="W447" s="110" t="inlineStr">
        <is>
          <t>PC em analise</t>
        </is>
      </c>
      <c r="X447" s="110" t="inlineStr">
        <is>
          <t>Pedido de Compra</t>
        </is>
      </c>
      <c r="Y447" s="111" t="inlineStr">
        <is>
          <t>Impacto Potencial</t>
        </is>
      </c>
      <c r="Z447" s="111" t="inlineStr">
        <is>
          <t>PC</t>
        </is>
      </c>
      <c r="AA447" s="111" t="inlineStr">
        <is>
          <t>Nao</t>
        </is>
      </c>
      <c r="AB447" s="111" t="inlineStr">
        <is>
          <t>NAO_COMPUTADO</t>
        </is>
      </c>
      <c r="AC447" s="112" t="inlineStr">
        <is>
          <t>Estrutura Fase 1: sem impacto no VTA oficial</t>
        </is>
      </c>
    </row>
    <row r="448" ht="25.5" customHeight="1" s="289">
      <c r="A448" s="205" t="n"/>
      <c r="B448" s="207" t="n"/>
      <c r="C448" s="104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348" t="n"/>
      <c r="E448" s="349">
        <f>IF(C448="","",IFERROR(VLOOKUP(C448,parametros!$A$11:$E$15,5,0),""))</f>
        <v/>
      </c>
      <c r="F448" s="335">
        <f>IF(OR(D448="",E448=""),"",ROUND(D448*E448,2))</f>
        <v/>
      </c>
      <c r="G448" s="106" t="n"/>
      <c r="H448" s="350">
        <f>IF(G448="Sim",IF(OR(F448="",D448="",L448=""),"",IF(L448="Sim",ROUND(F448-D448,2),0)),0)</f>
        <v/>
      </c>
      <c r="I448" s="350">
        <f>IF(G448="Sim",0,IF(OR(F448="",L448=""),"",F448))</f>
        <v/>
      </c>
      <c r="J448" s="350">
        <f>IF(G448="Sim",0,IF(OR(F448="",D448="",L448=""),"",IF(L448="Sim",ROUND(F448-D448,2),0)))</f>
        <v/>
      </c>
      <c r="K448" s="97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inlineStr">
        <is>
          <t>Nao</t>
        </is>
      </c>
      <c r="W448" s="110" t="inlineStr">
        <is>
          <t>PC em analise</t>
        </is>
      </c>
      <c r="X448" s="110" t="inlineStr">
        <is>
          <t>Pedido de Compra</t>
        </is>
      </c>
      <c r="Y448" s="111" t="inlineStr">
        <is>
          <t>Impacto Potencial</t>
        </is>
      </c>
      <c r="Z448" s="111" t="inlineStr">
        <is>
          <t>PC</t>
        </is>
      </c>
      <c r="AA448" s="111" t="inlineStr">
        <is>
          <t>Nao</t>
        </is>
      </c>
      <c r="AB448" s="111" t="inlineStr">
        <is>
          <t>NAO_COMPUTADO</t>
        </is>
      </c>
      <c r="AC448" s="112" t="inlineStr">
        <is>
          <t>Estrutura Fase 1: sem impacto no VTA oficial</t>
        </is>
      </c>
    </row>
    <row r="449" ht="25.5" customHeight="1" s="289">
      <c r="A449" s="205" t="n"/>
      <c r="B449" s="207" t="n"/>
      <c r="C449" s="104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348" t="n"/>
      <c r="E449" s="349">
        <f>IF(C449="","",IFERROR(VLOOKUP(C449,parametros!$A$11:$E$15,5,0),""))</f>
        <v/>
      </c>
      <c r="F449" s="335">
        <f>IF(OR(D449="",E449=""),"",ROUND(D449*E449,2))</f>
        <v/>
      </c>
      <c r="G449" s="106" t="n"/>
      <c r="H449" s="350">
        <f>IF(G449="Sim",IF(OR(F449="",D449="",L449=""),"",IF(L449="Sim",ROUND(F449-D449,2),0)),0)</f>
        <v/>
      </c>
      <c r="I449" s="350">
        <f>IF(G449="Sim",0,IF(OR(F449="",L449=""),"",F449))</f>
        <v/>
      </c>
      <c r="J449" s="350">
        <f>IF(G449="Sim",0,IF(OR(F449="",D449="",L449=""),"",IF(L449="Sim",ROUND(F449-D449,2),0)))</f>
        <v/>
      </c>
      <c r="K449" s="97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inlineStr">
        <is>
          <t>Nao</t>
        </is>
      </c>
      <c r="W449" s="110" t="inlineStr">
        <is>
          <t>PC em analise</t>
        </is>
      </c>
      <c r="X449" s="110" t="inlineStr">
        <is>
          <t>Pedido de Compra</t>
        </is>
      </c>
      <c r="Y449" s="111" t="inlineStr">
        <is>
          <t>Impacto Potencial</t>
        </is>
      </c>
      <c r="Z449" s="111" t="inlineStr">
        <is>
          <t>PC</t>
        </is>
      </c>
      <c r="AA449" s="111" t="inlineStr">
        <is>
          <t>Nao</t>
        </is>
      </c>
      <c r="AB449" s="111" t="inlineStr">
        <is>
          <t>NAO_COMPUTADO</t>
        </is>
      </c>
      <c r="AC449" s="112" t="inlineStr">
        <is>
          <t>Estrutura Fase 1: sem impacto no VTA oficial</t>
        </is>
      </c>
    </row>
    <row r="450" ht="25.5" customHeight="1" s="289">
      <c r="A450" s="205" t="n"/>
      <c r="B450" s="207" t="n"/>
      <c r="C450" s="104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348" t="n"/>
      <c r="E450" s="349">
        <f>IF(C450="","",IFERROR(VLOOKUP(C450,parametros!$A$11:$E$15,5,0),""))</f>
        <v/>
      </c>
      <c r="F450" s="335">
        <f>IF(OR(D450="",E450=""),"",ROUND(D450*E450,2))</f>
        <v/>
      </c>
      <c r="G450" s="106" t="n"/>
      <c r="H450" s="350">
        <f>IF(G450="Sim",IF(OR(F450="",D450="",L450=""),"",IF(L450="Sim",ROUND(F450-D450,2),0)),0)</f>
        <v/>
      </c>
      <c r="I450" s="350">
        <f>IF(G450="Sim",0,IF(OR(F450="",L450=""),"",F450))</f>
        <v/>
      </c>
      <c r="J450" s="350">
        <f>IF(G450="Sim",0,IF(OR(F450="",D450="",L450=""),"",IF(L450="Sim",ROUND(F450-D450,2),0)))</f>
        <v/>
      </c>
      <c r="K450" s="97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inlineStr">
        <is>
          <t>Nao</t>
        </is>
      </c>
      <c r="W450" s="110" t="inlineStr">
        <is>
          <t>PC em analise</t>
        </is>
      </c>
      <c r="X450" s="110" t="inlineStr">
        <is>
          <t>Pedido de Compra</t>
        </is>
      </c>
      <c r="Y450" s="111" t="inlineStr">
        <is>
          <t>Impacto Potencial</t>
        </is>
      </c>
      <c r="Z450" s="111" t="inlineStr">
        <is>
          <t>PC</t>
        </is>
      </c>
      <c r="AA450" s="111" t="inlineStr">
        <is>
          <t>Nao</t>
        </is>
      </c>
      <c r="AB450" s="111" t="inlineStr">
        <is>
          <t>NAO_COMPUTADO</t>
        </is>
      </c>
      <c r="AC450" s="112" t="inlineStr">
        <is>
          <t>Estrutura Fase 1: sem impacto no VTA oficial</t>
        </is>
      </c>
    </row>
    <row r="451" ht="25.5" customHeight="1" s="289">
      <c r="A451" s="205" t="n"/>
      <c r="B451" s="207" t="n"/>
      <c r="C451" s="104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348" t="n"/>
      <c r="E451" s="349">
        <f>IF(C451="","",IFERROR(VLOOKUP(C451,parametros!$A$11:$E$15,5,0),""))</f>
        <v/>
      </c>
      <c r="F451" s="335">
        <f>IF(OR(D451="",E451=""),"",ROUND(D451*E451,2))</f>
        <v/>
      </c>
      <c r="G451" s="106" t="n"/>
      <c r="H451" s="350">
        <f>IF(G451="Sim",IF(OR(F451="",D451="",L451=""),"",IF(L451="Sim",ROUND(F451-D451,2),0)),0)</f>
        <v/>
      </c>
      <c r="I451" s="350">
        <f>IF(G451="Sim",0,IF(OR(F451="",L451=""),"",F451))</f>
        <v/>
      </c>
      <c r="J451" s="350">
        <f>IF(G451="Sim",0,IF(OR(F451="",D451="",L451=""),"",IF(L451="Sim",ROUND(F451-D451,2),0)))</f>
        <v/>
      </c>
      <c r="K451" s="97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inlineStr">
        <is>
          <t>Nao</t>
        </is>
      </c>
      <c r="W451" s="110" t="inlineStr">
        <is>
          <t>PC em analise</t>
        </is>
      </c>
      <c r="X451" s="110" t="inlineStr">
        <is>
          <t>Pedido de Compra</t>
        </is>
      </c>
      <c r="Y451" s="111" t="inlineStr">
        <is>
          <t>Impacto Potencial</t>
        </is>
      </c>
      <c r="Z451" s="111" t="inlineStr">
        <is>
          <t>PC</t>
        </is>
      </c>
      <c r="AA451" s="111" t="inlineStr">
        <is>
          <t>Nao</t>
        </is>
      </c>
      <c r="AB451" s="111" t="inlineStr">
        <is>
          <t>NAO_COMPUTADO</t>
        </is>
      </c>
      <c r="AC451" s="112" t="inlineStr">
        <is>
          <t>Estrutura Fase 1: sem impacto no VTA oficial</t>
        </is>
      </c>
    </row>
    <row r="452" ht="25.5" customHeight="1" s="289">
      <c r="A452" s="205" t="n"/>
      <c r="B452" s="207" t="n"/>
      <c r="C452" s="104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348" t="n"/>
      <c r="E452" s="349">
        <f>IF(C452="","",IFERROR(VLOOKUP(C452,parametros!$A$11:$E$15,5,0),""))</f>
        <v/>
      </c>
      <c r="F452" s="335">
        <f>IF(OR(D452="",E452=""),"",ROUND(D452*E452,2))</f>
        <v/>
      </c>
      <c r="G452" s="106" t="n"/>
      <c r="H452" s="350">
        <f>IF(G452="Sim",IF(OR(F452="",D452="",L452=""),"",IF(L452="Sim",ROUND(F452-D452,2),0)),0)</f>
        <v/>
      </c>
      <c r="I452" s="350">
        <f>IF(G452="Sim",0,IF(OR(F452="",L452=""),"",F452))</f>
        <v/>
      </c>
      <c r="J452" s="350">
        <f>IF(G452="Sim",0,IF(OR(F452="",D452="",L452=""),"",IF(L452="Sim",ROUND(F452-D452,2),0)))</f>
        <v/>
      </c>
      <c r="K452" s="97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inlineStr">
        <is>
          <t>Nao</t>
        </is>
      </c>
      <c r="W452" s="110" t="inlineStr">
        <is>
          <t>PC em analise</t>
        </is>
      </c>
      <c r="X452" s="110" t="inlineStr">
        <is>
          <t>Pedido de Compra</t>
        </is>
      </c>
      <c r="Y452" s="111" t="inlineStr">
        <is>
          <t>Impacto Potencial</t>
        </is>
      </c>
      <c r="Z452" s="111" t="inlineStr">
        <is>
          <t>PC</t>
        </is>
      </c>
      <c r="AA452" s="111" t="inlineStr">
        <is>
          <t>Nao</t>
        </is>
      </c>
      <c r="AB452" s="111" t="inlineStr">
        <is>
          <t>NAO_COMPUTADO</t>
        </is>
      </c>
      <c r="AC452" s="112" t="inlineStr">
        <is>
          <t>Estrutura Fase 1: sem impacto no VTA oficial</t>
        </is>
      </c>
    </row>
    <row r="453" ht="25.5" customHeight="1" s="289">
      <c r="A453" s="205" t="n"/>
      <c r="B453" s="207" t="n"/>
      <c r="C453" s="104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348" t="n"/>
      <c r="E453" s="349">
        <f>IF(C453="","",IFERROR(VLOOKUP(C453,parametros!$A$11:$E$15,5,0),""))</f>
        <v/>
      </c>
      <c r="F453" s="335">
        <f>IF(OR(D453="",E453=""),"",ROUND(D453*E453,2))</f>
        <v/>
      </c>
      <c r="G453" s="106" t="n"/>
      <c r="H453" s="350">
        <f>IF(G453="Sim",IF(OR(F453="",D453="",L453=""),"",IF(L453="Sim",ROUND(F453-D453,2),0)),0)</f>
        <v/>
      </c>
      <c r="I453" s="350">
        <f>IF(G453="Sim",0,IF(OR(F453="",L453=""),"",F453))</f>
        <v/>
      </c>
      <c r="J453" s="350">
        <f>IF(G453="Sim",0,IF(OR(F453="",D453="",L453=""),"",IF(L453="Sim",ROUND(F453-D453,2),0)))</f>
        <v/>
      </c>
      <c r="K453" s="97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inlineStr">
        <is>
          <t>Nao</t>
        </is>
      </c>
      <c r="W453" s="110" t="inlineStr">
        <is>
          <t>PC em analise</t>
        </is>
      </c>
      <c r="X453" s="110" t="inlineStr">
        <is>
          <t>Pedido de Compra</t>
        </is>
      </c>
      <c r="Y453" s="111" t="inlineStr">
        <is>
          <t>Impacto Potencial</t>
        </is>
      </c>
      <c r="Z453" s="111" t="inlineStr">
        <is>
          <t>PC</t>
        </is>
      </c>
      <c r="AA453" s="111" t="inlineStr">
        <is>
          <t>Nao</t>
        </is>
      </c>
      <c r="AB453" s="111" t="inlineStr">
        <is>
          <t>NAO_COMPUTADO</t>
        </is>
      </c>
      <c r="AC453" s="112" t="inlineStr">
        <is>
          <t>Estrutura Fase 1: sem impacto no VTA oficial</t>
        </is>
      </c>
    </row>
    <row r="454" ht="25.5" customHeight="1" s="289">
      <c r="A454" s="205" t="n"/>
      <c r="B454" s="207" t="n"/>
      <c r="C454" s="104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348" t="n"/>
      <c r="E454" s="349">
        <f>IF(C454="","",IFERROR(VLOOKUP(C454,parametros!$A$11:$E$15,5,0),""))</f>
        <v/>
      </c>
      <c r="F454" s="335">
        <f>IF(OR(D454="",E454=""),"",ROUND(D454*E454,2))</f>
        <v/>
      </c>
      <c r="G454" s="106" t="n"/>
      <c r="H454" s="350">
        <f>IF(G454="Sim",IF(OR(F454="",D454="",L454=""),"",IF(L454="Sim",ROUND(F454-D454,2),0)),0)</f>
        <v/>
      </c>
      <c r="I454" s="350">
        <f>IF(G454="Sim",0,IF(OR(F454="",L454=""),"",F454))</f>
        <v/>
      </c>
      <c r="J454" s="350">
        <f>IF(G454="Sim",0,IF(OR(F454="",D454="",L454=""),"",IF(L454="Sim",ROUND(F454-D454,2),0)))</f>
        <v/>
      </c>
      <c r="K454" s="97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inlineStr">
        <is>
          <t>Nao</t>
        </is>
      </c>
      <c r="W454" s="110" t="inlineStr">
        <is>
          <t>PC em analise</t>
        </is>
      </c>
      <c r="X454" s="110" t="inlineStr">
        <is>
          <t>Pedido de Compra</t>
        </is>
      </c>
      <c r="Y454" s="111" t="inlineStr">
        <is>
          <t>Impacto Potencial</t>
        </is>
      </c>
      <c r="Z454" s="111" t="inlineStr">
        <is>
          <t>PC</t>
        </is>
      </c>
      <c r="AA454" s="111" t="inlineStr">
        <is>
          <t>Nao</t>
        </is>
      </c>
      <c r="AB454" s="111" t="inlineStr">
        <is>
          <t>NAO_COMPUTADO</t>
        </is>
      </c>
      <c r="AC454" s="112" t="inlineStr">
        <is>
          <t>Estrutura Fase 1: sem impacto no VTA oficial</t>
        </is>
      </c>
    </row>
    <row r="455" ht="25.5" customHeight="1" s="289">
      <c r="A455" s="205" t="n"/>
      <c r="B455" s="207" t="n"/>
      <c r="C455" s="104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348" t="n"/>
      <c r="E455" s="349">
        <f>IF(C455="","",IFERROR(VLOOKUP(C455,parametros!$A$11:$E$15,5,0),""))</f>
        <v/>
      </c>
      <c r="F455" s="335">
        <f>IF(OR(D455="",E455=""),"",ROUND(D455*E455,2))</f>
        <v/>
      </c>
      <c r="G455" s="106" t="n"/>
      <c r="H455" s="350">
        <f>IF(G455="Sim",IF(OR(F455="",D455="",L455=""),"",IF(L455="Sim",ROUND(F455-D455,2),0)),0)</f>
        <v/>
      </c>
      <c r="I455" s="350">
        <f>IF(G455="Sim",0,IF(OR(F455="",L455=""),"",F455))</f>
        <v/>
      </c>
      <c r="J455" s="350">
        <f>IF(G455="Sim",0,IF(OR(F455="",D455="",L455=""),"",IF(L455="Sim",ROUND(F455-D455,2),0)))</f>
        <v/>
      </c>
      <c r="K455" s="97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inlineStr">
        <is>
          <t>Nao</t>
        </is>
      </c>
      <c r="W455" s="110" t="inlineStr">
        <is>
          <t>PC em analise</t>
        </is>
      </c>
      <c r="X455" s="110" t="inlineStr">
        <is>
          <t>Pedido de Compra</t>
        </is>
      </c>
      <c r="Y455" s="111" t="inlineStr">
        <is>
          <t>Impacto Potencial</t>
        </is>
      </c>
      <c r="Z455" s="111" t="inlineStr">
        <is>
          <t>PC</t>
        </is>
      </c>
      <c r="AA455" s="111" t="inlineStr">
        <is>
          <t>Nao</t>
        </is>
      </c>
      <c r="AB455" s="111" t="inlineStr">
        <is>
          <t>NAO_COMPUTADO</t>
        </is>
      </c>
      <c r="AC455" s="112" t="inlineStr">
        <is>
          <t>Estrutura Fase 1: sem impacto no VTA oficial</t>
        </is>
      </c>
    </row>
    <row r="456" ht="25.5" customHeight="1" s="289">
      <c r="A456" s="205" t="n"/>
      <c r="B456" s="207" t="n"/>
      <c r="C456" s="104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348" t="n"/>
      <c r="E456" s="349">
        <f>IF(C456="","",IFERROR(VLOOKUP(C456,parametros!$A$11:$E$15,5,0),""))</f>
        <v/>
      </c>
      <c r="F456" s="335">
        <f>IF(OR(D456="",E456=""),"",ROUND(D456*E456,2))</f>
        <v/>
      </c>
      <c r="G456" s="106" t="n"/>
      <c r="H456" s="350">
        <f>IF(G456="Sim",IF(OR(F456="",D456="",L456=""),"",IF(L456="Sim",ROUND(F456-D456,2),0)),0)</f>
        <v/>
      </c>
      <c r="I456" s="350">
        <f>IF(G456="Sim",0,IF(OR(F456="",L456=""),"",F456))</f>
        <v/>
      </c>
      <c r="J456" s="350">
        <f>IF(G456="Sim",0,IF(OR(F456="",D456="",L456=""),"",IF(L456="Sim",ROUND(F456-D456,2),0)))</f>
        <v/>
      </c>
      <c r="K456" s="97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inlineStr">
        <is>
          <t>Nao</t>
        </is>
      </c>
      <c r="W456" s="110" t="inlineStr">
        <is>
          <t>PC em analise</t>
        </is>
      </c>
      <c r="X456" s="110" t="inlineStr">
        <is>
          <t>Pedido de Compra</t>
        </is>
      </c>
      <c r="Y456" s="111" t="inlineStr">
        <is>
          <t>Impacto Potencial</t>
        </is>
      </c>
      <c r="Z456" s="111" t="inlineStr">
        <is>
          <t>PC</t>
        </is>
      </c>
      <c r="AA456" s="111" t="inlineStr">
        <is>
          <t>Nao</t>
        </is>
      </c>
      <c r="AB456" s="111" t="inlineStr">
        <is>
          <t>NAO_COMPUTADO</t>
        </is>
      </c>
      <c r="AC456" s="112" t="inlineStr">
        <is>
          <t>Estrutura Fase 1: sem impacto no VTA oficial</t>
        </is>
      </c>
    </row>
    <row r="457" ht="25.5" customHeight="1" s="289">
      <c r="A457" s="205" t="n"/>
      <c r="B457" s="207" t="n"/>
      <c r="C457" s="104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348" t="n"/>
      <c r="E457" s="349">
        <f>IF(C457="","",IFERROR(VLOOKUP(C457,parametros!$A$11:$E$15,5,0),""))</f>
        <v/>
      </c>
      <c r="F457" s="335">
        <f>IF(OR(D457="",E457=""),"",ROUND(D457*E457,2))</f>
        <v/>
      </c>
      <c r="G457" s="106" t="n"/>
      <c r="H457" s="350">
        <f>IF(G457="Sim",IF(OR(F457="",D457="",L457=""),"",IF(L457="Sim",ROUND(F457-D457,2),0)),0)</f>
        <v/>
      </c>
      <c r="I457" s="350">
        <f>IF(G457="Sim",0,IF(OR(F457="",L457=""),"",F457))</f>
        <v/>
      </c>
      <c r="J457" s="350">
        <f>IF(G457="Sim",0,IF(OR(F457="",D457="",L457=""),"",IF(L457="Sim",ROUND(F457-D457,2),0)))</f>
        <v/>
      </c>
      <c r="K457" s="97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inlineStr">
        <is>
          <t>Nao</t>
        </is>
      </c>
      <c r="W457" s="110" t="inlineStr">
        <is>
          <t>PC em analise</t>
        </is>
      </c>
      <c r="X457" s="110" t="inlineStr">
        <is>
          <t>Pedido de Compra</t>
        </is>
      </c>
      <c r="Y457" s="111" t="inlineStr">
        <is>
          <t>Impacto Potencial</t>
        </is>
      </c>
      <c r="Z457" s="111" t="inlineStr">
        <is>
          <t>PC</t>
        </is>
      </c>
      <c r="AA457" s="111" t="inlineStr">
        <is>
          <t>Nao</t>
        </is>
      </c>
      <c r="AB457" s="111" t="inlineStr">
        <is>
          <t>NAO_COMPUTADO</t>
        </is>
      </c>
      <c r="AC457" s="112" t="inlineStr">
        <is>
          <t>Estrutura Fase 1: sem impacto no VTA oficial</t>
        </is>
      </c>
    </row>
    <row r="458" ht="25.5" customHeight="1" s="289">
      <c r="A458" s="205" t="n"/>
      <c r="B458" s="207" t="n"/>
      <c r="C458" s="104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348" t="n"/>
      <c r="E458" s="349">
        <f>IF(C458="","",IFERROR(VLOOKUP(C458,parametros!$A$11:$E$15,5,0),""))</f>
        <v/>
      </c>
      <c r="F458" s="335">
        <f>IF(OR(D458="",E458=""),"",ROUND(D458*E458,2))</f>
        <v/>
      </c>
      <c r="G458" s="106" t="n"/>
      <c r="H458" s="350">
        <f>IF(G458="Sim",IF(OR(F458="",D458="",L458=""),"",IF(L458="Sim",ROUND(F458-D458,2),0)),0)</f>
        <v/>
      </c>
      <c r="I458" s="350">
        <f>IF(G458="Sim",0,IF(OR(F458="",L458=""),"",F458))</f>
        <v/>
      </c>
      <c r="J458" s="350">
        <f>IF(G458="Sim",0,IF(OR(F458="",D458="",L458=""),"",IF(L458="Sim",ROUND(F458-D458,2),0)))</f>
        <v/>
      </c>
      <c r="K458" s="97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inlineStr">
        <is>
          <t>Nao</t>
        </is>
      </c>
      <c r="W458" s="110" t="inlineStr">
        <is>
          <t>PC em analise</t>
        </is>
      </c>
      <c r="X458" s="110" t="inlineStr">
        <is>
          <t>Pedido de Compra</t>
        </is>
      </c>
      <c r="Y458" s="111" t="inlineStr">
        <is>
          <t>Impacto Potencial</t>
        </is>
      </c>
      <c r="Z458" s="111" t="inlineStr">
        <is>
          <t>PC</t>
        </is>
      </c>
      <c r="AA458" s="111" t="inlineStr">
        <is>
          <t>Nao</t>
        </is>
      </c>
      <c r="AB458" s="111" t="inlineStr">
        <is>
          <t>NAO_COMPUTADO</t>
        </is>
      </c>
      <c r="AC458" s="112" t="inlineStr">
        <is>
          <t>Estrutura Fase 1: sem impacto no VTA oficial</t>
        </is>
      </c>
    </row>
    <row r="459" ht="25.5" customHeight="1" s="289">
      <c r="A459" s="205" t="n"/>
      <c r="B459" s="207" t="n"/>
      <c r="C459" s="104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348" t="n"/>
      <c r="E459" s="349">
        <f>IF(C459="","",IFERROR(VLOOKUP(C459,parametros!$A$11:$E$15,5,0),""))</f>
        <v/>
      </c>
      <c r="F459" s="335">
        <f>IF(OR(D459="",E459=""),"",ROUND(D459*E459,2))</f>
        <v/>
      </c>
      <c r="G459" s="106" t="n"/>
      <c r="H459" s="350">
        <f>IF(G459="Sim",IF(OR(F459="",D459="",L459=""),"",IF(L459="Sim",ROUND(F459-D459,2),0)),0)</f>
        <v/>
      </c>
      <c r="I459" s="350">
        <f>IF(G459="Sim",0,IF(OR(F459="",L459=""),"",F459))</f>
        <v/>
      </c>
      <c r="J459" s="350">
        <f>IF(G459="Sim",0,IF(OR(F459="",D459="",L459=""),"",IF(L459="Sim",ROUND(F459-D459,2),0)))</f>
        <v/>
      </c>
      <c r="K459" s="97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inlineStr">
        <is>
          <t>Nao</t>
        </is>
      </c>
      <c r="W459" s="110" t="inlineStr">
        <is>
          <t>PC em analise</t>
        </is>
      </c>
      <c r="X459" s="110" t="inlineStr">
        <is>
          <t>Pedido de Compra</t>
        </is>
      </c>
      <c r="Y459" s="111" t="inlineStr">
        <is>
          <t>Impacto Potencial</t>
        </is>
      </c>
      <c r="Z459" s="111" t="inlineStr">
        <is>
          <t>PC</t>
        </is>
      </c>
      <c r="AA459" s="111" t="inlineStr">
        <is>
          <t>Nao</t>
        </is>
      </c>
      <c r="AB459" s="111" t="inlineStr">
        <is>
          <t>NAO_COMPUTADO</t>
        </is>
      </c>
      <c r="AC459" s="112" t="inlineStr">
        <is>
          <t>Estrutura Fase 1: sem impacto no VTA oficial</t>
        </is>
      </c>
    </row>
    <row r="460" ht="25.5" customHeight="1" s="289">
      <c r="A460" s="205" t="n"/>
      <c r="B460" s="207" t="n"/>
      <c r="C460" s="104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348" t="n"/>
      <c r="E460" s="349">
        <f>IF(C460="","",IFERROR(VLOOKUP(C460,parametros!$A$11:$E$15,5,0),""))</f>
        <v/>
      </c>
      <c r="F460" s="335">
        <f>IF(OR(D460="",E460=""),"",ROUND(D460*E460,2))</f>
        <v/>
      </c>
      <c r="G460" s="106" t="n"/>
      <c r="H460" s="350">
        <f>IF(G460="Sim",IF(OR(F460="",D460="",L460=""),"",IF(L460="Sim",ROUND(F460-D460,2),0)),0)</f>
        <v/>
      </c>
      <c r="I460" s="350">
        <f>IF(G460="Sim",0,IF(OR(F460="",L460=""),"",F460))</f>
        <v/>
      </c>
      <c r="J460" s="350">
        <f>IF(G460="Sim",0,IF(OR(F460="",D460="",L460=""),"",IF(L460="Sim",ROUND(F460-D460,2),0)))</f>
        <v/>
      </c>
      <c r="K460" s="97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inlineStr">
        <is>
          <t>Nao</t>
        </is>
      </c>
      <c r="W460" s="110" t="inlineStr">
        <is>
          <t>PC em analise</t>
        </is>
      </c>
      <c r="X460" s="110" t="inlineStr">
        <is>
          <t>Pedido de Compra</t>
        </is>
      </c>
      <c r="Y460" s="111" t="inlineStr">
        <is>
          <t>Impacto Potencial</t>
        </is>
      </c>
      <c r="Z460" s="111" t="inlineStr">
        <is>
          <t>PC</t>
        </is>
      </c>
      <c r="AA460" s="111" t="inlineStr">
        <is>
          <t>Nao</t>
        </is>
      </c>
      <c r="AB460" s="111" t="inlineStr">
        <is>
          <t>NAO_COMPUTADO</t>
        </is>
      </c>
      <c r="AC460" s="112" t="inlineStr">
        <is>
          <t>Estrutura Fase 1: sem impacto no VTA oficial</t>
        </is>
      </c>
    </row>
    <row r="461" ht="25.5" customHeight="1" s="289">
      <c r="A461" s="205" t="n"/>
      <c r="B461" s="207" t="n"/>
      <c r="C461" s="104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348" t="n"/>
      <c r="E461" s="349">
        <f>IF(C461="","",IFERROR(VLOOKUP(C461,parametros!$A$11:$E$15,5,0),""))</f>
        <v/>
      </c>
      <c r="F461" s="335">
        <f>IF(OR(D461="",E461=""),"",ROUND(D461*E461,2))</f>
        <v/>
      </c>
      <c r="G461" s="106" t="n"/>
      <c r="H461" s="350">
        <f>IF(G461="Sim",IF(OR(F461="",D461="",L461=""),"",IF(L461="Sim",ROUND(F461-D461,2),0)),0)</f>
        <v/>
      </c>
      <c r="I461" s="350">
        <f>IF(G461="Sim",0,IF(OR(F461="",L461=""),"",F461))</f>
        <v/>
      </c>
      <c r="J461" s="350">
        <f>IF(G461="Sim",0,IF(OR(F461="",D461="",L461=""),"",IF(L461="Sim",ROUND(F461-D461,2),0)))</f>
        <v/>
      </c>
      <c r="K461" s="97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inlineStr">
        <is>
          <t>Nao</t>
        </is>
      </c>
      <c r="W461" s="110" t="inlineStr">
        <is>
          <t>PC em analise</t>
        </is>
      </c>
      <c r="X461" s="110" t="inlineStr">
        <is>
          <t>Pedido de Compra</t>
        </is>
      </c>
      <c r="Y461" s="111" t="inlineStr">
        <is>
          <t>Impacto Potencial</t>
        </is>
      </c>
      <c r="Z461" s="111" t="inlineStr">
        <is>
          <t>PC</t>
        </is>
      </c>
      <c r="AA461" s="111" t="inlineStr">
        <is>
          <t>Nao</t>
        </is>
      </c>
      <c r="AB461" s="111" t="inlineStr">
        <is>
          <t>NAO_COMPUTADO</t>
        </is>
      </c>
      <c r="AC461" s="112" t="inlineStr">
        <is>
          <t>Estrutura Fase 1: sem impacto no VTA oficial</t>
        </is>
      </c>
    </row>
    <row r="462" ht="25.5" customHeight="1" s="289">
      <c r="A462" s="205" t="n"/>
      <c r="B462" s="207" t="n"/>
      <c r="C462" s="104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348" t="n"/>
      <c r="E462" s="349">
        <f>IF(C462="","",IFERROR(VLOOKUP(C462,parametros!$A$11:$E$15,5,0),""))</f>
        <v/>
      </c>
      <c r="F462" s="335">
        <f>IF(OR(D462="",E462=""),"",ROUND(D462*E462,2))</f>
        <v/>
      </c>
      <c r="G462" s="106" t="n"/>
      <c r="H462" s="350">
        <f>IF(G462="Sim",IF(OR(F462="",D462="",L462=""),"",IF(L462="Sim",ROUND(F462-D462,2),0)),0)</f>
        <v/>
      </c>
      <c r="I462" s="350">
        <f>IF(G462="Sim",0,IF(OR(F462="",L462=""),"",F462))</f>
        <v/>
      </c>
      <c r="J462" s="350">
        <f>IF(G462="Sim",0,IF(OR(F462="",D462="",L462=""),"",IF(L462="Sim",ROUND(F462-D462,2),0)))</f>
        <v/>
      </c>
      <c r="K462" s="97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inlineStr">
        <is>
          <t>Nao</t>
        </is>
      </c>
      <c r="W462" s="110" t="inlineStr">
        <is>
          <t>PC em analise</t>
        </is>
      </c>
      <c r="X462" s="110" t="inlineStr">
        <is>
          <t>Pedido de Compra</t>
        </is>
      </c>
      <c r="Y462" s="111" t="inlineStr">
        <is>
          <t>Impacto Potencial</t>
        </is>
      </c>
      <c r="Z462" s="111" t="inlineStr">
        <is>
          <t>PC</t>
        </is>
      </c>
      <c r="AA462" s="111" t="inlineStr">
        <is>
          <t>Nao</t>
        </is>
      </c>
      <c r="AB462" s="111" t="inlineStr">
        <is>
          <t>NAO_COMPUTADO</t>
        </is>
      </c>
      <c r="AC462" s="112" t="inlineStr">
        <is>
          <t>Estrutura Fase 1: sem impacto no VTA oficial</t>
        </is>
      </c>
    </row>
    <row r="463" ht="25.5" customHeight="1" s="289">
      <c r="A463" s="205" t="n"/>
      <c r="B463" s="207" t="n"/>
      <c r="C463" s="104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348" t="n"/>
      <c r="E463" s="349">
        <f>IF(C463="","",IFERROR(VLOOKUP(C463,parametros!$A$11:$E$15,5,0),""))</f>
        <v/>
      </c>
      <c r="F463" s="335">
        <f>IF(OR(D463="",E463=""),"",ROUND(D463*E463,2))</f>
        <v/>
      </c>
      <c r="G463" s="106" t="n"/>
      <c r="H463" s="350">
        <f>IF(G463="Sim",IF(OR(F463="",D463="",L463=""),"",IF(L463="Sim",ROUND(F463-D463,2),0)),0)</f>
        <v/>
      </c>
      <c r="I463" s="350">
        <f>IF(G463="Sim",0,IF(OR(F463="",L463=""),"",F463))</f>
        <v/>
      </c>
      <c r="J463" s="350">
        <f>IF(G463="Sim",0,IF(OR(F463="",D463="",L463=""),"",IF(L463="Sim",ROUND(F463-D463,2),0)))</f>
        <v/>
      </c>
      <c r="K463" s="97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inlineStr">
        <is>
          <t>Nao</t>
        </is>
      </c>
      <c r="W463" s="110" t="inlineStr">
        <is>
          <t>PC em analise</t>
        </is>
      </c>
      <c r="X463" s="110" t="inlineStr">
        <is>
          <t>Pedido de Compra</t>
        </is>
      </c>
      <c r="Y463" s="111" t="inlineStr">
        <is>
          <t>Impacto Potencial</t>
        </is>
      </c>
      <c r="Z463" s="111" t="inlineStr">
        <is>
          <t>PC</t>
        </is>
      </c>
      <c r="AA463" s="111" t="inlineStr">
        <is>
          <t>Nao</t>
        </is>
      </c>
      <c r="AB463" s="111" t="inlineStr">
        <is>
          <t>NAO_COMPUTADO</t>
        </is>
      </c>
      <c r="AC463" s="112" t="inlineStr">
        <is>
          <t>Estrutura Fase 1: sem impacto no VTA oficial</t>
        </is>
      </c>
    </row>
    <row r="464" ht="25.5" customHeight="1" s="289">
      <c r="A464" s="205" t="n"/>
      <c r="B464" s="207" t="n"/>
      <c r="C464" s="104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348" t="n"/>
      <c r="E464" s="349">
        <f>IF(C464="","",IFERROR(VLOOKUP(C464,parametros!$A$11:$E$15,5,0),""))</f>
        <v/>
      </c>
      <c r="F464" s="335">
        <f>IF(OR(D464="",E464=""),"",ROUND(D464*E464,2))</f>
        <v/>
      </c>
      <c r="G464" s="106" t="n"/>
      <c r="H464" s="350">
        <f>IF(G464="Sim",IF(OR(F464="",D464="",L464=""),"",IF(L464="Sim",ROUND(F464-D464,2),0)),0)</f>
        <v/>
      </c>
      <c r="I464" s="350">
        <f>IF(G464="Sim",0,IF(OR(F464="",L464=""),"",F464))</f>
        <v/>
      </c>
      <c r="J464" s="350">
        <f>IF(G464="Sim",0,IF(OR(F464="",D464="",L464=""),"",IF(L464="Sim",ROUND(F464-D464,2),0)))</f>
        <v/>
      </c>
      <c r="K464" s="97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inlineStr">
        <is>
          <t>Nao</t>
        </is>
      </c>
      <c r="W464" s="110" t="inlineStr">
        <is>
          <t>PC em analise</t>
        </is>
      </c>
      <c r="X464" s="110" t="inlineStr">
        <is>
          <t>Pedido de Compra</t>
        </is>
      </c>
      <c r="Y464" s="111" t="inlineStr">
        <is>
          <t>Impacto Potencial</t>
        </is>
      </c>
      <c r="Z464" s="111" t="inlineStr">
        <is>
          <t>PC</t>
        </is>
      </c>
      <c r="AA464" s="111" t="inlineStr">
        <is>
          <t>Nao</t>
        </is>
      </c>
      <c r="AB464" s="111" t="inlineStr">
        <is>
          <t>NAO_COMPUTADO</t>
        </is>
      </c>
      <c r="AC464" s="112" t="inlineStr">
        <is>
          <t>Estrutura Fase 1: sem impacto no VTA oficial</t>
        </is>
      </c>
    </row>
    <row r="465" ht="25.5" customHeight="1" s="289">
      <c r="A465" s="205" t="n"/>
      <c r="B465" s="207" t="n"/>
      <c r="C465" s="104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348" t="n"/>
      <c r="E465" s="349">
        <f>IF(C465="","",IFERROR(VLOOKUP(C465,parametros!$A$11:$E$15,5,0),""))</f>
        <v/>
      </c>
      <c r="F465" s="335">
        <f>IF(OR(D465="",E465=""),"",ROUND(D465*E465,2))</f>
        <v/>
      </c>
      <c r="G465" s="106" t="n"/>
      <c r="H465" s="350">
        <f>IF(G465="Sim",IF(OR(F465="",D465="",L465=""),"",IF(L465="Sim",ROUND(F465-D465,2),0)),0)</f>
        <v/>
      </c>
      <c r="I465" s="350">
        <f>IF(G465="Sim",0,IF(OR(F465="",L465=""),"",F465))</f>
        <v/>
      </c>
      <c r="J465" s="350">
        <f>IF(G465="Sim",0,IF(OR(F465="",D465="",L465=""),"",IF(L465="Sim",ROUND(F465-D465,2),0)))</f>
        <v/>
      </c>
      <c r="K465" s="97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inlineStr">
        <is>
          <t>Nao</t>
        </is>
      </c>
      <c r="W465" s="110" t="inlineStr">
        <is>
          <t>PC em analise</t>
        </is>
      </c>
      <c r="X465" s="110" t="inlineStr">
        <is>
          <t>Pedido de Compra</t>
        </is>
      </c>
      <c r="Y465" s="111" t="inlineStr">
        <is>
          <t>Impacto Potencial</t>
        </is>
      </c>
      <c r="Z465" s="111" t="inlineStr">
        <is>
          <t>PC</t>
        </is>
      </c>
      <c r="AA465" s="111" t="inlineStr">
        <is>
          <t>Nao</t>
        </is>
      </c>
      <c r="AB465" s="111" t="inlineStr">
        <is>
          <t>NAO_COMPUTADO</t>
        </is>
      </c>
      <c r="AC465" s="112" t="inlineStr">
        <is>
          <t>Estrutura Fase 1: sem impacto no VTA oficial</t>
        </is>
      </c>
    </row>
    <row r="466" ht="25.5" customHeight="1" s="289">
      <c r="A466" s="205" t="n"/>
      <c r="B466" s="207" t="n"/>
      <c r="C466" s="104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348" t="n"/>
      <c r="E466" s="349">
        <f>IF(C466="","",IFERROR(VLOOKUP(C466,parametros!$A$11:$E$15,5,0),""))</f>
        <v/>
      </c>
      <c r="F466" s="335">
        <f>IF(OR(D466="",E466=""),"",ROUND(D466*E466,2))</f>
        <v/>
      </c>
      <c r="G466" s="106" t="n"/>
      <c r="H466" s="350">
        <f>IF(G466="Sim",IF(OR(F466="",D466="",L466=""),"",IF(L466="Sim",ROUND(F466-D466,2),0)),0)</f>
        <v/>
      </c>
      <c r="I466" s="350">
        <f>IF(G466="Sim",0,IF(OR(F466="",L466=""),"",F466))</f>
        <v/>
      </c>
      <c r="J466" s="350">
        <f>IF(G466="Sim",0,IF(OR(F466="",D466="",L466=""),"",IF(L466="Sim",ROUND(F466-D466,2),0)))</f>
        <v/>
      </c>
      <c r="K466" s="97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inlineStr">
        <is>
          <t>Nao</t>
        </is>
      </c>
      <c r="W466" s="110" t="inlineStr">
        <is>
          <t>PC em analise</t>
        </is>
      </c>
      <c r="X466" s="110" t="inlineStr">
        <is>
          <t>Pedido de Compra</t>
        </is>
      </c>
      <c r="Y466" s="111" t="inlineStr">
        <is>
          <t>Impacto Potencial</t>
        </is>
      </c>
      <c r="Z466" s="111" t="inlineStr">
        <is>
          <t>PC</t>
        </is>
      </c>
      <c r="AA466" s="111" t="inlineStr">
        <is>
          <t>Nao</t>
        </is>
      </c>
      <c r="AB466" s="111" t="inlineStr">
        <is>
          <t>NAO_COMPUTADO</t>
        </is>
      </c>
      <c r="AC466" s="112" t="inlineStr">
        <is>
          <t>Estrutura Fase 1: sem impacto no VTA oficial</t>
        </is>
      </c>
    </row>
    <row r="467" ht="25.5" customHeight="1" s="289">
      <c r="A467" s="205" t="n"/>
      <c r="B467" s="207" t="n"/>
      <c r="C467" s="104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348" t="n"/>
      <c r="E467" s="349">
        <f>IF(C467="","",IFERROR(VLOOKUP(C467,parametros!$A$11:$E$15,5,0),""))</f>
        <v/>
      </c>
      <c r="F467" s="335">
        <f>IF(OR(D467="",E467=""),"",ROUND(D467*E467,2))</f>
        <v/>
      </c>
      <c r="G467" s="106" t="n"/>
      <c r="H467" s="350">
        <f>IF(G467="Sim",IF(OR(F467="",D467="",L467=""),"",IF(L467="Sim",ROUND(F467-D467,2),0)),0)</f>
        <v/>
      </c>
      <c r="I467" s="350">
        <f>IF(G467="Sim",0,IF(OR(F467="",L467=""),"",F467))</f>
        <v/>
      </c>
      <c r="J467" s="350">
        <f>IF(G467="Sim",0,IF(OR(F467="",D467="",L467=""),"",IF(L467="Sim",ROUND(F467-D467,2),0)))</f>
        <v/>
      </c>
      <c r="K467" s="97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inlineStr">
        <is>
          <t>Nao</t>
        </is>
      </c>
      <c r="W467" s="110" t="inlineStr">
        <is>
          <t>PC em analise</t>
        </is>
      </c>
      <c r="X467" s="110" t="inlineStr">
        <is>
          <t>Pedido de Compra</t>
        </is>
      </c>
      <c r="Y467" s="111" t="inlineStr">
        <is>
          <t>Impacto Potencial</t>
        </is>
      </c>
      <c r="Z467" s="111" t="inlineStr">
        <is>
          <t>PC</t>
        </is>
      </c>
      <c r="AA467" s="111" t="inlineStr">
        <is>
          <t>Nao</t>
        </is>
      </c>
      <c r="AB467" s="111" t="inlineStr">
        <is>
          <t>NAO_COMPUTADO</t>
        </is>
      </c>
      <c r="AC467" s="112" t="inlineStr">
        <is>
          <t>Estrutura Fase 1: sem impacto no VTA oficial</t>
        </is>
      </c>
    </row>
    <row r="468" ht="25.5" customHeight="1" s="289">
      <c r="A468" s="205" t="n"/>
      <c r="B468" s="207" t="n"/>
      <c r="C468" s="104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348" t="n"/>
      <c r="E468" s="349">
        <f>IF(C468="","",IFERROR(VLOOKUP(C468,parametros!$A$11:$E$15,5,0),""))</f>
        <v/>
      </c>
      <c r="F468" s="335">
        <f>IF(OR(D468="",E468=""),"",ROUND(D468*E468,2))</f>
        <v/>
      </c>
      <c r="G468" s="106" t="n"/>
      <c r="H468" s="350">
        <f>IF(G468="Sim",IF(OR(F468="",D468="",L468=""),"",IF(L468="Sim",ROUND(F468-D468,2),0)),0)</f>
        <v/>
      </c>
      <c r="I468" s="350">
        <f>IF(G468="Sim",0,IF(OR(F468="",L468=""),"",F468))</f>
        <v/>
      </c>
      <c r="J468" s="350">
        <f>IF(G468="Sim",0,IF(OR(F468="",D468="",L468=""),"",IF(L468="Sim",ROUND(F468-D468,2),0)))</f>
        <v/>
      </c>
      <c r="K468" s="97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inlineStr">
        <is>
          <t>Nao</t>
        </is>
      </c>
      <c r="W468" s="110" t="inlineStr">
        <is>
          <t>PC em analise</t>
        </is>
      </c>
      <c r="X468" s="110" t="inlineStr">
        <is>
          <t>Pedido de Compra</t>
        </is>
      </c>
      <c r="Y468" s="111" t="inlineStr">
        <is>
          <t>Impacto Potencial</t>
        </is>
      </c>
      <c r="Z468" s="111" t="inlineStr">
        <is>
          <t>PC</t>
        </is>
      </c>
      <c r="AA468" s="111" t="inlineStr">
        <is>
          <t>Nao</t>
        </is>
      </c>
      <c r="AB468" s="111" t="inlineStr">
        <is>
          <t>NAO_COMPUTADO</t>
        </is>
      </c>
      <c r="AC468" s="112" t="inlineStr">
        <is>
          <t>Estrutura Fase 1: sem impacto no VTA oficial</t>
        </is>
      </c>
    </row>
    <row r="469" ht="25.5" customHeight="1" s="289">
      <c r="A469" s="205" t="n"/>
      <c r="B469" s="207" t="n"/>
      <c r="C469" s="104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348" t="n"/>
      <c r="E469" s="349">
        <f>IF(C469="","",IFERROR(VLOOKUP(C469,parametros!$A$11:$E$15,5,0),""))</f>
        <v/>
      </c>
      <c r="F469" s="335">
        <f>IF(OR(D469="",E469=""),"",ROUND(D469*E469,2))</f>
        <v/>
      </c>
      <c r="G469" s="106" t="n"/>
      <c r="H469" s="350">
        <f>IF(G469="Sim",IF(OR(F469="",D469="",L469=""),"",IF(L469="Sim",ROUND(F469-D469,2),0)),0)</f>
        <v/>
      </c>
      <c r="I469" s="350">
        <f>IF(G469="Sim",0,IF(OR(F469="",L469=""),"",F469))</f>
        <v/>
      </c>
      <c r="J469" s="350">
        <f>IF(G469="Sim",0,IF(OR(F469="",D469="",L469=""),"",IF(L469="Sim",ROUND(F469-D469,2),0)))</f>
        <v/>
      </c>
      <c r="K469" s="97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inlineStr">
        <is>
          <t>Nao</t>
        </is>
      </c>
      <c r="W469" s="110" t="inlineStr">
        <is>
          <t>PC em analise</t>
        </is>
      </c>
      <c r="X469" s="110" t="inlineStr">
        <is>
          <t>Pedido de Compra</t>
        </is>
      </c>
      <c r="Y469" s="111" t="inlineStr">
        <is>
          <t>Impacto Potencial</t>
        </is>
      </c>
      <c r="Z469" s="111" t="inlineStr">
        <is>
          <t>PC</t>
        </is>
      </c>
      <c r="AA469" s="111" t="inlineStr">
        <is>
          <t>Nao</t>
        </is>
      </c>
      <c r="AB469" s="111" t="inlineStr">
        <is>
          <t>NAO_COMPUTADO</t>
        </is>
      </c>
      <c r="AC469" s="112" t="inlineStr">
        <is>
          <t>Estrutura Fase 1: sem impacto no VTA oficial</t>
        </is>
      </c>
    </row>
    <row r="470" ht="25.5" customHeight="1" s="289">
      <c r="A470" s="205" t="n"/>
      <c r="B470" s="207" t="n"/>
      <c r="C470" s="104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348" t="n"/>
      <c r="E470" s="349">
        <f>IF(C470="","",IFERROR(VLOOKUP(C470,parametros!$A$11:$E$15,5,0),""))</f>
        <v/>
      </c>
      <c r="F470" s="335">
        <f>IF(OR(D470="",E470=""),"",ROUND(D470*E470,2))</f>
        <v/>
      </c>
      <c r="G470" s="106" t="n"/>
      <c r="H470" s="350">
        <f>IF(G470="Sim",IF(OR(F470="",D470="",L470=""),"",IF(L470="Sim",ROUND(F470-D470,2),0)),0)</f>
        <v/>
      </c>
      <c r="I470" s="350">
        <f>IF(G470="Sim",0,IF(OR(F470="",L470=""),"",F470))</f>
        <v/>
      </c>
      <c r="J470" s="350">
        <f>IF(G470="Sim",0,IF(OR(F470="",D470="",L470=""),"",IF(L470="Sim",ROUND(F470-D470,2),0)))</f>
        <v/>
      </c>
      <c r="K470" s="97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inlineStr">
        <is>
          <t>Nao</t>
        </is>
      </c>
      <c r="W470" s="110" t="inlineStr">
        <is>
          <t>PC em analise</t>
        </is>
      </c>
      <c r="X470" s="110" t="inlineStr">
        <is>
          <t>Pedido de Compra</t>
        </is>
      </c>
      <c r="Y470" s="111" t="inlineStr">
        <is>
          <t>Impacto Potencial</t>
        </is>
      </c>
      <c r="Z470" s="111" t="inlineStr">
        <is>
          <t>PC</t>
        </is>
      </c>
      <c r="AA470" s="111" t="inlineStr">
        <is>
          <t>Nao</t>
        </is>
      </c>
      <c r="AB470" s="111" t="inlineStr">
        <is>
          <t>NAO_COMPUTADO</t>
        </is>
      </c>
      <c r="AC470" s="112" t="inlineStr">
        <is>
          <t>Estrutura Fase 1: sem impacto no VTA oficial</t>
        </is>
      </c>
    </row>
    <row r="471" ht="25.5" customHeight="1" s="289">
      <c r="A471" s="205" t="n"/>
      <c r="B471" s="207" t="n"/>
      <c r="C471" s="104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348" t="n"/>
      <c r="E471" s="349">
        <f>IF(C471="","",IFERROR(VLOOKUP(C471,parametros!$A$11:$E$15,5,0),""))</f>
        <v/>
      </c>
      <c r="F471" s="335">
        <f>IF(OR(D471="",E471=""),"",ROUND(D471*E471,2))</f>
        <v/>
      </c>
      <c r="G471" s="106" t="n"/>
      <c r="H471" s="350">
        <f>IF(G471="Sim",IF(OR(F471="",D471="",L471=""),"",IF(L471="Sim",ROUND(F471-D471,2),0)),0)</f>
        <v/>
      </c>
      <c r="I471" s="350">
        <f>IF(G471="Sim",0,IF(OR(F471="",L471=""),"",F471))</f>
        <v/>
      </c>
      <c r="J471" s="350">
        <f>IF(G471="Sim",0,IF(OR(F471="",D471="",L471=""),"",IF(L471="Sim",ROUND(F471-D471,2),0)))</f>
        <v/>
      </c>
      <c r="K471" s="97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inlineStr">
        <is>
          <t>Nao</t>
        </is>
      </c>
      <c r="W471" s="110" t="inlineStr">
        <is>
          <t>PC em analise</t>
        </is>
      </c>
      <c r="X471" s="110" t="inlineStr">
        <is>
          <t>Pedido de Compra</t>
        </is>
      </c>
      <c r="Y471" s="111" t="inlineStr">
        <is>
          <t>Impacto Potencial</t>
        </is>
      </c>
      <c r="Z471" s="111" t="inlineStr">
        <is>
          <t>PC</t>
        </is>
      </c>
      <c r="AA471" s="111" t="inlineStr">
        <is>
          <t>Nao</t>
        </is>
      </c>
      <c r="AB471" s="111" t="inlineStr">
        <is>
          <t>NAO_COMPUTADO</t>
        </is>
      </c>
      <c r="AC471" s="112" t="inlineStr">
        <is>
          <t>Estrutura Fase 1: sem impacto no VTA oficial</t>
        </is>
      </c>
    </row>
    <row r="472" ht="25.5" customHeight="1" s="289">
      <c r="A472" s="205" t="n"/>
      <c r="B472" s="207" t="n"/>
      <c r="C472" s="104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348" t="n"/>
      <c r="E472" s="349">
        <f>IF(C472="","",IFERROR(VLOOKUP(C472,parametros!$A$11:$E$15,5,0),""))</f>
        <v/>
      </c>
      <c r="F472" s="335">
        <f>IF(OR(D472="",E472=""),"",ROUND(D472*E472,2))</f>
        <v/>
      </c>
      <c r="G472" s="106" t="n"/>
      <c r="H472" s="350">
        <f>IF(G472="Sim",IF(OR(F472="",D472="",L472=""),"",IF(L472="Sim",ROUND(F472-D472,2),0)),0)</f>
        <v/>
      </c>
      <c r="I472" s="350">
        <f>IF(G472="Sim",0,IF(OR(F472="",L472=""),"",F472))</f>
        <v/>
      </c>
      <c r="J472" s="350">
        <f>IF(G472="Sim",0,IF(OR(F472="",D472="",L472=""),"",IF(L472="Sim",ROUND(F472-D472,2),0)))</f>
        <v/>
      </c>
      <c r="K472" s="97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inlineStr">
        <is>
          <t>Nao</t>
        </is>
      </c>
      <c r="W472" s="110" t="inlineStr">
        <is>
          <t>PC em analise</t>
        </is>
      </c>
      <c r="X472" s="110" t="inlineStr">
        <is>
          <t>Pedido de Compra</t>
        </is>
      </c>
      <c r="Y472" s="111" t="inlineStr">
        <is>
          <t>Impacto Potencial</t>
        </is>
      </c>
      <c r="Z472" s="111" t="inlineStr">
        <is>
          <t>PC</t>
        </is>
      </c>
      <c r="AA472" s="111" t="inlineStr">
        <is>
          <t>Nao</t>
        </is>
      </c>
      <c r="AB472" s="111" t="inlineStr">
        <is>
          <t>NAO_COMPUTADO</t>
        </is>
      </c>
      <c r="AC472" s="112" t="inlineStr">
        <is>
          <t>Estrutura Fase 1: sem impacto no VTA oficial</t>
        </is>
      </c>
    </row>
    <row r="473" ht="25.5" customHeight="1" s="289">
      <c r="A473" s="205" t="n"/>
      <c r="B473" s="207" t="n"/>
      <c r="C473" s="104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348" t="n"/>
      <c r="E473" s="349">
        <f>IF(C473="","",IFERROR(VLOOKUP(C473,parametros!$A$11:$E$15,5,0),""))</f>
        <v/>
      </c>
      <c r="F473" s="335">
        <f>IF(OR(D473="",E473=""),"",ROUND(D473*E473,2))</f>
        <v/>
      </c>
      <c r="G473" s="106" t="n"/>
      <c r="H473" s="350">
        <f>IF(G473="Sim",IF(OR(F473="",D473="",L473=""),"",IF(L473="Sim",ROUND(F473-D473,2),0)),0)</f>
        <v/>
      </c>
      <c r="I473" s="350">
        <f>IF(G473="Sim",0,IF(OR(F473="",L473=""),"",F473))</f>
        <v/>
      </c>
      <c r="J473" s="350">
        <f>IF(G473="Sim",0,IF(OR(F473="",D473="",L473=""),"",IF(L473="Sim",ROUND(F473-D473,2),0)))</f>
        <v/>
      </c>
      <c r="K473" s="97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inlineStr">
        <is>
          <t>Nao</t>
        </is>
      </c>
      <c r="W473" s="110" t="inlineStr">
        <is>
          <t>PC em analise</t>
        </is>
      </c>
      <c r="X473" s="110" t="inlineStr">
        <is>
          <t>Pedido de Compra</t>
        </is>
      </c>
      <c r="Y473" s="111" t="inlineStr">
        <is>
          <t>Impacto Potencial</t>
        </is>
      </c>
      <c r="Z473" s="111" t="inlineStr">
        <is>
          <t>PC</t>
        </is>
      </c>
      <c r="AA473" s="111" t="inlineStr">
        <is>
          <t>Nao</t>
        </is>
      </c>
      <c r="AB473" s="111" t="inlineStr">
        <is>
          <t>NAO_COMPUTADO</t>
        </is>
      </c>
      <c r="AC473" s="112" t="inlineStr">
        <is>
          <t>Estrutura Fase 1: sem impacto no VTA oficial</t>
        </is>
      </c>
    </row>
    <row r="474" ht="25.5" customHeight="1" s="289">
      <c r="A474" s="205" t="n"/>
      <c r="B474" s="207" t="n"/>
      <c r="C474" s="104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348" t="n"/>
      <c r="E474" s="349">
        <f>IF(C474="","",IFERROR(VLOOKUP(C474,parametros!$A$11:$E$15,5,0),""))</f>
        <v/>
      </c>
      <c r="F474" s="335">
        <f>IF(OR(D474="",E474=""),"",ROUND(D474*E474,2))</f>
        <v/>
      </c>
      <c r="G474" s="106" t="n"/>
      <c r="H474" s="350">
        <f>IF(G474="Sim",IF(OR(F474="",D474="",L474=""),"",IF(L474="Sim",ROUND(F474-D474,2),0)),0)</f>
        <v/>
      </c>
      <c r="I474" s="350">
        <f>IF(G474="Sim",0,IF(OR(F474="",L474=""),"",F474))</f>
        <v/>
      </c>
      <c r="J474" s="350">
        <f>IF(G474="Sim",0,IF(OR(F474="",D474="",L474=""),"",IF(L474="Sim",ROUND(F474-D474,2),0)))</f>
        <v/>
      </c>
      <c r="K474" s="97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inlineStr">
        <is>
          <t>Nao</t>
        </is>
      </c>
      <c r="W474" s="110" t="inlineStr">
        <is>
          <t>PC em analise</t>
        </is>
      </c>
      <c r="X474" s="110" t="inlineStr">
        <is>
          <t>Pedido de Compra</t>
        </is>
      </c>
      <c r="Y474" s="111" t="inlineStr">
        <is>
          <t>Impacto Potencial</t>
        </is>
      </c>
      <c r="Z474" s="111" t="inlineStr">
        <is>
          <t>PC</t>
        </is>
      </c>
      <c r="AA474" s="111" t="inlineStr">
        <is>
          <t>Nao</t>
        </is>
      </c>
      <c r="AB474" s="111" t="inlineStr">
        <is>
          <t>NAO_COMPUTADO</t>
        </is>
      </c>
      <c r="AC474" s="112" t="inlineStr">
        <is>
          <t>Estrutura Fase 1: sem impacto no VTA oficial</t>
        </is>
      </c>
    </row>
    <row r="475" ht="25.5" customHeight="1" s="289">
      <c r="A475" s="205" t="n"/>
      <c r="B475" s="207" t="n"/>
      <c r="C475" s="104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348" t="n"/>
      <c r="E475" s="349">
        <f>IF(C475="","",IFERROR(VLOOKUP(C475,parametros!$A$11:$E$15,5,0),""))</f>
        <v/>
      </c>
      <c r="F475" s="335">
        <f>IF(OR(D475="",E475=""),"",ROUND(D475*E475,2))</f>
        <v/>
      </c>
      <c r="G475" s="106" t="n"/>
      <c r="H475" s="350">
        <f>IF(G475="Sim",IF(OR(F475="",D475="",L475=""),"",IF(L475="Sim",ROUND(F475-D475,2),0)),0)</f>
        <v/>
      </c>
      <c r="I475" s="350">
        <f>IF(G475="Sim",0,IF(OR(F475="",L475=""),"",F475))</f>
        <v/>
      </c>
      <c r="J475" s="350">
        <f>IF(G475="Sim",0,IF(OR(F475="",D475="",L475=""),"",IF(L475="Sim",ROUND(F475-D475,2),0)))</f>
        <v/>
      </c>
      <c r="K475" s="97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inlineStr">
        <is>
          <t>Nao</t>
        </is>
      </c>
      <c r="W475" s="110" t="inlineStr">
        <is>
          <t>PC em analise</t>
        </is>
      </c>
      <c r="X475" s="110" t="inlineStr">
        <is>
          <t>Pedido de Compra</t>
        </is>
      </c>
      <c r="Y475" s="111" t="inlineStr">
        <is>
          <t>Impacto Potencial</t>
        </is>
      </c>
      <c r="Z475" s="111" t="inlineStr">
        <is>
          <t>PC</t>
        </is>
      </c>
      <c r="AA475" s="111" t="inlineStr">
        <is>
          <t>Nao</t>
        </is>
      </c>
      <c r="AB475" s="111" t="inlineStr">
        <is>
          <t>NAO_COMPUTADO</t>
        </is>
      </c>
      <c r="AC475" s="112" t="inlineStr">
        <is>
          <t>Estrutura Fase 1: sem impacto no VTA oficial</t>
        </is>
      </c>
    </row>
    <row r="476" ht="25.5" customHeight="1" s="289">
      <c r="A476" s="205" t="n"/>
      <c r="B476" s="207" t="n"/>
      <c r="C476" s="104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348" t="n"/>
      <c r="E476" s="349">
        <f>IF(C476="","",IFERROR(VLOOKUP(C476,parametros!$A$11:$E$15,5,0),""))</f>
        <v/>
      </c>
      <c r="F476" s="335">
        <f>IF(OR(D476="",E476=""),"",ROUND(D476*E476,2))</f>
        <v/>
      </c>
      <c r="G476" s="106" t="n"/>
      <c r="H476" s="350">
        <f>IF(G476="Sim",IF(OR(F476="",D476="",L476=""),"",IF(L476="Sim",ROUND(F476-D476,2),0)),0)</f>
        <v/>
      </c>
      <c r="I476" s="350">
        <f>IF(G476="Sim",0,IF(OR(F476="",L476=""),"",F476))</f>
        <v/>
      </c>
      <c r="J476" s="350">
        <f>IF(G476="Sim",0,IF(OR(F476="",D476="",L476=""),"",IF(L476="Sim",ROUND(F476-D476,2),0)))</f>
        <v/>
      </c>
      <c r="K476" s="97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inlineStr">
        <is>
          <t>Nao</t>
        </is>
      </c>
      <c r="W476" s="110" t="inlineStr">
        <is>
          <t>PC em analise</t>
        </is>
      </c>
      <c r="X476" s="110" t="inlineStr">
        <is>
          <t>Pedido de Compra</t>
        </is>
      </c>
      <c r="Y476" s="111" t="inlineStr">
        <is>
          <t>Impacto Potencial</t>
        </is>
      </c>
      <c r="Z476" s="111" t="inlineStr">
        <is>
          <t>PC</t>
        </is>
      </c>
      <c r="AA476" s="111" t="inlineStr">
        <is>
          <t>Nao</t>
        </is>
      </c>
      <c r="AB476" s="111" t="inlineStr">
        <is>
          <t>NAO_COMPUTADO</t>
        </is>
      </c>
      <c r="AC476" s="112" t="inlineStr">
        <is>
          <t>Estrutura Fase 1: sem impacto no VTA oficial</t>
        </is>
      </c>
    </row>
    <row r="477" ht="25.5" customHeight="1" s="289">
      <c r="A477" s="205" t="n"/>
      <c r="B477" s="207" t="n"/>
      <c r="C477" s="104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348" t="n"/>
      <c r="E477" s="349">
        <f>IF(C477="","",IFERROR(VLOOKUP(C477,parametros!$A$11:$E$15,5,0),""))</f>
        <v/>
      </c>
      <c r="F477" s="335">
        <f>IF(OR(D477="",E477=""),"",ROUND(D477*E477,2))</f>
        <v/>
      </c>
      <c r="G477" s="106" t="n"/>
      <c r="H477" s="350">
        <f>IF(G477="Sim",IF(OR(F477="",D477="",L477=""),"",IF(L477="Sim",ROUND(F477-D477,2),0)),0)</f>
        <v/>
      </c>
      <c r="I477" s="350">
        <f>IF(G477="Sim",0,IF(OR(F477="",L477=""),"",F477))</f>
        <v/>
      </c>
      <c r="J477" s="350">
        <f>IF(G477="Sim",0,IF(OR(F477="",D477="",L477=""),"",IF(L477="Sim",ROUND(F477-D477,2),0)))</f>
        <v/>
      </c>
      <c r="K477" s="97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inlineStr">
        <is>
          <t>Nao</t>
        </is>
      </c>
      <c r="W477" s="110" t="inlineStr">
        <is>
          <t>PC em analise</t>
        </is>
      </c>
      <c r="X477" s="110" t="inlineStr">
        <is>
          <t>Pedido de Compra</t>
        </is>
      </c>
      <c r="Y477" s="111" t="inlineStr">
        <is>
          <t>Impacto Potencial</t>
        </is>
      </c>
      <c r="Z477" s="111" t="inlineStr">
        <is>
          <t>PC</t>
        </is>
      </c>
      <c r="AA477" s="111" t="inlineStr">
        <is>
          <t>Nao</t>
        </is>
      </c>
      <c r="AB477" s="111" t="inlineStr">
        <is>
          <t>NAO_COMPUTADO</t>
        </is>
      </c>
      <c r="AC477" s="112" t="inlineStr">
        <is>
          <t>Estrutura Fase 1: sem impacto no VTA oficial</t>
        </is>
      </c>
    </row>
    <row r="478" ht="25.5" customHeight="1" s="289">
      <c r="A478" s="205" t="n"/>
      <c r="B478" s="207" t="n"/>
      <c r="C478" s="104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348" t="n"/>
      <c r="E478" s="349">
        <f>IF(C478="","",IFERROR(VLOOKUP(C478,parametros!$A$11:$E$15,5,0),""))</f>
        <v/>
      </c>
      <c r="F478" s="335">
        <f>IF(OR(D478="",E478=""),"",ROUND(D478*E478,2))</f>
        <v/>
      </c>
      <c r="G478" s="106" t="n"/>
      <c r="H478" s="350">
        <f>IF(G478="Sim",IF(OR(F478="",D478="",L478=""),"",IF(L478="Sim",ROUND(F478-D478,2),0)),0)</f>
        <v/>
      </c>
      <c r="I478" s="350">
        <f>IF(G478="Sim",0,IF(OR(F478="",L478=""),"",F478))</f>
        <v/>
      </c>
      <c r="J478" s="350">
        <f>IF(G478="Sim",0,IF(OR(F478="",D478="",L478=""),"",IF(L478="Sim",ROUND(F478-D478,2),0)))</f>
        <v/>
      </c>
      <c r="K478" s="97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inlineStr">
        <is>
          <t>Nao</t>
        </is>
      </c>
      <c r="W478" s="110" t="inlineStr">
        <is>
          <t>PC em analise</t>
        </is>
      </c>
      <c r="X478" s="110" t="inlineStr">
        <is>
          <t>Pedido de Compra</t>
        </is>
      </c>
      <c r="Y478" s="111" t="inlineStr">
        <is>
          <t>Impacto Potencial</t>
        </is>
      </c>
      <c r="Z478" s="111" t="inlineStr">
        <is>
          <t>PC</t>
        </is>
      </c>
      <c r="AA478" s="111" t="inlineStr">
        <is>
          <t>Nao</t>
        </is>
      </c>
      <c r="AB478" s="111" t="inlineStr">
        <is>
          <t>NAO_COMPUTADO</t>
        </is>
      </c>
      <c r="AC478" s="112" t="inlineStr">
        <is>
          <t>Estrutura Fase 1: sem impacto no VTA oficial</t>
        </is>
      </c>
    </row>
    <row r="479" ht="25.5" customHeight="1" s="289">
      <c r="A479" s="205" t="n"/>
      <c r="B479" s="207" t="n"/>
      <c r="C479" s="104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348" t="n"/>
      <c r="E479" s="349">
        <f>IF(C479="","",IFERROR(VLOOKUP(C479,parametros!$A$11:$E$15,5,0),""))</f>
        <v/>
      </c>
      <c r="F479" s="335">
        <f>IF(OR(D479="",E479=""),"",ROUND(D479*E479,2))</f>
        <v/>
      </c>
      <c r="G479" s="106" t="n"/>
      <c r="H479" s="350">
        <f>IF(G479="Sim",IF(OR(F479="",D479="",L479=""),"",IF(L479="Sim",ROUND(F479-D479,2),0)),0)</f>
        <v/>
      </c>
      <c r="I479" s="350">
        <f>IF(G479="Sim",0,IF(OR(F479="",L479=""),"",F479))</f>
        <v/>
      </c>
      <c r="J479" s="350">
        <f>IF(G479="Sim",0,IF(OR(F479="",D479="",L479=""),"",IF(L479="Sim",ROUND(F479-D479,2),0)))</f>
        <v/>
      </c>
      <c r="K479" s="97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inlineStr">
        <is>
          <t>Nao</t>
        </is>
      </c>
      <c r="W479" s="110" t="inlineStr">
        <is>
          <t>PC em analise</t>
        </is>
      </c>
      <c r="X479" s="110" t="inlineStr">
        <is>
          <t>Pedido de Compra</t>
        </is>
      </c>
      <c r="Y479" s="111" t="inlineStr">
        <is>
          <t>Impacto Potencial</t>
        </is>
      </c>
      <c r="Z479" s="111" t="inlineStr">
        <is>
          <t>PC</t>
        </is>
      </c>
      <c r="AA479" s="111" t="inlineStr">
        <is>
          <t>Nao</t>
        </is>
      </c>
      <c r="AB479" s="111" t="inlineStr">
        <is>
          <t>NAO_COMPUTADO</t>
        </is>
      </c>
      <c r="AC479" s="112" t="inlineStr">
        <is>
          <t>Estrutura Fase 1: sem impacto no VTA oficial</t>
        </is>
      </c>
    </row>
    <row r="480" ht="25.5" customHeight="1" s="289">
      <c r="A480" s="205" t="n"/>
      <c r="B480" s="207" t="n"/>
      <c r="C480" s="104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348" t="n"/>
      <c r="E480" s="349">
        <f>IF(C480="","",IFERROR(VLOOKUP(C480,parametros!$A$11:$E$15,5,0),""))</f>
        <v/>
      </c>
      <c r="F480" s="335">
        <f>IF(OR(D480="",E480=""),"",ROUND(D480*E480,2))</f>
        <v/>
      </c>
      <c r="G480" s="106" t="n"/>
      <c r="H480" s="350">
        <f>IF(G480="Sim",IF(OR(F480="",D480="",L480=""),"",IF(L480="Sim",ROUND(F480-D480,2),0)),0)</f>
        <v/>
      </c>
      <c r="I480" s="350">
        <f>IF(G480="Sim",0,IF(OR(F480="",L480=""),"",F480))</f>
        <v/>
      </c>
      <c r="J480" s="350">
        <f>IF(G480="Sim",0,IF(OR(F480="",D480="",L480=""),"",IF(L480="Sim",ROUND(F480-D480,2),0)))</f>
        <v/>
      </c>
      <c r="K480" s="97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inlineStr">
        <is>
          <t>Nao</t>
        </is>
      </c>
      <c r="W480" s="110" t="inlineStr">
        <is>
          <t>PC em analise</t>
        </is>
      </c>
      <c r="X480" s="110" t="inlineStr">
        <is>
          <t>Pedido de Compra</t>
        </is>
      </c>
      <c r="Y480" s="111" t="inlineStr">
        <is>
          <t>Impacto Potencial</t>
        </is>
      </c>
      <c r="Z480" s="111" t="inlineStr">
        <is>
          <t>PC</t>
        </is>
      </c>
      <c r="AA480" s="111" t="inlineStr">
        <is>
          <t>Nao</t>
        </is>
      </c>
      <c r="AB480" s="111" t="inlineStr">
        <is>
          <t>NAO_COMPUTADO</t>
        </is>
      </c>
      <c r="AC480" s="112" t="inlineStr">
        <is>
          <t>Estrutura Fase 1: sem impacto no VTA oficial</t>
        </is>
      </c>
    </row>
    <row r="481" ht="25.5" customHeight="1" s="289">
      <c r="A481" s="205" t="n"/>
      <c r="B481" s="207" t="n"/>
      <c r="C481" s="104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348" t="n"/>
      <c r="E481" s="349">
        <f>IF(C481="","",IFERROR(VLOOKUP(C481,parametros!$A$11:$E$15,5,0),""))</f>
        <v/>
      </c>
      <c r="F481" s="335">
        <f>IF(OR(D481="",E481=""),"",ROUND(D481*E481,2))</f>
        <v/>
      </c>
      <c r="G481" s="106" t="n"/>
      <c r="H481" s="350">
        <f>IF(G481="Sim",IF(OR(F481="",D481="",L481=""),"",IF(L481="Sim",ROUND(F481-D481,2),0)),0)</f>
        <v/>
      </c>
      <c r="I481" s="350">
        <f>IF(G481="Sim",0,IF(OR(F481="",L481=""),"",F481))</f>
        <v/>
      </c>
      <c r="J481" s="350">
        <f>IF(G481="Sim",0,IF(OR(F481="",D481="",L481=""),"",IF(L481="Sim",ROUND(F481-D481,2),0)))</f>
        <v/>
      </c>
      <c r="K481" s="97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inlineStr">
        <is>
          <t>Nao</t>
        </is>
      </c>
      <c r="W481" s="110" t="inlineStr">
        <is>
          <t>PC em analise</t>
        </is>
      </c>
      <c r="X481" s="110" t="inlineStr">
        <is>
          <t>Pedido de Compra</t>
        </is>
      </c>
      <c r="Y481" s="111" t="inlineStr">
        <is>
          <t>Impacto Potencial</t>
        </is>
      </c>
      <c r="Z481" s="111" t="inlineStr">
        <is>
          <t>PC</t>
        </is>
      </c>
      <c r="AA481" s="111" t="inlineStr">
        <is>
          <t>Nao</t>
        </is>
      </c>
      <c r="AB481" s="111" t="inlineStr">
        <is>
          <t>NAO_COMPUTADO</t>
        </is>
      </c>
      <c r="AC481" s="112" t="inlineStr">
        <is>
          <t>Estrutura Fase 1: sem impacto no VTA oficial</t>
        </is>
      </c>
    </row>
    <row r="482" ht="25.5" customHeight="1" s="289">
      <c r="A482" s="205" t="n"/>
      <c r="B482" s="207" t="n"/>
      <c r="C482" s="104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348" t="n"/>
      <c r="E482" s="349">
        <f>IF(C482="","",IFERROR(VLOOKUP(C482,parametros!$A$11:$E$15,5,0),""))</f>
        <v/>
      </c>
      <c r="F482" s="335">
        <f>IF(OR(D482="",E482=""),"",ROUND(D482*E482,2))</f>
        <v/>
      </c>
      <c r="G482" s="106" t="n"/>
      <c r="H482" s="350">
        <f>IF(G482="Sim",IF(OR(F482="",D482="",L482=""),"",IF(L482="Sim",ROUND(F482-D482,2),0)),0)</f>
        <v/>
      </c>
      <c r="I482" s="350">
        <f>IF(G482="Sim",0,IF(OR(F482="",L482=""),"",F482))</f>
        <v/>
      </c>
      <c r="J482" s="350">
        <f>IF(G482="Sim",0,IF(OR(F482="",D482="",L482=""),"",IF(L482="Sim",ROUND(F482-D482,2),0)))</f>
        <v/>
      </c>
      <c r="K482" s="97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inlineStr">
        <is>
          <t>Nao</t>
        </is>
      </c>
      <c r="W482" s="110" t="inlineStr">
        <is>
          <t>PC em analise</t>
        </is>
      </c>
      <c r="X482" s="110" t="inlineStr">
        <is>
          <t>Pedido de Compra</t>
        </is>
      </c>
      <c r="Y482" s="111" t="inlineStr">
        <is>
          <t>Impacto Potencial</t>
        </is>
      </c>
      <c r="Z482" s="111" t="inlineStr">
        <is>
          <t>PC</t>
        </is>
      </c>
      <c r="AA482" s="111" t="inlineStr">
        <is>
          <t>Nao</t>
        </is>
      </c>
      <c r="AB482" s="111" t="inlineStr">
        <is>
          <t>NAO_COMPUTADO</t>
        </is>
      </c>
      <c r="AC482" s="112" t="inlineStr">
        <is>
          <t>Estrutura Fase 1: sem impacto no VTA oficial</t>
        </is>
      </c>
    </row>
    <row r="483" ht="25.5" customHeight="1" s="289">
      <c r="A483" s="205" t="n"/>
      <c r="B483" s="207" t="n"/>
      <c r="C483" s="104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348" t="n"/>
      <c r="E483" s="349">
        <f>IF(C483="","",IFERROR(VLOOKUP(C483,parametros!$A$11:$E$15,5,0),""))</f>
        <v/>
      </c>
      <c r="F483" s="335">
        <f>IF(OR(D483="",E483=""),"",ROUND(D483*E483,2))</f>
        <v/>
      </c>
      <c r="G483" s="106" t="n"/>
      <c r="H483" s="350">
        <f>IF(G483="Sim",IF(OR(F483="",D483="",L483=""),"",IF(L483="Sim",ROUND(F483-D483,2),0)),0)</f>
        <v/>
      </c>
      <c r="I483" s="350">
        <f>IF(G483="Sim",0,IF(OR(F483="",L483=""),"",F483))</f>
        <v/>
      </c>
      <c r="J483" s="350">
        <f>IF(G483="Sim",0,IF(OR(F483="",D483="",L483=""),"",IF(L483="Sim",ROUND(F483-D483,2),0)))</f>
        <v/>
      </c>
      <c r="K483" s="97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inlineStr">
        <is>
          <t>Nao</t>
        </is>
      </c>
      <c r="W483" s="110" t="inlineStr">
        <is>
          <t>PC em analise</t>
        </is>
      </c>
      <c r="X483" s="110" t="inlineStr">
        <is>
          <t>Pedido de Compra</t>
        </is>
      </c>
      <c r="Y483" s="111" t="inlineStr">
        <is>
          <t>Impacto Potencial</t>
        </is>
      </c>
      <c r="Z483" s="111" t="inlineStr">
        <is>
          <t>PC</t>
        </is>
      </c>
      <c r="AA483" s="111" t="inlineStr">
        <is>
          <t>Nao</t>
        </is>
      </c>
      <c r="AB483" s="111" t="inlineStr">
        <is>
          <t>NAO_COMPUTADO</t>
        </is>
      </c>
      <c r="AC483" s="112" t="inlineStr">
        <is>
          <t>Estrutura Fase 1: sem impacto no VTA oficial</t>
        </is>
      </c>
    </row>
    <row r="484" ht="25.5" customHeight="1" s="289">
      <c r="A484" s="205" t="n"/>
      <c r="B484" s="207" t="n"/>
      <c r="C484" s="104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348" t="n"/>
      <c r="E484" s="349">
        <f>IF(C484="","",IFERROR(VLOOKUP(C484,parametros!$A$11:$E$15,5,0),""))</f>
        <v/>
      </c>
      <c r="F484" s="335">
        <f>IF(OR(D484="",E484=""),"",ROUND(D484*E484,2))</f>
        <v/>
      </c>
      <c r="G484" s="106" t="n"/>
      <c r="H484" s="350">
        <f>IF(G484="Sim",IF(OR(F484="",D484="",L484=""),"",IF(L484="Sim",ROUND(F484-D484,2),0)),0)</f>
        <v/>
      </c>
      <c r="I484" s="350">
        <f>IF(G484="Sim",0,IF(OR(F484="",L484=""),"",F484))</f>
        <v/>
      </c>
      <c r="J484" s="350">
        <f>IF(G484="Sim",0,IF(OR(F484="",D484="",L484=""),"",IF(L484="Sim",ROUND(F484-D484,2),0)))</f>
        <v/>
      </c>
      <c r="K484" s="97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inlineStr">
        <is>
          <t>Nao</t>
        </is>
      </c>
      <c r="W484" s="110" t="inlineStr">
        <is>
          <t>PC em analise</t>
        </is>
      </c>
      <c r="X484" s="110" t="inlineStr">
        <is>
          <t>Pedido de Compra</t>
        </is>
      </c>
      <c r="Y484" s="111" t="inlineStr">
        <is>
          <t>Impacto Potencial</t>
        </is>
      </c>
      <c r="Z484" s="111" t="inlineStr">
        <is>
          <t>PC</t>
        </is>
      </c>
      <c r="AA484" s="111" t="inlineStr">
        <is>
          <t>Nao</t>
        </is>
      </c>
      <c r="AB484" s="111" t="inlineStr">
        <is>
          <t>NAO_COMPUTADO</t>
        </is>
      </c>
      <c r="AC484" s="112" t="inlineStr">
        <is>
          <t>Estrutura Fase 1: sem impacto no VTA oficial</t>
        </is>
      </c>
    </row>
    <row r="485" ht="25.5" customHeight="1" s="289">
      <c r="A485" s="205" t="n"/>
      <c r="B485" s="207" t="n"/>
      <c r="C485" s="104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348" t="n"/>
      <c r="E485" s="349">
        <f>IF(C485="","",IFERROR(VLOOKUP(C485,parametros!$A$11:$E$15,5,0),""))</f>
        <v/>
      </c>
      <c r="F485" s="335">
        <f>IF(OR(D485="",E485=""),"",ROUND(D485*E485,2))</f>
        <v/>
      </c>
      <c r="G485" s="106" t="n"/>
      <c r="H485" s="350">
        <f>IF(G485="Sim",IF(OR(F485="",D485="",L485=""),"",IF(L485="Sim",ROUND(F485-D485,2),0)),0)</f>
        <v/>
      </c>
      <c r="I485" s="350">
        <f>IF(G485="Sim",0,IF(OR(F485="",L485=""),"",F485))</f>
        <v/>
      </c>
      <c r="J485" s="350">
        <f>IF(G485="Sim",0,IF(OR(F485="",D485="",L485=""),"",IF(L485="Sim",ROUND(F485-D485,2),0)))</f>
        <v/>
      </c>
      <c r="K485" s="97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inlineStr">
        <is>
          <t>Nao</t>
        </is>
      </c>
      <c r="W485" s="110" t="inlineStr">
        <is>
          <t>PC em analise</t>
        </is>
      </c>
      <c r="X485" s="110" t="inlineStr">
        <is>
          <t>Pedido de Compra</t>
        </is>
      </c>
      <c r="Y485" s="111" t="inlineStr">
        <is>
          <t>Impacto Potencial</t>
        </is>
      </c>
      <c r="Z485" s="111" t="inlineStr">
        <is>
          <t>PC</t>
        </is>
      </c>
      <c r="AA485" s="111" t="inlineStr">
        <is>
          <t>Nao</t>
        </is>
      </c>
      <c r="AB485" s="111" t="inlineStr">
        <is>
          <t>NAO_COMPUTADO</t>
        </is>
      </c>
      <c r="AC485" s="112" t="inlineStr">
        <is>
          <t>Estrutura Fase 1: sem impacto no VTA oficial</t>
        </is>
      </c>
    </row>
    <row r="486" ht="25.5" customHeight="1" s="289">
      <c r="A486" s="205" t="n"/>
      <c r="B486" s="207" t="n"/>
      <c r="C486" s="104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348" t="n"/>
      <c r="E486" s="349">
        <f>IF(C486="","",IFERROR(VLOOKUP(C486,parametros!$A$11:$E$15,5,0),""))</f>
        <v/>
      </c>
      <c r="F486" s="335">
        <f>IF(OR(D486="",E486=""),"",ROUND(D486*E486,2))</f>
        <v/>
      </c>
      <c r="G486" s="106" t="n"/>
      <c r="H486" s="350">
        <f>IF(G486="Sim",IF(OR(F486="",D486="",L486=""),"",IF(L486="Sim",ROUND(F486-D486,2),0)),0)</f>
        <v/>
      </c>
      <c r="I486" s="350">
        <f>IF(G486="Sim",0,IF(OR(F486="",L486=""),"",F486))</f>
        <v/>
      </c>
      <c r="J486" s="350">
        <f>IF(G486="Sim",0,IF(OR(F486="",D486="",L486=""),"",IF(L486="Sim",ROUND(F486-D486,2),0)))</f>
        <v/>
      </c>
      <c r="K486" s="97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inlineStr">
        <is>
          <t>Nao</t>
        </is>
      </c>
      <c r="W486" s="110" t="inlineStr">
        <is>
          <t>PC em analise</t>
        </is>
      </c>
      <c r="X486" s="110" t="inlineStr">
        <is>
          <t>Pedido de Compra</t>
        </is>
      </c>
      <c r="Y486" s="111" t="inlineStr">
        <is>
          <t>Impacto Potencial</t>
        </is>
      </c>
      <c r="Z486" s="111" t="inlineStr">
        <is>
          <t>PC</t>
        </is>
      </c>
      <c r="AA486" s="111" t="inlineStr">
        <is>
          <t>Nao</t>
        </is>
      </c>
      <c r="AB486" s="111" t="inlineStr">
        <is>
          <t>NAO_COMPUTADO</t>
        </is>
      </c>
      <c r="AC486" s="112" t="inlineStr">
        <is>
          <t>Estrutura Fase 1: sem impacto no VTA oficial</t>
        </is>
      </c>
    </row>
    <row r="487" ht="25.5" customHeight="1" s="289">
      <c r="A487" s="205" t="n"/>
      <c r="B487" s="207" t="n"/>
      <c r="C487" s="104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348" t="n"/>
      <c r="E487" s="349">
        <f>IF(C487="","",IFERROR(VLOOKUP(C487,parametros!$A$11:$E$15,5,0),""))</f>
        <v/>
      </c>
      <c r="F487" s="335">
        <f>IF(OR(D487="",E487=""),"",ROUND(D487*E487,2))</f>
        <v/>
      </c>
      <c r="G487" s="106" t="n"/>
      <c r="H487" s="350">
        <f>IF(G487="Sim",IF(OR(F487="",D487="",L487=""),"",IF(L487="Sim",ROUND(F487-D487,2),0)),0)</f>
        <v/>
      </c>
      <c r="I487" s="350">
        <f>IF(G487="Sim",0,IF(OR(F487="",L487=""),"",F487))</f>
        <v/>
      </c>
      <c r="J487" s="350">
        <f>IF(G487="Sim",0,IF(OR(F487="",D487="",L487=""),"",IF(L487="Sim",ROUND(F487-D487,2),0)))</f>
        <v/>
      </c>
      <c r="K487" s="97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inlineStr">
        <is>
          <t>Nao</t>
        </is>
      </c>
      <c r="W487" s="110" t="inlineStr">
        <is>
          <t>PC em analise</t>
        </is>
      </c>
      <c r="X487" s="110" t="inlineStr">
        <is>
          <t>Pedido de Compra</t>
        </is>
      </c>
      <c r="Y487" s="111" t="inlineStr">
        <is>
          <t>Impacto Potencial</t>
        </is>
      </c>
      <c r="Z487" s="111" t="inlineStr">
        <is>
          <t>PC</t>
        </is>
      </c>
      <c r="AA487" s="111" t="inlineStr">
        <is>
          <t>Nao</t>
        </is>
      </c>
      <c r="AB487" s="111" t="inlineStr">
        <is>
          <t>NAO_COMPUTADO</t>
        </is>
      </c>
      <c r="AC487" s="112" t="inlineStr">
        <is>
          <t>Estrutura Fase 1: sem impacto no VTA oficial</t>
        </is>
      </c>
    </row>
    <row r="488" ht="25.5" customHeight="1" s="289">
      <c r="A488" s="205" t="n"/>
      <c r="B488" s="207" t="n"/>
      <c r="C488" s="104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348" t="n"/>
      <c r="E488" s="349">
        <f>IF(C488="","",IFERROR(VLOOKUP(C488,parametros!$A$11:$E$15,5,0),""))</f>
        <v/>
      </c>
      <c r="F488" s="335">
        <f>IF(OR(D488="",E488=""),"",ROUND(D488*E488,2))</f>
        <v/>
      </c>
      <c r="G488" s="106" t="n"/>
      <c r="H488" s="350">
        <f>IF(G488="Sim",IF(OR(F488="",D488="",L488=""),"",IF(L488="Sim",ROUND(F488-D488,2),0)),0)</f>
        <v/>
      </c>
      <c r="I488" s="350">
        <f>IF(G488="Sim",0,IF(OR(F488="",L488=""),"",F488))</f>
        <v/>
      </c>
      <c r="J488" s="350">
        <f>IF(G488="Sim",0,IF(OR(F488="",D488="",L488=""),"",IF(L488="Sim",ROUND(F488-D488,2),0)))</f>
        <v/>
      </c>
      <c r="K488" s="97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inlineStr">
        <is>
          <t>Nao</t>
        </is>
      </c>
      <c r="W488" s="110" t="inlineStr">
        <is>
          <t>PC em analise</t>
        </is>
      </c>
      <c r="X488" s="110" t="inlineStr">
        <is>
          <t>Pedido de Compra</t>
        </is>
      </c>
      <c r="Y488" s="111" t="inlineStr">
        <is>
          <t>Impacto Potencial</t>
        </is>
      </c>
      <c r="Z488" s="111" t="inlineStr">
        <is>
          <t>PC</t>
        </is>
      </c>
      <c r="AA488" s="111" t="inlineStr">
        <is>
          <t>Nao</t>
        </is>
      </c>
      <c r="AB488" s="111" t="inlineStr">
        <is>
          <t>NAO_COMPUTADO</t>
        </is>
      </c>
      <c r="AC488" s="112" t="inlineStr">
        <is>
          <t>Estrutura Fase 1: sem impacto no VTA oficial</t>
        </is>
      </c>
    </row>
    <row r="489" ht="25.5" customHeight="1" s="289">
      <c r="A489" s="205" t="n"/>
      <c r="B489" s="207" t="n"/>
      <c r="C489" s="104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348" t="n"/>
      <c r="E489" s="349">
        <f>IF(C489="","",IFERROR(VLOOKUP(C489,parametros!$A$11:$E$15,5,0),""))</f>
        <v/>
      </c>
      <c r="F489" s="335">
        <f>IF(OR(D489="",E489=""),"",ROUND(D489*E489,2))</f>
        <v/>
      </c>
      <c r="G489" s="106" t="n"/>
      <c r="H489" s="350">
        <f>IF(G489="Sim",IF(OR(F489="",D489="",L489=""),"",IF(L489="Sim",ROUND(F489-D489,2),0)),0)</f>
        <v/>
      </c>
      <c r="I489" s="350">
        <f>IF(G489="Sim",0,IF(OR(F489="",L489=""),"",F489))</f>
        <v/>
      </c>
      <c r="J489" s="350">
        <f>IF(G489="Sim",0,IF(OR(F489="",D489="",L489=""),"",IF(L489="Sim",ROUND(F489-D489,2),0)))</f>
        <v/>
      </c>
      <c r="K489" s="97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inlineStr">
        <is>
          <t>Nao</t>
        </is>
      </c>
      <c r="W489" s="110" t="inlineStr">
        <is>
          <t>PC em analise</t>
        </is>
      </c>
      <c r="X489" s="110" t="inlineStr">
        <is>
          <t>Pedido de Compra</t>
        </is>
      </c>
      <c r="Y489" s="111" t="inlineStr">
        <is>
          <t>Impacto Potencial</t>
        </is>
      </c>
      <c r="Z489" s="111" t="inlineStr">
        <is>
          <t>PC</t>
        </is>
      </c>
      <c r="AA489" s="111" t="inlineStr">
        <is>
          <t>Nao</t>
        </is>
      </c>
      <c r="AB489" s="111" t="inlineStr">
        <is>
          <t>NAO_COMPUTADO</t>
        </is>
      </c>
      <c r="AC489" s="112" t="inlineStr">
        <is>
          <t>Estrutura Fase 1: sem impacto no VTA oficial</t>
        </is>
      </c>
    </row>
    <row r="490" ht="25.5" customHeight="1" s="289">
      <c r="A490" s="205" t="n"/>
      <c r="B490" s="207" t="n"/>
      <c r="C490" s="104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348" t="n"/>
      <c r="E490" s="349">
        <f>IF(C490="","",IFERROR(VLOOKUP(C490,parametros!$A$11:$E$15,5,0),""))</f>
        <v/>
      </c>
      <c r="F490" s="335">
        <f>IF(OR(D490="",E490=""),"",ROUND(D490*E490,2))</f>
        <v/>
      </c>
      <c r="G490" s="106" t="n"/>
      <c r="H490" s="350">
        <f>IF(G490="Sim",IF(OR(F490="",D490="",L490=""),"",IF(L490="Sim",ROUND(F490-D490,2),0)),0)</f>
        <v/>
      </c>
      <c r="I490" s="350">
        <f>IF(G490="Sim",0,IF(OR(F490="",L490=""),"",F490))</f>
        <v/>
      </c>
      <c r="J490" s="350">
        <f>IF(G490="Sim",0,IF(OR(F490="",D490="",L490=""),"",IF(L490="Sim",ROUND(F490-D490,2),0)))</f>
        <v/>
      </c>
      <c r="K490" s="97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inlineStr">
        <is>
          <t>Nao</t>
        </is>
      </c>
      <c r="W490" s="110" t="inlineStr">
        <is>
          <t>PC em analise</t>
        </is>
      </c>
      <c r="X490" s="110" t="inlineStr">
        <is>
          <t>Pedido de Compra</t>
        </is>
      </c>
      <c r="Y490" s="111" t="inlineStr">
        <is>
          <t>Impacto Potencial</t>
        </is>
      </c>
      <c r="Z490" s="111" t="inlineStr">
        <is>
          <t>PC</t>
        </is>
      </c>
      <c r="AA490" s="111" t="inlineStr">
        <is>
          <t>Nao</t>
        </is>
      </c>
      <c r="AB490" s="111" t="inlineStr">
        <is>
          <t>NAO_COMPUTADO</t>
        </is>
      </c>
      <c r="AC490" s="112" t="inlineStr">
        <is>
          <t>Estrutura Fase 1: sem impacto no VTA oficial</t>
        </is>
      </c>
    </row>
    <row r="491" ht="25.5" customHeight="1" s="289">
      <c r="A491" s="205" t="n"/>
      <c r="B491" s="207" t="n"/>
      <c r="C491" s="104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348" t="n"/>
      <c r="E491" s="349">
        <f>IF(C491="","",IFERROR(VLOOKUP(C491,parametros!$A$11:$E$15,5,0),""))</f>
        <v/>
      </c>
      <c r="F491" s="335">
        <f>IF(OR(D491="",E491=""),"",ROUND(D491*E491,2))</f>
        <v/>
      </c>
      <c r="G491" s="106" t="n"/>
      <c r="H491" s="350">
        <f>IF(G491="Sim",IF(OR(F491="",D491="",L491=""),"",IF(L491="Sim",ROUND(F491-D491,2),0)),0)</f>
        <v/>
      </c>
      <c r="I491" s="350">
        <f>IF(G491="Sim",0,IF(OR(F491="",L491=""),"",F491))</f>
        <v/>
      </c>
      <c r="J491" s="350">
        <f>IF(G491="Sim",0,IF(OR(F491="",D491="",L491=""),"",IF(L491="Sim",ROUND(F491-D491,2),0)))</f>
        <v/>
      </c>
      <c r="K491" s="97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inlineStr">
        <is>
          <t>Nao</t>
        </is>
      </c>
      <c r="W491" s="110" t="inlineStr">
        <is>
          <t>PC em analise</t>
        </is>
      </c>
      <c r="X491" s="110" t="inlineStr">
        <is>
          <t>Pedido de Compra</t>
        </is>
      </c>
      <c r="Y491" s="111" t="inlineStr">
        <is>
          <t>Impacto Potencial</t>
        </is>
      </c>
      <c r="Z491" s="111" t="inlineStr">
        <is>
          <t>PC</t>
        </is>
      </c>
      <c r="AA491" s="111" t="inlineStr">
        <is>
          <t>Nao</t>
        </is>
      </c>
      <c r="AB491" s="111" t="inlineStr">
        <is>
          <t>NAO_COMPUTADO</t>
        </is>
      </c>
      <c r="AC491" s="112" t="inlineStr">
        <is>
          <t>Estrutura Fase 1: sem impacto no VTA oficial</t>
        </is>
      </c>
    </row>
    <row r="492" ht="25.5" customHeight="1" s="289">
      <c r="A492" s="205" t="n"/>
      <c r="B492" s="207" t="n"/>
      <c r="C492" s="104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348" t="n"/>
      <c r="E492" s="349">
        <f>IF(C492="","",IFERROR(VLOOKUP(C492,parametros!$A$11:$E$15,5,0),""))</f>
        <v/>
      </c>
      <c r="F492" s="335">
        <f>IF(OR(D492="",E492=""),"",ROUND(D492*E492,2))</f>
        <v/>
      </c>
      <c r="G492" s="106" t="n"/>
      <c r="H492" s="350">
        <f>IF(G492="Sim",IF(OR(F492="",D492="",L492=""),"",IF(L492="Sim",ROUND(F492-D492,2),0)),0)</f>
        <v/>
      </c>
      <c r="I492" s="350">
        <f>IF(G492="Sim",0,IF(OR(F492="",L492=""),"",F492))</f>
        <v/>
      </c>
      <c r="J492" s="350">
        <f>IF(G492="Sim",0,IF(OR(F492="",D492="",L492=""),"",IF(L492="Sim",ROUND(F492-D492,2),0)))</f>
        <v/>
      </c>
      <c r="K492" s="97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inlineStr">
        <is>
          <t>Nao</t>
        </is>
      </c>
      <c r="W492" s="110" t="inlineStr">
        <is>
          <t>PC em analise</t>
        </is>
      </c>
      <c r="X492" s="110" t="inlineStr">
        <is>
          <t>Pedido de Compra</t>
        </is>
      </c>
      <c r="Y492" s="111" t="inlineStr">
        <is>
          <t>Impacto Potencial</t>
        </is>
      </c>
      <c r="Z492" s="111" t="inlineStr">
        <is>
          <t>PC</t>
        </is>
      </c>
      <c r="AA492" s="111" t="inlineStr">
        <is>
          <t>Nao</t>
        </is>
      </c>
      <c r="AB492" s="111" t="inlineStr">
        <is>
          <t>NAO_COMPUTADO</t>
        </is>
      </c>
      <c r="AC492" s="112" t="inlineStr">
        <is>
          <t>Estrutura Fase 1: sem impacto no VTA oficial</t>
        </is>
      </c>
    </row>
    <row r="493" ht="25.5" customHeight="1" s="289">
      <c r="A493" s="205" t="n"/>
      <c r="B493" s="207" t="n"/>
      <c r="C493" s="104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348" t="n"/>
      <c r="E493" s="349">
        <f>IF(C493="","",IFERROR(VLOOKUP(C493,parametros!$A$11:$E$15,5,0),""))</f>
        <v/>
      </c>
      <c r="F493" s="335">
        <f>IF(OR(D493="",E493=""),"",ROUND(D493*E493,2))</f>
        <v/>
      </c>
      <c r="G493" s="106" t="n"/>
      <c r="H493" s="350">
        <f>IF(G493="Sim",IF(OR(F493="",D493="",L493=""),"",IF(L493="Sim",ROUND(F493-D493,2),0)),0)</f>
        <v/>
      </c>
      <c r="I493" s="350">
        <f>IF(G493="Sim",0,IF(OR(F493="",L493=""),"",F493))</f>
        <v/>
      </c>
      <c r="J493" s="350">
        <f>IF(G493="Sim",0,IF(OR(F493="",D493="",L493=""),"",IF(L493="Sim",ROUND(F493-D493,2),0)))</f>
        <v/>
      </c>
      <c r="K493" s="97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inlineStr">
        <is>
          <t>Nao</t>
        </is>
      </c>
      <c r="W493" s="110" t="inlineStr">
        <is>
          <t>PC em analise</t>
        </is>
      </c>
      <c r="X493" s="110" t="inlineStr">
        <is>
          <t>Pedido de Compra</t>
        </is>
      </c>
      <c r="Y493" s="111" t="inlineStr">
        <is>
          <t>Impacto Potencial</t>
        </is>
      </c>
      <c r="Z493" s="111" t="inlineStr">
        <is>
          <t>PC</t>
        </is>
      </c>
      <c r="AA493" s="111" t="inlineStr">
        <is>
          <t>Nao</t>
        </is>
      </c>
      <c r="AB493" s="111" t="inlineStr">
        <is>
          <t>NAO_COMPUTADO</t>
        </is>
      </c>
      <c r="AC493" s="112" t="inlineStr">
        <is>
          <t>Estrutura Fase 1: sem impacto no VTA oficial</t>
        </is>
      </c>
    </row>
    <row r="494" ht="25.5" customHeight="1" s="289">
      <c r="A494" s="205" t="n"/>
      <c r="B494" s="207" t="n"/>
      <c r="C494" s="104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348" t="n"/>
      <c r="E494" s="349">
        <f>IF(C494="","",IFERROR(VLOOKUP(C494,parametros!$A$11:$E$15,5,0),""))</f>
        <v/>
      </c>
      <c r="F494" s="335">
        <f>IF(OR(D494="",E494=""),"",ROUND(D494*E494,2))</f>
        <v/>
      </c>
      <c r="G494" s="106" t="n"/>
      <c r="H494" s="350">
        <f>IF(G494="Sim",IF(OR(F494="",D494="",L494=""),"",IF(L494="Sim",ROUND(F494-D494,2),0)),0)</f>
        <v/>
      </c>
      <c r="I494" s="350">
        <f>IF(G494="Sim",0,IF(OR(F494="",L494=""),"",F494))</f>
        <v/>
      </c>
      <c r="J494" s="350">
        <f>IF(G494="Sim",0,IF(OR(F494="",D494="",L494=""),"",IF(L494="Sim",ROUND(F494-D494,2),0)))</f>
        <v/>
      </c>
      <c r="K494" s="97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inlineStr">
        <is>
          <t>Nao</t>
        </is>
      </c>
      <c r="W494" s="110" t="inlineStr">
        <is>
          <t>PC em analise</t>
        </is>
      </c>
      <c r="X494" s="110" t="inlineStr">
        <is>
          <t>Pedido de Compra</t>
        </is>
      </c>
      <c r="Y494" s="111" t="inlineStr">
        <is>
          <t>Impacto Potencial</t>
        </is>
      </c>
      <c r="Z494" s="111" t="inlineStr">
        <is>
          <t>PC</t>
        </is>
      </c>
      <c r="AA494" s="111" t="inlineStr">
        <is>
          <t>Nao</t>
        </is>
      </c>
      <c r="AB494" s="111" t="inlineStr">
        <is>
          <t>NAO_COMPUTADO</t>
        </is>
      </c>
      <c r="AC494" s="112" t="inlineStr">
        <is>
          <t>Estrutura Fase 1: sem impacto no VTA oficial</t>
        </is>
      </c>
    </row>
    <row r="495" ht="25.5" customHeight="1" s="289">
      <c r="A495" s="205" t="n"/>
      <c r="B495" s="207" t="n"/>
      <c r="C495" s="104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348" t="n"/>
      <c r="E495" s="349">
        <f>IF(C495="","",IFERROR(VLOOKUP(C495,parametros!$A$11:$E$15,5,0),""))</f>
        <v/>
      </c>
      <c r="F495" s="335">
        <f>IF(OR(D495="",E495=""),"",ROUND(D495*E495,2))</f>
        <v/>
      </c>
      <c r="G495" s="106" t="n"/>
      <c r="H495" s="350">
        <f>IF(G495="Sim",IF(OR(F495="",D495="",L495=""),"",IF(L495="Sim",ROUND(F495-D495,2),0)),0)</f>
        <v/>
      </c>
      <c r="I495" s="350">
        <f>IF(G495="Sim",0,IF(OR(F495="",L495=""),"",F495))</f>
        <v/>
      </c>
      <c r="J495" s="350">
        <f>IF(G495="Sim",0,IF(OR(F495="",D495="",L495=""),"",IF(L495="Sim",ROUND(F495-D495,2),0)))</f>
        <v/>
      </c>
      <c r="K495" s="97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inlineStr">
        <is>
          <t>Nao</t>
        </is>
      </c>
      <c r="W495" s="110" t="inlineStr">
        <is>
          <t>PC em analise</t>
        </is>
      </c>
      <c r="X495" s="110" t="inlineStr">
        <is>
          <t>Pedido de Compra</t>
        </is>
      </c>
      <c r="Y495" s="111" t="inlineStr">
        <is>
          <t>Impacto Potencial</t>
        </is>
      </c>
      <c r="Z495" s="111" t="inlineStr">
        <is>
          <t>PC</t>
        </is>
      </c>
      <c r="AA495" s="111" t="inlineStr">
        <is>
          <t>Nao</t>
        </is>
      </c>
      <c r="AB495" s="111" t="inlineStr">
        <is>
          <t>NAO_COMPUTADO</t>
        </is>
      </c>
      <c r="AC495" s="112" t="inlineStr">
        <is>
          <t>Estrutura Fase 1: sem impacto no VTA oficial</t>
        </is>
      </c>
    </row>
    <row r="496" ht="25.5" customHeight="1" s="289">
      <c r="A496" s="205" t="n"/>
      <c r="B496" s="207" t="n"/>
      <c r="C496" s="104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348" t="n"/>
      <c r="E496" s="349">
        <f>IF(C496="","",IFERROR(VLOOKUP(C496,parametros!$A$11:$E$15,5,0),""))</f>
        <v/>
      </c>
      <c r="F496" s="335">
        <f>IF(OR(D496="",E496=""),"",ROUND(D496*E496,2))</f>
        <v/>
      </c>
      <c r="G496" s="106" t="n"/>
      <c r="H496" s="350">
        <f>IF(G496="Sim",IF(OR(F496="",D496="",L496=""),"",IF(L496="Sim",ROUND(F496-D496,2),0)),0)</f>
        <v/>
      </c>
      <c r="I496" s="350">
        <f>IF(G496="Sim",0,IF(OR(F496="",L496=""),"",F496))</f>
        <v/>
      </c>
      <c r="J496" s="350">
        <f>IF(G496="Sim",0,IF(OR(F496="",D496="",L496=""),"",IF(L496="Sim",ROUND(F496-D496,2),0)))</f>
        <v/>
      </c>
      <c r="K496" s="97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inlineStr">
        <is>
          <t>Nao</t>
        </is>
      </c>
      <c r="W496" s="110" t="inlineStr">
        <is>
          <t>PC em analise</t>
        </is>
      </c>
      <c r="X496" s="110" t="inlineStr">
        <is>
          <t>Pedido de Compra</t>
        </is>
      </c>
      <c r="Y496" s="111" t="inlineStr">
        <is>
          <t>Impacto Potencial</t>
        </is>
      </c>
      <c r="Z496" s="111" t="inlineStr">
        <is>
          <t>PC</t>
        </is>
      </c>
      <c r="AA496" s="111" t="inlineStr">
        <is>
          <t>Nao</t>
        </is>
      </c>
      <c r="AB496" s="111" t="inlineStr">
        <is>
          <t>NAO_COMPUTADO</t>
        </is>
      </c>
      <c r="AC496" s="112" t="inlineStr">
        <is>
          <t>Estrutura Fase 1: sem impacto no VTA oficial</t>
        </is>
      </c>
    </row>
    <row r="497" ht="25.5" customHeight="1" s="289">
      <c r="A497" s="205" t="n"/>
      <c r="B497" s="207" t="n"/>
      <c r="C497" s="104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348" t="n"/>
      <c r="E497" s="349">
        <f>IF(C497="","",IFERROR(VLOOKUP(C497,parametros!$A$11:$E$15,5,0),""))</f>
        <v/>
      </c>
      <c r="F497" s="335">
        <f>IF(OR(D497="",E497=""),"",ROUND(D497*E497,2))</f>
        <v/>
      </c>
      <c r="G497" s="106" t="n"/>
      <c r="H497" s="350">
        <f>IF(G497="Sim",IF(OR(F497="",D497="",L497=""),"",IF(L497="Sim",ROUND(F497-D497,2),0)),0)</f>
        <v/>
      </c>
      <c r="I497" s="350">
        <f>IF(G497="Sim",0,IF(OR(F497="",L497=""),"",F497))</f>
        <v/>
      </c>
      <c r="J497" s="350">
        <f>IF(G497="Sim",0,IF(OR(F497="",D497="",L497=""),"",IF(L497="Sim",ROUND(F497-D497,2),0)))</f>
        <v/>
      </c>
      <c r="K497" s="97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inlineStr">
        <is>
          <t>Nao</t>
        </is>
      </c>
      <c r="W497" s="110" t="inlineStr">
        <is>
          <t>PC em analise</t>
        </is>
      </c>
      <c r="X497" s="110" t="inlineStr">
        <is>
          <t>Pedido de Compra</t>
        </is>
      </c>
      <c r="Y497" s="111" t="inlineStr">
        <is>
          <t>Impacto Potencial</t>
        </is>
      </c>
      <c r="Z497" s="111" t="inlineStr">
        <is>
          <t>PC</t>
        </is>
      </c>
      <c r="AA497" s="111" t="inlineStr">
        <is>
          <t>Nao</t>
        </is>
      </c>
      <c r="AB497" s="111" t="inlineStr">
        <is>
          <t>NAO_COMPUTADO</t>
        </is>
      </c>
      <c r="AC497" s="112" t="inlineStr">
        <is>
          <t>Estrutura Fase 1: sem impacto no VTA oficial</t>
        </is>
      </c>
    </row>
    <row r="498" ht="25.5" customHeight="1" s="289">
      <c r="A498" s="205" t="n"/>
      <c r="B498" s="207" t="n"/>
      <c r="C498" s="104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348" t="n"/>
      <c r="E498" s="349">
        <f>IF(C498="","",IFERROR(VLOOKUP(C498,parametros!$A$11:$E$15,5,0),""))</f>
        <v/>
      </c>
      <c r="F498" s="335">
        <f>IF(OR(D498="",E498=""),"",ROUND(D498*E498,2))</f>
        <v/>
      </c>
      <c r="G498" s="106" t="n"/>
      <c r="H498" s="350">
        <f>IF(G498="Sim",IF(OR(F498="",D498="",L498=""),"",IF(L498="Sim",ROUND(F498-D498,2),0)),0)</f>
        <v/>
      </c>
      <c r="I498" s="350">
        <f>IF(G498="Sim",0,IF(OR(F498="",L498=""),"",F498))</f>
        <v/>
      </c>
      <c r="J498" s="350">
        <f>IF(G498="Sim",0,IF(OR(F498="",D498="",L498=""),"",IF(L498="Sim",ROUND(F498-D498,2),0)))</f>
        <v/>
      </c>
      <c r="K498" s="97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inlineStr">
        <is>
          <t>Nao</t>
        </is>
      </c>
      <c r="W498" s="110" t="inlineStr">
        <is>
          <t>PC em analise</t>
        </is>
      </c>
      <c r="X498" s="110" t="inlineStr">
        <is>
          <t>Pedido de Compra</t>
        </is>
      </c>
      <c r="Y498" s="111" t="inlineStr">
        <is>
          <t>Impacto Potencial</t>
        </is>
      </c>
      <c r="Z498" s="111" t="inlineStr">
        <is>
          <t>PC</t>
        </is>
      </c>
      <c r="AA498" s="111" t="inlineStr">
        <is>
          <t>Nao</t>
        </is>
      </c>
      <c r="AB498" s="111" t="inlineStr">
        <is>
          <t>NAO_COMPUTADO</t>
        </is>
      </c>
      <c r="AC498" s="112" t="inlineStr">
        <is>
          <t>Estrutura Fase 1: sem impacto no VTA oficial</t>
        </is>
      </c>
    </row>
    <row r="499" ht="25.5" customHeight="1" s="289">
      <c r="A499" s="205" t="n"/>
      <c r="B499" s="207" t="n"/>
      <c r="C499" s="104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348" t="n"/>
      <c r="E499" s="349">
        <f>IF(C499="","",IFERROR(VLOOKUP(C499,parametros!$A$11:$E$15,5,0),""))</f>
        <v/>
      </c>
      <c r="F499" s="335">
        <f>IF(OR(D499="",E499=""),"",ROUND(D499*E499,2))</f>
        <v/>
      </c>
      <c r="G499" s="106" t="n"/>
      <c r="H499" s="350">
        <f>IF(G499="Sim",IF(OR(F499="",D499="",L499=""),"",IF(L499="Sim",ROUND(F499-D499,2),0)),0)</f>
        <v/>
      </c>
      <c r="I499" s="350">
        <f>IF(G499="Sim",0,IF(OR(F499="",L499=""),"",F499))</f>
        <v/>
      </c>
      <c r="J499" s="350">
        <f>IF(G499="Sim",0,IF(OR(F499="",D499="",L499=""),"",IF(L499="Sim",ROUND(F499-D499,2),0)))</f>
        <v/>
      </c>
      <c r="K499" s="97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inlineStr">
        <is>
          <t>Nao</t>
        </is>
      </c>
      <c r="W499" s="110" t="inlineStr">
        <is>
          <t>PC em analise</t>
        </is>
      </c>
      <c r="X499" s="110" t="inlineStr">
        <is>
          <t>Pedido de Compra</t>
        </is>
      </c>
      <c r="Y499" s="111" t="inlineStr">
        <is>
          <t>Impacto Potencial</t>
        </is>
      </c>
      <c r="Z499" s="111" t="inlineStr">
        <is>
          <t>PC</t>
        </is>
      </c>
      <c r="AA499" s="111" t="inlineStr">
        <is>
          <t>Nao</t>
        </is>
      </c>
      <c r="AB499" s="111" t="inlineStr">
        <is>
          <t>NAO_COMPUTADO</t>
        </is>
      </c>
      <c r="AC499" s="112" t="inlineStr">
        <is>
          <t>Estrutura Fase 1: sem impacto no VTA oficial</t>
        </is>
      </c>
    </row>
    <row r="500" ht="25.5" customHeight="1" s="289">
      <c r="A500" s="205" t="n"/>
      <c r="B500" s="207" t="n"/>
      <c r="C500" s="104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348" t="n"/>
      <c r="E500" s="349">
        <f>IF(C500="","",IFERROR(VLOOKUP(C500,parametros!$A$11:$E$15,5,0),""))</f>
        <v/>
      </c>
      <c r="F500" s="335">
        <f>IF(OR(D500="",E500=""),"",ROUND(D500*E500,2))</f>
        <v/>
      </c>
      <c r="G500" s="106" t="n"/>
      <c r="H500" s="350">
        <f>IF(G500="Sim",IF(OR(F500="",D500="",L500=""),"",IF(L500="Sim",ROUND(F500-D500,2),0)),0)</f>
        <v/>
      </c>
      <c r="I500" s="350">
        <f>IF(G500="Sim",0,IF(OR(F500="",L500=""),"",F500))</f>
        <v/>
      </c>
      <c r="J500" s="350">
        <f>IF(G500="Sim",0,IF(OR(F500="",D500="",L500=""),"",IF(L500="Sim",ROUND(F500-D500,2),0)))</f>
        <v/>
      </c>
      <c r="K500" s="97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inlineStr">
        <is>
          <t>Nao</t>
        </is>
      </c>
      <c r="W500" s="110" t="inlineStr">
        <is>
          <t>PC em analise</t>
        </is>
      </c>
      <c r="X500" s="110" t="inlineStr">
        <is>
          <t>Pedido de Compra</t>
        </is>
      </c>
      <c r="Y500" s="111" t="inlineStr">
        <is>
          <t>Impacto Potencial</t>
        </is>
      </c>
      <c r="Z500" s="111" t="inlineStr">
        <is>
          <t>PC</t>
        </is>
      </c>
      <c r="AA500" s="111" t="inlineStr">
        <is>
          <t>Nao</t>
        </is>
      </c>
      <c r="AB500" s="111" t="inlineStr">
        <is>
          <t>NAO_COMPUTADO</t>
        </is>
      </c>
      <c r="AC500" s="112" t="inlineStr">
        <is>
          <t>Estrutura Fase 1: sem impacto no VTA oficial</t>
        </is>
      </c>
    </row>
    <row r="501" ht="25.5" customHeight="1" s="289">
      <c r="A501" s="205" t="n"/>
      <c r="B501" s="207" t="n"/>
      <c r="C501" s="104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348" t="n"/>
      <c r="E501" s="349">
        <f>IF(C501="","",IFERROR(VLOOKUP(C501,parametros!$A$11:$E$15,5,0),""))</f>
        <v/>
      </c>
      <c r="F501" s="335">
        <f>IF(OR(D501="",E501=""),"",ROUND(D501*E501,2))</f>
        <v/>
      </c>
      <c r="G501" s="106" t="n"/>
      <c r="H501" s="350">
        <f>IF(G501="Sim",IF(OR(F501="",D501="",L501=""),"",IF(L501="Sim",ROUND(F501-D501,2),0)),0)</f>
        <v/>
      </c>
      <c r="I501" s="350">
        <f>IF(G501="Sim",0,IF(OR(F501="",L501=""),"",F501))</f>
        <v/>
      </c>
      <c r="J501" s="350">
        <f>IF(G501="Sim",0,IF(OR(F501="",D501="",L501=""),"",IF(L501="Sim",ROUND(F501-D501,2),0)))</f>
        <v/>
      </c>
      <c r="K501" s="97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inlineStr">
        <is>
          <t>Nao</t>
        </is>
      </c>
      <c r="W501" s="110" t="inlineStr">
        <is>
          <t>PC em analise</t>
        </is>
      </c>
      <c r="X501" s="110" t="inlineStr">
        <is>
          <t>Pedido de Compra</t>
        </is>
      </c>
      <c r="Y501" s="111" t="inlineStr">
        <is>
          <t>Impacto Potencial</t>
        </is>
      </c>
      <c r="Z501" s="111" t="inlineStr">
        <is>
          <t>PC</t>
        </is>
      </c>
      <c r="AA501" s="111" t="inlineStr">
        <is>
          <t>Nao</t>
        </is>
      </c>
      <c r="AB501" s="111" t="inlineStr">
        <is>
          <t>NAO_COMPUTADO</t>
        </is>
      </c>
      <c r="AC501" s="112" t="inlineStr">
        <is>
          <t>Estrutura Fase 1: sem impacto no VTA oficial</t>
        </is>
      </c>
    </row>
    <row r="502" ht="25.5" customHeight="1" s="289">
      <c r="A502" s="205" t="n"/>
      <c r="B502" s="207" t="n"/>
      <c r="C502" s="104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348" t="n"/>
      <c r="E502" s="349">
        <f>IF(C502="","",IFERROR(VLOOKUP(C502,parametros!$A$11:$E$15,5,0),""))</f>
        <v/>
      </c>
      <c r="F502" s="335">
        <f>IF(OR(D502="",E502=""),"",ROUND(D502*E502,2))</f>
        <v/>
      </c>
      <c r="G502" s="106" t="n"/>
      <c r="H502" s="350">
        <f>IF(G502="Sim",IF(OR(F502="",D502="",L502=""),"",IF(L502="Sim",ROUND(F502-D502,2),0)),0)</f>
        <v/>
      </c>
      <c r="I502" s="350">
        <f>IF(G502="Sim",0,IF(OR(F502="",L502=""),"",F502))</f>
        <v/>
      </c>
      <c r="J502" s="350">
        <f>IF(G502="Sim",0,IF(OR(F502="",D502="",L502=""),"",IF(L502="Sim",ROUND(F502-D502,2),0)))</f>
        <v/>
      </c>
      <c r="K502" s="97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inlineStr">
        <is>
          <t>Nao</t>
        </is>
      </c>
      <c r="W502" s="110" t="inlineStr">
        <is>
          <t>PC em analise</t>
        </is>
      </c>
      <c r="X502" s="110" t="inlineStr">
        <is>
          <t>Pedido de Compra</t>
        </is>
      </c>
      <c r="Y502" s="111" t="inlineStr">
        <is>
          <t>Impacto Potencial</t>
        </is>
      </c>
      <c r="Z502" s="111" t="inlineStr">
        <is>
          <t>PC</t>
        </is>
      </c>
      <c r="AA502" s="111" t="inlineStr">
        <is>
          <t>Nao</t>
        </is>
      </c>
      <c r="AB502" s="111" t="inlineStr">
        <is>
          <t>NAO_COMPUTADO</t>
        </is>
      </c>
      <c r="AC502" s="112" t="inlineStr">
        <is>
          <t>Estrutura Fase 1: sem impacto no VTA oficial</t>
        </is>
      </c>
    </row>
    <row r="503" ht="25.5" customHeight="1" s="289">
      <c r="A503" s="205" t="n"/>
      <c r="B503" s="207" t="n"/>
      <c r="C503" s="104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348" t="n"/>
      <c r="E503" s="349">
        <f>IF(C503="","",IFERROR(VLOOKUP(C503,parametros!$A$11:$E$15,5,0),""))</f>
        <v/>
      </c>
      <c r="F503" s="335">
        <f>IF(OR(D503="",E503=""),"",ROUND(D503*E503,2))</f>
        <v/>
      </c>
      <c r="G503" s="106" t="n"/>
      <c r="H503" s="350">
        <f>IF(G503="Sim",IF(OR(F503="",D503="",L503=""),"",IF(L503="Sim",ROUND(F503-D503,2),0)),0)</f>
        <v/>
      </c>
      <c r="I503" s="350">
        <f>IF(G503="Sim",0,IF(OR(F503="",L503=""),"",F503))</f>
        <v/>
      </c>
      <c r="J503" s="350">
        <f>IF(G503="Sim",0,IF(OR(F503="",D503="",L503=""),"",IF(L503="Sim",ROUND(F503-D503,2),0)))</f>
        <v/>
      </c>
      <c r="K503" s="97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inlineStr">
        <is>
          <t>Nao</t>
        </is>
      </c>
      <c r="W503" s="110" t="inlineStr">
        <is>
          <t>PC em analise</t>
        </is>
      </c>
      <c r="X503" s="110" t="inlineStr">
        <is>
          <t>Pedido de Compra</t>
        </is>
      </c>
      <c r="Y503" s="111" t="inlineStr">
        <is>
          <t>Impacto Potencial</t>
        </is>
      </c>
      <c r="Z503" s="111" t="inlineStr">
        <is>
          <t>PC</t>
        </is>
      </c>
      <c r="AA503" s="111" t="inlineStr">
        <is>
          <t>Nao</t>
        </is>
      </c>
      <c r="AB503" s="111" t="inlineStr">
        <is>
          <t>NAO_COMPUTADO</t>
        </is>
      </c>
      <c r="AC503" s="112" t="inlineStr">
        <is>
          <t>Estrutura Fase 1: sem impacto no VTA oficial</t>
        </is>
      </c>
    </row>
    <row r="504" ht="25.5" customHeight="1" s="289">
      <c r="A504" s="205" t="n"/>
      <c r="B504" s="207" t="n"/>
      <c r="C504" s="104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348" t="n"/>
      <c r="E504" s="349">
        <f>IF(C504="","",IFERROR(VLOOKUP(C504,parametros!$A$11:$E$15,5,0),""))</f>
        <v/>
      </c>
      <c r="F504" s="335">
        <f>IF(OR(D504="",E504=""),"",ROUND(D504*E504,2))</f>
        <v/>
      </c>
      <c r="G504" s="106" t="n"/>
      <c r="H504" s="350">
        <f>IF(G504="Sim",IF(OR(F504="",D504="",L504=""),"",IF(L504="Sim",ROUND(F504-D504,2),0)),0)</f>
        <v/>
      </c>
      <c r="I504" s="350">
        <f>IF(G504="Sim",0,IF(OR(F504="",L504=""),"",F504))</f>
        <v/>
      </c>
      <c r="J504" s="350">
        <f>IF(G504="Sim",0,IF(OR(F504="",D504="",L504=""),"",IF(L504="Sim",ROUND(F504-D504,2),0)))</f>
        <v/>
      </c>
      <c r="K504" s="97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inlineStr">
        <is>
          <t>Nao</t>
        </is>
      </c>
      <c r="W504" s="110" t="inlineStr">
        <is>
          <t>PC em analise</t>
        </is>
      </c>
      <c r="X504" s="110" t="inlineStr">
        <is>
          <t>Pedido de Compra</t>
        </is>
      </c>
      <c r="Y504" s="111" t="inlineStr">
        <is>
          <t>Impacto Potencial</t>
        </is>
      </c>
      <c r="Z504" s="111" t="inlineStr">
        <is>
          <t>PC</t>
        </is>
      </c>
      <c r="AA504" s="111" t="inlineStr">
        <is>
          <t>Nao</t>
        </is>
      </c>
      <c r="AB504" s="111" t="inlineStr">
        <is>
          <t>NAO_COMPUTADO</t>
        </is>
      </c>
      <c r="AC504" s="112" t="inlineStr">
        <is>
          <t>Estrutura Fase 1: sem impacto no VTA oficial</t>
        </is>
      </c>
    </row>
    <row r="505" ht="25.5" customHeight="1" s="289">
      <c r="A505" s="205" t="n"/>
      <c r="B505" s="207" t="n"/>
      <c r="C505" s="104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348" t="n"/>
      <c r="E505" s="349">
        <f>IF(C505="","",IFERROR(VLOOKUP(C505,parametros!$A$11:$E$15,5,0),""))</f>
        <v/>
      </c>
      <c r="F505" s="335">
        <f>IF(OR(D505="",E505=""),"",ROUND(D505*E505,2))</f>
        <v/>
      </c>
      <c r="G505" s="106" t="n"/>
      <c r="H505" s="350">
        <f>IF(G505="Sim",IF(OR(F505="",D505="",L505=""),"",IF(L505="Sim",ROUND(F505-D505,2),0)),0)</f>
        <v/>
      </c>
      <c r="I505" s="350">
        <f>IF(G505="Sim",0,IF(OR(F505="",L505=""),"",F505))</f>
        <v/>
      </c>
      <c r="J505" s="350">
        <f>IF(G505="Sim",0,IF(OR(F505="",D505="",L505=""),"",IF(L505="Sim",ROUND(F505-D505,2),0)))</f>
        <v/>
      </c>
      <c r="K505" s="97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inlineStr">
        <is>
          <t>Nao</t>
        </is>
      </c>
      <c r="W505" s="110" t="inlineStr">
        <is>
          <t>PC em analise</t>
        </is>
      </c>
      <c r="X505" s="110" t="inlineStr">
        <is>
          <t>Pedido de Compra</t>
        </is>
      </c>
      <c r="Y505" s="111" t="inlineStr">
        <is>
          <t>Impacto Potencial</t>
        </is>
      </c>
      <c r="Z505" s="111" t="inlineStr">
        <is>
          <t>PC</t>
        </is>
      </c>
      <c r="AA505" s="111" t="inlineStr">
        <is>
          <t>Nao</t>
        </is>
      </c>
      <c r="AB505" s="111" t="inlineStr">
        <is>
          <t>NAO_COMPUTADO</t>
        </is>
      </c>
      <c r="AC505" s="112" t="inlineStr">
        <is>
          <t>Estrutura Fase 1: sem impacto no VTA oficial</t>
        </is>
      </c>
    </row>
    <row r="506" ht="25.5" customHeight="1" s="289">
      <c r="A506" s="205" t="n"/>
      <c r="B506" s="207" t="n"/>
      <c r="C506" s="104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348" t="n"/>
      <c r="E506" s="349">
        <f>IF(C506="","",IFERROR(VLOOKUP(C506,parametros!$A$11:$E$15,5,0),""))</f>
        <v/>
      </c>
      <c r="F506" s="335">
        <f>IF(OR(D506="",E506=""),"",ROUND(D506*E506,2))</f>
        <v/>
      </c>
      <c r="G506" s="106" t="n"/>
      <c r="H506" s="350">
        <f>IF(G506="Sim",IF(OR(F506="",D506="",L506=""),"",IF(L506="Sim",ROUND(F506-D506,2),0)),0)</f>
        <v/>
      </c>
      <c r="I506" s="350">
        <f>IF(G506="Sim",0,IF(OR(F506="",L506=""),"",F506))</f>
        <v/>
      </c>
      <c r="J506" s="350">
        <f>IF(G506="Sim",0,IF(OR(F506="",D506="",L506=""),"",IF(L506="Sim",ROUND(F506-D506,2),0)))</f>
        <v/>
      </c>
      <c r="K506" s="97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inlineStr">
        <is>
          <t>Nao</t>
        </is>
      </c>
      <c r="W506" s="110" t="inlineStr">
        <is>
          <t>PC em analise</t>
        </is>
      </c>
      <c r="X506" s="110" t="inlineStr">
        <is>
          <t>Pedido de Compra</t>
        </is>
      </c>
      <c r="Y506" s="111" t="inlineStr">
        <is>
          <t>Impacto Potencial</t>
        </is>
      </c>
      <c r="Z506" s="111" t="inlineStr">
        <is>
          <t>PC</t>
        </is>
      </c>
      <c r="AA506" s="111" t="inlineStr">
        <is>
          <t>Nao</t>
        </is>
      </c>
      <c r="AB506" s="111" t="inlineStr">
        <is>
          <t>NAO_COMPUTADO</t>
        </is>
      </c>
      <c r="AC506" s="112" t="inlineStr">
        <is>
          <t>Estrutura Fase 1: sem impacto no VTA oficial</t>
        </is>
      </c>
    </row>
    <row r="507" ht="25.5" customHeight="1" s="289">
      <c r="A507" s="205" t="n"/>
      <c r="B507" s="207" t="n"/>
      <c r="C507" s="104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348" t="n"/>
      <c r="E507" s="349">
        <f>IF(C507="","",IFERROR(VLOOKUP(C507,parametros!$A$11:$E$15,5,0),""))</f>
        <v/>
      </c>
      <c r="F507" s="335">
        <f>IF(OR(D507="",E507=""),"",ROUND(D507*E507,2))</f>
        <v/>
      </c>
      <c r="G507" s="106" t="n"/>
      <c r="H507" s="350">
        <f>IF(G507="Sim",IF(OR(F507="",D507="",L507=""),"",IF(L507="Sim",ROUND(F507-D507,2),0)),0)</f>
        <v/>
      </c>
      <c r="I507" s="350">
        <f>IF(G507="Sim",0,IF(OR(F507="",L507=""),"",F507))</f>
        <v/>
      </c>
      <c r="J507" s="350">
        <f>IF(G507="Sim",0,IF(OR(F507="",D507="",L507=""),"",IF(L507="Sim",ROUND(F507-D507,2),0)))</f>
        <v/>
      </c>
      <c r="K507" s="97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inlineStr">
        <is>
          <t>Nao</t>
        </is>
      </c>
      <c r="W507" s="110" t="inlineStr">
        <is>
          <t>PC em analise</t>
        </is>
      </c>
      <c r="X507" s="110" t="inlineStr">
        <is>
          <t>Pedido de Compra</t>
        </is>
      </c>
      <c r="Y507" s="111" t="inlineStr">
        <is>
          <t>Impacto Potencial</t>
        </is>
      </c>
      <c r="Z507" s="111" t="inlineStr">
        <is>
          <t>PC</t>
        </is>
      </c>
      <c r="AA507" s="111" t="inlineStr">
        <is>
          <t>Nao</t>
        </is>
      </c>
      <c r="AB507" s="111" t="inlineStr">
        <is>
          <t>NAO_COMPUTADO</t>
        </is>
      </c>
      <c r="AC507" s="112" t="inlineStr">
        <is>
          <t>Estrutura Fase 1: sem impacto no VTA oficial</t>
        </is>
      </c>
    </row>
    <row r="508" ht="25.5" customHeight="1" s="289">
      <c r="A508" s="205" t="n"/>
      <c r="B508" s="207" t="n"/>
      <c r="C508" s="104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348" t="n"/>
      <c r="E508" s="349">
        <f>IF(C508="","",IFERROR(VLOOKUP(C508,parametros!$A$11:$E$15,5,0),""))</f>
        <v/>
      </c>
      <c r="F508" s="335">
        <f>IF(OR(D508="",E508=""),"",ROUND(D508*E508,2))</f>
        <v/>
      </c>
      <c r="G508" s="106" t="n"/>
      <c r="H508" s="350">
        <f>IF(G508="Sim",IF(OR(F508="",D508="",L508=""),"",IF(L508="Sim",ROUND(F508-D508,2),0)),0)</f>
        <v/>
      </c>
      <c r="I508" s="350">
        <f>IF(G508="Sim",0,IF(OR(F508="",L508=""),"",F508))</f>
        <v/>
      </c>
      <c r="J508" s="350">
        <f>IF(G508="Sim",0,IF(OR(F508="",D508="",L508=""),"",IF(L508="Sim",ROUND(F508-D508,2),0)))</f>
        <v/>
      </c>
      <c r="K508" s="97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inlineStr">
        <is>
          <t>Nao</t>
        </is>
      </c>
      <c r="W508" s="110" t="inlineStr">
        <is>
          <t>PC em analise</t>
        </is>
      </c>
      <c r="X508" s="110" t="inlineStr">
        <is>
          <t>Pedido de Compra</t>
        </is>
      </c>
      <c r="Y508" s="111" t="inlineStr">
        <is>
          <t>Impacto Potencial</t>
        </is>
      </c>
      <c r="Z508" s="111" t="inlineStr">
        <is>
          <t>PC</t>
        </is>
      </c>
      <c r="AA508" s="111" t="inlineStr">
        <is>
          <t>Nao</t>
        </is>
      </c>
      <c r="AB508" s="111" t="inlineStr">
        <is>
          <t>NAO_COMPUTADO</t>
        </is>
      </c>
      <c r="AC508" s="112" t="inlineStr">
        <is>
          <t>Estrutura Fase 1: sem impacto no VTA oficial</t>
        </is>
      </c>
    </row>
    <row r="509" ht="25.5" customHeight="1" s="289">
      <c r="A509" s="205" t="n"/>
      <c r="B509" s="207" t="n"/>
      <c r="C509" s="104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348" t="n"/>
      <c r="E509" s="349">
        <f>IF(C509="","",IFERROR(VLOOKUP(C509,parametros!$A$11:$E$15,5,0),""))</f>
        <v/>
      </c>
      <c r="F509" s="335">
        <f>IF(OR(D509="",E509=""),"",ROUND(D509*E509,2))</f>
        <v/>
      </c>
      <c r="G509" s="106" t="n"/>
      <c r="H509" s="350">
        <f>IF(G509="Sim",IF(OR(F509="",D509="",L509=""),"",IF(L509="Sim",ROUND(F509-D509,2),0)),0)</f>
        <v/>
      </c>
      <c r="I509" s="350">
        <f>IF(G509="Sim",0,IF(OR(F509="",L509=""),"",F509))</f>
        <v/>
      </c>
      <c r="J509" s="350">
        <f>IF(G509="Sim",0,IF(OR(F509="",D509="",L509=""),"",IF(L509="Sim",ROUND(F509-D509,2),0)))</f>
        <v/>
      </c>
      <c r="K509" s="97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inlineStr">
        <is>
          <t>Nao</t>
        </is>
      </c>
      <c r="W509" s="110" t="inlineStr">
        <is>
          <t>PC em analise</t>
        </is>
      </c>
      <c r="X509" s="110" t="inlineStr">
        <is>
          <t>Pedido de Compra</t>
        </is>
      </c>
      <c r="Y509" s="111" t="inlineStr">
        <is>
          <t>Impacto Potencial</t>
        </is>
      </c>
      <c r="Z509" s="111" t="inlineStr">
        <is>
          <t>PC</t>
        </is>
      </c>
      <c r="AA509" s="111" t="inlineStr">
        <is>
          <t>Nao</t>
        </is>
      </c>
      <c r="AB509" s="111" t="inlineStr">
        <is>
          <t>NAO_COMPUTADO</t>
        </is>
      </c>
      <c r="AC509" s="112" t="inlineStr">
        <is>
          <t>Estrutura Fase 1: sem impacto no VTA oficial</t>
        </is>
      </c>
    </row>
    <row r="510" ht="25.5" customHeight="1" s="289">
      <c r="A510" s="205" t="n"/>
      <c r="B510" s="207" t="n"/>
      <c r="C510" s="104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348" t="n"/>
      <c r="E510" s="349">
        <f>IF(C510="","",IFERROR(VLOOKUP(C510,parametros!$A$11:$E$15,5,0),""))</f>
        <v/>
      </c>
      <c r="F510" s="335">
        <f>IF(OR(D510="",E510=""),"",ROUND(D510*E510,2))</f>
        <v/>
      </c>
      <c r="G510" s="106" t="n"/>
      <c r="H510" s="350">
        <f>IF(G510="Sim",IF(OR(F510="",D510="",L510=""),"",IF(L510="Sim",ROUND(F510-D510,2),0)),0)</f>
        <v/>
      </c>
      <c r="I510" s="350">
        <f>IF(G510="Sim",0,IF(OR(F510="",L510=""),"",F510))</f>
        <v/>
      </c>
      <c r="J510" s="350">
        <f>IF(G510="Sim",0,IF(OR(F510="",D510="",L510=""),"",IF(L510="Sim",ROUND(F510-D510,2),0)))</f>
        <v/>
      </c>
      <c r="K510" s="97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inlineStr">
        <is>
          <t>Nao</t>
        </is>
      </c>
      <c r="W510" s="110" t="inlineStr">
        <is>
          <t>PC em analise</t>
        </is>
      </c>
      <c r="X510" s="110" t="inlineStr">
        <is>
          <t>Pedido de Compra</t>
        </is>
      </c>
      <c r="Y510" s="111" t="inlineStr">
        <is>
          <t>Impacto Potencial</t>
        </is>
      </c>
      <c r="Z510" s="111" t="inlineStr">
        <is>
          <t>PC</t>
        </is>
      </c>
      <c r="AA510" s="111" t="inlineStr">
        <is>
          <t>Nao</t>
        </is>
      </c>
      <c r="AB510" s="111" t="inlineStr">
        <is>
          <t>NAO_COMPUTADO</t>
        </is>
      </c>
      <c r="AC510" s="112" t="inlineStr">
        <is>
          <t>Estrutura Fase 1: sem impacto no VTA oficial</t>
        </is>
      </c>
    </row>
    <row r="511" ht="25.5" customHeight="1" s="289">
      <c r="A511" s="205" t="n"/>
      <c r="B511" s="207" t="n"/>
      <c r="C511" s="104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348" t="n"/>
      <c r="E511" s="349">
        <f>IF(C511="","",IFERROR(VLOOKUP(C511,parametros!$A$11:$E$15,5,0),""))</f>
        <v/>
      </c>
      <c r="F511" s="335">
        <f>IF(OR(D511="",E511=""),"",ROUND(D511*E511,2))</f>
        <v/>
      </c>
      <c r="G511" s="106" t="n"/>
      <c r="H511" s="350">
        <f>IF(G511="Sim",IF(OR(F511="",D511="",L511=""),"",IF(L511="Sim",ROUND(F511-D511,2),0)),0)</f>
        <v/>
      </c>
      <c r="I511" s="350">
        <f>IF(G511="Sim",0,IF(OR(F511="",L511=""),"",F511))</f>
        <v/>
      </c>
      <c r="J511" s="350">
        <f>IF(G511="Sim",0,IF(OR(F511="",D511="",L511=""),"",IF(L511="Sim",ROUND(F511-D511,2),0)))</f>
        <v/>
      </c>
      <c r="K511" s="97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inlineStr">
        <is>
          <t>Nao</t>
        </is>
      </c>
      <c r="W511" s="110" t="inlineStr">
        <is>
          <t>PC em analise</t>
        </is>
      </c>
      <c r="X511" s="110" t="inlineStr">
        <is>
          <t>Pedido de Compra</t>
        </is>
      </c>
      <c r="Y511" s="111" t="inlineStr">
        <is>
          <t>Impacto Potencial</t>
        </is>
      </c>
      <c r="Z511" s="111" t="inlineStr">
        <is>
          <t>PC</t>
        </is>
      </c>
      <c r="AA511" s="111" t="inlineStr">
        <is>
          <t>Nao</t>
        </is>
      </c>
      <c r="AB511" s="111" t="inlineStr">
        <is>
          <t>NAO_COMPUTADO</t>
        </is>
      </c>
      <c r="AC511" s="112" t="inlineStr">
        <is>
          <t>Estrutura Fase 1: sem impacto no VTA oficial</t>
        </is>
      </c>
    </row>
    <row r="512" ht="25.5" customHeight="1" s="289">
      <c r="A512" s="205" t="n"/>
      <c r="B512" s="207" t="n"/>
      <c r="C512" s="104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348" t="n"/>
      <c r="E512" s="349">
        <f>IF(C512="","",IFERROR(VLOOKUP(C512,parametros!$A$11:$E$15,5,0),""))</f>
        <v/>
      </c>
      <c r="F512" s="335">
        <f>IF(OR(D512="",E512=""),"",ROUND(D512*E512,2))</f>
        <v/>
      </c>
      <c r="G512" s="106" t="n"/>
      <c r="H512" s="350">
        <f>IF(G512="Sim",IF(OR(F512="",D512="",L512=""),"",IF(L512="Sim",ROUND(F512-D512,2),0)),0)</f>
        <v/>
      </c>
      <c r="I512" s="350">
        <f>IF(G512="Sim",0,IF(OR(F512="",L512=""),"",F512))</f>
        <v/>
      </c>
      <c r="J512" s="350">
        <f>IF(G512="Sim",0,IF(OR(F512="",D512="",L512=""),"",IF(L512="Sim",ROUND(F512-D512,2),0)))</f>
        <v/>
      </c>
      <c r="K512" s="97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inlineStr">
        <is>
          <t>Nao</t>
        </is>
      </c>
      <c r="W512" s="110" t="inlineStr">
        <is>
          <t>PC em analise</t>
        </is>
      </c>
      <c r="X512" s="110" t="inlineStr">
        <is>
          <t>Pedido de Compra</t>
        </is>
      </c>
      <c r="Y512" s="111" t="inlineStr">
        <is>
          <t>Impacto Potencial</t>
        </is>
      </c>
      <c r="Z512" s="111" t="inlineStr">
        <is>
          <t>PC</t>
        </is>
      </c>
      <c r="AA512" s="111" t="inlineStr">
        <is>
          <t>Nao</t>
        </is>
      </c>
      <c r="AB512" s="111" t="inlineStr">
        <is>
          <t>NAO_COMPUTADO</t>
        </is>
      </c>
      <c r="AC512" s="112" t="inlineStr">
        <is>
          <t>Estrutura Fase 1: sem impacto no VTA oficial</t>
        </is>
      </c>
    </row>
    <row r="513" ht="25.5" customHeight="1" s="289">
      <c r="A513" s="205" t="n"/>
      <c r="B513" s="207" t="n"/>
      <c r="C513" s="104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348" t="n"/>
      <c r="E513" s="349">
        <f>IF(C513="","",IFERROR(VLOOKUP(C513,parametros!$A$11:$E$15,5,0),""))</f>
        <v/>
      </c>
      <c r="F513" s="335">
        <f>IF(OR(D513="",E513=""),"",ROUND(D513*E513,2))</f>
        <v/>
      </c>
      <c r="G513" s="106" t="n"/>
      <c r="H513" s="350">
        <f>IF(G513="Sim",IF(OR(F513="",D513="",L513=""),"",IF(L513="Sim",ROUND(F513-D513,2),0)),0)</f>
        <v/>
      </c>
      <c r="I513" s="350">
        <f>IF(G513="Sim",0,IF(OR(F513="",L513=""),"",F513))</f>
        <v/>
      </c>
      <c r="J513" s="350">
        <f>IF(G513="Sim",0,IF(OR(F513="",D513="",L513=""),"",IF(L513="Sim",ROUND(F513-D513,2),0)))</f>
        <v/>
      </c>
      <c r="K513" s="97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inlineStr">
        <is>
          <t>Nao</t>
        </is>
      </c>
      <c r="W513" s="110" t="inlineStr">
        <is>
          <t>PC em analise</t>
        </is>
      </c>
      <c r="X513" s="110" t="inlineStr">
        <is>
          <t>Pedido de Compra</t>
        </is>
      </c>
      <c r="Y513" s="111" t="inlineStr">
        <is>
          <t>Impacto Potencial</t>
        </is>
      </c>
      <c r="Z513" s="111" t="inlineStr">
        <is>
          <t>PC</t>
        </is>
      </c>
      <c r="AA513" s="111" t="inlineStr">
        <is>
          <t>Nao</t>
        </is>
      </c>
      <c r="AB513" s="111" t="inlineStr">
        <is>
          <t>NAO_COMPUTADO</t>
        </is>
      </c>
      <c r="AC513" s="112" t="inlineStr">
        <is>
          <t>Estrutura Fase 1: sem impacto no VTA oficial</t>
        </is>
      </c>
    </row>
    <row r="514" ht="25.5" customHeight="1" s="289">
      <c r="A514" s="205" t="n"/>
      <c r="B514" s="207" t="n"/>
      <c r="C514" s="104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348" t="n"/>
      <c r="E514" s="349">
        <f>IF(C514="","",IFERROR(VLOOKUP(C514,parametros!$A$11:$E$15,5,0),""))</f>
        <v/>
      </c>
      <c r="F514" s="335">
        <f>IF(OR(D514="",E514=""),"",ROUND(D514*E514,2))</f>
        <v/>
      </c>
      <c r="G514" s="106" t="n"/>
      <c r="H514" s="350">
        <f>IF(G514="Sim",IF(OR(F514="",D514="",L514=""),"",IF(L514="Sim",ROUND(F514-D514,2),0)),0)</f>
        <v/>
      </c>
      <c r="I514" s="350">
        <f>IF(G514="Sim",0,IF(OR(F514="",L514=""),"",F514))</f>
        <v/>
      </c>
      <c r="J514" s="350">
        <f>IF(G514="Sim",0,IF(OR(F514="",D514="",L514=""),"",IF(L514="Sim",ROUND(F514-D514,2),0)))</f>
        <v/>
      </c>
      <c r="K514" s="97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inlineStr">
        <is>
          <t>Nao</t>
        </is>
      </c>
      <c r="W514" s="110" t="inlineStr">
        <is>
          <t>PC em analise</t>
        </is>
      </c>
      <c r="X514" s="110" t="inlineStr">
        <is>
          <t>Pedido de Compra</t>
        </is>
      </c>
      <c r="Y514" s="111" t="inlineStr">
        <is>
          <t>Impacto Potencial</t>
        </is>
      </c>
      <c r="Z514" s="111" t="inlineStr">
        <is>
          <t>PC</t>
        </is>
      </c>
      <c r="AA514" s="111" t="inlineStr">
        <is>
          <t>Nao</t>
        </is>
      </c>
      <c r="AB514" s="111" t="inlineStr">
        <is>
          <t>NAO_COMPUTADO</t>
        </is>
      </c>
      <c r="AC514" s="112" t="inlineStr">
        <is>
          <t>Estrutura Fase 1: sem impacto no VTA oficial</t>
        </is>
      </c>
    </row>
    <row r="515" ht="25.5" customHeight="1" s="289">
      <c r="A515" s="205" t="n"/>
      <c r="B515" s="207" t="n"/>
      <c r="C515" s="104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348" t="n"/>
      <c r="E515" s="349">
        <f>IF(C515="","",IFERROR(VLOOKUP(C515,parametros!$A$11:$E$15,5,0),""))</f>
        <v/>
      </c>
      <c r="F515" s="335">
        <f>IF(OR(D515="",E515=""),"",ROUND(D515*E515,2))</f>
        <v/>
      </c>
      <c r="G515" s="106" t="n"/>
      <c r="H515" s="350">
        <f>IF(G515="Sim",IF(OR(F515="",D515="",L515=""),"",IF(L515="Sim",ROUND(F515-D515,2),0)),0)</f>
        <v/>
      </c>
      <c r="I515" s="350">
        <f>IF(G515="Sim",0,IF(OR(F515="",L515=""),"",F515))</f>
        <v/>
      </c>
      <c r="J515" s="350">
        <f>IF(G515="Sim",0,IF(OR(F515="",D515="",L515=""),"",IF(L515="Sim",ROUND(F515-D515,2),0)))</f>
        <v/>
      </c>
      <c r="K515" s="97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inlineStr">
        <is>
          <t>Nao</t>
        </is>
      </c>
      <c r="W515" s="110" t="inlineStr">
        <is>
          <t>PC em analise</t>
        </is>
      </c>
      <c r="X515" s="110" t="inlineStr">
        <is>
          <t>Pedido de Compra</t>
        </is>
      </c>
      <c r="Y515" s="111" t="inlineStr">
        <is>
          <t>Impacto Potencial</t>
        </is>
      </c>
      <c r="Z515" s="111" t="inlineStr">
        <is>
          <t>PC</t>
        </is>
      </c>
      <c r="AA515" s="111" t="inlineStr">
        <is>
          <t>Nao</t>
        </is>
      </c>
      <c r="AB515" s="111" t="inlineStr">
        <is>
          <t>NAO_COMPUTADO</t>
        </is>
      </c>
      <c r="AC515" s="112" t="inlineStr">
        <is>
          <t>Estrutura Fase 1: sem impacto no VTA oficial</t>
        </is>
      </c>
    </row>
    <row r="516" ht="25.5" customHeight="1" s="289">
      <c r="A516" s="205" t="n"/>
      <c r="B516" s="207" t="n"/>
      <c r="C516" s="104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348" t="n"/>
      <c r="E516" s="349">
        <f>IF(C516="","",IFERROR(VLOOKUP(C516,parametros!$A$11:$E$15,5,0),""))</f>
        <v/>
      </c>
      <c r="F516" s="335">
        <f>IF(OR(D516="",E516=""),"",ROUND(D516*E516,2))</f>
        <v/>
      </c>
      <c r="G516" s="106" t="n"/>
      <c r="H516" s="350">
        <f>IF(G516="Sim",IF(OR(F516="",D516="",L516=""),"",IF(L516="Sim",ROUND(F516-D516,2),0)),0)</f>
        <v/>
      </c>
      <c r="I516" s="350">
        <f>IF(G516="Sim",0,IF(OR(F516="",L516=""),"",F516))</f>
        <v/>
      </c>
      <c r="J516" s="350">
        <f>IF(G516="Sim",0,IF(OR(F516="",D516="",L516=""),"",IF(L516="Sim",ROUND(F516-D516,2),0)))</f>
        <v/>
      </c>
      <c r="K516" s="97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inlineStr">
        <is>
          <t>Nao</t>
        </is>
      </c>
      <c r="W516" s="110" t="inlineStr">
        <is>
          <t>PC em analise</t>
        </is>
      </c>
      <c r="X516" s="110" t="inlineStr">
        <is>
          <t>Pedido de Compra</t>
        </is>
      </c>
      <c r="Y516" s="111" t="inlineStr">
        <is>
          <t>Impacto Potencial</t>
        </is>
      </c>
      <c r="Z516" s="111" t="inlineStr">
        <is>
          <t>PC</t>
        </is>
      </c>
      <c r="AA516" s="111" t="inlineStr">
        <is>
          <t>Nao</t>
        </is>
      </c>
      <c r="AB516" s="111" t="inlineStr">
        <is>
          <t>NAO_COMPUTADO</t>
        </is>
      </c>
      <c r="AC516" s="112" t="inlineStr">
        <is>
          <t>Estrutura Fase 1: sem impacto no VTA oficial</t>
        </is>
      </c>
    </row>
    <row r="517" ht="25.5" customHeight="1" s="289">
      <c r="A517" s="205" t="n"/>
      <c r="B517" s="207" t="n"/>
      <c r="C517" s="104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348" t="n"/>
      <c r="E517" s="349">
        <f>IF(C517="","",IFERROR(VLOOKUP(C517,parametros!$A$11:$E$15,5,0),""))</f>
        <v/>
      </c>
      <c r="F517" s="335">
        <f>IF(OR(D517="",E517=""),"",ROUND(D517*E517,2))</f>
        <v/>
      </c>
      <c r="G517" s="106" t="n"/>
      <c r="H517" s="350">
        <f>IF(G517="Sim",IF(OR(F517="",D517="",L517=""),"",IF(L517="Sim",ROUND(F517-D517,2),0)),0)</f>
        <v/>
      </c>
      <c r="I517" s="350">
        <f>IF(G517="Sim",0,IF(OR(F517="",L517=""),"",F517))</f>
        <v/>
      </c>
      <c r="J517" s="350">
        <f>IF(G517="Sim",0,IF(OR(F517="",D517="",L517=""),"",IF(L517="Sim",ROUND(F517-D517,2),0)))</f>
        <v/>
      </c>
      <c r="K517" s="97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inlineStr">
        <is>
          <t>Nao</t>
        </is>
      </c>
      <c r="W517" s="110" t="inlineStr">
        <is>
          <t>PC em analise</t>
        </is>
      </c>
      <c r="X517" s="110" t="inlineStr">
        <is>
          <t>Pedido de Compra</t>
        </is>
      </c>
      <c r="Y517" s="111" t="inlineStr">
        <is>
          <t>Impacto Potencial</t>
        </is>
      </c>
      <c r="Z517" s="111" t="inlineStr">
        <is>
          <t>PC</t>
        </is>
      </c>
      <c r="AA517" s="111" t="inlineStr">
        <is>
          <t>Nao</t>
        </is>
      </c>
      <c r="AB517" s="111" t="inlineStr">
        <is>
          <t>NAO_COMPUTADO</t>
        </is>
      </c>
      <c r="AC517" s="112" t="inlineStr">
        <is>
          <t>Estrutura Fase 1: sem impacto no VTA oficial</t>
        </is>
      </c>
    </row>
    <row r="518" ht="25.5" customHeight="1" s="289">
      <c r="A518" s="205" t="n"/>
      <c r="B518" s="207" t="n"/>
      <c r="C518" s="104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348" t="n"/>
      <c r="E518" s="349">
        <f>IF(C518="","",IFERROR(VLOOKUP(C518,parametros!$A$11:$E$15,5,0),""))</f>
        <v/>
      </c>
      <c r="F518" s="335">
        <f>IF(OR(D518="",E518=""),"",ROUND(D518*E518,2))</f>
        <v/>
      </c>
      <c r="G518" s="106" t="n"/>
      <c r="H518" s="350">
        <f>IF(G518="Sim",IF(OR(F518="",D518="",L518=""),"",IF(L518="Sim",ROUND(F518-D518,2),0)),0)</f>
        <v/>
      </c>
      <c r="I518" s="350">
        <f>IF(G518="Sim",0,IF(OR(F518="",L518=""),"",F518))</f>
        <v/>
      </c>
      <c r="J518" s="350">
        <f>IF(G518="Sim",0,IF(OR(F518="",D518="",L518=""),"",IF(L518="Sim",ROUND(F518-D518,2),0)))</f>
        <v/>
      </c>
      <c r="K518" s="97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inlineStr">
        <is>
          <t>Nao</t>
        </is>
      </c>
      <c r="W518" s="110" t="inlineStr">
        <is>
          <t>PC em analise</t>
        </is>
      </c>
      <c r="X518" s="110" t="inlineStr">
        <is>
          <t>Pedido de Compra</t>
        </is>
      </c>
      <c r="Y518" s="111" t="inlineStr">
        <is>
          <t>Impacto Potencial</t>
        </is>
      </c>
      <c r="Z518" s="111" t="inlineStr">
        <is>
          <t>PC</t>
        </is>
      </c>
      <c r="AA518" s="111" t="inlineStr">
        <is>
          <t>Nao</t>
        </is>
      </c>
      <c r="AB518" s="111" t="inlineStr">
        <is>
          <t>NAO_COMPUTADO</t>
        </is>
      </c>
      <c r="AC518" s="112" t="inlineStr">
        <is>
          <t>Estrutura Fase 1: sem impacto no VTA oficial</t>
        </is>
      </c>
    </row>
    <row r="519" ht="25.5" customHeight="1" s="289">
      <c r="A519" s="205" t="n"/>
      <c r="B519" s="207" t="n"/>
      <c r="C519" s="104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348" t="n"/>
      <c r="E519" s="349">
        <f>IF(C519="","",IFERROR(VLOOKUP(C519,parametros!$A$11:$E$15,5,0),""))</f>
        <v/>
      </c>
      <c r="F519" s="335">
        <f>IF(OR(D519="",E519=""),"",ROUND(D519*E519,2))</f>
        <v/>
      </c>
      <c r="G519" s="106" t="n"/>
      <c r="H519" s="350">
        <f>IF(G519="Sim",IF(OR(F519="",D519="",L519=""),"",IF(L519="Sim",ROUND(F519-D519,2),0)),0)</f>
        <v/>
      </c>
      <c r="I519" s="350">
        <f>IF(G519="Sim",0,IF(OR(F519="",L519=""),"",F519))</f>
        <v/>
      </c>
      <c r="J519" s="350">
        <f>IF(G519="Sim",0,IF(OR(F519="",D519="",L519=""),"",IF(L519="Sim",ROUND(F519-D519,2),0)))</f>
        <v/>
      </c>
      <c r="K519" s="97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inlineStr">
        <is>
          <t>Nao</t>
        </is>
      </c>
      <c r="W519" s="110" t="inlineStr">
        <is>
          <t>PC em analise</t>
        </is>
      </c>
      <c r="X519" s="110" t="inlineStr">
        <is>
          <t>Pedido de Compra</t>
        </is>
      </c>
      <c r="Y519" s="111" t="inlineStr">
        <is>
          <t>Impacto Potencial</t>
        </is>
      </c>
      <c r="Z519" s="111" t="inlineStr">
        <is>
          <t>PC</t>
        </is>
      </c>
      <c r="AA519" s="111" t="inlineStr">
        <is>
          <t>Nao</t>
        </is>
      </c>
      <c r="AB519" s="111" t="inlineStr">
        <is>
          <t>NAO_COMPUTADO</t>
        </is>
      </c>
      <c r="AC519" s="112" t="inlineStr">
        <is>
          <t>Estrutura Fase 1: sem impacto no VTA oficial</t>
        </is>
      </c>
    </row>
    <row r="520" ht="25.5" customHeight="1" s="289">
      <c r="A520" s="205" t="n"/>
      <c r="B520" s="207" t="n"/>
      <c r="C520" s="104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348" t="n"/>
      <c r="E520" s="349">
        <f>IF(C520="","",IFERROR(VLOOKUP(C520,parametros!$A$11:$E$15,5,0),""))</f>
        <v/>
      </c>
      <c r="F520" s="335">
        <f>IF(OR(D520="",E520=""),"",ROUND(D520*E520,2))</f>
        <v/>
      </c>
      <c r="G520" s="106" t="n"/>
      <c r="H520" s="350">
        <f>IF(G520="Sim",IF(OR(F520="",D520="",L520=""),"",IF(L520="Sim",ROUND(F520-D520,2),0)),0)</f>
        <v/>
      </c>
      <c r="I520" s="350">
        <f>IF(G520="Sim",0,IF(OR(F520="",L520=""),"",F520))</f>
        <v/>
      </c>
      <c r="J520" s="350">
        <f>IF(G520="Sim",0,IF(OR(F520="",D520="",L520=""),"",IF(L520="Sim",ROUND(F520-D520,2),0)))</f>
        <v/>
      </c>
      <c r="K520" s="97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inlineStr">
        <is>
          <t>Nao</t>
        </is>
      </c>
      <c r="W520" s="110" t="inlineStr">
        <is>
          <t>PC em analise</t>
        </is>
      </c>
      <c r="X520" s="110" t="inlineStr">
        <is>
          <t>Pedido de Compra</t>
        </is>
      </c>
      <c r="Y520" s="111" t="inlineStr">
        <is>
          <t>Impacto Potencial</t>
        </is>
      </c>
      <c r="Z520" s="111" t="inlineStr">
        <is>
          <t>PC</t>
        </is>
      </c>
      <c r="AA520" s="111" t="inlineStr">
        <is>
          <t>Nao</t>
        </is>
      </c>
      <c r="AB520" s="111" t="inlineStr">
        <is>
          <t>NAO_COMPUTADO</t>
        </is>
      </c>
      <c r="AC520" s="112" t="inlineStr">
        <is>
          <t>Estrutura Fase 1: sem impacto no VTA oficial</t>
        </is>
      </c>
    </row>
    <row r="521" ht="25.5" customHeight="1" s="289">
      <c r="A521" s="205" t="n"/>
      <c r="B521" s="207" t="n"/>
      <c r="C521" s="104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348" t="n"/>
      <c r="E521" s="349">
        <f>IF(C521="","",IFERROR(VLOOKUP(C521,parametros!$A$11:$E$15,5,0),""))</f>
        <v/>
      </c>
      <c r="F521" s="335">
        <f>IF(OR(D521="",E521=""),"",ROUND(D521*E521,2))</f>
        <v/>
      </c>
      <c r="G521" s="106" t="n"/>
      <c r="H521" s="350">
        <f>IF(G521="Sim",IF(OR(F521="",D521="",L521=""),"",IF(L521="Sim",ROUND(F521-D521,2),0)),0)</f>
        <v/>
      </c>
      <c r="I521" s="350">
        <f>IF(G521="Sim",0,IF(OR(F521="",L521=""),"",F521))</f>
        <v/>
      </c>
      <c r="J521" s="350">
        <f>IF(G521="Sim",0,IF(OR(F521="",D521="",L521=""),"",IF(L521="Sim",ROUND(F521-D521,2),0)))</f>
        <v/>
      </c>
      <c r="K521" s="97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inlineStr">
        <is>
          <t>Nao</t>
        </is>
      </c>
      <c r="W521" s="110" t="inlineStr">
        <is>
          <t>PC em analise</t>
        </is>
      </c>
      <c r="X521" s="110" t="inlineStr">
        <is>
          <t>Pedido de Compra</t>
        </is>
      </c>
      <c r="Y521" s="111" t="inlineStr">
        <is>
          <t>Impacto Potencial</t>
        </is>
      </c>
      <c r="Z521" s="111" t="inlineStr">
        <is>
          <t>PC</t>
        </is>
      </c>
      <c r="AA521" s="111" t="inlineStr">
        <is>
          <t>Nao</t>
        </is>
      </c>
      <c r="AB521" s="111" t="inlineStr">
        <is>
          <t>NAO_COMPUTADO</t>
        </is>
      </c>
      <c r="AC521" s="112" t="inlineStr">
        <is>
          <t>Estrutura Fase 1: sem impacto no VTA oficial</t>
        </is>
      </c>
    </row>
    <row r="522" ht="25.5" customHeight="1" s="289">
      <c r="A522" s="205" t="n"/>
      <c r="B522" s="207" t="n"/>
      <c r="C522" s="104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348" t="n"/>
      <c r="E522" s="349">
        <f>IF(C522="","",IFERROR(VLOOKUP(C522,parametros!$A$11:$E$15,5,0),""))</f>
        <v/>
      </c>
      <c r="F522" s="335">
        <f>IF(OR(D522="",E522=""),"",ROUND(D522*E522,2))</f>
        <v/>
      </c>
      <c r="G522" s="106" t="n"/>
      <c r="H522" s="350">
        <f>IF(G522="Sim",IF(OR(F522="",D522="",L522=""),"",IF(L522="Sim",ROUND(F522-D522,2),0)),0)</f>
        <v/>
      </c>
      <c r="I522" s="350">
        <f>IF(G522="Sim",0,IF(OR(F522="",L522=""),"",F522))</f>
        <v/>
      </c>
      <c r="J522" s="350">
        <f>IF(G522="Sim",0,IF(OR(F522="",D522="",L522=""),"",IF(L522="Sim",ROUND(F522-D522,2),0)))</f>
        <v/>
      </c>
      <c r="K522" s="97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inlineStr">
        <is>
          <t>Nao</t>
        </is>
      </c>
      <c r="W522" s="110" t="inlineStr">
        <is>
          <t>PC em analise</t>
        </is>
      </c>
      <c r="X522" s="110" t="inlineStr">
        <is>
          <t>Pedido de Compra</t>
        </is>
      </c>
      <c r="Y522" s="111" t="inlineStr">
        <is>
          <t>Impacto Potencial</t>
        </is>
      </c>
      <c r="Z522" s="111" t="inlineStr">
        <is>
          <t>PC</t>
        </is>
      </c>
      <c r="AA522" s="111" t="inlineStr">
        <is>
          <t>Nao</t>
        </is>
      </c>
      <c r="AB522" s="111" t="inlineStr">
        <is>
          <t>NAO_COMPUTADO</t>
        </is>
      </c>
      <c r="AC522" s="112" t="inlineStr">
        <is>
          <t>Estrutura Fase 1: sem impacto no VTA oficial</t>
        </is>
      </c>
    </row>
    <row r="523" ht="25.5" customHeight="1" s="289">
      <c r="A523" s="205" t="n"/>
      <c r="B523" s="207" t="n"/>
      <c r="C523" s="104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348" t="n"/>
      <c r="E523" s="349">
        <f>IF(C523="","",IFERROR(VLOOKUP(C523,parametros!$A$11:$E$15,5,0),""))</f>
        <v/>
      </c>
      <c r="F523" s="335">
        <f>IF(OR(D523="",E523=""),"",ROUND(D523*E523,2))</f>
        <v/>
      </c>
      <c r="G523" s="106" t="n"/>
      <c r="H523" s="350">
        <f>IF(G523="Sim",IF(OR(F523="",D523="",L523=""),"",IF(L523="Sim",ROUND(F523-D523,2),0)),0)</f>
        <v/>
      </c>
      <c r="I523" s="350">
        <f>IF(G523="Sim",0,IF(OR(F523="",L523=""),"",F523))</f>
        <v/>
      </c>
      <c r="J523" s="350">
        <f>IF(G523="Sim",0,IF(OR(F523="",D523="",L523=""),"",IF(L523="Sim",ROUND(F523-D523,2),0)))</f>
        <v/>
      </c>
      <c r="K523" s="97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inlineStr">
        <is>
          <t>Nao</t>
        </is>
      </c>
      <c r="W523" s="110" t="inlineStr">
        <is>
          <t>PC em analise</t>
        </is>
      </c>
      <c r="X523" s="110" t="inlineStr">
        <is>
          <t>Pedido de Compra</t>
        </is>
      </c>
      <c r="Y523" s="111" t="inlineStr">
        <is>
          <t>Impacto Potencial</t>
        </is>
      </c>
      <c r="Z523" s="111" t="inlineStr">
        <is>
          <t>PC</t>
        </is>
      </c>
      <c r="AA523" s="111" t="inlineStr">
        <is>
          <t>Nao</t>
        </is>
      </c>
      <c r="AB523" s="111" t="inlineStr">
        <is>
          <t>NAO_COMPUTADO</t>
        </is>
      </c>
      <c r="AC523" s="112" t="inlineStr">
        <is>
          <t>Estrutura Fase 1: sem impacto no VTA oficial</t>
        </is>
      </c>
    </row>
    <row r="524" ht="25.5" customHeight="1" s="289">
      <c r="A524" s="205" t="n"/>
      <c r="B524" s="207" t="n"/>
      <c r="C524" s="104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348" t="n"/>
      <c r="E524" s="349">
        <f>IF(C524="","",IFERROR(VLOOKUP(C524,parametros!$A$11:$E$15,5,0),""))</f>
        <v/>
      </c>
      <c r="F524" s="335">
        <f>IF(OR(D524="",E524=""),"",ROUND(D524*E524,2))</f>
        <v/>
      </c>
      <c r="G524" s="106" t="n"/>
      <c r="H524" s="350">
        <f>IF(G524="Sim",IF(OR(F524="",D524="",L524=""),"",IF(L524="Sim",ROUND(F524-D524,2),0)),0)</f>
        <v/>
      </c>
      <c r="I524" s="350">
        <f>IF(G524="Sim",0,IF(OR(F524="",L524=""),"",F524))</f>
        <v/>
      </c>
      <c r="J524" s="350">
        <f>IF(G524="Sim",0,IF(OR(F524="",D524="",L524=""),"",IF(L524="Sim",ROUND(F524-D524,2),0)))</f>
        <v/>
      </c>
      <c r="K524" s="97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inlineStr">
        <is>
          <t>Nao</t>
        </is>
      </c>
      <c r="W524" s="110" t="inlineStr">
        <is>
          <t>PC em analise</t>
        </is>
      </c>
      <c r="X524" s="110" t="inlineStr">
        <is>
          <t>Pedido de Compra</t>
        </is>
      </c>
      <c r="Y524" s="111" t="inlineStr">
        <is>
          <t>Impacto Potencial</t>
        </is>
      </c>
      <c r="Z524" s="111" t="inlineStr">
        <is>
          <t>PC</t>
        </is>
      </c>
      <c r="AA524" s="111" t="inlineStr">
        <is>
          <t>Nao</t>
        </is>
      </c>
      <c r="AB524" s="111" t="inlineStr">
        <is>
          <t>NAO_COMPUTADO</t>
        </is>
      </c>
      <c r="AC524" s="112" t="inlineStr">
        <is>
          <t>Estrutura Fase 1: sem impacto no VTA oficial</t>
        </is>
      </c>
    </row>
    <row r="525" ht="25.5" customHeight="1" s="289">
      <c r="A525" s="205" t="n"/>
      <c r="B525" s="207" t="n"/>
      <c r="C525" s="104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348" t="n"/>
      <c r="E525" s="349">
        <f>IF(C525="","",IFERROR(VLOOKUP(C525,parametros!$A$11:$E$15,5,0),""))</f>
        <v/>
      </c>
      <c r="F525" s="335">
        <f>IF(OR(D525="",E525=""),"",ROUND(D525*E525,2))</f>
        <v/>
      </c>
      <c r="G525" s="106" t="n"/>
      <c r="H525" s="350">
        <f>IF(G525="Sim",IF(OR(F525="",D525="",L525=""),"",IF(L525="Sim",ROUND(F525-D525,2),0)),0)</f>
        <v/>
      </c>
      <c r="I525" s="350">
        <f>IF(G525="Sim",0,IF(OR(F525="",L525=""),"",F525))</f>
        <v/>
      </c>
      <c r="J525" s="350">
        <f>IF(G525="Sim",0,IF(OR(F525="",D525="",L525=""),"",IF(L525="Sim",ROUND(F525-D525,2),0)))</f>
        <v/>
      </c>
      <c r="K525" s="97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inlineStr">
        <is>
          <t>Nao</t>
        </is>
      </c>
      <c r="W525" s="110" t="inlineStr">
        <is>
          <t>PC em analise</t>
        </is>
      </c>
      <c r="X525" s="110" t="inlineStr">
        <is>
          <t>Pedido de Compra</t>
        </is>
      </c>
      <c r="Y525" s="111" t="inlineStr">
        <is>
          <t>Impacto Potencial</t>
        </is>
      </c>
      <c r="Z525" s="111" t="inlineStr">
        <is>
          <t>PC</t>
        </is>
      </c>
      <c r="AA525" s="111" t="inlineStr">
        <is>
          <t>Nao</t>
        </is>
      </c>
      <c r="AB525" s="111" t="inlineStr">
        <is>
          <t>NAO_COMPUTADO</t>
        </is>
      </c>
      <c r="AC525" s="112" t="inlineStr">
        <is>
          <t>Estrutura Fase 1: sem impacto no VTA oficial</t>
        </is>
      </c>
    </row>
    <row r="526" ht="25.5" customHeight="1" s="289">
      <c r="A526" s="205" t="n"/>
      <c r="B526" s="207" t="n"/>
      <c r="C526" s="104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348" t="n"/>
      <c r="E526" s="349">
        <f>IF(C526="","",IFERROR(VLOOKUP(C526,parametros!$A$11:$E$15,5,0),""))</f>
        <v/>
      </c>
      <c r="F526" s="335">
        <f>IF(OR(D526="",E526=""),"",ROUND(D526*E526,2))</f>
        <v/>
      </c>
      <c r="G526" s="106" t="n"/>
      <c r="H526" s="350">
        <f>IF(G526="Sim",IF(OR(F526="",D526="",L526=""),"",IF(L526="Sim",ROUND(F526-D526,2),0)),0)</f>
        <v/>
      </c>
      <c r="I526" s="350">
        <f>IF(G526="Sim",0,IF(OR(F526="",L526=""),"",F526))</f>
        <v/>
      </c>
      <c r="J526" s="350">
        <f>IF(G526="Sim",0,IF(OR(F526="",D526="",L526=""),"",IF(L526="Sim",ROUND(F526-D526,2),0)))</f>
        <v/>
      </c>
      <c r="K526" s="97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inlineStr">
        <is>
          <t>Nao</t>
        </is>
      </c>
      <c r="W526" s="110" t="inlineStr">
        <is>
          <t>PC em analise</t>
        </is>
      </c>
      <c r="X526" s="110" t="inlineStr">
        <is>
          <t>Pedido de Compra</t>
        </is>
      </c>
      <c r="Y526" s="111" t="inlineStr">
        <is>
          <t>Impacto Potencial</t>
        </is>
      </c>
      <c r="Z526" s="111" t="inlineStr">
        <is>
          <t>PC</t>
        </is>
      </c>
      <c r="AA526" s="111" t="inlineStr">
        <is>
          <t>Nao</t>
        </is>
      </c>
      <c r="AB526" s="111" t="inlineStr">
        <is>
          <t>NAO_COMPUTADO</t>
        </is>
      </c>
      <c r="AC526" s="112" t="inlineStr">
        <is>
          <t>Estrutura Fase 1: sem impacto no VTA oficial</t>
        </is>
      </c>
    </row>
    <row r="527" ht="25.5" customHeight="1" s="289">
      <c r="A527" s="205" t="n"/>
      <c r="B527" s="207" t="n"/>
      <c r="C527" s="104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348" t="n"/>
      <c r="E527" s="349">
        <f>IF(C527="","",IFERROR(VLOOKUP(C527,parametros!$A$11:$E$15,5,0),""))</f>
        <v/>
      </c>
      <c r="F527" s="335">
        <f>IF(OR(D527="",E527=""),"",ROUND(D527*E527,2))</f>
        <v/>
      </c>
      <c r="G527" s="106" t="n"/>
      <c r="H527" s="350">
        <f>IF(G527="Sim",IF(OR(F527="",D527="",L527=""),"",IF(L527="Sim",ROUND(F527-D527,2),0)),0)</f>
        <v/>
      </c>
      <c r="I527" s="350">
        <f>IF(G527="Sim",0,IF(OR(F527="",L527=""),"",F527))</f>
        <v/>
      </c>
      <c r="J527" s="350">
        <f>IF(G527="Sim",0,IF(OR(F527="",D527="",L527=""),"",IF(L527="Sim",ROUND(F527-D527,2),0)))</f>
        <v/>
      </c>
      <c r="K527" s="97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inlineStr">
        <is>
          <t>Nao</t>
        </is>
      </c>
      <c r="W527" s="110" t="inlineStr">
        <is>
          <t>PC em analise</t>
        </is>
      </c>
      <c r="X527" s="110" t="inlineStr">
        <is>
          <t>Pedido de Compra</t>
        </is>
      </c>
      <c r="Y527" s="111" t="inlineStr">
        <is>
          <t>Impacto Potencial</t>
        </is>
      </c>
      <c r="Z527" s="111" t="inlineStr">
        <is>
          <t>PC</t>
        </is>
      </c>
      <c r="AA527" s="111" t="inlineStr">
        <is>
          <t>Nao</t>
        </is>
      </c>
      <c r="AB527" s="111" t="inlineStr">
        <is>
          <t>NAO_COMPUTADO</t>
        </is>
      </c>
      <c r="AC527" s="112" t="inlineStr">
        <is>
          <t>Estrutura Fase 1: sem impacto no VTA oficial</t>
        </is>
      </c>
    </row>
    <row r="528" ht="25.5" customHeight="1" s="289">
      <c r="A528" s="205" t="n"/>
      <c r="B528" s="207" t="n"/>
      <c r="C528" s="104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348" t="n"/>
      <c r="E528" s="349">
        <f>IF(C528="","",IFERROR(VLOOKUP(C528,parametros!$A$11:$E$15,5,0),""))</f>
        <v/>
      </c>
      <c r="F528" s="335">
        <f>IF(OR(D528="",E528=""),"",ROUND(D528*E528,2))</f>
        <v/>
      </c>
      <c r="G528" s="106" t="n"/>
      <c r="H528" s="350">
        <f>IF(G528="Sim",IF(OR(F528="",D528="",L528=""),"",IF(L528="Sim",ROUND(F528-D528,2),0)),0)</f>
        <v/>
      </c>
      <c r="I528" s="350">
        <f>IF(G528="Sim",0,IF(OR(F528="",L528=""),"",F528))</f>
        <v/>
      </c>
      <c r="J528" s="350">
        <f>IF(G528="Sim",0,IF(OR(F528="",D528="",L528=""),"",IF(L528="Sim",ROUND(F528-D528,2),0)))</f>
        <v/>
      </c>
      <c r="K528" s="97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inlineStr">
        <is>
          <t>Nao</t>
        </is>
      </c>
      <c r="W528" s="110" t="inlineStr">
        <is>
          <t>PC em analise</t>
        </is>
      </c>
      <c r="X528" s="110" t="inlineStr">
        <is>
          <t>Pedido de Compra</t>
        </is>
      </c>
      <c r="Y528" s="111" t="inlineStr">
        <is>
          <t>Impacto Potencial</t>
        </is>
      </c>
      <c r="Z528" s="111" t="inlineStr">
        <is>
          <t>PC</t>
        </is>
      </c>
      <c r="AA528" s="111" t="inlineStr">
        <is>
          <t>Nao</t>
        </is>
      </c>
      <c r="AB528" s="111" t="inlineStr">
        <is>
          <t>NAO_COMPUTADO</t>
        </is>
      </c>
      <c r="AC528" s="112" t="inlineStr">
        <is>
          <t>Estrutura Fase 1: sem impacto no VTA oficial</t>
        </is>
      </c>
    </row>
    <row r="529" ht="25.5" customHeight="1" s="289">
      <c r="A529" s="205" t="n"/>
      <c r="B529" s="207" t="n"/>
      <c r="C529" s="104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348" t="n"/>
      <c r="E529" s="349">
        <f>IF(C529="","",IFERROR(VLOOKUP(C529,parametros!$A$11:$E$15,5,0),""))</f>
        <v/>
      </c>
      <c r="F529" s="335">
        <f>IF(OR(D529="",E529=""),"",ROUND(D529*E529,2))</f>
        <v/>
      </c>
      <c r="G529" s="106" t="n"/>
      <c r="H529" s="350">
        <f>IF(G529="Sim",IF(OR(F529="",D529="",L529=""),"",IF(L529="Sim",ROUND(F529-D529,2),0)),0)</f>
        <v/>
      </c>
      <c r="I529" s="350">
        <f>IF(G529="Sim",0,IF(OR(F529="",L529=""),"",F529))</f>
        <v/>
      </c>
      <c r="J529" s="350">
        <f>IF(G529="Sim",0,IF(OR(F529="",D529="",L529=""),"",IF(L529="Sim",ROUND(F529-D529,2),0)))</f>
        <v/>
      </c>
      <c r="K529" s="97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inlineStr">
        <is>
          <t>Nao</t>
        </is>
      </c>
      <c r="W529" s="110" t="inlineStr">
        <is>
          <t>PC em analise</t>
        </is>
      </c>
      <c r="X529" s="110" t="inlineStr">
        <is>
          <t>Pedido de Compra</t>
        </is>
      </c>
      <c r="Y529" s="111" t="inlineStr">
        <is>
          <t>Impacto Potencial</t>
        </is>
      </c>
      <c r="Z529" s="111" t="inlineStr">
        <is>
          <t>PC</t>
        </is>
      </c>
      <c r="AA529" s="111" t="inlineStr">
        <is>
          <t>Nao</t>
        </is>
      </c>
      <c r="AB529" s="111" t="inlineStr">
        <is>
          <t>NAO_COMPUTADO</t>
        </is>
      </c>
      <c r="AC529" s="112" t="inlineStr">
        <is>
          <t>Estrutura Fase 1: sem impacto no VTA oficial</t>
        </is>
      </c>
    </row>
    <row r="530" ht="25.5" customHeight="1" s="289">
      <c r="A530" s="205" t="n"/>
      <c r="B530" s="207" t="n"/>
      <c r="C530" s="104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348" t="n"/>
      <c r="E530" s="349">
        <f>IF(C530="","",IFERROR(VLOOKUP(C530,parametros!$A$11:$E$15,5,0),""))</f>
        <v/>
      </c>
      <c r="F530" s="335">
        <f>IF(OR(D530="",E530=""),"",ROUND(D530*E530,2))</f>
        <v/>
      </c>
      <c r="G530" s="106" t="n"/>
      <c r="H530" s="350">
        <f>IF(G530="Sim",IF(OR(F530="",D530="",L530=""),"",IF(L530="Sim",ROUND(F530-D530,2),0)),0)</f>
        <v/>
      </c>
      <c r="I530" s="350">
        <f>IF(G530="Sim",0,IF(OR(F530="",L530=""),"",F530))</f>
        <v/>
      </c>
      <c r="J530" s="350">
        <f>IF(G530="Sim",0,IF(OR(F530="",D530="",L530=""),"",IF(L530="Sim",ROUND(F530-D530,2),0)))</f>
        <v/>
      </c>
      <c r="K530" s="97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inlineStr">
        <is>
          <t>Nao</t>
        </is>
      </c>
      <c r="W530" s="110" t="inlineStr">
        <is>
          <t>PC em analise</t>
        </is>
      </c>
      <c r="X530" s="110" t="inlineStr">
        <is>
          <t>Pedido de Compra</t>
        </is>
      </c>
      <c r="Y530" s="111" t="inlineStr">
        <is>
          <t>Impacto Potencial</t>
        </is>
      </c>
      <c r="Z530" s="111" t="inlineStr">
        <is>
          <t>PC</t>
        </is>
      </c>
      <c r="AA530" s="111" t="inlineStr">
        <is>
          <t>Nao</t>
        </is>
      </c>
      <c r="AB530" s="111" t="inlineStr">
        <is>
          <t>NAO_COMPUTADO</t>
        </is>
      </c>
      <c r="AC530" s="112" t="inlineStr">
        <is>
          <t>Estrutura Fase 1: sem impacto no VTA oficial</t>
        </is>
      </c>
    </row>
    <row r="531" ht="25.5" customHeight="1" s="289">
      <c r="A531" s="205" t="n"/>
      <c r="B531" s="207" t="n"/>
      <c r="C531" s="104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348" t="n"/>
      <c r="E531" s="349">
        <f>IF(C531="","",IFERROR(VLOOKUP(C531,parametros!$A$11:$E$15,5,0),""))</f>
        <v/>
      </c>
      <c r="F531" s="335">
        <f>IF(OR(D531="",E531=""),"",ROUND(D531*E531,2))</f>
        <v/>
      </c>
      <c r="G531" s="106" t="n"/>
      <c r="H531" s="350">
        <f>IF(G531="Sim",IF(OR(F531="",D531="",L531=""),"",IF(L531="Sim",ROUND(F531-D531,2),0)),0)</f>
        <v/>
      </c>
      <c r="I531" s="350">
        <f>IF(G531="Sim",0,IF(OR(F531="",L531=""),"",F531))</f>
        <v/>
      </c>
      <c r="J531" s="350">
        <f>IF(G531="Sim",0,IF(OR(F531="",D531="",L531=""),"",IF(L531="Sim",ROUND(F531-D531,2),0)))</f>
        <v/>
      </c>
      <c r="K531" s="97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inlineStr">
        <is>
          <t>Nao</t>
        </is>
      </c>
      <c r="W531" s="110" t="inlineStr">
        <is>
          <t>PC em analise</t>
        </is>
      </c>
      <c r="X531" s="110" t="inlineStr">
        <is>
          <t>Pedido de Compra</t>
        </is>
      </c>
      <c r="Y531" s="111" t="inlineStr">
        <is>
          <t>Impacto Potencial</t>
        </is>
      </c>
      <c r="Z531" s="111" t="inlineStr">
        <is>
          <t>PC</t>
        </is>
      </c>
      <c r="AA531" s="111" t="inlineStr">
        <is>
          <t>Nao</t>
        </is>
      </c>
      <c r="AB531" s="111" t="inlineStr">
        <is>
          <t>NAO_COMPUTADO</t>
        </is>
      </c>
      <c r="AC531" s="112" t="inlineStr">
        <is>
          <t>Estrutura Fase 1: sem impacto no VTA oficial</t>
        </is>
      </c>
    </row>
    <row r="532" ht="25.5" customHeight="1" s="289">
      <c r="A532" s="205" t="n"/>
      <c r="B532" s="207" t="n"/>
      <c r="C532" s="104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348" t="n"/>
      <c r="E532" s="349">
        <f>IF(C532="","",IFERROR(VLOOKUP(C532,parametros!$A$11:$E$15,5,0),""))</f>
        <v/>
      </c>
      <c r="F532" s="335">
        <f>IF(OR(D532="",E532=""),"",ROUND(D532*E532,2))</f>
        <v/>
      </c>
      <c r="G532" s="106" t="n"/>
      <c r="H532" s="350">
        <f>IF(G532="Sim",IF(OR(F532="",D532="",L532=""),"",IF(L532="Sim",ROUND(F532-D532,2),0)),0)</f>
        <v/>
      </c>
      <c r="I532" s="350">
        <f>IF(G532="Sim",0,IF(OR(F532="",L532=""),"",F532))</f>
        <v/>
      </c>
      <c r="J532" s="350">
        <f>IF(G532="Sim",0,IF(OR(F532="",D532="",L532=""),"",IF(L532="Sim",ROUND(F532-D532,2),0)))</f>
        <v/>
      </c>
      <c r="K532" s="97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inlineStr">
        <is>
          <t>Nao</t>
        </is>
      </c>
      <c r="W532" s="110" t="inlineStr">
        <is>
          <t>PC em analise</t>
        </is>
      </c>
      <c r="X532" s="110" t="inlineStr">
        <is>
          <t>Pedido de Compra</t>
        </is>
      </c>
      <c r="Y532" s="111" t="inlineStr">
        <is>
          <t>Impacto Potencial</t>
        </is>
      </c>
      <c r="Z532" s="111" t="inlineStr">
        <is>
          <t>PC</t>
        </is>
      </c>
      <c r="AA532" s="111" t="inlineStr">
        <is>
          <t>Nao</t>
        </is>
      </c>
      <c r="AB532" s="111" t="inlineStr">
        <is>
          <t>NAO_COMPUTADO</t>
        </is>
      </c>
      <c r="AC532" s="112" t="inlineStr">
        <is>
          <t>Estrutura Fase 1: sem impacto no VTA oficial</t>
        </is>
      </c>
    </row>
    <row r="533" ht="25.5" customHeight="1" s="289">
      <c r="A533" s="205" t="n"/>
      <c r="B533" s="207" t="n"/>
      <c r="C533" s="104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348" t="n"/>
      <c r="E533" s="349">
        <f>IF(C533="","",IFERROR(VLOOKUP(C533,parametros!$A$11:$E$15,5,0),""))</f>
        <v/>
      </c>
      <c r="F533" s="335">
        <f>IF(OR(D533="",E533=""),"",ROUND(D533*E533,2))</f>
        <v/>
      </c>
      <c r="G533" s="106" t="n"/>
      <c r="H533" s="350">
        <f>IF(G533="Sim",IF(OR(F533="",D533="",L533=""),"",IF(L533="Sim",ROUND(F533-D533,2),0)),0)</f>
        <v/>
      </c>
      <c r="I533" s="350">
        <f>IF(G533="Sim",0,IF(OR(F533="",L533=""),"",F533))</f>
        <v/>
      </c>
      <c r="J533" s="350">
        <f>IF(G533="Sim",0,IF(OR(F533="",D533="",L533=""),"",IF(L533="Sim",ROUND(F533-D533,2),0)))</f>
        <v/>
      </c>
      <c r="K533" s="97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inlineStr">
        <is>
          <t>Nao</t>
        </is>
      </c>
      <c r="W533" s="110" t="inlineStr">
        <is>
          <t>PC em analise</t>
        </is>
      </c>
      <c r="X533" s="110" t="inlineStr">
        <is>
          <t>Pedido de Compra</t>
        </is>
      </c>
      <c r="Y533" s="111" t="inlineStr">
        <is>
          <t>Impacto Potencial</t>
        </is>
      </c>
      <c r="Z533" s="111" t="inlineStr">
        <is>
          <t>PC</t>
        </is>
      </c>
      <c r="AA533" s="111" t="inlineStr">
        <is>
          <t>Nao</t>
        </is>
      </c>
      <c r="AB533" s="111" t="inlineStr">
        <is>
          <t>NAO_COMPUTADO</t>
        </is>
      </c>
      <c r="AC533" s="112" t="inlineStr">
        <is>
          <t>Estrutura Fase 1: sem impacto no VTA oficial</t>
        </is>
      </c>
    </row>
    <row r="534" ht="25.5" customHeight="1" s="289">
      <c r="A534" s="205" t="n"/>
      <c r="B534" s="207" t="n"/>
      <c r="C534" s="104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348" t="n"/>
      <c r="E534" s="349">
        <f>IF(C534="","",IFERROR(VLOOKUP(C534,parametros!$A$11:$E$15,5,0),""))</f>
        <v/>
      </c>
      <c r="F534" s="335">
        <f>IF(OR(D534="",E534=""),"",ROUND(D534*E534,2))</f>
        <v/>
      </c>
      <c r="G534" s="106" t="n"/>
      <c r="H534" s="350">
        <f>IF(G534="Sim",IF(OR(F534="",D534="",L534=""),"",IF(L534="Sim",ROUND(F534-D534,2),0)),0)</f>
        <v/>
      </c>
      <c r="I534" s="350">
        <f>IF(G534="Sim",0,IF(OR(F534="",L534=""),"",F534))</f>
        <v/>
      </c>
      <c r="J534" s="350">
        <f>IF(G534="Sim",0,IF(OR(F534="",D534="",L534=""),"",IF(L534="Sim",ROUND(F534-D534,2),0)))</f>
        <v/>
      </c>
      <c r="K534" s="97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inlineStr">
        <is>
          <t>Nao</t>
        </is>
      </c>
      <c r="W534" s="110" t="inlineStr">
        <is>
          <t>PC em analise</t>
        </is>
      </c>
      <c r="X534" s="110" t="inlineStr">
        <is>
          <t>Pedido de Compra</t>
        </is>
      </c>
      <c r="Y534" s="111" t="inlineStr">
        <is>
          <t>Impacto Potencial</t>
        </is>
      </c>
      <c r="Z534" s="111" t="inlineStr">
        <is>
          <t>PC</t>
        </is>
      </c>
      <c r="AA534" s="111" t="inlineStr">
        <is>
          <t>Nao</t>
        </is>
      </c>
      <c r="AB534" s="111" t="inlineStr">
        <is>
          <t>NAO_COMPUTADO</t>
        </is>
      </c>
      <c r="AC534" s="112" t="inlineStr">
        <is>
          <t>Estrutura Fase 1: sem impacto no VTA oficial</t>
        </is>
      </c>
    </row>
    <row r="535" ht="25.5" customHeight="1" s="289">
      <c r="A535" s="205" t="n"/>
      <c r="B535" s="207" t="n"/>
      <c r="C535" s="104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348" t="n"/>
      <c r="E535" s="349">
        <f>IF(C535="","",IFERROR(VLOOKUP(C535,parametros!$A$11:$E$15,5,0),""))</f>
        <v/>
      </c>
      <c r="F535" s="335">
        <f>IF(OR(D535="",E535=""),"",ROUND(D535*E535,2))</f>
        <v/>
      </c>
      <c r="G535" s="106" t="n"/>
      <c r="H535" s="350">
        <f>IF(G535="Sim",IF(OR(F535="",D535="",L535=""),"",IF(L535="Sim",ROUND(F535-D535,2),0)),0)</f>
        <v/>
      </c>
      <c r="I535" s="350">
        <f>IF(G535="Sim",0,IF(OR(F535="",L535=""),"",F535))</f>
        <v/>
      </c>
      <c r="J535" s="350">
        <f>IF(G535="Sim",0,IF(OR(F535="",D535="",L535=""),"",IF(L535="Sim",ROUND(F535-D535,2),0)))</f>
        <v/>
      </c>
      <c r="K535" s="97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inlineStr">
        <is>
          <t>Nao</t>
        </is>
      </c>
      <c r="W535" s="110" t="inlineStr">
        <is>
          <t>PC em analise</t>
        </is>
      </c>
      <c r="X535" s="110" t="inlineStr">
        <is>
          <t>Pedido de Compra</t>
        </is>
      </c>
      <c r="Y535" s="111" t="inlineStr">
        <is>
          <t>Impacto Potencial</t>
        </is>
      </c>
      <c r="Z535" s="111" t="inlineStr">
        <is>
          <t>PC</t>
        </is>
      </c>
      <c r="AA535" s="111" t="inlineStr">
        <is>
          <t>Nao</t>
        </is>
      </c>
      <c r="AB535" s="111" t="inlineStr">
        <is>
          <t>NAO_COMPUTADO</t>
        </is>
      </c>
      <c r="AC535" s="112" t="inlineStr">
        <is>
          <t>Estrutura Fase 1: sem impacto no VTA oficial</t>
        </is>
      </c>
    </row>
    <row r="536" ht="25.5" customHeight="1" s="289">
      <c r="A536" s="205" t="n"/>
      <c r="B536" s="207" t="n"/>
      <c r="C536" s="104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348" t="n"/>
      <c r="E536" s="349">
        <f>IF(C536="","",IFERROR(VLOOKUP(C536,parametros!$A$11:$E$15,5,0),""))</f>
        <v/>
      </c>
      <c r="F536" s="335">
        <f>IF(OR(D536="",E536=""),"",ROUND(D536*E536,2))</f>
        <v/>
      </c>
      <c r="G536" s="106" t="n"/>
      <c r="H536" s="350">
        <f>IF(G536="Sim",IF(OR(F536="",D536="",L536=""),"",IF(L536="Sim",ROUND(F536-D536,2),0)),0)</f>
        <v/>
      </c>
      <c r="I536" s="350">
        <f>IF(G536="Sim",0,IF(OR(F536="",L536=""),"",F536))</f>
        <v/>
      </c>
      <c r="J536" s="350">
        <f>IF(G536="Sim",0,IF(OR(F536="",D536="",L536=""),"",IF(L536="Sim",ROUND(F536-D536,2),0)))</f>
        <v/>
      </c>
      <c r="K536" s="97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inlineStr">
        <is>
          <t>Nao</t>
        </is>
      </c>
      <c r="W536" s="110" t="inlineStr">
        <is>
          <t>PC em analise</t>
        </is>
      </c>
      <c r="X536" s="110" t="inlineStr">
        <is>
          <t>Pedido de Compra</t>
        </is>
      </c>
      <c r="Y536" s="111" t="inlineStr">
        <is>
          <t>Impacto Potencial</t>
        </is>
      </c>
      <c r="Z536" s="111" t="inlineStr">
        <is>
          <t>PC</t>
        </is>
      </c>
      <c r="AA536" s="111" t="inlineStr">
        <is>
          <t>Nao</t>
        </is>
      </c>
      <c r="AB536" s="111" t="inlineStr">
        <is>
          <t>NAO_COMPUTADO</t>
        </is>
      </c>
      <c r="AC536" s="112" t="inlineStr">
        <is>
          <t>Estrutura Fase 1: sem impacto no VTA oficial</t>
        </is>
      </c>
    </row>
    <row r="537" ht="25.5" customHeight="1" s="289">
      <c r="A537" s="205" t="n"/>
      <c r="B537" s="207" t="n"/>
      <c r="C537" s="104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348" t="n"/>
      <c r="E537" s="349">
        <f>IF(C537="","",IFERROR(VLOOKUP(C537,parametros!$A$11:$E$15,5,0),""))</f>
        <v/>
      </c>
      <c r="F537" s="335">
        <f>IF(OR(D537="",E537=""),"",ROUND(D537*E537,2))</f>
        <v/>
      </c>
      <c r="G537" s="106" t="n"/>
      <c r="H537" s="350">
        <f>IF(G537="Sim",IF(OR(F537="",D537="",L537=""),"",IF(L537="Sim",ROUND(F537-D537,2),0)),0)</f>
        <v/>
      </c>
      <c r="I537" s="350">
        <f>IF(G537="Sim",0,IF(OR(F537="",L537=""),"",F537))</f>
        <v/>
      </c>
      <c r="J537" s="350">
        <f>IF(G537="Sim",0,IF(OR(F537="",D537="",L537=""),"",IF(L537="Sim",ROUND(F537-D537,2),0)))</f>
        <v/>
      </c>
      <c r="K537" s="97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inlineStr">
        <is>
          <t>Nao</t>
        </is>
      </c>
      <c r="W537" s="110" t="inlineStr">
        <is>
          <t>PC em analise</t>
        </is>
      </c>
      <c r="X537" s="110" t="inlineStr">
        <is>
          <t>Pedido de Compra</t>
        </is>
      </c>
      <c r="Y537" s="111" t="inlineStr">
        <is>
          <t>Impacto Potencial</t>
        </is>
      </c>
      <c r="Z537" s="111" t="inlineStr">
        <is>
          <t>PC</t>
        </is>
      </c>
      <c r="AA537" s="111" t="inlineStr">
        <is>
          <t>Nao</t>
        </is>
      </c>
      <c r="AB537" s="111" t="inlineStr">
        <is>
          <t>NAO_COMPUTADO</t>
        </is>
      </c>
      <c r="AC537" s="112" t="inlineStr">
        <is>
          <t>Estrutura Fase 1: sem impacto no VTA oficial</t>
        </is>
      </c>
    </row>
    <row r="538" ht="25.5" customHeight="1" s="289">
      <c r="A538" s="205" t="n"/>
      <c r="B538" s="207" t="n"/>
      <c r="C538" s="104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348" t="n"/>
      <c r="E538" s="349">
        <f>IF(C538="","",IFERROR(VLOOKUP(C538,parametros!$A$11:$E$15,5,0),""))</f>
        <v/>
      </c>
      <c r="F538" s="335">
        <f>IF(OR(D538="",E538=""),"",ROUND(D538*E538,2))</f>
        <v/>
      </c>
      <c r="G538" s="106" t="n"/>
      <c r="H538" s="350">
        <f>IF(G538="Sim",IF(OR(F538="",D538="",L538=""),"",IF(L538="Sim",ROUND(F538-D538,2),0)),0)</f>
        <v/>
      </c>
      <c r="I538" s="350">
        <f>IF(G538="Sim",0,IF(OR(F538="",L538=""),"",F538))</f>
        <v/>
      </c>
      <c r="J538" s="350">
        <f>IF(G538="Sim",0,IF(OR(F538="",D538="",L538=""),"",IF(L538="Sim",ROUND(F538-D538,2),0)))</f>
        <v/>
      </c>
      <c r="K538" s="97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inlineStr">
        <is>
          <t>Nao</t>
        </is>
      </c>
      <c r="W538" s="110" t="inlineStr">
        <is>
          <t>PC em analise</t>
        </is>
      </c>
      <c r="X538" s="110" t="inlineStr">
        <is>
          <t>Pedido de Compra</t>
        </is>
      </c>
      <c r="Y538" s="111" t="inlineStr">
        <is>
          <t>Impacto Potencial</t>
        </is>
      </c>
      <c r="Z538" s="111" t="inlineStr">
        <is>
          <t>PC</t>
        </is>
      </c>
      <c r="AA538" s="111" t="inlineStr">
        <is>
          <t>Nao</t>
        </is>
      </c>
      <c r="AB538" s="111" t="inlineStr">
        <is>
          <t>NAO_COMPUTADO</t>
        </is>
      </c>
      <c r="AC538" s="112" t="inlineStr">
        <is>
          <t>Estrutura Fase 1: sem impacto no VTA oficial</t>
        </is>
      </c>
    </row>
    <row r="539" ht="25.5" customHeight="1" s="289">
      <c r="A539" s="205" t="n"/>
      <c r="B539" s="207" t="n"/>
      <c r="C539" s="104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348" t="n"/>
      <c r="E539" s="349">
        <f>IF(C539="","",IFERROR(VLOOKUP(C539,parametros!$A$11:$E$15,5,0),""))</f>
        <v/>
      </c>
      <c r="F539" s="335">
        <f>IF(OR(D539="",E539=""),"",ROUND(D539*E539,2))</f>
        <v/>
      </c>
      <c r="G539" s="106" t="n"/>
      <c r="H539" s="350">
        <f>IF(G539="Sim",IF(OR(F539="",D539="",L539=""),"",IF(L539="Sim",ROUND(F539-D539,2),0)),0)</f>
        <v/>
      </c>
      <c r="I539" s="350">
        <f>IF(G539="Sim",0,IF(OR(F539="",L539=""),"",F539))</f>
        <v/>
      </c>
      <c r="J539" s="350">
        <f>IF(G539="Sim",0,IF(OR(F539="",D539="",L539=""),"",IF(L539="Sim",ROUND(F539-D539,2),0)))</f>
        <v/>
      </c>
      <c r="K539" s="97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inlineStr">
        <is>
          <t>Nao</t>
        </is>
      </c>
      <c r="W539" s="110" t="inlineStr">
        <is>
          <t>PC em analise</t>
        </is>
      </c>
      <c r="X539" s="110" t="inlineStr">
        <is>
          <t>Pedido de Compra</t>
        </is>
      </c>
      <c r="Y539" s="111" t="inlineStr">
        <is>
          <t>Impacto Potencial</t>
        </is>
      </c>
      <c r="Z539" s="111" t="inlineStr">
        <is>
          <t>PC</t>
        </is>
      </c>
      <c r="AA539" s="111" t="inlineStr">
        <is>
          <t>Nao</t>
        </is>
      </c>
      <c r="AB539" s="111" t="inlineStr">
        <is>
          <t>NAO_COMPUTADO</t>
        </is>
      </c>
      <c r="AC539" s="112" t="inlineStr">
        <is>
          <t>Estrutura Fase 1: sem impacto no VTA oficial</t>
        </is>
      </c>
    </row>
    <row r="540" ht="25.5" customHeight="1" s="289">
      <c r="A540" s="205" t="n"/>
      <c r="B540" s="207" t="n"/>
      <c r="C540" s="104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348" t="n"/>
      <c r="E540" s="349">
        <f>IF(C540="","",IFERROR(VLOOKUP(C540,parametros!$A$11:$E$15,5,0),""))</f>
        <v/>
      </c>
      <c r="F540" s="335">
        <f>IF(OR(D540="",E540=""),"",ROUND(D540*E540,2))</f>
        <v/>
      </c>
      <c r="G540" s="106" t="n"/>
      <c r="H540" s="350">
        <f>IF(G540="Sim",IF(OR(F540="",D540="",L540=""),"",IF(L540="Sim",ROUND(F540-D540,2),0)),0)</f>
        <v/>
      </c>
      <c r="I540" s="350">
        <f>IF(G540="Sim",0,IF(OR(F540="",L540=""),"",F540))</f>
        <v/>
      </c>
      <c r="J540" s="350">
        <f>IF(G540="Sim",0,IF(OR(F540="",D540="",L540=""),"",IF(L540="Sim",ROUND(F540-D540,2),0)))</f>
        <v/>
      </c>
      <c r="K540" s="97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inlineStr">
        <is>
          <t>Nao</t>
        </is>
      </c>
      <c r="W540" s="110" t="inlineStr">
        <is>
          <t>PC em analise</t>
        </is>
      </c>
      <c r="X540" s="110" t="inlineStr">
        <is>
          <t>Pedido de Compra</t>
        </is>
      </c>
      <c r="Y540" s="111" t="inlineStr">
        <is>
          <t>Impacto Potencial</t>
        </is>
      </c>
      <c r="Z540" s="111" t="inlineStr">
        <is>
          <t>PC</t>
        </is>
      </c>
      <c r="AA540" s="111" t="inlineStr">
        <is>
          <t>Nao</t>
        </is>
      </c>
      <c r="AB540" s="111" t="inlineStr">
        <is>
          <t>NAO_COMPUTADO</t>
        </is>
      </c>
      <c r="AC540" s="112" t="inlineStr">
        <is>
          <t>Estrutura Fase 1: sem impacto no VTA oficial</t>
        </is>
      </c>
    </row>
    <row r="541" ht="25.5" customHeight="1" s="289">
      <c r="A541" s="205" t="n"/>
      <c r="B541" s="207" t="n"/>
      <c r="C541" s="104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348" t="n"/>
      <c r="E541" s="349">
        <f>IF(C541="","",IFERROR(VLOOKUP(C541,parametros!$A$11:$E$15,5,0),""))</f>
        <v/>
      </c>
      <c r="F541" s="335">
        <f>IF(OR(D541="",E541=""),"",ROUND(D541*E541,2))</f>
        <v/>
      </c>
      <c r="G541" s="106" t="n"/>
      <c r="H541" s="350">
        <f>IF(G541="Sim",IF(OR(F541="",D541="",L541=""),"",IF(L541="Sim",ROUND(F541-D541,2),0)),0)</f>
        <v/>
      </c>
      <c r="I541" s="350">
        <f>IF(G541="Sim",0,IF(OR(F541="",L541=""),"",F541))</f>
        <v/>
      </c>
      <c r="J541" s="350">
        <f>IF(G541="Sim",0,IF(OR(F541="",D541="",L541=""),"",IF(L541="Sim",ROUND(F541-D541,2),0)))</f>
        <v/>
      </c>
      <c r="K541" s="97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inlineStr">
        <is>
          <t>Nao</t>
        </is>
      </c>
      <c r="W541" s="110" t="inlineStr">
        <is>
          <t>PC em analise</t>
        </is>
      </c>
      <c r="X541" s="110" t="inlineStr">
        <is>
          <t>Pedido de Compra</t>
        </is>
      </c>
      <c r="Y541" s="111" t="inlineStr">
        <is>
          <t>Impacto Potencial</t>
        </is>
      </c>
      <c r="Z541" s="111" t="inlineStr">
        <is>
          <t>PC</t>
        </is>
      </c>
      <c r="AA541" s="111" t="inlineStr">
        <is>
          <t>Nao</t>
        </is>
      </c>
      <c r="AB541" s="111" t="inlineStr">
        <is>
          <t>NAO_COMPUTADO</t>
        </is>
      </c>
      <c r="AC541" s="112" t="inlineStr">
        <is>
          <t>Estrutura Fase 1: sem impacto no VTA oficial</t>
        </is>
      </c>
    </row>
    <row r="542" ht="25.5" customHeight="1" s="289">
      <c r="A542" s="205" t="n"/>
      <c r="B542" s="207" t="n"/>
      <c r="C542" s="104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348" t="n"/>
      <c r="E542" s="349">
        <f>IF(C542="","",IFERROR(VLOOKUP(C542,parametros!$A$11:$E$15,5,0),""))</f>
        <v/>
      </c>
      <c r="F542" s="335">
        <f>IF(OR(D542="",E542=""),"",ROUND(D542*E542,2))</f>
        <v/>
      </c>
      <c r="G542" s="106" t="n"/>
      <c r="H542" s="350">
        <f>IF(G542="Sim",IF(OR(F542="",D542="",L542=""),"",IF(L542="Sim",ROUND(F542-D542,2),0)),0)</f>
        <v/>
      </c>
      <c r="I542" s="350">
        <f>IF(G542="Sim",0,IF(OR(F542="",L542=""),"",F542))</f>
        <v/>
      </c>
      <c r="J542" s="350">
        <f>IF(G542="Sim",0,IF(OR(F542="",D542="",L542=""),"",IF(L542="Sim",ROUND(F542-D542,2),0)))</f>
        <v/>
      </c>
      <c r="K542" s="97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inlineStr">
        <is>
          <t>Nao</t>
        </is>
      </c>
      <c r="W542" s="110" t="inlineStr">
        <is>
          <t>PC em analise</t>
        </is>
      </c>
      <c r="X542" s="110" t="inlineStr">
        <is>
          <t>Pedido de Compra</t>
        </is>
      </c>
      <c r="Y542" s="111" t="inlineStr">
        <is>
          <t>Impacto Potencial</t>
        </is>
      </c>
      <c r="Z542" s="111" t="inlineStr">
        <is>
          <t>PC</t>
        </is>
      </c>
      <c r="AA542" s="111" t="inlineStr">
        <is>
          <t>Nao</t>
        </is>
      </c>
      <c r="AB542" s="111" t="inlineStr">
        <is>
          <t>NAO_COMPUTADO</t>
        </is>
      </c>
      <c r="AC542" s="112" t="inlineStr">
        <is>
          <t>Estrutura Fase 1: sem impacto no VTA oficial</t>
        </is>
      </c>
    </row>
    <row r="543" ht="25.5" customHeight="1" s="289">
      <c r="A543" s="205" t="n"/>
      <c r="B543" s="207" t="n"/>
      <c r="C543" s="104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348" t="n"/>
      <c r="E543" s="349">
        <f>IF(C543="","",IFERROR(VLOOKUP(C543,parametros!$A$11:$E$15,5,0),""))</f>
        <v/>
      </c>
      <c r="F543" s="335">
        <f>IF(OR(D543="",E543=""),"",ROUND(D543*E543,2))</f>
        <v/>
      </c>
      <c r="G543" s="106" t="n"/>
      <c r="H543" s="350">
        <f>IF(G543="Sim",IF(OR(F543="",D543="",L543=""),"",IF(L543="Sim",ROUND(F543-D543,2),0)),0)</f>
        <v/>
      </c>
      <c r="I543" s="350">
        <f>IF(G543="Sim",0,IF(OR(F543="",L543=""),"",F543))</f>
        <v/>
      </c>
      <c r="J543" s="350">
        <f>IF(G543="Sim",0,IF(OR(F543="",D543="",L543=""),"",IF(L543="Sim",ROUND(F543-D543,2),0)))</f>
        <v/>
      </c>
      <c r="K543" s="97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inlineStr">
        <is>
          <t>Nao</t>
        </is>
      </c>
      <c r="W543" s="110" t="inlineStr">
        <is>
          <t>PC em analise</t>
        </is>
      </c>
      <c r="X543" s="110" t="inlineStr">
        <is>
          <t>Pedido de Compra</t>
        </is>
      </c>
      <c r="Y543" s="111" t="inlineStr">
        <is>
          <t>Impacto Potencial</t>
        </is>
      </c>
      <c r="Z543" s="111" t="inlineStr">
        <is>
          <t>PC</t>
        </is>
      </c>
      <c r="AA543" s="111" t="inlineStr">
        <is>
          <t>Nao</t>
        </is>
      </c>
      <c r="AB543" s="111" t="inlineStr">
        <is>
          <t>NAO_COMPUTADO</t>
        </is>
      </c>
      <c r="AC543" s="112" t="inlineStr">
        <is>
          <t>Estrutura Fase 1: sem impacto no VTA oficial</t>
        </is>
      </c>
    </row>
    <row r="544" ht="25.5" customHeight="1" s="289">
      <c r="A544" s="205" t="n"/>
      <c r="B544" s="207" t="n"/>
      <c r="C544" s="104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348" t="n"/>
      <c r="E544" s="349">
        <f>IF(C544="","",IFERROR(VLOOKUP(C544,parametros!$A$11:$E$15,5,0),""))</f>
        <v/>
      </c>
      <c r="F544" s="335">
        <f>IF(OR(D544="",E544=""),"",ROUND(D544*E544,2))</f>
        <v/>
      </c>
      <c r="G544" s="106" t="n"/>
      <c r="H544" s="350">
        <f>IF(G544="Sim",IF(OR(F544="",D544="",L544=""),"",IF(L544="Sim",ROUND(F544-D544,2),0)),0)</f>
        <v/>
      </c>
      <c r="I544" s="350">
        <f>IF(G544="Sim",0,IF(OR(F544="",L544=""),"",F544))</f>
        <v/>
      </c>
      <c r="J544" s="350">
        <f>IF(G544="Sim",0,IF(OR(F544="",D544="",L544=""),"",IF(L544="Sim",ROUND(F544-D544,2),0)))</f>
        <v/>
      </c>
      <c r="K544" s="97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inlineStr">
        <is>
          <t>Nao</t>
        </is>
      </c>
      <c r="W544" s="110" t="inlineStr">
        <is>
          <t>PC em analise</t>
        </is>
      </c>
      <c r="X544" s="110" t="inlineStr">
        <is>
          <t>Pedido de Compra</t>
        </is>
      </c>
      <c r="Y544" s="111" t="inlineStr">
        <is>
          <t>Impacto Potencial</t>
        </is>
      </c>
      <c r="Z544" s="111" t="inlineStr">
        <is>
          <t>PC</t>
        </is>
      </c>
      <c r="AA544" s="111" t="inlineStr">
        <is>
          <t>Nao</t>
        </is>
      </c>
      <c r="AB544" s="111" t="inlineStr">
        <is>
          <t>NAO_COMPUTADO</t>
        </is>
      </c>
      <c r="AC544" s="112" t="inlineStr">
        <is>
          <t>Estrutura Fase 1: sem impacto no VTA oficial</t>
        </is>
      </c>
    </row>
    <row r="545" ht="25.5" customHeight="1" s="289">
      <c r="A545" s="205" t="n"/>
      <c r="B545" s="207" t="n"/>
      <c r="C545" s="104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348" t="n"/>
      <c r="E545" s="349">
        <f>IF(C545="","",IFERROR(VLOOKUP(C545,parametros!$A$11:$E$15,5,0),""))</f>
        <v/>
      </c>
      <c r="F545" s="335">
        <f>IF(OR(D545="",E545=""),"",ROUND(D545*E545,2))</f>
        <v/>
      </c>
      <c r="G545" s="106" t="n"/>
      <c r="H545" s="350">
        <f>IF(G545="Sim",IF(OR(F545="",D545="",L545=""),"",IF(L545="Sim",ROUND(F545-D545,2),0)),0)</f>
        <v/>
      </c>
      <c r="I545" s="350">
        <f>IF(G545="Sim",0,IF(OR(F545="",L545=""),"",F545))</f>
        <v/>
      </c>
      <c r="J545" s="350">
        <f>IF(G545="Sim",0,IF(OR(F545="",D545="",L545=""),"",IF(L545="Sim",ROUND(F545-D545,2),0)))</f>
        <v/>
      </c>
      <c r="K545" s="97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inlineStr">
        <is>
          <t>Nao</t>
        </is>
      </c>
      <c r="W545" s="110" t="inlineStr">
        <is>
          <t>PC em analise</t>
        </is>
      </c>
      <c r="X545" s="110" t="inlineStr">
        <is>
          <t>Pedido de Compra</t>
        </is>
      </c>
      <c r="Y545" s="111" t="inlineStr">
        <is>
          <t>Impacto Potencial</t>
        </is>
      </c>
      <c r="Z545" s="111" t="inlineStr">
        <is>
          <t>PC</t>
        </is>
      </c>
      <c r="AA545" s="111" t="inlineStr">
        <is>
          <t>Nao</t>
        </is>
      </c>
      <c r="AB545" s="111" t="inlineStr">
        <is>
          <t>NAO_COMPUTADO</t>
        </is>
      </c>
      <c r="AC545" s="112" t="inlineStr">
        <is>
          <t>Estrutura Fase 1: sem impacto no VTA oficial</t>
        </is>
      </c>
    </row>
    <row r="546" ht="25.5" customHeight="1" s="289">
      <c r="A546" s="205" t="n"/>
      <c r="B546" s="207" t="n"/>
      <c r="C546" s="104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348" t="n"/>
      <c r="E546" s="349">
        <f>IF(C546="","",IFERROR(VLOOKUP(C546,parametros!$A$11:$E$15,5,0),""))</f>
        <v/>
      </c>
      <c r="F546" s="335">
        <f>IF(OR(D546="",E546=""),"",ROUND(D546*E546,2))</f>
        <v/>
      </c>
      <c r="G546" s="106" t="n"/>
      <c r="H546" s="350">
        <f>IF(G546="Sim",IF(OR(F546="",D546="",L546=""),"",IF(L546="Sim",ROUND(F546-D546,2),0)),0)</f>
        <v/>
      </c>
      <c r="I546" s="350">
        <f>IF(G546="Sim",0,IF(OR(F546="",L546=""),"",F546))</f>
        <v/>
      </c>
      <c r="J546" s="350">
        <f>IF(G546="Sim",0,IF(OR(F546="",D546="",L546=""),"",IF(L546="Sim",ROUND(F546-D546,2),0)))</f>
        <v/>
      </c>
      <c r="K546" s="97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inlineStr">
        <is>
          <t>Nao</t>
        </is>
      </c>
      <c r="W546" s="110" t="inlineStr">
        <is>
          <t>PC em analise</t>
        </is>
      </c>
      <c r="X546" s="110" t="inlineStr">
        <is>
          <t>Pedido de Compra</t>
        </is>
      </c>
      <c r="Y546" s="111" t="inlineStr">
        <is>
          <t>Impacto Potencial</t>
        </is>
      </c>
      <c r="Z546" s="111" t="inlineStr">
        <is>
          <t>PC</t>
        </is>
      </c>
      <c r="AA546" s="111" t="inlineStr">
        <is>
          <t>Nao</t>
        </is>
      </c>
      <c r="AB546" s="111" t="inlineStr">
        <is>
          <t>NAO_COMPUTADO</t>
        </is>
      </c>
      <c r="AC546" s="112" t="inlineStr">
        <is>
          <t>Estrutura Fase 1: sem impacto no VTA oficial</t>
        </is>
      </c>
    </row>
    <row r="547" ht="25.5" customHeight="1" s="289">
      <c r="A547" s="205" t="n"/>
      <c r="B547" s="207" t="n"/>
      <c r="C547" s="104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348" t="n"/>
      <c r="E547" s="349">
        <f>IF(C547="","",IFERROR(VLOOKUP(C547,parametros!$A$11:$E$15,5,0),""))</f>
        <v/>
      </c>
      <c r="F547" s="335">
        <f>IF(OR(D547="",E547=""),"",ROUND(D547*E547,2))</f>
        <v/>
      </c>
      <c r="G547" s="106" t="n"/>
      <c r="H547" s="350">
        <f>IF(G547="Sim",IF(OR(F547="",D547="",L547=""),"",IF(L547="Sim",ROUND(F547-D547,2),0)),0)</f>
        <v/>
      </c>
      <c r="I547" s="350">
        <f>IF(G547="Sim",0,IF(OR(F547="",L547=""),"",F547))</f>
        <v/>
      </c>
      <c r="J547" s="350">
        <f>IF(G547="Sim",0,IF(OR(F547="",D547="",L547=""),"",IF(L547="Sim",ROUND(F547-D547,2),0)))</f>
        <v/>
      </c>
      <c r="K547" s="97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inlineStr">
        <is>
          <t>Nao</t>
        </is>
      </c>
      <c r="W547" s="110" t="inlineStr">
        <is>
          <t>PC em analise</t>
        </is>
      </c>
      <c r="X547" s="110" t="inlineStr">
        <is>
          <t>Pedido de Compra</t>
        </is>
      </c>
      <c r="Y547" s="111" t="inlineStr">
        <is>
          <t>Impacto Potencial</t>
        </is>
      </c>
      <c r="Z547" s="111" t="inlineStr">
        <is>
          <t>PC</t>
        </is>
      </c>
      <c r="AA547" s="111" t="inlineStr">
        <is>
          <t>Nao</t>
        </is>
      </c>
      <c r="AB547" s="111" t="inlineStr">
        <is>
          <t>NAO_COMPUTADO</t>
        </is>
      </c>
      <c r="AC547" s="112" t="inlineStr">
        <is>
          <t>Estrutura Fase 1: sem impacto no VTA oficial</t>
        </is>
      </c>
    </row>
    <row r="548" ht="25.5" customHeight="1" s="289">
      <c r="A548" s="205" t="n"/>
      <c r="B548" s="207" t="n"/>
      <c r="C548" s="104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348" t="n"/>
      <c r="E548" s="349">
        <f>IF(C548="","",IFERROR(VLOOKUP(C548,parametros!$A$11:$E$15,5,0),""))</f>
        <v/>
      </c>
      <c r="F548" s="335">
        <f>IF(OR(D548="",E548=""),"",ROUND(D548*E548,2))</f>
        <v/>
      </c>
      <c r="G548" s="106" t="n"/>
      <c r="H548" s="350">
        <f>IF(G548="Sim",IF(OR(F548="",D548="",L548=""),"",IF(L548="Sim",ROUND(F548-D548,2),0)),0)</f>
        <v/>
      </c>
      <c r="I548" s="350">
        <f>IF(G548="Sim",0,IF(OR(F548="",L548=""),"",F548))</f>
        <v/>
      </c>
      <c r="J548" s="350">
        <f>IF(G548="Sim",0,IF(OR(F548="",D548="",L548=""),"",IF(L548="Sim",ROUND(F548-D548,2),0)))</f>
        <v/>
      </c>
      <c r="K548" s="97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inlineStr">
        <is>
          <t>Nao</t>
        </is>
      </c>
      <c r="W548" s="110" t="inlineStr">
        <is>
          <t>PC em analise</t>
        </is>
      </c>
      <c r="X548" s="110" t="inlineStr">
        <is>
          <t>Pedido de Compra</t>
        </is>
      </c>
      <c r="Y548" s="111" t="inlineStr">
        <is>
          <t>Impacto Potencial</t>
        </is>
      </c>
      <c r="Z548" s="111" t="inlineStr">
        <is>
          <t>PC</t>
        </is>
      </c>
      <c r="AA548" s="111" t="inlineStr">
        <is>
          <t>Nao</t>
        </is>
      </c>
      <c r="AB548" s="111" t="inlineStr">
        <is>
          <t>NAO_COMPUTADO</t>
        </is>
      </c>
      <c r="AC548" s="112" t="inlineStr">
        <is>
          <t>Estrutura Fase 1: sem impacto no VTA oficial</t>
        </is>
      </c>
    </row>
    <row r="549" ht="25.5" customHeight="1" s="289">
      <c r="A549" s="205" t="n"/>
      <c r="B549" s="207" t="n"/>
      <c r="C549" s="104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348" t="n"/>
      <c r="E549" s="349">
        <f>IF(C549="","",IFERROR(VLOOKUP(C549,parametros!$A$11:$E$15,5,0),""))</f>
        <v/>
      </c>
      <c r="F549" s="335">
        <f>IF(OR(D549="",E549=""),"",ROUND(D549*E549,2))</f>
        <v/>
      </c>
      <c r="G549" s="106" t="n"/>
      <c r="H549" s="350">
        <f>IF(G549="Sim",IF(OR(F549="",D549="",L549=""),"",IF(L549="Sim",ROUND(F549-D549,2),0)),0)</f>
        <v/>
      </c>
      <c r="I549" s="350">
        <f>IF(G549="Sim",0,IF(OR(F549="",L549=""),"",F549))</f>
        <v/>
      </c>
      <c r="J549" s="350">
        <f>IF(G549="Sim",0,IF(OR(F549="",D549="",L549=""),"",IF(L549="Sim",ROUND(F549-D549,2),0)))</f>
        <v/>
      </c>
      <c r="K549" s="97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inlineStr">
        <is>
          <t>Nao</t>
        </is>
      </c>
      <c r="W549" s="110" t="inlineStr">
        <is>
          <t>PC em analise</t>
        </is>
      </c>
      <c r="X549" s="110" t="inlineStr">
        <is>
          <t>Pedido de Compra</t>
        </is>
      </c>
      <c r="Y549" s="111" t="inlineStr">
        <is>
          <t>Impacto Potencial</t>
        </is>
      </c>
      <c r="Z549" s="111" t="inlineStr">
        <is>
          <t>PC</t>
        </is>
      </c>
      <c r="AA549" s="111" t="inlineStr">
        <is>
          <t>Nao</t>
        </is>
      </c>
      <c r="AB549" s="111" t="inlineStr">
        <is>
          <t>NAO_COMPUTADO</t>
        </is>
      </c>
      <c r="AC549" s="112" t="inlineStr">
        <is>
          <t>Estrutura Fase 1: sem impacto no VTA oficial</t>
        </is>
      </c>
    </row>
    <row r="550" ht="25.5" customHeight="1" s="289">
      <c r="A550" s="205" t="n"/>
      <c r="B550" s="207" t="n"/>
      <c r="C550" s="104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348" t="n"/>
      <c r="E550" s="349">
        <f>IF(C550="","",IFERROR(VLOOKUP(C550,parametros!$A$11:$E$15,5,0),""))</f>
        <v/>
      </c>
      <c r="F550" s="335">
        <f>IF(OR(D550="",E550=""),"",ROUND(D550*E550,2))</f>
        <v/>
      </c>
      <c r="G550" s="106" t="n"/>
      <c r="H550" s="350">
        <f>IF(G550="Sim",IF(OR(F550="",D550="",L550=""),"",IF(L550="Sim",ROUND(F550-D550,2),0)),0)</f>
        <v/>
      </c>
      <c r="I550" s="350">
        <f>IF(G550="Sim",0,IF(OR(F550="",L550=""),"",F550))</f>
        <v/>
      </c>
      <c r="J550" s="350">
        <f>IF(G550="Sim",0,IF(OR(F550="",D550="",L550=""),"",IF(L550="Sim",ROUND(F550-D550,2),0)))</f>
        <v/>
      </c>
      <c r="K550" s="97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inlineStr">
        <is>
          <t>Nao</t>
        </is>
      </c>
      <c r="W550" s="110" t="inlineStr">
        <is>
          <t>PC em analise</t>
        </is>
      </c>
      <c r="X550" s="110" t="inlineStr">
        <is>
          <t>Pedido de Compra</t>
        </is>
      </c>
      <c r="Y550" s="111" t="inlineStr">
        <is>
          <t>Impacto Potencial</t>
        </is>
      </c>
      <c r="Z550" s="111" t="inlineStr">
        <is>
          <t>PC</t>
        </is>
      </c>
      <c r="AA550" s="111" t="inlineStr">
        <is>
          <t>Nao</t>
        </is>
      </c>
      <c r="AB550" s="111" t="inlineStr">
        <is>
          <t>NAO_COMPUTADO</t>
        </is>
      </c>
      <c r="AC550" s="112" t="inlineStr">
        <is>
          <t>Estrutura Fase 1: sem impacto no VTA oficial</t>
        </is>
      </c>
    </row>
    <row r="551" ht="25.5" customHeight="1" s="289">
      <c r="A551" s="205" t="n"/>
      <c r="B551" s="207" t="n"/>
      <c r="C551" s="104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348" t="n"/>
      <c r="E551" s="349">
        <f>IF(C551="","",IFERROR(VLOOKUP(C551,parametros!$A$11:$E$15,5,0),""))</f>
        <v/>
      </c>
      <c r="F551" s="335">
        <f>IF(OR(D551="",E551=""),"",ROUND(D551*E551,2))</f>
        <v/>
      </c>
      <c r="G551" s="106" t="n"/>
      <c r="H551" s="350">
        <f>IF(G551="Sim",IF(OR(F551="",D551="",L551=""),"",IF(L551="Sim",ROUND(F551-D551,2),0)),0)</f>
        <v/>
      </c>
      <c r="I551" s="350">
        <f>IF(G551="Sim",0,IF(OR(F551="",L551=""),"",F551))</f>
        <v/>
      </c>
      <c r="J551" s="350">
        <f>IF(G551="Sim",0,IF(OR(F551="",D551="",L551=""),"",IF(L551="Sim",ROUND(F551-D551,2),0)))</f>
        <v/>
      </c>
      <c r="K551" s="97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inlineStr">
        <is>
          <t>Nao</t>
        </is>
      </c>
      <c r="W551" s="110" t="inlineStr">
        <is>
          <t>PC em analise</t>
        </is>
      </c>
      <c r="X551" s="110" t="inlineStr">
        <is>
          <t>Pedido de Compra</t>
        </is>
      </c>
      <c r="Y551" s="111" t="inlineStr">
        <is>
          <t>Impacto Potencial</t>
        </is>
      </c>
      <c r="Z551" s="111" t="inlineStr">
        <is>
          <t>PC</t>
        </is>
      </c>
      <c r="AA551" s="111" t="inlineStr">
        <is>
          <t>Nao</t>
        </is>
      </c>
      <c r="AB551" s="111" t="inlineStr">
        <is>
          <t>NAO_COMPUTADO</t>
        </is>
      </c>
      <c r="AC551" s="112" t="inlineStr">
        <is>
          <t>Estrutura Fase 1: sem impacto no VTA oficial</t>
        </is>
      </c>
    </row>
    <row r="552" ht="25.5" customHeight="1" s="289">
      <c r="A552" s="205" t="n"/>
      <c r="B552" s="207" t="n"/>
      <c r="C552" s="104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348" t="n"/>
      <c r="E552" s="349">
        <f>IF(C552="","",IFERROR(VLOOKUP(C552,parametros!$A$11:$E$15,5,0),""))</f>
        <v/>
      </c>
      <c r="F552" s="335">
        <f>IF(OR(D552="",E552=""),"",ROUND(D552*E552,2))</f>
        <v/>
      </c>
      <c r="G552" s="106" t="n"/>
      <c r="H552" s="350">
        <f>IF(G552="Sim",IF(OR(F552="",D552="",L552=""),"",IF(L552="Sim",ROUND(F552-D552,2),0)),0)</f>
        <v/>
      </c>
      <c r="I552" s="350">
        <f>IF(G552="Sim",0,IF(OR(F552="",L552=""),"",F552))</f>
        <v/>
      </c>
      <c r="J552" s="350">
        <f>IF(G552="Sim",0,IF(OR(F552="",D552="",L552=""),"",IF(L552="Sim",ROUND(F552-D552,2),0)))</f>
        <v/>
      </c>
      <c r="K552" s="97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inlineStr">
        <is>
          <t>Nao</t>
        </is>
      </c>
      <c r="W552" s="110" t="inlineStr">
        <is>
          <t>PC em analise</t>
        </is>
      </c>
      <c r="X552" s="110" t="inlineStr">
        <is>
          <t>Pedido de Compra</t>
        </is>
      </c>
      <c r="Y552" s="111" t="inlineStr">
        <is>
          <t>Impacto Potencial</t>
        </is>
      </c>
      <c r="Z552" s="111" t="inlineStr">
        <is>
          <t>PC</t>
        </is>
      </c>
      <c r="AA552" s="111" t="inlineStr">
        <is>
          <t>Nao</t>
        </is>
      </c>
      <c r="AB552" s="111" t="inlineStr">
        <is>
          <t>NAO_COMPUTADO</t>
        </is>
      </c>
      <c r="AC552" s="112" t="inlineStr">
        <is>
          <t>Estrutura Fase 1: sem impacto no VTA oficial</t>
        </is>
      </c>
    </row>
    <row r="553" ht="25.5" customHeight="1" s="289">
      <c r="A553" s="205" t="n"/>
      <c r="B553" s="207" t="n"/>
      <c r="C553" s="104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348" t="n"/>
      <c r="E553" s="349">
        <f>IF(C553="","",IFERROR(VLOOKUP(C553,parametros!$A$11:$E$15,5,0),""))</f>
        <v/>
      </c>
      <c r="F553" s="335">
        <f>IF(OR(D553="",E553=""),"",ROUND(D553*E553,2))</f>
        <v/>
      </c>
      <c r="G553" s="106" t="n"/>
      <c r="H553" s="350">
        <f>IF(G553="Sim",IF(OR(F553="",D553="",L553=""),"",IF(L553="Sim",ROUND(F553-D553,2),0)),0)</f>
        <v/>
      </c>
      <c r="I553" s="350">
        <f>IF(G553="Sim",0,IF(OR(F553="",L553=""),"",F553))</f>
        <v/>
      </c>
      <c r="J553" s="350">
        <f>IF(G553="Sim",0,IF(OR(F553="",D553="",L553=""),"",IF(L553="Sim",ROUND(F553-D553,2),0)))</f>
        <v/>
      </c>
      <c r="K553" s="97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inlineStr">
        <is>
          <t>Nao</t>
        </is>
      </c>
      <c r="W553" s="110" t="inlineStr">
        <is>
          <t>PC em analise</t>
        </is>
      </c>
      <c r="X553" s="110" t="inlineStr">
        <is>
          <t>Pedido de Compra</t>
        </is>
      </c>
      <c r="Y553" s="111" t="inlineStr">
        <is>
          <t>Impacto Potencial</t>
        </is>
      </c>
      <c r="Z553" s="111" t="inlineStr">
        <is>
          <t>PC</t>
        </is>
      </c>
      <c r="AA553" s="111" t="inlineStr">
        <is>
          <t>Nao</t>
        </is>
      </c>
      <c r="AB553" s="111" t="inlineStr">
        <is>
          <t>NAO_COMPUTADO</t>
        </is>
      </c>
      <c r="AC553" s="112" t="inlineStr">
        <is>
          <t>Estrutura Fase 1: sem impacto no VTA oficial</t>
        </is>
      </c>
    </row>
    <row r="554" ht="25.5" customHeight="1" s="289">
      <c r="A554" s="205" t="n"/>
      <c r="B554" s="207" t="n"/>
      <c r="C554" s="104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348" t="n"/>
      <c r="E554" s="349">
        <f>IF(C554="","",IFERROR(VLOOKUP(C554,parametros!$A$11:$E$15,5,0),""))</f>
        <v/>
      </c>
      <c r="F554" s="335">
        <f>IF(OR(D554="",E554=""),"",ROUND(D554*E554,2))</f>
        <v/>
      </c>
      <c r="G554" s="106" t="n"/>
      <c r="H554" s="350">
        <f>IF(G554="Sim",IF(OR(F554="",D554="",L554=""),"",IF(L554="Sim",ROUND(F554-D554,2),0)),0)</f>
        <v/>
      </c>
      <c r="I554" s="350">
        <f>IF(G554="Sim",0,IF(OR(F554="",L554=""),"",F554))</f>
        <v/>
      </c>
      <c r="J554" s="350">
        <f>IF(G554="Sim",0,IF(OR(F554="",D554="",L554=""),"",IF(L554="Sim",ROUND(F554-D554,2),0)))</f>
        <v/>
      </c>
      <c r="K554" s="97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inlineStr">
        <is>
          <t>Nao</t>
        </is>
      </c>
      <c r="W554" s="110" t="inlineStr">
        <is>
          <t>PC em analise</t>
        </is>
      </c>
      <c r="X554" s="110" t="inlineStr">
        <is>
          <t>Pedido de Compra</t>
        </is>
      </c>
      <c r="Y554" s="111" t="inlineStr">
        <is>
          <t>Impacto Potencial</t>
        </is>
      </c>
      <c r="Z554" s="111" t="inlineStr">
        <is>
          <t>PC</t>
        </is>
      </c>
      <c r="AA554" s="111" t="inlineStr">
        <is>
          <t>Nao</t>
        </is>
      </c>
      <c r="AB554" s="111" t="inlineStr">
        <is>
          <t>NAO_COMPUTADO</t>
        </is>
      </c>
      <c r="AC554" s="112" t="inlineStr">
        <is>
          <t>Estrutura Fase 1: sem impacto no VTA oficial</t>
        </is>
      </c>
    </row>
    <row r="555" ht="25.5" customHeight="1" s="289">
      <c r="A555" s="205" t="n"/>
      <c r="B555" s="207" t="n"/>
      <c r="C555" s="104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348" t="n"/>
      <c r="E555" s="349">
        <f>IF(C555="","",IFERROR(VLOOKUP(C555,parametros!$A$11:$E$15,5,0),""))</f>
        <v/>
      </c>
      <c r="F555" s="335">
        <f>IF(OR(D555="",E555=""),"",ROUND(D555*E555,2))</f>
        <v/>
      </c>
      <c r="G555" s="106" t="n"/>
      <c r="H555" s="350">
        <f>IF(G555="Sim",IF(OR(F555="",D555="",L555=""),"",IF(L555="Sim",ROUND(F555-D555,2),0)),0)</f>
        <v/>
      </c>
      <c r="I555" s="350">
        <f>IF(G555="Sim",0,IF(OR(F555="",L555=""),"",F555))</f>
        <v/>
      </c>
      <c r="J555" s="350">
        <f>IF(G555="Sim",0,IF(OR(F555="",D555="",L555=""),"",IF(L555="Sim",ROUND(F555-D555,2),0)))</f>
        <v/>
      </c>
      <c r="K555" s="97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inlineStr">
        <is>
          <t>Nao</t>
        </is>
      </c>
      <c r="W555" s="110" t="inlineStr">
        <is>
          <t>PC em analise</t>
        </is>
      </c>
      <c r="X555" s="110" t="inlineStr">
        <is>
          <t>Pedido de Compra</t>
        </is>
      </c>
      <c r="Y555" s="111" t="inlineStr">
        <is>
          <t>Impacto Potencial</t>
        </is>
      </c>
      <c r="Z555" s="111" t="inlineStr">
        <is>
          <t>PC</t>
        </is>
      </c>
      <c r="AA555" s="111" t="inlineStr">
        <is>
          <t>Nao</t>
        </is>
      </c>
      <c r="AB555" s="111" t="inlineStr">
        <is>
          <t>NAO_COMPUTADO</t>
        </is>
      </c>
      <c r="AC555" s="112" t="inlineStr">
        <is>
          <t>Estrutura Fase 1: sem impacto no VTA oficial</t>
        </is>
      </c>
    </row>
    <row r="556" ht="25.5" customHeight="1" s="289">
      <c r="A556" s="205" t="n"/>
      <c r="B556" s="207" t="n"/>
      <c r="C556" s="104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348" t="n"/>
      <c r="E556" s="349">
        <f>IF(C556="","",IFERROR(VLOOKUP(C556,parametros!$A$11:$E$15,5,0),""))</f>
        <v/>
      </c>
      <c r="F556" s="335">
        <f>IF(OR(D556="",E556=""),"",ROUND(D556*E556,2))</f>
        <v/>
      </c>
      <c r="G556" s="106" t="n"/>
      <c r="H556" s="350">
        <f>IF(G556="Sim",IF(OR(F556="",D556="",L556=""),"",IF(L556="Sim",ROUND(F556-D556,2),0)),0)</f>
        <v/>
      </c>
      <c r="I556" s="350">
        <f>IF(G556="Sim",0,IF(OR(F556="",L556=""),"",F556))</f>
        <v/>
      </c>
      <c r="J556" s="350">
        <f>IF(G556="Sim",0,IF(OR(F556="",D556="",L556=""),"",IF(L556="Sim",ROUND(F556-D556,2),0)))</f>
        <v/>
      </c>
      <c r="K556" s="97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inlineStr">
        <is>
          <t>Nao</t>
        </is>
      </c>
      <c r="W556" s="110" t="inlineStr">
        <is>
          <t>PC em analise</t>
        </is>
      </c>
      <c r="X556" s="110" t="inlineStr">
        <is>
          <t>Pedido de Compra</t>
        </is>
      </c>
      <c r="Y556" s="111" t="inlineStr">
        <is>
          <t>Impacto Potencial</t>
        </is>
      </c>
      <c r="Z556" s="111" t="inlineStr">
        <is>
          <t>PC</t>
        </is>
      </c>
      <c r="AA556" s="111" t="inlineStr">
        <is>
          <t>Nao</t>
        </is>
      </c>
      <c r="AB556" s="111" t="inlineStr">
        <is>
          <t>NAO_COMPUTADO</t>
        </is>
      </c>
      <c r="AC556" s="112" t="inlineStr">
        <is>
          <t>Estrutura Fase 1: sem impacto no VTA oficial</t>
        </is>
      </c>
    </row>
    <row r="557" ht="25.5" customHeight="1" s="289">
      <c r="A557" s="205" t="n"/>
      <c r="B557" s="207" t="n"/>
      <c r="C557" s="104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348" t="n"/>
      <c r="E557" s="349">
        <f>IF(C557="","",IFERROR(VLOOKUP(C557,parametros!$A$11:$E$15,5,0),""))</f>
        <v/>
      </c>
      <c r="F557" s="335">
        <f>IF(OR(D557="",E557=""),"",ROUND(D557*E557,2))</f>
        <v/>
      </c>
      <c r="G557" s="106" t="n"/>
      <c r="H557" s="350">
        <f>IF(G557="Sim",IF(OR(F557="",D557="",L557=""),"",IF(L557="Sim",ROUND(F557-D557,2),0)),0)</f>
        <v/>
      </c>
      <c r="I557" s="350">
        <f>IF(G557="Sim",0,IF(OR(F557="",L557=""),"",F557))</f>
        <v/>
      </c>
      <c r="J557" s="350">
        <f>IF(G557="Sim",0,IF(OR(F557="",D557="",L557=""),"",IF(L557="Sim",ROUND(F557-D557,2),0)))</f>
        <v/>
      </c>
      <c r="K557" s="97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inlineStr">
        <is>
          <t>Nao</t>
        </is>
      </c>
      <c r="W557" s="110" t="inlineStr">
        <is>
          <t>PC em analise</t>
        </is>
      </c>
      <c r="X557" s="110" t="inlineStr">
        <is>
          <t>Pedido de Compra</t>
        </is>
      </c>
      <c r="Y557" s="111" t="inlineStr">
        <is>
          <t>Impacto Potencial</t>
        </is>
      </c>
      <c r="Z557" s="111" t="inlineStr">
        <is>
          <t>PC</t>
        </is>
      </c>
      <c r="AA557" s="111" t="inlineStr">
        <is>
          <t>Nao</t>
        </is>
      </c>
      <c r="AB557" s="111" t="inlineStr">
        <is>
          <t>NAO_COMPUTADO</t>
        </is>
      </c>
      <c r="AC557" s="112" t="inlineStr">
        <is>
          <t>Estrutura Fase 1: sem impacto no VTA oficial</t>
        </is>
      </c>
    </row>
    <row r="558" ht="25.5" customHeight="1" s="289">
      <c r="A558" s="205" t="n"/>
      <c r="B558" s="207" t="n"/>
      <c r="C558" s="104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348" t="n"/>
      <c r="E558" s="349">
        <f>IF(C558="","",IFERROR(VLOOKUP(C558,parametros!$A$11:$E$15,5,0),""))</f>
        <v/>
      </c>
      <c r="F558" s="335">
        <f>IF(OR(D558="",E558=""),"",ROUND(D558*E558,2))</f>
        <v/>
      </c>
      <c r="G558" s="106" t="n"/>
      <c r="H558" s="350">
        <f>IF(G558="Sim",IF(OR(F558="",D558="",L558=""),"",IF(L558="Sim",ROUND(F558-D558,2),0)),0)</f>
        <v/>
      </c>
      <c r="I558" s="350">
        <f>IF(G558="Sim",0,IF(OR(F558="",L558=""),"",F558))</f>
        <v/>
      </c>
      <c r="J558" s="350">
        <f>IF(G558="Sim",0,IF(OR(F558="",D558="",L558=""),"",IF(L558="Sim",ROUND(F558-D558,2),0)))</f>
        <v/>
      </c>
      <c r="K558" s="97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inlineStr">
        <is>
          <t>Nao</t>
        </is>
      </c>
      <c r="W558" s="110" t="inlineStr">
        <is>
          <t>PC em analise</t>
        </is>
      </c>
      <c r="X558" s="110" t="inlineStr">
        <is>
          <t>Pedido de Compra</t>
        </is>
      </c>
      <c r="Y558" s="111" t="inlineStr">
        <is>
          <t>Impacto Potencial</t>
        </is>
      </c>
      <c r="Z558" s="111" t="inlineStr">
        <is>
          <t>PC</t>
        </is>
      </c>
      <c r="AA558" s="111" t="inlineStr">
        <is>
          <t>Nao</t>
        </is>
      </c>
      <c r="AB558" s="111" t="inlineStr">
        <is>
          <t>NAO_COMPUTADO</t>
        </is>
      </c>
      <c r="AC558" s="112" t="inlineStr">
        <is>
          <t>Estrutura Fase 1: sem impacto no VTA oficial</t>
        </is>
      </c>
    </row>
    <row r="559" ht="25.5" customHeight="1" s="289">
      <c r="A559" s="205" t="n"/>
      <c r="B559" s="207" t="n"/>
      <c r="C559" s="104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348" t="n"/>
      <c r="E559" s="349">
        <f>IF(C559="","",IFERROR(VLOOKUP(C559,parametros!$A$11:$E$15,5,0),""))</f>
        <v/>
      </c>
      <c r="F559" s="335">
        <f>IF(OR(D559="",E559=""),"",ROUND(D559*E559,2))</f>
        <v/>
      </c>
      <c r="G559" s="106" t="n"/>
      <c r="H559" s="350">
        <f>IF(G559="Sim",IF(OR(F559="",D559="",L559=""),"",IF(L559="Sim",ROUND(F559-D559,2),0)),0)</f>
        <v/>
      </c>
      <c r="I559" s="350">
        <f>IF(G559="Sim",0,IF(OR(F559="",L559=""),"",F559))</f>
        <v/>
      </c>
      <c r="J559" s="350">
        <f>IF(G559="Sim",0,IF(OR(F559="",D559="",L559=""),"",IF(L559="Sim",ROUND(F559-D559,2),0)))</f>
        <v/>
      </c>
      <c r="K559" s="97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inlineStr">
        <is>
          <t>Nao</t>
        </is>
      </c>
      <c r="W559" s="110" t="inlineStr">
        <is>
          <t>PC em analise</t>
        </is>
      </c>
      <c r="X559" s="110" t="inlineStr">
        <is>
          <t>Pedido de Compra</t>
        </is>
      </c>
      <c r="Y559" s="111" t="inlineStr">
        <is>
          <t>Impacto Potencial</t>
        </is>
      </c>
      <c r="Z559" s="111" t="inlineStr">
        <is>
          <t>PC</t>
        </is>
      </c>
      <c r="AA559" s="111" t="inlineStr">
        <is>
          <t>Nao</t>
        </is>
      </c>
      <c r="AB559" s="111" t="inlineStr">
        <is>
          <t>NAO_COMPUTADO</t>
        </is>
      </c>
      <c r="AC559" s="112" t="inlineStr">
        <is>
          <t>Estrutura Fase 1: sem impacto no VTA oficial</t>
        </is>
      </c>
    </row>
    <row r="560" ht="25.5" customHeight="1" s="289">
      <c r="A560" s="205" t="n"/>
      <c r="B560" s="207" t="n"/>
      <c r="C560" s="104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348" t="n"/>
      <c r="E560" s="349">
        <f>IF(C560="","",IFERROR(VLOOKUP(C560,parametros!$A$11:$E$15,5,0),""))</f>
        <v/>
      </c>
      <c r="F560" s="335">
        <f>IF(OR(D560="",E560=""),"",ROUND(D560*E560,2))</f>
        <v/>
      </c>
      <c r="G560" s="106" t="n"/>
      <c r="H560" s="350">
        <f>IF(G560="Sim",IF(OR(F560="",D560="",L560=""),"",IF(L560="Sim",ROUND(F560-D560,2),0)),0)</f>
        <v/>
      </c>
      <c r="I560" s="350">
        <f>IF(G560="Sim",0,IF(OR(F560="",L560=""),"",F560))</f>
        <v/>
      </c>
      <c r="J560" s="350">
        <f>IF(G560="Sim",0,IF(OR(F560="",D560="",L560=""),"",IF(L560="Sim",ROUND(F560-D560,2),0)))</f>
        <v/>
      </c>
      <c r="K560" s="97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inlineStr">
        <is>
          <t>Nao</t>
        </is>
      </c>
      <c r="W560" s="110" t="inlineStr">
        <is>
          <t>PC em analise</t>
        </is>
      </c>
      <c r="X560" s="110" t="inlineStr">
        <is>
          <t>Pedido de Compra</t>
        </is>
      </c>
      <c r="Y560" s="111" t="inlineStr">
        <is>
          <t>Impacto Potencial</t>
        </is>
      </c>
      <c r="Z560" s="111" t="inlineStr">
        <is>
          <t>PC</t>
        </is>
      </c>
      <c r="AA560" s="111" t="inlineStr">
        <is>
          <t>Nao</t>
        </is>
      </c>
      <c r="AB560" s="111" t="inlineStr">
        <is>
          <t>NAO_COMPUTADO</t>
        </is>
      </c>
      <c r="AC560" s="112" t="inlineStr">
        <is>
          <t>Estrutura Fase 1: sem impacto no VTA oficial</t>
        </is>
      </c>
    </row>
    <row r="561" ht="25.5" customHeight="1" s="289">
      <c r="A561" s="205" t="n"/>
      <c r="B561" s="207" t="n"/>
      <c r="C561" s="104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348" t="n"/>
      <c r="E561" s="349">
        <f>IF(C561="","",IFERROR(VLOOKUP(C561,parametros!$A$11:$E$15,5,0),""))</f>
        <v/>
      </c>
      <c r="F561" s="335">
        <f>IF(OR(D561="",E561=""),"",ROUND(D561*E561,2))</f>
        <v/>
      </c>
      <c r="G561" s="106" t="n"/>
      <c r="H561" s="350">
        <f>IF(G561="Sim",IF(OR(F561="",D561="",L561=""),"",IF(L561="Sim",ROUND(F561-D561,2),0)),0)</f>
        <v/>
      </c>
      <c r="I561" s="350">
        <f>IF(G561="Sim",0,IF(OR(F561="",L561=""),"",F561))</f>
        <v/>
      </c>
      <c r="J561" s="350">
        <f>IF(G561="Sim",0,IF(OR(F561="",D561="",L561=""),"",IF(L561="Sim",ROUND(F561-D561,2),0)))</f>
        <v/>
      </c>
      <c r="K561" s="97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inlineStr">
        <is>
          <t>Nao</t>
        </is>
      </c>
      <c r="W561" s="110" t="inlineStr">
        <is>
          <t>PC em analise</t>
        </is>
      </c>
      <c r="X561" s="110" t="inlineStr">
        <is>
          <t>Pedido de Compra</t>
        </is>
      </c>
      <c r="Y561" s="111" t="inlineStr">
        <is>
          <t>Impacto Potencial</t>
        </is>
      </c>
      <c r="Z561" s="111" t="inlineStr">
        <is>
          <t>PC</t>
        </is>
      </c>
      <c r="AA561" s="111" t="inlineStr">
        <is>
          <t>Nao</t>
        </is>
      </c>
      <c r="AB561" s="111" t="inlineStr">
        <is>
          <t>NAO_COMPUTADO</t>
        </is>
      </c>
      <c r="AC561" s="112" t="inlineStr">
        <is>
          <t>Estrutura Fase 1: sem impacto no VTA oficial</t>
        </is>
      </c>
    </row>
    <row r="562" ht="25.5" customHeight="1" s="289">
      <c r="A562" s="205" t="n"/>
      <c r="B562" s="207" t="n"/>
      <c r="C562" s="104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348" t="n"/>
      <c r="E562" s="349">
        <f>IF(C562="","",IFERROR(VLOOKUP(C562,parametros!$A$11:$E$15,5,0),""))</f>
        <v/>
      </c>
      <c r="F562" s="335">
        <f>IF(OR(D562="",E562=""),"",ROUND(D562*E562,2))</f>
        <v/>
      </c>
      <c r="G562" s="106" t="n"/>
      <c r="H562" s="350">
        <f>IF(G562="Sim",IF(OR(F562="",D562="",L562=""),"",IF(L562="Sim",ROUND(F562-D562,2),0)),0)</f>
        <v/>
      </c>
      <c r="I562" s="350">
        <f>IF(G562="Sim",0,IF(OR(F562="",L562=""),"",F562))</f>
        <v/>
      </c>
      <c r="J562" s="350">
        <f>IF(G562="Sim",0,IF(OR(F562="",D562="",L562=""),"",IF(L562="Sim",ROUND(F562-D562,2),0)))</f>
        <v/>
      </c>
      <c r="K562" s="97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inlineStr">
        <is>
          <t>Nao</t>
        </is>
      </c>
      <c r="W562" s="110" t="inlineStr">
        <is>
          <t>PC em analise</t>
        </is>
      </c>
      <c r="X562" s="110" t="inlineStr">
        <is>
          <t>Pedido de Compra</t>
        </is>
      </c>
      <c r="Y562" s="111" t="inlineStr">
        <is>
          <t>Impacto Potencial</t>
        </is>
      </c>
      <c r="Z562" s="111" t="inlineStr">
        <is>
          <t>PC</t>
        </is>
      </c>
      <c r="AA562" s="111" t="inlineStr">
        <is>
          <t>Nao</t>
        </is>
      </c>
      <c r="AB562" s="111" t="inlineStr">
        <is>
          <t>NAO_COMPUTADO</t>
        </is>
      </c>
      <c r="AC562" s="112" t="inlineStr">
        <is>
          <t>Estrutura Fase 1: sem impacto no VTA oficial</t>
        </is>
      </c>
    </row>
    <row r="563" ht="25.5" customHeight="1" s="289">
      <c r="A563" s="205" t="n"/>
      <c r="B563" s="207" t="n"/>
      <c r="C563" s="104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348" t="n"/>
      <c r="E563" s="349">
        <f>IF(C563="","",IFERROR(VLOOKUP(C563,parametros!$A$11:$E$15,5,0),""))</f>
        <v/>
      </c>
      <c r="F563" s="335">
        <f>IF(OR(D563="",E563=""),"",ROUND(D563*E563,2))</f>
        <v/>
      </c>
      <c r="G563" s="106" t="n"/>
      <c r="H563" s="350">
        <f>IF(G563="Sim",IF(OR(F563="",D563="",L563=""),"",IF(L563="Sim",ROUND(F563-D563,2),0)),0)</f>
        <v/>
      </c>
      <c r="I563" s="350">
        <f>IF(G563="Sim",0,IF(OR(F563="",L563=""),"",F563))</f>
        <v/>
      </c>
      <c r="J563" s="350">
        <f>IF(G563="Sim",0,IF(OR(F563="",D563="",L563=""),"",IF(L563="Sim",ROUND(F563-D563,2),0)))</f>
        <v/>
      </c>
      <c r="K563" s="97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inlineStr">
        <is>
          <t>Nao</t>
        </is>
      </c>
      <c r="W563" s="110" t="inlineStr">
        <is>
          <t>PC em analise</t>
        </is>
      </c>
      <c r="X563" s="110" t="inlineStr">
        <is>
          <t>Pedido de Compra</t>
        </is>
      </c>
      <c r="Y563" s="111" t="inlineStr">
        <is>
          <t>Impacto Potencial</t>
        </is>
      </c>
      <c r="Z563" s="111" t="inlineStr">
        <is>
          <t>PC</t>
        </is>
      </c>
      <c r="AA563" s="111" t="inlineStr">
        <is>
          <t>Nao</t>
        </is>
      </c>
      <c r="AB563" s="111" t="inlineStr">
        <is>
          <t>NAO_COMPUTADO</t>
        </is>
      </c>
      <c r="AC563" s="112" t="inlineStr">
        <is>
          <t>Estrutura Fase 1: sem impacto no VTA oficial</t>
        </is>
      </c>
    </row>
    <row r="564" ht="25.5" customHeight="1" s="289">
      <c r="A564" s="205" t="n"/>
      <c r="B564" s="207" t="n"/>
      <c r="C564" s="104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348" t="n"/>
      <c r="E564" s="349">
        <f>IF(C564="","",IFERROR(VLOOKUP(C564,parametros!$A$11:$E$15,5,0),""))</f>
        <v/>
      </c>
      <c r="F564" s="335">
        <f>IF(OR(D564="",E564=""),"",ROUND(D564*E564,2))</f>
        <v/>
      </c>
      <c r="G564" s="106" t="n"/>
      <c r="H564" s="350">
        <f>IF(G564="Sim",IF(OR(F564="",D564="",L564=""),"",IF(L564="Sim",ROUND(F564-D564,2),0)),0)</f>
        <v/>
      </c>
      <c r="I564" s="350">
        <f>IF(G564="Sim",0,IF(OR(F564="",L564=""),"",F564))</f>
        <v/>
      </c>
      <c r="J564" s="350">
        <f>IF(G564="Sim",0,IF(OR(F564="",D564="",L564=""),"",IF(L564="Sim",ROUND(F564-D564,2),0)))</f>
        <v/>
      </c>
      <c r="K564" s="97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inlineStr">
        <is>
          <t>Nao</t>
        </is>
      </c>
      <c r="W564" s="110" t="inlineStr">
        <is>
          <t>PC em analise</t>
        </is>
      </c>
      <c r="X564" s="110" t="inlineStr">
        <is>
          <t>Pedido de Compra</t>
        </is>
      </c>
      <c r="Y564" s="111" t="inlineStr">
        <is>
          <t>Impacto Potencial</t>
        </is>
      </c>
      <c r="Z564" s="111" t="inlineStr">
        <is>
          <t>PC</t>
        </is>
      </c>
      <c r="AA564" s="111" t="inlineStr">
        <is>
          <t>Nao</t>
        </is>
      </c>
      <c r="AB564" s="111" t="inlineStr">
        <is>
          <t>NAO_COMPUTADO</t>
        </is>
      </c>
      <c r="AC564" s="112" t="inlineStr">
        <is>
          <t>Estrutura Fase 1: sem impacto no VTA oficial</t>
        </is>
      </c>
    </row>
    <row r="565" ht="25.5" customHeight="1" s="289">
      <c r="A565" s="205" t="n"/>
      <c r="B565" s="207" t="n"/>
      <c r="C565" s="104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348" t="n"/>
      <c r="E565" s="349">
        <f>IF(C565="","",IFERROR(VLOOKUP(C565,parametros!$A$11:$E$15,5,0),""))</f>
        <v/>
      </c>
      <c r="F565" s="335">
        <f>IF(OR(D565="",E565=""),"",ROUND(D565*E565,2))</f>
        <v/>
      </c>
      <c r="G565" s="106" t="n"/>
      <c r="H565" s="350">
        <f>IF(G565="Sim",IF(OR(F565="",D565="",L565=""),"",IF(L565="Sim",ROUND(F565-D565,2),0)),0)</f>
        <v/>
      </c>
      <c r="I565" s="350">
        <f>IF(G565="Sim",0,IF(OR(F565="",L565=""),"",F565))</f>
        <v/>
      </c>
      <c r="J565" s="350">
        <f>IF(G565="Sim",0,IF(OR(F565="",D565="",L565=""),"",IF(L565="Sim",ROUND(F565-D565,2),0)))</f>
        <v/>
      </c>
      <c r="K565" s="97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inlineStr">
        <is>
          <t>Nao</t>
        </is>
      </c>
      <c r="W565" s="110" t="inlineStr">
        <is>
          <t>PC em analise</t>
        </is>
      </c>
      <c r="X565" s="110" t="inlineStr">
        <is>
          <t>Pedido de Compra</t>
        </is>
      </c>
      <c r="Y565" s="111" t="inlineStr">
        <is>
          <t>Impacto Potencial</t>
        </is>
      </c>
      <c r="Z565" s="111" t="inlineStr">
        <is>
          <t>PC</t>
        </is>
      </c>
      <c r="AA565" s="111" t="inlineStr">
        <is>
          <t>Nao</t>
        </is>
      </c>
      <c r="AB565" s="111" t="inlineStr">
        <is>
          <t>NAO_COMPUTADO</t>
        </is>
      </c>
      <c r="AC565" s="112" t="inlineStr">
        <is>
          <t>Estrutura Fase 1: sem impacto no VTA oficial</t>
        </is>
      </c>
    </row>
    <row r="566" ht="25.5" customHeight="1" s="289">
      <c r="A566" s="205" t="n"/>
      <c r="B566" s="207" t="n"/>
      <c r="C566" s="104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348" t="n"/>
      <c r="E566" s="349">
        <f>IF(C566="","",IFERROR(VLOOKUP(C566,parametros!$A$11:$E$15,5,0),""))</f>
        <v/>
      </c>
      <c r="F566" s="335">
        <f>IF(OR(D566="",E566=""),"",ROUND(D566*E566,2))</f>
        <v/>
      </c>
      <c r="G566" s="106" t="n"/>
      <c r="H566" s="350">
        <f>IF(G566="Sim",IF(OR(F566="",D566="",L566=""),"",IF(L566="Sim",ROUND(F566-D566,2),0)),0)</f>
        <v/>
      </c>
      <c r="I566" s="350">
        <f>IF(G566="Sim",0,IF(OR(F566="",L566=""),"",F566))</f>
        <v/>
      </c>
      <c r="J566" s="350">
        <f>IF(G566="Sim",0,IF(OR(F566="",D566="",L566=""),"",IF(L566="Sim",ROUND(F566-D566,2),0)))</f>
        <v/>
      </c>
      <c r="K566" s="97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inlineStr">
        <is>
          <t>Nao</t>
        </is>
      </c>
      <c r="W566" s="110" t="inlineStr">
        <is>
          <t>PC em analise</t>
        </is>
      </c>
      <c r="X566" s="110" t="inlineStr">
        <is>
          <t>Pedido de Compra</t>
        </is>
      </c>
      <c r="Y566" s="111" t="inlineStr">
        <is>
          <t>Impacto Potencial</t>
        </is>
      </c>
      <c r="Z566" s="111" t="inlineStr">
        <is>
          <t>PC</t>
        </is>
      </c>
      <c r="AA566" s="111" t="inlineStr">
        <is>
          <t>Nao</t>
        </is>
      </c>
      <c r="AB566" s="111" t="inlineStr">
        <is>
          <t>NAO_COMPUTADO</t>
        </is>
      </c>
      <c r="AC566" s="112" t="inlineStr">
        <is>
          <t>Estrutura Fase 1: sem impacto no VTA oficial</t>
        </is>
      </c>
    </row>
    <row r="567" ht="25.5" customHeight="1" s="289">
      <c r="A567" s="205" t="n"/>
      <c r="B567" s="207" t="n"/>
      <c r="C567" s="104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348" t="n"/>
      <c r="E567" s="349">
        <f>IF(C567="","",IFERROR(VLOOKUP(C567,parametros!$A$11:$E$15,5,0),""))</f>
        <v/>
      </c>
      <c r="F567" s="335">
        <f>IF(OR(D567="",E567=""),"",ROUND(D567*E567,2))</f>
        <v/>
      </c>
      <c r="G567" s="106" t="n"/>
      <c r="H567" s="350">
        <f>IF(G567="Sim",IF(OR(F567="",D567="",L567=""),"",IF(L567="Sim",ROUND(F567-D567,2),0)),0)</f>
        <v/>
      </c>
      <c r="I567" s="350">
        <f>IF(G567="Sim",0,IF(OR(F567="",L567=""),"",F567))</f>
        <v/>
      </c>
      <c r="J567" s="350">
        <f>IF(G567="Sim",0,IF(OR(F567="",D567="",L567=""),"",IF(L567="Sim",ROUND(F567-D567,2),0)))</f>
        <v/>
      </c>
      <c r="K567" s="97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inlineStr">
        <is>
          <t>Nao</t>
        </is>
      </c>
      <c r="W567" s="110" t="inlineStr">
        <is>
          <t>PC em analise</t>
        </is>
      </c>
      <c r="X567" s="110" t="inlineStr">
        <is>
          <t>Pedido de Compra</t>
        </is>
      </c>
      <c r="Y567" s="111" t="inlineStr">
        <is>
          <t>Impacto Potencial</t>
        </is>
      </c>
      <c r="Z567" s="111" t="inlineStr">
        <is>
          <t>PC</t>
        </is>
      </c>
      <c r="AA567" s="111" t="inlineStr">
        <is>
          <t>Nao</t>
        </is>
      </c>
      <c r="AB567" s="111" t="inlineStr">
        <is>
          <t>NAO_COMPUTADO</t>
        </is>
      </c>
      <c r="AC567" s="112" t="inlineStr">
        <is>
          <t>Estrutura Fase 1: sem impacto no VTA oficial</t>
        </is>
      </c>
    </row>
    <row r="568" ht="25.5" customHeight="1" s="289">
      <c r="A568" s="205" t="n"/>
      <c r="B568" s="207" t="n"/>
      <c r="C568" s="104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348" t="n"/>
      <c r="E568" s="349">
        <f>IF(C568="","",IFERROR(VLOOKUP(C568,parametros!$A$11:$E$15,5,0),""))</f>
        <v/>
      </c>
      <c r="F568" s="335">
        <f>IF(OR(D568="",E568=""),"",ROUND(D568*E568,2))</f>
        <v/>
      </c>
      <c r="G568" s="106" t="n"/>
      <c r="H568" s="350">
        <f>IF(G568="Sim",IF(OR(F568="",D568="",L568=""),"",IF(L568="Sim",ROUND(F568-D568,2),0)),0)</f>
        <v/>
      </c>
      <c r="I568" s="350">
        <f>IF(G568="Sim",0,IF(OR(F568="",L568=""),"",F568))</f>
        <v/>
      </c>
      <c r="J568" s="350">
        <f>IF(G568="Sim",0,IF(OR(F568="",D568="",L568=""),"",IF(L568="Sim",ROUND(F568-D568,2),0)))</f>
        <v/>
      </c>
      <c r="K568" s="97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inlineStr">
        <is>
          <t>Nao</t>
        </is>
      </c>
      <c r="W568" s="110" t="inlineStr">
        <is>
          <t>PC em analise</t>
        </is>
      </c>
      <c r="X568" s="110" t="inlineStr">
        <is>
          <t>Pedido de Compra</t>
        </is>
      </c>
      <c r="Y568" s="111" t="inlineStr">
        <is>
          <t>Impacto Potencial</t>
        </is>
      </c>
      <c r="Z568" s="111" t="inlineStr">
        <is>
          <t>PC</t>
        </is>
      </c>
      <c r="AA568" s="111" t="inlineStr">
        <is>
          <t>Nao</t>
        </is>
      </c>
      <c r="AB568" s="111" t="inlineStr">
        <is>
          <t>NAO_COMPUTADO</t>
        </is>
      </c>
      <c r="AC568" s="112" t="inlineStr">
        <is>
          <t>Estrutura Fase 1: sem impacto no VTA oficial</t>
        </is>
      </c>
    </row>
    <row r="569" ht="25.5" customHeight="1" s="289">
      <c r="A569" s="205" t="n"/>
      <c r="B569" s="207" t="n"/>
      <c r="C569" s="104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348" t="n"/>
      <c r="E569" s="349">
        <f>IF(C569="","",IFERROR(VLOOKUP(C569,parametros!$A$11:$E$15,5,0),""))</f>
        <v/>
      </c>
      <c r="F569" s="335">
        <f>IF(OR(D569="",E569=""),"",ROUND(D569*E569,2))</f>
        <v/>
      </c>
      <c r="G569" s="106" t="n"/>
      <c r="H569" s="350">
        <f>IF(G569="Sim",IF(OR(F569="",D569="",L569=""),"",IF(L569="Sim",ROUND(F569-D569,2),0)),0)</f>
        <v/>
      </c>
      <c r="I569" s="350">
        <f>IF(G569="Sim",0,IF(OR(F569="",L569=""),"",F569))</f>
        <v/>
      </c>
      <c r="J569" s="350">
        <f>IF(G569="Sim",0,IF(OR(F569="",D569="",L569=""),"",IF(L569="Sim",ROUND(F569-D569,2),0)))</f>
        <v/>
      </c>
      <c r="K569" s="97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inlineStr">
        <is>
          <t>Nao</t>
        </is>
      </c>
      <c r="W569" s="110" t="inlineStr">
        <is>
          <t>PC em analise</t>
        </is>
      </c>
      <c r="X569" s="110" t="inlineStr">
        <is>
          <t>Pedido de Compra</t>
        </is>
      </c>
      <c r="Y569" s="111" t="inlineStr">
        <is>
          <t>Impacto Potencial</t>
        </is>
      </c>
      <c r="Z569" s="111" t="inlineStr">
        <is>
          <t>PC</t>
        </is>
      </c>
      <c r="AA569" s="111" t="inlineStr">
        <is>
          <t>Nao</t>
        </is>
      </c>
      <c r="AB569" s="111" t="inlineStr">
        <is>
          <t>NAO_COMPUTADO</t>
        </is>
      </c>
      <c r="AC569" s="112" t="inlineStr">
        <is>
          <t>Estrutura Fase 1: sem impacto no VTA oficial</t>
        </is>
      </c>
    </row>
    <row r="570" ht="25.5" customHeight="1" s="289">
      <c r="A570" s="205" t="n"/>
      <c r="B570" s="207" t="n"/>
      <c r="C570" s="104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348" t="n"/>
      <c r="E570" s="349">
        <f>IF(C570="","",IFERROR(VLOOKUP(C570,parametros!$A$11:$E$15,5,0),""))</f>
        <v/>
      </c>
      <c r="F570" s="335">
        <f>IF(OR(D570="",E570=""),"",ROUND(D570*E570,2))</f>
        <v/>
      </c>
      <c r="G570" s="106" t="n"/>
      <c r="H570" s="350">
        <f>IF(G570="Sim",IF(OR(F570="",D570="",L570=""),"",IF(L570="Sim",ROUND(F570-D570,2),0)),0)</f>
        <v/>
      </c>
      <c r="I570" s="350">
        <f>IF(G570="Sim",0,IF(OR(F570="",L570=""),"",F570))</f>
        <v/>
      </c>
      <c r="J570" s="350">
        <f>IF(G570="Sim",0,IF(OR(F570="",D570="",L570=""),"",IF(L570="Sim",ROUND(F570-D570,2),0)))</f>
        <v/>
      </c>
      <c r="K570" s="97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inlineStr">
        <is>
          <t>Nao</t>
        </is>
      </c>
      <c r="W570" s="110" t="inlineStr">
        <is>
          <t>PC em analise</t>
        </is>
      </c>
      <c r="X570" s="110" t="inlineStr">
        <is>
          <t>Pedido de Compra</t>
        </is>
      </c>
      <c r="Y570" s="111" t="inlineStr">
        <is>
          <t>Impacto Potencial</t>
        </is>
      </c>
      <c r="Z570" s="111" t="inlineStr">
        <is>
          <t>PC</t>
        </is>
      </c>
      <c r="AA570" s="111" t="inlineStr">
        <is>
          <t>Nao</t>
        </is>
      </c>
      <c r="AB570" s="111" t="inlineStr">
        <is>
          <t>NAO_COMPUTADO</t>
        </is>
      </c>
      <c r="AC570" s="112" t="inlineStr">
        <is>
          <t>Estrutura Fase 1: sem impacto no VTA oficial</t>
        </is>
      </c>
    </row>
    <row r="571" ht="25.5" customHeight="1" s="289">
      <c r="A571" s="205" t="n"/>
      <c r="B571" s="207" t="n"/>
      <c r="C571" s="104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348" t="n"/>
      <c r="E571" s="349">
        <f>IF(C571="","",IFERROR(VLOOKUP(C571,parametros!$A$11:$E$15,5,0),""))</f>
        <v/>
      </c>
      <c r="F571" s="335">
        <f>IF(OR(D571="",E571=""),"",ROUND(D571*E571,2))</f>
        <v/>
      </c>
      <c r="G571" s="106" t="n"/>
      <c r="H571" s="350">
        <f>IF(G571="Sim",IF(OR(F571="",D571="",L571=""),"",IF(L571="Sim",ROUND(F571-D571,2),0)),0)</f>
        <v/>
      </c>
      <c r="I571" s="350">
        <f>IF(G571="Sim",0,IF(OR(F571="",L571=""),"",F571))</f>
        <v/>
      </c>
      <c r="J571" s="350">
        <f>IF(G571="Sim",0,IF(OR(F571="",D571="",L571=""),"",IF(L571="Sim",ROUND(F571-D571,2),0)))</f>
        <v/>
      </c>
      <c r="K571" s="97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inlineStr">
        <is>
          <t>Nao</t>
        </is>
      </c>
      <c r="W571" s="110" t="inlineStr">
        <is>
          <t>PC em analise</t>
        </is>
      </c>
      <c r="X571" s="110" t="inlineStr">
        <is>
          <t>Pedido de Compra</t>
        </is>
      </c>
      <c r="Y571" s="111" t="inlineStr">
        <is>
          <t>Impacto Potencial</t>
        </is>
      </c>
      <c r="Z571" s="111" t="inlineStr">
        <is>
          <t>PC</t>
        </is>
      </c>
      <c r="AA571" s="111" t="inlineStr">
        <is>
          <t>Nao</t>
        </is>
      </c>
      <c r="AB571" s="111" t="inlineStr">
        <is>
          <t>NAO_COMPUTADO</t>
        </is>
      </c>
      <c r="AC571" s="112" t="inlineStr">
        <is>
          <t>Estrutura Fase 1: sem impacto no VTA oficial</t>
        </is>
      </c>
    </row>
    <row r="572" ht="25.5" customHeight="1" s="289">
      <c r="A572" s="205" t="n"/>
      <c r="B572" s="207" t="n"/>
      <c r="C572" s="104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348" t="n"/>
      <c r="E572" s="349">
        <f>IF(C572="","",IFERROR(VLOOKUP(C572,parametros!$A$11:$E$15,5,0),""))</f>
        <v/>
      </c>
      <c r="F572" s="335">
        <f>IF(OR(D572="",E572=""),"",ROUND(D572*E572,2))</f>
        <v/>
      </c>
      <c r="G572" s="106" t="n"/>
      <c r="H572" s="350">
        <f>IF(G572="Sim",IF(OR(F572="",D572="",L572=""),"",IF(L572="Sim",ROUND(F572-D572,2),0)),0)</f>
        <v/>
      </c>
      <c r="I572" s="350">
        <f>IF(G572="Sim",0,IF(OR(F572="",L572=""),"",F572))</f>
        <v/>
      </c>
      <c r="J572" s="350">
        <f>IF(G572="Sim",0,IF(OR(F572="",D572="",L572=""),"",IF(L572="Sim",ROUND(F572-D572,2),0)))</f>
        <v/>
      </c>
      <c r="K572" s="97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inlineStr">
        <is>
          <t>Nao</t>
        </is>
      </c>
      <c r="W572" s="110" t="inlineStr">
        <is>
          <t>PC em analise</t>
        </is>
      </c>
      <c r="X572" s="110" t="inlineStr">
        <is>
          <t>Pedido de Compra</t>
        </is>
      </c>
      <c r="Y572" s="111" t="inlineStr">
        <is>
          <t>Impacto Potencial</t>
        </is>
      </c>
      <c r="Z572" s="111" t="inlineStr">
        <is>
          <t>PC</t>
        </is>
      </c>
      <c r="AA572" s="111" t="inlineStr">
        <is>
          <t>Nao</t>
        </is>
      </c>
      <c r="AB572" s="111" t="inlineStr">
        <is>
          <t>NAO_COMPUTADO</t>
        </is>
      </c>
      <c r="AC572" s="112" t="inlineStr">
        <is>
          <t>Estrutura Fase 1: sem impacto no VTA oficial</t>
        </is>
      </c>
    </row>
    <row r="573" ht="25.5" customHeight="1" s="289">
      <c r="A573" s="205" t="n"/>
      <c r="B573" s="207" t="n"/>
      <c r="C573" s="104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348" t="n"/>
      <c r="E573" s="349">
        <f>IF(C573="","",IFERROR(VLOOKUP(C573,parametros!$A$11:$E$15,5,0),""))</f>
        <v/>
      </c>
      <c r="F573" s="335">
        <f>IF(OR(D573="",E573=""),"",ROUND(D573*E573,2))</f>
        <v/>
      </c>
      <c r="G573" s="106" t="n"/>
      <c r="H573" s="350">
        <f>IF(G573="Sim",IF(OR(F573="",D573="",L573=""),"",IF(L573="Sim",ROUND(F573-D573,2),0)),0)</f>
        <v/>
      </c>
      <c r="I573" s="350">
        <f>IF(G573="Sim",0,IF(OR(F573="",L573=""),"",F573))</f>
        <v/>
      </c>
      <c r="J573" s="350">
        <f>IF(G573="Sim",0,IF(OR(F573="",D573="",L573=""),"",IF(L573="Sim",ROUND(F573-D573,2),0)))</f>
        <v/>
      </c>
      <c r="K573" s="97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inlineStr">
        <is>
          <t>Nao</t>
        </is>
      </c>
      <c r="W573" s="110" t="inlineStr">
        <is>
          <t>PC em analise</t>
        </is>
      </c>
      <c r="X573" s="110" t="inlineStr">
        <is>
          <t>Pedido de Compra</t>
        </is>
      </c>
      <c r="Y573" s="111" t="inlineStr">
        <is>
          <t>Impacto Potencial</t>
        </is>
      </c>
      <c r="Z573" s="111" t="inlineStr">
        <is>
          <t>PC</t>
        </is>
      </c>
      <c r="AA573" s="111" t="inlineStr">
        <is>
          <t>Nao</t>
        </is>
      </c>
      <c r="AB573" s="111" t="inlineStr">
        <is>
          <t>NAO_COMPUTADO</t>
        </is>
      </c>
      <c r="AC573" s="112" t="inlineStr">
        <is>
          <t>Estrutura Fase 1: sem impacto no VTA oficial</t>
        </is>
      </c>
    </row>
    <row r="574" ht="25.5" customHeight="1" s="289">
      <c r="A574" s="205" t="n"/>
      <c r="B574" s="207" t="n"/>
      <c r="C574" s="104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348" t="n"/>
      <c r="E574" s="349">
        <f>IF(C574="","",IFERROR(VLOOKUP(C574,parametros!$A$11:$E$15,5,0),""))</f>
        <v/>
      </c>
      <c r="F574" s="335">
        <f>IF(OR(D574="",E574=""),"",ROUND(D574*E574,2))</f>
        <v/>
      </c>
      <c r="G574" s="106" t="n"/>
      <c r="H574" s="350">
        <f>IF(G574="Sim",IF(OR(F574="",D574="",L574=""),"",IF(L574="Sim",ROUND(F574-D574,2),0)),0)</f>
        <v/>
      </c>
      <c r="I574" s="350">
        <f>IF(G574="Sim",0,IF(OR(F574="",L574=""),"",F574))</f>
        <v/>
      </c>
      <c r="J574" s="350">
        <f>IF(G574="Sim",0,IF(OR(F574="",D574="",L574=""),"",IF(L574="Sim",ROUND(F574-D574,2),0)))</f>
        <v/>
      </c>
      <c r="K574" s="97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inlineStr">
        <is>
          <t>Nao</t>
        </is>
      </c>
      <c r="W574" s="110" t="inlineStr">
        <is>
          <t>PC em analise</t>
        </is>
      </c>
      <c r="X574" s="110" t="inlineStr">
        <is>
          <t>Pedido de Compra</t>
        </is>
      </c>
      <c r="Y574" s="111" t="inlineStr">
        <is>
          <t>Impacto Potencial</t>
        </is>
      </c>
      <c r="Z574" s="111" t="inlineStr">
        <is>
          <t>PC</t>
        </is>
      </c>
      <c r="AA574" s="111" t="inlineStr">
        <is>
          <t>Nao</t>
        </is>
      </c>
      <c r="AB574" s="111" t="inlineStr">
        <is>
          <t>NAO_COMPUTADO</t>
        </is>
      </c>
      <c r="AC574" s="112" t="inlineStr">
        <is>
          <t>Estrutura Fase 1: sem impacto no VTA oficial</t>
        </is>
      </c>
    </row>
    <row r="575" ht="25.5" customHeight="1" s="289">
      <c r="A575" s="205" t="n"/>
      <c r="B575" s="207" t="n"/>
      <c r="C575" s="104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348" t="n"/>
      <c r="E575" s="349">
        <f>IF(C575="","",IFERROR(VLOOKUP(C575,parametros!$A$11:$E$15,5,0),""))</f>
        <v/>
      </c>
      <c r="F575" s="335">
        <f>IF(OR(D575="",E575=""),"",ROUND(D575*E575,2))</f>
        <v/>
      </c>
      <c r="G575" s="106" t="n"/>
      <c r="H575" s="350">
        <f>IF(G575="Sim",IF(OR(F575="",D575="",L575=""),"",IF(L575="Sim",ROUND(F575-D575,2),0)),0)</f>
        <v/>
      </c>
      <c r="I575" s="350">
        <f>IF(G575="Sim",0,IF(OR(F575="",L575=""),"",F575))</f>
        <v/>
      </c>
      <c r="J575" s="350">
        <f>IF(G575="Sim",0,IF(OR(F575="",D575="",L575=""),"",IF(L575="Sim",ROUND(F575-D575,2),0)))</f>
        <v/>
      </c>
      <c r="K575" s="97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inlineStr">
        <is>
          <t>Nao</t>
        </is>
      </c>
      <c r="W575" s="110" t="inlineStr">
        <is>
          <t>PC em analise</t>
        </is>
      </c>
      <c r="X575" s="110" t="inlineStr">
        <is>
          <t>Pedido de Compra</t>
        </is>
      </c>
      <c r="Y575" s="111" t="inlineStr">
        <is>
          <t>Impacto Potencial</t>
        </is>
      </c>
      <c r="Z575" s="111" t="inlineStr">
        <is>
          <t>PC</t>
        </is>
      </c>
      <c r="AA575" s="111" t="inlineStr">
        <is>
          <t>Nao</t>
        </is>
      </c>
      <c r="AB575" s="111" t="inlineStr">
        <is>
          <t>NAO_COMPUTADO</t>
        </is>
      </c>
      <c r="AC575" s="112" t="inlineStr">
        <is>
          <t>Estrutura Fase 1: sem impacto no VTA oficial</t>
        </is>
      </c>
    </row>
    <row r="576" ht="25.5" customHeight="1" s="289">
      <c r="A576" s="205" t="n"/>
      <c r="B576" s="207" t="n"/>
      <c r="C576" s="104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348" t="n"/>
      <c r="E576" s="349">
        <f>IF(C576="","",IFERROR(VLOOKUP(C576,parametros!$A$11:$E$15,5,0),""))</f>
        <v/>
      </c>
      <c r="F576" s="335">
        <f>IF(OR(D576="",E576=""),"",ROUND(D576*E576,2))</f>
        <v/>
      </c>
      <c r="G576" s="106" t="n"/>
      <c r="H576" s="350">
        <f>IF(G576="Sim",IF(OR(F576="",D576="",L576=""),"",IF(L576="Sim",ROUND(F576-D576,2),0)),0)</f>
        <v/>
      </c>
      <c r="I576" s="350">
        <f>IF(G576="Sim",0,IF(OR(F576="",L576=""),"",F576))</f>
        <v/>
      </c>
      <c r="J576" s="350">
        <f>IF(G576="Sim",0,IF(OR(F576="",D576="",L576=""),"",IF(L576="Sim",ROUND(F576-D576,2),0)))</f>
        <v/>
      </c>
      <c r="K576" s="97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inlineStr">
        <is>
          <t>Nao</t>
        </is>
      </c>
      <c r="W576" s="110" t="inlineStr">
        <is>
          <t>PC em analise</t>
        </is>
      </c>
      <c r="X576" s="110" t="inlineStr">
        <is>
          <t>Pedido de Compra</t>
        </is>
      </c>
      <c r="Y576" s="111" t="inlineStr">
        <is>
          <t>Impacto Potencial</t>
        </is>
      </c>
      <c r="Z576" s="111" t="inlineStr">
        <is>
          <t>PC</t>
        </is>
      </c>
      <c r="AA576" s="111" t="inlineStr">
        <is>
          <t>Nao</t>
        </is>
      </c>
      <c r="AB576" s="111" t="inlineStr">
        <is>
          <t>NAO_COMPUTADO</t>
        </is>
      </c>
      <c r="AC576" s="112" t="inlineStr">
        <is>
          <t>Estrutura Fase 1: sem impacto no VTA oficial</t>
        </is>
      </c>
    </row>
    <row r="577" ht="25.5" customHeight="1" s="289">
      <c r="A577" s="205" t="n"/>
      <c r="B577" s="207" t="n"/>
      <c r="C577" s="104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348" t="n"/>
      <c r="E577" s="349">
        <f>IF(C577="","",IFERROR(VLOOKUP(C577,parametros!$A$11:$E$15,5,0),""))</f>
        <v/>
      </c>
      <c r="F577" s="335">
        <f>IF(OR(D577="",E577=""),"",ROUND(D577*E577,2))</f>
        <v/>
      </c>
      <c r="G577" s="106" t="n"/>
      <c r="H577" s="350">
        <f>IF(G577="Sim",IF(OR(F577="",D577="",L577=""),"",IF(L577="Sim",ROUND(F577-D577,2),0)),0)</f>
        <v/>
      </c>
      <c r="I577" s="350">
        <f>IF(G577="Sim",0,IF(OR(F577="",L577=""),"",F577))</f>
        <v/>
      </c>
      <c r="J577" s="350">
        <f>IF(G577="Sim",0,IF(OR(F577="",D577="",L577=""),"",IF(L577="Sim",ROUND(F577-D577,2),0)))</f>
        <v/>
      </c>
      <c r="K577" s="97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inlineStr">
        <is>
          <t>Nao</t>
        </is>
      </c>
      <c r="W577" s="110" t="inlineStr">
        <is>
          <t>PC em analise</t>
        </is>
      </c>
      <c r="X577" s="110" t="inlineStr">
        <is>
          <t>Pedido de Compra</t>
        </is>
      </c>
      <c r="Y577" s="111" t="inlineStr">
        <is>
          <t>Impacto Potencial</t>
        </is>
      </c>
      <c r="Z577" s="111" t="inlineStr">
        <is>
          <t>PC</t>
        </is>
      </c>
      <c r="AA577" s="111" t="inlineStr">
        <is>
          <t>Nao</t>
        </is>
      </c>
      <c r="AB577" s="111" t="inlineStr">
        <is>
          <t>NAO_COMPUTADO</t>
        </is>
      </c>
      <c r="AC577" s="112" t="inlineStr">
        <is>
          <t>Estrutura Fase 1: sem impacto no VTA oficial</t>
        </is>
      </c>
    </row>
    <row r="578" ht="25.5" customHeight="1" s="289">
      <c r="A578" s="205" t="n"/>
      <c r="B578" s="207" t="n"/>
      <c r="C578" s="104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348" t="n"/>
      <c r="E578" s="349">
        <f>IF(C578="","",IFERROR(VLOOKUP(C578,parametros!$A$11:$E$15,5,0),""))</f>
        <v/>
      </c>
      <c r="F578" s="335">
        <f>IF(OR(D578="",E578=""),"",ROUND(D578*E578,2))</f>
        <v/>
      </c>
      <c r="G578" s="106" t="n"/>
      <c r="H578" s="350">
        <f>IF(G578="Sim",IF(OR(F578="",D578="",L578=""),"",IF(L578="Sim",ROUND(F578-D578,2),0)),0)</f>
        <v/>
      </c>
      <c r="I578" s="350">
        <f>IF(G578="Sim",0,IF(OR(F578="",L578=""),"",F578))</f>
        <v/>
      </c>
      <c r="J578" s="350">
        <f>IF(G578="Sim",0,IF(OR(F578="",D578="",L578=""),"",IF(L578="Sim",ROUND(F578-D578,2),0)))</f>
        <v/>
      </c>
      <c r="K578" s="97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inlineStr">
        <is>
          <t>Nao</t>
        </is>
      </c>
      <c r="W578" s="110" t="inlineStr">
        <is>
          <t>PC em analise</t>
        </is>
      </c>
      <c r="X578" s="110" t="inlineStr">
        <is>
          <t>Pedido de Compra</t>
        </is>
      </c>
      <c r="Y578" s="111" t="inlineStr">
        <is>
          <t>Impacto Potencial</t>
        </is>
      </c>
      <c r="Z578" s="111" t="inlineStr">
        <is>
          <t>PC</t>
        </is>
      </c>
      <c r="AA578" s="111" t="inlineStr">
        <is>
          <t>Nao</t>
        </is>
      </c>
      <c r="AB578" s="111" t="inlineStr">
        <is>
          <t>NAO_COMPUTADO</t>
        </is>
      </c>
      <c r="AC578" s="112" t="inlineStr">
        <is>
          <t>Estrutura Fase 1: sem impacto no VTA oficial</t>
        </is>
      </c>
    </row>
    <row r="579" ht="25.5" customHeight="1" s="289">
      <c r="A579" s="205" t="n"/>
      <c r="B579" s="207" t="n"/>
      <c r="C579" s="104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348" t="n"/>
      <c r="E579" s="349">
        <f>IF(C579="","",IFERROR(VLOOKUP(C579,parametros!$A$11:$E$15,5,0),""))</f>
        <v/>
      </c>
      <c r="F579" s="335">
        <f>IF(OR(D579="",E579=""),"",ROUND(D579*E579,2))</f>
        <v/>
      </c>
      <c r="G579" s="106" t="n"/>
      <c r="H579" s="350">
        <f>IF(G579="Sim",IF(OR(F579="",D579="",L579=""),"",IF(L579="Sim",ROUND(F579-D579,2),0)),0)</f>
        <v/>
      </c>
      <c r="I579" s="350">
        <f>IF(G579="Sim",0,IF(OR(F579="",L579=""),"",F579))</f>
        <v/>
      </c>
      <c r="J579" s="350">
        <f>IF(G579="Sim",0,IF(OR(F579="",D579="",L579=""),"",IF(L579="Sim",ROUND(F579-D579,2),0)))</f>
        <v/>
      </c>
      <c r="K579" s="97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inlineStr">
        <is>
          <t>Nao</t>
        </is>
      </c>
      <c r="W579" s="110" t="inlineStr">
        <is>
          <t>PC em analise</t>
        </is>
      </c>
      <c r="X579" s="110" t="inlineStr">
        <is>
          <t>Pedido de Compra</t>
        </is>
      </c>
      <c r="Y579" s="111" t="inlineStr">
        <is>
          <t>Impacto Potencial</t>
        </is>
      </c>
      <c r="Z579" s="111" t="inlineStr">
        <is>
          <t>PC</t>
        </is>
      </c>
      <c r="AA579" s="111" t="inlineStr">
        <is>
          <t>Nao</t>
        </is>
      </c>
      <c r="AB579" s="111" t="inlineStr">
        <is>
          <t>NAO_COMPUTADO</t>
        </is>
      </c>
      <c r="AC579" s="112" t="inlineStr">
        <is>
          <t>Estrutura Fase 1: sem impacto no VTA oficial</t>
        </is>
      </c>
    </row>
    <row r="580" ht="25.5" customHeight="1" s="289">
      <c r="A580" s="205" t="n"/>
      <c r="B580" s="207" t="n"/>
      <c r="C580" s="104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348" t="n"/>
      <c r="E580" s="349">
        <f>IF(C580="","",IFERROR(VLOOKUP(C580,parametros!$A$11:$E$15,5,0),""))</f>
        <v/>
      </c>
      <c r="F580" s="335">
        <f>IF(OR(D580="",E580=""),"",ROUND(D580*E580,2))</f>
        <v/>
      </c>
      <c r="G580" s="106" t="n"/>
      <c r="H580" s="350">
        <f>IF(G580="Sim",IF(OR(F580="",D580="",L580=""),"",IF(L580="Sim",ROUND(F580-D580,2),0)),0)</f>
        <v/>
      </c>
      <c r="I580" s="350">
        <f>IF(G580="Sim",0,IF(OR(F580="",L580=""),"",F580))</f>
        <v/>
      </c>
      <c r="J580" s="350">
        <f>IF(G580="Sim",0,IF(OR(F580="",D580="",L580=""),"",IF(L580="Sim",ROUND(F580-D580,2),0)))</f>
        <v/>
      </c>
      <c r="K580" s="97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inlineStr">
        <is>
          <t>Nao</t>
        </is>
      </c>
      <c r="W580" s="110" t="inlineStr">
        <is>
          <t>PC em analise</t>
        </is>
      </c>
      <c r="X580" s="110" t="inlineStr">
        <is>
          <t>Pedido de Compra</t>
        </is>
      </c>
      <c r="Y580" s="111" t="inlineStr">
        <is>
          <t>Impacto Potencial</t>
        </is>
      </c>
      <c r="Z580" s="111" t="inlineStr">
        <is>
          <t>PC</t>
        </is>
      </c>
      <c r="AA580" s="111" t="inlineStr">
        <is>
          <t>Nao</t>
        </is>
      </c>
      <c r="AB580" s="111" t="inlineStr">
        <is>
          <t>NAO_COMPUTADO</t>
        </is>
      </c>
      <c r="AC580" s="112" t="inlineStr">
        <is>
          <t>Estrutura Fase 1: sem impacto no VTA oficial</t>
        </is>
      </c>
    </row>
    <row r="581" ht="25.5" customHeight="1" s="289">
      <c r="A581" s="205" t="n"/>
      <c r="B581" s="207" t="n"/>
      <c r="C581" s="104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348" t="n"/>
      <c r="E581" s="349">
        <f>IF(C581="","",IFERROR(VLOOKUP(C581,parametros!$A$11:$E$15,5,0),""))</f>
        <v/>
      </c>
      <c r="F581" s="335">
        <f>IF(OR(D581="",E581=""),"",ROUND(D581*E581,2))</f>
        <v/>
      </c>
      <c r="G581" s="106" t="n"/>
      <c r="H581" s="350">
        <f>IF(G581="Sim",IF(OR(F581="",D581="",L581=""),"",IF(L581="Sim",ROUND(F581-D581,2),0)),0)</f>
        <v/>
      </c>
      <c r="I581" s="350">
        <f>IF(G581="Sim",0,IF(OR(F581="",L581=""),"",F581))</f>
        <v/>
      </c>
      <c r="J581" s="350">
        <f>IF(G581="Sim",0,IF(OR(F581="",D581="",L581=""),"",IF(L581="Sim",ROUND(F581-D581,2),0)))</f>
        <v/>
      </c>
      <c r="K581" s="97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inlineStr">
        <is>
          <t>Nao</t>
        </is>
      </c>
      <c r="W581" s="110" t="inlineStr">
        <is>
          <t>PC em analise</t>
        </is>
      </c>
      <c r="X581" s="110" t="inlineStr">
        <is>
          <t>Pedido de Compra</t>
        </is>
      </c>
      <c r="Y581" s="111" t="inlineStr">
        <is>
          <t>Impacto Potencial</t>
        </is>
      </c>
      <c r="Z581" s="111" t="inlineStr">
        <is>
          <t>PC</t>
        </is>
      </c>
      <c r="AA581" s="111" t="inlineStr">
        <is>
          <t>Nao</t>
        </is>
      </c>
      <c r="AB581" s="111" t="inlineStr">
        <is>
          <t>NAO_COMPUTADO</t>
        </is>
      </c>
      <c r="AC581" s="112" t="inlineStr">
        <is>
          <t>Estrutura Fase 1: sem impacto no VTA oficial</t>
        </is>
      </c>
    </row>
    <row r="582" ht="25.5" customHeight="1" s="289">
      <c r="A582" s="205" t="n"/>
      <c r="B582" s="207" t="n"/>
      <c r="C582" s="104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348" t="n"/>
      <c r="E582" s="349">
        <f>IF(C582="","",IFERROR(VLOOKUP(C582,parametros!$A$11:$E$15,5,0),""))</f>
        <v/>
      </c>
      <c r="F582" s="335">
        <f>IF(OR(D582="",E582=""),"",ROUND(D582*E582,2))</f>
        <v/>
      </c>
      <c r="G582" s="106" t="n"/>
      <c r="H582" s="350">
        <f>IF(G582="Sim",IF(OR(F582="",D582="",L582=""),"",IF(L582="Sim",ROUND(F582-D582,2),0)),0)</f>
        <v/>
      </c>
      <c r="I582" s="350">
        <f>IF(G582="Sim",0,IF(OR(F582="",L582=""),"",F582))</f>
        <v/>
      </c>
      <c r="J582" s="350">
        <f>IF(G582="Sim",0,IF(OR(F582="",D582="",L582=""),"",IF(L582="Sim",ROUND(F582-D582,2),0)))</f>
        <v/>
      </c>
      <c r="K582" s="97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inlineStr">
        <is>
          <t>Nao</t>
        </is>
      </c>
      <c r="W582" s="110" t="inlineStr">
        <is>
          <t>PC em analise</t>
        </is>
      </c>
      <c r="X582" s="110" t="inlineStr">
        <is>
          <t>Pedido de Compra</t>
        </is>
      </c>
      <c r="Y582" s="111" t="inlineStr">
        <is>
          <t>Impacto Potencial</t>
        </is>
      </c>
      <c r="Z582" s="111" t="inlineStr">
        <is>
          <t>PC</t>
        </is>
      </c>
      <c r="AA582" s="111" t="inlineStr">
        <is>
          <t>Nao</t>
        </is>
      </c>
      <c r="AB582" s="111" t="inlineStr">
        <is>
          <t>NAO_COMPUTADO</t>
        </is>
      </c>
      <c r="AC582" s="112" t="inlineStr">
        <is>
          <t>Estrutura Fase 1: sem impacto no VTA oficial</t>
        </is>
      </c>
    </row>
    <row r="583" ht="25.5" customHeight="1" s="289">
      <c r="A583" s="205" t="n"/>
      <c r="B583" s="207" t="n"/>
      <c r="C583" s="104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348" t="n"/>
      <c r="E583" s="349">
        <f>IF(C583="","",IFERROR(VLOOKUP(C583,parametros!$A$11:$E$15,5,0),""))</f>
        <v/>
      </c>
      <c r="F583" s="335">
        <f>IF(OR(D583="",E583=""),"",ROUND(D583*E583,2))</f>
        <v/>
      </c>
      <c r="G583" s="106" t="n"/>
      <c r="H583" s="350">
        <f>IF(G583="Sim",IF(OR(F583="",D583="",L583=""),"",IF(L583="Sim",ROUND(F583-D583,2),0)),0)</f>
        <v/>
      </c>
      <c r="I583" s="350">
        <f>IF(G583="Sim",0,IF(OR(F583="",L583=""),"",F583))</f>
        <v/>
      </c>
      <c r="J583" s="350">
        <f>IF(G583="Sim",0,IF(OR(F583="",D583="",L583=""),"",IF(L583="Sim",ROUND(F583-D583,2),0)))</f>
        <v/>
      </c>
      <c r="K583" s="97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inlineStr">
        <is>
          <t>Nao</t>
        </is>
      </c>
      <c r="W583" s="110" t="inlineStr">
        <is>
          <t>PC em analise</t>
        </is>
      </c>
      <c r="X583" s="110" t="inlineStr">
        <is>
          <t>Pedido de Compra</t>
        </is>
      </c>
      <c r="Y583" s="111" t="inlineStr">
        <is>
          <t>Impacto Potencial</t>
        </is>
      </c>
      <c r="Z583" s="111" t="inlineStr">
        <is>
          <t>PC</t>
        </is>
      </c>
      <c r="AA583" s="111" t="inlineStr">
        <is>
          <t>Nao</t>
        </is>
      </c>
      <c r="AB583" s="111" t="inlineStr">
        <is>
          <t>NAO_COMPUTADO</t>
        </is>
      </c>
      <c r="AC583" s="112" t="inlineStr">
        <is>
          <t>Estrutura Fase 1: sem impacto no VTA oficial</t>
        </is>
      </c>
    </row>
    <row r="584" ht="25.5" customHeight="1" s="289">
      <c r="A584" s="205" t="n"/>
      <c r="B584" s="207" t="n"/>
      <c r="C584" s="104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348" t="n"/>
      <c r="E584" s="349">
        <f>IF(C584="","",IFERROR(VLOOKUP(C584,parametros!$A$11:$E$15,5,0),""))</f>
        <v/>
      </c>
      <c r="F584" s="335">
        <f>IF(OR(D584="",E584=""),"",ROUND(D584*E584,2))</f>
        <v/>
      </c>
      <c r="G584" s="106" t="n"/>
      <c r="H584" s="350">
        <f>IF(G584="Sim",IF(OR(F584="",D584="",L584=""),"",IF(L584="Sim",ROUND(F584-D584,2),0)),0)</f>
        <v/>
      </c>
      <c r="I584" s="350">
        <f>IF(G584="Sim",0,IF(OR(F584="",L584=""),"",F584))</f>
        <v/>
      </c>
      <c r="J584" s="350">
        <f>IF(G584="Sim",0,IF(OR(F584="",D584="",L584=""),"",IF(L584="Sim",ROUND(F584-D584,2),0)))</f>
        <v/>
      </c>
      <c r="K584" s="97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inlineStr">
        <is>
          <t>Nao</t>
        </is>
      </c>
      <c r="W584" s="110" t="inlineStr">
        <is>
          <t>PC em analise</t>
        </is>
      </c>
      <c r="X584" s="110" t="inlineStr">
        <is>
          <t>Pedido de Compra</t>
        </is>
      </c>
      <c r="Y584" s="111" t="inlineStr">
        <is>
          <t>Impacto Potencial</t>
        </is>
      </c>
      <c r="Z584" s="111" t="inlineStr">
        <is>
          <t>PC</t>
        </is>
      </c>
      <c r="AA584" s="111" t="inlineStr">
        <is>
          <t>Nao</t>
        </is>
      </c>
      <c r="AB584" s="111" t="inlineStr">
        <is>
          <t>NAO_COMPUTADO</t>
        </is>
      </c>
      <c r="AC584" s="112" t="inlineStr">
        <is>
          <t>Estrutura Fase 1: sem impacto no VTA oficial</t>
        </is>
      </c>
    </row>
    <row r="585" ht="25.5" customHeight="1" s="289">
      <c r="A585" s="205" t="n"/>
      <c r="B585" s="207" t="n"/>
      <c r="C585" s="104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348" t="n"/>
      <c r="E585" s="349">
        <f>IF(C585="","",IFERROR(VLOOKUP(C585,parametros!$A$11:$E$15,5,0),""))</f>
        <v/>
      </c>
      <c r="F585" s="335">
        <f>IF(OR(D585="",E585=""),"",ROUND(D585*E585,2))</f>
        <v/>
      </c>
      <c r="G585" s="106" t="n"/>
      <c r="H585" s="350">
        <f>IF(G585="Sim",IF(OR(F585="",D585="",L585=""),"",IF(L585="Sim",ROUND(F585-D585,2),0)),0)</f>
        <v/>
      </c>
      <c r="I585" s="350">
        <f>IF(G585="Sim",0,IF(OR(F585="",L585=""),"",F585))</f>
        <v/>
      </c>
      <c r="J585" s="350">
        <f>IF(G585="Sim",0,IF(OR(F585="",D585="",L585=""),"",IF(L585="Sim",ROUND(F585-D585,2),0)))</f>
        <v/>
      </c>
      <c r="K585" s="97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inlineStr">
        <is>
          <t>Nao</t>
        </is>
      </c>
      <c r="W585" s="110" t="inlineStr">
        <is>
          <t>PC em analise</t>
        </is>
      </c>
      <c r="X585" s="110" t="inlineStr">
        <is>
          <t>Pedido de Compra</t>
        </is>
      </c>
      <c r="Y585" s="111" t="inlineStr">
        <is>
          <t>Impacto Potencial</t>
        </is>
      </c>
      <c r="Z585" s="111" t="inlineStr">
        <is>
          <t>PC</t>
        </is>
      </c>
      <c r="AA585" s="111" t="inlineStr">
        <is>
          <t>Nao</t>
        </is>
      </c>
      <c r="AB585" s="111" t="inlineStr">
        <is>
          <t>NAO_COMPUTADO</t>
        </is>
      </c>
      <c r="AC585" s="112" t="inlineStr">
        <is>
          <t>Estrutura Fase 1: sem impacto no VTA oficial</t>
        </is>
      </c>
    </row>
    <row r="586" ht="25.5" customHeight="1" s="289">
      <c r="A586" s="205" t="n"/>
      <c r="B586" s="207" t="n"/>
      <c r="C586" s="104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348" t="n"/>
      <c r="E586" s="349">
        <f>IF(C586="","",IFERROR(VLOOKUP(C586,parametros!$A$11:$E$15,5,0),""))</f>
        <v/>
      </c>
      <c r="F586" s="335">
        <f>IF(OR(D586="",E586=""),"",ROUND(D586*E586,2))</f>
        <v/>
      </c>
      <c r="G586" s="106" t="n"/>
      <c r="H586" s="350">
        <f>IF(G586="Sim",IF(OR(F586="",D586="",L586=""),"",IF(L586="Sim",ROUND(F586-D586,2),0)),0)</f>
        <v/>
      </c>
      <c r="I586" s="350">
        <f>IF(G586="Sim",0,IF(OR(F586="",L586=""),"",F586))</f>
        <v/>
      </c>
      <c r="J586" s="350">
        <f>IF(G586="Sim",0,IF(OR(F586="",D586="",L586=""),"",IF(L586="Sim",ROUND(F586-D586,2),0)))</f>
        <v/>
      </c>
      <c r="K586" s="97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inlineStr">
        <is>
          <t>Nao</t>
        </is>
      </c>
      <c r="W586" s="110" t="inlineStr">
        <is>
          <t>PC em analise</t>
        </is>
      </c>
      <c r="X586" s="110" t="inlineStr">
        <is>
          <t>Pedido de Compra</t>
        </is>
      </c>
      <c r="Y586" s="111" t="inlineStr">
        <is>
          <t>Impacto Potencial</t>
        </is>
      </c>
      <c r="Z586" s="111" t="inlineStr">
        <is>
          <t>PC</t>
        </is>
      </c>
      <c r="AA586" s="111" t="inlineStr">
        <is>
          <t>Nao</t>
        </is>
      </c>
      <c r="AB586" s="111" t="inlineStr">
        <is>
          <t>NAO_COMPUTADO</t>
        </is>
      </c>
      <c r="AC586" s="112" t="inlineStr">
        <is>
          <t>Estrutura Fase 1: sem impacto no VTA oficial</t>
        </is>
      </c>
    </row>
    <row r="587" ht="25.5" customHeight="1" s="289">
      <c r="A587" s="205" t="n"/>
      <c r="B587" s="207" t="n"/>
      <c r="C587" s="104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348" t="n"/>
      <c r="E587" s="349">
        <f>IF(C587="","",IFERROR(VLOOKUP(C587,parametros!$A$11:$E$15,5,0),""))</f>
        <v/>
      </c>
      <c r="F587" s="335">
        <f>IF(OR(D587="",E587=""),"",ROUND(D587*E587,2))</f>
        <v/>
      </c>
      <c r="G587" s="106" t="n"/>
      <c r="H587" s="350">
        <f>IF(G587="Sim",IF(OR(F587="",D587="",L587=""),"",IF(L587="Sim",ROUND(F587-D587,2),0)),0)</f>
        <v/>
      </c>
      <c r="I587" s="350">
        <f>IF(G587="Sim",0,IF(OR(F587="",L587=""),"",F587))</f>
        <v/>
      </c>
      <c r="J587" s="350">
        <f>IF(G587="Sim",0,IF(OR(F587="",D587="",L587=""),"",IF(L587="Sim",ROUND(F587-D587,2),0)))</f>
        <v/>
      </c>
      <c r="K587" s="97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inlineStr">
        <is>
          <t>Nao</t>
        </is>
      </c>
      <c r="W587" s="110" t="inlineStr">
        <is>
          <t>PC em analise</t>
        </is>
      </c>
      <c r="X587" s="110" t="inlineStr">
        <is>
          <t>Pedido de Compra</t>
        </is>
      </c>
      <c r="Y587" s="111" t="inlineStr">
        <is>
          <t>Impacto Potencial</t>
        </is>
      </c>
      <c r="Z587" s="111" t="inlineStr">
        <is>
          <t>PC</t>
        </is>
      </c>
      <c r="AA587" s="111" t="inlineStr">
        <is>
          <t>Nao</t>
        </is>
      </c>
      <c r="AB587" s="111" t="inlineStr">
        <is>
          <t>NAO_COMPUTADO</t>
        </is>
      </c>
      <c r="AC587" s="112" t="inlineStr">
        <is>
          <t>Estrutura Fase 1: sem impacto no VTA oficial</t>
        </is>
      </c>
    </row>
    <row r="588" ht="25.5" customHeight="1" s="289">
      <c r="A588" s="205" t="n"/>
      <c r="B588" s="207" t="n"/>
      <c r="C588" s="104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348" t="n"/>
      <c r="E588" s="349">
        <f>IF(C588="","",IFERROR(VLOOKUP(C588,parametros!$A$11:$E$15,5,0),""))</f>
        <v/>
      </c>
      <c r="F588" s="335">
        <f>IF(OR(D588="",E588=""),"",ROUND(D588*E588,2))</f>
        <v/>
      </c>
      <c r="G588" s="106" t="n"/>
      <c r="H588" s="350">
        <f>IF(G588="Sim",IF(OR(F588="",D588="",L588=""),"",IF(L588="Sim",ROUND(F588-D588,2),0)),0)</f>
        <v/>
      </c>
      <c r="I588" s="350">
        <f>IF(G588="Sim",0,IF(OR(F588="",L588=""),"",F588))</f>
        <v/>
      </c>
      <c r="J588" s="350">
        <f>IF(G588="Sim",0,IF(OR(F588="",D588="",L588=""),"",IF(L588="Sim",ROUND(F588-D588,2),0)))</f>
        <v/>
      </c>
      <c r="K588" s="97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inlineStr">
        <is>
          <t>Nao</t>
        </is>
      </c>
      <c r="W588" s="110" t="inlineStr">
        <is>
          <t>PC em analise</t>
        </is>
      </c>
      <c r="X588" s="110" t="inlineStr">
        <is>
          <t>Pedido de Compra</t>
        </is>
      </c>
      <c r="Y588" s="111" t="inlineStr">
        <is>
          <t>Impacto Potencial</t>
        </is>
      </c>
      <c r="Z588" s="111" t="inlineStr">
        <is>
          <t>PC</t>
        </is>
      </c>
      <c r="AA588" s="111" t="inlineStr">
        <is>
          <t>Nao</t>
        </is>
      </c>
      <c r="AB588" s="111" t="inlineStr">
        <is>
          <t>NAO_COMPUTADO</t>
        </is>
      </c>
      <c r="AC588" s="112" t="inlineStr">
        <is>
          <t>Estrutura Fase 1: sem impacto no VTA oficial</t>
        </is>
      </c>
    </row>
    <row r="589" ht="25.5" customHeight="1" s="289">
      <c r="A589" s="205" t="n"/>
      <c r="B589" s="207" t="n"/>
      <c r="C589" s="104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348" t="n"/>
      <c r="E589" s="349">
        <f>IF(C589="","",IFERROR(VLOOKUP(C589,parametros!$A$11:$E$15,5,0),""))</f>
        <v/>
      </c>
      <c r="F589" s="335">
        <f>IF(OR(D589="",E589=""),"",ROUND(D589*E589,2))</f>
        <v/>
      </c>
      <c r="G589" s="106" t="n"/>
      <c r="H589" s="350">
        <f>IF(G589="Sim",IF(OR(F589="",D589="",L589=""),"",IF(L589="Sim",ROUND(F589-D589,2),0)),0)</f>
        <v/>
      </c>
      <c r="I589" s="350">
        <f>IF(G589="Sim",0,IF(OR(F589="",L589=""),"",F589))</f>
        <v/>
      </c>
      <c r="J589" s="350">
        <f>IF(G589="Sim",0,IF(OR(F589="",D589="",L589=""),"",IF(L589="Sim",ROUND(F589-D589,2),0)))</f>
        <v/>
      </c>
      <c r="K589" s="97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inlineStr">
        <is>
          <t>Nao</t>
        </is>
      </c>
      <c r="W589" s="110" t="inlineStr">
        <is>
          <t>PC em analise</t>
        </is>
      </c>
      <c r="X589" s="110" t="inlineStr">
        <is>
          <t>Pedido de Compra</t>
        </is>
      </c>
      <c r="Y589" s="111" t="inlineStr">
        <is>
          <t>Impacto Potencial</t>
        </is>
      </c>
      <c r="Z589" s="111" t="inlineStr">
        <is>
          <t>PC</t>
        </is>
      </c>
      <c r="AA589" s="111" t="inlineStr">
        <is>
          <t>Nao</t>
        </is>
      </c>
      <c r="AB589" s="111" t="inlineStr">
        <is>
          <t>NAO_COMPUTADO</t>
        </is>
      </c>
      <c r="AC589" s="112" t="inlineStr">
        <is>
          <t>Estrutura Fase 1: sem impacto no VTA oficial</t>
        </is>
      </c>
    </row>
    <row r="590" ht="25.5" customHeight="1" s="289">
      <c r="A590" s="205" t="n"/>
      <c r="B590" s="207" t="n"/>
      <c r="C590" s="104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348" t="n"/>
      <c r="E590" s="349">
        <f>IF(C590="","",IFERROR(VLOOKUP(C590,parametros!$A$11:$E$15,5,0),""))</f>
        <v/>
      </c>
      <c r="F590" s="335">
        <f>IF(OR(D590="",E590=""),"",ROUND(D590*E590,2))</f>
        <v/>
      </c>
      <c r="G590" s="106" t="n"/>
      <c r="H590" s="350">
        <f>IF(G590="Sim",IF(OR(F590="",D590="",L590=""),"",IF(L590="Sim",ROUND(F590-D590,2),0)),0)</f>
        <v/>
      </c>
      <c r="I590" s="350">
        <f>IF(G590="Sim",0,IF(OR(F590="",L590=""),"",F590))</f>
        <v/>
      </c>
      <c r="J590" s="350">
        <f>IF(G590="Sim",0,IF(OR(F590="",D590="",L590=""),"",IF(L590="Sim",ROUND(F590-D590,2),0)))</f>
        <v/>
      </c>
      <c r="K590" s="97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inlineStr">
        <is>
          <t>Nao</t>
        </is>
      </c>
      <c r="W590" s="110" t="inlineStr">
        <is>
          <t>PC em analise</t>
        </is>
      </c>
      <c r="X590" s="110" t="inlineStr">
        <is>
          <t>Pedido de Compra</t>
        </is>
      </c>
      <c r="Y590" s="111" t="inlineStr">
        <is>
          <t>Impacto Potencial</t>
        </is>
      </c>
      <c r="Z590" s="111" t="inlineStr">
        <is>
          <t>PC</t>
        </is>
      </c>
      <c r="AA590" s="111" t="inlineStr">
        <is>
          <t>Nao</t>
        </is>
      </c>
      <c r="AB590" s="111" t="inlineStr">
        <is>
          <t>NAO_COMPUTADO</t>
        </is>
      </c>
      <c r="AC590" s="112" t="inlineStr">
        <is>
          <t>Estrutura Fase 1: sem impacto no VTA oficial</t>
        </is>
      </c>
    </row>
    <row r="591" ht="25.5" customHeight="1" s="289">
      <c r="A591" s="205" t="n"/>
      <c r="B591" s="207" t="n"/>
      <c r="C591" s="104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348" t="n"/>
      <c r="E591" s="349">
        <f>IF(C591="","",IFERROR(VLOOKUP(C591,parametros!$A$11:$E$15,5,0),""))</f>
        <v/>
      </c>
      <c r="F591" s="335">
        <f>IF(OR(D591="",E591=""),"",ROUND(D591*E591,2))</f>
        <v/>
      </c>
      <c r="G591" s="106" t="n"/>
      <c r="H591" s="350">
        <f>IF(G591="Sim",IF(OR(F591="",D591="",L591=""),"",IF(L591="Sim",ROUND(F591-D591,2),0)),0)</f>
        <v/>
      </c>
      <c r="I591" s="350">
        <f>IF(G591="Sim",0,IF(OR(F591="",L591=""),"",F591))</f>
        <v/>
      </c>
      <c r="J591" s="350">
        <f>IF(G591="Sim",0,IF(OR(F591="",D591="",L591=""),"",IF(L591="Sim",ROUND(F591-D591,2),0)))</f>
        <v/>
      </c>
      <c r="K591" s="97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inlineStr">
        <is>
          <t>Nao</t>
        </is>
      </c>
      <c r="W591" s="110" t="inlineStr">
        <is>
          <t>PC em analise</t>
        </is>
      </c>
      <c r="X591" s="110" t="inlineStr">
        <is>
          <t>Pedido de Compra</t>
        </is>
      </c>
      <c r="Y591" s="111" t="inlineStr">
        <is>
          <t>Impacto Potencial</t>
        </is>
      </c>
      <c r="Z591" s="111" t="inlineStr">
        <is>
          <t>PC</t>
        </is>
      </c>
      <c r="AA591" s="111" t="inlineStr">
        <is>
          <t>Nao</t>
        </is>
      </c>
      <c r="AB591" s="111" t="inlineStr">
        <is>
          <t>NAO_COMPUTADO</t>
        </is>
      </c>
      <c r="AC591" s="112" t="inlineStr">
        <is>
          <t>Estrutura Fase 1: sem impacto no VTA oficial</t>
        </is>
      </c>
    </row>
    <row r="592" ht="25.5" customHeight="1" s="289">
      <c r="A592" s="205" t="n"/>
      <c r="B592" s="207" t="n"/>
      <c r="C592" s="104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348" t="n"/>
      <c r="E592" s="349">
        <f>IF(C592="","",IFERROR(VLOOKUP(C592,parametros!$A$11:$E$15,5,0),""))</f>
        <v/>
      </c>
      <c r="F592" s="335">
        <f>IF(OR(D592="",E592=""),"",ROUND(D592*E592,2))</f>
        <v/>
      </c>
      <c r="G592" s="106" t="n"/>
      <c r="H592" s="350">
        <f>IF(G592="Sim",IF(OR(F592="",D592="",L592=""),"",IF(L592="Sim",ROUND(F592-D592,2),0)),0)</f>
        <v/>
      </c>
      <c r="I592" s="350">
        <f>IF(G592="Sim",0,IF(OR(F592="",L592=""),"",F592))</f>
        <v/>
      </c>
      <c r="J592" s="350">
        <f>IF(G592="Sim",0,IF(OR(F592="",D592="",L592=""),"",IF(L592="Sim",ROUND(F592-D592,2),0)))</f>
        <v/>
      </c>
      <c r="K592" s="97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inlineStr">
        <is>
          <t>Nao</t>
        </is>
      </c>
      <c r="W592" s="110" t="inlineStr">
        <is>
          <t>PC em analise</t>
        </is>
      </c>
      <c r="X592" s="110" t="inlineStr">
        <is>
          <t>Pedido de Compra</t>
        </is>
      </c>
      <c r="Y592" s="111" t="inlineStr">
        <is>
          <t>Impacto Potencial</t>
        </is>
      </c>
      <c r="Z592" s="111" t="inlineStr">
        <is>
          <t>PC</t>
        </is>
      </c>
      <c r="AA592" s="111" t="inlineStr">
        <is>
          <t>Nao</t>
        </is>
      </c>
      <c r="AB592" s="111" t="inlineStr">
        <is>
          <t>NAO_COMPUTADO</t>
        </is>
      </c>
      <c r="AC592" s="112" t="inlineStr">
        <is>
          <t>Estrutura Fase 1: sem impacto no VTA oficial</t>
        </is>
      </c>
    </row>
    <row r="593" ht="25.5" customHeight="1" s="289">
      <c r="A593" s="205" t="n"/>
      <c r="B593" s="207" t="n"/>
      <c r="C593" s="104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348" t="n"/>
      <c r="E593" s="349">
        <f>IF(C593="","",IFERROR(VLOOKUP(C593,parametros!$A$11:$E$15,5,0),""))</f>
        <v/>
      </c>
      <c r="F593" s="335">
        <f>IF(OR(D593="",E593=""),"",ROUND(D593*E593,2))</f>
        <v/>
      </c>
      <c r="G593" s="106" t="n"/>
      <c r="H593" s="350">
        <f>IF(G593="Sim",IF(OR(F593="",D593="",L593=""),"",IF(L593="Sim",ROUND(F593-D593,2),0)),0)</f>
        <v/>
      </c>
      <c r="I593" s="350">
        <f>IF(G593="Sim",0,IF(OR(F593="",L593=""),"",F593))</f>
        <v/>
      </c>
      <c r="J593" s="350">
        <f>IF(G593="Sim",0,IF(OR(F593="",D593="",L593=""),"",IF(L593="Sim",ROUND(F593-D593,2),0)))</f>
        <v/>
      </c>
      <c r="K593" s="97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inlineStr">
        <is>
          <t>Nao</t>
        </is>
      </c>
      <c r="W593" s="110" t="inlineStr">
        <is>
          <t>PC em analise</t>
        </is>
      </c>
      <c r="X593" s="110" t="inlineStr">
        <is>
          <t>Pedido de Compra</t>
        </is>
      </c>
      <c r="Y593" s="111" t="inlineStr">
        <is>
          <t>Impacto Potencial</t>
        </is>
      </c>
      <c r="Z593" s="111" t="inlineStr">
        <is>
          <t>PC</t>
        </is>
      </c>
      <c r="AA593" s="111" t="inlineStr">
        <is>
          <t>Nao</t>
        </is>
      </c>
      <c r="AB593" s="111" t="inlineStr">
        <is>
          <t>NAO_COMPUTADO</t>
        </is>
      </c>
      <c r="AC593" s="112" t="inlineStr">
        <is>
          <t>Estrutura Fase 1: sem impacto no VTA oficial</t>
        </is>
      </c>
    </row>
    <row r="594" ht="25.5" customHeight="1" s="289">
      <c r="A594" s="205" t="n"/>
      <c r="B594" s="207" t="n"/>
      <c r="C594" s="104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348" t="n"/>
      <c r="E594" s="349">
        <f>IF(C594="","",IFERROR(VLOOKUP(C594,parametros!$A$11:$E$15,5,0),""))</f>
        <v/>
      </c>
      <c r="F594" s="335">
        <f>IF(OR(D594="",E594=""),"",ROUND(D594*E594,2))</f>
        <v/>
      </c>
      <c r="G594" s="106" t="n"/>
      <c r="H594" s="350">
        <f>IF(G594="Sim",IF(OR(F594="",D594="",L594=""),"",IF(L594="Sim",ROUND(F594-D594,2),0)),0)</f>
        <v/>
      </c>
      <c r="I594" s="350">
        <f>IF(G594="Sim",0,IF(OR(F594="",L594=""),"",F594))</f>
        <v/>
      </c>
      <c r="J594" s="350">
        <f>IF(G594="Sim",0,IF(OR(F594="",D594="",L594=""),"",IF(L594="Sim",ROUND(F594-D594,2),0)))</f>
        <v/>
      </c>
      <c r="K594" s="97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inlineStr">
        <is>
          <t>Nao</t>
        </is>
      </c>
      <c r="W594" s="110" t="inlineStr">
        <is>
          <t>PC em analise</t>
        </is>
      </c>
      <c r="X594" s="110" t="inlineStr">
        <is>
          <t>Pedido de Compra</t>
        </is>
      </c>
      <c r="Y594" s="111" t="inlineStr">
        <is>
          <t>Impacto Potencial</t>
        </is>
      </c>
      <c r="Z594" s="111" t="inlineStr">
        <is>
          <t>PC</t>
        </is>
      </c>
      <c r="AA594" s="111" t="inlineStr">
        <is>
          <t>Nao</t>
        </is>
      </c>
      <c r="AB594" s="111" t="inlineStr">
        <is>
          <t>NAO_COMPUTADO</t>
        </is>
      </c>
      <c r="AC594" s="112" t="inlineStr">
        <is>
          <t>Estrutura Fase 1: sem impacto no VTA oficial</t>
        </is>
      </c>
    </row>
    <row r="595" ht="25.5" customHeight="1" s="289">
      <c r="A595" s="205" t="n"/>
      <c r="B595" s="207" t="n"/>
      <c r="C595" s="104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348" t="n"/>
      <c r="E595" s="349">
        <f>IF(C595="","",IFERROR(VLOOKUP(C595,parametros!$A$11:$E$15,5,0),""))</f>
        <v/>
      </c>
      <c r="F595" s="335">
        <f>IF(OR(D595="",E595=""),"",ROUND(D595*E595,2))</f>
        <v/>
      </c>
      <c r="G595" s="106" t="n"/>
      <c r="H595" s="350">
        <f>IF(G595="Sim",IF(OR(F595="",D595="",L595=""),"",IF(L595="Sim",ROUND(F595-D595,2),0)),0)</f>
        <v/>
      </c>
      <c r="I595" s="350">
        <f>IF(G595="Sim",0,IF(OR(F595="",L595=""),"",F595))</f>
        <v/>
      </c>
      <c r="J595" s="350">
        <f>IF(G595="Sim",0,IF(OR(F595="",D595="",L595=""),"",IF(L595="Sim",ROUND(F595-D595,2),0)))</f>
        <v/>
      </c>
      <c r="K595" s="97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inlineStr">
        <is>
          <t>Nao</t>
        </is>
      </c>
      <c r="W595" s="110" t="inlineStr">
        <is>
          <t>PC em analise</t>
        </is>
      </c>
      <c r="X595" s="110" t="inlineStr">
        <is>
          <t>Pedido de Compra</t>
        </is>
      </c>
      <c r="Y595" s="111" t="inlineStr">
        <is>
          <t>Impacto Potencial</t>
        </is>
      </c>
      <c r="Z595" s="111" t="inlineStr">
        <is>
          <t>PC</t>
        </is>
      </c>
      <c r="AA595" s="111" t="inlineStr">
        <is>
          <t>Nao</t>
        </is>
      </c>
      <c r="AB595" s="111" t="inlineStr">
        <is>
          <t>NAO_COMPUTADO</t>
        </is>
      </c>
      <c r="AC595" s="112" t="inlineStr">
        <is>
          <t>Estrutura Fase 1: sem impacto no VTA oficial</t>
        </is>
      </c>
    </row>
    <row r="596" ht="25.5" customHeight="1" s="289">
      <c r="A596" s="205" t="n"/>
      <c r="B596" s="207" t="n"/>
      <c r="C596" s="104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348" t="n"/>
      <c r="E596" s="349">
        <f>IF(C596="","",IFERROR(VLOOKUP(C596,parametros!$A$11:$E$15,5,0),""))</f>
        <v/>
      </c>
      <c r="F596" s="335">
        <f>IF(OR(D596="",E596=""),"",ROUND(D596*E596,2))</f>
        <v/>
      </c>
      <c r="G596" s="106" t="n"/>
      <c r="H596" s="350">
        <f>IF(G596="Sim",IF(OR(F596="",D596="",L596=""),"",IF(L596="Sim",ROUND(F596-D596,2),0)),0)</f>
        <v/>
      </c>
      <c r="I596" s="350">
        <f>IF(G596="Sim",0,IF(OR(F596="",L596=""),"",F596))</f>
        <v/>
      </c>
      <c r="J596" s="350">
        <f>IF(G596="Sim",0,IF(OR(F596="",D596="",L596=""),"",IF(L596="Sim",ROUND(F596-D596,2),0)))</f>
        <v/>
      </c>
      <c r="K596" s="97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inlineStr">
        <is>
          <t>Nao</t>
        </is>
      </c>
      <c r="W596" s="110" t="inlineStr">
        <is>
          <t>PC em analise</t>
        </is>
      </c>
      <c r="X596" s="110" t="inlineStr">
        <is>
          <t>Pedido de Compra</t>
        </is>
      </c>
      <c r="Y596" s="111" t="inlineStr">
        <is>
          <t>Impacto Potencial</t>
        </is>
      </c>
      <c r="Z596" s="111" t="inlineStr">
        <is>
          <t>PC</t>
        </is>
      </c>
      <c r="AA596" s="111" t="inlineStr">
        <is>
          <t>Nao</t>
        </is>
      </c>
      <c r="AB596" s="111" t="inlineStr">
        <is>
          <t>NAO_COMPUTADO</t>
        </is>
      </c>
      <c r="AC596" s="112" t="inlineStr">
        <is>
          <t>Estrutura Fase 1: sem impacto no VTA oficial</t>
        </is>
      </c>
    </row>
    <row r="597" ht="25.5" customHeight="1" s="289">
      <c r="A597" s="205" t="n"/>
      <c r="B597" s="207" t="n"/>
      <c r="C597" s="104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348" t="n"/>
      <c r="E597" s="349">
        <f>IF(C597="","",IFERROR(VLOOKUP(C597,parametros!$A$11:$E$15,5,0),""))</f>
        <v/>
      </c>
      <c r="F597" s="335">
        <f>IF(OR(D597="",E597=""),"",ROUND(D597*E597,2))</f>
        <v/>
      </c>
      <c r="G597" s="106" t="n"/>
      <c r="H597" s="350">
        <f>IF(G597="Sim",IF(OR(F597="",D597="",L597=""),"",IF(L597="Sim",ROUND(F597-D597,2),0)),0)</f>
        <v/>
      </c>
      <c r="I597" s="350">
        <f>IF(G597="Sim",0,IF(OR(F597="",L597=""),"",F597))</f>
        <v/>
      </c>
      <c r="J597" s="350">
        <f>IF(G597="Sim",0,IF(OR(F597="",D597="",L597=""),"",IF(L597="Sim",ROUND(F597-D597,2),0)))</f>
        <v/>
      </c>
      <c r="K597" s="97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inlineStr">
        <is>
          <t>Nao</t>
        </is>
      </c>
      <c r="W597" s="110" t="inlineStr">
        <is>
          <t>PC em analise</t>
        </is>
      </c>
      <c r="X597" s="110" t="inlineStr">
        <is>
          <t>Pedido de Compra</t>
        </is>
      </c>
      <c r="Y597" s="111" t="inlineStr">
        <is>
          <t>Impacto Potencial</t>
        </is>
      </c>
      <c r="Z597" s="111" t="inlineStr">
        <is>
          <t>PC</t>
        </is>
      </c>
      <c r="AA597" s="111" t="inlineStr">
        <is>
          <t>Nao</t>
        </is>
      </c>
      <c r="AB597" s="111" t="inlineStr">
        <is>
          <t>NAO_COMPUTADO</t>
        </is>
      </c>
      <c r="AC597" s="112" t="inlineStr">
        <is>
          <t>Estrutura Fase 1: sem impacto no VTA oficial</t>
        </is>
      </c>
    </row>
    <row r="598" ht="25.5" customHeight="1" s="289">
      <c r="A598" s="205" t="n"/>
      <c r="B598" s="207" t="n"/>
      <c r="C598" s="104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348" t="n"/>
      <c r="E598" s="349">
        <f>IF(C598="","",IFERROR(VLOOKUP(C598,parametros!$A$11:$E$15,5,0),""))</f>
        <v/>
      </c>
      <c r="F598" s="335">
        <f>IF(OR(D598="",E598=""),"",ROUND(D598*E598,2))</f>
        <v/>
      </c>
      <c r="G598" s="106" t="n"/>
      <c r="H598" s="350">
        <f>IF(G598="Sim",IF(OR(F598="",D598="",L598=""),"",IF(L598="Sim",ROUND(F598-D598,2),0)),0)</f>
        <v/>
      </c>
      <c r="I598" s="350">
        <f>IF(G598="Sim",0,IF(OR(F598="",L598=""),"",F598))</f>
        <v/>
      </c>
      <c r="J598" s="350">
        <f>IF(G598="Sim",0,IF(OR(F598="",D598="",L598=""),"",IF(L598="Sim",ROUND(F598-D598,2),0)))</f>
        <v/>
      </c>
      <c r="K598" s="97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inlineStr">
        <is>
          <t>Nao</t>
        </is>
      </c>
      <c r="W598" s="110" t="inlineStr">
        <is>
          <t>PC em analise</t>
        </is>
      </c>
      <c r="X598" s="110" t="inlineStr">
        <is>
          <t>Pedido de Compra</t>
        </is>
      </c>
      <c r="Y598" s="111" t="inlineStr">
        <is>
          <t>Impacto Potencial</t>
        </is>
      </c>
      <c r="Z598" s="111" t="inlineStr">
        <is>
          <t>PC</t>
        </is>
      </c>
      <c r="AA598" s="111" t="inlineStr">
        <is>
          <t>Nao</t>
        </is>
      </c>
      <c r="AB598" s="111" t="inlineStr">
        <is>
          <t>NAO_COMPUTADO</t>
        </is>
      </c>
      <c r="AC598" s="112" t="inlineStr">
        <is>
          <t>Estrutura Fase 1: sem impacto no VTA oficial</t>
        </is>
      </c>
    </row>
    <row r="599" ht="25.5" customHeight="1" s="289">
      <c r="A599" s="205" t="n"/>
      <c r="B599" s="207" t="n"/>
      <c r="C599" s="104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348" t="n"/>
      <c r="E599" s="349">
        <f>IF(C599="","",IFERROR(VLOOKUP(C599,parametros!$A$11:$E$15,5,0),""))</f>
        <v/>
      </c>
      <c r="F599" s="335">
        <f>IF(OR(D599="",E599=""),"",ROUND(D599*E599,2))</f>
        <v/>
      </c>
      <c r="G599" s="106" t="n"/>
      <c r="H599" s="350">
        <f>IF(G599="Sim",IF(OR(F599="",D599="",L599=""),"",IF(L599="Sim",ROUND(F599-D599,2),0)),0)</f>
        <v/>
      </c>
      <c r="I599" s="350">
        <f>IF(G599="Sim",0,IF(OR(F599="",L599=""),"",F599))</f>
        <v/>
      </c>
      <c r="J599" s="350">
        <f>IF(G599="Sim",0,IF(OR(F599="",D599="",L599=""),"",IF(L599="Sim",ROUND(F599-D599,2),0)))</f>
        <v/>
      </c>
      <c r="K599" s="97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inlineStr">
        <is>
          <t>Nao</t>
        </is>
      </c>
      <c r="W599" s="110" t="inlineStr">
        <is>
          <t>PC em analise</t>
        </is>
      </c>
      <c r="X599" s="110" t="inlineStr">
        <is>
          <t>Pedido de Compra</t>
        </is>
      </c>
      <c r="Y599" s="111" t="inlineStr">
        <is>
          <t>Impacto Potencial</t>
        </is>
      </c>
      <c r="Z599" s="111" t="inlineStr">
        <is>
          <t>PC</t>
        </is>
      </c>
      <c r="AA599" s="111" t="inlineStr">
        <is>
          <t>Nao</t>
        </is>
      </c>
      <c r="AB599" s="111" t="inlineStr">
        <is>
          <t>NAO_COMPUTADO</t>
        </is>
      </c>
      <c r="AC599" s="112" t="inlineStr">
        <is>
          <t>Estrutura Fase 1: sem impacto no VTA oficial</t>
        </is>
      </c>
    </row>
    <row r="600" ht="25.5" customHeight="1" s="289">
      <c r="A600" s="205" t="n"/>
      <c r="B600" s="207" t="n"/>
      <c r="C600" s="104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348" t="n"/>
      <c r="E600" s="349">
        <f>IF(C600="","",IFERROR(VLOOKUP(C600,parametros!$A$11:$E$15,5,0),""))</f>
        <v/>
      </c>
      <c r="F600" s="335">
        <f>IF(OR(D600="",E600=""),"",ROUND(D600*E600,2))</f>
        <v/>
      </c>
      <c r="G600" s="106" t="n"/>
      <c r="H600" s="350">
        <f>IF(G600="Sim",IF(OR(F600="",D600="",L600=""),"",IF(L600="Sim",ROUND(F600-D600,2),0)),0)</f>
        <v/>
      </c>
      <c r="I600" s="350">
        <f>IF(G600="Sim",0,IF(OR(F600="",L600=""),"",F600))</f>
        <v/>
      </c>
      <c r="J600" s="350">
        <f>IF(G600="Sim",0,IF(OR(F600="",D600="",L600=""),"",IF(L600="Sim",ROUND(F600-D600,2),0)))</f>
        <v/>
      </c>
      <c r="K600" s="97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inlineStr">
        <is>
          <t>Nao</t>
        </is>
      </c>
      <c r="W600" s="110" t="inlineStr">
        <is>
          <t>PC em analise</t>
        </is>
      </c>
      <c r="X600" s="110" t="inlineStr">
        <is>
          <t>Pedido de Compra</t>
        </is>
      </c>
      <c r="Y600" s="111" t="inlineStr">
        <is>
          <t>Impacto Potencial</t>
        </is>
      </c>
      <c r="Z600" s="111" t="inlineStr">
        <is>
          <t>PC</t>
        </is>
      </c>
      <c r="AA600" s="111" t="inlineStr">
        <is>
          <t>Nao</t>
        </is>
      </c>
      <c r="AB600" s="111" t="inlineStr">
        <is>
          <t>NAO_COMPUTADO</t>
        </is>
      </c>
      <c r="AC600" s="112" t="inlineStr">
        <is>
          <t>Estrutura Fase 1: sem impacto no VTA oficial</t>
        </is>
      </c>
    </row>
    <row r="601" ht="25.5" customHeight="1" s="289">
      <c r="A601" s="205" t="n"/>
      <c r="B601" s="207" t="n"/>
      <c r="C601" s="104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348" t="n"/>
      <c r="E601" s="349">
        <f>IF(C601="","",IFERROR(VLOOKUP(C601,parametros!$A$11:$E$15,5,0),""))</f>
        <v/>
      </c>
      <c r="F601" s="335">
        <f>IF(OR(D601="",E601=""),"",ROUND(D601*E601,2))</f>
        <v/>
      </c>
      <c r="G601" s="106" t="n"/>
      <c r="H601" s="350">
        <f>IF(G601="Sim",IF(OR(F601="",D601="",L601=""),"",IF(L601="Sim",ROUND(F601-D601,2),0)),0)</f>
        <v/>
      </c>
      <c r="I601" s="350">
        <f>IF(G601="Sim",0,IF(OR(F601="",L601=""),"",F601))</f>
        <v/>
      </c>
      <c r="J601" s="350">
        <f>IF(G601="Sim",0,IF(OR(F601="",D601="",L601=""),"",IF(L601="Sim",ROUND(F601-D601,2),0)))</f>
        <v/>
      </c>
      <c r="K601" s="97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inlineStr">
        <is>
          <t>Nao</t>
        </is>
      </c>
      <c r="W601" s="110" t="inlineStr">
        <is>
          <t>PC em analise</t>
        </is>
      </c>
      <c r="X601" s="110" t="inlineStr">
        <is>
          <t>Pedido de Compra</t>
        </is>
      </c>
      <c r="Y601" s="111" t="inlineStr">
        <is>
          <t>Impacto Potencial</t>
        </is>
      </c>
      <c r="Z601" s="111" t="inlineStr">
        <is>
          <t>PC</t>
        </is>
      </c>
      <c r="AA601" s="111" t="inlineStr">
        <is>
          <t>Nao</t>
        </is>
      </c>
      <c r="AB601" s="111" t="inlineStr">
        <is>
          <t>NAO_COMPUTADO</t>
        </is>
      </c>
      <c r="AC601" s="112" t="inlineStr">
        <is>
          <t>Estrutura Fase 1: sem impacto no VTA oficial</t>
        </is>
      </c>
    </row>
    <row r="602" ht="25.5" customHeight="1" s="289">
      <c r="A602" s="205" t="n"/>
      <c r="B602" s="207" t="n"/>
      <c r="C602" s="104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348" t="n"/>
      <c r="E602" s="349">
        <f>IF(C602="","",IFERROR(VLOOKUP(C602,parametros!$A$11:$E$15,5,0),""))</f>
        <v/>
      </c>
      <c r="F602" s="335">
        <f>IF(OR(D602="",E602=""),"",ROUND(D602*E602,2))</f>
        <v/>
      </c>
      <c r="G602" s="106" t="n"/>
      <c r="H602" s="350">
        <f>IF(G602="Sim",IF(OR(F602="",D602="",L602=""),"",IF(L602="Sim",ROUND(F602-D602,2),0)),0)</f>
        <v/>
      </c>
      <c r="I602" s="350">
        <f>IF(G602="Sim",0,IF(OR(F602="",L602=""),"",F602))</f>
        <v/>
      </c>
      <c r="J602" s="350">
        <f>IF(G602="Sim",0,IF(OR(F602="",D602="",L602=""),"",IF(L602="Sim",ROUND(F602-D602,2),0)))</f>
        <v/>
      </c>
      <c r="K602" s="97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inlineStr">
        <is>
          <t>Nao</t>
        </is>
      </c>
      <c r="W602" s="110" t="inlineStr">
        <is>
          <t>PC em analise</t>
        </is>
      </c>
      <c r="X602" s="110" t="inlineStr">
        <is>
          <t>Pedido de Compra</t>
        </is>
      </c>
      <c r="Y602" s="111" t="inlineStr">
        <is>
          <t>Impacto Potencial</t>
        </is>
      </c>
      <c r="Z602" s="111" t="inlineStr">
        <is>
          <t>PC</t>
        </is>
      </c>
      <c r="AA602" s="111" t="inlineStr">
        <is>
          <t>Nao</t>
        </is>
      </c>
      <c r="AB602" s="111" t="inlineStr">
        <is>
          <t>NAO_COMPUTADO</t>
        </is>
      </c>
      <c r="AC602" s="112" t="inlineStr">
        <is>
          <t>Estrutura Fase 1: sem impacto no VTA oficial</t>
        </is>
      </c>
    </row>
    <row r="603" ht="25.5" customHeight="1" s="289">
      <c r="A603" s="205" t="n"/>
      <c r="B603" s="207" t="n"/>
      <c r="C603" s="104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348" t="n"/>
      <c r="E603" s="349">
        <f>IF(C603="","",IFERROR(VLOOKUP(C603,parametros!$A$11:$E$15,5,0),""))</f>
        <v/>
      </c>
      <c r="F603" s="335">
        <f>IF(OR(D603="",E603=""),"",ROUND(D603*E603,2))</f>
        <v/>
      </c>
      <c r="G603" s="106" t="n"/>
      <c r="H603" s="350">
        <f>IF(G603="Sim",IF(OR(F603="",D603="",L603=""),"",IF(L603="Sim",ROUND(F603-D603,2),0)),0)</f>
        <v/>
      </c>
      <c r="I603" s="350">
        <f>IF(G603="Sim",0,IF(OR(F603="",L603=""),"",F603))</f>
        <v/>
      </c>
      <c r="J603" s="350">
        <f>IF(G603="Sim",0,IF(OR(F603="",D603="",L603=""),"",IF(L603="Sim",ROUND(F603-D603,2),0)))</f>
        <v/>
      </c>
      <c r="K603" s="97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inlineStr">
        <is>
          <t>Nao</t>
        </is>
      </c>
      <c r="W603" s="110" t="inlineStr">
        <is>
          <t>PC em analise</t>
        </is>
      </c>
      <c r="X603" s="110" t="inlineStr">
        <is>
          <t>Pedido de Compra</t>
        </is>
      </c>
      <c r="Y603" s="111" t="inlineStr">
        <is>
          <t>Impacto Potencial</t>
        </is>
      </c>
      <c r="Z603" s="111" t="inlineStr">
        <is>
          <t>PC</t>
        </is>
      </c>
      <c r="AA603" s="111" t="inlineStr">
        <is>
          <t>Nao</t>
        </is>
      </c>
      <c r="AB603" s="111" t="inlineStr">
        <is>
          <t>NAO_COMPUTADO</t>
        </is>
      </c>
      <c r="AC603" s="112" t="inlineStr">
        <is>
          <t>Estrutura Fase 1: sem impacto no VTA oficial</t>
        </is>
      </c>
    </row>
    <row r="604" ht="25.5" customHeight="1" s="289">
      <c r="A604" s="205" t="n"/>
      <c r="B604" s="207" t="n"/>
      <c r="C604" s="104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348" t="n"/>
      <c r="E604" s="349">
        <f>IF(C604="","",IFERROR(VLOOKUP(C604,parametros!$A$11:$E$15,5,0),""))</f>
        <v/>
      </c>
      <c r="F604" s="335">
        <f>IF(OR(D604="",E604=""),"",ROUND(D604*E604,2))</f>
        <v/>
      </c>
      <c r="G604" s="106" t="n"/>
      <c r="H604" s="350">
        <f>IF(G604="Sim",IF(OR(F604="",D604="",L604=""),"",IF(L604="Sim",ROUND(F604-D604,2),0)),0)</f>
        <v/>
      </c>
      <c r="I604" s="350">
        <f>IF(G604="Sim",0,IF(OR(F604="",L604=""),"",F604))</f>
        <v/>
      </c>
      <c r="J604" s="350">
        <f>IF(G604="Sim",0,IF(OR(F604="",D604="",L604=""),"",IF(L604="Sim",ROUND(F604-D604,2),0)))</f>
        <v/>
      </c>
      <c r="K604" s="97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inlineStr">
        <is>
          <t>Nao</t>
        </is>
      </c>
      <c r="W604" s="110" t="inlineStr">
        <is>
          <t>PC em analise</t>
        </is>
      </c>
      <c r="X604" s="110" t="inlineStr">
        <is>
          <t>Pedido de Compra</t>
        </is>
      </c>
      <c r="Y604" s="111" t="inlineStr">
        <is>
          <t>Impacto Potencial</t>
        </is>
      </c>
      <c r="Z604" s="111" t="inlineStr">
        <is>
          <t>PC</t>
        </is>
      </c>
      <c r="AA604" s="111" t="inlineStr">
        <is>
          <t>Nao</t>
        </is>
      </c>
      <c r="AB604" s="111" t="inlineStr">
        <is>
          <t>NAO_COMPUTADO</t>
        </is>
      </c>
      <c r="AC604" s="112" t="inlineStr">
        <is>
          <t>Estrutura Fase 1: sem impacto no VTA oficial</t>
        </is>
      </c>
    </row>
    <row r="605" ht="25.5" customHeight="1" s="289">
      <c r="A605" s="205" t="n"/>
      <c r="B605" s="207" t="n"/>
      <c r="C605" s="104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348" t="n"/>
      <c r="E605" s="349">
        <f>IF(C605="","",IFERROR(VLOOKUP(C605,parametros!$A$11:$E$15,5,0),""))</f>
        <v/>
      </c>
      <c r="F605" s="335">
        <f>IF(OR(D605="",E605=""),"",ROUND(D605*E605,2))</f>
        <v/>
      </c>
      <c r="G605" s="106" t="n"/>
      <c r="H605" s="350">
        <f>IF(G605="Sim",IF(OR(F605="",D605="",L605=""),"",IF(L605="Sim",ROUND(F605-D605,2),0)),0)</f>
        <v/>
      </c>
      <c r="I605" s="350">
        <f>IF(G605="Sim",0,IF(OR(F605="",L605=""),"",F605))</f>
        <v/>
      </c>
      <c r="J605" s="350">
        <f>IF(G605="Sim",0,IF(OR(F605="",D605="",L605=""),"",IF(L605="Sim",ROUND(F605-D605,2),0)))</f>
        <v/>
      </c>
      <c r="K605" s="97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inlineStr">
        <is>
          <t>Nao</t>
        </is>
      </c>
      <c r="W605" s="110" t="inlineStr">
        <is>
          <t>PC em analise</t>
        </is>
      </c>
      <c r="X605" s="110" t="inlineStr">
        <is>
          <t>Pedido de Compra</t>
        </is>
      </c>
      <c r="Y605" s="111" t="inlineStr">
        <is>
          <t>Impacto Potencial</t>
        </is>
      </c>
      <c r="Z605" s="111" t="inlineStr">
        <is>
          <t>PC</t>
        </is>
      </c>
      <c r="AA605" s="111" t="inlineStr">
        <is>
          <t>Nao</t>
        </is>
      </c>
      <c r="AB605" s="111" t="inlineStr">
        <is>
          <t>NAO_COMPUTADO</t>
        </is>
      </c>
      <c r="AC605" s="112" t="inlineStr">
        <is>
          <t>Estrutura Fase 1: sem impacto no VTA oficial</t>
        </is>
      </c>
    </row>
    <row r="606" ht="25.5" customHeight="1" s="289">
      <c r="A606" s="205" t="n"/>
      <c r="B606" s="207" t="n"/>
      <c r="C606" s="104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348" t="n"/>
      <c r="E606" s="349">
        <f>IF(C606="","",IFERROR(VLOOKUP(C606,parametros!$A$11:$E$15,5,0),""))</f>
        <v/>
      </c>
      <c r="F606" s="335">
        <f>IF(OR(D606="",E606=""),"",ROUND(D606*E606,2))</f>
        <v/>
      </c>
      <c r="G606" s="106" t="n"/>
      <c r="H606" s="350">
        <f>IF(G606="Sim",IF(OR(F606="",D606="",L606=""),"",IF(L606="Sim",ROUND(F606-D606,2),0)),0)</f>
        <v/>
      </c>
      <c r="I606" s="350">
        <f>IF(G606="Sim",0,IF(OR(F606="",L606=""),"",F606))</f>
        <v/>
      </c>
      <c r="J606" s="350">
        <f>IF(G606="Sim",0,IF(OR(F606="",D606="",L606=""),"",IF(L606="Sim",ROUND(F606-D606,2),0)))</f>
        <v/>
      </c>
      <c r="K606" s="97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inlineStr">
        <is>
          <t>Nao</t>
        </is>
      </c>
      <c r="W606" s="110" t="inlineStr">
        <is>
          <t>PC em analise</t>
        </is>
      </c>
      <c r="X606" s="110" t="inlineStr">
        <is>
          <t>Pedido de Compra</t>
        </is>
      </c>
      <c r="Y606" s="111" t="inlineStr">
        <is>
          <t>Impacto Potencial</t>
        </is>
      </c>
      <c r="Z606" s="111" t="inlineStr">
        <is>
          <t>PC</t>
        </is>
      </c>
      <c r="AA606" s="111" t="inlineStr">
        <is>
          <t>Nao</t>
        </is>
      </c>
      <c r="AB606" s="111" t="inlineStr">
        <is>
          <t>NAO_COMPUTADO</t>
        </is>
      </c>
      <c r="AC606" s="112" t="inlineStr">
        <is>
          <t>Estrutura Fase 1: sem impacto no VTA oficial</t>
        </is>
      </c>
    </row>
    <row r="607" ht="25.5" customHeight="1" s="289">
      <c r="A607" s="205" t="n"/>
      <c r="B607" s="207" t="n"/>
      <c r="C607" s="104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348" t="n"/>
      <c r="E607" s="349">
        <f>IF(C607="","",IFERROR(VLOOKUP(C607,parametros!$A$11:$E$15,5,0),""))</f>
        <v/>
      </c>
      <c r="F607" s="335">
        <f>IF(OR(D607="",E607=""),"",ROUND(D607*E607,2))</f>
        <v/>
      </c>
      <c r="G607" s="106" t="n"/>
      <c r="H607" s="350">
        <f>IF(G607="Sim",IF(OR(F607="",D607="",L607=""),"",IF(L607="Sim",ROUND(F607-D607,2),0)),0)</f>
        <v/>
      </c>
      <c r="I607" s="350">
        <f>IF(G607="Sim",0,IF(OR(F607="",L607=""),"",F607))</f>
        <v/>
      </c>
      <c r="J607" s="350">
        <f>IF(G607="Sim",0,IF(OR(F607="",D607="",L607=""),"",IF(L607="Sim",ROUND(F607-D607,2),0)))</f>
        <v/>
      </c>
      <c r="K607" s="97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inlineStr">
        <is>
          <t>Nao</t>
        </is>
      </c>
      <c r="W607" s="110" t="inlineStr">
        <is>
          <t>PC em analise</t>
        </is>
      </c>
      <c r="X607" s="110" t="inlineStr">
        <is>
          <t>Pedido de Compra</t>
        </is>
      </c>
      <c r="Y607" s="111" t="inlineStr">
        <is>
          <t>Impacto Potencial</t>
        </is>
      </c>
      <c r="Z607" s="111" t="inlineStr">
        <is>
          <t>PC</t>
        </is>
      </c>
      <c r="AA607" s="111" t="inlineStr">
        <is>
          <t>Nao</t>
        </is>
      </c>
      <c r="AB607" s="111" t="inlineStr">
        <is>
          <t>NAO_COMPUTADO</t>
        </is>
      </c>
      <c r="AC607" s="112" t="inlineStr">
        <is>
          <t>Estrutura Fase 1: sem impacto no VTA oficial</t>
        </is>
      </c>
    </row>
    <row r="608" ht="25.5" customHeight="1" s="289">
      <c r="A608" s="205" t="n"/>
      <c r="B608" s="207" t="n"/>
      <c r="C608" s="104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348" t="n"/>
      <c r="E608" s="349">
        <f>IF(C608="","",IFERROR(VLOOKUP(C608,parametros!$A$11:$E$15,5,0),""))</f>
        <v/>
      </c>
      <c r="F608" s="335">
        <f>IF(OR(D608="",E608=""),"",ROUND(D608*E608,2))</f>
        <v/>
      </c>
      <c r="G608" s="106" t="n"/>
      <c r="H608" s="350">
        <f>IF(G608="Sim",IF(OR(F608="",D608="",L608=""),"",IF(L608="Sim",ROUND(F608-D608,2),0)),0)</f>
        <v/>
      </c>
      <c r="I608" s="350">
        <f>IF(G608="Sim",0,IF(OR(F608="",L608=""),"",F608))</f>
        <v/>
      </c>
      <c r="J608" s="350">
        <f>IF(G608="Sim",0,IF(OR(F608="",D608="",L608=""),"",IF(L608="Sim",ROUND(F608-D608,2),0)))</f>
        <v/>
      </c>
      <c r="K608" s="97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inlineStr">
        <is>
          <t>Nao</t>
        </is>
      </c>
      <c r="W608" s="110" t="inlineStr">
        <is>
          <t>PC em analise</t>
        </is>
      </c>
      <c r="X608" s="110" t="inlineStr">
        <is>
          <t>Pedido de Compra</t>
        </is>
      </c>
      <c r="Y608" s="111" t="inlineStr">
        <is>
          <t>Impacto Potencial</t>
        </is>
      </c>
      <c r="Z608" s="111" t="inlineStr">
        <is>
          <t>PC</t>
        </is>
      </c>
      <c r="AA608" s="111" t="inlineStr">
        <is>
          <t>Nao</t>
        </is>
      </c>
      <c r="AB608" s="111" t="inlineStr">
        <is>
          <t>NAO_COMPUTADO</t>
        </is>
      </c>
      <c r="AC608" s="112" t="inlineStr">
        <is>
          <t>Estrutura Fase 1: sem impacto no VTA oficial</t>
        </is>
      </c>
    </row>
    <row r="609" ht="25.5" customHeight="1" s="289">
      <c r="A609" s="205" t="n"/>
      <c r="B609" s="207" t="n"/>
      <c r="C609" s="104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348" t="n"/>
      <c r="E609" s="349">
        <f>IF(C609="","",IFERROR(VLOOKUP(C609,parametros!$A$11:$E$15,5,0),""))</f>
        <v/>
      </c>
      <c r="F609" s="335">
        <f>IF(OR(D609="",E609=""),"",ROUND(D609*E609,2))</f>
        <v/>
      </c>
      <c r="G609" s="106" t="n"/>
      <c r="H609" s="350">
        <f>IF(G609="Sim",IF(OR(F609="",D609="",L609=""),"",IF(L609="Sim",ROUND(F609-D609,2),0)),0)</f>
        <v/>
      </c>
      <c r="I609" s="350">
        <f>IF(G609="Sim",0,IF(OR(F609="",L609=""),"",F609))</f>
        <v/>
      </c>
      <c r="J609" s="350">
        <f>IF(G609="Sim",0,IF(OR(F609="",D609="",L609=""),"",IF(L609="Sim",ROUND(F609-D609,2),0)))</f>
        <v/>
      </c>
      <c r="K609" s="97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inlineStr">
        <is>
          <t>Nao</t>
        </is>
      </c>
      <c r="W609" s="110" t="inlineStr">
        <is>
          <t>PC em analise</t>
        </is>
      </c>
      <c r="X609" s="110" t="inlineStr">
        <is>
          <t>Pedido de Compra</t>
        </is>
      </c>
      <c r="Y609" s="111" t="inlineStr">
        <is>
          <t>Impacto Potencial</t>
        </is>
      </c>
      <c r="Z609" s="111" t="inlineStr">
        <is>
          <t>PC</t>
        </is>
      </c>
      <c r="AA609" s="111" t="inlineStr">
        <is>
          <t>Nao</t>
        </is>
      </c>
      <c r="AB609" s="111" t="inlineStr">
        <is>
          <t>NAO_COMPUTADO</t>
        </is>
      </c>
      <c r="AC609" s="112" t="inlineStr">
        <is>
          <t>Estrutura Fase 1: sem impacto no VTA oficial</t>
        </is>
      </c>
    </row>
    <row r="610" ht="25.5" customHeight="1" s="289">
      <c r="A610" s="205" t="n"/>
      <c r="B610" s="207" t="n"/>
      <c r="C610" s="104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348" t="n"/>
      <c r="E610" s="349">
        <f>IF(C610="","",IFERROR(VLOOKUP(C610,parametros!$A$11:$E$15,5,0),""))</f>
        <v/>
      </c>
      <c r="F610" s="335">
        <f>IF(OR(D610="",E610=""),"",ROUND(D610*E610,2))</f>
        <v/>
      </c>
      <c r="G610" s="106" t="n"/>
      <c r="H610" s="350">
        <f>IF(G610="Sim",IF(OR(F610="",D610="",L610=""),"",IF(L610="Sim",ROUND(F610-D610,2),0)),0)</f>
        <v/>
      </c>
      <c r="I610" s="350">
        <f>IF(G610="Sim",0,IF(OR(F610="",L610=""),"",F610))</f>
        <v/>
      </c>
      <c r="J610" s="350">
        <f>IF(G610="Sim",0,IF(OR(F610="",D610="",L610=""),"",IF(L610="Sim",ROUND(F610-D610,2),0)))</f>
        <v/>
      </c>
      <c r="K610" s="97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inlineStr">
        <is>
          <t>Nao</t>
        </is>
      </c>
      <c r="W610" s="110" t="inlineStr">
        <is>
          <t>PC em analise</t>
        </is>
      </c>
      <c r="X610" s="110" t="inlineStr">
        <is>
          <t>Pedido de Compra</t>
        </is>
      </c>
      <c r="Y610" s="111" t="inlineStr">
        <is>
          <t>Impacto Potencial</t>
        </is>
      </c>
      <c r="Z610" s="111" t="inlineStr">
        <is>
          <t>PC</t>
        </is>
      </c>
      <c r="AA610" s="111" t="inlineStr">
        <is>
          <t>Nao</t>
        </is>
      </c>
      <c r="AB610" s="111" t="inlineStr">
        <is>
          <t>NAO_COMPUTADO</t>
        </is>
      </c>
      <c r="AC610" s="112" t="inlineStr">
        <is>
          <t>Estrutura Fase 1: sem impacto no VTA oficial</t>
        </is>
      </c>
    </row>
    <row r="611" ht="25.5" customHeight="1" s="289">
      <c r="A611" s="205" t="n"/>
      <c r="B611" s="207" t="n"/>
      <c r="C611" s="104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348" t="n"/>
      <c r="E611" s="349">
        <f>IF(C611="","",IFERROR(VLOOKUP(C611,parametros!$A$11:$E$15,5,0),""))</f>
        <v/>
      </c>
      <c r="F611" s="335">
        <f>IF(OR(D611="",E611=""),"",ROUND(D611*E611,2))</f>
        <v/>
      </c>
      <c r="G611" s="106" t="n"/>
      <c r="H611" s="350">
        <f>IF(G611="Sim",IF(OR(F611="",D611="",L611=""),"",IF(L611="Sim",ROUND(F611-D611,2),0)),0)</f>
        <v/>
      </c>
      <c r="I611" s="350">
        <f>IF(G611="Sim",0,IF(OR(F611="",L611=""),"",F611))</f>
        <v/>
      </c>
      <c r="J611" s="350">
        <f>IF(G611="Sim",0,IF(OR(F611="",D611="",L611=""),"",IF(L611="Sim",ROUND(F611-D611,2),0)))</f>
        <v/>
      </c>
      <c r="K611" s="97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inlineStr">
        <is>
          <t>Nao</t>
        </is>
      </c>
      <c r="W611" s="110" t="inlineStr">
        <is>
          <t>PC em analise</t>
        </is>
      </c>
      <c r="X611" s="110" t="inlineStr">
        <is>
          <t>Pedido de Compra</t>
        </is>
      </c>
      <c r="Y611" s="111" t="inlineStr">
        <is>
          <t>Impacto Potencial</t>
        </is>
      </c>
      <c r="Z611" s="111" t="inlineStr">
        <is>
          <t>PC</t>
        </is>
      </c>
      <c r="AA611" s="111" t="inlineStr">
        <is>
          <t>Nao</t>
        </is>
      </c>
      <c r="AB611" s="111" t="inlineStr">
        <is>
          <t>NAO_COMPUTADO</t>
        </is>
      </c>
      <c r="AC611" s="112" t="inlineStr">
        <is>
          <t>Estrutura Fase 1: sem impacto no VTA oficial</t>
        </is>
      </c>
    </row>
    <row r="612" ht="25.5" customHeight="1" s="289">
      <c r="A612" s="205" t="n"/>
      <c r="B612" s="207" t="n"/>
      <c r="C612" s="104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348" t="n"/>
      <c r="E612" s="349">
        <f>IF(C612="","",IFERROR(VLOOKUP(C612,parametros!$A$11:$E$15,5,0),""))</f>
        <v/>
      </c>
      <c r="F612" s="335">
        <f>IF(OR(D612="",E612=""),"",ROUND(D612*E612,2))</f>
        <v/>
      </c>
      <c r="G612" s="106" t="n"/>
      <c r="H612" s="350">
        <f>IF(G612="Sim",IF(OR(F612="",D612="",L612=""),"",IF(L612="Sim",ROUND(F612-D612,2),0)),0)</f>
        <v/>
      </c>
      <c r="I612" s="350">
        <f>IF(G612="Sim",0,IF(OR(F612="",L612=""),"",F612))</f>
        <v/>
      </c>
      <c r="J612" s="350">
        <f>IF(G612="Sim",0,IF(OR(F612="",D612="",L612=""),"",IF(L612="Sim",ROUND(F612-D612,2),0)))</f>
        <v/>
      </c>
      <c r="K612" s="97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inlineStr">
        <is>
          <t>Nao</t>
        </is>
      </c>
      <c r="W612" s="110" t="inlineStr">
        <is>
          <t>PC em analise</t>
        </is>
      </c>
      <c r="X612" s="110" t="inlineStr">
        <is>
          <t>Pedido de Compra</t>
        </is>
      </c>
      <c r="Y612" s="111" t="inlineStr">
        <is>
          <t>Impacto Potencial</t>
        </is>
      </c>
      <c r="Z612" s="111" t="inlineStr">
        <is>
          <t>PC</t>
        </is>
      </c>
      <c r="AA612" s="111" t="inlineStr">
        <is>
          <t>Nao</t>
        </is>
      </c>
      <c r="AB612" s="111" t="inlineStr">
        <is>
          <t>NAO_COMPUTADO</t>
        </is>
      </c>
      <c r="AC612" s="112" t="inlineStr">
        <is>
          <t>Estrutura Fase 1: sem impacto no VTA oficial</t>
        </is>
      </c>
    </row>
    <row r="613" ht="25.5" customHeight="1" s="289">
      <c r="A613" s="205" t="n"/>
      <c r="B613" s="207" t="n"/>
      <c r="C613" s="104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348" t="n"/>
      <c r="E613" s="349">
        <f>IF(C613="","",IFERROR(VLOOKUP(C613,parametros!$A$11:$E$15,5,0),""))</f>
        <v/>
      </c>
      <c r="F613" s="335">
        <f>IF(OR(D613="",E613=""),"",ROUND(D613*E613,2))</f>
        <v/>
      </c>
      <c r="G613" s="106" t="n"/>
      <c r="H613" s="350">
        <f>IF(G613="Sim",IF(OR(F613="",D613="",L613=""),"",IF(L613="Sim",ROUND(F613-D613,2),0)),0)</f>
        <v/>
      </c>
      <c r="I613" s="350">
        <f>IF(G613="Sim",0,IF(OR(F613="",L613=""),"",F613))</f>
        <v/>
      </c>
      <c r="J613" s="350">
        <f>IF(G613="Sim",0,IF(OR(F613="",D613="",L613=""),"",IF(L613="Sim",ROUND(F613-D613,2),0)))</f>
        <v/>
      </c>
      <c r="K613" s="97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inlineStr">
        <is>
          <t>Nao</t>
        </is>
      </c>
      <c r="W613" s="110" t="inlineStr">
        <is>
          <t>PC em analise</t>
        </is>
      </c>
      <c r="X613" s="110" t="inlineStr">
        <is>
          <t>Pedido de Compra</t>
        </is>
      </c>
      <c r="Y613" s="111" t="inlineStr">
        <is>
          <t>Impacto Potencial</t>
        </is>
      </c>
      <c r="Z613" s="111" t="inlineStr">
        <is>
          <t>PC</t>
        </is>
      </c>
      <c r="AA613" s="111" t="inlineStr">
        <is>
          <t>Nao</t>
        </is>
      </c>
      <c r="AB613" s="111" t="inlineStr">
        <is>
          <t>NAO_COMPUTADO</t>
        </is>
      </c>
      <c r="AC613" s="112" t="inlineStr">
        <is>
          <t>Estrutura Fase 1: sem impacto no VTA oficial</t>
        </is>
      </c>
    </row>
    <row r="614" ht="25.5" customHeight="1" s="289">
      <c r="A614" s="205" t="n"/>
      <c r="B614" s="207" t="n"/>
      <c r="C614" s="104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348" t="n"/>
      <c r="E614" s="349">
        <f>IF(C614="","",IFERROR(VLOOKUP(C614,parametros!$A$11:$E$15,5,0),""))</f>
        <v/>
      </c>
      <c r="F614" s="335">
        <f>IF(OR(D614="",E614=""),"",ROUND(D614*E614,2))</f>
        <v/>
      </c>
      <c r="G614" s="106" t="n"/>
      <c r="H614" s="350">
        <f>IF(G614="Sim",IF(OR(F614="",D614="",L614=""),"",IF(L614="Sim",ROUND(F614-D614,2),0)),0)</f>
        <v/>
      </c>
      <c r="I614" s="350">
        <f>IF(G614="Sim",0,IF(OR(F614="",L614=""),"",F614))</f>
        <v/>
      </c>
      <c r="J614" s="350">
        <f>IF(G614="Sim",0,IF(OR(F614="",D614="",L614=""),"",IF(L614="Sim",ROUND(F614-D614,2),0)))</f>
        <v/>
      </c>
      <c r="K614" s="97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inlineStr">
        <is>
          <t>Nao</t>
        </is>
      </c>
      <c r="W614" s="110" t="inlineStr">
        <is>
          <t>PC em analise</t>
        </is>
      </c>
      <c r="X614" s="110" t="inlineStr">
        <is>
          <t>Pedido de Compra</t>
        </is>
      </c>
      <c r="Y614" s="111" t="inlineStr">
        <is>
          <t>Impacto Potencial</t>
        </is>
      </c>
      <c r="Z614" s="111" t="inlineStr">
        <is>
          <t>PC</t>
        </is>
      </c>
      <c r="AA614" s="111" t="inlineStr">
        <is>
          <t>Nao</t>
        </is>
      </c>
      <c r="AB614" s="111" t="inlineStr">
        <is>
          <t>NAO_COMPUTADO</t>
        </is>
      </c>
      <c r="AC614" s="112" t="inlineStr">
        <is>
          <t>Estrutura Fase 1: sem impacto no VTA oficial</t>
        </is>
      </c>
    </row>
    <row r="615" ht="25.5" customHeight="1" s="289">
      <c r="A615" s="205" t="n"/>
      <c r="B615" s="207" t="n"/>
      <c r="C615" s="104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348" t="n"/>
      <c r="E615" s="349">
        <f>IF(C615="","",IFERROR(VLOOKUP(C615,parametros!$A$11:$E$15,5,0),""))</f>
        <v/>
      </c>
      <c r="F615" s="335">
        <f>IF(OR(D615="",E615=""),"",ROUND(D615*E615,2))</f>
        <v/>
      </c>
      <c r="G615" s="106" t="n"/>
      <c r="H615" s="350">
        <f>IF(G615="Sim",IF(OR(F615="",D615="",L615=""),"",IF(L615="Sim",ROUND(F615-D615,2),0)),0)</f>
        <v/>
      </c>
      <c r="I615" s="350">
        <f>IF(G615="Sim",0,IF(OR(F615="",L615=""),"",F615))</f>
        <v/>
      </c>
      <c r="J615" s="350">
        <f>IF(G615="Sim",0,IF(OR(F615="",D615="",L615=""),"",IF(L615="Sim",ROUND(F615-D615,2),0)))</f>
        <v/>
      </c>
      <c r="K615" s="97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inlineStr">
        <is>
          <t>Nao</t>
        </is>
      </c>
      <c r="W615" s="110" t="inlineStr">
        <is>
          <t>PC em analise</t>
        </is>
      </c>
      <c r="X615" s="110" t="inlineStr">
        <is>
          <t>Pedido de Compra</t>
        </is>
      </c>
      <c r="Y615" s="111" t="inlineStr">
        <is>
          <t>Impacto Potencial</t>
        </is>
      </c>
      <c r="Z615" s="111" t="inlineStr">
        <is>
          <t>PC</t>
        </is>
      </c>
      <c r="AA615" s="111" t="inlineStr">
        <is>
          <t>Nao</t>
        </is>
      </c>
      <c r="AB615" s="111" t="inlineStr">
        <is>
          <t>NAO_COMPUTADO</t>
        </is>
      </c>
      <c r="AC615" s="112" t="inlineStr">
        <is>
          <t>Estrutura Fase 1: sem impacto no VTA oficial</t>
        </is>
      </c>
    </row>
    <row r="616" ht="25.5" customHeight="1" s="289">
      <c r="A616" s="205" t="n"/>
      <c r="B616" s="207" t="n"/>
      <c r="C616" s="104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348" t="n"/>
      <c r="E616" s="349">
        <f>IF(C616="","",IFERROR(VLOOKUP(C616,parametros!$A$11:$E$15,5,0),""))</f>
        <v/>
      </c>
      <c r="F616" s="335">
        <f>IF(OR(D616="",E616=""),"",ROUND(D616*E616,2))</f>
        <v/>
      </c>
      <c r="G616" s="106" t="n"/>
      <c r="H616" s="350">
        <f>IF(G616="Sim",IF(OR(F616="",D616="",L616=""),"",IF(L616="Sim",ROUND(F616-D616,2),0)),0)</f>
        <v/>
      </c>
      <c r="I616" s="350">
        <f>IF(G616="Sim",0,IF(OR(F616="",L616=""),"",F616))</f>
        <v/>
      </c>
      <c r="J616" s="350">
        <f>IF(G616="Sim",0,IF(OR(F616="",D616="",L616=""),"",IF(L616="Sim",ROUND(F616-D616,2),0)))</f>
        <v/>
      </c>
      <c r="K616" s="97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inlineStr">
        <is>
          <t>Nao</t>
        </is>
      </c>
      <c r="W616" s="110" t="inlineStr">
        <is>
          <t>PC em analise</t>
        </is>
      </c>
      <c r="X616" s="110" t="inlineStr">
        <is>
          <t>Pedido de Compra</t>
        </is>
      </c>
      <c r="Y616" s="111" t="inlineStr">
        <is>
          <t>Impacto Potencial</t>
        </is>
      </c>
      <c r="Z616" s="111" t="inlineStr">
        <is>
          <t>PC</t>
        </is>
      </c>
      <c r="AA616" s="111" t="inlineStr">
        <is>
          <t>Nao</t>
        </is>
      </c>
      <c r="AB616" s="111" t="inlineStr">
        <is>
          <t>NAO_COMPUTADO</t>
        </is>
      </c>
      <c r="AC616" s="112" t="inlineStr">
        <is>
          <t>Estrutura Fase 1: sem impacto no VTA oficial</t>
        </is>
      </c>
    </row>
    <row r="617" ht="25.5" customHeight="1" s="289">
      <c r="A617" s="205" t="n"/>
      <c r="B617" s="207" t="n"/>
      <c r="C617" s="104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348" t="n"/>
      <c r="E617" s="349">
        <f>IF(C617="","",IFERROR(VLOOKUP(C617,parametros!$A$11:$E$15,5,0),""))</f>
        <v/>
      </c>
      <c r="F617" s="335">
        <f>IF(OR(D617="",E617=""),"",ROUND(D617*E617,2))</f>
        <v/>
      </c>
      <c r="G617" s="106" t="n"/>
      <c r="H617" s="350">
        <f>IF(G617="Sim",IF(OR(F617="",D617="",L617=""),"",IF(L617="Sim",ROUND(F617-D617,2),0)),0)</f>
        <v/>
      </c>
      <c r="I617" s="350">
        <f>IF(G617="Sim",0,IF(OR(F617="",L617=""),"",F617))</f>
        <v/>
      </c>
      <c r="J617" s="350">
        <f>IF(G617="Sim",0,IF(OR(F617="",D617="",L617=""),"",IF(L617="Sim",ROUND(F617-D617,2),0)))</f>
        <v/>
      </c>
      <c r="K617" s="97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inlineStr">
        <is>
          <t>Nao</t>
        </is>
      </c>
      <c r="W617" s="110" t="inlineStr">
        <is>
          <t>PC em analise</t>
        </is>
      </c>
      <c r="X617" s="110" t="inlineStr">
        <is>
          <t>Pedido de Compra</t>
        </is>
      </c>
      <c r="Y617" s="111" t="inlineStr">
        <is>
          <t>Impacto Potencial</t>
        </is>
      </c>
      <c r="Z617" s="111" t="inlineStr">
        <is>
          <t>PC</t>
        </is>
      </c>
      <c r="AA617" s="111" t="inlineStr">
        <is>
          <t>Nao</t>
        </is>
      </c>
      <c r="AB617" s="111" t="inlineStr">
        <is>
          <t>NAO_COMPUTADO</t>
        </is>
      </c>
      <c r="AC617" s="112" t="inlineStr">
        <is>
          <t>Estrutura Fase 1: sem impacto no VTA oficial</t>
        </is>
      </c>
    </row>
    <row r="618" ht="25.5" customHeight="1" s="289">
      <c r="A618" s="205" t="n"/>
      <c r="B618" s="207" t="n"/>
      <c r="C618" s="104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348" t="n"/>
      <c r="E618" s="349">
        <f>IF(C618="","",IFERROR(VLOOKUP(C618,parametros!$A$11:$E$15,5,0),""))</f>
        <v/>
      </c>
      <c r="F618" s="335">
        <f>IF(OR(D618="",E618=""),"",ROUND(D618*E618,2))</f>
        <v/>
      </c>
      <c r="G618" s="106" t="n"/>
      <c r="H618" s="350">
        <f>IF(G618="Sim",IF(OR(F618="",D618="",L618=""),"",IF(L618="Sim",ROUND(F618-D618,2),0)),0)</f>
        <v/>
      </c>
      <c r="I618" s="350">
        <f>IF(G618="Sim",0,IF(OR(F618="",L618=""),"",F618))</f>
        <v/>
      </c>
      <c r="J618" s="350">
        <f>IF(G618="Sim",0,IF(OR(F618="",D618="",L618=""),"",IF(L618="Sim",ROUND(F618-D618,2),0)))</f>
        <v/>
      </c>
      <c r="K618" s="97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inlineStr">
        <is>
          <t>Nao</t>
        </is>
      </c>
      <c r="W618" s="110" t="inlineStr">
        <is>
          <t>PC em analise</t>
        </is>
      </c>
      <c r="X618" s="110" t="inlineStr">
        <is>
          <t>Pedido de Compra</t>
        </is>
      </c>
      <c r="Y618" s="111" t="inlineStr">
        <is>
          <t>Impacto Potencial</t>
        </is>
      </c>
      <c r="Z618" s="111" t="inlineStr">
        <is>
          <t>PC</t>
        </is>
      </c>
      <c r="AA618" s="111" t="inlineStr">
        <is>
          <t>Nao</t>
        </is>
      </c>
      <c r="AB618" s="111" t="inlineStr">
        <is>
          <t>NAO_COMPUTADO</t>
        </is>
      </c>
      <c r="AC618" s="112" t="inlineStr">
        <is>
          <t>Estrutura Fase 1: sem impacto no VTA oficial</t>
        </is>
      </c>
    </row>
    <row r="619" ht="25.5" customHeight="1" s="289">
      <c r="A619" s="205" t="n"/>
      <c r="B619" s="207" t="n"/>
      <c r="C619" s="104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348" t="n"/>
      <c r="E619" s="349">
        <f>IF(C619="","",IFERROR(VLOOKUP(C619,parametros!$A$11:$E$15,5,0),""))</f>
        <v/>
      </c>
      <c r="F619" s="335">
        <f>IF(OR(D619="",E619=""),"",ROUND(D619*E619,2))</f>
        <v/>
      </c>
      <c r="G619" s="106" t="n"/>
      <c r="H619" s="350">
        <f>IF(G619="Sim",IF(OR(F619="",D619="",L619=""),"",IF(L619="Sim",ROUND(F619-D619,2),0)),0)</f>
        <v/>
      </c>
      <c r="I619" s="350">
        <f>IF(G619="Sim",0,IF(OR(F619="",L619=""),"",F619))</f>
        <v/>
      </c>
      <c r="J619" s="350">
        <f>IF(G619="Sim",0,IF(OR(F619="",D619="",L619=""),"",IF(L619="Sim",ROUND(F619-D619,2),0)))</f>
        <v/>
      </c>
      <c r="K619" s="97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inlineStr">
        <is>
          <t>Nao</t>
        </is>
      </c>
      <c r="W619" s="110" t="inlineStr">
        <is>
          <t>PC em analise</t>
        </is>
      </c>
      <c r="X619" s="110" t="inlineStr">
        <is>
          <t>Pedido de Compra</t>
        </is>
      </c>
      <c r="Y619" s="111" t="inlineStr">
        <is>
          <t>Impacto Potencial</t>
        </is>
      </c>
      <c r="Z619" s="111" t="inlineStr">
        <is>
          <t>PC</t>
        </is>
      </c>
      <c r="AA619" s="111" t="inlineStr">
        <is>
          <t>Nao</t>
        </is>
      </c>
      <c r="AB619" s="111" t="inlineStr">
        <is>
          <t>NAO_COMPUTADO</t>
        </is>
      </c>
      <c r="AC619" s="112" t="inlineStr">
        <is>
          <t>Estrutura Fase 1: sem impacto no VTA oficial</t>
        </is>
      </c>
    </row>
    <row r="620" ht="25.5" customHeight="1" s="289">
      <c r="A620" s="205" t="n"/>
      <c r="B620" s="207" t="n"/>
      <c r="C620" s="104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348" t="n"/>
      <c r="E620" s="349">
        <f>IF(C620="","",IFERROR(VLOOKUP(C620,parametros!$A$11:$E$15,5,0),""))</f>
        <v/>
      </c>
      <c r="F620" s="335">
        <f>IF(OR(D620="",E620=""),"",ROUND(D620*E620,2))</f>
        <v/>
      </c>
      <c r="G620" s="106" t="n"/>
      <c r="H620" s="350">
        <f>IF(G620="Sim",IF(OR(F620="",D620="",L620=""),"",IF(L620="Sim",ROUND(F620-D620,2),0)),0)</f>
        <v/>
      </c>
      <c r="I620" s="350">
        <f>IF(G620="Sim",0,IF(OR(F620="",L620=""),"",F620))</f>
        <v/>
      </c>
      <c r="J620" s="350">
        <f>IF(G620="Sim",0,IF(OR(F620="",D620="",L620=""),"",IF(L620="Sim",ROUND(F620-D620,2),0)))</f>
        <v/>
      </c>
      <c r="K620" s="97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inlineStr">
        <is>
          <t>Nao</t>
        </is>
      </c>
      <c r="W620" s="110" t="inlineStr">
        <is>
          <t>PC em analise</t>
        </is>
      </c>
      <c r="X620" s="110" t="inlineStr">
        <is>
          <t>Pedido de Compra</t>
        </is>
      </c>
      <c r="Y620" s="111" t="inlineStr">
        <is>
          <t>Impacto Potencial</t>
        </is>
      </c>
      <c r="Z620" s="111" t="inlineStr">
        <is>
          <t>PC</t>
        </is>
      </c>
      <c r="AA620" s="111" t="inlineStr">
        <is>
          <t>Nao</t>
        </is>
      </c>
      <c r="AB620" s="111" t="inlineStr">
        <is>
          <t>NAO_COMPUTADO</t>
        </is>
      </c>
      <c r="AC620" s="112" t="inlineStr">
        <is>
          <t>Estrutura Fase 1: sem impacto no VTA oficial</t>
        </is>
      </c>
    </row>
    <row r="621" ht="25.5" customHeight="1" s="289">
      <c r="A621" s="205" t="n"/>
      <c r="B621" s="207" t="n"/>
      <c r="C621" s="104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348" t="n"/>
      <c r="E621" s="349">
        <f>IF(C621="","",IFERROR(VLOOKUP(C621,parametros!$A$11:$E$15,5,0),""))</f>
        <v/>
      </c>
      <c r="F621" s="335">
        <f>IF(OR(D621="",E621=""),"",ROUND(D621*E621,2))</f>
        <v/>
      </c>
      <c r="G621" s="106" t="n"/>
      <c r="H621" s="350">
        <f>IF(G621="Sim",IF(OR(F621="",D621="",L621=""),"",IF(L621="Sim",ROUND(F621-D621,2),0)),0)</f>
        <v/>
      </c>
      <c r="I621" s="350">
        <f>IF(G621="Sim",0,IF(OR(F621="",L621=""),"",F621))</f>
        <v/>
      </c>
      <c r="J621" s="350">
        <f>IF(G621="Sim",0,IF(OR(F621="",D621="",L621=""),"",IF(L621="Sim",ROUND(F621-D621,2),0)))</f>
        <v/>
      </c>
      <c r="K621" s="97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inlineStr">
        <is>
          <t>Nao</t>
        </is>
      </c>
      <c r="W621" s="110" t="inlineStr">
        <is>
          <t>PC em analise</t>
        </is>
      </c>
      <c r="X621" s="110" t="inlineStr">
        <is>
          <t>Pedido de Compra</t>
        </is>
      </c>
      <c r="Y621" s="111" t="inlineStr">
        <is>
          <t>Impacto Potencial</t>
        </is>
      </c>
      <c r="Z621" s="111" t="inlineStr">
        <is>
          <t>PC</t>
        </is>
      </c>
      <c r="AA621" s="111" t="inlineStr">
        <is>
          <t>Nao</t>
        </is>
      </c>
      <c r="AB621" s="111" t="inlineStr">
        <is>
          <t>NAO_COMPUTADO</t>
        </is>
      </c>
      <c r="AC621" s="112" t="inlineStr">
        <is>
          <t>Estrutura Fase 1: sem impacto no VTA oficial</t>
        </is>
      </c>
    </row>
    <row r="622" ht="25.5" customHeight="1" s="289">
      <c r="A622" s="205" t="n"/>
      <c r="B622" s="207" t="n"/>
      <c r="C622" s="104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348" t="n"/>
      <c r="E622" s="349">
        <f>IF(C622="","",IFERROR(VLOOKUP(C622,parametros!$A$11:$E$15,5,0),""))</f>
        <v/>
      </c>
      <c r="F622" s="335">
        <f>IF(OR(D622="",E622=""),"",ROUND(D622*E622,2))</f>
        <v/>
      </c>
      <c r="G622" s="106" t="n"/>
      <c r="H622" s="350">
        <f>IF(G622="Sim",IF(OR(F622="",D622="",L622=""),"",IF(L622="Sim",ROUND(F622-D622,2),0)),0)</f>
        <v/>
      </c>
      <c r="I622" s="350">
        <f>IF(G622="Sim",0,IF(OR(F622="",L622=""),"",F622))</f>
        <v/>
      </c>
      <c r="J622" s="350">
        <f>IF(G622="Sim",0,IF(OR(F622="",D622="",L622=""),"",IF(L622="Sim",ROUND(F622-D622,2),0)))</f>
        <v/>
      </c>
      <c r="K622" s="97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inlineStr">
        <is>
          <t>Nao</t>
        </is>
      </c>
      <c r="W622" s="110" t="inlineStr">
        <is>
          <t>PC em analise</t>
        </is>
      </c>
      <c r="X622" s="110" t="inlineStr">
        <is>
          <t>Pedido de Compra</t>
        </is>
      </c>
      <c r="Y622" s="111" t="inlineStr">
        <is>
          <t>Impacto Potencial</t>
        </is>
      </c>
      <c r="Z622" s="111" t="inlineStr">
        <is>
          <t>PC</t>
        </is>
      </c>
      <c r="AA622" s="111" t="inlineStr">
        <is>
          <t>Nao</t>
        </is>
      </c>
      <c r="AB622" s="111" t="inlineStr">
        <is>
          <t>NAO_COMPUTADO</t>
        </is>
      </c>
      <c r="AC622" s="112" t="inlineStr">
        <is>
          <t>Estrutura Fase 1: sem impacto no VTA oficial</t>
        </is>
      </c>
    </row>
    <row r="623" ht="25.5" customHeight="1" s="289">
      <c r="A623" s="205" t="n"/>
      <c r="B623" s="207" t="n"/>
      <c r="C623" s="104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348" t="n"/>
      <c r="E623" s="349">
        <f>IF(C623="","",IFERROR(VLOOKUP(C623,parametros!$A$11:$E$15,5,0),""))</f>
        <v/>
      </c>
      <c r="F623" s="335">
        <f>IF(OR(D623="",E623=""),"",ROUND(D623*E623,2))</f>
        <v/>
      </c>
      <c r="G623" s="106" t="n"/>
      <c r="H623" s="350">
        <f>IF(G623="Sim",IF(OR(F623="",D623="",L623=""),"",IF(L623="Sim",ROUND(F623-D623,2),0)),0)</f>
        <v/>
      </c>
      <c r="I623" s="350">
        <f>IF(G623="Sim",0,IF(OR(F623="",L623=""),"",F623))</f>
        <v/>
      </c>
      <c r="J623" s="350">
        <f>IF(G623="Sim",0,IF(OR(F623="",D623="",L623=""),"",IF(L623="Sim",ROUND(F623-D623,2),0)))</f>
        <v/>
      </c>
      <c r="K623" s="97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inlineStr">
        <is>
          <t>Nao</t>
        </is>
      </c>
      <c r="W623" s="110" t="inlineStr">
        <is>
          <t>PC em analise</t>
        </is>
      </c>
      <c r="X623" s="110" t="inlineStr">
        <is>
          <t>Pedido de Compra</t>
        </is>
      </c>
      <c r="Y623" s="111" t="inlineStr">
        <is>
          <t>Impacto Potencial</t>
        </is>
      </c>
      <c r="Z623" s="111" t="inlineStr">
        <is>
          <t>PC</t>
        </is>
      </c>
      <c r="AA623" s="111" t="inlineStr">
        <is>
          <t>Nao</t>
        </is>
      </c>
      <c r="AB623" s="111" t="inlineStr">
        <is>
          <t>NAO_COMPUTADO</t>
        </is>
      </c>
      <c r="AC623" s="112" t="inlineStr">
        <is>
          <t>Estrutura Fase 1: sem impacto no VTA oficial</t>
        </is>
      </c>
    </row>
    <row r="624" ht="25.5" customHeight="1" s="289">
      <c r="A624" s="205" t="n"/>
      <c r="B624" s="207" t="n"/>
      <c r="C624" s="104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348" t="n"/>
      <c r="E624" s="349">
        <f>IF(C624="","",IFERROR(VLOOKUP(C624,parametros!$A$11:$E$15,5,0),""))</f>
        <v/>
      </c>
      <c r="F624" s="335">
        <f>IF(OR(D624="",E624=""),"",ROUND(D624*E624,2))</f>
        <v/>
      </c>
      <c r="G624" s="106" t="n"/>
      <c r="H624" s="350">
        <f>IF(G624="Sim",IF(OR(F624="",D624="",L624=""),"",IF(L624="Sim",ROUND(F624-D624,2),0)),0)</f>
        <v/>
      </c>
      <c r="I624" s="350">
        <f>IF(G624="Sim",0,IF(OR(F624="",L624=""),"",F624))</f>
        <v/>
      </c>
      <c r="J624" s="350">
        <f>IF(G624="Sim",0,IF(OR(F624="",D624="",L624=""),"",IF(L624="Sim",ROUND(F624-D624,2),0)))</f>
        <v/>
      </c>
      <c r="K624" s="97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inlineStr">
        <is>
          <t>Nao</t>
        </is>
      </c>
      <c r="W624" s="110" t="inlineStr">
        <is>
          <t>PC em analise</t>
        </is>
      </c>
      <c r="X624" s="110" t="inlineStr">
        <is>
          <t>Pedido de Compra</t>
        </is>
      </c>
      <c r="Y624" s="111" t="inlineStr">
        <is>
          <t>Impacto Potencial</t>
        </is>
      </c>
      <c r="Z624" s="111" t="inlineStr">
        <is>
          <t>PC</t>
        </is>
      </c>
      <c r="AA624" s="111" t="inlineStr">
        <is>
          <t>Nao</t>
        </is>
      </c>
      <c r="AB624" s="111" t="inlineStr">
        <is>
          <t>NAO_COMPUTADO</t>
        </is>
      </c>
      <c r="AC624" s="112" t="inlineStr">
        <is>
          <t>Estrutura Fase 1: sem impacto no VTA oficial</t>
        </is>
      </c>
    </row>
    <row r="625" ht="25.5" customHeight="1" s="289">
      <c r="A625" s="205" t="n"/>
      <c r="B625" s="207" t="n"/>
      <c r="C625" s="104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348" t="n"/>
      <c r="E625" s="349">
        <f>IF(C625="","",IFERROR(VLOOKUP(C625,parametros!$A$11:$E$15,5,0),""))</f>
        <v/>
      </c>
      <c r="F625" s="335">
        <f>IF(OR(D625="",E625=""),"",ROUND(D625*E625,2))</f>
        <v/>
      </c>
      <c r="G625" s="106" t="n"/>
      <c r="H625" s="350">
        <f>IF(G625="Sim",IF(OR(F625="",D625="",L625=""),"",IF(L625="Sim",ROUND(F625-D625,2),0)),0)</f>
        <v/>
      </c>
      <c r="I625" s="350">
        <f>IF(G625="Sim",0,IF(OR(F625="",L625=""),"",F625))</f>
        <v/>
      </c>
      <c r="J625" s="350">
        <f>IF(G625="Sim",0,IF(OR(F625="",D625="",L625=""),"",IF(L625="Sim",ROUND(F625-D625,2),0)))</f>
        <v/>
      </c>
      <c r="K625" s="97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inlineStr">
        <is>
          <t>Nao</t>
        </is>
      </c>
      <c r="W625" s="110" t="inlineStr">
        <is>
          <t>PC em analise</t>
        </is>
      </c>
      <c r="X625" s="110" t="inlineStr">
        <is>
          <t>Pedido de Compra</t>
        </is>
      </c>
      <c r="Y625" s="111" t="inlineStr">
        <is>
          <t>Impacto Potencial</t>
        </is>
      </c>
      <c r="Z625" s="111" t="inlineStr">
        <is>
          <t>PC</t>
        </is>
      </c>
      <c r="AA625" s="111" t="inlineStr">
        <is>
          <t>Nao</t>
        </is>
      </c>
      <c r="AB625" s="111" t="inlineStr">
        <is>
          <t>NAO_COMPUTADO</t>
        </is>
      </c>
      <c r="AC625" s="112" t="inlineStr">
        <is>
          <t>Estrutura Fase 1: sem impacto no VTA oficial</t>
        </is>
      </c>
    </row>
    <row r="626" ht="25.5" customHeight="1" s="289">
      <c r="A626" s="205" t="n"/>
      <c r="B626" s="207" t="n"/>
      <c r="C626" s="104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348" t="n"/>
      <c r="E626" s="349">
        <f>IF(C626="","",IFERROR(VLOOKUP(C626,parametros!$A$11:$E$15,5,0),""))</f>
        <v/>
      </c>
      <c r="F626" s="335">
        <f>IF(OR(D626="",E626=""),"",ROUND(D626*E626,2))</f>
        <v/>
      </c>
      <c r="G626" s="106" t="n"/>
      <c r="H626" s="350">
        <f>IF(G626="Sim",IF(OR(F626="",D626="",L626=""),"",IF(L626="Sim",ROUND(F626-D626,2),0)),0)</f>
        <v/>
      </c>
      <c r="I626" s="350">
        <f>IF(G626="Sim",0,IF(OR(F626="",L626=""),"",F626))</f>
        <v/>
      </c>
      <c r="J626" s="350">
        <f>IF(G626="Sim",0,IF(OR(F626="",D626="",L626=""),"",IF(L626="Sim",ROUND(F626-D626,2),0)))</f>
        <v/>
      </c>
      <c r="K626" s="97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inlineStr">
        <is>
          <t>Nao</t>
        </is>
      </c>
      <c r="W626" s="110" t="inlineStr">
        <is>
          <t>PC em analise</t>
        </is>
      </c>
      <c r="X626" s="110" t="inlineStr">
        <is>
          <t>Pedido de Compra</t>
        </is>
      </c>
      <c r="Y626" s="111" t="inlineStr">
        <is>
          <t>Impacto Potencial</t>
        </is>
      </c>
      <c r="Z626" s="111" t="inlineStr">
        <is>
          <t>PC</t>
        </is>
      </c>
      <c r="AA626" s="111" t="inlineStr">
        <is>
          <t>Nao</t>
        </is>
      </c>
      <c r="AB626" s="111" t="inlineStr">
        <is>
          <t>NAO_COMPUTADO</t>
        </is>
      </c>
      <c r="AC626" s="112" t="inlineStr">
        <is>
          <t>Estrutura Fase 1: sem impacto no VTA oficial</t>
        </is>
      </c>
    </row>
    <row r="627" ht="25.5" customHeight="1" s="289">
      <c r="A627" s="205" t="n"/>
      <c r="B627" s="207" t="n"/>
      <c r="C627" s="104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348" t="n"/>
      <c r="E627" s="349">
        <f>IF(C627="","",IFERROR(VLOOKUP(C627,parametros!$A$11:$E$15,5,0),""))</f>
        <v/>
      </c>
      <c r="F627" s="335">
        <f>IF(OR(D627="",E627=""),"",ROUND(D627*E627,2))</f>
        <v/>
      </c>
      <c r="G627" s="106" t="n"/>
      <c r="H627" s="350">
        <f>IF(G627="Sim",IF(OR(F627="",D627="",L627=""),"",IF(L627="Sim",ROUND(F627-D627,2),0)),0)</f>
        <v/>
      </c>
      <c r="I627" s="350">
        <f>IF(G627="Sim",0,IF(OR(F627="",L627=""),"",F627))</f>
        <v/>
      </c>
      <c r="J627" s="350">
        <f>IF(G627="Sim",0,IF(OR(F627="",D627="",L627=""),"",IF(L627="Sim",ROUND(F627-D627,2),0)))</f>
        <v/>
      </c>
      <c r="K627" s="97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inlineStr">
        <is>
          <t>Nao</t>
        </is>
      </c>
      <c r="W627" s="110" t="inlineStr">
        <is>
          <t>PC em analise</t>
        </is>
      </c>
      <c r="X627" s="110" t="inlineStr">
        <is>
          <t>Pedido de Compra</t>
        </is>
      </c>
      <c r="Y627" s="111" t="inlineStr">
        <is>
          <t>Impacto Potencial</t>
        </is>
      </c>
      <c r="Z627" s="111" t="inlineStr">
        <is>
          <t>PC</t>
        </is>
      </c>
      <c r="AA627" s="111" t="inlineStr">
        <is>
          <t>Nao</t>
        </is>
      </c>
      <c r="AB627" s="111" t="inlineStr">
        <is>
          <t>NAO_COMPUTADO</t>
        </is>
      </c>
      <c r="AC627" s="112" t="inlineStr">
        <is>
          <t>Estrutura Fase 1: sem impacto no VTA oficial</t>
        </is>
      </c>
    </row>
    <row r="628" ht="25.5" customHeight="1" s="289">
      <c r="A628" s="205" t="n"/>
      <c r="B628" s="207" t="n"/>
      <c r="C628" s="104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348" t="n"/>
      <c r="E628" s="349">
        <f>IF(C628="","",IFERROR(VLOOKUP(C628,parametros!$A$11:$E$15,5,0),""))</f>
        <v/>
      </c>
      <c r="F628" s="335">
        <f>IF(OR(D628="",E628=""),"",ROUND(D628*E628,2))</f>
        <v/>
      </c>
      <c r="G628" s="106" t="n"/>
      <c r="H628" s="350">
        <f>IF(G628="Sim",IF(OR(F628="",D628="",L628=""),"",IF(L628="Sim",ROUND(F628-D628,2),0)),0)</f>
        <v/>
      </c>
      <c r="I628" s="350">
        <f>IF(G628="Sim",0,IF(OR(F628="",L628=""),"",F628))</f>
        <v/>
      </c>
      <c r="J628" s="350">
        <f>IF(G628="Sim",0,IF(OR(F628="",D628="",L628=""),"",IF(L628="Sim",ROUND(F628-D628,2),0)))</f>
        <v/>
      </c>
      <c r="K628" s="97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inlineStr">
        <is>
          <t>Nao</t>
        </is>
      </c>
      <c r="W628" s="110" t="inlineStr">
        <is>
          <t>PC em analise</t>
        </is>
      </c>
      <c r="X628" s="110" t="inlineStr">
        <is>
          <t>Pedido de Compra</t>
        </is>
      </c>
      <c r="Y628" s="111" t="inlineStr">
        <is>
          <t>Impacto Potencial</t>
        </is>
      </c>
      <c r="Z628" s="111" t="inlineStr">
        <is>
          <t>PC</t>
        </is>
      </c>
      <c r="AA628" s="111" t="inlineStr">
        <is>
          <t>Nao</t>
        </is>
      </c>
      <c r="AB628" s="111" t="inlineStr">
        <is>
          <t>NAO_COMPUTADO</t>
        </is>
      </c>
      <c r="AC628" s="112" t="inlineStr">
        <is>
          <t>Estrutura Fase 1: sem impacto no VTA oficial</t>
        </is>
      </c>
    </row>
    <row r="629" ht="25.5" customHeight="1" s="289">
      <c r="A629" s="205" t="n"/>
      <c r="B629" s="207" t="n"/>
      <c r="C629" s="104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348" t="n"/>
      <c r="E629" s="349">
        <f>IF(C629="","",IFERROR(VLOOKUP(C629,parametros!$A$11:$E$15,5,0),""))</f>
        <v/>
      </c>
      <c r="F629" s="335">
        <f>IF(OR(D629="",E629=""),"",ROUND(D629*E629,2))</f>
        <v/>
      </c>
      <c r="G629" s="106" t="n"/>
      <c r="H629" s="350">
        <f>IF(G629="Sim",IF(OR(F629="",D629="",L629=""),"",IF(L629="Sim",ROUND(F629-D629,2),0)),0)</f>
        <v/>
      </c>
      <c r="I629" s="350">
        <f>IF(G629="Sim",0,IF(OR(F629="",L629=""),"",F629))</f>
        <v/>
      </c>
      <c r="J629" s="350">
        <f>IF(G629="Sim",0,IF(OR(F629="",D629="",L629=""),"",IF(L629="Sim",ROUND(F629-D629,2),0)))</f>
        <v/>
      </c>
      <c r="K629" s="97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inlineStr">
        <is>
          <t>Nao</t>
        </is>
      </c>
      <c r="W629" s="110" t="inlineStr">
        <is>
          <t>PC em analise</t>
        </is>
      </c>
      <c r="X629" s="110" t="inlineStr">
        <is>
          <t>Pedido de Compra</t>
        </is>
      </c>
      <c r="Y629" s="111" t="inlineStr">
        <is>
          <t>Impacto Potencial</t>
        </is>
      </c>
      <c r="Z629" s="111" t="inlineStr">
        <is>
          <t>PC</t>
        </is>
      </c>
      <c r="AA629" s="111" t="inlineStr">
        <is>
          <t>Nao</t>
        </is>
      </c>
      <c r="AB629" s="111" t="inlineStr">
        <is>
          <t>NAO_COMPUTADO</t>
        </is>
      </c>
      <c r="AC629" s="112" t="inlineStr">
        <is>
          <t>Estrutura Fase 1: sem impacto no VTA oficial</t>
        </is>
      </c>
    </row>
    <row r="630" ht="25.5" customHeight="1" s="289">
      <c r="A630" s="205" t="n"/>
      <c r="B630" s="207" t="n"/>
      <c r="C630" s="104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348" t="n"/>
      <c r="E630" s="349">
        <f>IF(C630="","",IFERROR(VLOOKUP(C630,parametros!$A$11:$E$15,5,0),""))</f>
        <v/>
      </c>
      <c r="F630" s="335">
        <f>IF(OR(D630="",E630=""),"",ROUND(D630*E630,2))</f>
        <v/>
      </c>
      <c r="G630" s="106" t="n"/>
      <c r="H630" s="350">
        <f>IF(G630="Sim",IF(OR(F630="",D630="",L630=""),"",IF(L630="Sim",ROUND(F630-D630,2),0)),0)</f>
        <v/>
      </c>
      <c r="I630" s="350">
        <f>IF(G630="Sim",0,IF(OR(F630="",L630=""),"",F630))</f>
        <v/>
      </c>
      <c r="J630" s="350">
        <f>IF(G630="Sim",0,IF(OR(F630="",D630="",L630=""),"",IF(L630="Sim",ROUND(F630-D630,2),0)))</f>
        <v/>
      </c>
      <c r="K630" s="97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inlineStr">
        <is>
          <t>Nao</t>
        </is>
      </c>
      <c r="W630" s="110" t="inlineStr">
        <is>
          <t>PC em analise</t>
        </is>
      </c>
      <c r="X630" s="110" t="inlineStr">
        <is>
          <t>Pedido de Compra</t>
        </is>
      </c>
      <c r="Y630" s="111" t="inlineStr">
        <is>
          <t>Impacto Potencial</t>
        </is>
      </c>
      <c r="Z630" s="111" t="inlineStr">
        <is>
          <t>PC</t>
        </is>
      </c>
      <c r="AA630" s="111" t="inlineStr">
        <is>
          <t>Nao</t>
        </is>
      </c>
      <c r="AB630" s="111" t="inlineStr">
        <is>
          <t>NAO_COMPUTADO</t>
        </is>
      </c>
      <c r="AC630" s="112" t="inlineStr">
        <is>
          <t>Estrutura Fase 1: sem impacto no VTA oficial</t>
        </is>
      </c>
    </row>
    <row r="631" ht="25.5" customHeight="1" s="289">
      <c r="A631" s="205" t="n"/>
      <c r="B631" s="207" t="n"/>
      <c r="C631" s="104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348" t="n"/>
      <c r="E631" s="349">
        <f>IF(C631="","",IFERROR(VLOOKUP(C631,parametros!$A$11:$E$15,5,0),""))</f>
        <v/>
      </c>
      <c r="F631" s="335">
        <f>IF(OR(D631="",E631=""),"",ROUND(D631*E631,2))</f>
        <v/>
      </c>
      <c r="G631" s="106" t="n"/>
      <c r="H631" s="350">
        <f>IF(G631="Sim",IF(OR(F631="",D631="",L631=""),"",IF(L631="Sim",ROUND(F631-D631,2),0)),0)</f>
        <v/>
      </c>
      <c r="I631" s="350">
        <f>IF(G631="Sim",0,IF(OR(F631="",L631=""),"",F631))</f>
        <v/>
      </c>
      <c r="J631" s="350">
        <f>IF(G631="Sim",0,IF(OR(F631="",D631="",L631=""),"",IF(L631="Sim",ROUND(F631-D631,2),0)))</f>
        <v/>
      </c>
      <c r="K631" s="97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inlineStr">
        <is>
          <t>Nao</t>
        </is>
      </c>
      <c r="W631" s="110" t="inlineStr">
        <is>
          <t>PC em analise</t>
        </is>
      </c>
      <c r="X631" s="110" t="inlineStr">
        <is>
          <t>Pedido de Compra</t>
        </is>
      </c>
      <c r="Y631" s="111" t="inlineStr">
        <is>
          <t>Impacto Potencial</t>
        </is>
      </c>
      <c r="Z631" s="111" t="inlineStr">
        <is>
          <t>PC</t>
        </is>
      </c>
      <c r="AA631" s="111" t="inlineStr">
        <is>
          <t>Nao</t>
        </is>
      </c>
      <c r="AB631" s="111" t="inlineStr">
        <is>
          <t>NAO_COMPUTADO</t>
        </is>
      </c>
      <c r="AC631" s="112" t="inlineStr">
        <is>
          <t>Estrutura Fase 1: sem impacto no VTA oficial</t>
        </is>
      </c>
    </row>
    <row r="632" ht="25.5" customHeight="1" s="289">
      <c r="A632" s="205" t="n"/>
      <c r="B632" s="207" t="n"/>
      <c r="C632" s="104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348" t="n"/>
      <c r="E632" s="349">
        <f>IF(C632="","",IFERROR(VLOOKUP(C632,parametros!$A$11:$E$15,5,0),""))</f>
        <v/>
      </c>
      <c r="F632" s="335">
        <f>IF(OR(D632="",E632=""),"",ROUND(D632*E632,2))</f>
        <v/>
      </c>
      <c r="G632" s="106" t="n"/>
      <c r="H632" s="350">
        <f>IF(G632="Sim",IF(OR(F632="",D632="",L632=""),"",IF(L632="Sim",ROUND(F632-D632,2),0)),0)</f>
        <v/>
      </c>
      <c r="I632" s="350">
        <f>IF(G632="Sim",0,IF(OR(F632="",L632=""),"",F632))</f>
        <v/>
      </c>
      <c r="J632" s="350">
        <f>IF(G632="Sim",0,IF(OR(F632="",D632="",L632=""),"",IF(L632="Sim",ROUND(F632-D632,2),0)))</f>
        <v/>
      </c>
      <c r="K632" s="97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inlineStr">
        <is>
          <t>Nao</t>
        </is>
      </c>
      <c r="W632" s="110" t="inlineStr">
        <is>
          <t>PC em analise</t>
        </is>
      </c>
      <c r="X632" s="110" t="inlineStr">
        <is>
          <t>Pedido de Compra</t>
        </is>
      </c>
      <c r="Y632" s="111" t="inlineStr">
        <is>
          <t>Impacto Potencial</t>
        </is>
      </c>
      <c r="Z632" s="111" t="inlineStr">
        <is>
          <t>PC</t>
        </is>
      </c>
      <c r="AA632" s="111" t="inlineStr">
        <is>
          <t>Nao</t>
        </is>
      </c>
      <c r="AB632" s="111" t="inlineStr">
        <is>
          <t>NAO_COMPUTADO</t>
        </is>
      </c>
      <c r="AC632" s="112" t="inlineStr">
        <is>
          <t>Estrutura Fase 1: sem impacto no VTA oficial</t>
        </is>
      </c>
    </row>
    <row r="633" ht="25.5" customHeight="1" s="289">
      <c r="A633" s="205" t="n"/>
      <c r="B633" s="207" t="n"/>
      <c r="C633" s="104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348" t="n"/>
      <c r="E633" s="349">
        <f>IF(C633="","",IFERROR(VLOOKUP(C633,parametros!$A$11:$E$15,5,0),""))</f>
        <v/>
      </c>
      <c r="F633" s="335">
        <f>IF(OR(D633="",E633=""),"",ROUND(D633*E633,2))</f>
        <v/>
      </c>
      <c r="G633" s="106" t="n"/>
      <c r="H633" s="350">
        <f>IF(G633="Sim",IF(OR(F633="",D633="",L633=""),"",IF(L633="Sim",ROUND(F633-D633,2),0)),0)</f>
        <v/>
      </c>
      <c r="I633" s="350">
        <f>IF(G633="Sim",0,IF(OR(F633="",L633=""),"",F633))</f>
        <v/>
      </c>
      <c r="J633" s="350">
        <f>IF(G633="Sim",0,IF(OR(F633="",D633="",L633=""),"",IF(L633="Sim",ROUND(F633-D633,2),0)))</f>
        <v/>
      </c>
      <c r="K633" s="97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inlineStr">
        <is>
          <t>Nao</t>
        </is>
      </c>
      <c r="W633" s="110" t="inlineStr">
        <is>
          <t>PC em analise</t>
        </is>
      </c>
      <c r="X633" s="110" t="inlineStr">
        <is>
          <t>Pedido de Compra</t>
        </is>
      </c>
      <c r="Y633" s="111" t="inlineStr">
        <is>
          <t>Impacto Potencial</t>
        </is>
      </c>
      <c r="Z633" s="111" t="inlineStr">
        <is>
          <t>PC</t>
        </is>
      </c>
      <c r="AA633" s="111" t="inlineStr">
        <is>
          <t>Nao</t>
        </is>
      </c>
      <c r="AB633" s="111" t="inlineStr">
        <is>
          <t>NAO_COMPUTADO</t>
        </is>
      </c>
      <c r="AC633" s="112" t="inlineStr">
        <is>
          <t>Estrutura Fase 1: sem impacto no VTA oficial</t>
        </is>
      </c>
    </row>
    <row r="634" ht="25.5" customHeight="1" s="289">
      <c r="A634" s="205" t="n"/>
      <c r="B634" s="207" t="n"/>
      <c r="C634" s="104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348" t="n"/>
      <c r="E634" s="349">
        <f>IF(C634="","",IFERROR(VLOOKUP(C634,parametros!$A$11:$E$15,5,0),""))</f>
        <v/>
      </c>
      <c r="F634" s="335">
        <f>IF(OR(D634="",E634=""),"",ROUND(D634*E634,2))</f>
        <v/>
      </c>
      <c r="G634" s="106" t="n"/>
      <c r="H634" s="350">
        <f>IF(G634="Sim",IF(OR(F634="",D634="",L634=""),"",IF(L634="Sim",ROUND(F634-D634,2),0)),0)</f>
        <v/>
      </c>
      <c r="I634" s="350">
        <f>IF(G634="Sim",0,IF(OR(F634="",L634=""),"",F634))</f>
        <v/>
      </c>
      <c r="J634" s="350">
        <f>IF(G634="Sim",0,IF(OR(F634="",D634="",L634=""),"",IF(L634="Sim",ROUND(F634-D634,2),0)))</f>
        <v/>
      </c>
      <c r="K634" s="97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inlineStr">
        <is>
          <t>Nao</t>
        </is>
      </c>
      <c r="W634" s="110" t="inlineStr">
        <is>
          <t>PC em analise</t>
        </is>
      </c>
      <c r="X634" s="110" t="inlineStr">
        <is>
          <t>Pedido de Compra</t>
        </is>
      </c>
      <c r="Y634" s="111" t="inlineStr">
        <is>
          <t>Impacto Potencial</t>
        </is>
      </c>
      <c r="Z634" s="111" t="inlineStr">
        <is>
          <t>PC</t>
        </is>
      </c>
      <c r="AA634" s="111" t="inlineStr">
        <is>
          <t>Nao</t>
        </is>
      </c>
      <c r="AB634" s="111" t="inlineStr">
        <is>
          <t>NAO_COMPUTADO</t>
        </is>
      </c>
      <c r="AC634" s="112" t="inlineStr">
        <is>
          <t>Estrutura Fase 1: sem impacto no VTA oficial</t>
        </is>
      </c>
    </row>
    <row r="635" ht="25.5" customHeight="1" s="289">
      <c r="A635" s="205" t="n"/>
      <c r="B635" s="207" t="n"/>
      <c r="C635" s="104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348" t="n"/>
      <c r="E635" s="349">
        <f>IF(C635="","",IFERROR(VLOOKUP(C635,parametros!$A$11:$E$15,5,0),""))</f>
        <v/>
      </c>
      <c r="F635" s="335">
        <f>IF(OR(D635="",E635=""),"",ROUND(D635*E635,2))</f>
        <v/>
      </c>
      <c r="G635" s="106" t="n"/>
      <c r="H635" s="350">
        <f>IF(G635="Sim",IF(OR(F635="",D635="",L635=""),"",IF(L635="Sim",ROUND(F635-D635,2),0)),0)</f>
        <v/>
      </c>
      <c r="I635" s="350">
        <f>IF(G635="Sim",0,IF(OR(F635="",L635=""),"",F635))</f>
        <v/>
      </c>
      <c r="J635" s="350">
        <f>IF(G635="Sim",0,IF(OR(F635="",D635="",L635=""),"",IF(L635="Sim",ROUND(F635-D635,2),0)))</f>
        <v/>
      </c>
      <c r="K635" s="97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inlineStr">
        <is>
          <t>Nao</t>
        </is>
      </c>
      <c r="W635" s="110" t="inlineStr">
        <is>
          <t>PC em analise</t>
        </is>
      </c>
      <c r="X635" s="110" t="inlineStr">
        <is>
          <t>Pedido de Compra</t>
        </is>
      </c>
      <c r="Y635" s="111" t="inlineStr">
        <is>
          <t>Impacto Potencial</t>
        </is>
      </c>
      <c r="Z635" s="111" t="inlineStr">
        <is>
          <t>PC</t>
        </is>
      </c>
      <c r="AA635" s="111" t="inlineStr">
        <is>
          <t>Nao</t>
        </is>
      </c>
      <c r="AB635" s="111" t="inlineStr">
        <is>
          <t>NAO_COMPUTADO</t>
        </is>
      </c>
      <c r="AC635" s="112" t="inlineStr">
        <is>
          <t>Estrutura Fase 1: sem impacto no VTA oficial</t>
        </is>
      </c>
    </row>
    <row r="636" ht="25.5" customHeight="1" s="289">
      <c r="A636" s="205" t="n"/>
      <c r="B636" s="207" t="n"/>
      <c r="C636" s="104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348" t="n"/>
      <c r="E636" s="349">
        <f>IF(C636="","",IFERROR(VLOOKUP(C636,parametros!$A$11:$E$15,5,0),""))</f>
        <v/>
      </c>
      <c r="F636" s="335">
        <f>IF(OR(D636="",E636=""),"",ROUND(D636*E636,2))</f>
        <v/>
      </c>
      <c r="G636" s="106" t="n"/>
      <c r="H636" s="350">
        <f>IF(G636="Sim",IF(OR(F636="",D636="",L636=""),"",IF(L636="Sim",ROUND(F636-D636,2),0)),0)</f>
        <v/>
      </c>
      <c r="I636" s="350">
        <f>IF(G636="Sim",0,IF(OR(F636="",L636=""),"",F636))</f>
        <v/>
      </c>
      <c r="J636" s="350">
        <f>IF(G636="Sim",0,IF(OR(F636="",D636="",L636=""),"",IF(L636="Sim",ROUND(F636-D636,2),0)))</f>
        <v/>
      </c>
      <c r="K636" s="97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inlineStr">
        <is>
          <t>Nao</t>
        </is>
      </c>
      <c r="W636" s="110" t="inlineStr">
        <is>
          <t>PC em analise</t>
        </is>
      </c>
      <c r="X636" s="110" t="inlineStr">
        <is>
          <t>Pedido de Compra</t>
        </is>
      </c>
      <c r="Y636" s="111" t="inlineStr">
        <is>
          <t>Impacto Potencial</t>
        </is>
      </c>
      <c r="Z636" s="111" t="inlineStr">
        <is>
          <t>PC</t>
        </is>
      </c>
      <c r="AA636" s="111" t="inlineStr">
        <is>
          <t>Nao</t>
        </is>
      </c>
      <c r="AB636" s="111" t="inlineStr">
        <is>
          <t>NAO_COMPUTADO</t>
        </is>
      </c>
      <c r="AC636" s="112" t="inlineStr">
        <is>
          <t>Estrutura Fase 1: sem impacto no VTA oficial</t>
        </is>
      </c>
    </row>
    <row r="637" ht="25.5" customHeight="1" s="289">
      <c r="A637" s="205" t="n"/>
      <c r="B637" s="207" t="n"/>
      <c r="C637" s="104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348" t="n"/>
      <c r="E637" s="349">
        <f>IF(C637="","",IFERROR(VLOOKUP(C637,parametros!$A$11:$E$15,5,0),""))</f>
        <v/>
      </c>
      <c r="F637" s="335">
        <f>IF(OR(D637="",E637=""),"",ROUND(D637*E637,2))</f>
        <v/>
      </c>
      <c r="G637" s="106" t="n"/>
      <c r="H637" s="350">
        <f>IF(G637="Sim",IF(OR(F637="",D637="",L637=""),"",IF(L637="Sim",ROUND(F637-D637,2),0)),0)</f>
        <v/>
      </c>
      <c r="I637" s="350">
        <f>IF(G637="Sim",0,IF(OR(F637="",L637=""),"",F637))</f>
        <v/>
      </c>
      <c r="J637" s="350">
        <f>IF(G637="Sim",0,IF(OR(F637="",D637="",L637=""),"",IF(L637="Sim",ROUND(F637-D637,2),0)))</f>
        <v/>
      </c>
      <c r="K637" s="97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inlineStr">
        <is>
          <t>Nao</t>
        </is>
      </c>
      <c r="W637" s="110" t="inlineStr">
        <is>
          <t>PC em analise</t>
        </is>
      </c>
      <c r="X637" s="110" t="inlineStr">
        <is>
          <t>Pedido de Compra</t>
        </is>
      </c>
      <c r="Y637" s="111" t="inlineStr">
        <is>
          <t>Impacto Potencial</t>
        </is>
      </c>
      <c r="Z637" s="111" t="inlineStr">
        <is>
          <t>PC</t>
        </is>
      </c>
      <c r="AA637" s="111" t="inlineStr">
        <is>
          <t>Nao</t>
        </is>
      </c>
      <c r="AB637" s="111" t="inlineStr">
        <is>
          <t>NAO_COMPUTADO</t>
        </is>
      </c>
      <c r="AC637" s="112" t="inlineStr">
        <is>
          <t>Estrutura Fase 1: sem impacto no VTA oficial</t>
        </is>
      </c>
    </row>
    <row r="638" ht="25.5" customHeight="1" s="289">
      <c r="A638" s="205" t="n"/>
      <c r="B638" s="207" t="n"/>
      <c r="C638" s="104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348" t="n"/>
      <c r="E638" s="349">
        <f>IF(C638="","",IFERROR(VLOOKUP(C638,parametros!$A$11:$E$15,5,0),""))</f>
        <v/>
      </c>
      <c r="F638" s="335">
        <f>IF(OR(D638="",E638=""),"",ROUND(D638*E638,2))</f>
        <v/>
      </c>
      <c r="G638" s="106" t="n"/>
      <c r="H638" s="350">
        <f>IF(G638="Sim",IF(OR(F638="",D638="",L638=""),"",IF(L638="Sim",ROUND(F638-D638,2),0)),0)</f>
        <v/>
      </c>
      <c r="I638" s="350">
        <f>IF(G638="Sim",0,IF(OR(F638="",L638=""),"",F638))</f>
        <v/>
      </c>
      <c r="J638" s="350">
        <f>IF(G638="Sim",0,IF(OR(F638="",D638="",L638=""),"",IF(L638="Sim",ROUND(F638-D638,2),0)))</f>
        <v/>
      </c>
      <c r="K638" s="97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inlineStr">
        <is>
          <t>Nao</t>
        </is>
      </c>
      <c r="W638" s="110" t="inlineStr">
        <is>
          <t>PC em analise</t>
        </is>
      </c>
      <c r="X638" s="110" t="inlineStr">
        <is>
          <t>Pedido de Compra</t>
        </is>
      </c>
      <c r="Y638" s="111" t="inlineStr">
        <is>
          <t>Impacto Potencial</t>
        </is>
      </c>
      <c r="Z638" s="111" t="inlineStr">
        <is>
          <t>PC</t>
        </is>
      </c>
      <c r="AA638" s="111" t="inlineStr">
        <is>
          <t>Nao</t>
        </is>
      </c>
      <c r="AB638" s="111" t="inlineStr">
        <is>
          <t>NAO_COMPUTADO</t>
        </is>
      </c>
      <c r="AC638" s="112" t="inlineStr">
        <is>
          <t>Estrutura Fase 1: sem impacto no VTA oficial</t>
        </is>
      </c>
    </row>
    <row r="639" ht="25.5" customHeight="1" s="289">
      <c r="A639" s="205" t="n"/>
      <c r="B639" s="207" t="n"/>
      <c r="C639" s="104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348" t="n"/>
      <c r="E639" s="349">
        <f>IF(C639="","",IFERROR(VLOOKUP(C639,parametros!$A$11:$E$15,5,0),""))</f>
        <v/>
      </c>
      <c r="F639" s="335">
        <f>IF(OR(D639="",E639=""),"",ROUND(D639*E639,2))</f>
        <v/>
      </c>
      <c r="G639" s="106" t="n"/>
      <c r="H639" s="350">
        <f>IF(G639="Sim",IF(OR(F639="",D639="",L639=""),"",IF(L639="Sim",ROUND(F639-D639,2),0)),0)</f>
        <v/>
      </c>
      <c r="I639" s="350">
        <f>IF(G639="Sim",0,IF(OR(F639="",L639=""),"",F639))</f>
        <v/>
      </c>
      <c r="J639" s="350">
        <f>IF(G639="Sim",0,IF(OR(F639="",D639="",L639=""),"",IF(L639="Sim",ROUND(F639-D639,2),0)))</f>
        <v/>
      </c>
      <c r="K639" s="97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inlineStr">
        <is>
          <t>Nao</t>
        </is>
      </c>
      <c r="W639" s="110" t="inlineStr">
        <is>
          <t>PC em analise</t>
        </is>
      </c>
      <c r="X639" s="110" t="inlineStr">
        <is>
          <t>Pedido de Compra</t>
        </is>
      </c>
      <c r="Y639" s="111" t="inlineStr">
        <is>
          <t>Impacto Potencial</t>
        </is>
      </c>
      <c r="Z639" s="111" t="inlineStr">
        <is>
          <t>PC</t>
        </is>
      </c>
      <c r="AA639" s="111" t="inlineStr">
        <is>
          <t>Nao</t>
        </is>
      </c>
      <c r="AB639" s="111" t="inlineStr">
        <is>
          <t>NAO_COMPUTADO</t>
        </is>
      </c>
      <c r="AC639" s="112" t="inlineStr">
        <is>
          <t>Estrutura Fase 1: sem impacto no VTA oficial</t>
        </is>
      </c>
    </row>
    <row r="640" ht="25.5" customHeight="1" s="289">
      <c r="A640" s="205" t="n"/>
      <c r="B640" s="207" t="n"/>
      <c r="C640" s="104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348" t="n"/>
      <c r="E640" s="349">
        <f>IF(C640="","",IFERROR(VLOOKUP(C640,parametros!$A$11:$E$15,5,0),""))</f>
        <v/>
      </c>
      <c r="F640" s="335">
        <f>IF(OR(D640="",E640=""),"",ROUND(D640*E640,2))</f>
        <v/>
      </c>
      <c r="G640" s="106" t="n"/>
      <c r="H640" s="350">
        <f>IF(G640="Sim",IF(OR(F640="",D640="",L640=""),"",IF(L640="Sim",ROUND(F640-D640,2),0)),0)</f>
        <v/>
      </c>
      <c r="I640" s="350">
        <f>IF(G640="Sim",0,IF(OR(F640="",L640=""),"",F640))</f>
        <v/>
      </c>
      <c r="J640" s="350">
        <f>IF(G640="Sim",0,IF(OR(F640="",D640="",L640=""),"",IF(L640="Sim",ROUND(F640-D640,2),0)))</f>
        <v/>
      </c>
      <c r="K640" s="97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inlineStr">
        <is>
          <t>Nao</t>
        </is>
      </c>
      <c r="W640" s="110" t="inlineStr">
        <is>
          <t>PC em analise</t>
        </is>
      </c>
      <c r="X640" s="110" t="inlineStr">
        <is>
          <t>Pedido de Compra</t>
        </is>
      </c>
      <c r="Y640" s="111" t="inlineStr">
        <is>
          <t>Impacto Potencial</t>
        </is>
      </c>
      <c r="Z640" s="111" t="inlineStr">
        <is>
          <t>PC</t>
        </is>
      </c>
      <c r="AA640" s="111" t="inlineStr">
        <is>
          <t>Nao</t>
        </is>
      </c>
      <c r="AB640" s="111" t="inlineStr">
        <is>
          <t>NAO_COMPUTADO</t>
        </is>
      </c>
      <c r="AC640" s="112" t="inlineStr">
        <is>
          <t>Estrutura Fase 1: sem impacto no VTA oficial</t>
        </is>
      </c>
    </row>
    <row r="641" ht="25.5" customHeight="1" s="289">
      <c r="A641" s="205" t="n"/>
      <c r="B641" s="207" t="n"/>
      <c r="C641" s="104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348" t="n"/>
      <c r="E641" s="349">
        <f>IF(C641="","",IFERROR(VLOOKUP(C641,parametros!$A$11:$E$15,5,0),""))</f>
        <v/>
      </c>
      <c r="F641" s="335">
        <f>IF(OR(D641="",E641=""),"",ROUND(D641*E641,2))</f>
        <v/>
      </c>
      <c r="G641" s="106" t="n"/>
      <c r="H641" s="350">
        <f>IF(G641="Sim",IF(OR(F641="",D641="",L641=""),"",IF(L641="Sim",ROUND(F641-D641,2),0)),0)</f>
        <v/>
      </c>
      <c r="I641" s="350">
        <f>IF(G641="Sim",0,IF(OR(F641="",L641=""),"",F641))</f>
        <v/>
      </c>
      <c r="J641" s="350">
        <f>IF(G641="Sim",0,IF(OR(F641="",D641="",L641=""),"",IF(L641="Sim",ROUND(F641-D641,2),0)))</f>
        <v/>
      </c>
      <c r="K641" s="97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inlineStr">
        <is>
          <t>Nao</t>
        </is>
      </c>
      <c r="W641" s="110" t="inlineStr">
        <is>
          <t>PC em analise</t>
        </is>
      </c>
      <c r="X641" s="110" t="inlineStr">
        <is>
          <t>Pedido de Compra</t>
        </is>
      </c>
      <c r="Y641" s="111" t="inlineStr">
        <is>
          <t>Impacto Potencial</t>
        </is>
      </c>
      <c r="Z641" s="111" t="inlineStr">
        <is>
          <t>PC</t>
        </is>
      </c>
      <c r="AA641" s="111" t="inlineStr">
        <is>
          <t>Nao</t>
        </is>
      </c>
      <c r="AB641" s="111" t="inlineStr">
        <is>
          <t>NAO_COMPUTADO</t>
        </is>
      </c>
      <c r="AC641" s="112" t="inlineStr">
        <is>
          <t>Estrutura Fase 1: sem impacto no VTA oficial</t>
        </is>
      </c>
    </row>
    <row r="642" ht="25.5" customHeight="1" s="289">
      <c r="A642" s="205" t="n"/>
      <c r="B642" s="207" t="n"/>
      <c r="C642" s="104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348" t="n"/>
      <c r="E642" s="349">
        <f>IF(C642="","",IFERROR(VLOOKUP(C642,parametros!$A$11:$E$15,5,0),""))</f>
        <v/>
      </c>
      <c r="F642" s="335">
        <f>IF(OR(D642="",E642=""),"",ROUND(D642*E642,2))</f>
        <v/>
      </c>
      <c r="G642" s="106" t="n"/>
      <c r="H642" s="350">
        <f>IF(G642="Sim",IF(OR(F642="",D642="",L642=""),"",IF(L642="Sim",ROUND(F642-D642,2),0)),0)</f>
        <v/>
      </c>
      <c r="I642" s="350">
        <f>IF(G642="Sim",0,IF(OR(F642="",L642=""),"",F642))</f>
        <v/>
      </c>
      <c r="J642" s="350">
        <f>IF(G642="Sim",0,IF(OR(F642="",D642="",L642=""),"",IF(L642="Sim",ROUND(F642-D642,2),0)))</f>
        <v/>
      </c>
      <c r="K642" s="97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inlineStr">
        <is>
          <t>Nao</t>
        </is>
      </c>
      <c r="W642" s="110" t="inlineStr">
        <is>
          <t>PC em analise</t>
        </is>
      </c>
      <c r="X642" s="110" t="inlineStr">
        <is>
          <t>Pedido de Compra</t>
        </is>
      </c>
      <c r="Y642" s="111" t="inlineStr">
        <is>
          <t>Impacto Potencial</t>
        </is>
      </c>
      <c r="Z642" s="111" t="inlineStr">
        <is>
          <t>PC</t>
        </is>
      </c>
      <c r="AA642" s="111" t="inlineStr">
        <is>
          <t>Nao</t>
        </is>
      </c>
      <c r="AB642" s="111" t="inlineStr">
        <is>
          <t>NAO_COMPUTADO</t>
        </is>
      </c>
      <c r="AC642" s="112" t="inlineStr">
        <is>
          <t>Estrutura Fase 1: sem impacto no VTA oficial</t>
        </is>
      </c>
    </row>
    <row r="643" ht="25.5" customHeight="1" s="289">
      <c r="A643" s="205" t="n"/>
      <c r="B643" s="207" t="n"/>
      <c r="C643" s="104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348" t="n"/>
      <c r="E643" s="349">
        <f>IF(C643="","",IFERROR(VLOOKUP(C643,parametros!$A$11:$E$15,5,0),""))</f>
        <v/>
      </c>
      <c r="F643" s="335">
        <f>IF(OR(D643="",E643=""),"",ROUND(D643*E643,2))</f>
        <v/>
      </c>
      <c r="G643" s="106" t="n"/>
      <c r="H643" s="350">
        <f>IF(G643="Sim",IF(OR(F643="",D643="",L643=""),"",IF(L643="Sim",ROUND(F643-D643,2),0)),0)</f>
        <v/>
      </c>
      <c r="I643" s="350">
        <f>IF(G643="Sim",0,IF(OR(F643="",L643=""),"",F643))</f>
        <v/>
      </c>
      <c r="J643" s="350">
        <f>IF(G643="Sim",0,IF(OR(F643="",D643="",L643=""),"",IF(L643="Sim",ROUND(F643-D643,2),0)))</f>
        <v/>
      </c>
      <c r="K643" s="97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inlineStr">
        <is>
          <t>Nao</t>
        </is>
      </c>
      <c r="W643" s="110" t="inlineStr">
        <is>
          <t>PC em analise</t>
        </is>
      </c>
      <c r="X643" s="110" t="inlineStr">
        <is>
          <t>Pedido de Compra</t>
        </is>
      </c>
      <c r="Y643" s="111" t="inlineStr">
        <is>
          <t>Impacto Potencial</t>
        </is>
      </c>
      <c r="Z643" s="111" t="inlineStr">
        <is>
          <t>PC</t>
        </is>
      </c>
      <c r="AA643" s="111" t="inlineStr">
        <is>
          <t>Nao</t>
        </is>
      </c>
      <c r="AB643" s="111" t="inlineStr">
        <is>
          <t>NAO_COMPUTADO</t>
        </is>
      </c>
      <c r="AC643" s="112" t="inlineStr">
        <is>
          <t>Estrutura Fase 1: sem impacto no VTA oficial</t>
        </is>
      </c>
    </row>
    <row r="644" ht="25.5" customHeight="1" s="289">
      <c r="A644" s="205" t="n"/>
      <c r="B644" s="207" t="n"/>
      <c r="C644" s="104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348" t="n"/>
      <c r="E644" s="349">
        <f>IF(C644="","",IFERROR(VLOOKUP(C644,parametros!$A$11:$E$15,5,0),""))</f>
        <v/>
      </c>
      <c r="F644" s="335">
        <f>IF(OR(D644="",E644=""),"",ROUND(D644*E644,2))</f>
        <v/>
      </c>
      <c r="G644" s="106" t="n"/>
      <c r="H644" s="350">
        <f>IF(G644="Sim",IF(OR(F644="",D644="",L644=""),"",IF(L644="Sim",ROUND(F644-D644,2),0)),0)</f>
        <v/>
      </c>
      <c r="I644" s="350">
        <f>IF(G644="Sim",0,IF(OR(F644="",L644=""),"",F644))</f>
        <v/>
      </c>
      <c r="J644" s="350">
        <f>IF(G644="Sim",0,IF(OR(F644="",D644="",L644=""),"",IF(L644="Sim",ROUND(F644-D644,2),0)))</f>
        <v/>
      </c>
      <c r="K644" s="97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inlineStr">
        <is>
          <t>Nao</t>
        </is>
      </c>
      <c r="W644" s="110" t="inlineStr">
        <is>
          <t>PC em analise</t>
        </is>
      </c>
      <c r="X644" s="110" t="inlineStr">
        <is>
          <t>Pedido de Compra</t>
        </is>
      </c>
      <c r="Y644" s="111" t="inlineStr">
        <is>
          <t>Impacto Potencial</t>
        </is>
      </c>
      <c r="Z644" s="111" t="inlineStr">
        <is>
          <t>PC</t>
        </is>
      </c>
      <c r="AA644" s="111" t="inlineStr">
        <is>
          <t>Nao</t>
        </is>
      </c>
      <c r="AB644" s="111" t="inlineStr">
        <is>
          <t>NAO_COMPUTADO</t>
        </is>
      </c>
      <c r="AC644" s="112" t="inlineStr">
        <is>
          <t>Estrutura Fase 1: sem impacto no VTA oficial</t>
        </is>
      </c>
    </row>
    <row r="645" ht="25.5" customHeight="1" s="289">
      <c r="A645" s="205" t="n"/>
      <c r="B645" s="207" t="n"/>
      <c r="C645" s="104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348" t="n"/>
      <c r="E645" s="349">
        <f>IF(C645="","",IFERROR(VLOOKUP(C645,parametros!$A$11:$E$15,5,0),""))</f>
        <v/>
      </c>
      <c r="F645" s="335">
        <f>IF(OR(D645="",E645=""),"",ROUND(D645*E645,2))</f>
        <v/>
      </c>
      <c r="G645" s="106" t="n"/>
      <c r="H645" s="350">
        <f>IF(G645="Sim",IF(OR(F645="",D645="",L645=""),"",IF(L645="Sim",ROUND(F645-D645,2),0)),0)</f>
        <v/>
      </c>
      <c r="I645" s="350">
        <f>IF(G645="Sim",0,IF(OR(F645="",L645=""),"",F645))</f>
        <v/>
      </c>
      <c r="J645" s="350">
        <f>IF(G645="Sim",0,IF(OR(F645="",D645="",L645=""),"",IF(L645="Sim",ROUND(F645-D645,2),0)))</f>
        <v/>
      </c>
      <c r="K645" s="97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inlineStr">
        <is>
          <t>Nao</t>
        </is>
      </c>
      <c r="W645" s="110" t="inlineStr">
        <is>
          <t>PC em analise</t>
        </is>
      </c>
      <c r="X645" s="110" t="inlineStr">
        <is>
          <t>Pedido de Compra</t>
        </is>
      </c>
      <c r="Y645" s="111" t="inlineStr">
        <is>
          <t>Impacto Potencial</t>
        </is>
      </c>
      <c r="Z645" s="111" t="inlineStr">
        <is>
          <t>PC</t>
        </is>
      </c>
      <c r="AA645" s="111" t="inlineStr">
        <is>
          <t>Nao</t>
        </is>
      </c>
      <c r="AB645" s="111" t="inlineStr">
        <is>
          <t>NAO_COMPUTADO</t>
        </is>
      </c>
      <c r="AC645" s="112" t="inlineStr">
        <is>
          <t>Estrutura Fase 1: sem impacto no VTA oficial</t>
        </is>
      </c>
    </row>
    <row r="646" ht="25.5" customHeight="1" s="289">
      <c r="A646" s="205" t="n"/>
      <c r="B646" s="207" t="n"/>
      <c r="C646" s="104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348" t="n"/>
      <c r="E646" s="349">
        <f>IF(C646="","",IFERROR(VLOOKUP(C646,parametros!$A$11:$E$15,5,0),""))</f>
        <v/>
      </c>
      <c r="F646" s="335">
        <f>IF(OR(D646="",E646=""),"",ROUND(D646*E646,2))</f>
        <v/>
      </c>
      <c r="G646" s="106" t="n"/>
      <c r="H646" s="350">
        <f>IF(G646="Sim",IF(OR(F646="",D646="",L646=""),"",IF(L646="Sim",ROUND(F646-D646,2),0)),0)</f>
        <v/>
      </c>
      <c r="I646" s="350">
        <f>IF(G646="Sim",0,IF(OR(F646="",L646=""),"",F646))</f>
        <v/>
      </c>
      <c r="J646" s="350">
        <f>IF(G646="Sim",0,IF(OR(F646="",D646="",L646=""),"",IF(L646="Sim",ROUND(F646-D646,2),0)))</f>
        <v/>
      </c>
      <c r="K646" s="97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inlineStr">
        <is>
          <t>Nao</t>
        </is>
      </c>
      <c r="W646" s="110" t="inlineStr">
        <is>
          <t>PC em analise</t>
        </is>
      </c>
      <c r="X646" s="110" t="inlineStr">
        <is>
          <t>Pedido de Compra</t>
        </is>
      </c>
      <c r="Y646" s="111" t="inlineStr">
        <is>
          <t>Impacto Potencial</t>
        </is>
      </c>
      <c r="Z646" s="111" t="inlineStr">
        <is>
          <t>PC</t>
        </is>
      </c>
      <c r="AA646" s="111" t="inlineStr">
        <is>
          <t>Nao</t>
        </is>
      </c>
      <c r="AB646" s="111" t="inlineStr">
        <is>
          <t>NAO_COMPUTADO</t>
        </is>
      </c>
      <c r="AC646" s="112" t="inlineStr">
        <is>
          <t>Estrutura Fase 1: sem impacto no VTA oficial</t>
        </is>
      </c>
    </row>
    <row r="647" ht="25.5" customHeight="1" s="289">
      <c r="A647" s="205" t="n"/>
      <c r="B647" s="207" t="n"/>
      <c r="C647" s="104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348" t="n"/>
      <c r="E647" s="349">
        <f>IF(C647="","",IFERROR(VLOOKUP(C647,parametros!$A$11:$E$15,5,0),""))</f>
        <v/>
      </c>
      <c r="F647" s="335">
        <f>IF(OR(D647="",E647=""),"",ROUND(D647*E647,2))</f>
        <v/>
      </c>
      <c r="G647" s="106" t="n"/>
      <c r="H647" s="350">
        <f>IF(G647="Sim",IF(OR(F647="",D647="",L647=""),"",IF(L647="Sim",ROUND(F647-D647,2),0)),0)</f>
        <v/>
      </c>
      <c r="I647" s="350">
        <f>IF(G647="Sim",0,IF(OR(F647="",L647=""),"",F647))</f>
        <v/>
      </c>
      <c r="J647" s="350">
        <f>IF(G647="Sim",0,IF(OR(F647="",D647="",L647=""),"",IF(L647="Sim",ROUND(F647-D647,2),0)))</f>
        <v/>
      </c>
      <c r="K647" s="97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inlineStr">
        <is>
          <t>Nao</t>
        </is>
      </c>
      <c r="W647" s="110" t="inlineStr">
        <is>
          <t>PC em analise</t>
        </is>
      </c>
      <c r="X647" s="110" t="inlineStr">
        <is>
          <t>Pedido de Compra</t>
        </is>
      </c>
      <c r="Y647" s="111" t="inlineStr">
        <is>
          <t>Impacto Potencial</t>
        </is>
      </c>
      <c r="Z647" s="111" t="inlineStr">
        <is>
          <t>PC</t>
        </is>
      </c>
      <c r="AA647" s="111" t="inlineStr">
        <is>
          <t>Nao</t>
        </is>
      </c>
      <c r="AB647" s="111" t="inlineStr">
        <is>
          <t>NAO_COMPUTADO</t>
        </is>
      </c>
      <c r="AC647" s="112" t="inlineStr">
        <is>
          <t>Estrutura Fase 1: sem impacto no VTA oficial</t>
        </is>
      </c>
    </row>
    <row r="648" ht="25.5" customHeight="1" s="289">
      <c r="A648" s="205" t="n"/>
      <c r="B648" s="207" t="n"/>
      <c r="C648" s="104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348" t="n"/>
      <c r="E648" s="349">
        <f>IF(C648="","",IFERROR(VLOOKUP(C648,parametros!$A$11:$E$15,5,0),""))</f>
        <v/>
      </c>
      <c r="F648" s="335">
        <f>IF(OR(D648="",E648=""),"",ROUND(D648*E648,2))</f>
        <v/>
      </c>
      <c r="G648" s="106" t="n"/>
      <c r="H648" s="350">
        <f>IF(G648="Sim",IF(OR(F648="",D648="",L648=""),"",IF(L648="Sim",ROUND(F648-D648,2),0)),0)</f>
        <v/>
      </c>
      <c r="I648" s="350">
        <f>IF(G648="Sim",0,IF(OR(F648="",L648=""),"",F648))</f>
        <v/>
      </c>
      <c r="J648" s="350">
        <f>IF(G648="Sim",0,IF(OR(F648="",D648="",L648=""),"",IF(L648="Sim",ROUND(F648-D648,2),0)))</f>
        <v/>
      </c>
      <c r="K648" s="97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inlineStr">
        <is>
          <t>Nao</t>
        </is>
      </c>
      <c r="W648" s="110" t="inlineStr">
        <is>
          <t>PC em analise</t>
        </is>
      </c>
      <c r="X648" s="110" t="inlineStr">
        <is>
          <t>Pedido de Compra</t>
        </is>
      </c>
      <c r="Y648" s="111" t="inlineStr">
        <is>
          <t>Impacto Potencial</t>
        </is>
      </c>
      <c r="Z648" s="111" t="inlineStr">
        <is>
          <t>PC</t>
        </is>
      </c>
      <c r="AA648" s="111" t="inlineStr">
        <is>
          <t>Nao</t>
        </is>
      </c>
      <c r="AB648" s="111" t="inlineStr">
        <is>
          <t>NAO_COMPUTADO</t>
        </is>
      </c>
      <c r="AC648" s="112" t="inlineStr">
        <is>
          <t>Estrutura Fase 1: sem impacto no VTA oficial</t>
        </is>
      </c>
    </row>
    <row r="649" ht="25.5" customHeight="1" s="289">
      <c r="A649" s="205" t="n"/>
      <c r="B649" s="207" t="n"/>
      <c r="C649" s="104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348" t="n"/>
      <c r="E649" s="349">
        <f>IF(C649="","",IFERROR(VLOOKUP(C649,parametros!$A$11:$E$15,5,0),""))</f>
        <v/>
      </c>
      <c r="F649" s="335">
        <f>IF(OR(D649="",E649=""),"",ROUND(D649*E649,2))</f>
        <v/>
      </c>
      <c r="G649" s="106" t="n"/>
      <c r="H649" s="350">
        <f>IF(G649="Sim",IF(OR(F649="",D649="",L649=""),"",IF(L649="Sim",ROUND(F649-D649,2),0)),0)</f>
        <v/>
      </c>
      <c r="I649" s="350">
        <f>IF(G649="Sim",0,IF(OR(F649="",L649=""),"",F649))</f>
        <v/>
      </c>
      <c r="J649" s="350">
        <f>IF(G649="Sim",0,IF(OR(F649="",D649="",L649=""),"",IF(L649="Sim",ROUND(F649-D649,2),0)))</f>
        <v/>
      </c>
      <c r="K649" s="97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inlineStr">
        <is>
          <t>Nao</t>
        </is>
      </c>
      <c r="W649" s="110" t="inlineStr">
        <is>
          <t>PC em analise</t>
        </is>
      </c>
      <c r="X649" s="110" t="inlineStr">
        <is>
          <t>Pedido de Compra</t>
        </is>
      </c>
      <c r="Y649" s="111" t="inlineStr">
        <is>
          <t>Impacto Potencial</t>
        </is>
      </c>
      <c r="Z649" s="111" t="inlineStr">
        <is>
          <t>PC</t>
        </is>
      </c>
      <c r="AA649" s="111" t="inlineStr">
        <is>
          <t>Nao</t>
        </is>
      </c>
      <c r="AB649" s="111" t="inlineStr">
        <is>
          <t>NAO_COMPUTADO</t>
        </is>
      </c>
      <c r="AC649" s="112" t="inlineStr">
        <is>
          <t>Estrutura Fase 1: sem impacto no VTA oficial</t>
        </is>
      </c>
    </row>
    <row r="650" ht="25.5" customHeight="1" s="289">
      <c r="A650" s="205" t="n"/>
      <c r="B650" s="207" t="n"/>
      <c r="C650" s="104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348" t="n"/>
      <c r="E650" s="349">
        <f>IF(C650="","",IFERROR(VLOOKUP(C650,parametros!$A$11:$E$15,5,0),""))</f>
        <v/>
      </c>
      <c r="F650" s="335">
        <f>IF(OR(D650="",E650=""),"",ROUND(D650*E650,2))</f>
        <v/>
      </c>
      <c r="G650" s="106" t="n"/>
      <c r="H650" s="350">
        <f>IF(G650="Sim",IF(OR(F650="",D650="",L650=""),"",IF(L650="Sim",ROUND(F650-D650,2),0)),0)</f>
        <v/>
      </c>
      <c r="I650" s="350">
        <f>IF(G650="Sim",0,IF(OR(F650="",L650=""),"",F650))</f>
        <v/>
      </c>
      <c r="J650" s="350">
        <f>IF(G650="Sim",0,IF(OR(F650="",D650="",L650=""),"",IF(L650="Sim",ROUND(F650-D650,2),0)))</f>
        <v/>
      </c>
      <c r="K650" s="97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inlineStr">
        <is>
          <t>Nao</t>
        </is>
      </c>
      <c r="W650" s="110" t="inlineStr">
        <is>
          <t>PC em analise</t>
        </is>
      </c>
      <c r="X650" s="110" t="inlineStr">
        <is>
          <t>Pedido de Compra</t>
        </is>
      </c>
      <c r="Y650" s="111" t="inlineStr">
        <is>
          <t>Impacto Potencial</t>
        </is>
      </c>
      <c r="Z650" s="111" t="inlineStr">
        <is>
          <t>PC</t>
        </is>
      </c>
      <c r="AA650" s="111" t="inlineStr">
        <is>
          <t>Nao</t>
        </is>
      </c>
      <c r="AB650" s="111" t="inlineStr">
        <is>
          <t>NAO_COMPUTADO</t>
        </is>
      </c>
      <c r="AC650" s="112" t="inlineStr">
        <is>
          <t>Estrutura Fase 1: sem impacto no VTA oficial</t>
        </is>
      </c>
    </row>
    <row r="651" ht="25.5" customHeight="1" s="289">
      <c r="A651" s="205" t="n"/>
      <c r="B651" s="207" t="n"/>
      <c r="C651" s="104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348" t="n"/>
      <c r="E651" s="349">
        <f>IF(C651="","",IFERROR(VLOOKUP(C651,parametros!$A$11:$E$15,5,0),""))</f>
        <v/>
      </c>
      <c r="F651" s="335">
        <f>IF(OR(D651="",E651=""),"",ROUND(D651*E651,2))</f>
        <v/>
      </c>
      <c r="G651" s="106" t="n"/>
      <c r="H651" s="350">
        <f>IF(G651="Sim",IF(OR(F651="",D651="",L651=""),"",IF(L651="Sim",ROUND(F651-D651,2),0)),0)</f>
        <v/>
      </c>
      <c r="I651" s="350">
        <f>IF(G651="Sim",0,IF(OR(F651="",L651=""),"",F651))</f>
        <v/>
      </c>
      <c r="J651" s="350">
        <f>IF(G651="Sim",0,IF(OR(F651="",D651="",L651=""),"",IF(L651="Sim",ROUND(F651-D651,2),0)))</f>
        <v/>
      </c>
      <c r="K651" s="97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inlineStr">
        <is>
          <t>Nao</t>
        </is>
      </c>
      <c r="W651" s="110" t="inlineStr">
        <is>
          <t>PC em analise</t>
        </is>
      </c>
      <c r="X651" s="110" t="inlineStr">
        <is>
          <t>Pedido de Compra</t>
        </is>
      </c>
      <c r="Y651" s="111" t="inlineStr">
        <is>
          <t>Impacto Potencial</t>
        </is>
      </c>
      <c r="Z651" s="111" t="inlineStr">
        <is>
          <t>PC</t>
        </is>
      </c>
      <c r="AA651" s="111" t="inlineStr">
        <is>
          <t>Nao</t>
        </is>
      </c>
      <c r="AB651" s="111" t="inlineStr">
        <is>
          <t>NAO_COMPUTADO</t>
        </is>
      </c>
      <c r="AC651" s="112" t="inlineStr">
        <is>
          <t>Estrutura Fase 1: sem impacto no VTA oficial</t>
        </is>
      </c>
    </row>
    <row r="652" ht="25.5" customHeight="1" s="289">
      <c r="A652" s="205" t="n"/>
      <c r="B652" s="207" t="n"/>
      <c r="C652" s="104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348" t="n"/>
      <c r="E652" s="349">
        <f>IF(C652="","",IFERROR(VLOOKUP(C652,parametros!$A$11:$E$15,5,0),""))</f>
        <v/>
      </c>
      <c r="F652" s="335">
        <f>IF(OR(D652="",E652=""),"",ROUND(D652*E652,2))</f>
        <v/>
      </c>
      <c r="G652" s="106" t="n"/>
      <c r="H652" s="350">
        <f>IF(G652="Sim",IF(OR(F652="",D652="",L652=""),"",IF(L652="Sim",ROUND(F652-D652,2),0)),0)</f>
        <v/>
      </c>
      <c r="I652" s="350">
        <f>IF(G652="Sim",0,IF(OR(F652="",L652=""),"",F652))</f>
        <v/>
      </c>
      <c r="J652" s="350">
        <f>IF(G652="Sim",0,IF(OR(F652="",D652="",L652=""),"",IF(L652="Sim",ROUND(F652-D652,2),0)))</f>
        <v/>
      </c>
      <c r="K652" s="97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inlineStr">
        <is>
          <t>Nao</t>
        </is>
      </c>
      <c r="W652" s="110" t="inlineStr">
        <is>
          <t>PC em analise</t>
        </is>
      </c>
      <c r="X652" s="110" t="inlineStr">
        <is>
          <t>Pedido de Compra</t>
        </is>
      </c>
      <c r="Y652" s="111" t="inlineStr">
        <is>
          <t>Impacto Potencial</t>
        </is>
      </c>
      <c r="Z652" s="111" t="inlineStr">
        <is>
          <t>PC</t>
        </is>
      </c>
      <c r="AA652" s="111" t="inlineStr">
        <is>
          <t>Nao</t>
        </is>
      </c>
      <c r="AB652" s="111" t="inlineStr">
        <is>
          <t>NAO_COMPUTADO</t>
        </is>
      </c>
      <c r="AC652" s="112" t="inlineStr">
        <is>
          <t>Estrutura Fase 1: sem impacto no VTA oficial</t>
        </is>
      </c>
    </row>
    <row r="653" ht="25.5" customHeight="1" s="289">
      <c r="A653" s="205" t="n"/>
      <c r="B653" s="207" t="n"/>
      <c r="C653" s="104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348" t="n"/>
      <c r="E653" s="349">
        <f>IF(C653="","",IFERROR(VLOOKUP(C653,parametros!$A$11:$E$15,5,0),""))</f>
        <v/>
      </c>
      <c r="F653" s="335">
        <f>IF(OR(D653="",E653=""),"",ROUND(D653*E653,2))</f>
        <v/>
      </c>
      <c r="G653" s="106" t="n"/>
      <c r="H653" s="350">
        <f>IF(G653="Sim",IF(OR(F653="",D653="",L653=""),"",IF(L653="Sim",ROUND(F653-D653,2),0)),0)</f>
        <v/>
      </c>
      <c r="I653" s="350">
        <f>IF(G653="Sim",0,IF(OR(F653="",L653=""),"",F653))</f>
        <v/>
      </c>
      <c r="J653" s="350">
        <f>IF(G653="Sim",0,IF(OR(F653="",D653="",L653=""),"",IF(L653="Sim",ROUND(F653-D653,2),0)))</f>
        <v/>
      </c>
      <c r="K653" s="97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inlineStr">
        <is>
          <t>Nao</t>
        </is>
      </c>
      <c r="W653" s="110" t="inlineStr">
        <is>
          <t>PC em analise</t>
        </is>
      </c>
      <c r="X653" s="110" t="inlineStr">
        <is>
          <t>Pedido de Compra</t>
        </is>
      </c>
      <c r="Y653" s="111" t="inlineStr">
        <is>
          <t>Impacto Potencial</t>
        </is>
      </c>
      <c r="Z653" s="111" t="inlineStr">
        <is>
          <t>PC</t>
        </is>
      </c>
      <c r="AA653" s="111" t="inlineStr">
        <is>
          <t>Nao</t>
        </is>
      </c>
      <c r="AB653" s="111" t="inlineStr">
        <is>
          <t>NAO_COMPUTADO</t>
        </is>
      </c>
      <c r="AC653" s="112" t="inlineStr">
        <is>
          <t>Estrutura Fase 1: sem impacto no VTA oficial</t>
        </is>
      </c>
    </row>
    <row r="654" ht="25.5" customHeight="1" s="289">
      <c r="A654" s="205" t="n"/>
      <c r="B654" s="207" t="n"/>
      <c r="C654" s="104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348" t="n"/>
      <c r="E654" s="349">
        <f>IF(C654="","",IFERROR(VLOOKUP(C654,parametros!$A$11:$E$15,5,0),""))</f>
        <v/>
      </c>
      <c r="F654" s="335">
        <f>IF(OR(D654="",E654=""),"",ROUND(D654*E654,2))</f>
        <v/>
      </c>
      <c r="G654" s="106" t="n"/>
      <c r="H654" s="350">
        <f>IF(G654="Sim",IF(OR(F654="",D654="",L654=""),"",IF(L654="Sim",ROUND(F654-D654,2),0)),0)</f>
        <v/>
      </c>
      <c r="I654" s="350">
        <f>IF(G654="Sim",0,IF(OR(F654="",L654=""),"",F654))</f>
        <v/>
      </c>
      <c r="J654" s="350">
        <f>IF(G654="Sim",0,IF(OR(F654="",D654="",L654=""),"",IF(L654="Sim",ROUND(F654-D654,2),0)))</f>
        <v/>
      </c>
      <c r="K654" s="97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inlineStr">
        <is>
          <t>Nao</t>
        </is>
      </c>
      <c r="W654" s="110" t="inlineStr">
        <is>
          <t>PC em analise</t>
        </is>
      </c>
      <c r="X654" s="110" t="inlineStr">
        <is>
          <t>Pedido de Compra</t>
        </is>
      </c>
      <c r="Y654" s="111" t="inlineStr">
        <is>
          <t>Impacto Potencial</t>
        </is>
      </c>
      <c r="Z654" s="111" t="inlineStr">
        <is>
          <t>PC</t>
        </is>
      </c>
      <c r="AA654" s="111" t="inlineStr">
        <is>
          <t>Nao</t>
        </is>
      </c>
      <c r="AB654" s="111" t="inlineStr">
        <is>
          <t>NAO_COMPUTADO</t>
        </is>
      </c>
      <c r="AC654" s="112" t="inlineStr">
        <is>
          <t>Estrutura Fase 1: sem impacto no VTA oficial</t>
        </is>
      </c>
    </row>
    <row r="655" ht="25.5" customHeight="1" s="289">
      <c r="A655" s="205" t="n"/>
      <c r="B655" s="207" t="n"/>
      <c r="C655" s="104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348" t="n"/>
      <c r="E655" s="349">
        <f>IF(C655="","",IFERROR(VLOOKUP(C655,parametros!$A$11:$E$15,5,0),""))</f>
        <v/>
      </c>
      <c r="F655" s="335">
        <f>IF(OR(D655="",E655=""),"",ROUND(D655*E655,2))</f>
        <v/>
      </c>
      <c r="G655" s="106" t="n"/>
      <c r="H655" s="350">
        <f>IF(G655="Sim",IF(OR(F655="",D655="",L655=""),"",IF(L655="Sim",ROUND(F655-D655,2),0)),0)</f>
        <v/>
      </c>
      <c r="I655" s="350">
        <f>IF(G655="Sim",0,IF(OR(F655="",L655=""),"",F655))</f>
        <v/>
      </c>
      <c r="J655" s="350">
        <f>IF(G655="Sim",0,IF(OR(F655="",D655="",L655=""),"",IF(L655="Sim",ROUND(F655-D655,2),0)))</f>
        <v/>
      </c>
      <c r="K655" s="97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inlineStr">
        <is>
          <t>Nao</t>
        </is>
      </c>
      <c r="W655" s="110" t="inlineStr">
        <is>
          <t>PC em analise</t>
        </is>
      </c>
      <c r="X655" s="110" t="inlineStr">
        <is>
          <t>Pedido de Compra</t>
        </is>
      </c>
      <c r="Y655" s="111" t="inlineStr">
        <is>
          <t>Impacto Potencial</t>
        </is>
      </c>
      <c r="Z655" s="111" t="inlineStr">
        <is>
          <t>PC</t>
        </is>
      </c>
      <c r="AA655" s="111" t="inlineStr">
        <is>
          <t>Nao</t>
        </is>
      </c>
      <c r="AB655" s="111" t="inlineStr">
        <is>
          <t>NAO_COMPUTADO</t>
        </is>
      </c>
      <c r="AC655" s="112" t="inlineStr">
        <is>
          <t>Estrutura Fase 1: sem impacto no VTA oficial</t>
        </is>
      </c>
    </row>
    <row r="656" ht="25.5" customHeight="1" s="289">
      <c r="A656" s="205" t="n"/>
      <c r="B656" s="207" t="n"/>
      <c r="C656" s="104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348" t="n"/>
      <c r="E656" s="349">
        <f>IF(C656="","",IFERROR(VLOOKUP(C656,parametros!$A$11:$E$15,5,0),""))</f>
        <v/>
      </c>
      <c r="F656" s="335">
        <f>IF(OR(D656="",E656=""),"",ROUND(D656*E656,2))</f>
        <v/>
      </c>
      <c r="G656" s="106" t="n"/>
      <c r="H656" s="350">
        <f>IF(G656="Sim",IF(OR(F656="",D656="",L656=""),"",IF(L656="Sim",ROUND(F656-D656,2),0)),0)</f>
        <v/>
      </c>
      <c r="I656" s="350">
        <f>IF(G656="Sim",0,IF(OR(F656="",L656=""),"",F656))</f>
        <v/>
      </c>
      <c r="J656" s="350">
        <f>IF(G656="Sim",0,IF(OR(F656="",D656="",L656=""),"",IF(L656="Sim",ROUND(F656-D656,2),0)))</f>
        <v/>
      </c>
      <c r="K656" s="97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inlineStr">
        <is>
          <t>Nao</t>
        </is>
      </c>
      <c r="W656" s="110" t="inlineStr">
        <is>
          <t>PC em analise</t>
        </is>
      </c>
      <c r="X656" s="110" t="inlineStr">
        <is>
          <t>Pedido de Compra</t>
        </is>
      </c>
      <c r="Y656" s="111" t="inlineStr">
        <is>
          <t>Impacto Potencial</t>
        </is>
      </c>
      <c r="Z656" s="111" t="inlineStr">
        <is>
          <t>PC</t>
        </is>
      </c>
      <c r="AA656" s="111" t="inlineStr">
        <is>
          <t>Nao</t>
        </is>
      </c>
      <c r="AB656" s="111" t="inlineStr">
        <is>
          <t>NAO_COMPUTADO</t>
        </is>
      </c>
      <c r="AC656" s="112" t="inlineStr">
        <is>
          <t>Estrutura Fase 1: sem impacto no VTA oficial</t>
        </is>
      </c>
    </row>
    <row r="657" ht="25.5" customHeight="1" s="289">
      <c r="A657" s="205" t="n"/>
      <c r="B657" s="207" t="n"/>
      <c r="C657" s="104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348" t="n"/>
      <c r="E657" s="349">
        <f>IF(C657="","",IFERROR(VLOOKUP(C657,parametros!$A$11:$E$15,5,0),""))</f>
        <v/>
      </c>
      <c r="F657" s="335">
        <f>IF(OR(D657="",E657=""),"",ROUND(D657*E657,2))</f>
        <v/>
      </c>
      <c r="G657" s="106" t="n"/>
      <c r="H657" s="350">
        <f>IF(G657="Sim",IF(OR(F657="",D657="",L657=""),"",IF(L657="Sim",ROUND(F657-D657,2),0)),0)</f>
        <v/>
      </c>
      <c r="I657" s="350">
        <f>IF(G657="Sim",0,IF(OR(F657="",L657=""),"",F657))</f>
        <v/>
      </c>
      <c r="J657" s="350">
        <f>IF(G657="Sim",0,IF(OR(F657="",D657="",L657=""),"",IF(L657="Sim",ROUND(F657-D657,2),0)))</f>
        <v/>
      </c>
      <c r="K657" s="97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inlineStr">
        <is>
          <t>Nao</t>
        </is>
      </c>
      <c r="W657" s="110" t="inlineStr">
        <is>
          <t>PC em analise</t>
        </is>
      </c>
      <c r="X657" s="110" t="inlineStr">
        <is>
          <t>Pedido de Compra</t>
        </is>
      </c>
      <c r="Y657" s="111" t="inlineStr">
        <is>
          <t>Impacto Potencial</t>
        </is>
      </c>
      <c r="Z657" s="111" t="inlineStr">
        <is>
          <t>PC</t>
        </is>
      </c>
      <c r="AA657" s="111" t="inlineStr">
        <is>
          <t>Nao</t>
        </is>
      </c>
      <c r="AB657" s="111" t="inlineStr">
        <is>
          <t>NAO_COMPUTADO</t>
        </is>
      </c>
      <c r="AC657" s="112" t="inlineStr">
        <is>
          <t>Estrutura Fase 1: sem impacto no VTA oficial</t>
        </is>
      </c>
    </row>
    <row r="658" ht="25.5" customHeight="1" s="289">
      <c r="A658" s="205" t="n"/>
      <c r="B658" s="207" t="n"/>
      <c r="C658" s="104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348" t="n"/>
      <c r="E658" s="349">
        <f>IF(C658="","",IFERROR(VLOOKUP(C658,parametros!$A$11:$E$15,5,0),""))</f>
        <v/>
      </c>
      <c r="F658" s="335">
        <f>IF(OR(D658="",E658=""),"",ROUND(D658*E658,2))</f>
        <v/>
      </c>
      <c r="G658" s="106" t="n"/>
      <c r="H658" s="350">
        <f>IF(G658="Sim",IF(OR(F658="",D658="",L658=""),"",IF(L658="Sim",ROUND(F658-D658,2),0)),0)</f>
        <v/>
      </c>
      <c r="I658" s="350">
        <f>IF(G658="Sim",0,IF(OR(F658="",L658=""),"",F658))</f>
        <v/>
      </c>
      <c r="J658" s="350">
        <f>IF(G658="Sim",0,IF(OR(F658="",D658="",L658=""),"",IF(L658="Sim",ROUND(F658-D658,2),0)))</f>
        <v/>
      </c>
      <c r="K658" s="97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inlineStr">
        <is>
          <t>Nao</t>
        </is>
      </c>
      <c r="W658" s="110" t="inlineStr">
        <is>
          <t>PC em analise</t>
        </is>
      </c>
      <c r="X658" s="110" t="inlineStr">
        <is>
          <t>Pedido de Compra</t>
        </is>
      </c>
      <c r="Y658" s="111" t="inlineStr">
        <is>
          <t>Impacto Potencial</t>
        </is>
      </c>
      <c r="Z658" s="111" t="inlineStr">
        <is>
          <t>PC</t>
        </is>
      </c>
      <c r="AA658" s="111" t="inlineStr">
        <is>
          <t>Nao</t>
        </is>
      </c>
      <c r="AB658" s="111" t="inlineStr">
        <is>
          <t>NAO_COMPUTADO</t>
        </is>
      </c>
      <c r="AC658" s="112" t="inlineStr">
        <is>
          <t>Estrutura Fase 1: sem impacto no VTA oficial</t>
        </is>
      </c>
    </row>
    <row r="659" ht="25.5" customHeight="1" s="289">
      <c r="A659" s="205" t="n"/>
      <c r="B659" s="207" t="n"/>
      <c r="C659" s="104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348" t="n"/>
      <c r="E659" s="349">
        <f>IF(C659="","",IFERROR(VLOOKUP(C659,parametros!$A$11:$E$15,5,0),""))</f>
        <v/>
      </c>
      <c r="F659" s="335">
        <f>IF(OR(D659="",E659=""),"",ROUND(D659*E659,2))</f>
        <v/>
      </c>
      <c r="G659" s="106" t="n"/>
      <c r="H659" s="350">
        <f>IF(G659="Sim",IF(OR(F659="",D659="",L659=""),"",IF(L659="Sim",ROUND(F659-D659,2),0)),0)</f>
        <v/>
      </c>
      <c r="I659" s="350">
        <f>IF(G659="Sim",0,IF(OR(F659="",L659=""),"",F659))</f>
        <v/>
      </c>
      <c r="J659" s="350">
        <f>IF(G659="Sim",0,IF(OR(F659="",D659="",L659=""),"",IF(L659="Sim",ROUND(F659-D659,2),0)))</f>
        <v/>
      </c>
      <c r="K659" s="97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inlineStr">
        <is>
          <t>Nao</t>
        </is>
      </c>
      <c r="W659" s="110" t="inlineStr">
        <is>
          <t>PC em analise</t>
        </is>
      </c>
      <c r="X659" s="110" t="inlineStr">
        <is>
          <t>Pedido de Compra</t>
        </is>
      </c>
      <c r="Y659" s="111" t="inlineStr">
        <is>
          <t>Impacto Potencial</t>
        </is>
      </c>
      <c r="Z659" s="111" t="inlineStr">
        <is>
          <t>PC</t>
        </is>
      </c>
      <c r="AA659" s="111" t="inlineStr">
        <is>
          <t>Nao</t>
        </is>
      </c>
      <c r="AB659" s="111" t="inlineStr">
        <is>
          <t>NAO_COMPUTADO</t>
        </is>
      </c>
      <c r="AC659" s="112" t="inlineStr">
        <is>
          <t>Estrutura Fase 1: sem impacto no VTA oficial</t>
        </is>
      </c>
    </row>
    <row r="660" ht="25.5" customHeight="1" s="289">
      <c r="A660" s="205" t="n"/>
      <c r="B660" s="207" t="n"/>
      <c r="C660" s="104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348" t="n"/>
      <c r="E660" s="349">
        <f>IF(C660="","",IFERROR(VLOOKUP(C660,parametros!$A$11:$E$15,5,0),""))</f>
        <v/>
      </c>
      <c r="F660" s="335">
        <f>IF(OR(D660="",E660=""),"",ROUND(D660*E660,2))</f>
        <v/>
      </c>
      <c r="G660" s="106" t="n"/>
      <c r="H660" s="350">
        <f>IF(G660="Sim",IF(OR(F660="",D660="",L660=""),"",IF(L660="Sim",ROUND(F660-D660,2),0)),0)</f>
        <v/>
      </c>
      <c r="I660" s="350">
        <f>IF(G660="Sim",0,IF(OR(F660="",L660=""),"",F660))</f>
        <v/>
      </c>
      <c r="J660" s="350">
        <f>IF(G660="Sim",0,IF(OR(F660="",D660="",L660=""),"",IF(L660="Sim",ROUND(F660-D660,2),0)))</f>
        <v/>
      </c>
      <c r="K660" s="97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inlineStr">
        <is>
          <t>Nao</t>
        </is>
      </c>
      <c r="W660" s="110" t="inlineStr">
        <is>
          <t>PC em analise</t>
        </is>
      </c>
      <c r="X660" s="110" t="inlineStr">
        <is>
          <t>Pedido de Compra</t>
        </is>
      </c>
      <c r="Y660" s="111" t="inlineStr">
        <is>
          <t>Impacto Potencial</t>
        </is>
      </c>
      <c r="Z660" s="111" t="inlineStr">
        <is>
          <t>PC</t>
        </is>
      </c>
      <c r="AA660" s="111" t="inlineStr">
        <is>
          <t>Nao</t>
        </is>
      </c>
      <c r="AB660" s="111" t="inlineStr">
        <is>
          <t>NAO_COMPUTADO</t>
        </is>
      </c>
      <c r="AC660" s="112" t="inlineStr">
        <is>
          <t>Estrutura Fase 1: sem impacto no VTA oficial</t>
        </is>
      </c>
    </row>
    <row r="661" ht="25.5" customHeight="1" s="289">
      <c r="A661" s="205" t="n"/>
      <c r="B661" s="207" t="n"/>
      <c r="C661" s="104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348" t="n"/>
      <c r="E661" s="349">
        <f>IF(C661="","",IFERROR(VLOOKUP(C661,parametros!$A$11:$E$15,5,0),""))</f>
        <v/>
      </c>
      <c r="F661" s="335">
        <f>IF(OR(D661="",E661=""),"",ROUND(D661*E661,2))</f>
        <v/>
      </c>
      <c r="G661" s="106" t="n"/>
      <c r="H661" s="350">
        <f>IF(G661="Sim",IF(OR(F661="",D661="",L661=""),"",IF(L661="Sim",ROUND(F661-D661,2),0)),0)</f>
        <v/>
      </c>
      <c r="I661" s="350">
        <f>IF(G661="Sim",0,IF(OR(F661="",L661=""),"",F661))</f>
        <v/>
      </c>
      <c r="J661" s="350">
        <f>IF(G661="Sim",0,IF(OR(F661="",D661="",L661=""),"",IF(L661="Sim",ROUND(F661-D661,2),0)))</f>
        <v/>
      </c>
      <c r="K661" s="97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inlineStr">
        <is>
          <t>Nao</t>
        </is>
      </c>
      <c r="W661" s="110" t="inlineStr">
        <is>
          <t>PC em analise</t>
        </is>
      </c>
      <c r="X661" s="110" t="inlineStr">
        <is>
          <t>Pedido de Compra</t>
        </is>
      </c>
      <c r="Y661" s="111" t="inlineStr">
        <is>
          <t>Impacto Potencial</t>
        </is>
      </c>
      <c r="Z661" s="111" t="inlineStr">
        <is>
          <t>PC</t>
        </is>
      </c>
      <c r="AA661" s="111" t="inlineStr">
        <is>
          <t>Nao</t>
        </is>
      </c>
      <c r="AB661" s="111" t="inlineStr">
        <is>
          <t>NAO_COMPUTADO</t>
        </is>
      </c>
      <c r="AC661" s="112" t="inlineStr">
        <is>
          <t>Estrutura Fase 1: sem impacto no VTA oficial</t>
        </is>
      </c>
    </row>
    <row r="662" ht="25.5" customHeight="1" s="289">
      <c r="A662" s="205" t="n"/>
      <c r="B662" s="207" t="n"/>
      <c r="C662" s="104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348" t="n"/>
      <c r="E662" s="349">
        <f>IF(C662="","",IFERROR(VLOOKUP(C662,parametros!$A$11:$E$15,5,0),""))</f>
        <v/>
      </c>
      <c r="F662" s="335">
        <f>IF(OR(D662="",E662=""),"",ROUND(D662*E662,2))</f>
        <v/>
      </c>
      <c r="G662" s="106" t="n"/>
      <c r="H662" s="350">
        <f>IF(G662="Sim",IF(OR(F662="",D662="",L662=""),"",IF(L662="Sim",ROUND(F662-D662,2),0)),0)</f>
        <v/>
      </c>
      <c r="I662" s="350">
        <f>IF(G662="Sim",0,IF(OR(F662="",L662=""),"",F662))</f>
        <v/>
      </c>
      <c r="J662" s="350">
        <f>IF(G662="Sim",0,IF(OR(F662="",D662="",L662=""),"",IF(L662="Sim",ROUND(F662-D662,2),0)))</f>
        <v/>
      </c>
      <c r="K662" s="97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inlineStr">
        <is>
          <t>Nao</t>
        </is>
      </c>
      <c r="W662" s="110" t="inlineStr">
        <is>
          <t>PC em analise</t>
        </is>
      </c>
      <c r="X662" s="110" t="inlineStr">
        <is>
          <t>Pedido de Compra</t>
        </is>
      </c>
      <c r="Y662" s="111" t="inlineStr">
        <is>
          <t>Impacto Potencial</t>
        </is>
      </c>
      <c r="Z662" s="111" t="inlineStr">
        <is>
          <t>PC</t>
        </is>
      </c>
      <c r="AA662" s="111" t="inlineStr">
        <is>
          <t>Nao</t>
        </is>
      </c>
      <c r="AB662" s="111" t="inlineStr">
        <is>
          <t>NAO_COMPUTADO</t>
        </is>
      </c>
      <c r="AC662" s="112" t="inlineStr">
        <is>
          <t>Estrutura Fase 1: sem impacto no VTA oficial</t>
        </is>
      </c>
    </row>
    <row r="663" ht="25.5" customHeight="1" s="289">
      <c r="A663" s="205" t="n"/>
      <c r="B663" s="207" t="n"/>
      <c r="C663" s="104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348" t="n"/>
      <c r="E663" s="349">
        <f>IF(C663="","",IFERROR(VLOOKUP(C663,parametros!$A$11:$E$15,5,0),""))</f>
        <v/>
      </c>
      <c r="F663" s="335">
        <f>IF(OR(D663="",E663=""),"",ROUND(D663*E663,2))</f>
        <v/>
      </c>
      <c r="G663" s="106" t="n"/>
      <c r="H663" s="350">
        <f>IF(G663="Sim",IF(OR(F663="",D663="",L663=""),"",IF(L663="Sim",ROUND(F663-D663,2),0)),0)</f>
        <v/>
      </c>
      <c r="I663" s="350">
        <f>IF(G663="Sim",0,IF(OR(F663="",L663=""),"",F663))</f>
        <v/>
      </c>
      <c r="J663" s="350">
        <f>IF(G663="Sim",0,IF(OR(F663="",D663="",L663=""),"",IF(L663="Sim",ROUND(F663-D663,2),0)))</f>
        <v/>
      </c>
      <c r="K663" s="97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inlineStr">
        <is>
          <t>Nao</t>
        </is>
      </c>
      <c r="W663" s="110" t="inlineStr">
        <is>
          <t>PC em analise</t>
        </is>
      </c>
      <c r="X663" s="110" t="inlineStr">
        <is>
          <t>Pedido de Compra</t>
        </is>
      </c>
      <c r="Y663" s="111" t="inlineStr">
        <is>
          <t>Impacto Potencial</t>
        </is>
      </c>
      <c r="Z663" s="111" t="inlineStr">
        <is>
          <t>PC</t>
        </is>
      </c>
      <c r="AA663" s="111" t="inlineStr">
        <is>
          <t>Nao</t>
        </is>
      </c>
      <c r="AB663" s="111" t="inlineStr">
        <is>
          <t>NAO_COMPUTADO</t>
        </is>
      </c>
      <c r="AC663" s="112" t="inlineStr">
        <is>
          <t>Estrutura Fase 1: sem impacto no VTA oficial</t>
        </is>
      </c>
    </row>
    <row r="664" ht="25.5" customHeight="1" s="289">
      <c r="A664" s="205" t="n"/>
      <c r="B664" s="207" t="n"/>
      <c r="C664" s="104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348" t="n"/>
      <c r="E664" s="349">
        <f>IF(C664="","",IFERROR(VLOOKUP(C664,parametros!$A$11:$E$15,5,0),""))</f>
        <v/>
      </c>
      <c r="F664" s="335">
        <f>IF(OR(D664="",E664=""),"",ROUND(D664*E664,2))</f>
        <v/>
      </c>
      <c r="G664" s="106" t="n"/>
      <c r="H664" s="350">
        <f>IF(G664="Sim",IF(OR(F664="",D664="",L664=""),"",IF(L664="Sim",ROUND(F664-D664,2),0)),0)</f>
        <v/>
      </c>
      <c r="I664" s="350">
        <f>IF(G664="Sim",0,IF(OR(F664="",L664=""),"",F664))</f>
        <v/>
      </c>
      <c r="J664" s="350">
        <f>IF(G664="Sim",0,IF(OR(F664="",D664="",L664=""),"",IF(L664="Sim",ROUND(F664-D664,2),0)))</f>
        <v/>
      </c>
      <c r="K664" s="97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inlineStr">
        <is>
          <t>Nao</t>
        </is>
      </c>
      <c r="W664" s="110" t="inlineStr">
        <is>
          <t>PC em analise</t>
        </is>
      </c>
      <c r="X664" s="110" t="inlineStr">
        <is>
          <t>Pedido de Compra</t>
        </is>
      </c>
      <c r="Y664" s="111" t="inlineStr">
        <is>
          <t>Impacto Potencial</t>
        </is>
      </c>
      <c r="Z664" s="111" t="inlineStr">
        <is>
          <t>PC</t>
        </is>
      </c>
      <c r="AA664" s="111" t="inlineStr">
        <is>
          <t>Nao</t>
        </is>
      </c>
      <c r="AB664" s="111" t="inlineStr">
        <is>
          <t>NAO_COMPUTADO</t>
        </is>
      </c>
      <c r="AC664" s="112" t="inlineStr">
        <is>
          <t>Estrutura Fase 1: sem impacto no VTA oficial</t>
        </is>
      </c>
    </row>
    <row r="665" ht="25.5" customHeight="1" s="289">
      <c r="A665" s="205" t="n"/>
      <c r="B665" s="207" t="n"/>
      <c r="C665" s="104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348" t="n"/>
      <c r="E665" s="349">
        <f>IF(C665="","",IFERROR(VLOOKUP(C665,parametros!$A$11:$E$15,5,0),""))</f>
        <v/>
      </c>
      <c r="F665" s="335">
        <f>IF(OR(D665="",E665=""),"",ROUND(D665*E665,2))</f>
        <v/>
      </c>
      <c r="G665" s="106" t="n"/>
      <c r="H665" s="350">
        <f>IF(G665="Sim",IF(OR(F665="",D665="",L665=""),"",IF(L665="Sim",ROUND(F665-D665,2),0)),0)</f>
        <v/>
      </c>
      <c r="I665" s="350">
        <f>IF(G665="Sim",0,IF(OR(F665="",L665=""),"",F665))</f>
        <v/>
      </c>
      <c r="J665" s="350">
        <f>IF(G665="Sim",0,IF(OR(F665="",D665="",L665=""),"",IF(L665="Sim",ROUND(F665-D665,2),0)))</f>
        <v/>
      </c>
      <c r="K665" s="97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inlineStr">
        <is>
          <t>Nao</t>
        </is>
      </c>
      <c r="W665" s="110" t="inlineStr">
        <is>
          <t>PC em analise</t>
        </is>
      </c>
      <c r="X665" s="110" t="inlineStr">
        <is>
          <t>Pedido de Compra</t>
        </is>
      </c>
      <c r="Y665" s="111" t="inlineStr">
        <is>
          <t>Impacto Potencial</t>
        </is>
      </c>
      <c r="Z665" s="111" t="inlineStr">
        <is>
          <t>PC</t>
        </is>
      </c>
      <c r="AA665" s="111" t="inlineStr">
        <is>
          <t>Nao</t>
        </is>
      </c>
      <c r="AB665" s="111" t="inlineStr">
        <is>
          <t>NAO_COMPUTADO</t>
        </is>
      </c>
      <c r="AC665" s="112" t="inlineStr">
        <is>
          <t>Estrutura Fase 1: sem impacto no VTA oficial</t>
        </is>
      </c>
    </row>
    <row r="666" ht="25.5" customHeight="1" s="289">
      <c r="A666" s="205" t="n"/>
      <c r="B666" s="207" t="n"/>
      <c r="C666" s="104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348" t="n"/>
      <c r="E666" s="349">
        <f>IF(C666="","",IFERROR(VLOOKUP(C666,parametros!$A$11:$E$15,5,0),""))</f>
        <v/>
      </c>
      <c r="F666" s="335">
        <f>IF(OR(D666="",E666=""),"",ROUND(D666*E666,2))</f>
        <v/>
      </c>
      <c r="G666" s="106" t="n"/>
      <c r="H666" s="350">
        <f>IF(G666="Sim",IF(OR(F666="",D666="",L666=""),"",IF(L666="Sim",ROUND(F666-D666,2),0)),0)</f>
        <v/>
      </c>
      <c r="I666" s="350">
        <f>IF(G666="Sim",0,IF(OR(F666="",L666=""),"",F666))</f>
        <v/>
      </c>
      <c r="J666" s="350">
        <f>IF(G666="Sim",0,IF(OR(F666="",D666="",L666=""),"",IF(L666="Sim",ROUND(F666-D666,2),0)))</f>
        <v/>
      </c>
      <c r="K666" s="97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inlineStr">
        <is>
          <t>Nao</t>
        </is>
      </c>
      <c r="W666" s="110" t="inlineStr">
        <is>
          <t>PC em analise</t>
        </is>
      </c>
      <c r="X666" s="110" t="inlineStr">
        <is>
          <t>Pedido de Compra</t>
        </is>
      </c>
      <c r="Y666" s="111" t="inlineStr">
        <is>
          <t>Impacto Potencial</t>
        </is>
      </c>
      <c r="Z666" s="111" t="inlineStr">
        <is>
          <t>PC</t>
        </is>
      </c>
      <c r="AA666" s="111" t="inlineStr">
        <is>
          <t>Nao</t>
        </is>
      </c>
      <c r="AB666" s="111" t="inlineStr">
        <is>
          <t>NAO_COMPUTADO</t>
        </is>
      </c>
      <c r="AC666" s="112" t="inlineStr">
        <is>
          <t>Estrutura Fase 1: sem impacto no VTA oficial</t>
        </is>
      </c>
    </row>
    <row r="667" ht="25.5" customHeight="1" s="289">
      <c r="A667" s="205" t="n"/>
      <c r="B667" s="207" t="n"/>
      <c r="C667" s="104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348" t="n"/>
      <c r="E667" s="349">
        <f>IF(C667="","",IFERROR(VLOOKUP(C667,parametros!$A$11:$E$15,5,0),""))</f>
        <v/>
      </c>
      <c r="F667" s="335">
        <f>IF(OR(D667="",E667=""),"",ROUND(D667*E667,2))</f>
        <v/>
      </c>
      <c r="G667" s="106" t="n"/>
      <c r="H667" s="350">
        <f>IF(G667="Sim",IF(OR(F667="",D667="",L667=""),"",IF(L667="Sim",ROUND(F667-D667,2),0)),0)</f>
        <v/>
      </c>
      <c r="I667" s="350">
        <f>IF(G667="Sim",0,IF(OR(F667="",L667=""),"",F667))</f>
        <v/>
      </c>
      <c r="J667" s="350">
        <f>IF(G667="Sim",0,IF(OR(F667="",D667="",L667=""),"",IF(L667="Sim",ROUND(F667-D667,2),0)))</f>
        <v/>
      </c>
      <c r="K667" s="97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inlineStr">
        <is>
          <t>Nao</t>
        </is>
      </c>
      <c r="W667" s="110" t="inlineStr">
        <is>
          <t>PC em analise</t>
        </is>
      </c>
      <c r="X667" s="110" t="inlineStr">
        <is>
          <t>Pedido de Compra</t>
        </is>
      </c>
      <c r="Y667" s="111" t="inlineStr">
        <is>
          <t>Impacto Potencial</t>
        </is>
      </c>
      <c r="Z667" s="111" t="inlineStr">
        <is>
          <t>PC</t>
        </is>
      </c>
      <c r="AA667" s="111" t="inlineStr">
        <is>
          <t>Nao</t>
        </is>
      </c>
      <c r="AB667" s="111" t="inlineStr">
        <is>
          <t>NAO_COMPUTADO</t>
        </is>
      </c>
      <c r="AC667" s="112" t="inlineStr">
        <is>
          <t>Estrutura Fase 1: sem impacto no VTA oficial</t>
        </is>
      </c>
    </row>
    <row r="668" ht="25.5" customHeight="1" s="289">
      <c r="A668" s="205" t="n"/>
      <c r="B668" s="207" t="n"/>
      <c r="C668" s="104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348" t="n"/>
      <c r="E668" s="349">
        <f>IF(C668="","",IFERROR(VLOOKUP(C668,parametros!$A$11:$E$15,5,0),""))</f>
        <v/>
      </c>
      <c r="F668" s="335">
        <f>IF(OR(D668="",E668=""),"",ROUND(D668*E668,2))</f>
        <v/>
      </c>
      <c r="G668" s="106" t="n"/>
      <c r="H668" s="350">
        <f>IF(G668="Sim",IF(OR(F668="",D668="",L668=""),"",IF(L668="Sim",ROUND(F668-D668,2),0)),0)</f>
        <v/>
      </c>
      <c r="I668" s="350">
        <f>IF(G668="Sim",0,IF(OR(F668="",L668=""),"",F668))</f>
        <v/>
      </c>
      <c r="J668" s="350">
        <f>IF(G668="Sim",0,IF(OR(F668="",D668="",L668=""),"",IF(L668="Sim",ROUND(F668-D668,2),0)))</f>
        <v/>
      </c>
      <c r="K668" s="97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inlineStr">
        <is>
          <t>Nao</t>
        </is>
      </c>
      <c r="W668" s="110" t="inlineStr">
        <is>
          <t>PC em analise</t>
        </is>
      </c>
      <c r="X668" s="110" t="inlineStr">
        <is>
          <t>Pedido de Compra</t>
        </is>
      </c>
      <c r="Y668" s="111" t="inlineStr">
        <is>
          <t>Impacto Potencial</t>
        </is>
      </c>
      <c r="Z668" s="111" t="inlineStr">
        <is>
          <t>PC</t>
        </is>
      </c>
      <c r="AA668" s="111" t="inlineStr">
        <is>
          <t>Nao</t>
        </is>
      </c>
      <c r="AB668" s="111" t="inlineStr">
        <is>
          <t>NAO_COMPUTADO</t>
        </is>
      </c>
      <c r="AC668" s="112" t="inlineStr">
        <is>
          <t>Estrutura Fase 1: sem impacto no VTA oficial</t>
        </is>
      </c>
    </row>
    <row r="669" ht="25.5" customHeight="1" s="289">
      <c r="A669" s="205" t="n"/>
      <c r="B669" s="207" t="n"/>
      <c r="C669" s="104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348" t="n"/>
      <c r="E669" s="349">
        <f>IF(C669="","",IFERROR(VLOOKUP(C669,parametros!$A$11:$E$15,5,0),""))</f>
        <v/>
      </c>
      <c r="F669" s="335">
        <f>IF(OR(D669="",E669=""),"",ROUND(D669*E669,2))</f>
        <v/>
      </c>
      <c r="G669" s="106" t="n"/>
      <c r="H669" s="350">
        <f>IF(G669="Sim",IF(OR(F669="",D669="",L669=""),"",IF(L669="Sim",ROUND(F669-D669,2),0)),0)</f>
        <v/>
      </c>
      <c r="I669" s="350">
        <f>IF(G669="Sim",0,IF(OR(F669="",L669=""),"",F669))</f>
        <v/>
      </c>
      <c r="J669" s="350">
        <f>IF(G669="Sim",0,IF(OR(F669="",D669="",L669=""),"",IF(L669="Sim",ROUND(F669-D669,2),0)))</f>
        <v/>
      </c>
      <c r="K669" s="97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inlineStr">
        <is>
          <t>Nao</t>
        </is>
      </c>
      <c r="W669" s="110" t="inlineStr">
        <is>
          <t>PC em analise</t>
        </is>
      </c>
      <c r="X669" s="110" t="inlineStr">
        <is>
          <t>Pedido de Compra</t>
        </is>
      </c>
      <c r="Y669" s="111" t="inlineStr">
        <is>
          <t>Impacto Potencial</t>
        </is>
      </c>
      <c r="Z669" s="111" t="inlineStr">
        <is>
          <t>PC</t>
        </is>
      </c>
      <c r="AA669" s="111" t="inlineStr">
        <is>
          <t>Nao</t>
        </is>
      </c>
      <c r="AB669" s="111" t="inlineStr">
        <is>
          <t>NAO_COMPUTADO</t>
        </is>
      </c>
      <c r="AC669" s="112" t="inlineStr">
        <is>
          <t>Estrutura Fase 1: sem impacto no VTA oficial</t>
        </is>
      </c>
    </row>
    <row r="670" ht="25.5" customHeight="1" s="289">
      <c r="A670" s="205" t="n"/>
      <c r="B670" s="207" t="n"/>
      <c r="C670" s="104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348" t="n"/>
      <c r="E670" s="349">
        <f>IF(C670="","",IFERROR(VLOOKUP(C670,parametros!$A$11:$E$15,5,0),""))</f>
        <v/>
      </c>
      <c r="F670" s="335">
        <f>IF(OR(D670="",E670=""),"",ROUND(D670*E670,2))</f>
        <v/>
      </c>
      <c r="G670" s="106" t="n"/>
      <c r="H670" s="350">
        <f>IF(G670="Sim",IF(OR(F670="",D670="",L670=""),"",IF(L670="Sim",ROUND(F670-D670,2),0)),0)</f>
        <v/>
      </c>
      <c r="I670" s="350">
        <f>IF(G670="Sim",0,IF(OR(F670="",L670=""),"",F670))</f>
        <v/>
      </c>
      <c r="J670" s="350">
        <f>IF(G670="Sim",0,IF(OR(F670="",D670="",L670=""),"",IF(L670="Sim",ROUND(F670-D670,2),0)))</f>
        <v/>
      </c>
      <c r="K670" s="97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inlineStr">
        <is>
          <t>Nao</t>
        </is>
      </c>
      <c r="W670" s="110" t="inlineStr">
        <is>
          <t>PC em analise</t>
        </is>
      </c>
      <c r="X670" s="110" t="inlineStr">
        <is>
          <t>Pedido de Compra</t>
        </is>
      </c>
      <c r="Y670" s="111" t="inlineStr">
        <is>
          <t>Impacto Potencial</t>
        </is>
      </c>
      <c r="Z670" s="111" t="inlineStr">
        <is>
          <t>PC</t>
        </is>
      </c>
      <c r="AA670" s="111" t="inlineStr">
        <is>
          <t>Nao</t>
        </is>
      </c>
      <c r="AB670" s="111" t="inlineStr">
        <is>
          <t>NAO_COMPUTADO</t>
        </is>
      </c>
      <c r="AC670" s="112" t="inlineStr">
        <is>
          <t>Estrutura Fase 1: sem impacto no VTA oficial</t>
        </is>
      </c>
    </row>
    <row r="671" ht="25.5" customHeight="1" s="289">
      <c r="A671" s="205" t="n"/>
      <c r="B671" s="207" t="n"/>
      <c r="C671" s="104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348" t="n"/>
      <c r="E671" s="349">
        <f>IF(C671="","",IFERROR(VLOOKUP(C671,parametros!$A$11:$E$15,5,0),""))</f>
        <v/>
      </c>
      <c r="F671" s="335">
        <f>IF(OR(D671="",E671=""),"",ROUND(D671*E671,2))</f>
        <v/>
      </c>
      <c r="G671" s="106" t="n"/>
      <c r="H671" s="350">
        <f>IF(G671="Sim",IF(OR(F671="",D671="",L671=""),"",IF(L671="Sim",ROUND(F671-D671,2),0)),0)</f>
        <v/>
      </c>
      <c r="I671" s="350">
        <f>IF(G671="Sim",0,IF(OR(F671="",L671=""),"",F671))</f>
        <v/>
      </c>
      <c r="J671" s="350">
        <f>IF(G671="Sim",0,IF(OR(F671="",D671="",L671=""),"",IF(L671="Sim",ROUND(F671-D671,2),0)))</f>
        <v/>
      </c>
      <c r="K671" s="97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inlineStr">
        <is>
          <t>Nao</t>
        </is>
      </c>
      <c r="W671" s="110" t="inlineStr">
        <is>
          <t>PC em analise</t>
        </is>
      </c>
      <c r="X671" s="110" t="inlineStr">
        <is>
          <t>Pedido de Compra</t>
        </is>
      </c>
      <c r="Y671" s="111" t="inlineStr">
        <is>
          <t>Impacto Potencial</t>
        </is>
      </c>
      <c r="Z671" s="111" t="inlineStr">
        <is>
          <t>PC</t>
        </is>
      </c>
      <c r="AA671" s="111" t="inlineStr">
        <is>
          <t>Nao</t>
        </is>
      </c>
      <c r="AB671" s="111" t="inlineStr">
        <is>
          <t>NAO_COMPUTADO</t>
        </is>
      </c>
      <c r="AC671" s="112" t="inlineStr">
        <is>
          <t>Estrutura Fase 1: sem impacto no VTA oficial</t>
        </is>
      </c>
    </row>
    <row r="672" ht="25.5" customHeight="1" s="289">
      <c r="A672" s="205" t="n"/>
      <c r="B672" s="207" t="n"/>
      <c r="C672" s="104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348" t="n"/>
      <c r="E672" s="349">
        <f>IF(C672="","",IFERROR(VLOOKUP(C672,parametros!$A$11:$E$15,5,0),""))</f>
        <v/>
      </c>
      <c r="F672" s="335">
        <f>IF(OR(D672="",E672=""),"",ROUND(D672*E672,2))</f>
        <v/>
      </c>
      <c r="G672" s="106" t="n"/>
      <c r="H672" s="350">
        <f>IF(G672="Sim",IF(OR(F672="",D672="",L672=""),"",IF(L672="Sim",ROUND(F672-D672,2),0)),0)</f>
        <v/>
      </c>
      <c r="I672" s="350">
        <f>IF(G672="Sim",0,IF(OR(F672="",L672=""),"",F672))</f>
        <v/>
      </c>
      <c r="J672" s="350">
        <f>IF(G672="Sim",0,IF(OR(F672="",D672="",L672=""),"",IF(L672="Sim",ROUND(F672-D672,2),0)))</f>
        <v/>
      </c>
      <c r="K672" s="97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inlineStr">
        <is>
          <t>Nao</t>
        </is>
      </c>
      <c r="W672" s="110" t="inlineStr">
        <is>
          <t>PC em analise</t>
        </is>
      </c>
      <c r="X672" s="110" t="inlineStr">
        <is>
          <t>Pedido de Compra</t>
        </is>
      </c>
      <c r="Y672" s="111" t="inlineStr">
        <is>
          <t>Impacto Potencial</t>
        </is>
      </c>
      <c r="Z672" s="111" t="inlineStr">
        <is>
          <t>PC</t>
        </is>
      </c>
      <c r="AA672" s="111" t="inlineStr">
        <is>
          <t>Nao</t>
        </is>
      </c>
      <c r="AB672" s="111" t="inlineStr">
        <is>
          <t>NAO_COMPUTADO</t>
        </is>
      </c>
      <c r="AC672" s="112" t="inlineStr">
        <is>
          <t>Estrutura Fase 1: sem impacto no VTA oficial</t>
        </is>
      </c>
    </row>
    <row r="673" ht="25.5" customHeight="1" s="289">
      <c r="A673" s="205" t="n"/>
      <c r="B673" s="207" t="n"/>
      <c r="C673" s="104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348" t="n"/>
      <c r="E673" s="349">
        <f>IF(C673="","",IFERROR(VLOOKUP(C673,parametros!$A$11:$E$15,5,0),""))</f>
        <v/>
      </c>
      <c r="F673" s="335">
        <f>IF(OR(D673="",E673=""),"",ROUND(D673*E673,2))</f>
        <v/>
      </c>
      <c r="G673" s="106" t="n"/>
      <c r="H673" s="350">
        <f>IF(G673="Sim",IF(OR(F673="",D673="",L673=""),"",IF(L673="Sim",ROUND(F673-D673,2),0)),0)</f>
        <v/>
      </c>
      <c r="I673" s="350">
        <f>IF(G673="Sim",0,IF(OR(F673="",L673=""),"",F673))</f>
        <v/>
      </c>
      <c r="J673" s="350">
        <f>IF(G673="Sim",0,IF(OR(F673="",D673="",L673=""),"",IF(L673="Sim",ROUND(F673-D673,2),0)))</f>
        <v/>
      </c>
      <c r="K673" s="97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inlineStr">
        <is>
          <t>Nao</t>
        </is>
      </c>
      <c r="W673" s="110" t="inlineStr">
        <is>
          <t>PC em analise</t>
        </is>
      </c>
      <c r="X673" s="110" t="inlineStr">
        <is>
          <t>Pedido de Compra</t>
        </is>
      </c>
      <c r="Y673" s="111" t="inlineStr">
        <is>
          <t>Impacto Potencial</t>
        </is>
      </c>
      <c r="Z673" s="111" t="inlineStr">
        <is>
          <t>PC</t>
        </is>
      </c>
      <c r="AA673" s="111" t="inlineStr">
        <is>
          <t>Nao</t>
        </is>
      </c>
      <c r="AB673" s="111" t="inlineStr">
        <is>
          <t>NAO_COMPUTADO</t>
        </is>
      </c>
      <c r="AC673" s="112" t="inlineStr">
        <is>
          <t>Estrutura Fase 1: sem impacto no VTA oficial</t>
        </is>
      </c>
    </row>
    <row r="674" ht="25.5" customHeight="1" s="289">
      <c r="A674" s="205" t="n"/>
      <c r="B674" s="207" t="n"/>
      <c r="C674" s="104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348" t="n"/>
      <c r="E674" s="349">
        <f>IF(C674="","",IFERROR(VLOOKUP(C674,parametros!$A$11:$E$15,5,0),""))</f>
        <v/>
      </c>
      <c r="F674" s="335">
        <f>IF(OR(D674="",E674=""),"",ROUND(D674*E674,2))</f>
        <v/>
      </c>
      <c r="G674" s="106" t="n"/>
      <c r="H674" s="350">
        <f>IF(G674="Sim",IF(OR(F674="",D674="",L674=""),"",IF(L674="Sim",ROUND(F674-D674,2),0)),0)</f>
        <v/>
      </c>
      <c r="I674" s="350">
        <f>IF(G674="Sim",0,IF(OR(F674="",L674=""),"",F674))</f>
        <v/>
      </c>
      <c r="J674" s="350">
        <f>IF(G674="Sim",0,IF(OR(F674="",D674="",L674=""),"",IF(L674="Sim",ROUND(F674-D674,2),0)))</f>
        <v/>
      </c>
      <c r="K674" s="97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inlineStr">
        <is>
          <t>Nao</t>
        </is>
      </c>
      <c r="W674" s="110" t="inlineStr">
        <is>
          <t>PC em analise</t>
        </is>
      </c>
      <c r="X674" s="110" t="inlineStr">
        <is>
          <t>Pedido de Compra</t>
        </is>
      </c>
      <c r="Y674" s="111" t="inlineStr">
        <is>
          <t>Impacto Potencial</t>
        </is>
      </c>
      <c r="Z674" s="111" t="inlineStr">
        <is>
          <t>PC</t>
        </is>
      </c>
      <c r="AA674" s="111" t="inlineStr">
        <is>
          <t>Nao</t>
        </is>
      </c>
      <c r="AB674" s="111" t="inlineStr">
        <is>
          <t>NAO_COMPUTADO</t>
        </is>
      </c>
      <c r="AC674" s="112" t="inlineStr">
        <is>
          <t>Estrutura Fase 1: sem impacto no VTA oficial</t>
        </is>
      </c>
    </row>
    <row r="675" ht="25.5" customHeight="1" s="289">
      <c r="A675" s="205" t="n"/>
      <c r="B675" s="207" t="n"/>
      <c r="C675" s="104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348" t="n"/>
      <c r="E675" s="349">
        <f>IF(C675="","",IFERROR(VLOOKUP(C675,parametros!$A$11:$E$15,5,0),""))</f>
        <v/>
      </c>
      <c r="F675" s="335">
        <f>IF(OR(D675="",E675=""),"",ROUND(D675*E675,2))</f>
        <v/>
      </c>
      <c r="G675" s="106" t="n"/>
      <c r="H675" s="350">
        <f>IF(G675="Sim",IF(OR(F675="",D675="",L675=""),"",IF(L675="Sim",ROUND(F675-D675,2),0)),0)</f>
        <v/>
      </c>
      <c r="I675" s="350">
        <f>IF(G675="Sim",0,IF(OR(F675="",L675=""),"",F675))</f>
        <v/>
      </c>
      <c r="J675" s="350">
        <f>IF(G675="Sim",0,IF(OR(F675="",D675="",L675=""),"",IF(L675="Sim",ROUND(F675-D675,2),0)))</f>
        <v/>
      </c>
      <c r="K675" s="97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inlineStr">
        <is>
          <t>Nao</t>
        </is>
      </c>
      <c r="W675" s="110" t="inlineStr">
        <is>
          <t>PC em analise</t>
        </is>
      </c>
      <c r="X675" s="110" t="inlineStr">
        <is>
          <t>Pedido de Compra</t>
        </is>
      </c>
      <c r="Y675" s="111" t="inlineStr">
        <is>
          <t>Impacto Potencial</t>
        </is>
      </c>
      <c r="Z675" s="111" t="inlineStr">
        <is>
          <t>PC</t>
        </is>
      </c>
      <c r="AA675" s="111" t="inlineStr">
        <is>
          <t>Nao</t>
        </is>
      </c>
      <c r="AB675" s="111" t="inlineStr">
        <is>
          <t>NAO_COMPUTADO</t>
        </is>
      </c>
      <c r="AC675" s="112" t="inlineStr">
        <is>
          <t>Estrutura Fase 1: sem impacto no VTA oficial</t>
        </is>
      </c>
    </row>
    <row r="676" ht="25.5" customHeight="1" s="289">
      <c r="A676" s="205" t="n"/>
      <c r="B676" s="207" t="n"/>
      <c r="C676" s="104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348" t="n"/>
      <c r="E676" s="349">
        <f>IF(C676="","",IFERROR(VLOOKUP(C676,parametros!$A$11:$E$15,5,0),""))</f>
        <v/>
      </c>
      <c r="F676" s="335">
        <f>IF(OR(D676="",E676=""),"",ROUND(D676*E676,2))</f>
        <v/>
      </c>
      <c r="G676" s="106" t="n"/>
      <c r="H676" s="350">
        <f>IF(G676="Sim",IF(OR(F676="",D676="",L676=""),"",IF(L676="Sim",ROUND(F676-D676,2),0)),0)</f>
        <v/>
      </c>
      <c r="I676" s="350">
        <f>IF(G676="Sim",0,IF(OR(F676="",L676=""),"",F676))</f>
        <v/>
      </c>
      <c r="J676" s="350">
        <f>IF(G676="Sim",0,IF(OR(F676="",D676="",L676=""),"",IF(L676="Sim",ROUND(F676-D676,2),0)))</f>
        <v/>
      </c>
      <c r="K676" s="97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inlineStr">
        <is>
          <t>Nao</t>
        </is>
      </c>
      <c r="W676" s="110" t="inlineStr">
        <is>
          <t>PC em analise</t>
        </is>
      </c>
      <c r="X676" s="110" t="inlineStr">
        <is>
          <t>Pedido de Compra</t>
        </is>
      </c>
      <c r="Y676" s="111" t="inlineStr">
        <is>
          <t>Impacto Potencial</t>
        </is>
      </c>
      <c r="Z676" s="111" t="inlineStr">
        <is>
          <t>PC</t>
        </is>
      </c>
      <c r="AA676" s="111" t="inlineStr">
        <is>
          <t>Nao</t>
        </is>
      </c>
      <c r="AB676" s="111" t="inlineStr">
        <is>
          <t>NAO_COMPUTADO</t>
        </is>
      </c>
      <c r="AC676" s="112" t="inlineStr">
        <is>
          <t>Estrutura Fase 1: sem impacto no VTA oficial</t>
        </is>
      </c>
    </row>
    <row r="677" ht="25.5" customHeight="1" s="289">
      <c r="A677" s="205" t="n"/>
      <c r="B677" s="207" t="n"/>
      <c r="C677" s="104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348" t="n"/>
      <c r="E677" s="349">
        <f>IF(C677="","",IFERROR(VLOOKUP(C677,parametros!$A$11:$E$15,5,0),""))</f>
        <v/>
      </c>
      <c r="F677" s="335">
        <f>IF(OR(D677="",E677=""),"",ROUND(D677*E677,2))</f>
        <v/>
      </c>
      <c r="G677" s="106" t="n"/>
      <c r="H677" s="350">
        <f>IF(G677="Sim",IF(OR(F677="",D677="",L677=""),"",IF(L677="Sim",ROUND(F677-D677,2),0)),0)</f>
        <v/>
      </c>
      <c r="I677" s="350">
        <f>IF(G677="Sim",0,IF(OR(F677="",L677=""),"",F677))</f>
        <v/>
      </c>
      <c r="J677" s="350">
        <f>IF(G677="Sim",0,IF(OR(F677="",D677="",L677=""),"",IF(L677="Sim",ROUND(F677-D677,2),0)))</f>
        <v/>
      </c>
      <c r="K677" s="97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inlineStr">
        <is>
          <t>Nao</t>
        </is>
      </c>
      <c r="W677" s="110" t="inlineStr">
        <is>
          <t>PC em analise</t>
        </is>
      </c>
      <c r="X677" s="110" t="inlineStr">
        <is>
          <t>Pedido de Compra</t>
        </is>
      </c>
      <c r="Y677" s="111" t="inlineStr">
        <is>
          <t>Impacto Potencial</t>
        </is>
      </c>
      <c r="Z677" s="111" t="inlineStr">
        <is>
          <t>PC</t>
        </is>
      </c>
      <c r="AA677" s="111" t="inlineStr">
        <is>
          <t>Nao</t>
        </is>
      </c>
      <c r="AB677" s="111" t="inlineStr">
        <is>
          <t>NAO_COMPUTADO</t>
        </is>
      </c>
      <c r="AC677" s="112" t="inlineStr">
        <is>
          <t>Estrutura Fase 1: sem impacto no VTA oficial</t>
        </is>
      </c>
    </row>
    <row r="678" ht="25.5" customHeight="1" s="289">
      <c r="A678" s="205" t="n"/>
      <c r="B678" s="207" t="n"/>
      <c r="C678" s="104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348" t="n"/>
      <c r="E678" s="349">
        <f>IF(C678="","",IFERROR(VLOOKUP(C678,parametros!$A$11:$E$15,5,0),""))</f>
        <v/>
      </c>
      <c r="F678" s="335">
        <f>IF(OR(D678="",E678=""),"",ROUND(D678*E678,2))</f>
        <v/>
      </c>
      <c r="G678" s="106" t="n"/>
      <c r="H678" s="350">
        <f>IF(G678="Sim",IF(OR(F678="",D678="",L678=""),"",IF(L678="Sim",ROUND(F678-D678,2),0)),0)</f>
        <v/>
      </c>
      <c r="I678" s="350">
        <f>IF(G678="Sim",0,IF(OR(F678="",L678=""),"",F678))</f>
        <v/>
      </c>
      <c r="J678" s="350">
        <f>IF(G678="Sim",0,IF(OR(F678="",D678="",L678=""),"",IF(L678="Sim",ROUND(F678-D678,2),0)))</f>
        <v/>
      </c>
      <c r="K678" s="97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inlineStr">
        <is>
          <t>Nao</t>
        </is>
      </c>
      <c r="W678" s="110" t="inlineStr">
        <is>
          <t>PC em analise</t>
        </is>
      </c>
      <c r="X678" s="110" t="inlineStr">
        <is>
          <t>Pedido de Compra</t>
        </is>
      </c>
      <c r="Y678" s="111" t="inlineStr">
        <is>
          <t>Impacto Potencial</t>
        </is>
      </c>
      <c r="Z678" s="111" t="inlineStr">
        <is>
          <t>PC</t>
        </is>
      </c>
      <c r="AA678" s="111" t="inlineStr">
        <is>
          <t>Nao</t>
        </is>
      </c>
      <c r="AB678" s="111" t="inlineStr">
        <is>
          <t>NAO_COMPUTADO</t>
        </is>
      </c>
      <c r="AC678" s="112" t="inlineStr">
        <is>
          <t>Estrutura Fase 1: sem impacto no VTA oficial</t>
        </is>
      </c>
    </row>
    <row r="679" ht="25.5" customHeight="1" s="289">
      <c r="A679" s="205" t="n"/>
      <c r="B679" s="207" t="n"/>
      <c r="C679" s="104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348" t="n"/>
      <c r="E679" s="349">
        <f>IF(C679="","",IFERROR(VLOOKUP(C679,parametros!$A$11:$E$15,5,0),""))</f>
        <v/>
      </c>
      <c r="F679" s="335">
        <f>IF(OR(D679="",E679=""),"",ROUND(D679*E679,2))</f>
        <v/>
      </c>
      <c r="G679" s="106" t="n"/>
      <c r="H679" s="350">
        <f>IF(G679="Sim",IF(OR(F679="",D679="",L679=""),"",IF(L679="Sim",ROUND(F679-D679,2),0)),0)</f>
        <v/>
      </c>
      <c r="I679" s="350">
        <f>IF(G679="Sim",0,IF(OR(F679="",L679=""),"",F679))</f>
        <v/>
      </c>
      <c r="J679" s="350">
        <f>IF(G679="Sim",0,IF(OR(F679="",D679="",L679=""),"",IF(L679="Sim",ROUND(F679-D679,2),0)))</f>
        <v/>
      </c>
      <c r="K679" s="97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inlineStr">
        <is>
          <t>Nao</t>
        </is>
      </c>
      <c r="W679" s="110" t="inlineStr">
        <is>
          <t>PC em analise</t>
        </is>
      </c>
      <c r="X679" s="110" t="inlineStr">
        <is>
          <t>Pedido de Compra</t>
        </is>
      </c>
      <c r="Y679" s="111" t="inlineStr">
        <is>
          <t>Impacto Potencial</t>
        </is>
      </c>
      <c r="Z679" s="111" t="inlineStr">
        <is>
          <t>PC</t>
        </is>
      </c>
      <c r="AA679" s="111" t="inlineStr">
        <is>
          <t>Nao</t>
        </is>
      </c>
      <c r="AB679" s="111" t="inlineStr">
        <is>
          <t>NAO_COMPUTADO</t>
        </is>
      </c>
      <c r="AC679" s="112" t="inlineStr">
        <is>
          <t>Estrutura Fase 1: sem impacto no VTA oficial</t>
        </is>
      </c>
    </row>
    <row r="680" ht="25.5" customHeight="1" s="289">
      <c r="A680" s="205" t="n"/>
      <c r="B680" s="207" t="n"/>
      <c r="C680" s="104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348" t="n"/>
      <c r="E680" s="349">
        <f>IF(C680="","",IFERROR(VLOOKUP(C680,parametros!$A$11:$E$15,5,0),""))</f>
        <v/>
      </c>
      <c r="F680" s="335">
        <f>IF(OR(D680="",E680=""),"",ROUND(D680*E680,2))</f>
        <v/>
      </c>
      <c r="G680" s="106" t="n"/>
      <c r="H680" s="350">
        <f>IF(G680="Sim",IF(OR(F680="",D680="",L680=""),"",IF(L680="Sim",ROUND(F680-D680,2),0)),0)</f>
        <v/>
      </c>
      <c r="I680" s="350">
        <f>IF(G680="Sim",0,IF(OR(F680="",L680=""),"",F680))</f>
        <v/>
      </c>
      <c r="J680" s="350">
        <f>IF(G680="Sim",0,IF(OR(F680="",D680="",L680=""),"",IF(L680="Sim",ROUND(F680-D680,2),0)))</f>
        <v/>
      </c>
      <c r="K680" s="97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inlineStr">
        <is>
          <t>Nao</t>
        </is>
      </c>
      <c r="W680" s="110" t="inlineStr">
        <is>
          <t>PC em analise</t>
        </is>
      </c>
      <c r="X680" s="110" t="inlineStr">
        <is>
          <t>Pedido de Compra</t>
        </is>
      </c>
      <c r="Y680" s="111" t="inlineStr">
        <is>
          <t>Impacto Potencial</t>
        </is>
      </c>
      <c r="Z680" s="111" t="inlineStr">
        <is>
          <t>PC</t>
        </is>
      </c>
      <c r="AA680" s="111" t="inlineStr">
        <is>
          <t>Nao</t>
        </is>
      </c>
      <c r="AB680" s="111" t="inlineStr">
        <is>
          <t>NAO_COMPUTADO</t>
        </is>
      </c>
      <c r="AC680" s="112" t="inlineStr">
        <is>
          <t>Estrutura Fase 1: sem impacto no VTA oficial</t>
        </is>
      </c>
    </row>
    <row r="681" ht="25.5" customHeight="1" s="289">
      <c r="A681" s="205" t="n"/>
      <c r="B681" s="207" t="n"/>
      <c r="C681" s="104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348" t="n"/>
      <c r="E681" s="349">
        <f>IF(C681="","",IFERROR(VLOOKUP(C681,parametros!$A$11:$E$15,5,0),""))</f>
        <v/>
      </c>
      <c r="F681" s="335">
        <f>IF(OR(D681="",E681=""),"",ROUND(D681*E681,2))</f>
        <v/>
      </c>
      <c r="G681" s="106" t="n"/>
      <c r="H681" s="350">
        <f>IF(G681="Sim",IF(OR(F681="",D681="",L681=""),"",IF(L681="Sim",ROUND(F681-D681,2),0)),0)</f>
        <v/>
      </c>
      <c r="I681" s="350">
        <f>IF(G681="Sim",0,IF(OR(F681="",L681=""),"",F681))</f>
        <v/>
      </c>
      <c r="J681" s="350">
        <f>IF(G681="Sim",0,IF(OR(F681="",D681="",L681=""),"",IF(L681="Sim",ROUND(F681-D681,2),0)))</f>
        <v/>
      </c>
      <c r="K681" s="97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inlineStr">
        <is>
          <t>Nao</t>
        </is>
      </c>
      <c r="W681" s="110" t="inlineStr">
        <is>
          <t>PC em analise</t>
        </is>
      </c>
      <c r="X681" s="110" t="inlineStr">
        <is>
          <t>Pedido de Compra</t>
        </is>
      </c>
      <c r="Y681" s="111" t="inlineStr">
        <is>
          <t>Impacto Potencial</t>
        </is>
      </c>
      <c r="Z681" s="111" t="inlineStr">
        <is>
          <t>PC</t>
        </is>
      </c>
      <c r="AA681" s="111" t="inlineStr">
        <is>
          <t>Nao</t>
        </is>
      </c>
      <c r="AB681" s="111" t="inlineStr">
        <is>
          <t>NAO_COMPUTADO</t>
        </is>
      </c>
      <c r="AC681" s="112" t="inlineStr">
        <is>
          <t>Estrutura Fase 1: sem impacto no VTA oficial</t>
        </is>
      </c>
    </row>
    <row r="682" ht="25.5" customHeight="1" s="289">
      <c r="A682" s="205" t="n"/>
      <c r="B682" s="207" t="n"/>
      <c r="C682" s="104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348" t="n"/>
      <c r="E682" s="349">
        <f>IF(C682="","",IFERROR(VLOOKUP(C682,parametros!$A$11:$E$15,5,0),""))</f>
        <v/>
      </c>
      <c r="F682" s="335">
        <f>IF(OR(D682="",E682=""),"",ROUND(D682*E682,2))</f>
        <v/>
      </c>
      <c r="G682" s="106" t="n"/>
      <c r="H682" s="350">
        <f>IF(G682="Sim",IF(OR(F682="",D682="",L682=""),"",IF(L682="Sim",ROUND(F682-D682,2),0)),0)</f>
        <v/>
      </c>
      <c r="I682" s="350">
        <f>IF(G682="Sim",0,IF(OR(F682="",L682=""),"",F682))</f>
        <v/>
      </c>
      <c r="J682" s="350">
        <f>IF(G682="Sim",0,IF(OR(F682="",D682="",L682=""),"",IF(L682="Sim",ROUND(F682-D682,2),0)))</f>
        <v/>
      </c>
      <c r="K682" s="97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inlineStr">
        <is>
          <t>Nao</t>
        </is>
      </c>
      <c r="W682" s="110" t="inlineStr">
        <is>
          <t>PC em analise</t>
        </is>
      </c>
      <c r="X682" s="110" t="inlineStr">
        <is>
          <t>Pedido de Compra</t>
        </is>
      </c>
      <c r="Y682" s="111" t="inlineStr">
        <is>
          <t>Impacto Potencial</t>
        </is>
      </c>
      <c r="Z682" s="111" t="inlineStr">
        <is>
          <t>PC</t>
        </is>
      </c>
      <c r="AA682" s="111" t="inlineStr">
        <is>
          <t>Nao</t>
        </is>
      </c>
      <c r="AB682" s="111" t="inlineStr">
        <is>
          <t>NAO_COMPUTADO</t>
        </is>
      </c>
      <c r="AC682" s="112" t="inlineStr">
        <is>
          <t>Estrutura Fase 1: sem impacto no VTA oficial</t>
        </is>
      </c>
    </row>
    <row r="683" ht="25.5" customHeight="1" s="289">
      <c r="A683" s="205" t="n"/>
      <c r="B683" s="207" t="n"/>
      <c r="C683" s="104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348" t="n"/>
      <c r="E683" s="349">
        <f>IF(C683="","",IFERROR(VLOOKUP(C683,parametros!$A$11:$E$15,5,0),""))</f>
        <v/>
      </c>
      <c r="F683" s="335">
        <f>IF(OR(D683="",E683=""),"",ROUND(D683*E683,2))</f>
        <v/>
      </c>
      <c r="G683" s="106" t="n"/>
      <c r="H683" s="350">
        <f>IF(G683="Sim",IF(OR(F683="",D683="",L683=""),"",IF(L683="Sim",ROUND(F683-D683,2),0)),0)</f>
        <v/>
      </c>
      <c r="I683" s="350">
        <f>IF(G683="Sim",0,IF(OR(F683="",L683=""),"",F683))</f>
        <v/>
      </c>
      <c r="J683" s="350">
        <f>IF(G683="Sim",0,IF(OR(F683="",D683="",L683=""),"",IF(L683="Sim",ROUND(F683-D683,2),0)))</f>
        <v/>
      </c>
      <c r="K683" s="97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inlineStr">
        <is>
          <t>Nao</t>
        </is>
      </c>
      <c r="W683" s="110" t="inlineStr">
        <is>
          <t>PC em analise</t>
        </is>
      </c>
      <c r="X683" s="110" t="inlineStr">
        <is>
          <t>Pedido de Compra</t>
        </is>
      </c>
      <c r="Y683" s="111" t="inlineStr">
        <is>
          <t>Impacto Potencial</t>
        </is>
      </c>
      <c r="Z683" s="111" t="inlineStr">
        <is>
          <t>PC</t>
        </is>
      </c>
      <c r="AA683" s="111" t="inlineStr">
        <is>
          <t>Nao</t>
        </is>
      </c>
      <c r="AB683" s="111" t="inlineStr">
        <is>
          <t>NAO_COMPUTADO</t>
        </is>
      </c>
      <c r="AC683" s="112" t="inlineStr">
        <is>
          <t>Estrutura Fase 1: sem impacto no VTA oficial</t>
        </is>
      </c>
    </row>
    <row r="684" ht="25.5" customHeight="1" s="289">
      <c r="A684" s="205" t="n"/>
      <c r="B684" s="207" t="n"/>
      <c r="C684" s="104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348" t="n"/>
      <c r="E684" s="349">
        <f>IF(C684="","",IFERROR(VLOOKUP(C684,parametros!$A$11:$E$15,5,0),""))</f>
        <v/>
      </c>
      <c r="F684" s="335">
        <f>IF(OR(D684="",E684=""),"",ROUND(D684*E684,2))</f>
        <v/>
      </c>
      <c r="G684" s="106" t="n"/>
      <c r="H684" s="350">
        <f>IF(G684="Sim",IF(OR(F684="",D684="",L684=""),"",IF(L684="Sim",ROUND(F684-D684,2),0)),0)</f>
        <v/>
      </c>
      <c r="I684" s="350">
        <f>IF(G684="Sim",0,IF(OR(F684="",L684=""),"",F684))</f>
        <v/>
      </c>
      <c r="J684" s="350">
        <f>IF(G684="Sim",0,IF(OR(F684="",D684="",L684=""),"",IF(L684="Sim",ROUND(F684-D684,2),0)))</f>
        <v/>
      </c>
      <c r="K684" s="97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inlineStr">
        <is>
          <t>Nao</t>
        </is>
      </c>
      <c r="W684" s="110" t="inlineStr">
        <is>
          <t>PC em analise</t>
        </is>
      </c>
      <c r="X684" s="110" t="inlineStr">
        <is>
          <t>Pedido de Compra</t>
        </is>
      </c>
      <c r="Y684" s="111" t="inlineStr">
        <is>
          <t>Impacto Potencial</t>
        </is>
      </c>
      <c r="Z684" s="111" t="inlineStr">
        <is>
          <t>PC</t>
        </is>
      </c>
      <c r="AA684" s="111" t="inlineStr">
        <is>
          <t>Nao</t>
        </is>
      </c>
      <c r="AB684" s="111" t="inlineStr">
        <is>
          <t>NAO_COMPUTADO</t>
        </is>
      </c>
      <c r="AC684" s="112" t="inlineStr">
        <is>
          <t>Estrutura Fase 1: sem impacto no VTA oficial</t>
        </is>
      </c>
    </row>
    <row r="685" ht="25.5" customHeight="1" s="289">
      <c r="A685" s="205" t="n"/>
      <c r="B685" s="207" t="n"/>
      <c r="C685" s="104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348" t="n"/>
      <c r="E685" s="349">
        <f>IF(C685="","",IFERROR(VLOOKUP(C685,parametros!$A$11:$E$15,5,0),""))</f>
        <v/>
      </c>
      <c r="F685" s="335">
        <f>IF(OR(D685="",E685=""),"",ROUND(D685*E685,2))</f>
        <v/>
      </c>
      <c r="G685" s="106" t="n"/>
      <c r="H685" s="350">
        <f>IF(G685="Sim",IF(OR(F685="",D685="",L685=""),"",IF(L685="Sim",ROUND(F685-D685,2),0)),0)</f>
        <v/>
      </c>
      <c r="I685" s="350">
        <f>IF(G685="Sim",0,IF(OR(F685="",L685=""),"",F685))</f>
        <v/>
      </c>
      <c r="J685" s="350">
        <f>IF(G685="Sim",0,IF(OR(F685="",D685="",L685=""),"",IF(L685="Sim",ROUND(F685-D685,2),0)))</f>
        <v/>
      </c>
      <c r="K685" s="97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inlineStr">
        <is>
          <t>Nao</t>
        </is>
      </c>
      <c r="W685" s="110" t="inlineStr">
        <is>
          <t>PC em analise</t>
        </is>
      </c>
      <c r="X685" s="110" t="inlineStr">
        <is>
          <t>Pedido de Compra</t>
        </is>
      </c>
      <c r="Y685" s="111" t="inlineStr">
        <is>
          <t>Impacto Potencial</t>
        </is>
      </c>
      <c r="Z685" s="111" t="inlineStr">
        <is>
          <t>PC</t>
        </is>
      </c>
      <c r="AA685" s="111" t="inlineStr">
        <is>
          <t>Nao</t>
        </is>
      </c>
      <c r="AB685" s="111" t="inlineStr">
        <is>
          <t>NAO_COMPUTADO</t>
        </is>
      </c>
      <c r="AC685" s="112" t="inlineStr">
        <is>
          <t>Estrutura Fase 1: sem impacto no VTA oficial</t>
        </is>
      </c>
    </row>
    <row r="686" ht="25.5" customHeight="1" s="289">
      <c r="A686" s="205" t="n"/>
      <c r="B686" s="207" t="n"/>
      <c r="C686" s="104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348" t="n"/>
      <c r="E686" s="349">
        <f>IF(C686="","",IFERROR(VLOOKUP(C686,parametros!$A$11:$E$15,5,0),""))</f>
        <v/>
      </c>
      <c r="F686" s="335">
        <f>IF(OR(D686="",E686=""),"",ROUND(D686*E686,2))</f>
        <v/>
      </c>
      <c r="G686" s="106" t="n"/>
      <c r="H686" s="350">
        <f>IF(G686="Sim",IF(OR(F686="",D686="",L686=""),"",IF(L686="Sim",ROUND(F686-D686,2),0)),0)</f>
        <v/>
      </c>
      <c r="I686" s="350">
        <f>IF(G686="Sim",0,IF(OR(F686="",L686=""),"",F686))</f>
        <v/>
      </c>
      <c r="J686" s="350">
        <f>IF(G686="Sim",0,IF(OR(F686="",D686="",L686=""),"",IF(L686="Sim",ROUND(F686-D686,2),0)))</f>
        <v/>
      </c>
      <c r="K686" s="97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inlineStr">
        <is>
          <t>Nao</t>
        </is>
      </c>
      <c r="W686" s="110" t="inlineStr">
        <is>
          <t>PC em analise</t>
        </is>
      </c>
      <c r="X686" s="110" t="inlineStr">
        <is>
          <t>Pedido de Compra</t>
        </is>
      </c>
      <c r="Y686" s="111" t="inlineStr">
        <is>
          <t>Impacto Potencial</t>
        </is>
      </c>
      <c r="Z686" s="111" t="inlineStr">
        <is>
          <t>PC</t>
        </is>
      </c>
      <c r="AA686" s="111" t="inlineStr">
        <is>
          <t>Nao</t>
        </is>
      </c>
      <c r="AB686" s="111" t="inlineStr">
        <is>
          <t>NAO_COMPUTADO</t>
        </is>
      </c>
      <c r="AC686" s="112" t="inlineStr">
        <is>
          <t>Estrutura Fase 1: sem impacto no VTA oficial</t>
        </is>
      </c>
    </row>
    <row r="687" ht="25.5" customHeight="1" s="289">
      <c r="A687" s="205" t="n"/>
      <c r="B687" s="207" t="n"/>
      <c r="C687" s="104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348" t="n"/>
      <c r="E687" s="349">
        <f>IF(C687="","",IFERROR(VLOOKUP(C687,parametros!$A$11:$E$15,5,0),""))</f>
        <v/>
      </c>
      <c r="F687" s="335">
        <f>IF(OR(D687="",E687=""),"",ROUND(D687*E687,2))</f>
        <v/>
      </c>
      <c r="G687" s="106" t="n"/>
      <c r="H687" s="350">
        <f>IF(G687="Sim",IF(OR(F687="",D687="",L687=""),"",IF(L687="Sim",ROUND(F687-D687,2),0)),0)</f>
        <v/>
      </c>
      <c r="I687" s="350">
        <f>IF(G687="Sim",0,IF(OR(F687="",L687=""),"",F687))</f>
        <v/>
      </c>
      <c r="J687" s="350">
        <f>IF(G687="Sim",0,IF(OR(F687="",D687="",L687=""),"",IF(L687="Sim",ROUND(F687-D687,2),0)))</f>
        <v/>
      </c>
      <c r="K687" s="97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inlineStr">
        <is>
          <t>Nao</t>
        </is>
      </c>
      <c r="W687" s="110" t="inlineStr">
        <is>
          <t>PC em analise</t>
        </is>
      </c>
      <c r="X687" s="110" t="inlineStr">
        <is>
          <t>Pedido de Compra</t>
        </is>
      </c>
      <c r="Y687" s="111" t="inlineStr">
        <is>
          <t>Impacto Potencial</t>
        </is>
      </c>
      <c r="Z687" s="111" t="inlineStr">
        <is>
          <t>PC</t>
        </is>
      </c>
      <c r="AA687" s="111" t="inlineStr">
        <is>
          <t>Nao</t>
        </is>
      </c>
      <c r="AB687" s="111" t="inlineStr">
        <is>
          <t>NAO_COMPUTADO</t>
        </is>
      </c>
      <c r="AC687" s="112" t="inlineStr">
        <is>
          <t>Estrutura Fase 1: sem impacto no VTA oficial</t>
        </is>
      </c>
    </row>
    <row r="688" ht="25.5" customHeight="1" s="289">
      <c r="A688" s="205" t="n"/>
      <c r="B688" s="207" t="n"/>
      <c r="C688" s="104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348" t="n"/>
      <c r="E688" s="349">
        <f>IF(C688="","",IFERROR(VLOOKUP(C688,parametros!$A$11:$E$15,5,0),""))</f>
        <v/>
      </c>
      <c r="F688" s="335">
        <f>IF(OR(D688="",E688=""),"",ROUND(D688*E688,2))</f>
        <v/>
      </c>
      <c r="G688" s="106" t="n"/>
      <c r="H688" s="350">
        <f>IF(G688="Sim",IF(OR(F688="",D688="",L688=""),"",IF(L688="Sim",ROUND(F688-D688,2),0)),0)</f>
        <v/>
      </c>
      <c r="I688" s="350">
        <f>IF(G688="Sim",0,IF(OR(F688="",L688=""),"",F688))</f>
        <v/>
      </c>
      <c r="J688" s="350">
        <f>IF(G688="Sim",0,IF(OR(F688="",D688="",L688=""),"",IF(L688="Sim",ROUND(F688-D688,2),0)))</f>
        <v/>
      </c>
      <c r="K688" s="97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inlineStr">
        <is>
          <t>Nao</t>
        </is>
      </c>
      <c r="W688" s="110" t="inlineStr">
        <is>
          <t>PC em analise</t>
        </is>
      </c>
      <c r="X688" s="110" t="inlineStr">
        <is>
          <t>Pedido de Compra</t>
        </is>
      </c>
      <c r="Y688" s="111" t="inlineStr">
        <is>
          <t>Impacto Potencial</t>
        </is>
      </c>
      <c r="Z688" s="111" t="inlineStr">
        <is>
          <t>PC</t>
        </is>
      </c>
      <c r="AA688" s="111" t="inlineStr">
        <is>
          <t>Nao</t>
        </is>
      </c>
      <c r="AB688" s="111" t="inlineStr">
        <is>
          <t>NAO_COMPUTADO</t>
        </is>
      </c>
      <c r="AC688" s="112" t="inlineStr">
        <is>
          <t>Estrutura Fase 1: sem impacto no VTA oficial</t>
        </is>
      </c>
    </row>
    <row r="689" ht="25.5" customHeight="1" s="289">
      <c r="A689" s="205" t="n"/>
      <c r="B689" s="207" t="n"/>
      <c r="C689" s="104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348" t="n"/>
      <c r="E689" s="349">
        <f>IF(C689="","",IFERROR(VLOOKUP(C689,parametros!$A$11:$E$15,5,0),""))</f>
        <v/>
      </c>
      <c r="F689" s="335">
        <f>IF(OR(D689="",E689=""),"",ROUND(D689*E689,2))</f>
        <v/>
      </c>
      <c r="G689" s="106" t="n"/>
      <c r="H689" s="350">
        <f>IF(G689="Sim",IF(OR(F689="",D689="",L689=""),"",IF(L689="Sim",ROUND(F689-D689,2),0)),0)</f>
        <v/>
      </c>
      <c r="I689" s="350">
        <f>IF(G689="Sim",0,IF(OR(F689="",L689=""),"",F689))</f>
        <v/>
      </c>
      <c r="J689" s="350">
        <f>IF(G689="Sim",0,IF(OR(F689="",D689="",L689=""),"",IF(L689="Sim",ROUND(F689-D689,2),0)))</f>
        <v/>
      </c>
      <c r="K689" s="97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inlineStr">
        <is>
          <t>Nao</t>
        </is>
      </c>
      <c r="W689" s="110" t="inlineStr">
        <is>
          <t>PC em analise</t>
        </is>
      </c>
      <c r="X689" s="110" t="inlineStr">
        <is>
          <t>Pedido de Compra</t>
        </is>
      </c>
      <c r="Y689" s="111" t="inlineStr">
        <is>
          <t>Impacto Potencial</t>
        </is>
      </c>
      <c r="Z689" s="111" t="inlineStr">
        <is>
          <t>PC</t>
        </is>
      </c>
      <c r="AA689" s="111" t="inlineStr">
        <is>
          <t>Nao</t>
        </is>
      </c>
      <c r="AB689" s="111" t="inlineStr">
        <is>
          <t>NAO_COMPUTADO</t>
        </is>
      </c>
      <c r="AC689" s="112" t="inlineStr">
        <is>
          <t>Estrutura Fase 1: sem impacto no VTA oficial</t>
        </is>
      </c>
    </row>
    <row r="690" ht="25.5" customHeight="1" s="289">
      <c r="A690" s="205" t="n"/>
      <c r="B690" s="207" t="n"/>
      <c r="C690" s="104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348" t="n"/>
      <c r="E690" s="349">
        <f>IF(C690="","",IFERROR(VLOOKUP(C690,parametros!$A$11:$E$15,5,0),""))</f>
        <v/>
      </c>
      <c r="F690" s="335">
        <f>IF(OR(D690="",E690=""),"",ROUND(D690*E690,2))</f>
        <v/>
      </c>
      <c r="G690" s="106" t="n"/>
      <c r="H690" s="350">
        <f>IF(G690="Sim",IF(OR(F690="",D690="",L690=""),"",IF(L690="Sim",ROUND(F690-D690,2),0)),0)</f>
        <v/>
      </c>
      <c r="I690" s="350">
        <f>IF(G690="Sim",0,IF(OR(F690="",L690=""),"",F690))</f>
        <v/>
      </c>
      <c r="J690" s="350">
        <f>IF(G690="Sim",0,IF(OR(F690="",D690="",L690=""),"",IF(L690="Sim",ROUND(F690-D690,2),0)))</f>
        <v/>
      </c>
      <c r="K690" s="97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inlineStr">
        <is>
          <t>Nao</t>
        </is>
      </c>
      <c r="W690" s="110" t="inlineStr">
        <is>
          <t>PC em analise</t>
        </is>
      </c>
      <c r="X690" s="110" t="inlineStr">
        <is>
          <t>Pedido de Compra</t>
        </is>
      </c>
      <c r="Y690" s="111" t="inlineStr">
        <is>
          <t>Impacto Potencial</t>
        </is>
      </c>
      <c r="Z690" s="111" t="inlineStr">
        <is>
          <t>PC</t>
        </is>
      </c>
      <c r="AA690" s="111" t="inlineStr">
        <is>
          <t>Nao</t>
        </is>
      </c>
      <c r="AB690" s="111" t="inlineStr">
        <is>
          <t>NAO_COMPUTADO</t>
        </is>
      </c>
      <c r="AC690" s="112" t="inlineStr">
        <is>
          <t>Estrutura Fase 1: sem impacto no VTA oficial</t>
        </is>
      </c>
    </row>
    <row r="691" ht="25.5" customHeight="1" s="289">
      <c r="A691" s="205" t="n"/>
      <c r="B691" s="207" t="n"/>
      <c r="C691" s="104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348" t="n"/>
      <c r="E691" s="349">
        <f>IF(C691="","",IFERROR(VLOOKUP(C691,parametros!$A$11:$E$15,5,0),""))</f>
        <v/>
      </c>
      <c r="F691" s="335">
        <f>IF(OR(D691="",E691=""),"",ROUND(D691*E691,2))</f>
        <v/>
      </c>
      <c r="G691" s="106" t="n"/>
      <c r="H691" s="350">
        <f>IF(G691="Sim",IF(OR(F691="",D691="",L691=""),"",IF(L691="Sim",ROUND(F691-D691,2),0)),0)</f>
        <v/>
      </c>
      <c r="I691" s="350">
        <f>IF(G691="Sim",0,IF(OR(F691="",L691=""),"",F691))</f>
        <v/>
      </c>
      <c r="J691" s="350">
        <f>IF(G691="Sim",0,IF(OR(F691="",D691="",L691=""),"",IF(L691="Sim",ROUND(F691-D691,2),0)))</f>
        <v/>
      </c>
      <c r="K691" s="97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inlineStr">
        <is>
          <t>Nao</t>
        </is>
      </c>
      <c r="W691" s="110" t="inlineStr">
        <is>
          <t>PC em analise</t>
        </is>
      </c>
      <c r="X691" s="110" t="inlineStr">
        <is>
          <t>Pedido de Compra</t>
        </is>
      </c>
      <c r="Y691" s="111" t="inlineStr">
        <is>
          <t>Impacto Potencial</t>
        </is>
      </c>
      <c r="Z691" s="111" t="inlineStr">
        <is>
          <t>PC</t>
        </is>
      </c>
      <c r="AA691" s="111" t="inlineStr">
        <is>
          <t>Nao</t>
        </is>
      </c>
      <c r="AB691" s="111" t="inlineStr">
        <is>
          <t>NAO_COMPUTADO</t>
        </is>
      </c>
      <c r="AC691" s="112" t="inlineStr">
        <is>
          <t>Estrutura Fase 1: sem impacto no VTA oficial</t>
        </is>
      </c>
    </row>
    <row r="692" ht="25.5" customHeight="1" s="289">
      <c r="A692" s="205" t="n"/>
      <c r="B692" s="207" t="n"/>
      <c r="C692" s="104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348" t="n"/>
      <c r="E692" s="349">
        <f>IF(C692="","",IFERROR(VLOOKUP(C692,parametros!$A$11:$E$15,5,0),""))</f>
        <v/>
      </c>
      <c r="F692" s="335">
        <f>IF(OR(D692="",E692=""),"",ROUND(D692*E692,2))</f>
        <v/>
      </c>
      <c r="G692" s="106" t="n"/>
      <c r="H692" s="350">
        <f>IF(G692="Sim",IF(OR(F692="",D692="",L692=""),"",IF(L692="Sim",ROUND(F692-D692,2),0)),0)</f>
        <v/>
      </c>
      <c r="I692" s="350">
        <f>IF(G692="Sim",0,IF(OR(F692="",L692=""),"",F692))</f>
        <v/>
      </c>
      <c r="J692" s="350">
        <f>IF(G692="Sim",0,IF(OR(F692="",D692="",L692=""),"",IF(L692="Sim",ROUND(F692-D692,2),0)))</f>
        <v/>
      </c>
      <c r="K692" s="97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inlineStr">
        <is>
          <t>Nao</t>
        </is>
      </c>
      <c r="W692" s="110" t="inlineStr">
        <is>
          <t>PC em analise</t>
        </is>
      </c>
      <c r="X692" s="110" t="inlineStr">
        <is>
          <t>Pedido de Compra</t>
        </is>
      </c>
      <c r="Y692" s="111" t="inlineStr">
        <is>
          <t>Impacto Potencial</t>
        </is>
      </c>
      <c r="Z692" s="111" t="inlineStr">
        <is>
          <t>PC</t>
        </is>
      </c>
      <c r="AA692" s="111" t="inlineStr">
        <is>
          <t>Nao</t>
        </is>
      </c>
      <c r="AB692" s="111" t="inlineStr">
        <is>
          <t>NAO_COMPUTADO</t>
        </is>
      </c>
      <c r="AC692" s="112" t="inlineStr">
        <is>
          <t>Estrutura Fase 1: sem impacto no VTA oficial</t>
        </is>
      </c>
    </row>
    <row r="693" ht="25.5" customHeight="1" s="289">
      <c r="A693" s="205" t="n"/>
      <c r="B693" s="207" t="n"/>
      <c r="C693" s="104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348" t="n"/>
      <c r="E693" s="349">
        <f>IF(C693="","",IFERROR(VLOOKUP(C693,parametros!$A$11:$E$15,5,0),""))</f>
        <v/>
      </c>
      <c r="F693" s="335">
        <f>IF(OR(D693="",E693=""),"",ROUND(D693*E693,2))</f>
        <v/>
      </c>
      <c r="G693" s="106" t="n"/>
      <c r="H693" s="350">
        <f>IF(G693="Sim",IF(OR(F693="",D693="",L693=""),"",IF(L693="Sim",ROUND(F693-D693,2),0)),0)</f>
        <v/>
      </c>
      <c r="I693" s="350">
        <f>IF(G693="Sim",0,IF(OR(F693="",L693=""),"",F693))</f>
        <v/>
      </c>
      <c r="J693" s="350">
        <f>IF(G693="Sim",0,IF(OR(F693="",D693="",L693=""),"",IF(L693="Sim",ROUND(F693-D693,2),0)))</f>
        <v/>
      </c>
      <c r="K693" s="97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inlineStr">
        <is>
          <t>Nao</t>
        </is>
      </c>
      <c r="W693" s="110" t="inlineStr">
        <is>
          <t>PC em analise</t>
        </is>
      </c>
      <c r="X693" s="110" t="inlineStr">
        <is>
          <t>Pedido de Compra</t>
        </is>
      </c>
      <c r="Y693" s="111" t="inlineStr">
        <is>
          <t>Impacto Potencial</t>
        </is>
      </c>
      <c r="Z693" s="111" t="inlineStr">
        <is>
          <t>PC</t>
        </is>
      </c>
      <c r="AA693" s="111" t="inlineStr">
        <is>
          <t>Nao</t>
        </is>
      </c>
      <c r="AB693" s="111" t="inlineStr">
        <is>
          <t>NAO_COMPUTADO</t>
        </is>
      </c>
      <c r="AC693" s="112" t="inlineStr">
        <is>
          <t>Estrutura Fase 1: sem impacto no VTA oficial</t>
        </is>
      </c>
    </row>
    <row r="694" ht="25.5" customHeight="1" s="289">
      <c r="A694" s="205" t="n"/>
      <c r="B694" s="207" t="n"/>
      <c r="C694" s="104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348" t="n"/>
      <c r="E694" s="349">
        <f>IF(C694="","",IFERROR(VLOOKUP(C694,parametros!$A$11:$E$15,5,0),""))</f>
        <v/>
      </c>
      <c r="F694" s="335">
        <f>IF(OR(D694="",E694=""),"",ROUND(D694*E694,2))</f>
        <v/>
      </c>
      <c r="G694" s="106" t="n"/>
      <c r="H694" s="350">
        <f>IF(G694="Sim",IF(OR(F694="",D694="",L694=""),"",IF(L694="Sim",ROUND(F694-D694,2),0)),0)</f>
        <v/>
      </c>
      <c r="I694" s="350">
        <f>IF(G694="Sim",0,IF(OR(F694="",L694=""),"",F694))</f>
        <v/>
      </c>
      <c r="J694" s="350">
        <f>IF(G694="Sim",0,IF(OR(F694="",D694="",L694=""),"",IF(L694="Sim",ROUND(F694-D694,2),0)))</f>
        <v/>
      </c>
      <c r="K694" s="97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inlineStr">
        <is>
          <t>Nao</t>
        </is>
      </c>
      <c r="W694" s="110" t="inlineStr">
        <is>
          <t>PC em analise</t>
        </is>
      </c>
      <c r="X694" s="110" t="inlineStr">
        <is>
          <t>Pedido de Compra</t>
        </is>
      </c>
      <c r="Y694" s="111" t="inlineStr">
        <is>
          <t>Impacto Potencial</t>
        </is>
      </c>
      <c r="Z694" s="111" t="inlineStr">
        <is>
          <t>PC</t>
        </is>
      </c>
      <c r="AA694" s="111" t="inlineStr">
        <is>
          <t>Nao</t>
        </is>
      </c>
      <c r="AB694" s="111" t="inlineStr">
        <is>
          <t>NAO_COMPUTADO</t>
        </is>
      </c>
      <c r="AC694" s="112" t="inlineStr">
        <is>
          <t>Estrutura Fase 1: sem impacto no VTA oficial</t>
        </is>
      </c>
    </row>
    <row r="695" ht="25.5" customHeight="1" s="289">
      <c r="A695" s="205" t="n"/>
      <c r="B695" s="207" t="n"/>
      <c r="C695" s="104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348" t="n"/>
      <c r="E695" s="349">
        <f>IF(C695="","",IFERROR(VLOOKUP(C695,parametros!$A$11:$E$15,5,0),""))</f>
        <v/>
      </c>
      <c r="F695" s="335">
        <f>IF(OR(D695="",E695=""),"",ROUND(D695*E695,2))</f>
        <v/>
      </c>
      <c r="G695" s="106" t="n"/>
      <c r="H695" s="350">
        <f>IF(G695="Sim",IF(OR(F695="",D695="",L695=""),"",IF(L695="Sim",ROUND(F695-D695,2),0)),0)</f>
        <v/>
      </c>
      <c r="I695" s="350">
        <f>IF(G695="Sim",0,IF(OR(F695="",L695=""),"",F695))</f>
        <v/>
      </c>
      <c r="J695" s="350">
        <f>IF(G695="Sim",0,IF(OR(F695="",D695="",L695=""),"",IF(L695="Sim",ROUND(F695-D695,2),0)))</f>
        <v/>
      </c>
      <c r="K695" s="97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inlineStr">
        <is>
          <t>Nao</t>
        </is>
      </c>
      <c r="W695" s="110" t="inlineStr">
        <is>
          <t>PC em analise</t>
        </is>
      </c>
      <c r="X695" s="110" t="inlineStr">
        <is>
          <t>Pedido de Compra</t>
        </is>
      </c>
      <c r="Y695" s="111" t="inlineStr">
        <is>
          <t>Impacto Potencial</t>
        </is>
      </c>
      <c r="Z695" s="111" t="inlineStr">
        <is>
          <t>PC</t>
        </is>
      </c>
      <c r="AA695" s="111" t="inlineStr">
        <is>
          <t>Nao</t>
        </is>
      </c>
      <c r="AB695" s="111" t="inlineStr">
        <is>
          <t>NAO_COMPUTADO</t>
        </is>
      </c>
      <c r="AC695" s="112" t="inlineStr">
        <is>
          <t>Estrutura Fase 1: sem impacto no VTA oficial</t>
        </is>
      </c>
    </row>
    <row r="696" ht="25.5" customHeight="1" s="289">
      <c r="A696" s="205" t="n"/>
      <c r="B696" s="207" t="n"/>
      <c r="C696" s="104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348" t="n"/>
      <c r="E696" s="349">
        <f>IF(C696="","",IFERROR(VLOOKUP(C696,parametros!$A$11:$E$15,5,0),""))</f>
        <v/>
      </c>
      <c r="F696" s="335">
        <f>IF(OR(D696="",E696=""),"",ROUND(D696*E696,2))</f>
        <v/>
      </c>
      <c r="G696" s="106" t="n"/>
      <c r="H696" s="350">
        <f>IF(G696="Sim",IF(OR(F696="",D696="",L696=""),"",IF(L696="Sim",ROUND(F696-D696,2),0)),0)</f>
        <v/>
      </c>
      <c r="I696" s="350">
        <f>IF(G696="Sim",0,IF(OR(F696="",L696=""),"",F696))</f>
        <v/>
      </c>
      <c r="J696" s="350">
        <f>IF(G696="Sim",0,IF(OR(F696="",D696="",L696=""),"",IF(L696="Sim",ROUND(F696-D696,2),0)))</f>
        <v/>
      </c>
      <c r="K696" s="97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inlineStr">
        <is>
          <t>Nao</t>
        </is>
      </c>
      <c r="W696" s="110" t="inlineStr">
        <is>
          <t>PC em analise</t>
        </is>
      </c>
      <c r="X696" s="110" t="inlineStr">
        <is>
          <t>Pedido de Compra</t>
        </is>
      </c>
      <c r="Y696" s="111" t="inlineStr">
        <is>
          <t>Impacto Potencial</t>
        </is>
      </c>
      <c r="Z696" s="111" t="inlineStr">
        <is>
          <t>PC</t>
        </is>
      </c>
      <c r="AA696" s="111" t="inlineStr">
        <is>
          <t>Nao</t>
        </is>
      </c>
      <c r="AB696" s="111" t="inlineStr">
        <is>
          <t>NAO_COMPUTADO</t>
        </is>
      </c>
      <c r="AC696" s="112" t="inlineStr">
        <is>
          <t>Estrutura Fase 1: sem impacto no VTA oficial</t>
        </is>
      </c>
    </row>
    <row r="697" ht="25.5" customHeight="1" s="289">
      <c r="A697" s="205" t="n"/>
      <c r="B697" s="207" t="n"/>
      <c r="C697" s="104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348" t="n"/>
      <c r="E697" s="349">
        <f>IF(C697="","",IFERROR(VLOOKUP(C697,parametros!$A$11:$E$15,5,0),""))</f>
        <v/>
      </c>
      <c r="F697" s="335">
        <f>IF(OR(D697="",E697=""),"",ROUND(D697*E697,2))</f>
        <v/>
      </c>
      <c r="G697" s="106" t="n"/>
      <c r="H697" s="350">
        <f>IF(G697="Sim",IF(OR(F697="",D697="",L697=""),"",IF(L697="Sim",ROUND(F697-D697,2),0)),0)</f>
        <v/>
      </c>
      <c r="I697" s="350">
        <f>IF(G697="Sim",0,IF(OR(F697="",L697=""),"",F697))</f>
        <v/>
      </c>
      <c r="J697" s="350">
        <f>IF(G697="Sim",0,IF(OR(F697="",D697="",L697=""),"",IF(L697="Sim",ROUND(F697-D697,2),0)))</f>
        <v/>
      </c>
      <c r="K697" s="97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inlineStr">
        <is>
          <t>Nao</t>
        </is>
      </c>
      <c r="W697" s="110" t="inlineStr">
        <is>
          <t>PC em analise</t>
        </is>
      </c>
      <c r="X697" s="110" t="inlineStr">
        <is>
          <t>Pedido de Compra</t>
        </is>
      </c>
      <c r="Y697" s="111" t="inlineStr">
        <is>
          <t>Impacto Potencial</t>
        </is>
      </c>
      <c r="Z697" s="111" t="inlineStr">
        <is>
          <t>PC</t>
        </is>
      </c>
      <c r="AA697" s="111" t="inlineStr">
        <is>
          <t>Nao</t>
        </is>
      </c>
      <c r="AB697" s="111" t="inlineStr">
        <is>
          <t>NAO_COMPUTADO</t>
        </is>
      </c>
      <c r="AC697" s="112" t="inlineStr">
        <is>
          <t>Estrutura Fase 1: sem impacto no VTA oficial</t>
        </is>
      </c>
    </row>
    <row r="698" ht="25.5" customHeight="1" s="289">
      <c r="A698" s="205" t="n"/>
      <c r="B698" s="207" t="n"/>
      <c r="C698" s="104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348" t="n"/>
      <c r="E698" s="349">
        <f>IF(C698="","",IFERROR(VLOOKUP(C698,parametros!$A$11:$E$15,5,0),""))</f>
        <v/>
      </c>
      <c r="F698" s="335">
        <f>IF(OR(D698="",E698=""),"",ROUND(D698*E698,2))</f>
        <v/>
      </c>
      <c r="G698" s="106" t="n"/>
      <c r="H698" s="350">
        <f>IF(G698="Sim",IF(OR(F698="",D698="",L698=""),"",IF(L698="Sim",ROUND(F698-D698,2),0)),0)</f>
        <v/>
      </c>
      <c r="I698" s="350">
        <f>IF(G698="Sim",0,IF(OR(F698="",L698=""),"",F698))</f>
        <v/>
      </c>
      <c r="J698" s="350">
        <f>IF(G698="Sim",0,IF(OR(F698="",D698="",L698=""),"",IF(L698="Sim",ROUND(F698-D698,2),0)))</f>
        <v/>
      </c>
      <c r="K698" s="97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inlineStr">
        <is>
          <t>Nao</t>
        </is>
      </c>
      <c r="W698" s="110" t="inlineStr">
        <is>
          <t>PC em analise</t>
        </is>
      </c>
      <c r="X698" s="110" t="inlineStr">
        <is>
          <t>Pedido de Compra</t>
        </is>
      </c>
      <c r="Y698" s="111" t="inlineStr">
        <is>
          <t>Impacto Potencial</t>
        </is>
      </c>
      <c r="Z698" s="111" t="inlineStr">
        <is>
          <t>PC</t>
        </is>
      </c>
      <c r="AA698" s="111" t="inlineStr">
        <is>
          <t>Nao</t>
        </is>
      </c>
      <c r="AB698" s="111" t="inlineStr">
        <is>
          <t>NAO_COMPUTADO</t>
        </is>
      </c>
      <c r="AC698" s="112" t="inlineStr">
        <is>
          <t>Estrutura Fase 1: sem impacto no VTA oficial</t>
        </is>
      </c>
    </row>
    <row r="699" ht="25.5" customHeight="1" s="289">
      <c r="A699" s="205" t="n"/>
      <c r="B699" s="207" t="n"/>
      <c r="C699" s="104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348" t="n"/>
      <c r="E699" s="349">
        <f>IF(C699="","",IFERROR(VLOOKUP(C699,parametros!$A$11:$E$15,5,0),""))</f>
        <v/>
      </c>
      <c r="F699" s="335">
        <f>IF(OR(D699="",E699=""),"",ROUND(D699*E699,2))</f>
        <v/>
      </c>
      <c r="G699" s="106" t="n"/>
      <c r="H699" s="350">
        <f>IF(G699="Sim",IF(OR(F699="",D699="",L699=""),"",IF(L699="Sim",ROUND(F699-D699,2),0)),0)</f>
        <v/>
      </c>
      <c r="I699" s="350">
        <f>IF(G699="Sim",0,IF(OR(F699="",L699=""),"",F699))</f>
        <v/>
      </c>
      <c r="J699" s="350">
        <f>IF(G699="Sim",0,IF(OR(F699="",D699="",L699=""),"",IF(L699="Sim",ROUND(F699-D699,2),0)))</f>
        <v/>
      </c>
      <c r="K699" s="97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inlineStr">
        <is>
          <t>Nao</t>
        </is>
      </c>
      <c r="W699" s="110" t="inlineStr">
        <is>
          <t>PC em analise</t>
        </is>
      </c>
      <c r="X699" s="110" t="inlineStr">
        <is>
          <t>Pedido de Compra</t>
        </is>
      </c>
      <c r="Y699" s="111" t="inlineStr">
        <is>
          <t>Impacto Potencial</t>
        </is>
      </c>
      <c r="Z699" s="111" t="inlineStr">
        <is>
          <t>PC</t>
        </is>
      </c>
      <c r="AA699" s="111" t="inlineStr">
        <is>
          <t>Nao</t>
        </is>
      </c>
      <c r="AB699" s="111" t="inlineStr">
        <is>
          <t>NAO_COMPUTADO</t>
        </is>
      </c>
      <c r="AC699" s="112" t="inlineStr">
        <is>
          <t>Estrutura Fase 1: sem impacto no VTA oficial</t>
        </is>
      </c>
    </row>
    <row r="700" ht="25.5" customHeight="1" s="289">
      <c r="A700" s="205" t="n"/>
      <c r="B700" s="207" t="n"/>
      <c r="C700" s="104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348" t="n"/>
      <c r="E700" s="349">
        <f>IF(C700="","",IFERROR(VLOOKUP(C700,parametros!$A$11:$E$15,5,0),""))</f>
        <v/>
      </c>
      <c r="F700" s="335">
        <f>IF(OR(D700="",E700=""),"",ROUND(D700*E700,2))</f>
        <v/>
      </c>
      <c r="G700" s="106" t="n"/>
      <c r="H700" s="350">
        <f>IF(G700="Sim",IF(OR(F700="",D700="",L700=""),"",IF(L700="Sim",ROUND(F700-D700,2),0)),0)</f>
        <v/>
      </c>
      <c r="I700" s="350">
        <f>IF(G700="Sim",0,IF(OR(F700="",L700=""),"",F700))</f>
        <v/>
      </c>
      <c r="J700" s="350">
        <f>IF(G700="Sim",0,IF(OR(F700="",D700="",L700=""),"",IF(L700="Sim",ROUND(F700-D700,2),0)))</f>
        <v/>
      </c>
      <c r="K700" s="97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inlineStr">
        <is>
          <t>Nao</t>
        </is>
      </c>
      <c r="W700" s="110" t="inlineStr">
        <is>
          <t>PC em analise</t>
        </is>
      </c>
      <c r="X700" s="110" t="inlineStr">
        <is>
          <t>Pedido de Compra</t>
        </is>
      </c>
      <c r="Y700" s="111" t="inlineStr">
        <is>
          <t>Impacto Potencial</t>
        </is>
      </c>
      <c r="Z700" s="111" t="inlineStr">
        <is>
          <t>PC</t>
        </is>
      </c>
      <c r="AA700" s="111" t="inlineStr">
        <is>
          <t>Nao</t>
        </is>
      </c>
      <c r="AB700" s="111" t="inlineStr">
        <is>
          <t>NAO_COMPUTADO</t>
        </is>
      </c>
      <c r="AC700" s="112" t="inlineStr">
        <is>
          <t>Estrutura Fase 1: sem impacto no VTA oficial</t>
        </is>
      </c>
    </row>
    <row r="701" ht="25.5" customHeight="1" s="289">
      <c r="A701" s="205" t="n"/>
      <c r="B701" s="207" t="n"/>
      <c r="C701" s="104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348" t="n"/>
      <c r="E701" s="349">
        <f>IF(C701="","",IFERROR(VLOOKUP(C701,parametros!$A$11:$E$15,5,0),""))</f>
        <v/>
      </c>
      <c r="F701" s="335">
        <f>IF(OR(D701="",E701=""),"",ROUND(D701*E701,2))</f>
        <v/>
      </c>
      <c r="G701" s="106" t="n"/>
      <c r="H701" s="350">
        <f>IF(G701="Sim",IF(OR(F701="",D701="",L701=""),"",IF(L701="Sim",ROUND(F701-D701,2),0)),0)</f>
        <v/>
      </c>
      <c r="I701" s="350">
        <f>IF(G701="Sim",0,IF(OR(F701="",L701=""),"",F701))</f>
        <v/>
      </c>
      <c r="J701" s="350">
        <f>IF(G701="Sim",0,IF(OR(F701="",D701="",L701=""),"",IF(L701="Sim",ROUND(F701-D701,2),0)))</f>
        <v/>
      </c>
      <c r="K701" s="97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inlineStr">
        <is>
          <t>Nao</t>
        </is>
      </c>
      <c r="W701" s="110" t="inlineStr">
        <is>
          <t>PC em analise</t>
        </is>
      </c>
      <c r="X701" s="110" t="inlineStr">
        <is>
          <t>Pedido de Compra</t>
        </is>
      </c>
      <c r="Y701" s="111" t="inlineStr">
        <is>
          <t>Impacto Potencial</t>
        </is>
      </c>
      <c r="Z701" s="111" t="inlineStr">
        <is>
          <t>PC</t>
        </is>
      </c>
      <c r="AA701" s="111" t="inlineStr">
        <is>
          <t>Nao</t>
        </is>
      </c>
      <c r="AB701" s="111" t="inlineStr">
        <is>
          <t>NAO_COMPUTADO</t>
        </is>
      </c>
      <c r="AC701" s="112" t="inlineStr">
        <is>
          <t>Estrutura Fase 1: sem impacto no VTA oficial</t>
        </is>
      </c>
    </row>
    <row r="702" ht="25.5" customHeight="1" s="289">
      <c r="A702" s="205" t="n"/>
      <c r="B702" s="207" t="n"/>
      <c r="C702" s="104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348" t="n"/>
      <c r="E702" s="349">
        <f>IF(C702="","",IFERROR(VLOOKUP(C702,parametros!$A$11:$E$15,5,0),""))</f>
        <v/>
      </c>
      <c r="F702" s="335">
        <f>IF(OR(D702="",E702=""),"",ROUND(D702*E702,2))</f>
        <v/>
      </c>
      <c r="G702" s="106" t="n"/>
      <c r="H702" s="350">
        <f>IF(G702="Sim",IF(OR(F702="",D702="",L702=""),"",IF(L702="Sim",ROUND(F702-D702,2),0)),0)</f>
        <v/>
      </c>
      <c r="I702" s="350">
        <f>IF(G702="Sim",0,IF(OR(F702="",L702=""),"",F702))</f>
        <v/>
      </c>
      <c r="J702" s="350">
        <f>IF(G702="Sim",0,IF(OR(F702="",D702="",L702=""),"",IF(L702="Sim",ROUND(F702-D702,2),0)))</f>
        <v/>
      </c>
      <c r="K702" s="97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inlineStr">
        <is>
          <t>Nao</t>
        </is>
      </c>
      <c r="W702" s="110" t="inlineStr">
        <is>
          <t>PC em analise</t>
        </is>
      </c>
      <c r="X702" s="110" t="inlineStr">
        <is>
          <t>Pedido de Compra</t>
        </is>
      </c>
      <c r="Y702" s="111" t="inlineStr">
        <is>
          <t>Impacto Potencial</t>
        </is>
      </c>
      <c r="Z702" s="111" t="inlineStr">
        <is>
          <t>PC</t>
        </is>
      </c>
      <c r="AA702" s="111" t="inlineStr">
        <is>
          <t>Nao</t>
        </is>
      </c>
      <c r="AB702" s="111" t="inlineStr">
        <is>
          <t>NAO_COMPUTADO</t>
        </is>
      </c>
      <c r="AC702" s="112" t="inlineStr">
        <is>
          <t>Estrutura Fase 1: sem impacto no VTA oficial</t>
        </is>
      </c>
    </row>
    <row r="703" ht="25.5" customHeight="1" s="289">
      <c r="A703" s="205" t="n"/>
      <c r="B703" s="207" t="n"/>
      <c r="C703" s="104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348" t="n"/>
      <c r="E703" s="349">
        <f>IF(C703="","",IFERROR(VLOOKUP(C703,parametros!$A$11:$E$15,5,0),""))</f>
        <v/>
      </c>
      <c r="F703" s="335">
        <f>IF(OR(D703="",E703=""),"",ROUND(D703*E703,2))</f>
        <v/>
      </c>
      <c r="G703" s="106" t="n"/>
      <c r="H703" s="350">
        <f>IF(G703="Sim",IF(OR(F703="",D703="",L703=""),"",IF(L703="Sim",ROUND(F703-D703,2),0)),0)</f>
        <v/>
      </c>
      <c r="I703" s="350">
        <f>IF(G703="Sim",0,IF(OR(F703="",L703=""),"",F703))</f>
        <v/>
      </c>
      <c r="J703" s="350">
        <f>IF(G703="Sim",0,IF(OR(F703="",D703="",L703=""),"",IF(L703="Sim",ROUND(F703-D703,2),0)))</f>
        <v/>
      </c>
      <c r="K703" s="97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inlineStr">
        <is>
          <t>Nao</t>
        </is>
      </c>
      <c r="W703" s="110" t="inlineStr">
        <is>
          <t>PC em analise</t>
        </is>
      </c>
      <c r="X703" s="110" t="inlineStr">
        <is>
          <t>Pedido de Compra</t>
        </is>
      </c>
      <c r="Y703" s="111" t="inlineStr">
        <is>
          <t>Impacto Potencial</t>
        </is>
      </c>
      <c r="Z703" s="111" t="inlineStr">
        <is>
          <t>PC</t>
        </is>
      </c>
      <c r="AA703" s="111" t="inlineStr">
        <is>
          <t>Nao</t>
        </is>
      </c>
      <c r="AB703" s="111" t="inlineStr">
        <is>
          <t>NAO_COMPUTADO</t>
        </is>
      </c>
      <c r="AC703" s="112" t="inlineStr">
        <is>
          <t>Estrutura Fase 1: sem impacto no VTA oficial</t>
        </is>
      </c>
    </row>
    <row r="704" ht="25.5" customHeight="1" s="289">
      <c r="A704" s="205" t="n"/>
      <c r="B704" s="207" t="n"/>
      <c r="C704" s="104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348" t="n"/>
      <c r="E704" s="349">
        <f>IF(C704="","",IFERROR(VLOOKUP(C704,parametros!$A$11:$E$15,5,0),""))</f>
        <v/>
      </c>
      <c r="F704" s="335">
        <f>IF(OR(D704="",E704=""),"",ROUND(D704*E704,2))</f>
        <v/>
      </c>
      <c r="G704" s="106" t="n"/>
      <c r="H704" s="350">
        <f>IF(G704="Sim",IF(OR(F704="",D704="",L704=""),"",IF(L704="Sim",ROUND(F704-D704,2),0)),0)</f>
        <v/>
      </c>
      <c r="I704" s="350">
        <f>IF(G704="Sim",0,IF(OR(F704="",L704=""),"",F704))</f>
        <v/>
      </c>
      <c r="J704" s="350">
        <f>IF(G704="Sim",0,IF(OR(F704="",D704="",L704=""),"",IF(L704="Sim",ROUND(F704-D704,2),0)))</f>
        <v/>
      </c>
      <c r="K704" s="97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inlineStr">
        <is>
          <t>Nao</t>
        </is>
      </c>
      <c r="W704" s="110" t="inlineStr">
        <is>
          <t>PC em analise</t>
        </is>
      </c>
      <c r="X704" s="110" t="inlineStr">
        <is>
          <t>Pedido de Compra</t>
        </is>
      </c>
      <c r="Y704" s="111" t="inlineStr">
        <is>
          <t>Impacto Potencial</t>
        </is>
      </c>
      <c r="Z704" s="111" t="inlineStr">
        <is>
          <t>PC</t>
        </is>
      </c>
      <c r="AA704" s="111" t="inlineStr">
        <is>
          <t>Nao</t>
        </is>
      </c>
      <c r="AB704" s="111" t="inlineStr">
        <is>
          <t>NAO_COMPUTADO</t>
        </is>
      </c>
      <c r="AC704" s="112" t="inlineStr">
        <is>
          <t>Estrutura Fase 1: sem impacto no VTA oficial</t>
        </is>
      </c>
    </row>
    <row r="705" ht="25.5" customHeight="1" s="289">
      <c r="A705" s="205" t="n"/>
      <c r="B705" s="207" t="n"/>
      <c r="C705" s="104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348" t="n"/>
      <c r="E705" s="349">
        <f>IF(C705="","",IFERROR(VLOOKUP(C705,parametros!$A$11:$E$15,5,0),""))</f>
        <v/>
      </c>
      <c r="F705" s="335">
        <f>IF(OR(D705="",E705=""),"",ROUND(D705*E705,2))</f>
        <v/>
      </c>
      <c r="G705" s="106" t="n"/>
      <c r="H705" s="350">
        <f>IF(G705="Sim",IF(OR(F705="",D705="",L705=""),"",IF(L705="Sim",ROUND(F705-D705,2),0)),0)</f>
        <v/>
      </c>
      <c r="I705" s="350">
        <f>IF(G705="Sim",0,IF(OR(F705="",L705=""),"",F705))</f>
        <v/>
      </c>
      <c r="J705" s="350">
        <f>IF(G705="Sim",0,IF(OR(F705="",D705="",L705=""),"",IF(L705="Sim",ROUND(F705-D705,2),0)))</f>
        <v/>
      </c>
      <c r="K705" s="97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inlineStr">
        <is>
          <t>Nao</t>
        </is>
      </c>
      <c r="W705" s="110" t="inlineStr">
        <is>
          <t>PC em analise</t>
        </is>
      </c>
      <c r="X705" s="110" t="inlineStr">
        <is>
          <t>Pedido de Compra</t>
        </is>
      </c>
      <c r="Y705" s="111" t="inlineStr">
        <is>
          <t>Impacto Potencial</t>
        </is>
      </c>
      <c r="Z705" s="111" t="inlineStr">
        <is>
          <t>PC</t>
        </is>
      </c>
      <c r="AA705" s="111" t="inlineStr">
        <is>
          <t>Nao</t>
        </is>
      </c>
      <c r="AB705" s="111" t="inlineStr">
        <is>
          <t>NAO_COMPUTADO</t>
        </is>
      </c>
      <c r="AC705" s="112" t="inlineStr">
        <is>
          <t>Estrutura Fase 1: sem impacto no VTA oficial</t>
        </is>
      </c>
    </row>
    <row r="706" ht="25.5" customHeight="1" s="289">
      <c r="A706" s="205" t="n"/>
      <c r="B706" s="207" t="n"/>
      <c r="C706" s="104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348" t="n"/>
      <c r="E706" s="349">
        <f>IF(C706="","",IFERROR(VLOOKUP(C706,parametros!$A$11:$E$15,5,0),""))</f>
        <v/>
      </c>
      <c r="F706" s="335">
        <f>IF(OR(D706="",E706=""),"",ROUND(D706*E706,2))</f>
        <v/>
      </c>
      <c r="G706" s="106" t="n"/>
      <c r="H706" s="350">
        <f>IF(G706="Sim",IF(OR(F706="",D706="",L706=""),"",IF(L706="Sim",ROUND(F706-D706,2),0)),0)</f>
        <v/>
      </c>
      <c r="I706" s="350">
        <f>IF(G706="Sim",0,IF(OR(F706="",L706=""),"",F706))</f>
        <v/>
      </c>
      <c r="J706" s="350">
        <f>IF(G706="Sim",0,IF(OR(F706="",D706="",L706=""),"",IF(L706="Sim",ROUND(F706-D706,2),0)))</f>
        <v/>
      </c>
      <c r="K706" s="97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inlineStr">
        <is>
          <t>Nao</t>
        </is>
      </c>
      <c r="W706" s="110" t="inlineStr">
        <is>
          <t>PC em analise</t>
        </is>
      </c>
      <c r="X706" s="110" t="inlineStr">
        <is>
          <t>Pedido de Compra</t>
        </is>
      </c>
      <c r="Y706" s="111" t="inlineStr">
        <is>
          <t>Impacto Potencial</t>
        </is>
      </c>
      <c r="Z706" s="111" t="inlineStr">
        <is>
          <t>PC</t>
        </is>
      </c>
      <c r="AA706" s="111" t="inlineStr">
        <is>
          <t>Nao</t>
        </is>
      </c>
      <c r="AB706" s="111" t="inlineStr">
        <is>
          <t>NAO_COMPUTADO</t>
        </is>
      </c>
      <c r="AC706" s="112" t="inlineStr">
        <is>
          <t>Estrutura Fase 1: sem impacto no VTA oficial</t>
        </is>
      </c>
    </row>
    <row r="707" ht="25.5" customHeight="1" s="289">
      <c r="A707" s="205" t="n"/>
      <c r="B707" s="207" t="n"/>
      <c r="C707" s="104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348" t="n"/>
      <c r="E707" s="349">
        <f>IF(C707="","",IFERROR(VLOOKUP(C707,parametros!$A$11:$E$15,5,0),""))</f>
        <v/>
      </c>
      <c r="F707" s="335">
        <f>IF(OR(D707="",E707=""),"",ROUND(D707*E707,2))</f>
        <v/>
      </c>
      <c r="G707" s="106" t="n"/>
      <c r="H707" s="350">
        <f>IF(G707="Sim",IF(OR(F707="",D707="",L707=""),"",IF(L707="Sim",ROUND(F707-D707,2),0)),0)</f>
        <v/>
      </c>
      <c r="I707" s="350">
        <f>IF(G707="Sim",0,IF(OR(F707="",L707=""),"",F707))</f>
        <v/>
      </c>
      <c r="J707" s="350">
        <f>IF(G707="Sim",0,IF(OR(F707="",D707="",L707=""),"",IF(L707="Sim",ROUND(F707-D707,2),0)))</f>
        <v/>
      </c>
      <c r="K707" s="97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inlineStr">
        <is>
          <t>Nao</t>
        </is>
      </c>
      <c r="W707" s="110" t="inlineStr">
        <is>
          <t>PC em analise</t>
        </is>
      </c>
      <c r="X707" s="110" t="inlineStr">
        <is>
          <t>Pedido de Compra</t>
        </is>
      </c>
      <c r="Y707" s="111" t="inlineStr">
        <is>
          <t>Impacto Potencial</t>
        </is>
      </c>
      <c r="Z707" s="111" t="inlineStr">
        <is>
          <t>PC</t>
        </is>
      </c>
      <c r="AA707" s="111" t="inlineStr">
        <is>
          <t>Nao</t>
        </is>
      </c>
      <c r="AB707" s="111" t="inlineStr">
        <is>
          <t>NAO_COMPUTADO</t>
        </is>
      </c>
      <c r="AC707" s="112" t="inlineStr">
        <is>
          <t>Estrutura Fase 1: sem impacto no VTA oficial</t>
        </is>
      </c>
    </row>
    <row r="708" ht="25.5" customHeight="1" s="289">
      <c r="A708" s="205" t="n"/>
      <c r="B708" s="207" t="n"/>
      <c r="C708" s="104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348" t="n"/>
      <c r="E708" s="349">
        <f>IF(C708="","",IFERROR(VLOOKUP(C708,parametros!$A$11:$E$15,5,0),""))</f>
        <v/>
      </c>
      <c r="F708" s="335">
        <f>IF(OR(D708="",E708=""),"",ROUND(D708*E708,2))</f>
        <v/>
      </c>
      <c r="G708" s="106" t="n"/>
      <c r="H708" s="350">
        <f>IF(G708="Sim",IF(OR(F708="",D708="",L708=""),"",IF(L708="Sim",ROUND(F708-D708,2),0)),0)</f>
        <v/>
      </c>
      <c r="I708" s="350">
        <f>IF(G708="Sim",0,IF(OR(F708="",L708=""),"",F708))</f>
        <v/>
      </c>
      <c r="J708" s="350">
        <f>IF(G708="Sim",0,IF(OR(F708="",D708="",L708=""),"",IF(L708="Sim",ROUND(F708-D708,2),0)))</f>
        <v/>
      </c>
      <c r="K708" s="97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inlineStr">
        <is>
          <t>Nao</t>
        </is>
      </c>
      <c r="W708" s="110" t="inlineStr">
        <is>
          <t>PC em analise</t>
        </is>
      </c>
      <c r="X708" s="110" t="inlineStr">
        <is>
          <t>Pedido de Compra</t>
        </is>
      </c>
      <c r="Y708" s="111" t="inlineStr">
        <is>
          <t>Impacto Potencial</t>
        </is>
      </c>
      <c r="Z708" s="111" t="inlineStr">
        <is>
          <t>PC</t>
        </is>
      </c>
      <c r="AA708" s="111" t="inlineStr">
        <is>
          <t>Nao</t>
        </is>
      </c>
      <c r="AB708" s="111" t="inlineStr">
        <is>
          <t>NAO_COMPUTADO</t>
        </is>
      </c>
      <c r="AC708" s="112" t="inlineStr">
        <is>
          <t>Estrutura Fase 1: sem impacto no VTA oficial</t>
        </is>
      </c>
    </row>
    <row r="709" ht="25.5" customHeight="1" s="289">
      <c r="A709" s="205" t="n"/>
      <c r="B709" s="207" t="n"/>
      <c r="C709" s="104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348" t="n"/>
      <c r="E709" s="349">
        <f>IF(C709="","",IFERROR(VLOOKUP(C709,parametros!$A$11:$E$15,5,0),""))</f>
        <v/>
      </c>
      <c r="F709" s="335">
        <f>IF(OR(D709="",E709=""),"",ROUND(D709*E709,2))</f>
        <v/>
      </c>
      <c r="G709" s="106" t="n"/>
      <c r="H709" s="350">
        <f>IF(G709="Sim",IF(OR(F709="",D709="",L709=""),"",IF(L709="Sim",ROUND(F709-D709,2),0)),0)</f>
        <v/>
      </c>
      <c r="I709" s="350">
        <f>IF(G709="Sim",0,IF(OR(F709="",L709=""),"",F709))</f>
        <v/>
      </c>
      <c r="J709" s="350">
        <f>IF(G709="Sim",0,IF(OR(F709="",D709="",L709=""),"",IF(L709="Sim",ROUND(F709-D709,2),0)))</f>
        <v/>
      </c>
      <c r="K709" s="97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inlineStr">
        <is>
          <t>Nao</t>
        </is>
      </c>
      <c r="W709" s="110" t="inlineStr">
        <is>
          <t>PC em analise</t>
        </is>
      </c>
      <c r="X709" s="110" t="inlineStr">
        <is>
          <t>Pedido de Compra</t>
        </is>
      </c>
      <c r="Y709" s="111" t="inlineStr">
        <is>
          <t>Impacto Potencial</t>
        </is>
      </c>
      <c r="Z709" s="111" t="inlineStr">
        <is>
          <t>PC</t>
        </is>
      </c>
      <c r="AA709" s="111" t="inlineStr">
        <is>
          <t>Nao</t>
        </is>
      </c>
      <c r="AB709" s="111" t="inlineStr">
        <is>
          <t>NAO_COMPUTADO</t>
        </is>
      </c>
      <c r="AC709" s="112" t="inlineStr">
        <is>
          <t>Estrutura Fase 1: sem impacto no VTA oficial</t>
        </is>
      </c>
    </row>
    <row r="710" ht="25.5" customHeight="1" s="289">
      <c r="A710" s="205" t="n"/>
      <c r="B710" s="207" t="n"/>
      <c r="C710" s="104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348" t="n"/>
      <c r="E710" s="349">
        <f>IF(C710="","",IFERROR(VLOOKUP(C710,parametros!$A$11:$E$15,5,0),""))</f>
        <v/>
      </c>
      <c r="F710" s="335">
        <f>IF(OR(D710="",E710=""),"",ROUND(D710*E710,2))</f>
        <v/>
      </c>
      <c r="G710" s="106" t="n"/>
      <c r="H710" s="350">
        <f>IF(G710="Sim",IF(OR(F710="",D710="",L710=""),"",IF(L710="Sim",ROUND(F710-D710,2),0)),0)</f>
        <v/>
      </c>
      <c r="I710" s="350">
        <f>IF(G710="Sim",0,IF(OR(F710="",L710=""),"",F710))</f>
        <v/>
      </c>
      <c r="J710" s="350">
        <f>IF(G710="Sim",0,IF(OR(F710="",D710="",L710=""),"",IF(L710="Sim",ROUND(F710-D710,2),0)))</f>
        <v/>
      </c>
      <c r="K710" s="97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inlineStr">
        <is>
          <t>Nao</t>
        </is>
      </c>
      <c r="W710" s="110" t="inlineStr">
        <is>
          <t>PC em analise</t>
        </is>
      </c>
      <c r="X710" s="110" t="inlineStr">
        <is>
          <t>Pedido de Compra</t>
        </is>
      </c>
      <c r="Y710" s="111" t="inlineStr">
        <is>
          <t>Impacto Potencial</t>
        </is>
      </c>
      <c r="Z710" s="111" t="inlineStr">
        <is>
          <t>PC</t>
        </is>
      </c>
      <c r="AA710" s="111" t="inlineStr">
        <is>
          <t>Nao</t>
        </is>
      </c>
      <c r="AB710" s="111" t="inlineStr">
        <is>
          <t>NAO_COMPUTADO</t>
        </is>
      </c>
      <c r="AC710" s="112" t="inlineStr">
        <is>
          <t>Estrutura Fase 1: sem impacto no VTA oficial</t>
        </is>
      </c>
    </row>
    <row r="711" ht="25.5" customHeight="1" s="289">
      <c r="A711" s="205" t="n"/>
      <c r="B711" s="207" t="n"/>
      <c r="C711" s="104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348" t="n"/>
      <c r="E711" s="349">
        <f>IF(C711="","",IFERROR(VLOOKUP(C711,parametros!$A$11:$E$15,5,0),""))</f>
        <v/>
      </c>
      <c r="F711" s="335">
        <f>IF(OR(D711="",E711=""),"",ROUND(D711*E711,2))</f>
        <v/>
      </c>
      <c r="G711" s="106" t="n"/>
      <c r="H711" s="350">
        <f>IF(G711="Sim",IF(OR(F711="",D711="",L711=""),"",IF(L711="Sim",ROUND(F711-D711,2),0)),0)</f>
        <v/>
      </c>
      <c r="I711" s="350">
        <f>IF(G711="Sim",0,IF(OR(F711="",L711=""),"",F711))</f>
        <v/>
      </c>
      <c r="J711" s="350">
        <f>IF(G711="Sim",0,IF(OR(F711="",D711="",L711=""),"",IF(L711="Sim",ROUND(F711-D711,2),0)))</f>
        <v/>
      </c>
      <c r="K711" s="97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inlineStr">
        <is>
          <t>Nao</t>
        </is>
      </c>
      <c r="W711" s="110" t="inlineStr">
        <is>
          <t>PC em analise</t>
        </is>
      </c>
      <c r="X711" s="110" t="inlineStr">
        <is>
          <t>Pedido de Compra</t>
        </is>
      </c>
      <c r="Y711" s="111" t="inlineStr">
        <is>
          <t>Impacto Potencial</t>
        </is>
      </c>
      <c r="Z711" s="111" t="inlineStr">
        <is>
          <t>PC</t>
        </is>
      </c>
      <c r="AA711" s="111" t="inlineStr">
        <is>
          <t>Nao</t>
        </is>
      </c>
      <c r="AB711" s="111" t="inlineStr">
        <is>
          <t>NAO_COMPUTADO</t>
        </is>
      </c>
      <c r="AC711" s="112" t="inlineStr">
        <is>
          <t>Estrutura Fase 1: sem impacto no VTA oficial</t>
        </is>
      </c>
    </row>
    <row r="712" ht="25.5" customHeight="1" s="289">
      <c r="A712" s="205" t="n"/>
      <c r="B712" s="207" t="n"/>
      <c r="C712" s="104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348" t="n"/>
      <c r="E712" s="349">
        <f>IF(C712="","",IFERROR(VLOOKUP(C712,parametros!$A$11:$E$15,5,0),""))</f>
        <v/>
      </c>
      <c r="F712" s="335">
        <f>IF(OR(D712="",E712=""),"",ROUND(D712*E712,2))</f>
        <v/>
      </c>
      <c r="G712" s="106" t="n"/>
      <c r="H712" s="350">
        <f>IF(G712="Sim",IF(OR(F712="",D712="",L712=""),"",IF(L712="Sim",ROUND(F712-D712,2),0)),0)</f>
        <v/>
      </c>
      <c r="I712" s="350">
        <f>IF(G712="Sim",0,IF(OR(F712="",L712=""),"",F712))</f>
        <v/>
      </c>
      <c r="J712" s="350">
        <f>IF(G712="Sim",0,IF(OR(F712="",D712="",L712=""),"",IF(L712="Sim",ROUND(F712-D712,2),0)))</f>
        <v/>
      </c>
      <c r="K712" s="97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inlineStr">
        <is>
          <t>Nao</t>
        </is>
      </c>
      <c r="W712" s="110" t="inlineStr">
        <is>
          <t>PC em analise</t>
        </is>
      </c>
      <c r="X712" s="110" t="inlineStr">
        <is>
          <t>Pedido de Compra</t>
        </is>
      </c>
      <c r="Y712" s="111" t="inlineStr">
        <is>
          <t>Impacto Potencial</t>
        </is>
      </c>
      <c r="Z712" s="111" t="inlineStr">
        <is>
          <t>PC</t>
        </is>
      </c>
      <c r="AA712" s="111" t="inlineStr">
        <is>
          <t>Nao</t>
        </is>
      </c>
      <c r="AB712" s="111" t="inlineStr">
        <is>
          <t>NAO_COMPUTADO</t>
        </is>
      </c>
      <c r="AC712" s="112" t="inlineStr">
        <is>
          <t>Estrutura Fase 1: sem impacto no VTA oficial</t>
        </is>
      </c>
    </row>
    <row r="713" ht="25.5" customHeight="1" s="289">
      <c r="A713" s="205" t="n"/>
      <c r="B713" s="207" t="n"/>
      <c r="C713" s="104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348" t="n"/>
      <c r="E713" s="349">
        <f>IF(C713="","",IFERROR(VLOOKUP(C713,parametros!$A$11:$E$15,5,0),""))</f>
        <v/>
      </c>
      <c r="F713" s="335">
        <f>IF(OR(D713="",E713=""),"",ROUND(D713*E713,2))</f>
        <v/>
      </c>
      <c r="G713" s="106" t="n"/>
      <c r="H713" s="350">
        <f>IF(G713="Sim",IF(OR(F713="",D713="",L713=""),"",IF(L713="Sim",ROUND(F713-D713,2),0)),0)</f>
        <v/>
      </c>
      <c r="I713" s="350">
        <f>IF(G713="Sim",0,IF(OR(F713="",L713=""),"",F713))</f>
        <v/>
      </c>
      <c r="J713" s="350">
        <f>IF(G713="Sim",0,IF(OR(F713="",D713="",L713=""),"",IF(L713="Sim",ROUND(F713-D713,2),0)))</f>
        <v/>
      </c>
      <c r="K713" s="97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inlineStr">
        <is>
          <t>Nao</t>
        </is>
      </c>
      <c r="W713" s="110" t="inlineStr">
        <is>
          <t>PC em analise</t>
        </is>
      </c>
      <c r="X713" s="110" t="inlineStr">
        <is>
          <t>Pedido de Compra</t>
        </is>
      </c>
      <c r="Y713" s="111" t="inlineStr">
        <is>
          <t>Impacto Potencial</t>
        </is>
      </c>
      <c r="Z713" s="111" t="inlineStr">
        <is>
          <t>PC</t>
        </is>
      </c>
      <c r="AA713" s="111" t="inlineStr">
        <is>
          <t>Nao</t>
        </is>
      </c>
      <c r="AB713" s="111" t="inlineStr">
        <is>
          <t>NAO_COMPUTADO</t>
        </is>
      </c>
      <c r="AC713" s="112" t="inlineStr">
        <is>
          <t>Estrutura Fase 1: sem impacto no VTA oficial</t>
        </is>
      </c>
    </row>
    <row r="714" ht="25.5" customHeight="1" s="289">
      <c r="A714" s="205" t="n"/>
      <c r="B714" s="207" t="n"/>
      <c r="C714" s="104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348" t="n"/>
      <c r="E714" s="349">
        <f>IF(C714="","",IFERROR(VLOOKUP(C714,parametros!$A$11:$E$15,5,0),""))</f>
        <v/>
      </c>
      <c r="F714" s="335">
        <f>IF(OR(D714="",E714=""),"",ROUND(D714*E714,2))</f>
        <v/>
      </c>
      <c r="G714" s="106" t="n"/>
      <c r="H714" s="350">
        <f>IF(G714="Sim",IF(OR(F714="",D714="",L714=""),"",IF(L714="Sim",ROUND(F714-D714,2),0)),0)</f>
        <v/>
      </c>
      <c r="I714" s="350">
        <f>IF(G714="Sim",0,IF(OR(F714="",L714=""),"",F714))</f>
        <v/>
      </c>
      <c r="J714" s="350">
        <f>IF(G714="Sim",0,IF(OR(F714="",D714="",L714=""),"",IF(L714="Sim",ROUND(F714-D714,2),0)))</f>
        <v/>
      </c>
      <c r="K714" s="97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inlineStr">
        <is>
          <t>Nao</t>
        </is>
      </c>
      <c r="W714" s="110" t="inlineStr">
        <is>
          <t>PC em analise</t>
        </is>
      </c>
      <c r="X714" s="110" t="inlineStr">
        <is>
          <t>Pedido de Compra</t>
        </is>
      </c>
      <c r="Y714" s="111" t="inlineStr">
        <is>
          <t>Impacto Potencial</t>
        </is>
      </c>
      <c r="Z714" s="111" t="inlineStr">
        <is>
          <t>PC</t>
        </is>
      </c>
      <c r="AA714" s="111" t="inlineStr">
        <is>
          <t>Nao</t>
        </is>
      </c>
      <c r="AB714" s="111" t="inlineStr">
        <is>
          <t>NAO_COMPUTADO</t>
        </is>
      </c>
      <c r="AC714" s="112" t="inlineStr">
        <is>
          <t>Estrutura Fase 1: sem impacto no VTA oficial</t>
        </is>
      </c>
    </row>
    <row r="715" ht="25.5" customHeight="1" s="289">
      <c r="A715" s="205" t="n"/>
      <c r="B715" s="207" t="n"/>
      <c r="C715" s="104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348" t="n"/>
      <c r="E715" s="349">
        <f>IF(C715="","",IFERROR(VLOOKUP(C715,parametros!$A$11:$E$15,5,0),""))</f>
        <v/>
      </c>
      <c r="F715" s="335">
        <f>IF(OR(D715="",E715=""),"",ROUND(D715*E715,2))</f>
        <v/>
      </c>
      <c r="G715" s="106" t="n"/>
      <c r="H715" s="350">
        <f>IF(G715="Sim",IF(OR(F715="",D715="",L715=""),"",IF(L715="Sim",ROUND(F715-D715,2),0)),0)</f>
        <v/>
      </c>
      <c r="I715" s="350">
        <f>IF(G715="Sim",0,IF(OR(F715="",L715=""),"",F715))</f>
        <v/>
      </c>
      <c r="J715" s="350">
        <f>IF(G715="Sim",0,IF(OR(F715="",D715="",L715=""),"",IF(L715="Sim",ROUND(F715-D715,2),0)))</f>
        <v/>
      </c>
      <c r="K715" s="97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inlineStr">
        <is>
          <t>Nao</t>
        </is>
      </c>
      <c r="W715" s="110" t="inlineStr">
        <is>
          <t>PC em analise</t>
        </is>
      </c>
      <c r="X715" s="110" t="inlineStr">
        <is>
          <t>Pedido de Compra</t>
        </is>
      </c>
      <c r="Y715" s="111" t="inlineStr">
        <is>
          <t>Impacto Potencial</t>
        </is>
      </c>
      <c r="Z715" s="111" t="inlineStr">
        <is>
          <t>PC</t>
        </is>
      </c>
      <c r="AA715" s="111" t="inlineStr">
        <is>
          <t>Nao</t>
        </is>
      </c>
      <c r="AB715" s="111" t="inlineStr">
        <is>
          <t>NAO_COMPUTADO</t>
        </is>
      </c>
      <c r="AC715" s="112" t="inlineStr">
        <is>
          <t>Estrutura Fase 1: sem impacto no VTA oficial</t>
        </is>
      </c>
    </row>
    <row r="716" ht="25.5" customHeight="1" s="289">
      <c r="A716" s="205" t="n"/>
      <c r="B716" s="207" t="n"/>
      <c r="C716" s="104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348" t="n"/>
      <c r="E716" s="349">
        <f>IF(C716="","",IFERROR(VLOOKUP(C716,parametros!$A$11:$E$15,5,0),""))</f>
        <v/>
      </c>
      <c r="F716" s="335">
        <f>IF(OR(D716="",E716=""),"",ROUND(D716*E716,2))</f>
        <v/>
      </c>
      <c r="G716" s="106" t="n"/>
      <c r="H716" s="350">
        <f>IF(G716="Sim",IF(OR(F716="",D716="",L716=""),"",IF(L716="Sim",ROUND(F716-D716,2),0)),0)</f>
        <v/>
      </c>
      <c r="I716" s="350">
        <f>IF(G716="Sim",0,IF(OR(F716="",L716=""),"",F716))</f>
        <v/>
      </c>
      <c r="J716" s="350">
        <f>IF(G716="Sim",0,IF(OR(F716="",D716="",L716=""),"",IF(L716="Sim",ROUND(F716-D716,2),0)))</f>
        <v/>
      </c>
      <c r="K716" s="97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inlineStr">
        <is>
          <t>Nao</t>
        </is>
      </c>
      <c r="W716" s="110" t="inlineStr">
        <is>
          <t>PC em analise</t>
        </is>
      </c>
      <c r="X716" s="110" t="inlineStr">
        <is>
          <t>Pedido de Compra</t>
        </is>
      </c>
      <c r="Y716" s="111" t="inlineStr">
        <is>
          <t>Impacto Potencial</t>
        </is>
      </c>
      <c r="Z716" s="111" t="inlineStr">
        <is>
          <t>PC</t>
        </is>
      </c>
      <c r="AA716" s="111" t="inlineStr">
        <is>
          <t>Nao</t>
        </is>
      </c>
      <c r="AB716" s="111" t="inlineStr">
        <is>
          <t>NAO_COMPUTADO</t>
        </is>
      </c>
      <c r="AC716" s="112" t="inlineStr">
        <is>
          <t>Estrutura Fase 1: sem impacto no VTA oficial</t>
        </is>
      </c>
    </row>
    <row r="717" ht="25.5" customHeight="1" s="289">
      <c r="A717" s="205" t="n"/>
      <c r="B717" s="207" t="n"/>
      <c r="C717" s="104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348" t="n"/>
      <c r="E717" s="349">
        <f>IF(C717="","",IFERROR(VLOOKUP(C717,parametros!$A$11:$E$15,5,0),""))</f>
        <v/>
      </c>
      <c r="F717" s="335">
        <f>IF(OR(D717="",E717=""),"",ROUND(D717*E717,2))</f>
        <v/>
      </c>
      <c r="G717" s="106" t="n"/>
      <c r="H717" s="350">
        <f>IF(G717="Sim",IF(OR(F717="",D717="",L717=""),"",IF(L717="Sim",ROUND(F717-D717,2),0)),0)</f>
        <v/>
      </c>
      <c r="I717" s="350">
        <f>IF(G717="Sim",0,IF(OR(F717="",L717=""),"",F717))</f>
        <v/>
      </c>
      <c r="J717" s="350">
        <f>IF(G717="Sim",0,IF(OR(F717="",D717="",L717=""),"",IF(L717="Sim",ROUND(F717-D717,2),0)))</f>
        <v/>
      </c>
      <c r="K717" s="97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inlineStr">
        <is>
          <t>Nao</t>
        </is>
      </c>
      <c r="W717" s="110" t="inlineStr">
        <is>
          <t>PC em analise</t>
        </is>
      </c>
      <c r="X717" s="110" t="inlineStr">
        <is>
          <t>Pedido de Compra</t>
        </is>
      </c>
      <c r="Y717" s="111" t="inlineStr">
        <is>
          <t>Impacto Potencial</t>
        </is>
      </c>
      <c r="Z717" s="111" t="inlineStr">
        <is>
          <t>PC</t>
        </is>
      </c>
      <c r="AA717" s="111" t="inlineStr">
        <is>
          <t>Nao</t>
        </is>
      </c>
      <c r="AB717" s="111" t="inlineStr">
        <is>
          <t>NAO_COMPUTADO</t>
        </is>
      </c>
      <c r="AC717" s="112" t="inlineStr">
        <is>
          <t>Estrutura Fase 1: sem impacto no VTA oficial</t>
        </is>
      </c>
    </row>
    <row r="718" ht="25.5" customHeight="1" s="289">
      <c r="A718" s="205" t="n"/>
      <c r="B718" s="207" t="n"/>
      <c r="C718" s="104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348" t="n"/>
      <c r="E718" s="349">
        <f>IF(C718="","",IFERROR(VLOOKUP(C718,parametros!$A$11:$E$15,5,0),""))</f>
        <v/>
      </c>
      <c r="F718" s="335">
        <f>IF(OR(D718="",E718=""),"",ROUND(D718*E718,2))</f>
        <v/>
      </c>
      <c r="G718" s="106" t="n"/>
      <c r="H718" s="350">
        <f>IF(G718="Sim",IF(OR(F718="",D718="",L718=""),"",IF(L718="Sim",ROUND(F718-D718,2),0)),0)</f>
        <v/>
      </c>
      <c r="I718" s="350">
        <f>IF(G718="Sim",0,IF(OR(F718="",L718=""),"",F718))</f>
        <v/>
      </c>
      <c r="J718" s="350">
        <f>IF(G718="Sim",0,IF(OR(F718="",D718="",L718=""),"",IF(L718="Sim",ROUND(F718-D718,2),0)))</f>
        <v/>
      </c>
      <c r="K718" s="97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inlineStr">
        <is>
          <t>Nao</t>
        </is>
      </c>
      <c r="W718" s="110" t="inlineStr">
        <is>
          <t>PC em analise</t>
        </is>
      </c>
      <c r="X718" s="110" t="inlineStr">
        <is>
          <t>Pedido de Compra</t>
        </is>
      </c>
      <c r="Y718" s="111" t="inlineStr">
        <is>
          <t>Impacto Potencial</t>
        </is>
      </c>
      <c r="Z718" s="111" t="inlineStr">
        <is>
          <t>PC</t>
        </is>
      </c>
      <c r="AA718" s="111" t="inlineStr">
        <is>
          <t>Nao</t>
        </is>
      </c>
      <c r="AB718" s="111" t="inlineStr">
        <is>
          <t>NAO_COMPUTADO</t>
        </is>
      </c>
      <c r="AC718" s="112" t="inlineStr">
        <is>
          <t>Estrutura Fase 1: sem impacto no VTA oficial</t>
        </is>
      </c>
    </row>
    <row r="719" ht="25.5" customHeight="1" s="289">
      <c r="A719" s="205" t="n"/>
      <c r="B719" s="207" t="n"/>
      <c r="C719" s="104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348" t="n"/>
      <c r="E719" s="349">
        <f>IF(C719="","",IFERROR(VLOOKUP(C719,parametros!$A$11:$E$15,5,0),""))</f>
        <v/>
      </c>
      <c r="F719" s="335">
        <f>IF(OR(D719="",E719=""),"",ROUND(D719*E719,2))</f>
        <v/>
      </c>
      <c r="G719" s="106" t="n"/>
      <c r="H719" s="350">
        <f>IF(G719="Sim",IF(OR(F719="",D719="",L719=""),"",IF(L719="Sim",ROUND(F719-D719,2),0)),0)</f>
        <v/>
      </c>
      <c r="I719" s="350">
        <f>IF(G719="Sim",0,IF(OR(F719="",L719=""),"",F719))</f>
        <v/>
      </c>
      <c r="J719" s="350">
        <f>IF(G719="Sim",0,IF(OR(F719="",D719="",L719=""),"",IF(L719="Sim",ROUND(F719-D719,2),0)))</f>
        <v/>
      </c>
      <c r="K719" s="97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inlineStr">
        <is>
          <t>Nao</t>
        </is>
      </c>
      <c r="W719" s="110" t="inlineStr">
        <is>
          <t>PC em analise</t>
        </is>
      </c>
      <c r="X719" s="110" t="inlineStr">
        <is>
          <t>Pedido de Compra</t>
        </is>
      </c>
      <c r="Y719" s="111" t="inlineStr">
        <is>
          <t>Impacto Potencial</t>
        </is>
      </c>
      <c r="Z719" s="111" t="inlineStr">
        <is>
          <t>PC</t>
        </is>
      </c>
      <c r="AA719" s="111" t="inlineStr">
        <is>
          <t>Nao</t>
        </is>
      </c>
      <c r="AB719" s="111" t="inlineStr">
        <is>
          <t>NAO_COMPUTADO</t>
        </is>
      </c>
      <c r="AC719" s="112" t="inlineStr">
        <is>
          <t>Estrutura Fase 1: sem impacto no VTA oficial</t>
        </is>
      </c>
    </row>
    <row r="720" ht="25.5" customHeight="1" s="289">
      <c r="A720" s="205" t="n"/>
      <c r="B720" s="207" t="n"/>
      <c r="C720" s="104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348" t="n"/>
      <c r="E720" s="349">
        <f>IF(C720="","",IFERROR(VLOOKUP(C720,parametros!$A$11:$E$15,5,0),""))</f>
        <v/>
      </c>
      <c r="F720" s="335">
        <f>IF(OR(D720="",E720=""),"",ROUND(D720*E720,2))</f>
        <v/>
      </c>
      <c r="G720" s="106" t="n"/>
      <c r="H720" s="350">
        <f>IF(G720="Sim",IF(OR(F720="",D720="",L720=""),"",IF(L720="Sim",ROUND(F720-D720,2),0)),0)</f>
        <v/>
      </c>
      <c r="I720" s="350">
        <f>IF(G720="Sim",0,IF(OR(F720="",L720=""),"",F720))</f>
        <v/>
      </c>
      <c r="J720" s="350">
        <f>IF(G720="Sim",0,IF(OR(F720="",D720="",L720=""),"",IF(L720="Sim",ROUND(F720-D720,2),0)))</f>
        <v/>
      </c>
      <c r="K720" s="97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inlineStr">
        <is>
          <t>Nao</t>
        </is>
      </c>
      <c r="W720" s="110" t="inlineStr">
        <is>
          <t>PC em analise</t>
        </is>
      </c>
      <c r="X720" s="110" t="inlineStr">
        <is>
          <t>Pedido de Compra</t>
        </is>
      </c>
      <c r="Y720" s="111" t="inlineStr">
        <is>
          <t>Impacto Potencial</t>
        </is>
      </c>
      <c r="Z720" s="111" t="inlineStr">
        <is>
          <t>PC</t>
        </is>
      </c>
      <c r="AA720" s="111" t="inlineStr">
        <is>
          <t>Nao</t>
        </is>
      </c>
      <c r="AB720" s="111" t="inlineStr">
        <is>
          <t>NAO_COMPUTADO</t>
        </is>
      </c>
      <c r="AC720" s="112" t="inlineStr">
        <is>
          <t>Estrutura Fase 1: sem impacto no VTA oficial</t>
        </is>
      </c>
    </row>
    <row r="721" ht="25.5" customHeight="1" s="289">
      <c r="A721" s="205" t="n"/>
      <c r="B721" s="207" t="n"/>
      <c r="C721" s="104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348" t="n"/>
      <c r="E721" s="349">
        <f>IF(C721="","",IFERROR(VLOOKUP(C721,parametros!$A$11:$E$15,5,0),""))</f>
        <v/>
      </c>
      <c r="F721" s="335">
        <f>IF(OR(D721="",E721=""),"",ROUND(D721*E721,2))</f>
        <v/>
      </c>
      <c r="G721" s="106" t="n"/>
      <c r="H721" s="350">
        <f>IF(G721="Sim",IF(OR(F721="",D721="",L721=""),"",IF(L721="Sim",ROUND(F721-D721,2),0)),0)</f>
        <v/>
      </c>
      <c r="I721" s="350">
        <f>IF(G721="Sim",0,IF(OR(F721="",L721=""),"",F721))</f>
        <v/>
      </c>
      <c r="J721" s="350">
        <f>IF(G721="Sim",0,IF(OR(F721="",D721="",L721=""),"",IF(L721="Sim",ROUND(F721-D721,2),0)))</f>
        <v/>
      </c>
      <c r="K721" s="97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inlineStr">
        <is>
          <t>Nao</t>
        </is>
      </c>
      <c r="W721" s="110" t="inlineStr">
        <is>
          <t>PC em analise</t>
        </is>
      </c>
      <c r="X721" s="110" t="inlineStr">
        <is>
          <t>Pedido de Compra</t>
        </is>
      </c>
      <c r="Y721" s="111" t="inlineStr">
        <is>
          <t>Impacto Potencial</t>
        </is>
      </c>
      <c r="Z721" s="111" t="inlineStr">
        <is>
          <t>PC</t>
        </is>
      </c>
      <c r="AA721" s="111" t="inlineStr">
        <is>
          <t>Nao</t>
        </is>
      </c>
      <c r="AB721" s="111" t="inlineStr">
        <is>
          <t>NAO_COMPUTADO</t>
        </is>
      </c>
      <c r="AC721" s="112" t="inlineStr">
        <is>
          <t>Estrutura Fase 1: sem impacto no VTA oficial</t>
        </is>
      </c>
    </row>
    <row r="722" ht="25.5" customHeight="1" s="289">
      <c r="A722" s="205" t="n"/>
      <c r="B722" s="207" t="n"/>
      <c r="C722" s="104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348" t="n"/>
      <c r="E722" s="349">
        <f>IF(C722="","",IFERROR(VLOOKUP(C722,parametros!$A$11:$E$15,5,0),""))</f>
        <v/>
      </c>
      <c r="F722" s="335">
        <f>IF(OR(D722="",E722=""),"",ROUND(D722*E722,2))</f>
        <v/>
      </c>
      <c r="G722" s="106" t="n"/>
      <c r="H722" s="350">
        <f>IF(G722="Sim",IF(OR(F722="",D722="",L722=""),"",IF(L722="Sim",ROUND(F722-D722,2),0)),0)</f>
        <v/>
      </c>
      <c r="I722" s="350">
        <f>IF(G722="Sim",0,IF(OR(F722="",L722=""),"",F722))</f>
        <v/>
      </c>
      <c r="J722" s="350">
        <f>IF(G722="Sim",0,IF(OR(F722="",D722="",L722=""),"",IF(L722="Sim",ROUND(F722-D722,2),0)))</f>
        <v/>
      </c>
      <c r="K722" s="97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inlineStr">
        <is>
          <t>Nao</t>
        </is>
      </c>
      <c r="W722" s="110" t="inlineStr">
        <is>
          <t>PC em analise</t>
        </is>
      </c>
      <c r="X722" s="110" t="inlineStr">
        <is>
          <t>Pedido de Compra</t>
        </is>
      </c>
      <c r="Y722" s="111" t="inlineStr">
        <is>
          <t>Impacto Potencial</t>
        </is>
      </c>
      <c r="Z722" s="111" t="inlineStr">
        <is>
          <t>PC</t>
        </is>
      </c>
      <c r="AA722" s="111" t="inlineStr">
        <is>
          <t>Nao</t>
        </is>
      </c>
      <c r="AB722" s="111" t="inlineStr">
        <is>
          <t>NAO_COMPUTADO</t>
        </is>
      </c>
      <c r="AC722" s="112" t="inlineStr">
        <is>
          <t>Estrutura Fase 1: sem impacto no VTA oficial</t>
        </is>
      </c>
    </row>
    <row r="723" ht="25.5" customHeight="1" s="289">
      <c r="A723" s="205" t="n"/>
      <c r="B723" s="207" t="n"/>
      <c r="C723" s="104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348" t="n"/>
      <c r="E723" s="349">
        <f>IF(C723="","",IFERROR(VLOOKUP(C723,parametros!$A$11:$E$15,5,0),""))</f>
        <v/>
      </c>
      <c r="F723" s="335">
        <f>IF(OR(D723="",E723=""),"",ROUND(D723*E723,2))</f>
        <v/>
      </c>
      <c r="G723" s="106" t="n"/>
      <c r="H723" s="350">
        <f>IF(G723="Sim",IF(OR(F723="",D723="",L723=""),"",IF(L723="Sim",ROUND(F723-D723,2),0)),0)</f>
        <v/>
      </c>
      <c r="I723" s="350">
        <f>IF(G723="Sim",0,IF(OR(F723="",L723=""),"",F723))</f>
        <v/>
      </c>
      <c r="J723" s="350">
        <f>IF(G723="Sim",0,IF(OR(F723="",D723="",L723=""),"",IF(L723="Sim",ROUND(F723-D723,2),0)))</f>
        <v/>
      </c>
      <c r="K723" s="97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inlineStr">
        <is>
          <t>Nao</t>
        </is>
      </c>
      <c r="W723" s="110" t="inlineStr">
        <is>
          <t>PC em analise</t>
        </is>
      </c>
      <c r="X723" s="110" t="inlineStr">
        <is>
          <t>Pedido de Compra</t>
        </is>
      </c>
      <c r="Y723" s="111" t="inlineStr">
        <is>
          <t>Impacto Potencial</t>
        </is>
      </c>
      <c r="Z723" s="111" t="inlineStr">
        <is>
          <t>PC</t>
        </is>
      </c>
      <c r="AA723" s="111" t="inlineStr">
        <is>
          <t>Nao</t>
        </is>
      </c>
      <c r="AB723" s="111" t="inlineStr">
        <is>
          <t>NAO_COMPUTADO</t>
        </is>
      </c>
      <c r="AC723" s="112" t="inlineStr">
        <is>
          <t>Estrutura Fase 1: sem impacto no VTA oficial</t>
        </is>
      </c>
    </row>
    <row r="724" ht="25.5" customHeight="1" s="289">
      <c r="A724" s="205" t="n"/>
      <c r="B724" s="207" t="n"/>
      <c r="C724" s="104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348" t="n"/>
      <c r="E724" s="349">
        <f>IF(C724="","",IFERROR(VLOOKUP(C724,parametros!$A$11:$E$15,5,0),""))</f>
        <v/>
      </c>
      <c r="F724" s="335">
        <f>IF(OR(D724="",E724=""),"",ROUND(D724*E724,2))</f>
        <v/>
      </c>
      <c r="G724" s="106" t="n"/>
      <c r="H724" s="350">
        <f>IF(G724="Sim",IF(OR(F724="",D724="",L724=""),"",IF(L724="Sim",ROUND(F724-D724,2),0)),0)</f>
        <v/>
      </c>
      <c r="I724" s="350">
        <f>IF(G724="Sim",0,IF(OR(F724="",L724=""),"",F724))</f>
        <v/>
      </c>
      <c r="J724" s="350">
        <f>IF(G724="Sim",0,IF(OR(F724="",D724="",L724=""),"",IF(L724="Sim",ROUND(F724-D724,2),0)))</f>
        <v/>
      </c>
      <c r="K724" s="97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inlineStr">
        <is>
          <t>Nao</t>
        </is>
      </c>
      <c r="W724" s="110" t="inlineStr">
        <is>
          <t>PC em analise</t>
        </is>
      </c>
      <c r="X724" s="110" t="inlineStr">
        <is>
          <t>Pedido de Compra</t>
        </is>
      </c>
      <c r="Y724" s="111" t="inlineStr">
        <is>
          <t>Impacto Potencial</t>
        </is>
      </c>
      <c r="Z724" s="111" t="inlineStr">
        <is>
          <t>PC</t>
        </is>
      </c>
      <c r="AA724" s="111" t="inlineStr">
        <is>
          <t>Nao</t>
        </is>
      </c>
      <c r="AB724" s="111" t="inlineStr">
        <is>
          <t>NAO_COMPUTADO</t>
        </is>
      </c>
      <c r="AC724" s="112" t="inlineStr">
        <is>
          <t>Estrutura Fase 1: sem impacto no VTA oficial</t>
        </is>
      </c>
    </row>
    <row r="725" ht="25.5" customHeight="1" s="289">
      <c r="A725" s="205" t="n"/>
      <c r="B725" s="207" t="n"/>
      <c r="C725" s="104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348" t="n"/>
      <c r="E725" s="349">
        <f>IF(C725="","",IFERROR(VLOOKUP(C725,parametros!$A$11:$E$15,5,0),""))</f>
        <v/>
      </c>
      <c r="F725" s="335">
        <f>IF(OR(D725="",E725=""),"",ROUND(D725*E725,2))</f>
        <v/>
      </c>
      <c r="G725" s="106" t="n"/>
      <c r="H725" s="350">
        <f>IF(G725="Sim",IF(OR(F725="",D725="",L725=""),"",IF(L725="Sim",ROUND(F725-D725,2),0)),0)</f>
        <v/>
      </c>
      <c r="I725" s="350">
        <f>IF(G725="Sim",0,IF(OR(F725="",L725=""),"",F725))</f>
        <v/>
      </c>
      <c r="J725" s="350">
        <f>IF(G725="Sim",0,IF(OR(F725="",D725="",L725=""),"",IF(L725="Sim",ROUND(F725-D725,2),0)))</f>
        <v/>
      </c>
      <c r="K725" s="97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inlineStr">
        <is>
          <t>Nao</t>
        </is>
      </c>
      <c r="W725" s="110" t="inlineStr">
        <is>
          <t>PC em analise</t>
        </is>
      </c>
      <c r="X725" s="110" t="inlineStr">
        <is>
          <t>Pedido de Compra</t>
        </is>
      </c>
      <c r="Y725" s="111" t="inlineStr">
        <is>
          <t>Impacto Potencial</t>
        </is>
      </c>
      <c r="Z725" s="111" t="inlineStr">
        <is>
          <t>PC</t>
        </is>
      </c>
      <c r="AA725" s="111" t="inlineStr">
        <is>
          <t>Nao</t>
        </is>
      </c>
      <c r="AB725" s="111" t="inlineStr">
        <is>
          <t>NAO_COMPUTADO</t>
        </is>
      </c>
      <c r="AC725" s="112" t="inlineStr">
        <is>
          <t>Estrutura Fase 1: sem impacto no VTA oficial</t>
        </is>
      </c>
    </row>
    <row r="726" ht="25.5" customHeight="1" s="289">
      <c r="A726" s="205" t="n"/>
      <c r="B726" s="207" t="n"/>
      <c r="C726" s="104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348" t="n"/>
      <c r="E726" s="349">
        <f>IF(C726="","",IFERROR(VLOOKUP(C726,parametros!$A$11:$E$15,5,0),""))</f>
        <v/>
      </c>
      <c r="F726" s="335">
        <f>IF(OR(D726="",E726=""),"",ROUND(D726*E726,2))</f>
        <v/>
      </c>
      <c r="G726" s="106" t="n"/>
      <c r="H726" s="350">
        <f>IF(G726="Sim",IF(OR(F726="",D726="",L726=""),"",IF(L726="Sim",ROUND(F726-D726,2),0)),0)</f>
        <v/>
      </c>
      <c r="I726" s="350">
        <f>IF(G726="Sim",0,IF(OR(F726="",L726=""),"",F726))</f>
        <v/>
      </c>
      <c r="J726" s="350">
        <f>IF(G726="Sim",0,IF(OR(F726="",D726="",L726=""),"",IF(L726="Sim",ROUND(F726-D726,2),0)))</f>
        <v/>
      </c>
      <c r="K726" s="97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inlineStr">
        <is>
          <t>Nao</t>
        </is>
      </c>
      <c r="W726" s="110" t="inlineStr">
        <is>
          <t>PC em analise</t>
        </is>
      </c>
      <c r="X726" s="110" t="inlineStr">
        <is>
          <t>Pedido de Compra</t>
        </is>
      </c>
      <c r="Y726" s="111" t="inlineStr">
        <is>
          <t>Impacto Potencial</t>
        </is>
      </c>
      <c r="Z726" s="111" t="inlineStr">
        <is>
          <t>PC</t>
        </is>
      </c>
      <c r="AA726" s="111" t="inlineStr">
        <is>
          <t>Nao</t>
        </is>
      </c>
      <c r="AB726" s="111" t="inlineStr">
        <is>
          <t>NAO_COMPUTADO</t>
        </is>
      </c>
      <c r="AC726" s="112" t="inlineStr">
        <is>
          <t>Estrutura Fase 1: sem impacto no VTA oficial</t>
        </is>
      </c>
    </row>
    <row r="727" ht="25.5" customHeight="1" s="289">
      <c r="A727" s="205" t="n"/>
      <c r="B727" s="207" t="n"/>
      <c r="C727" s="104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348" t="n"/>
      <c r="E727" s="349">
        <f>IF(C727="","",IFERROR(VLOOKUP(C727,parametros!$A$11:$E$15,5,0),""))</f>
        <v/>
      </c>
      <c r="F727" s="335">
        <f>IF(OR(D727="",E727=""),"",ROUND(D727*E727,2))</f>
        <v/>
      </c>
      <c r="G727" s="106" t="n"/>
      <c r="H727" s="350">
        <f>IF(G727="Sim",IF(OR(F727="",D727="",L727=""),"",IF(L727="Sim",ROUND(F727-D727,2),0)),0)</f>
        <v/>
      </c>
      <c r="I727" s="350">
        <f>IF(G727="Sim",0,IF(OR(F727="",L727=""),"",F727))</f>
        <v/>
      </c>
      <c r="J727" s="350">
        <f>IF(G727="Sim",0,IF(OR(F727="",D727="",L727=""),"",IF(L727="Sim",ROUND(F727-D727,2),0)))</f>
        <v/>
      </c>
      <c r="K727" s="97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inlineStr">
        <is>
          <t>Nao</t>
        </is>
      </c>
      <c r="W727" s="110" t="inlineStr">
        <is>
          <t>PC em analise</t>
        </is>
      </c>
      <c r="X727" s="110" t="inlineStr">
        <is>
          <t>Pedido de Compra</t>
        </is>
      </c>
      <c r="Y727" s="111" t="inlineStr">
        <is>
          <t>Impacto Potencial</t>
        </is>
      </c>
      <c r="Z727" s="111" t="inlineStr">
        <is>
          <t>PC</t>
        </is>
      </c>
      <c r="AA727" s="111" t="inlineStr">
        <is>
          <t>Nao</t>
        </is>
      </c>
      <c r="AB727" s="111" t="inlineStr">
        <is>
          <t>NAO_COMPUTADO</t>
        </is>
      </c>
      <c r="AC727" s="112" t="inlineStr">
        <is>
          <t>Estrutura Fase 1: sem impacto no VTA oficial</t>
        </is>
      </c>
    </row>
    <row r="728" ht="25.5" customHeight="1" s="289">
      <c r="A728" s="205" t="n"/>
      <c r="B728" s="207" t="n"/>
      <c r="C728" s="104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348" t="n"/>
      <c r="E728" s="349">
        <f>IF(C728="","",IFERROR(VLOOKUP(C728,parametros!$A$11:$E$15,5,0),""))</f>
        <v/>
      </c>
      <c r="F728" s="335">
        <f>IF(OR(D728="",E728=""),"",ROUND(D728*E728,2))</f>
        <v/>
      </c>
      <c r="G728" s="106" t="n"/>
      <c r="H728" s="350">
        <f>IF(G728="Sim",IF(OR(F728="",D728="",L728=""),"",IF(L728="Sim",ROUND(F728-D728,2),0)),0)</f>
        <v/>
      </c>
      <c r="I728" s="350">
        <f>IF(G728="Sim",0,IF(OR(F728="",L728=""),"",F728))</f>
        <v/>
      </c>
      <c r="J728" s="350">
        <f>IF(G728="Sim",0,IF(OR(F728="",D728="",L728=""),"",IF(L728="Sim",ROUND(F728-D728,2),0)))</f>
        <v/>
      </c>
      <c r="K728" s="97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inlineStr">
        <is>
          <t>Nao</t>
        </is>
      </c>
      <c r="W728" s="110" t="inlineStr">
        <is>
          <t>PC em analise</t>
        </is>
      </c>
      <c r="X728" s="110" t="inlineStr">
        <is>
          <t>Pedido de Compra</t>
        </is>
      </c>
      <c r="Y728" s="111" t="inlineStr">
        <is>
          <t>Impacto Potencial</t>
        </is>
      </c>
      <c r="Z728" s="111" t="inlineStr">
        <is>
          <t>PC</t>
        </is>
      </c>
      <c r="AA728" s="111" t="inlineStr">
        <is>
          <t>Nao</t>
        </is>
      </c>
      <c r="AB728" s="111" t="inlineStr">
        <is>
          <t>NAO_COMPUTADO</t>
        </is>
      </c>
      <c r="AC728" s="112" t="inlineStr">
        <is>
          <t>Estrutura Fase 1: sem impacto no VTA oficial</t>
        </is>
      </c>
    </row>
    <row r="729" ht="25.5" customHeight="1" s="289">
      <c r="A729" s="205" t="n"/>
      <c r="B729" s="207" t="n"/>
      <c r="C729" s="104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348" t="n"/>
      <c r="E729" s="349">
        <f>IF(C729="","",IFERROR(VLOOKUP(C729,parametros!$A$11:$E$15,5,0),""))</f>
        <v/>
      </c>
      <c r="F729" s="335">
        <f>IF(OR(D729="",E729=""),"",ROUND(D729*E729,2))</f>
        <v/>
      </c>
      <c r="G729" s="106" t="n"/>
      <c r="H729" s="350">
        <f>IF(G729="Sim",IF(OR(F729="",D729="",L729=""),"",IF(L729="Sim",ROUND(F729-D729,2),0)),0)</f>
        <v/>
      </c>
      <c r="I729" s="350">
        <f>IF(G729="Sim",0,IF(OR(F729="",L729=""),"",F729))</f>
        <v/>
      </c>
      <c r="J729" s="350">
        <f>IF(G729="Sim",0,IF(OR(F729="",D729="",L729=""),"",IF(L729="Sim",ROUND(F729-D729,2),0)))</f>
        <v/>
      </c>
      <c r="K729" s="97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inlineStr">
        <is>
          <t>Nao</t>
        </is>
      </c>
      <c r="W729" s="110" t="inlineStr">
        <is>
          <t>PC em analise</t>
        </is>
      </c>
      <c r="X729" s="110" t="inlineStr">
        <is>
          <t>Pedido de Compra</t>
        </is>
      </c>
      <c r="Y729" s="111" t="inlineStr">
        <is>
          <t>Impacto Potencial</t>
        </is>
      </c>
      <c r="Z729" s="111" t="inlineStr">
        <is>
          <t>PC</t>
        </is>
      </c>
      <c r="AA729" s="111" t="inlineStr">
        <is>
          <t>Nao</t>
        </is>
      </c>
      <c r="AB729" s="111" t="inlineStr">
        <is>
          <t>NAO_COMPUTADO</t>
        </is>
      </c>
      <c r="AC729" s="112" t="inlineStr">
        <is>
          <t>Estrutura Fase 1: sem impacto no VTA oficial</t>
        </is>
      </c>
    </row>
    <row r="730" ht="25.5" customHeight="1" s="289">
      <c r="A730" s="205" t="n"/>
      <c r="B730" s="207" t="n"/>
      <c r="C730" s="104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348" t="n"/>
      <c r="E730" s="349">
        <f>IF(C730="","",IFERROR(VLOOKUP(C730,parametros!$A$11:$E$15,5,0),""))</f>
        <v/>
      </c>
      <c r="F730" s="335">
        <f>IF(OR(D730="",E730=""),"",ROUND(D730*E730,2))</f>
        <v/>
      </c>
      <c r="G730" s="106" t="n"/>
      <c r="H730" s="350">
        <f>IF(G730="Sim",IF(OR(F730="",D730="",L730=""),"",IF(L730="Sim",ROUND(F730-D730,2),0)),0)</f>
        <v/>
      </c>
      <c r="I730" s="350">
        <f>IF(G730="Sim",0,IF(OR(F730="",L730=""),"",F730))</f>
        <v/>
      </c>
      <c r="J730" s="350">
        <f>IF(G730="Sim",0,IF(OR(F730="",D730="",L730=""),"",IF(L730="Sim",ROUND(F730-D730,2),0)))</f>
        <v/>
      </c>
      <c r="K730" s="97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inlineStr">
        <is>
          <t>Nao</t>
        </is>
      </c>
      <c r="W730" s="110" t="inlineStr">
        <is>
          <t>PC em analise</t>
        </is>
      </c>
      <c r="X730" s="110" t="inlineStr">
        <is>
          <t>Pedido de Compra</t>
        </is>
      </c>
      <c r="Y730" s="111" t="inlineStr">
        <is>
          <t>Impacto Potencial</t>
        </is>
      </c>
      <c r="Z730" s="111" t="inlineStr">
        <is>
          <t>PC</t>
        </is>
      </c>
      <c r="AA730" s="111" t="inlineStr">
        <is>
          <t>Nao</t>
        </is>
      </c>
      <c r="AB730" s="111" t="inlineStr">
        <is>
          <t>NAO_COMPUTADO</t>
        </is>
      </c>
      <c r="AC730" s="112" t="inlineStr">
        <is>
          <t>Estrutura Fase 1: sem impacto no VTA oficial</t>
        </is>
      </c>
    </row>
    <row r="731" ht="25.5" customHeight="1" s="289">
      <c r="A731" s="205" t="n"/>
      <c r="B731" s="207" t="n"/>
      <c r="C731" s="104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348" t="n"/>
      <c r="E731" s="349">
        <f>IF(C731="","",IFERROR(VLOOKUP(C731,parametros!$A$11:$E$15,5,0),""))</f>
        <v/>
      </c>
      <c r="F731" s="335">
        <f>IF(OR(D731="",E731=""),"",ROUND(D731*E731,2))</f>
        <v/>
      </c>
      <c r="G731" s="106" t="n"/>
      <c r="H731" s="350">
        <f>IF(G731="Sim",IF(OR(F731="",D731="",L731=""),"",IF(L731="Sim",ROUND(F731-D731,2),0)),0)</f>
        <v/>
      </c>
      <c r="I731" s="350">
        <f>IF(G731="Sim",0,IF(OR(F731="",L731=""),"",F731))</f>
        <v/>
      </c>
      <c r="J731" s="350">
        <f>IF(G731="Sim",0,IF(OR(F731="",D731="",L731=""),"",IF(L731="Sim",ROUND(F731-D731,2),0)))</f>
        <v/>
      </c>
      <c r="K731" s="97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inlineStr">
        <is>
          <t>Nao</t>
        </is>
      </c>
      <c r="W731" s="110" t="inlineStr">
        <is>
          <t>PC em analise</t>
        </is>
      </c>
      <c r="X731" s="110" t="inlineStr">
        <is>
          <t>Pedido de Compra</t>
        </is>
      </c>
      <c r="Y731" s="111" t="inlineStr">
        <is>
          <t>Impacto Potencial</t>
        </is>
      </c>
      <c r="Z731" s="111" t="inlineStr">
        <is>
          <t>PC</t>
        </is>
      </c>
      <c r="AA731" s="111" t="inlineStr">
        <is>
          <t>Nao</t>
        </is>
      </c>
      <c r="AB731" s="111" t="inlineStr">
        <is>
          <t>NAO_COMPUTADO</t>
        </is>
      </c>
      <c r="AC731" s="112" t="inlineStr">
        <is>
          <t>Estrutura Fase 1: sem impacto no VTA oficial</t>
        </is>
      </c>
    </row>
    <row r="732" ht="25.5" customHeight="1" s="289">
      <c r="A732" s="205" t="n"/>
      <c r="B732" s="207" t="n"/>
      <c r="C732" s="104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348" t="n"/>
      <c r="E732" s="349">
        <f>IF(C732="","",IFERROR(VLOOKUP(C732,parametros!$A$11:$E$15,5,0),""))</f>
        <v/>
      </c>
      <c r="F732" s="335">
        <f>IF(OR(D732="",E732=""),"",ROUND(D732*E732,2))</f>
        <v/>
      </c>
      <c r="G732" s="106" t="n"/>
      <c r="H732" s="350">
        <f>IF(G732="Sim",IF(OR(F732="",D732="",L732=""),"",IF(L732="Sim",ROUND(F732-D732,2),0)),0)</f>
        <v/>
      </c>
      <c r="I732" s="350">
        <f>IF(G732="Sim",0,IF(OR(F732="",L732=""),"",F732))</f>
        <v/>
      </c>
      <c r="J732" s="350">
        <f>IF(G732="Sim",0,IF(OR(F732="",D732="",L732=""),"",IF(L732="Sim",ROUND(F732-D732,2),0)))</f>
        <v/>
      </c>
      <c r="K732" s="97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inlineStr">
        <is>
          <t>Nao</t>
        </is>
      </c>
      <c r="W732" s="110" t="inlineStr">
        <is>
          <t>PC em analise</t>
        </is>
      </c>
      <c r="X732" s="110" t="inlineStr">
        <is>
          <t>Pedido de Compra</t>
        </is>
      </c>
      <c r="Y732" s="111" t="inlineStr">
        <is>
          <t>Impacto Potencial</t>
        </is>
      </c>
      <c r="Z732" s="111" t="inlineStr">
        <is>
          <t>PC</t>
        </is>
      </c>
      <c r="AA732" s="111" t="inlineStr">
        <is>
          <t>Nao</t>
        </is>
      </c>
      <c r="AB732" s="111" t="inlineStr">
        <is>
          <t>NAO_COMPUTADO</t>
        </is>
      </c>
      <c r="AC732" s="112" t="inlineStr">
        <is>
          <t>Estrutura Fase 1: sem impacto no VTA oficial</t>
        </is>
      </c>
    </row>
    <row r="733" ht="25.5" customHeight="1" s="289">
      <c r="A733" s="205" t="n"/>
      <c r="B733" s="207" t="n"/>
      <c r="C733" s="104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348" t="n"/>
      <c r="E733" s="349">
        <f>IF(C733="","",IFERROR(VLOOKUP(C733,parametros!$A$11:$E$15,5,0),""))</f>
        <v/>
      </c>
      <c r="F733" s="335">
        <f>IF(OR(D733="",E733=""),"",ROUND(D733*E733,2))</f>
        <v/>
      </c>
      <c r="G733" s="106" t="n"/>
      <c r="H733" s="350">
        <f>IF(G733="Sim",IF(OR(F733="",D733="",L733=""),"",IF(L733="Sim",ROUND(F733-D733,2),0)),0)</f>
        <v/>
      </c>
      <c r="I733" s="350">
        <f>IF(G733="Sim",0,IF(OR(F733="",L733=""),"",F733))</f>
        <v/>
      </c>
      <c r="J733" s="350">
        <f>IF(G733="Sim",0,IF(OR(F733="",D733="",L733=""),"",IF(L733="Sim",ROUND(F733-D733,2),0)))</f>
        <v/>
      </c>
      <c r="K733" s="97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inlineStr">
        <is>
          <t>Nao</t>
        </is>
      </c>
      <c r="W733" s="110" t="inlineStr">
        <is>
          <t>PC em analise</t>
        </is>
      </c>
      <c r="X733" s="110" t="inlineStr">
        <is>
          <t>Pedido de Compra</t>
        </is>
      </c>
      <c r="Y733" s="111" t="inlineStr">
        <is>
          <t>Impacto Potencial</t>
        </is>
      </c>
      <c r="Z733" s="111" t="inlineStr">
        <is>
          <t>PC</t>
        </is>
      </c>
      <c r="AA733" s="111" t="inlineStr">
        <is>
          <t>Nao</t>
        </is>
      </c>
      <c r="AB733" s="111" t="inlineStr">
        <is>
          <t>NAO_COMPUTADO</t>
        </is>
      </c>
      <c r="AC733" s="112" t="inlineStr">
        <is>
          <t>Estrutura Fase 1: sem impacto no VTA oficial</t>
        </is>
      </c>
    </row>
    <row r="734" ht="25.5" customHeight="1" s="289">
      <c r="A734" s="205" t="n"/>
      <c r="B734" s="207" t="n"/>
      <c r="C734" s="104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348" t="n"/>
      <c r="E734" s="349">
        <f>IF(C734="","",IFERROR(VLOOKUP(C734,parametros!$A$11:$E$15,5,0),""))</f>
        <v/>
      </c>
      <c r="F734" s="335">
        <f>IF(OR(D734="",E734=""),"",ROUND(D734*E734,2))</f>
        <v/>
      </c>
      <c r="G734" s="106" t="n"/>
      <c r="H734" s="350">
        <f>IF(G734="Sim",IF(OR(F734="",D734="",L734=""),"",IF(L734="Sim",ROUND(F734-D734,2),0)),0)</f>
        <v/>
      </c>
      <c r="I734" s="350">
        <f>IF(G734="Sim",0,IF(OR(F734="",L734=""),"",F734))</f>
        <v/>
      </c>
      <c r="J734" s="350">
        <f>IF(G734="Sim",0,IF(OR(F734="",D734="",L734=""),"",IF(L734="Sim",ROUND(F734-D734,2),0)))</f>
        <v/>
      </c>
      <c r="K734" s="97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inlineStr">
        <is>
          <t>Nao</t>
        </is>
      </c>
      <c r="W734" s="110" t="inlineStr">
        <is>
          <t>PC em analise</t>
        </is>
      </c>
      <c r="X734" s="110" t="inlineStr">
        <is>
          <t>Pedido de Compra</t>
        </is>
      </c>
      <c r="Y734" s="111" t="inlineStr">
        <is>
          <t>Impacto Potencial</t>
        </is>
      </c>
      <c r="Z734" s="111" t="inlineStr">
        <is>
          <t>PC</t>
        </is>
      </c>
      <c r="AA734" s="111" t="inlineStr">
        <is>
          <t>Nao</t>
        </is>
      </c>
      <c r="AB734" s="111" t="inlineStr">
        <is>
          <t>NAO_COMPUTADO</t>
        </is>
      </c>
      <c r="AC734" s="112" t="inlineStr">
        <is>
          <t>Estrutura Fase 1: sem impacto no VTA oficial</t>
        </is>
      </c>
    </row>
    <row r="735" ht="25.5" customHeight="1" s="289">
      <c r="A735" s="205" t="n"/>
      <c r="B735" s="207" t="n"/>
      <c r="C735" s="104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348" t="n"/>
      <c r="E735" s="349">
        <f>IF(C735="","",IFERROR(VLOOKUP(C735,parametros!$A$11:$E$15,5,0),""))</f>
        <v/>
      </c>
      <c r="F735" s="335">
        <f>IF(OR(D735="",E735=""),"",ROUND(D735*E735,2))</f>
        <v/>
      </c>
      <c r="G735" s="106" t="n"/>
      <c r="H735" s="350">
        <f>IF(G735="Sim",IF(OR(F735="",D735="",L735=""),"",IF(L735="Sim",ROUND(F735-D735,2),0)),0)</f>
        <v/>
      </c>
      <c r="I735" s="350">
        <f>IF(G735="Sim",0,IF(OR(F735="",L735=""),"",F735))</f>
        <v/>
      </c>
      <c r="J735" s="350">
        <f>IF(G735="Sim",0,IF(OR(F735="",D735="",L735=""),"",IF(L735="Sim",ROUND(F735-D735,2),0)))</f>
        <v/>
      </c>
      <c r="K735" s="97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inlineStr">
        <is>
          <t>Nao</t>
        </is>
      </c>
      <c r="W735" s="110" t="inlineStr">
        <is>
          <t>PC em analise</t>
        </is>
      </c>
      <c r="X735" s="110" t="inlineStr">
        <is>
          <t>Pedido de Compra</t>
        </is>
      </c>
      <c r="Y735" s="111" t="inlineStr">
        <is>
          <t>Impacto Potencial</t>
        </is>
      </c>
      <c r="Z735" s="111" t="inlineStr">
        <is>
          <t>PC</t>
        </is>
      </c>
      <c r="AA735" s="111" t="inlineStr">
        <is>
          <t>Nao</t>
        </is>
      </c>
      <c r="AB735" s="111" t="inlineStr">
        <is>
          <t>NAO_COMPUTADO</t>
        </is>
      </c>
      <c r="AC735" s="112" t="inlineStr">
        <is>
          <t>Estrutura Fase 1: sem impacto no VTA oficial</t>
        </is>
      </c>
    </row>
    <row r="736" ht="25.5" customHeight="1" s="289">
      <c r="A736" s="205" t="n"/>
      <c r="B736" s="207" t="n"/>
      <c r="C736" s="104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348" t="n"/>
      <c r="E736" s="349">
        <f>IF(C736="","",IFERROR(VLOOKUP(C736,parametros!$A$11:$E$15,5,0),""))</f>
        <v/>
      </c>
      <c r="F736" s="335">
        <f>IF(OR(D736="",E736=""),"",ROUND(D736*E736,2))</f>
        <v/>
      </c>
      <c r="G736" s="106" t="n"/>
      <c r="H736" s="350">
        <f>IF(G736="Sim",IF(OR(F736="",D736="",L736=""),"",IF(L736="Sim",ROUND(F736-D736,2),0)),0)</f>
        <v/>
      </c>
      <c r="I736" s="350">
        <f>IF(G736="Sim",0,IF(OR(F736="",L736=""),"",F736))</f>
        <v/>
      </c>
      <c r="J736" s="350">
        <f>IF(G736="Sim",0,IF(OR(F736="",D736="",L736=""),"",IF(L736="Sim",ROUND(F736-D736,2),0)))</f>
        <v/>
      </c>
      <c r="K736" s="97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inlineStr">
        <is>
          <t>Nao</t>
        </is>
      </c>
      <c r="W736" s="110" t="inlineStr">
        <is>
          <t>PC em analise</t>
        </is>
      </c>
      <c r="X736" s="110" t="inlineStr">
        <is>
          <t>Pedido de Compra</t>
        </is>
      </c>
      <c r="Y736" s="111" t="inlineStr">
        <is>
          <t>Impacto Potencial</t>
        </is>
      </c>
      <c r="Z736" s="111" t="inlineStr">
        <is>
          <t>PC</t>
        </is>
      </c>
      <c r="AA736" s="111" t="inlineStr">
        <is>
          <t>Nao</t>
        </is>
      </c>
      <c r="AB736" s="111" t="inlineStr">
        <is>
          <t>NAO_COMPUTADO</t>
        </is>
      </c>
      <c r="AC736" s="112" t="inlineStr">
        <is>
          <t>Estrutura Fase 1: sem impacto no VTA oficial</t>
        </is>
      </c>
    </row>
    <row r="737" ht="25.5" customHeight="1" s="289">
      <c r="A737" s="205" t="n"/>
      <c r="B737" s="207" t="n"/>
      <c r="C737" s="104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348" t="n"/>
      <c r="E737" s="349">
        <f>IF(C737="","",IFERROR(VLOOKUP(C737,parametros!$A$11:$E$15,5,0),""))</f>
        <v/>
      </c>
      <c r="F737" s="335">
        <f>IF(OR(D737="",E737=""),"",ROUND(D737*E737,2))</f>
        <v/>
      </c>
      <c r="G737" s="106" t="n"/>
      <c r="H737" s="350">
        <f>IF(G737="Sim",IF(OR(F737="",D737="",L737=""),"",IF(L737="Sim",ROUND(F737-D737,2),0)),0)</f>
        <v/>
      </c>
      <c r="I737" s="350">
        <f>IF(G737="Sim",0,IF(OR(F737="",L737=""),"",F737))</f>
        <v/>
      </c>
      <c r="J737" s="350">
        <f>IF(G737="Sim",0,IF(OR(F737="",D737="",L737=""),"",IF(L737="Sim",ROUND(F737-D737,2),0)))</f>
        <v/>
      </c>
      <c r="K737" s="97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inlineStr">
        <is>
          <t>Nao</t>
        </is>
      </c>
      <c r="W737" s="110" t="inlineStr">
        <is>
          <t>PC em analise</t>
        </is>
      </c>
      <c r="X737" s="110" t="inlineStr">
        <is>
          <t>Pedido de Compra</t>
        </is>
      </c>
      <c r="Y737" s="111" t="inlineStr">
        <is>
          <t>Impacto Potencial</t>
        </is>
      </c>
      <c r="Z737" s="111" t="inlineStr">
        <is>
          <t>PC</t>
        </is>
      </c>
      <c r="AA737" s="111" t="inlineStr">
        <is>
          <t>Nao</t>
        </is>
      </c>
      <c r="AB737" s="111" t="inlineStr">
        <is>
          <t>NAO_COMPUTADO</t>
        </is>
      </c>
      <c r="AC737" s="112" t="inlineStr">
        <is>
          <t>Estrutura Fase 1: sem impacto no VTA oficial</t>
        </is>
      </c>
    </row>
    <row r="738" ht="25.5" customHeight="1" s="289">
      <c r="A738" s="205" t="n"/>
      <c r="B738" s="207" t="n"/>
      <c r="C738" s="104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348" t="n"/>
      <c r="E738" s="349">
        <f>IF(C738="","",IFERROR(VLOOKUP(C738,parametros!$A$11:$E$15,5,0),""))</f>
        <v/>
      </c>
      <c r="F738" s="335">
        <f>IF(OR(D738="",E738=""),"",ROUND(D738*E738,2))</f>
        <v/>
      </c>
      <c r="G738" s="106" t="n"/>
      <c r="H738" s="350">
        <f>IF(G738="Sim",IF(OR(F738="",D738="",L738=""),"",IF(L738="Sim",ROUND(F738-D738,2),0)),0)</f>
        <v/>
      </c>
      <c r="I738" s="350">
        <f>IF(G738="Sim",0,IF(OR(F738="",L738=""),"",F738))</f>
        <v/>
      </c>
      <c r="J738" s="350">
        <f>IF(G738="Sim",0,IF(OR(F738="",D738="",L738=""),"",IF(L738="Sim",ROUND(F738-D738,2),0)))</f>
        <v/>
      </c>
      <c r="K738" s="97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inlineStr">
        <is>
          <t>Nao</t>
        </is>
      </c>
      <c r="W738" s="110" t="inlineStr">
        <is>
          <t>PC em analise</t>
        </is>
      </c>
      <c r="X738" s="110" t="inlineStr">
        <is>
          <t>Pedido de Compra</t>
        </is>
      </c>
      <c r="Y738" s="111" t="inlineStr">
        <is>
          <t>Impacto Potencial</t>
        </is>
      </c>
      <c r="Z738" s="111" t="inlineStr">
        <is>
          <t>PC</t>
        </is>
      </c>
      <c r="AA738" s="111" t="inlineStr">
        <is>
          <t>Nao</t>
        </is>
      </c>
      <c r="AB738" s="111" t="inlineStr">
        <is>
          <t>NAO_COMPUTADO</t>
        </is>
      </c>
      <c r="AC738" s="112" t="inlineStr">
        <is>
          <t>Estrutura Fase 1: sem impacto no VTA oficial</t>
        </is>
      </c>
    </row>
    <row r="739" ht="25.5" customHeight="1" s="289">
      <c r="A739" s="205" t="n"/>
      <c r="B739" s="207" t="n"/>
      <c r="C739" s="104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348" t="n"/>
      <c r="E739" s="349">
        <f>IF(C739="","",IFERROR(VLOOKUP(C739,parametros!$A$11:$E$15,5,0),""))</f>
        <v/>
      </c>
      <c r="F739" s="335">
        <f>IF(OR(D739="",E739=""),"",ROUND(D739*E739,2))</f>
        <v/>
      </c>
      <c r="G739" s="106" t="n"/>
      <c r="H739" s="350">
        <f>IF(G739="Sim",IF(OR(F739="",D739="",L739=""),"",IF(L739="Sim",ROUND(F739-D739,2),0)),0)</f>
        <v/>
      </c>
      <c r="I739" s="350">
        <f>IF(G739="Sim",0,IF(OR(F739="",L739=""),"",F739))</f>
        <v/>
      </c>
      <c r="J739" s="350">
        <f>IF(G739="Sim",0,IF(OR(F739="",D739="",L739=""),"",IF(L739="Sim",ROUND(F739-D739,2),0)))</f>
        <v/>
      </c>
      <c r="K739" s="97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inlineStr">
        <is>
          <t>Nao</t>
        </is>
      </c>
      <c r="W739" s="110" t="inlineStr">
        <is>
          <t>PC em analise</t>
        </is>
      </c>
      <c r="X739" s="110" t="inlineStr">
        <is>
          <t>Pedido de Compra</t>
        </is>
      </c>
      <c r="Y739" s="111" t="inlineStr">
        <is>
          <t>Impacto Potencial</t>
        </is>
      </c>
      <c r="Z739" s="111" t="inlineStr">
        <is>
          <t>PC</t>
        </is>
      </c>
      <c r="AA739" s="111" t="inlineStr">
        <is>
          <t>Nao</t>
        </is>
      </c>
      <c r="AB739" s="111" t="inlineStr">
        <is>
          <t>NAO_COMPUTADO</t>
        </is>
      </c>
      <c r="AC739" s="112" t="inlineStr">
        <is>
          <t>Estrutura Fase 1: sem impacto no VTA oficial</t>
        </is>
      </c>
    </row>
    <row r="740" ht="25.5" customHeight="1" s="289">
      <c r="A740" s="205" t="n"/>
      <c r="B740" s="207" t="n"/>
      <c r="C740" s="104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348" t="n"/>
      <c r="E740" s="349">
        <f>IF(C740="","",IFERROR(VLOOKUP(C740,parametros!$A$11:$E$15,5,0),""))</f>
        <v/>
      </c>
      <c r="F740" s="335">
        <f>IF(OR(D740="",E740=""),"",ROUND(D740*E740,2))</f>
        <v/>
      </c>
      <c r="G740" s="106" t="n"/>
      <c r="H740" s="350">
        <f>IF(G740="Sim",IF(OR(F740="",D740="",L740=""),"",IF(L740="Sim",ROUND(F740-D740,2),0)),0)</f>
        <v/>
      </c>
      <c r="I740" s="350">
        <f>IF(G740="Sim",0,IF(OR(F740="",L740=""),"",F740))</f>
        <v/>
      </c>
      <c r="J740" s="350">
        <f>IF(G740="Sim",0,IF(OR(F740="",D740="",L740=""),"",IF(L740="Sim",ROUND(F740-D740,2),0)))</f>
        <v/>
      </c>
      <c r="K740" s="97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inlineStr">
        <is>
          <t>Nao</t>
        </is>
      </c>
      <c r="W740" s="110" t="inlineStr">
        <is>
          <t>PC em analise</t>
        </is>
      </c>
      <c r="X740" s="110" t="inlineStr">
        <is>
          <t>Pedido de Compra</t>
        </is>
      </c>
      <c r="Y740" s="111" t="inlineStr">
        <is>
          <t>Impacto Potencial</t>
        </is>
      </c>
      <c r="Z740" s="111" t="inlineStr">
        <is>
          <t>PC</t>
        </is>
      </c>
      <c r="AA740" s="111" t="inlineStr">
        <is>
          <t>Nao</t>
        </is>
      </c>
      <c r="AB740" s="111" t="inlineStr">
        <is>
          <t>NAO_COMPUTADO</t>
        </is>
      </c>
      <c r="AC740" s="112" t="inlineStr">
        <is>
          <t>Estrutura Fase 1: sem impacto no VTA oficial</t>
        </is>
      </c>
    </row>
    <row r="741" ht="25.5" customHeight="1" s="289">
      <c r="A741" s="205" t="n"/>
      <c r="B741" s="207" t="n"/>
      <c r="C741" s="104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348" t="n"/>
      <c r="E741" s="349">
        <f>IF(C741="","",IFERROR(VLOOKUP(C741,parametros!$A$11:$E$15,5,0),""))</f>
        <v/>
      </c>
      <c r="F741" s="335">
        <f>IF(OR(D741="",E741=""),"",ROUND(D741*E741,2))</f>
        <v/>
      </c>
      <c r="G741" s="106" t="n"/>
      <c r="H741" s="350">
        <f>IF(G741="Sim",IF(OR(F741="",D741="",L741=""),"",IF(L741="Sim",ROUND(F741-D741,2),0)),0)</f>
        <v/>
      </c>
      <c r="I741" s="350">
        <f>IF(G741="Sim",0,IF(OR(F741="",L741=""),"",F741))</f>
        <v/>
      </c>
      <c r="J741" s="350">
        <f>IF(G741="Sim",0,IF(OR(F741="",D741="",L741=""),"",IF(L741="Sim",ROUND(F741-D741,2),0)))</f>
        <v/>
      </c>
      <c r="K741" s="97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inlineStr">
        <is>
          <t>Nao</t>
        </is>
      </c>
      <c r="W741" s="110" t="inlineStr">
        <is>
          <t>PC em analise</t>
        </is>
      </c>
      <c r="X741" s="110" t="inlineStr">
        <is>
          <t>Pedido de Compra</t>
        </is>
      </c>
      <c r="Y741" s="111" t="inlineStr">
        <is>
          <t>Impacto Potencial</t>
        </is>
      </c>
      <c r="Z741" s="111" t="inlineStr">
        <is>
          <t>PC</t>
        </is>
      </c>
      <c r="AA741" s="111" t="inlineStr">
        <is>
          <t>Nao</t>
        </is>
      </c>
      <c r="AB741" s="111" t="inlineStr">
        <is>
          <t>NAO_COMPUTADO</t>
        </is>
      </c>
      <c r="AC741" s="112" t="inlineStr">
        <is>
          <t>Estrutura Fase 1: sem impacto no VTA oficial</t>
        </is>
      </c>
    </row>
    <row r="742" ht="25.5" customHeight="1" s="289">
      <c r="A742" s="205" t="n"/>
      <c r="B742" s="207" t="n"/>
      <c r="C742" s="104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348" t="n"/>
      <c r="E742" s="349">
        <f>IF(C742="","",IFERROR(VLOOKUP(C742,parametros!$A$11:$E$15,5,0),""))</f>
        <v/>
      </c>
      <c r="F742" s="335">
        <f>IF(OR(D742="",E742=""),"",ROUND(D742*E742,2))</f>
        <v/>
      </c>
      <c r="G742" s="106" t="n"/>
      <c r="H742" s="350">
        <f>IF(G742="Sim",IF(OR(F742="",D742="",L742=""),"",IF(L742="Sim",ROUND(F742-D742,2),0)),0)</f>
        <v/>
      </c>
      <c r="I742" s="350">
        <f>IF(G742="Sim",0,IF(OR(F742="",L742=""),"",F742))</f>
        <v/>
      </c>
      <c r="J742" s="350">
        <f>IF(G742="Sim",0,IF(OR(F742="",D742="",L742=""),"",IF(L742="Sim",ROUND(F742-D742,2),0)))</f>
        <v/>
      </c>
      <c r="K742" s="97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inlineStr">
        <is>
          <t>Nao</t>
        </is>
      </c>
      <c r="W742" s="110" t="inlineStr">
        <is>
          <t>PC em analise</t>
        </is>
      </c>
      <c r="X742" s="110" t="inlineStr">
        <is>
          <t>Pedido de Compra</t>
        </is>
      </c>
      <c r="Y742" s="111" t="inlineStr">
        <is>
          <t>Impacto Potencial</t>
        </is>
      </c>
      <c r="Z742" s="111" t="inlineStr">
        <is>
          <t>PC</t>
        </is>
      </c>
      <c r="AA742" s="111" t="inlineStr">
        <is>
          <t>Nao</t>
        </is>
      </c>
      <c r="AB742" s="111" t="inlineStr">
        <is>
          <t>NAO_COMPUTADO</t>
        </is>
      </c>
      <c r="AC742" s="112" t="inlineStr">
        <is>
          <t>Estrutura Fase 1: sem impacto no VTA oficial</t>
        </is>
      </c>
    </row>
    <row r="743" ht="25.5" customHeight="1" s="289">
      <c r="A743" s="205" t="n"/>
      <c r="B743" s="207" t="n"/>
      <c r="C743" s="104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348" t="n"/>
      <c r="E743" s="349">
        <f>IF(C743="","",IFERROR(VLOOKUP(C743,parametros!$A$11:$E$15,5,0),""))</f>
        <v/>
      </c>
      <c r="F743" s="335">
        <f>IF(OR(D743="",E743=""),"",ROUND(D743*E743,2))</f>
        <v/>
      </c>
      <c r="G743" s="106" t="n"/>
      <c r="H743" s="350">
        <f>IF(G743="Sim",IF(OR(F743="",D743="",L743=""),"",IF(L743="Sim",ROUND(F743-D743,2),0)),0)</f>
        <v/>
      </c>
      <c r="I743" s="350">
        <f>IF(G743="Sim",0,IF(OR(F743="",L743=""),"",F743))</f>
        <v/>
      </c>
      <c r="J743" s="350">
        <f>IF(G743="Sim",0,IF(OR(F743="",D743="",L743=""),"",IF(L743="Sim",ROUND(F743-D743,2),0)))</f>
        <v/>
      </c>
      <c r="K743" s="97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inlineStr">
        <is>
          <t>Nao</t>
        </is>
      </c>
      <c r="W743" s="110" t="inlineStr">
        <is>
          <t>PC em analise</t>
        </is>
      </c>
      <c r="X743" s="110" t="inlineStr">
        <is>
          <t>Pedido de Compra</t>
        </is>
      </c>
      <c r="Y743" s="111" t="inlineStr">
        <is>
          <t>Impacto Potencial</t>
        </is>
      </c>
      <c r="Z743" s="111" t="inlineStr">
        <is>
          <t>PC</t>
        </is>
      </c>
      <c r="AA743" s="111" t="inlineStr">
        <is>
          <t>Nao</t>
        </is>
      </c>
      <c r="AB743" s="111" t="inlineStr">
        <is>
          <t>NAO_COMPUTADO</t>
        </is>
      </c>
      <c r="AC743" s="112" t="inlineStr">
        <is>
          <t>Estrutura Fase 1: sem impacto no VTA oficial</t>
        </is>
      </c>
    </row>
    <row r="744" ht="25.5" customHeight="1" s="289">
      <c r="A744" s="205" t="n"/>
      <c r="B744" s="207" t="n"/>
      <c r="C744" s="104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348" t="n"/>
      <c r="E744" s="349">
        <f>IF(C744="","",IFERROR(VLOOKUP(C744,parametros!$A$11:$E$15,5,0),""))</f>
        <v/>
      </c>
      <c r="F744" s="335">
        <f>IF(OR(D744="",E744=""),"",ROUND(D744*E744,2))</f>
        <v/>
      </c>
      <c r="G744" s="106" t="n"/>
      <c r="H744" s="350">
        <f>IF(G744="Sim",IF(OR(F744="",D744="",L744=""),"",IF(L744="Sim",ROUND(F744-D744,2),0)),0)</f>
        <v/>
      </c>
      <c r="I744" s="350">
        <f>IF(G744="Sim",0,IF(OR(F744="",L744=""),"",F744))</f>
        <v/>
      </c>
      <c r="J744" s="350">
        <f>IF(G744="Sim",0,IF(OR(F744="",D744="",L744=""),"",IF(L744="Sim",ROUND(F744-D744,2),0)))</f>
        <v/>
      </c>
      <c r="K744" s="97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inlineStr">
        <is>
          <t>Nao</t>
        </is>
      </c>
      <c r="W744" s="110" t="inlineStr">
        <is>
          <t>PC em analise</t>
        </is>
      </c>
      <c r="X744" s="110" t="inlineStr">
        <is>
          <t>Pedido de Compra</t>
        </is>
      </c>
      <c r="Y744" s="111" t="inlineStr">
        <is>
          <t>Impacto Potencial</t>
        </is>
      </c>
      <c r="Z744" s="111" t="inlineStr">
        <is>
          <t>PC</t>
        </is>
      </c>
      <c r="AA744" s="111" t="inlineStr">
        <is>
          <t>Nao</t>
        </is>
      </c>
      <c r="AB744" s="111" t="inlineStr">
        <is>
          <t>NAO_COMPUTADO</t>
        </is>
      </c>
      <c r="AC744" s="112" t="inlineStr">
        <is>
          <t>Estrutura Fase 1: sem impacto no VTA oficial</t>
        </is>
      </c>
    </row>
    <row r="745" ht="25.5" customHeight="1" s="289">
      <c r="A745" s="205" t="n"/>
      <c r="B745" s="207" t="n"/>
      <c r="C745" s="104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348" t="n"/>
      <c r="E745" s="349">
        <f>IF(C745="","",IFERROR(VLOOKUP(C745,parametros!$A$11:$E$15,5,0),""))</f>
        <v/>
      </c>
      <c r="F745" s="335">
        <f>IF(OR(D745="",E745=""),"",ROUND(D745*E745,2))</f>
        <v/>
      </c>
      <c r="G745" s="106" t="n"/>
      <c r="H745" s="350">
        <f>IF(G745="Sim",IF(OR(F745="",D745="",L745=""),"",IF(L745="Sim",ROUND(F745-D745,2),0)),0)</f>
        <v/>
      </c>
      <c r="I745" s="350">
        <f>IF(G745="Sim",0,IF(OR(F745="",L745=""),"",F745))</f>
        <v/>
      </c>
      <c r="J745" s="350">
        <f>IF(G745="Sim",0,IF(OR(F745="",D745="",L745=""),"",IF(L745="Sim",ROUND(F745-D745,2),0)))</f>
        <v/>
      </c>
      <c r="K745" s="97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inlineStr">
        <is>
          <t>Nao</t>
        </is>
      </c>
      <c r="W745" s="110" t="inlineStr">
        <is>
          <t>PC em analise</t>
        </is>
      </c>
      <c r="X745" s="110" t="inlineStr">
        <is>
          <t>Pedido de Compra</t>
        </is>
      </c>
      <c r="Y745" s="111" t="inlineStr">
        <is>
          <t>Impacto Potencial</t>
        </is>
      </c>
      <c r="Z745" s="111" t="inlineStr">
        <is>
          <t>PC</t>
        </is>
      </c>
      <c r="AA745" s="111" t="inlineStr">
        <is>
          <t>Nao</t>
        </is>
      </c>
      <c r="AB745" s="111" t="inlineStr">
        <is>
          <t>NAO_COMPUTADO</t>
        </is>
      </c>
      <c r="AC745" s="112" t="inlineStr">
        <is>
          <t>Estrutura Fase 1: sem impacto no VTA oficial</t>
        </is>
      </c>
    </row>
    <row r="746" ht="25.5" customHeight="1" s="289">
      <c r="A746" s="205" t="n"/>
      <c r="B746" s="207" t="n"/>
      <c r="C746" s="104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348" t="n"/>
      <c r="E746" s="349">
        <f>IF(C746="","",IFERROR(VLOOKUP(C746,parametros!$A$11:$E$15,5,0),""))</f>
        <v/>
      </c>
      <c r="F746" s="335">
        <f>IF(OR(D746="",E746=""),"",ROUND(D746*E746,2))</f>
        <v/>
      </c>
      <c r="G746" s="106" t="n"/>
      <c r="H746" s="350">
        <f>IF(G746="Sim",IF(OR(F746="",D746="",L746=""),"",IF(L746="Sim",ROUND(F746-D746,2),0)),0)</f>
        <v/>
      </c>
      <c r="I746" s="350">
        <f>IF(G746="Sim",0,IF(OR(F746="",L746=""),"",F746))</f>
        <v/>
      </c>
      <c r="J746" s="350">
        <f>IF(G746="Sim",0,IF(OR(F746="",D746="",L746=""),"",IF(L746="Sim",ROUND(F746-D746,2),0)))</f>
        <v/>
      </c>
      <c r="K746" s="97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inlineStr">
        <is>
          <t>Nao</t>
        </is>
      </c>
      <c r="W746" s="110" t="inlineStr">
        <is>
          <t>PC em analise</t>
        </is>
      </c>
      <c r="X746" s="110" t="inlineStr">
        <is>
          <t>Pedido de Compra</t>
        </is>
      </c>
      <c r="Y746" s="111" t="inlineStr">
        <is>
          <t>Impacto Potencial</t>
        </is>
      </c>
      <c r="Z746" s="111" t="inlineStr">
        <is>
          <t>PC</t>
        </is>
      </c>
      <c r="AA746" s="111" t="inlineStr">
        <is>
          <t>Nao</t>
        </is>
      </c>
      <c r="AB746" s="111" t="inlineStr">
        <is>
          <t>NAO_COMPUTADO</t>
        </is>
      </c>
      <c r="AC746" s="112" t="inlineStr">
        <is>
          <t>Estrutura Fase 1: sem impacto no VTA oficial</t>
        </is>
      </c>
    </row>
    <row r="747" ht="25.5" customHeight="1" s="289">
      <c r="A747" s="205" t="n"/>
      <c r="B747" s="207" t="n"/>
      <c r="C747" s="104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348" t="n"/>
      <c r="E747" s="349">
        <f>IF(C747="","",IFERROR(VLOOKUP(C747,parametros!$A$11:$E$15,5,0),""))</f>
        <v/>
      </c>
      <c r="F747" s="335">
        <f>IF(OR(D747="",E747=""),"",ROUND(D747*E747,2))</f>
        <v/>
      </c>
      <c r="G747" s="106" t="n"/>
      <c r="H747" s="350">
        <f>IF(G747="Sim",IF(OR(F747="",D747="",L747=""),"",IF(L747="Sim",ROUND(F747-D747,2),0)),0)</f>
        <v/>
      </c>
      <c r="I747" s="350">
        <f>IF(G747="Sim",0,IF(OR(F747="",L747=""),"",F747))</f>
        <v/>
      </c>
      <c r="J747" s="350">
        <f>IF(G747="Sim",0,IF(OR(F747="",D747="",L747=""),"",IF(L747="Sim",ROUND(F747-D747,2),0)))</f>
        <v/>
      </c>
      <c r="K747" s="97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inlineStr">
        <is>
          <t>Nao</t>
        </is>
      </c>
      <c r="W747" s="110" t="inlineStr">
        <is>
          <t>PC em analise</t>
        </is>
      </c>
      <c r="X747" s="110" t="inlineStr">
        <is>
          <t>Pedido de Compra</t>
        </is>
      </c>
      <c r="Y747" s="111" t="inlineStr">
        <is>
          <t>Impacto Potencial</t>
        </is>
      </c>
      <c r="Z747" s="111" t="inlineStr">
        <is>
          <t>PC</t>
        </is>
      </c>
      <c r="AA747" s="111" t="inlineStr">
        <is>
          <t>Nao</t>
        </is>
      </c>
      <c r="AB747" s="111" t="inlineStr">
        <is>
          <t>NAO_COMPUTADO</t>
        </is>
      </c>
      <c r="AC747" s="112" t="inlineStr">
        <is>
          <t>Estrutura Fase 1: sem impacto no VTA oficial</t>
        </is>
      </c>
    </row>
    <row r="748" ht="25.5" customHeight="1" s="289">
      <c r="A748" s="205" t="n"/>
      <c r="B748" s="207" t="n"/>
      <c r="C748" s="104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348" t="n"/>
      <c r="E748" s="349">
        <f>IF(C748="","",IFERROR(VLOOKUP(C748,parametros!$A$11:$E$15,5,0),""))</f>
        <v/>
      </c>
      <c r="F748" s="335">
        <f>IF(OR(D748="",E748=""),"",ROUND(D748*E748,2))</f>
        <v/>
      </c>
      <c r="G748" s="106" t="n"/>
      <c r="H748" s="350">
        <f>IF(G748="Sim",IF(OR(F748="",D748="",L748=""),"",IF(L748="Sim",ROUND(F748-D748,2),0)),0)</f>
        <v/>
      </c>
      <c r="I748" s="350">
        <f>IF(G748="Sim",0,IF(OR(F748="",L748=""),"",F748))</f>
        <v/>
      </c>
      <c r="J748" s="350">
        <f>IF(G748="Sim",0,IF(OR(F748="",D748="",L748=""),"",IF(L748="Sim",ROUND(F748-D748,2),0)))</f>
        <v/>
      </c>
      <c r="K748" s="97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inlineStr">
        <is>
          <t>Nao</t>
        </is>
      </c>
      <c r="W748" s="110" t="inlineStr">
        <is>
          <t>PC em analise</t>
        </is>
      </c>
      <c r="X748" s="110" t="inlineStr">
        <is>
          <t>Pedido de Compra</t>
        </is>
      </c>
      <c r="Y748" s="111" t="inlineStr">
        <is>
          <t>Impacto Potencial</t>
        </is>
      </c>
      <c r="Z748" s="111" t="inlineStr">
        <is>
          <t>PC</t>
        </is>
      </c>
      <c r="AA748" s="111" t="inlineStr">
        <is>
          <t>Nao</t>
        </is>
      </c>
      <c r="AB748" s="111" t="inlineStr">
        <is>
          <t>NAO_COMPUTADO</t>
        </is>
      </c>
      <c r="AC748" s="112" t="inlineStr">
        <is>
          <t>Estrutura Fase 1: sem impacto no VTA oficial</t>
        </is>
      </c>
    </row>
    <row r="749" ht="25.5" customHeight="1" s="289">
      <c r="A749" s="205" t="n"/>
      <c r="B749" s="207" t="n"/>
      <c r="C749" s="104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348" t="n"/>
      <c r="E749" s="349">
        <f>IF(C749="","",IFERROR(VLOOKUP(C749,parametros!$A$11:$E$15,5,0),""))</f>
        <v/>
      </c>
      <c r="F749" s="335">
        <f>IF(OR(D749="",E749=""),"",ROUND(D749*E749,2))</f>
        <v/>
      </c>
      <c r="G749" s="106" t="n"/>
      <c r="H749" s="350">
        <f>IF(G749="Sim",IF(OR(F749="",D749="",L749=""),"",IF(L749="Sim",ROUND(F749-D749,2),0)),0)</f>
        <v/>
      </c>
      <c r="I749" s="350">
        <f>IF(G749="Sim",0,IF(OR(F749="",L749=""),"",F749))</f>
        <v/>
      </c>
      <c r="J749" s="350">
        <f>IF(G749="Sim",0,IF(OR(F749="",D749="",L749=""),"",IF(L749="Sim",ROUND(F749-D749,2),0)))</f>
        <v/>
      </c>
      <c r="K749" s="97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inlineStr">
        <is>
          <t>Nao</t>
        </is>
      </c>
      <c r="W749" s="110" t="inlineStr">
        <is>
          <t>PC em analise</t>
        </is>
      </c>
      <c r="X749" s="110" t="inlineStr">
        <is>
          <t>Pedido de Compra</t>
        </is>
      </c>
      <c r="Y749" s="111" t="inlineStr">
        <is>
          <t>Impacto Potencial</t>
        </is>
      </c>
      <c r="Z749" s="111" t="inlineStr">
        <is>
          <t>PC</t>
        </is>
      </c>
      <c r="AA749" s="111" t="inlineStr">
        <is>
          <t>Nao</t>
        </is>
      </c>
      <c r="AB749" s="111" t="inlineStr">
        <is>
          <t>NAO_COMPUTADO</t>
        </is>
      </c>
      <c r="AC749" s="112" t="inlineStr">
        <is>
          <t>Estrutura Fase 1: sem impacto no VTA oficial</t>
        </is>
      </c>
    </row>
    <row r="750" ht="25.5" customHeight="1" s="289">
      <c r="A750" s="205" t="n"/>
      <c r="B750" s="207" t="n"/>
      <c r="C750" s="104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348" t="n"/>
      <c r="E750" s="349">
        <f>IF(C750="","",IFERROR(VLOOKUP(C750,parametros!$A$11:$E$15,5,0),""))</f>
        <v/>
      </c>
      <c r="F750" s="335">
        <f>IF(OR(D750="",E750=""),"",ROUND(D750*E750,2))</f>
        <v/>
      </c>
      <c r="G750" s="106" t="n"/>
      <c r="H750" s="350">
        <f>IF(G750="Sim",IF(OR(F750="",D750="",L750=""),"",IF(L750="Sim",ROUND(F750-D750,2),0)),0)</f>
        <v/>
      </c>
      <c r="I750" s="350">
        <f>IF(G750="Sim",0,IF(OR(F750="",L750=""),"",F750))</f>
        <v/>
      </c>
      <c r="J750" s="350">
        <f>IF(G750="Sim",0,IF(OR(F750="",D750="",L750=""),"",IF(L750="Sim",ROUND(F750-D750,2),0)))</f>
        <v/>
      </c>
      <c r="K750" s="97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inlineStr">
        <is>
          <t>Nao</t>
        </is>
      </c>
      <c r="W750" s="110" t="inlineStr">
        <is>
          <t>PC em analise</t>
        </is>
      </c>
      <c r="X750" s="110" t="inlineStr">
        <is>
          <t>Pedido de Compra</t>
        </is>
      </c>
      <c r="Y750" s="111" t="inlineStr">
        <is>
          <t>Impacto Potencial</t>
        </is>
      </c>
      <c r="Z750" s="111" t="inlineStr">
        <is>
          <t>PC</t>
        </is>
      </c>
      <c r="AA750" s="111" t="inlineStr">
        <is>
          <t>Nao</t>
        </is>
      </c>
      <c r="AB750" s="111" t="inlineStr">
        <is>
          <t>NAO_COMPUTADO</t>
        </is>
      </c>
      <c r="AC750" s="112" t="inlineStr">
        <is>
          <t>Estrutura Fase 1: sem impacto no VTA oficial</t>
        </is>
      </c>
    </row>
    <row r="751" ht="25.5" customHeight="1" s="289">
      <c r="A751" s="205" t="n"/>
      <c r="B751" s="207" t="n"/>
      <c r="C751" s="104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348" t="n"/>
      <c r="E751" s="349">
        <f>IF(C751="","",IFERROR(VLOOKUP(C751,parametros!$A$11:$E$15,5,0),""))</f>
        <v/>
      </c>
      <c r="F751" s="335">
        <f>IF(OR(D751="",E751=""),"",ROUND(D751*E751,2))</f>
        <v/>
      </c>
      <c r="G751" s="106" t="n"/>
      <c r="H751" s="350">
        <f>IF(G751="Sim",IF(OR(F751="",D751="",L751=""),"",IF(L751="Sim",ROUND(F751-D751,2),0)),0)</f>
        <v/>
      </c>
      <c r="I751" s="350">
        <f>IF(G751="Sim",0,IF(OR(F751="",L751=""),"",F751))</f>
        <v/>
      </c>
      <c r="J751" s="350">
        <f>IF(G751="Sim",0,IF(OR(F751="",D751="",L751=""),"",IF(L751="Sim",ROUND(F751-D751,2),0)))</f>
        <v/>
      </c>
      <c r="K751" s="97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inlineStr">
        <is>
          <t>Nao</t>
        </is>
      </c>
      <c r="W751" s="110" t="inlineStr">
        <is>
          <t>PC em analise</t>
        </is>
      </c>
      <c r="X751" s="110" t="inlineStr">
        <is>
          <t>Pedido de Compra</t>
        </is>
      </c>
      <c r="Y751" s="111" t="inlineStr">
        <is>
          <t>Impacto Potencial</t>
        </is>
      </c>
      <c r="Z751" s="111" t="inlineStr">
        <is>
          <t>PC</t>
        </is>
      </c>
      <c r="AA751" s="111" t="inlineStr">
        <is>
          <t>Nao</t>
        </is>
      </c>
      <c r="AB751" s="111" t="inlineStr">
        <is>
          <t>NAO_COMPUTADO</t>
        </is>
      </c>
      <c r="AC751" s="112" t="inlineStr">
        <is>
          <t>Estrutura Fase 1: sem impacto no VTA oficial</t>
        </is>
      </c>
    </row>
    <row r="752" ht="25.5" customHeight="1" s="289">
      <c r="A752" s="205" t="n"/>
      <c r="B752" s="207" t="n"/>
      <c r="C752" s="104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348" t="n"/>
      <c r="E752" s="349">
        <f>IF(C752="","",IFERROR(VLOOKUP(C752,parametros!$A$11:$E$15,5,0),""))</f>
        <v/>
      </c>
      <c r="F752" s="335">
        <f>IF(OR(D752="",E752=""),"",ROUND(D752*E752,2))</f>
        <v/>
      </c>
      <c r="G752" s="106" t="n"/>
      <c r="H752" s="350">
        <f>IF(G752="Sim",IF(OR(F752="",D752="",L752=""),"",IF(L752="Sim",ROUND(F752-D752,2),0)),0)</f>
        <v/>
      </c>
      <c r="I752" s="350">
        <f>IF(G752="Sim",0,IF(OR(F752="",L752=""),"",F752))</f>
        <v/>
      </c>
      <c r="J752" s="350">
        <f>IF(G752="Sim",0,IF(OR(F752="",D752="",L752=""),"",IF(L752="Sim",ROUND(F752-D752,2),0)))</f>
        <v/>
      </c>
      <c r="K752" s="97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inlineStr">
        <is>
          <t>Nao</t>
        </is>
      </c>
      <c r="W752" s="110" t="inlineStr">
        <is>
          <t>PC em analise</t>
        </is>
      </c>
      <c r="X752" s="110" t="inlineStr">
        <is>
          <t>Pedido de Compra</t>
        </is>
      </c>
      <c r="Y752" s="111" t="inlineStr">
        <is>
          <t>Impacto Potencial</t>
        </is>
      </c>
      <c r="Z752" s="111" t="inlineStr">
        <is>
          <t>PC</t>
        </is>
      </c>
      <c r="AA752" s="111" t="inlineStr">
        <is>
          <t>Nao</t>
        </is>
      </c>
      <c r="AB752" s="111" t="inlineStr">
        <is>
          <t>NAO_COMPUTADO</t>
        </is>
      </c>
      <c r="AC752" s="112" t="inlineStr">
        <is>
          <t>Estrutura Fase 1: sem impacto no VTA oficial</t>
        </is>
      </c>
    </row>
    <row r="753" ht="25.5" customHeight="1" s="289">
      <c r="A753" s="205" t="n"/>
      <c r="B753" s="207" t="n"/>
      <c r="C753" s="104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348" t="n"/>
      <c r="E753" s="349">
        <f>IF(C753="","",IFERROR(VLOOKUP(C753,parametros!$A$11:$E$15,5,0),""))</f>
        <v/>
      </c>
      <c r="F753" s="335">
        <f>IF(OR(D753="",E753=""),"",ROUND(D753*E753,2))</f>
        <v/>
      </c>
      <c r="G753" s="106" t="n"/>
      <c r="H753" s="350">
        <f>IF(G753="Sim",IF(OR(F753="",D753="",L753=""),"",IF(L753="Sim",ROUND(F753-D753,2),0)),0)</f>
        <v/>
      </c>
      <c r="I753" s="350">
        <f>IF(G753="Sim",0,IF(OR(F753="",L753=""),"",F753))</f>
        <v/>
      </c>
      <c r="J753" s="350">
        <f>IF(G753="Sim",0,IF(OR(F753="",D753="",L753=""),"",IF(L753="Sim",ROUND(F753-D753,2),0)))</f>
        <v/>
      </c>
      <c r="K753" s="97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inlineStr">
        <is>
          <t>Nao</t>
        </is>
      </c>
      <c r="W753" s="110" t="inlineStr">
        <is>
          <t>PC em analise</t>
        </is>
      </c>
      <c r="X753" s="110" t="inlineStr">
        <is>
          <t>Pedido de Compra</t>
        </is>
      </c>
      <c r="Y753" s="111" t="inlineStr">
        <is>
          <t>Impacto Potencial</t>
        </is>
      </c>
      <c r="Z753" s="111" t="inlineStr">
        <is>
          <t>PC</t>
        </is>
      </c>
      <c r="AA753" s="111" t="inlineStr">
        <is>
          <t>Nao</t>
        </is>
      </c>
      <c r="AB753" s="111" t="inlineStr">
        <is>
          <t>NAO_COMPUTADO</t>
        </is>
      </c>
      <c r="AC753" s="112" t="inlineStr">
        <is>
          <t>Estrutura Fase 1: sem impacto no VTA oficial</t>
        </is>
      </c>
    </row>
    <row r="754" ht="25.5" customHeight="1" s="289">
      <c r="A754" s="205" t="n"/>
      <c r="B754" s="207" t="n"/>
      <c r="C754" s="104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348" t="n"/>
      <c r="E754" s="349">
        <f>IF(C754="","",IFERROR(VLOOKUP(C754,parametros!$A$11:$E$15,5,0),""))</f>
        <v/>
      </c>
      <c r="F754" s="335">
        <f>IF(OR(D754="",E754=""),"",ROUND(D754*E754,2))</f>
        <v/>
      </c>
      <c r="G754" s="106" t="n"/>
      <c r="H754" s="350">
        <f>IF(G754="Sim",IF(OR(F754="",D754="",L754=""),"",IF(L754="Sim",ROUND(F754-D754,2),0)),0)</f>
        <v/>
      </c>
      <c r="I754" s="350">
        <f>IF(G754="Sim",0,IF(OR(F754="",L754=""),"",F754))</f>
        <v/>
      </c>
      <c r="J754" s="350">
        <f>IF(G754="Sim",0,IF(OR(F754="",D754="",L754=""),"",IF(L754="Sim",ROUND(F754-D754,2),0)))</f>
        <v/>
      </c>
      <c r="K754" s="97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inlineStr">
        <is>
          <t>Nao</t>
        </is>
      </c>
      <c r="W754" s="110" t="inlineStr">
        <is>
          <t>PC em analise</t>
        </is>
      </c>
      <c r="X754" s="110" t="inlineStr">
        <is>
          <t>Pedido de Compra</t>
        </is>
      </c>
      <c r="Y754" s="111" t="inlineStr">
        <is>
          <t>Impacto Potencial</t>
        </is>
      </c>
      <c r="Z754" s="111" t="inlineStr">
        <is>
          <t>PC</t>
        </is>
      </c>
      <c r="AA754" s="111" t="inlineStr">
        <is>
          <t>Nao</t>
        </is>
      </c>
      <c r="AB754" s="111" t="inlineStr">
        <is>
          <t>NAO_COMPUTADO</t>
        </is>
      </c>
      <c r="AC754" s="112" t="inlineStr">
        <is>
          <t>Estrutura Fase 1: sem impacto no VTA oficial</t>
        </is>
      </c>
    </row>
    <row r="755" ht="25.5" customHeight="1" s="289">
      <c r="A755" s="205" t="n"/>
      <c r="B755" s="207" t="n"/>
      <c r="C755" s="104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348" t="n"/>
      <c r="E755" s="349">
        <f>IF(C755="","",IFERROR(VLOOKUP(C755,parametros!$A$11:$E$15,5,0),""))</f>
        <v/>
      </c>
      <c r="F755" s="335">
        <f>IF(OR(D755="",E755=""),"",ROUND(D755*E755,2))</f>
        <v/>
      </c>
      <c r="G755" s="106" t="n"/>
      <c r="H755" s="350">
        <f>IF(G755="Sim",IF(OR(F755="",D755="",L755=""),"",IF(L755="Sim",ROUND(F755-D755,2),0)),0)</f>
        <v/>
      </c>
      <c r="I755" s="350">
        <f>IF(G755="Sim",0,IF(OR(F755="",L755=""),"",F755))</f>
        <v/>
      </c>
      <c r="J755" s="350">
        <f>IF(G755="Sim",0,IF(OR(F755="",D755="",L755=""),"",IF(L755="Sim",ROUND(F755-D755,2),0)))</f>
        <v/>
      </c>
      <c r="K755" s="97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inlineStr">
        <is>
          <t>Nao</t>
        </is>
      </c>
      <c r="W755" s="110" t="inlineStr">
        <is>
          <t>PC em analise</t>
        </is>
      </c>
      <c r="X755" s="110" t="inlineStr">
        <is>
          <t>Pedido de Compra</t>
        </is>
      </c>
      <c r="Y755" s="111" t="inlineStr">
        <is>
          <t>Impacto Potencial</t>
        </is>
      </c>
      <c r="Z755" s="111" t="inlineStr">
        <is>
          <t>PC</t>
        </is>
      </c>
      <c r="AA755" s="111" t="inlineStr">
        <is>
          <t>Nao</t>
        </is>
      </c>
      <c r="AB755" s="111" t="inlineStr">
        <is>
          <t>NAO_COMPUTADO</t>
        </is>
      </c>
      <c r="AC755" s="112" t="inlineStr">
        <is>
          <t>Estrutura Fase 1: sem impacto no VTA oficial</t>
        </is>
      </c>
    </row>
    <row r="756" ht="25.5" customHeight="1" s="289">
      <c r="A756" s="205" t="n"/>
      <c r="B756" s="207" t="n"/>
      <c r="C756" s="104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348" t="n"/>
      <c r="E756" s="349">
        <f>IF(C756="","",IFERROR(VLOOKUP(C756,parametros!$A$11:$E$15,5,0),""))</f>
        <v/>
      </c>
      <c r="F756" s="335">
        <f>IF(OR(D756="",E756=""),"",ROUND(D756*E756,2))</f>
        <v/>
      </c>
      <c r="G756" s="106" t="n"/>
      <c r="H756" s="350">
        <f>IF(G756="Sim",IF(OR(F756="",D756="",L756=""),"",IF(L756="Sim",ROUND(F756-D756,2),0)),0)</f>
        <v/>
      </c>
      <c r="I756" s="350">
        <f>IF(G756="Sim",0,IF(OR(F756="",L756=""),"",F756))</f>
        <v/>
      </c>
      <c r="J756" s="350">
        <f>IF(G756="Sim",0,IF(OR(F756="",D756="",L756=""),"",IF(L756="Sim",ROUND(F756-D756,2),0)))</f>
        <v/>
      </c>
      <c r="K756" s="97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inlineStr">
        <is>
          <t>Nao</t>
        </is>
      </c>
      <c r="W756" s="110" t="inlineStr">
        <is>
          <t>PC em analise</t>
        </is>
      </c>
      <c r="X756" s="110" t="inlineStr">
        <is>
          <t>Pedido de Compra</t>
        </is>
      </c>
      <c r="Y756" s="111" t="inlineStr">
        <is>
          <t>Impacto Potencial</t>
        </is>
      </c>
      <c r="Z756" s="111" t="inlineStr">
        <is>
          <t>PC</t>
        </is>
      </c>
      <c r="AA756" s="111" t="inlineStr">
        <is>
          <t>Nao</t>
        </is>
      </c>
      <c r="AB756" s="111" t="inlineStr">
        <is>
          <t>NAO_COMPUTADO</t>
        </is>
      </c>
      <c r="AC756" s="112" t="inlineStr">
        <is>
          <t>Estrutura Fase 1: sem impacto no VTA oficial</t>
        </is>
      </c>
    </row>
    <row r="757" ht="25.5" customHeight="1" s="289">
      <c r="A757" s="205" t="n"/>
      <c r="B757" s="207" t="n"/>
      <c r="C757" s="104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348" t="n"/>
      <c r="E757" s="349">
        <f>IF(C757="","",IFERROR(VLOOKUP(C757,parametros!$A$11:$E$15,5,0),""))</f>
        <v/>
      </c>
      <c r="F757" s="335">
        <f>IF(OR(D757="",E757=""),"",ROUND(D757*E757,2))</f>
        <v/>
      </c>
      <c r="G757" s="106" t="n"/>
      <c r="H757" s="350">
        <f>IF(G757="Sim",IF(OR(F757="",D757="",L757=""),"",IF(L757="Sim",ROUND(F757-D757,2),0)),0)</f>
        <v/>
      </c>
      <c r="I757" s="350">
        <f>IF(G757="Sim",0,IF(OR(F757="",L757=""),"",F757))</f>
        <v/>
      </c>
      <c r="J757" s="350">
        <f>IF(G757="Sim",0,IF(OR(F757="",D757="",L757=""),"",IF(L757="Sim",ROUND(F757-D757,2),0)))</f>
        <v/>
      </c>
      <c r="K757" s="97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inlineStr">
        <is>
          <t>Nao</t>
        </is>
      </c>
      <c r="W757" s="110" t="inlineStr">
        <is>
          <t>PC em analise</t>
        </is>
      </c>
      <c r="X757" s="110" t="inlineStr">
        <is>
          <t>Pedido de Compra</t>
        </is>
      </c>
      <c r="Y757" s="111" t="inlineStr">
        <is>
          <t>Impacto Potencial</t>
        </is>
      </c>
      <c r="Z757" s="111" t="inlineStr">
        <is>
          <t>PC</t>
        </is>
      </c>
      <c r="AA757" s="111" t="inlineStr">
        <is>
          <t>Nao</t>
        </is>
      </c>
      <c r="AB757" s="111" t="inlineStr">
        <is>
          <t>NAO_COMPUTADO</t>
        </is>
      </c>
      <c r="AC757" s="112" t="inlineStr">
        <is>
          <t>Estrutura Fase 1: sem impacto no VTA oficial</t>
        </is>
      </c>
    </row>
    <row r="758" ht="25.5" customHeight="1" s="289">
      <c r="A758" s="205" t="n"/>
      <c r="B758" s="207" t="n"/>
      <c r="C758" s="104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348" t="n"/>
      <c r="E758" s="349">
        <f>IF(C758="","",IFERROR(VLOOKUP(C758,parametros!$A$11:$E$15,5,0),""))</f>
        <v/>
      </c>
      <c r="F758" s="335">
        <f>IF(OR(D758="",E758=""),"",ROUND(D758*E758,2))</f>
        <v/>
      </c>
      <c r="G758" s="106" t="n"/>
      <c r="H758" s="350">
        <f>IF(G758="Sim",IF(OR(F758="",D758="",L758=""),"",IF(L758="Sim",ROUND(F758-D758,2),0)),0)</f>
        <v/>
      </c>
      <c r="I758" s="350">
        <f>IF(G758="Sim",0,IF(OR(F758="",L758=""),"",F758))</f>
        <v/>
      </c>
      <c r="J758" s="350">
        <f>IF(G758="Sim",0,IF(OR(F758="",D758="",L758=""),"",IF(L758="Sim",ROUND(F758-D758,2),0)))</f>
        <v/>
      </c>
      <c r="K758" s="97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inlineStr">
        <is>
          <t>Nao</t>
        </is>
      </c>
      <c r="W758" s="110" t="inlineStr">
        <is>
          <t>PC em analise</t>
        </is>
      </c>
      <c r="X758" s="110" t="inlineStr">
        <is>
          <t>Pedido de Compra</t>
        </is>
      </c>
      <c r="Y758" s="111" t="inlineStr">
        <is>
          <t>Impacto Potencial</t>
        </is>
      </c>
      <c r="Z758" s="111" t="inlineStr">
        <is>
          <t>PC</t>
        </is>
      </c>
      <c r="AA758" s="111" t="inlineStr">
        <is>
          <t>Nao</t>
        </is>
      </c>
      <c r="AB758" s="111" t="inlineStr">
        <is>
          <t>NAO_COMPUTADO</t>
        </is>
      </c>
      <c r="AC758" s="112" t="inlineStr">
        <is>
          <t>Estrutura Fase 1: sem impacto no VTA oficial</t>
        </is>
      </c>
    </row>
    <row r="759" ht="25.5" customHeight="1" s="289">
      <c r="A759" s="205" t="n"/>
      <c r="B759" s="207" t="n"/>
      <c r="C759" s="104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348" t="n"/>
      <c r="E759" s="349">
        <f>IF(C759="","",IFERROR(VLOOKUP(C759,parametros!$A$11:$E$15,5,0),""))</f>
        <v/>
      </c>
      <c r="F759" s="335">
        <f>IF(OR(D759="",E759=""),"",ROUND(D759*E759,2))</f>
        <v/>
      </c>
      <c r="G759" s="106" t="n"/>
      <c r="H759" s="350">
        <f>IF(G759="Sim",IF(OR(F759="",D759="",L759=""),"",IF(L759="Sim",ROUND(F759-D759,2),0)),0)</f>
        <v/>
      </c>
      <c r="I759" s="350">
        <f>IF(G759="Sim",0,IF(OR(F759="",L759=""),"",F759))</f>
        <v/>
      </c>
      <c r="J759" s="350">
        <f>IF(G759="Sim",0,IF(OR(F759="",D759="",L759=""),"",IF(L759="Sim",ROUND(F759-D759,2),0)))</f>
        <v/>
      </c>
      <c r="K759" s="97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inlineStr">
        <is>
          <t>Nao</t>
        </is>
      </c>
      <c r="W759" s="110" t="inlineStr">
        <is>
          <t>PC em analise</t>
        </is>
      </c>
      <c r="X759" s="110" t="inlineStr">
        <is>
          <t>Pedido de Compra</t>
        </is>
      </c>
      <c r="Y759" s="111" t="inlineStr">
        <is>
          <t>Impacto Potencial</t>
        </is>
      </c>
      <c r="Z759" s="111" t="inlineStr">
        <is>
          <t>PC</t>
        </is>
      </c>
      <c r="AA759" s="111" t="inlineStr">
        <is>
          <t>Nao</t>
        </is>
      </c>
      <c r="AB759" s="111" t="inlineStr">
        <is>
          <t>NAO_COMPUTADO</t>
        </is>
      </c>
      <c r="AC759" s="112" t="inlineStr">
        <is>
          <t>Estrutura Fase 1: sem impacto no VTA oficial</t>
        </is>
      </c>
    </row>
    <row r="760" ht="25.5" customHeight="1" s="289">
      <c r="A760" s="205" t="n"/>
      <c r="B760" s="207" t="n"/>
      <c r="C760" s="104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348" t="n"/>
      <c r="E760" s="349">
        <f>IF(C760="","",IFERROR(VLOOKUP(C760,parametros!$A$11:$E$15,5,0),""))</f>
        <v/>
      </c>
      <c r="F760" s="335">
        <f>IF(OR(D760="",E760=""),"",ROUND(D760*E760,2))</f>
        <v/>
      </c>
      <c r="G760" s="106" t="n"/>
      <c r="H760" s="350">
        <f>IF(G760="Sim",IF(OR(F760="",D760="",L760=""),"",IF(L760="Sim",ROUND(F760-D760,2),0)),0)</f>
        <v/>
      </c>
      <c r="I760" s="350">
        <f>IF(G760="Sim",0,IF(OR(F760="",L760=""),"",F760))</f>
        <v/>
      </c>
      <c r="J760" s="350">
        <f>IF(G760="Sim",0,IF(OR(F760="",D760="",L760=""),"",IF(L760="Sim",ROUND(F760-D760,2),0)))</f>
        <v/>
      </c>
      <c r="K760" s="97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inlineStr">
        <is>
          <t>Nao</t>
        </is>
      </c>
      <c r="W760" s="110" t="inlineStr">
        <is>
          <t>PC em analise</t>
        </is>
      </c>
      <c r="X760" s="110" t="inlineStr">
        <is>
          <t>Pedido de Compra</t>
        </is>
      </c>
      <c r="Y760" s="111" t="inlineStr">
        <is>
          <t>Impacto Potencial</t>
        </is>
      </c>
      <c r="Z760" s="111" t="inlineStr">
        <is>
          <t>PC</t>
        </is>
      </c>
      <c r="AA760" s="111" t="inlineStr">
        <is>
          <t>Nao</t>
        </is>
      </c>
      <c r="AB760" s="111" t="inlineStr">
        <is>
          <t>NAO_COMPUTADO</t>
        </is>
      </c>
      <c r="AC760" s="112" t="inlineStr">
        <is>
          <t>Estrutura Fase 1: sem impacto no VTA oficial</t>
        </is>
      </c>
    </row>
    <row r="761" ht="25.5" customHeight="1" s="289">
      <c r="A761" s="205" t="n"/>
      <c r="B761" s="207" t="n"/>
      <c r="C761" s="104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348" t="n"/>
      <c r="E761" s="349">
        <f>IF(C761="","",IFERROR(VLOOKUP(C761,parametros!$A$11:$E$15,5,0),""))</f>
        <v/>
      </c>
      <c r="F761" s="335">
        <f>IF(OR(D761="",E761=""),"",ROUND(D761*E761,2))</f>
        <v/>
      </c>
      <c r="G761" s="106" t="n"/>
      <c r="H761" s="350">
        <f>IF(G761="Sim",IF(OR(F761="",D761="",L761=""),"",IF(L761="Sim",ROUND(F761-D761,2),0)),0)</f>
        <v/>
      </c>
      <c r="I761" s="350">
        <f>IF(G761="Sim",0,IF(OR(F761="",L761=""),"",F761))</f>
        <v/>
      </c>
      <c r="J761" s="350">
        <f>IF(G761="Sim",0,IF(OR(F761="",D761="",L761=""),"",IF(L761="Sim",ROUND(F761-D761,2),0)))</f>
        <v/>
      </c>
      <c r="K761" s="97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inlineStr">
        <is>
          <t>Nao</t>
        </is>
      </c>
      <c r="W761" s="110" t="inlineStr">
        <is>
          <t>PC em analise</t>
        </is>
      </c>
      <c r="X761" s="110" t="inlineStr">
        <is>
          <t>Pedido de Compra</t>
        </is>
      </c>
      <c r="Y761" s="111" t="inlineStr">
        <is>
          <t>Impacto Potencial</t>
        </is>
      </c>
      <c r="Z761" s="111" t="inlineStr">
        <is>
          <t>PC</t>
        </is>
      </c>
      <c r="AA761" s="111" t="inlineStr">
        <is>
          <t>Nao</t>
        </is>
      </c>
      <c r="AB761" s="111" t="inlineStr">
        <is>
          <t>NAO_COMPUTADO</t>
        </is>
      </c>
      <c r="AC761" s="112" t="inlineStr">
        <is>
          <t>Estrutura Fase 1: sem impacto no VTA oficial</t>
        </is>
      </c>
    </row>
    <row r="762" ht="25.5" customHeight="1" s="289">
      <c r="A762" s="205" t="n"/>
      <c r="B762" s="207" t="n"/>
      <c r="C762" s="104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348" t="n"/>
      <c r="E762" s="349">
        <f>IF(C762="","",IFERROR(VLOOKUP(C762,parametros!$A$11:$E$15,5,0),""))</f>
        <v/>
      </c>
      <c r="F762" s="335">
        <f>IF(OR(D762="",E762=""),"",ROUND(D762*E762,2))</f>
        <v/>
      </c>
      <c r="G762" s="106" t="n"/>
      <c r="H762" s="350">
        <f>IF(G762="Sim",IF(OR(F762="",D762="",L762=""),"",IF(L762="Sim",ROUND(F762-D762,2),0)),0)</f>
        <v/>
      </c>
      <c r="I762" s="350">
        <f>IF(G762="Sim",0,IF(OR(F762="",L762=""),"",F762))</f>
        <v/>
      </c>
      <c r="J762" s="350">
        <f>IF(G762="Sim",0,IF(OR(F762="",D762="",L762=""),"",IF(L762="Sim",ROUND(F762-D762,2),0)))</f>
        <v/>
      </c>
      <c r="K762" s="97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inlineStr">
        <is>
          <t>Nao</t>
        </is>
      </c>
      <c r="W762" s="110" t="inlineStr">
        <is>
          <t>PC em analise</t>
        </is>
      </c>
      <c r="X762" s="110" t="inlineStr">
        <is>
          <t>Pedido de Compra</t>
        </is>
      </c>
      <c r="Y762" s="111" t="inlineStr">
        <is>
          <t>Impacto Potencial</t>
        </is>
      </c>
      <c r="Z762" s="111" t="inlineStr">
        <is>
          <t>PC</t>
        </is>
      </c>
      <c r="AA762" s="111" t="inlineStr">
        <is>
          <t>Nao</t>
        </is>
      </c>
      <c r="AB762" s="111" t="inlineStr">
        <is>
          <t>NAO_COMPUTADO</t>
        </is>
      </c>
      <c r="AC762" s="112" t="inlineStr">
        <is>
          <t>Estrutura Fase 1: sem impacto no VTA oficial</t>
        </is>
      </c>
    </row>
    <row r="763" ht="25.5" customHeight="1" s="289">
      <c r="A763" s="205" t="n"/>
      <c r="B763" s="207" t="n"/>
      <c r="C763" s="104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348" t="n"/>
      <c r="E763" s="349">
        <f>IF(C763="","",IFERROR(VLOOKUP(C763,parametros!$A$11:$E$15,5,0),""))</f>
        <v/>
      </c>
      <c r="F763" s="335">
        <f>IF(OR(D763="",E763=""),"",ROUND(D763*E763,2))</f>
        <v/>
      </c>
      <c r="G763" s="106" t="n"/>
      <c r="H763" s="350">
        <f>IF(G763="Sim",IF(OR(F763="",D763="",L763=""),"",IF(L763="Sim",ROUND(F763-D763,2),0)),0)</f>
        <v/>
      </c>
      <c r="I763" s="350">
        <f>IF(G763="Sim",0,IF(OR(F763="",L763=""),"",F763))</f>
        <v/>
      </c>
      <c r="J763" s="350">
        <f>IF(G763="Sim",0,IF(OR(F763="",D763="",L763=""),"",IF(L763="Sim",ROUND(F763-D763,2),0)))</f>
        <v/>
      </c>
      <c r="K763" s="97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inlineStr">
        <is>
          <t>Nao</t>
        </is>
      </c>
      <c r="W763" s="110" t="inlineStr">
        <is>
          <t>PC em analise</t>
        </is>
      </c>
      <c r="X763" s="110" t="inlineStr">
        <is>
          <t>Pedido de Compra</t>
        </is>
      </c>
      <c r="Y763" s="111" t="inlineStr">
        <is>
          <t>Impacto Potencial</t>
        </is>
      </c>
      <c r="Z763" s="111" t="inlineStr">
        <is>
          <t>PC</t>
        </is>
      </c>
      <c r="AA763" s="111" t="inlineStr">
        <is>
          <t>Nao</t>
        </is>
      </c>
      <c r="AB763" s="111" t="inlineStr">
        <is>
          <t>NAO_COMPUTADO</t>
        </is>
      </c>
      <c r="AC763" s="112" t="inlineStr">
        <is>
          <t>Estrutura Fase 1: sem impacto no VTA oficial</t>
        </is>
      </c>
    </row>
    <row r="764" ht="25.5" customHeight="1" s="289">
      <c r="A764" s="205" t="n"/>
      <c r="B764" s="207" t="n"/>
      <c r="C764" s="104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348" t="n"/>
      <c r="E764" s="349">
        <f>IF(C764="","",IFERROR(VLOOKUP(C764,parametros!$A$11:$E$15,5,0),""))</f>
        <v/>
      </c>
      <c r="F764" s="335">
        <f>IF(OR(D764="",E764=""),"",ROUND(D764*E764,2))</f>
        <v/>
      </c>
      <c r="G764" s="106" t="n"/>
      <c r="H764" s="350">
        <f>IF(G764="Sim",IF(OR(F764="",D764="",L764=""),"",IF(L764="Sim",ROUND(F764-D764,2),0)),0)</f>
        <v/>
      </c>
      <c r="I764" s="350">
        <f>IF(G764="Sim",0,IF(OR(F764="",L764=""),"",F764))</f>
        <v/>
      </c>
      <c r="J764" s="350">
        <f>IF(G764="Sim",0,IF(OR(F764="",D764="",L764=""),"",IF(L764="Sim",ROUND(F764-D764,2),0)))</f>
        <v/>
      </c>
      <c r="K764" s="97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inlineStr">
        <is>
          <t>Nao</t>
        </is>
      </c>
      <c r="W764" s="110" t="inlineStr">
        <is>
          <t>PC em analise</t>
        </is>
      </c>
      <c r="X764" s="110" t="inlineStr">
        <is>
          <t>Pedido de Compra</t>
        </is>
      </c>
      <c r="Y764" s="111" t="inlineStr">
        <is>
          <t>Impacto Potencial</t>
        </is>
      </c>
      <c r="Z764" s="111" t="inlineStr">
        <is>
          <t>PC</t>
        </is>
      </c>
      <c r="AA764" s="111" t="inlineStr">
        <is>
          <t>Nao</t>
        </is>
      </c>
      <c r="AB764" s="111" t="inlineStr">
        <is>
          <t>NAO_COMPUTADO</t>
        </is>
      </c>
      <c r="AC764" s="112" t="inlineStr">
        <is>
          <t>Estrutura Fase 1: sem impacto no VTA oficial</t>
        </is>
      </c>
    </row>
    <row r="765" ht="25.5" customHeight="1" s="289">
      <c r="A765" s="205" t="n"/>
      <c r="B765" s="207" t="n"/>
      <c r="C765" s="104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348" t="n"/>
      <c r="E765" s="349">
        <f>IF(C765="","",IFERROR(VLOOKUP(C765,parametros!$A$11:$E$15,5,0),""))</f>
        <v/>
      </c>
      <c r="F765" s="335">
        <f>IF(OR(D765="",E765=""),"",ROUND(D765*E765,2))</f>
        <v/>
      </c>
      <c r="G765" s="106" t="n"/>
      <c r="H765" s="350">
        <f>IF(G765="Sim",IF(OR(F765="",D765="",L765=""),"",IF(L765="Sim",ROUND(F765-D765,2),0)),0)</f>
        <v/>
      </c>
      <c r="I765" s="350">
        <f>IF(G765="Sim",0,IF(OR(F765="",L765=""),"",F765))</f>
        <v/>
      </c>
      <c r="J765" s="350">
        <f>IF(G765="Sim",0,IF(OR(F765="",D765="",L765=""),"",IF(L765="Sim",ROUND(F765-D765,2),0)))</f>
        <v/>
      </c>
      <c r="K765" s="97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inlineStr">
        <is>
          <t>Nao</t>
        </is>
      </c>
      <c r="W765" s="110" t="inlineStr">
        <is>
          <t>PC em analise</t>
        </is>
      </c>
      <c r="X765" s="110" t="inlineStr">
        <is>
          <t>Pedido de Compra</t>
        </is>
      </c>
      <c r="Y765" s="111" t="inlineStr">
        <is>
          <t>Impacto Potencial</t>
        </is>
      </c>
      <c r="Z765" s="111" t="inlineStr">
        <is>
          <t>PC</t>
        </is>
      </c>
      <c r="AA765" s="111" t="inlineStr">
        <is>
          <t>Nao</t>
        </is>
      </c>
      <c r="AB765" s="111" t="inlineStr">
        <is>
          <t>NAO_COMPUTADO</t>
        </is>
      </c>
      <c r="AC765" s="112" t="inlineStr">
        <is>
          <t>Estrutura Fase 1: sem impacto no VTA oficial</t>
        </is>
      </c>
    </row>
    <row r="766" ht="25.5" customHeight="1" s="289">
      <c r="A766" s="205" t="n"/>
      <c r="B766" s="207" t="n"/>
      <c r="C766" s="104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348" t="n"/>
      <c r="E766" s="349">
        <f>IF(C766="","",IFERROR(VLOOKUP(C766,parametros!$A$11:$E$15,5,0),""))</f>
        <v/>
      </c>
      <c r="F766" s="335">
        <f>IF(OR(D766="",E766=""),"",ROUND(D766*E766,2))</f>
        <v/>
      </c>
      <c r="G766" s="106" t="n"/>
      <c r="H766" s="350">
        <f>IF(G766="Sim",IF(OR(F766="",D766="",L766=""),"",IF(L766="Sim",ROUND(F766-D766,2),0)),0)</f>
        <v/>
      </c>
      <c r="I766" s="350">
        <f>IF(G766="Sim",0,IF(OR(F766="",L766=""),"",F766))</f>
        <v/>
      </c>
      <c r="J766" s="350">
        <f>IF(G766="Sim",0,IF(OR(F766="",D766="",L766=""),"",IF(L766="Sim",ROUND(F766-D766,2),0)))</f>
        <v/>
      </c>
      <c r="K766" s="97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inlineStr">
        <is>
          <t>Nao</t>
        </is>
      </c>
      <c r="W766" s="110" t="inlineStr">
        <is>
          <t>PC em analise</t>
        </is>
      </c>
      <c r="X766" s="110" t="inlineStr">
        <is>
          <t>Pedido de Compra</t>
        </is>
      </c>
      <c r="Y766" s="111" t="inlineStr">
        <is>
          <t>Impacto Potencial</t>
        </is>
      </c>
      <c r="Z766" s="111" t="inlineStr">
        <is>
          <t>PC</t>
        </is>
      </c>
      <c r="AA766" s="111" t="inlineStr">
        <is>
          <t>Nao</t>
        </is>
      </c>
      <c r="AB766" s="111" t="inlineStr">
        <is>
          <t>NAO_COMPUTADO</t>
        </is>
      </c>
      <c r="AC766" s="112" t="inlineStr">
        <is>
          <t>Estrutura Fase 1: sem impacto no VTA oficial</t>
        </is>
      </c>
    </row>
    <row r="767" ht="25.5" customHeight="1" s="289">
      <c r="A767" s="205" t="n"/>
      <c r="B767" s="207" t="n"/>
      <c r="C767" s="104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348" t="n"/>
      <c r="E767" s="349">
        <f>IF(C767="","",IFERROR(VLOOKUP(C767,parametros!$A$11:$E$15,5,0),""))</f>
        <v/>
      </c>
      <c r="F767" s="335">
        <f>IF(OR(D767="",E767=""),"",ROUND(D767*E767,2))</f>
        <v/>
      </c>
      <c r="G767" s="106" t="n"/>
      <c r="H767" s="350">
        <f>IF(G767="Sim",IF(OR(F767="",D767="",L767=""),"",IF(L767="Sim",ROUND(F767-D767,2),0)),0)</f>
        <v/>
      </c>
      <c r="I767" s="350">
        <f>IF(G767="Sim",0,IF(OR(F767="",L767=""),"",F767))</f>
        <v/>
      </c>
      <c r="J767" s="350">
        <f>IF(G767="Sim",0,IF(OR(F767="",D767="",L767=""),"",IF(L767="Sim",ROUND(F767-D767,2),0)))</f>
        <v/>
      </c>
      <c r="K767" s="97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inlineStr">
        <is>
          <t>Nao</t>
        </is>
      </c>
      <c r="W767" s="110" t="inlineStr">
        <is>
          <t>PC em analise</t>
        </is>
      </c>
      <c r="X767" s="110" t="inlineStr">
        <is>
          <t>Pedido de Compra</t>
        </is>
      </c>
      <c r="Y767" s="111" t="inlineStr">
        <is>
          <t>Impacto Potencial</t>
        </is>
      </c>
      <c r="Z767" s="111" t="inlineStr">
        <is>
          <t>PC</t>
        </is>
      </c>
      <c r="AA767" s="111" t="inlineStr">
        <is>
          <t>Nao</t>
        </is>
      </c>
      <c r="AB767" s="111" t="inlineStr">
        <is>
          <t>NAO_COMPUTADO</t>
        </is>
      </c>
      <c r="AC767" s="112" t="inlineStr">
        <is>
          <t>Estrutura Fase 1: sem impacto no VTA oficial</t>
        </is>
      </c>
    </row>
    <row r="768" ht="25.5" customHeight="1" s="289">
      <c r="A768" s="205" t="n"/>
      <c r="B768" s="207" t="n"/>
      <c r="C768" s="104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348" t="n"/>
      <c r="E768" s="349">
        <f>IF(C768="","",IFERROR(VLOOKUP(C768,parametros!$A$11:$E$15,5,0),""))</f>
        <v/>
      </c>
      <c r="F768" s="335">
        <f>IF(OR(D768="",E768=""),"",ROUND(D768*E768,2))</f>
        <v/>
      </c>
      <c r="G768" s="106" t="n"/>
      <c r="H768" s="350">
        <f>IF(G768="Sim",IF(OR(F768="",D768="",L768=""),"",IF(L768="Sim",ROUND(F768-D768,2),0)),0)</f>
        <v/>
      </c>
      <c r="I768" s="350">
        <f>IF(G768="Sim",0,IF(OR(F768="",L768=""),"",F768))</f>
        <v/>
      </c>
      <c r="J768" s="350">
        <f>IF(G768="Sim",0,IF(OR(F768="",D768="",L768=""),"",IF(L768="Sim",ROUND(F768-D768,2),0)))</f>
        <v/>
      </c>
      <c r="K768" s="97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inlineStr">
        <is>
          <t>Nao</t>
        </is>
      </c>
      <c r="W768" s="110" t="inlineStr">
        <is>
          <t>PC em analise</t>
        </is>
      </c>
      <c r="X768" s="110" t="inlineStr">
        <is>
          <t>Pedido de Compra</t>
        </is>
      </c>
      <c r="Y768" s="111" t="inlineStr">
        <is>
          <t>Impacto Potencial</t>
        </is>
      </c>
      <c r="Z768" s="111" t="inlineStr">
        <is>
          <t>PC</t>
        </is>
      </c>
      <c r="AA768" s="111" t="inlineStr">
        <is>
          <t>Nao</t>
        </is>
      </c>
      <c r="AB768" s="111" t="inlineStr">
        <is>
          <t>NAO_COMPUTADO</t>
        </is>
      </c>
      <c r="AC768" s="112" t="inlineStr">
        <is>
          <t>Estrutura Fase 1: sem impacto no VTA oficial</t>
        </is>
      </c>
    </row>
    <row r="769" ht="25.5" customHeight="1" s="289">
      <c r="A769" s="205" t="n"/>
      <c r="B769" s="207" t="n"/>
      <c r="C769" s="104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348" t="n"/>
      <c r="E769" s="349">
        <f>IF(C769="","",IFERROR(VLOOKUP(C769,parametros!$A$11:$E$15,5,0),""))</f>
        <v/>
      </c>
      <c r="F769" s="335">
        <f>IF(OR(D769="",E769=""),"",ROUND(D769*E769,2))</f>
        <v/>
      </c>
      <c r="G769" s="106" t="n"/>
      <c r="H769" s="350">
        <f>IF(G769="Sim",IF(OR(F769="",D769="",L769=""),"",IF(L769="Sim",ROUND(F769-D769,2),0)),0)</f>
        <v/>
      </c>
      <c r="I769" s="350">
        <f>IF(G769="Sim",0,IF(OR(F769="",L769=""),"",F769))</f>
        <v/>
      </c>
      <c r="J769" s="350">
        <f>IF(G769="Sim",0,IF(OR(F769="",D769="",L769=""),"",IF(L769="Sim",ROUND(F769-D769,2),0)))</f>
        <v/>
      </c>
      <c r="K769" s="97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inlineStr">
        <is>
          <t>Nao</t>
        </is>
      </c>
      <c r="W769" s="110" t="inlineStr">
        <is>
          <t>PC em analise</t>
        </is>
      </c>
      <c r="X769" s="110" t="inlineStr">
        <is>
          <t>Pedido de Compra</t>
        </is>
      </c>
      <c r="Y769" s="111" t="inlineStr">
        <is>
          <t>Impacto Potencial</t>
        </is>
      </c>
      <c r="Z769" s="111" t="inlineStr">
        <is>
          <t>PC</t>
        </is>
      </c>
      <c r="AA769" s="111" t="inlineStr">
        <is>
          <t>Nao</t>
        </is>
      </c>
      <c r="AB769" s="111" t="inlineStr">
        <is>
          <t>NAO_COMPUTADO</t>
        </is>
      </c>
      <c r="AC769" s="112" t="inlineStr">
        <is>
          <t>Estrutura Fase 1: sem impacto no VTA oficial</t>
        </is>
      </c>
    </row>
    <row r="770" ht="25.5" customHeight="1" s="289">
      <c r="A770" s="205" t="n"/>
      <c r="B770" s="207" t="n"/>
      <c r="C770" s="104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348" t="n"/>
      <c r="E770" s="349">
        <f>IF(C770="","",IFERROR(VLOOKUP(C770,parametros!$A$11:$E$15,5,0),""))</f>
        <v/>
      </c>
      <c r="F770" s="335">
        <f>IF(OR(D770="",E770=""),"",ROUND(D770*E770,2))</f>
        <v/>
      </c>
      <c r="G770" s="106" t="n"/>
      <c r="H770" s="350">
        <f>IF(G770="Sim",IF(OR(F770="",D770="",L770=""),"",IF(L770="Sim",ROUND(F770-D770,2),0)),0)</f>
        <v/>
      </c>
      <c r="I770" s="350">
        <f>IF(G770="Sim",0,IF(OR(F770="",L770=""),"",F770))</f>
        <v/>
      </c>
      <c r="J770" s="350">
        <f>IF(G770="Sim",0,IF(OR(F770="",D770="",L770=""),"",IF(L770="Sim",ROUND(F770-D770,2),0)))</f>
        <v/>
      </c>
      <c r="K770" s="97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inlineStr">
        <is>
          <t>Nao</t>
        </is>
      </c>
      <c r="W770" s="110" t="inlineStr">
        <is>
          <t>PC em analise</t>
        </is>
      </c>
      <c r="X770" s="110" t="inlineStr">
        <is>
          <t>Pedido de Compra</t>
        </is>
      </c>
      <c r="Y770" s="111" t="inlineStr">
        <is>
          <t>Impacto Potencial</t>
        </is>
      </c>
      <c r="Z770" s="111" t="inlineStr">
        <is>
          <t>PC</t>
        </is>
      </c>
      <c r="AA770" s="111" t="inlineStr">
        <is>
          <t>Nao</t>
        </is>
      </c>
      <c r="AB770" s="111" t="inlineStr">
        <is>
          <t>NAO_COMPUTADO</t>
        </is>
      </c>
      <c r="AC770" s="112" t="inlineStr">
        <is>
          <t>Estrutura Fase 1: sem impacto no VTA oficial</t>
        </is>
      </c>
    </row>
    <row r="771" ht="25.5" customHeight="1" s="289">
      <c r="A771" s="205" t="n"/>
      <c r="B771" s="207" t="n"/>
      <c r="C771" s="104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348" t="n"/>
      <c r="E771" s="349">
        <f>IF(C771="","",IFERROR(VLOOKUP(C771,parametros!$A$11:$E$15,5,0),""))</f>
        <v/>
      </c>
      <c r="F771" s="335">
        <f>IF(OR(D771="",E771=""),"",ROUND(D771*E771,2))</f>
        <v/>
      </c>
      <c r="G771" s="106" t="n"/>
      <c r="H771" s="350">
        <f>IF(G771="Sim",IF(OR(F771="",D771="",L771=""),"",IF(L771="Sim",ROUND(F771-D771,2),0)),0)</f>
        <v/>
      </c>
      <c r="I771" s="350">
        <f>IF(G771="Sim",0,IF(OR(F771="",L771=""),"",F771))</f>
        <v/>
      </c>
      <c r="J771" s="350">
        <f>IF(G771="Sim",0,IF(OR(F771="",D771="",L771=""),"",IF(L771="Sim",ROUND(F771-D771,2),0)))</f>
        <v/>
      </c>
      <c r="K771" s="97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inlineStr">
        <is>
          <t>Nao</t>
        </is>
      </c>
      <c r="W771" s="110" t="inlineStr">
        <is>
          <t>PC em analise</t>
        </is>
      </c>
      <c r="X771" s="110" t="inlineStr">
        <is>
          <t>Pedido de Compra</t>
        </is>
      </c>
      <c r="Y771" s="111" t="inlineStr">
        <is>
          <t>Impacto Potencial</t>
        </is>
      </c>
      <c r="Z771" s="111" t="inlineStr">
        <is>
          <t>PC</t>
        </is>
      </c>
      <c r="AA771" s="111" t="inlineStr">
        <is>
          <t>Nao</t>
        </is>
      </c>
      <c r="AB771" s="111" t="inlineStr">
        <is>
          <t>NAO_COMPUTADO</t>
        </is>
      </c>
      <c r="AC771" s="112" t="inlineStr">
        <is>
          <t>Estrutura Fase 1: sem impacto no VTA oficial</t>
        </is>
      </c>
    </row>
    <row r="772" ht="25.5" customHeight="1" s="289">
      <c r="A772" s="205" t="n"/>
      <c r="B772" s="207" t="n"/>
      <c r="C772" s="104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348" t="n"/>
      <c r="E772" s="349">
        <f>IF(C772="","",IFERROR(VLOOKUP(C772,parametros!$A$11:$E$15,5,0),""))</f>
        <v/>
      </c>
      <c r="F772" s="335">
        <f>IF(OR(D772="",E772=""),"",ROUND(D772*E772,2))</f>
        <v/>
      </c>
      <c r="G772" s="106" t="n"/>
      <c r="H772" s="350">
        <f>IF(G772="Sim",IF(OR(F772="",D772="",L772=""),"",IF(L772="Sim",ROUND(F772-D772,2),0)),0)</f>
        <v/>
      </c>
      <c r="I772" s="350">
        <f>IF(G772="Sim",0,IF(OR(F772="",L772=""),"",F772))</f>
        <v/>
      </c>
      <c r="J772" s="350">
        <f>IF(G772="Sim",0,IF(OR(F772="",D772="",L772=""),"",IF(L772="Sim",ROUND(F772-D772,2),0)))</f>
        <v/>
      </c>
      <c r="K772" s="97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inlineStr">
        <is>
          <t>Nao</t>
        </is>
      </c>
      <c r="W772" s="110" t="inlineStr">
        <is>
          <t>PC em analise</t>
        </is>
      </c>
      <c r="X772" s="110" t="inlineStr">
        <is>
          <t>Pedido de Compra</t>
        </is>
      </c>
      <c r="Y772" s="111" t="inlineStr">
        <is>
          <t>Impacto Potencial</t>
        </is>
      </c>
      <c r="Z772" s="111" t="inlineStr">
        <is>
          <t>PC</t>
        </is>
      </c>
      <c r="AA772" s="111" t="inlineStr">
        <is>
          <t>Nao</t>
        </is>
      </c>
      <c r="AB772" s="111" t="inlineStr">
        <is>
          <t>NAO_COMPUTADO</t>
        </is>
      </c>
      <c r="AC772" s="112" t="inlineStr">
        <is>
          <t>Estrutura Fase 1: sem impacto no VTA oficial</t>
        </is>
      </c>
    </row>
    <row r="773" ht="25.5" customHeight="1" s="289">
      <c r="A773" s="205" t="n"/>
      <c r="B773" s="207" t="n"/>
      <c r="C773" s="104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348" t="n"/>
      <c r="E773" s="349">
        <f>IF(C773="","",IFERROR(VLOOKUP(C773,parametros!$A$11:$E$15,5,0),""))</f>
        <v/>
      </c>
      <c r="F773" s="335">
        <f>IF(OR(D773="",E773=""),"",ROUND(D773*E773,2))</f>
        <v/>
      </c>
      <c r="G773" s="106" t="n"/>
      <c r="H773" s="350">
        <f>IF(G773="Sim",IF(OR(F773="",D773="",L773=""),"",IF(L773="Sim",ROUND(F773-D773,2),0)),0)</f>
        <v/>
      </c>
      <c r="I773" s="350">
        <f>IF(G773="Sim",0,IF(OR(F773="",L773=""),"",F773))</f>
        <v/>
      </c>
      <c r="J773" s="350">
        <f>IF(G773="Sim",0,IF(OR(F773="",D773="",L773=""),"",IF(L773="Sim",ROUND(F773-D773,2),0)))</f>
        <v/>
      </c>
      <c r="K773" s="97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inlineStr">
        <is>
          <t>Nao</t>
        </is>
      </c>
      <c r="W773" s="110" t="inlineStr">
        <is>
          <t>PC em analise</t>
        </is>
      </c>
      <c r="X773" s="110" t="inlineStr">
        <is>
          <t>Pedido de Compra</t>
        </is>
      </c>
      <c r="Y773" s="111" t="inlineStr">
        <is>
          <t>Impacto Potencial</t>
        </is>
      </c>
      <c r="Z773" s="111" t="inlineStr">
        <is>
          <t>PC</t>
        </is>
      </c>
      <c r="AA773" s="111" t="inlineStr">
        <is>
          <t>Nao</t>
        </is>
      </c>
      <c r="AB773" s="111" t="inlineStr">
        <is>
          <t>NAO_COMPUTADO</t>
        </is>
      </c>
      <c r="AC773" s="112" t="inlineStr">
        <is>
          <t>Estrutura Fase 1: sem impacto no VTA oficial</t>
        </is>
      </c>
    </row>
    <row r="774" ht="25.5" customHeight="1" s="289">
      <c r="A774" s="205" t="n"/>
      <c r="B774" s="207" t="n"/>
      <c r="C774" s="104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348" t="n"/>
      <c r="E774" s="349">
        <f>IF(C774="","",IFERROR(VLOOKUP(C774,parametros!$A$11:$E$15,5,0),""))</f>
        <v/>
      </c>
      <c r="F774" s="335">
        <f>IF(OR(D774="",E774=""),"",ROUND(D774*E774,2))</f>
        <v/>
      </c>
      <c r="G774" s="106" t="n"/>
      <c r="H774" s="350">
        <f>IF(G774="Sim",IF(OR(F774="",D774="",L774=""),"",IF(L774="Sim",ROUND(F774-D774,2),0)),0)</f>
        <v/>
      </c>
      <c r="I774" s="350">
        <f>IF(G774="Sim",0,IF(OR(F774="",L774=""),"",F774))</f>
        <v/>
      </c>
      <c r="J774" s="350">
        <f>IF(G774="Sim",0,IF(OR(F774="",D774="",L774=""),"",IF(L774="Sim",ROUND(F774-D774,2),0)))</f>
        <v/>
      </c>
      <c r="K774" s="97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inlineStr">
        <is>
          <t>Nao</t>
        </is>
      </c>
      <c r="W774" s="110" t="inlineStr">
        <is>
          <t>PC em analise</t>
        </is>
      </c>
      <c r="X774" s="110" t="inlineStr">
        <is>
          <t>Pedido de Compra</t>
        </is>
      </c>
      <c r="Y774" s="111" t="inlineStr">
        <is>
          <t>Impacto Potencial</t>
        </is>
      </c>
      <c r="Z774" s="111" t="inlineStr">
        <is>
          <t>PC</t>
        </is>
      </c>
      <c r="AA774" s="111" t="inlineStr">
        <is>
          <t>Nao</t>
        </is>
      </c>
      <c r="AB774" s="111" t="inlineStr">
        <is>
          <t>NAO_COMPUTADO</t>
        </is>
      </c>
      <c r="AC774" s="112" t="inlineStr">
        <is>
          <t>Estrutura Fase 1: sem impacto no VTA oficial</t>
        </is>
      </c>
    </row>
    <row r="775" ht="25.5" customHeight="1" s="289">
      <c r="A775" s="205" t="n"/>
      <c r="B775" s="207" t="n"/>
      <c r="C775" s="104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348" t="n"/>
      <c r="E775" s="349">
        <f>IF(C775="","",IFERROR(VLOOKUP(C775,parametros!$A$11:$E$15,5,0),""))</f>
        <v/>
      </c>
      <c r="F775" s="335">
        <f>IF(OR(D775="",E775=""),"",ROUND(D775*E775,2))</f>
        <v/>
      </c>
      <c r="G775" s="106" t="n"/>
      <c r="H775" s="350">
        <f>IF(G775="Sim",IF(OR(F775="",D775="",L775=""),"",IF(L775="Sim",ROUND(F775-D775,2),0)),0)</f>
        <v/>
      </c>
      <c r="I775" s="350">
        <f>IF(G775="Sim",0,IF(OR(F775="",L775=""),"",F775))</f>
        <v/>
      </c>
      <c r="J775" s="350">
        <f>IF(G775="Sim",0,IF(OR(F775="",D775="",L775=""),"",IF(L775="Sim",ROUND(F775-D775,2),0)))</f>
        <v/>
      </c>
      <c r="K775" s="97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inlineStr">
        <is>
          <t>Nao</t>
        </is>
      </c>
      <c r="W775" s="110" t="inlineStr">
        <is>
          <t>PC em analise</t>
        </is>
      </c>
      <c r="X775" s="110" t="inlineStr">
        <is>
          <t>Pedido de Compra</t>
        </is>
      </c>
      <c r="Y775" s="111" t="inlineStr">
        <is>
          <t>Impacto Potencial</t>
        </is>
      </c>
      <c r="Z775" s="111" t="inlineStr">
        <is>
          <t>PC</t>
        </is>
      </c>
      <c r="AA775" s="111" t="inlineStr">
        <is>
          <t>Nao</t>
        </is>
      </c>
      <c r="AB775" s="111" t="inlineStr">
        <is>
          <t>NAO_COMPUTADO</t>
        </is>
      </c>
      <c r="AC775" s="112" t="inlineStr">
        <is>
          <t>Estrutura Fase 1: sem impacto no VTA oficial</t>
        </is>
      </c>
    </row>
    <row r="776" ht="25.5" customHeight="1" s="289">
      <c r="A776" s="205" t="n"/>
      <c r="B776" s="207" t="n"/>
      <c r="C776" s="104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348" t="n"/>
      <c r="E776" s="349">
        <f>IF(C776="","",IFERROR(VLOOKUP(C776,parametros!$A$11:$E$15,5,0),""))</f>
        <v/>
      </c>
      <c r="F776" s="335">
        <f>IF(OR(D776="",E776=""),"",ROUND(D776*E776,2))</f>
        <v/>
      </c>
      <c r="G776" s="106" t="n"/>
      <c r="H776" s="350">
        <f>IF(G776="Sim",IF(OR(F776="",D776="",L776=""),"",IF(L776="Sim",ROUND(F776-D776,2),0)),0)</f>
        <v/>
      </c>
      <c r="I776" s="350">
        <f>IF(G776="Sim",0,IF(OR(F776="",L776=""),"",F776))</f>
        <v/>
      </c>
      <c r="J776" s="350">
        <f>IF(G776="Sim",0,IF(OR(F776="",D776="",L776=""),"",IF(L776="Sim",ROUND(F776-D776,2),0)))</f>
        <v/>
      </c>
      <c r="K776" s="97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inlineStr">
        <is>
          <t>Nao</t>
        </is>
      </c>
      <c r="W776" s="110" t="inlineStr">
        <is>
          <t>PC em analise</t>
        </is>
      </c>
      <c r="X776" s="110" t="inlineStr">
        <is>
          <t>Pedido de Compra</t>
        </is>
      </c>
      <c r="Y776" s="111" t="inlineStr">
        <is>
          <t>Impacto Potencial</t>
        </is>
      </c>
      <c r="Z776" s="111" t="inlineStr">
        <is>
          <t>PC</t>
        </is>
      </c>
      <c r="AA776" s="111" t="inlineStr">
        <is>
          <t>Nao</t>
        </is>
      </c>
      <c r="AB776" s="111" t="inlineStr">
        <is>
          <t>NAO_COMPUTADO</t>
        </is>
      </c>
      <c r="AC776" s="112" t="inlineStr">
        <is>
          <t>Estrutura Fase 1: sem impacto no VTA oficial</t>
        </is>
      </c>
    </row>
    <row r="777" ht="25.5" customHeight="1" s="289">
      <c r="A777" s="205" t="n"/>
      <c r="B777" s="207" t="n"/>
      <c r="C777" s="104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348" t="n"/>
      <c r="E777" s="349">
        <f>IF(C777="","",IFERROR(VLOOKUP(C777,parametros!$A$11:$E$15,5,0),""))</f>
        <v/>
      </c>
      <c r="F777" s="335">
        <f>IF(OR(D777="",E777=""),"",ROUND(D777*E777,2))</f>
        <v/>
      </c>
      <c r="G777" s="106" t="n"/>
      <c r="H777" s="350">
        <f>IF(G777="Sim",IF(OR(F777="",D777="",L777=""),"",IF(L777="Sim",ROUND(F777-D777,2),0)),0)</f>
        <v/>
      </c>
      <c r="I777" s="350">
        <f>IF(G777="Sim",0,IF(OR(F777="",L777=""),"",F777))</f>
        <v/>
      </c>
      <c r="J777" s="350">
        <f>IF(G777="Sim",0,IF(OR(F777="",D777="",L777=""),"",IF(L777="Sim",ROUND(F777-D777,2),0)))</f>
        <v/>
      </c>
      <c r="K777" s="97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inlineStr">
        <is>
          <t>Nao</t>
        </is>
      </c>
      <c r="W777" s="110" t="inlineStr">
        <is>
          <t>PC em analise</t>
        </is>
      </c>
      <c r="X777" s="110" t="inlineStr">
        <is>
          <t>Pedido de Compra</t>
        </is>
      </c>
      <c r="Y777" s="111" t="inlineStr">
        <is>
          <t>Impacto Potencial</t>
        </is>
      </c>
      <c r="Z777" s="111" t="inlineStr">
        <is>
          <t>PC</t>
        </is>
      </c>
      <c r="AA777" s="111" t="inlineStr">
        <is>
          <t>Nao</t>
        </is>
      </c>
      <c r="AB777" s="111" t="inlineStr">
        <is>
          <t>NAO_COMPUTADO</t>
        </is>
      </c>
      <c r="AC777" s="112" t="inlineStr">
        <is>
          <t>Estrutura Fase 1: sem impacto no VTA oficial</t>
        </is>
      </c>
    </row>
    <row r="778" ht="25.5" customHeight="1" s="289">
      <c r="A778" s="205" t="n"/>
      <c r="B778" s="207" t="n"/>
      <c r="C778" s="104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348" t="n"/>
      <c r="E778" s="349">
        <f>IF(C778="","",IFERROR(VLOOKUP(C778,parametros!$A$11:$E$15,5,0),""))</f>
        <v/>
      </c>
      <c r="F778" s="335">
        <f>IF(OR(D778="",E778=""),"",ROUND(D778*E778,2))</f>
        <v/>
      </c>
      <c r="G778" s="106" t="n"/>
      <c r="H778" s="350">
        <f>IF(G778="Sim",IF(OR(F778="",D778="",L778=""),"",IF(L778="Sim",ROUND(F778-D778,2),0)),0)</f>
        <v/>
      </c>
      <c r="I778" s="350">
        <f>IF(G778="Sim",0,IF(OR(F778="",L778=""),"",F778))</f>
        <v/>
      </c>
      <c r="J778" s="350">
        <f>IF(G778="Sim",0,IF(OR(F778="",D778="",L778=""),"",IF(L778="Sim",ROUND(F778-D778,2),0)))</f>
        <v/>
      </c>
      <c r="K778" s="97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inlineStr">
        <is>
          <t>Nao</t>
        </is>
      </c>
      <c r="W778" s="110" t="inlineStr">
        <is>
          <t>PC em analise</t>
        </is>
      </c>
      <c r="X778" s="110" t="inlineStr">
        <is>
          <t>Pedido de Compra</t>
        </is>
      </c>
      <c r="Y778" s="111" t="inlineStr">
        <is>
          <t>Impacto Potencial</t>
        </is>
      </c>
      <c r="Z778" s="111" t="inlineStr">
        <is>
          <t>PC</t>
        </is>
      </c>
      <c r="AA778" s="111" t="inlineStr">
        <is>
          <t>Nao</t>
        </is>
      </c>
      <c r="AB778" s="111" t="inlineStr">
        <is>
          <t>NAO_COMPUTADO</t>
        </is>
      </c>
      <c r="AC778" s="112" t="inlineStr">
        <is>
          <t>Estrutura Fase 1: sem impacto no VTA oficial</t>
        </is>
      </c>
    </row>
    <row r="779" ht="25.5" customHeight="1" s="289">
      <c r="A779" s="205" t="n"/>
      <c r="B779" s="207" t="n"/>
      <c r="C779" s="104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348" t="n"/>
      <c r="E779" s="349">
        <f>IF(C779="","",IFERROR(VLOOKUP(C779,parametros!$A$11:$E$15,5,0),""))</f>
        <v/>
      </c>
      <c r="F779" s="335">
        <f>IF(OR(D779="",E779=""),"",ROUND(D779*E779,2))</f>
        <v/>
      </c>
      <c r="G779" s="106" t="n"/>
      <c r="H779" s="350">
        <f>IF(G779="Sim",IF(OR(F779="",D779="",L779=""),"",IF(L779="Sim",ROUND(F779-D779,2),0)),0)</f>
        <v/>
      </c>
      <c r="I779" s="350">
        <f>IF(G779="Sim",0,IF(OR(F779="",L779=""),"",F779))</f>
        <v/>
      </c>
      <c r="J779" s="350">
        <f>IF(G779="Sim",0,IF(OR(F779="",D779="",L779=""),"",IF(L779="Sim",ROUND(F779-D779,2),0)))</f>
        <v/>
      </c>
      <c r="K779" s="97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inlineStr">
        <is>
          <t>Nao</t>
        </is>
      </c>
      <c r="W779" s="110" t="inlineStr">
        <is>
          <t>PC em analise</t>
        </is>
      </c>
      <c r="X779" s="110" t="inlineStr">
        <is>
          <t>Pedido de Compra</t>
        </is>
      </c>
      <c r="Y779" s="111" t="inlineStr">
        <is>
          <t>Impacto Potencial</t>
        </is>
      </c>
      <c r="Z779" s="111" t="inlineStr">
        <is>
          <t>PC</t>
        </is>
      </c>
      <c r="AA779" s="111" t="inlineStr">
        <is>
          <t>Nao</t>
        </is>
      </c>
      <c r="AB779" s="111" t="inlineStr">
        <is>
          <t>NAO_COMPUTADO</t>
        </is>
      </c>
      <c r="AC779" s="112" t="inlineStr">
        <is>
          <t>Estrutura Fase 1: sem impacto no VTA oficial</t>
        </is>
      </c>
    </row>
    <row r="780" ht="25.5" customHeight="1" s="289">
      <c r="A780" s="205" t="n"/>
      <c r="B780" s="207" t="n"/>
      <c r="C780" s="104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348" t="n"/>
      <c r="E780" s="349">
        <f>IF(C780="","",IFERROR(VLOOKUP(C780,parametros!$A$11:$E$15,5,0),""))</f>
        <v/>
      </c>
      <c r="F780" s="335">
        <f>IF(OR(D780="",E780=""),"",ROUND(D780*E780,2))</f>
        <v/>
      </c>
      <c r="G780" s="106" t="n"/>
      <c r="H780" s="350">
        <f>IF(G780="Sim",IF(OR(F780="",D780="",L780=""),"",IF(L780="Sim",ROUND(F780-D780,2),0)),0)</f>
        <v/>
      </c>
      <c r="I780" s="350">
        <f>IF(G780="Sim",0,IF(OR(F780="",L780=""),"",F780))</f>
        <v/>
      </c>
      <c r="J780" s="350">
        <f>IF(G780="Sim",0,IF(OR(F780="",D780="",L780=""),"",IF(L780="Sim",ROUND(F780-D780,2),0)))</f>
        <v/>
      </c>
      <c r="K780" s="97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inlineStr">
        <is>
          <t>Nao</t>
        </is>
      </c>
      <c r="W780" s="110" t="inlineStr">
        <is>
          <t>PC em analise</t>
        </is>
      </c>
      <c r="X780" s="110" t="inlineStr">
        <is>
          <t>Pedido de Compra</t>
        </is>
      </c>
      <c r="Y780" s="111" t="inlineStr">
        <is>
          <t>Impacto Potencial</t>
        </is>
      </c>
      <c r="Z780" s="111" t="inlineStr">
        <is>
          <t>PC</t>
        </is>
      </c>
      <c r="AA780" s="111" t="inlineStr">
        <is>
          <t>Nao</t>
        </is>
      </c>
      <c r="AB780" s="111" t="inlineStr">
        <is>
          <t>NAO_COMPUTADO</t>
        </is>
      </c>
      <c r="AC780" s="112" t="inlineStr">
        <is>
          <t>Estrutura Fase 1: sem impacto no VTA oficial</t>
        </is>
      </c>
    </row>
    <row r="781" ht="25.5" customHeight="1" s="289">
      <c r="A781" s="205" t="n"/>
      <c r="B781" s="207" t="n"/>
      <c r="C781" s="104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348" t="n"/>
      <c r="E781" s="349">
        <f>IF(C781="","",IFERROR(VLOOKUP(C781,parametros!$A$11:$E$15,5,0),""))</f>
        <v/>
      </c>
      <c r="F781" s="335">
        <f>IF(OR(D781="",E781=""),"",ROUND(D781*E781,2))</f>
        <v/>
      </c>
      <c r="G781" s="106" t="n"/>
      <c r="H781" s="350">
        <f>IF(G781="Sim",IF(OR(F781="",D781="",L781=""),"",IF(L781="Sim",ROUND(F781-D781,2),0)),0)</f>
        <v/>
      </c>
      <c r="I781" s="350">
        <f>IF(G781="Sim",0,IF(OR(F781="",L781=""),"",F781))</f>
        <v/>
      </c>
      <c r="J781" s="350">
        <f>IF(G781="Sim",0,IF(OR(F781="",D781="",L781=""),"",IF(L781="Sim",ROUND(F781-D781,2),0)))</f>
        <v/>
      </c>
      <c r="K781" s="97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inlineStr">
        <is>
          <t>Nao</t>
        </is>
      </c>
      <c r="W781" s="110" t="inlineStr">
        <is>
          <t>PC em analise</t>
        </is>
      </c>
      <c r="X781" s="110" t="inlineStr">
        <is>
          <t>Pedido de Compra</t>
        </is>
      </c>
      <c r="Y781" s="111" t="inlineStr">
        <is>
          <t>Impacto Potencial</t>
        </is>
      </c>
      <c r="Z781" s="111" t="inlineStr">
        <is>
          <t>PC</t>
        </is>
      </c>
      <c r="AA781" s="111" t="inlineStr">
        <is>
          <t>Nao</t>
        </is>
      </c>
      <c r="AB781" s="111" t="inlineStr">
        <is>
          <t>NAO_COMPUTADO</t>
        </is>
      </c>
      <c r="AC781" s="112" t="inlineStr">
        <is>
          <t>Estrutura Fase 1: sem impacto no VTA oficial</t>
        </is>
      </c>
    </row>
    <row r="782" ht="25.5" customHeight="1" s="289">
      <c r="A782" s="205" t="n"/>
      <c r="B782" s="207" t="n"/>
      <c r="C782" s="104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348" t="n"/>
      <c r="E782" s="349">
        <f>IF(C782="","",IFERROR(VLOOKUP(C782,parametros!$A$11:$E$15,5,0),""))</f>
        <v/>
      </c>
      <c r="F782" s="335">
        <f>IF(OR(D782="",E782=""),"",ROUND(D782*E782,2))</f>
        <v/>
      </c>
      <c r="G782" s="106" t="n"/>
      <c r="H782" s="350">
        <f>IF(G782="Sim",IF(OR(F782="",D782="",L782=""),"",IF(L782="Sim",ROUND(F782-D782,2),0)),0)</f>
        <v/>
      </c>
      <c r="I782" s="350">
        <f>IF(G782="Sim",0,IF(OR(F782="",L782=""),"",F782))</f>
        <v/>
      </c>
      <c r="J782" s="350">
        <f>IF(G782="Sim",0,IF(OR(F782="",D782="",L782=""),"",IF(L782="Sim",ROUND(F782-D782,2),0)))</f>
        <v/>
      </c>
      <c r="K782" s="97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inlineStr">
        <is>
          <t>Nao</t>
        </is>
      </c>
      <c r="W782" s="110" t="inlineStr">
        <is>
          <t>PC em analise</t>
        </is>
      </c>
      <c r="X782" s="110" t="inlineStr">
        <is>
          <t>Pedido de Compra</t>
        </is>
      </c>
      <c r="Y782" s="111" t="inlineStr">
        <is>
          <t>Impacto Potencial</t>
        </is>
      </c>
      <c r="Z782" s="111" t="inlineStr">
        <is>
          <t>PC</t>
        </is>
      </c>
      <c r="AA782" s="111" t="inlineStr">
        <is>
          <t>Nao</t>
        </is>
      </c>
      <c r="AB782" s="111" t="inlineStr">
        <is>
          <t>NAO_COMPUTADO</t>
        </is>
      </c>
      <c r="AC782" s="112" t="inlineStr">
        <is>
          <t>Estrutura Fase 1: sem impacto no VTA oficial</t>
        </is>
      </c>
    </row>
    <row r="783" ht="25.5" customHeight="1" s="289">
      <c r="A783" s="205" t="n"/>
      <c r="B783" s="207" t="n"/>
      <c r="C783" s="104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348" t="n"/>
      <c r="E783" s="349">
        <f>IF(C783="","",IFERROR(VLOOKUP(C783,parametros!$A$11:$E$15,5,0),""))</f>
        <v/>
      </c>
      <c r="F783" s="335">
        <f>IF(OR(D783="",E783=""),"",ROUND(D783*E783,2))</f>
        <v/>
      </c>
      <c r="G783" s="106" t="n"/>
      <c r="H783" s="350">
        <f>IF(G783="Sim",IF(OR(F783="",D783="",L783=""),"",IF(L783="Sim",ROUND(F783-D783,2),0)),0)</f>
        <v/>
      </c>
      <c r="I783" s="350">
        <f>IF(G783="Sim",0,IF(OR(F783="",L783=""),"",F783))</f>
        <v/>
      </c>
      <c r="J783" s="350">
        <f>IF(G783="Sim",0,IF(OR(F783="",D783="",L783=""),"",IF(L783="Sim",ROUND(F783-D783,2),0)))</f>
        <v/>
      </c>
      <c r="K783" s="97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inlineStr">
        <is>
          <t>Nao</t>
        </is>
      </c>
      <c r="W783" s="110" t="inlineStr">
        <is>
          <t>PC em analise</t>
        </is>
      </c>
      <c r="X783" s="110" t="inlineStr">
        <is>
          <t>Pedido de Compra</t>
        </is>
      </c>
      <c r="Y783" s="111" t="inlineStr">
        <is>
          <t>Impacto Potencial</t>
        </is>
      </c>
      <c r="Z783" s="111" t="inlineStr">
        <is>
          <t>PC</t>
        </is>
      </c>
      <c r="AA783" s="111" t="inlineStr">
        <is>
          <t>Nao</t>
        </is>
      </c>
      <c r="AB783" s="111" t="inlineStr">
        <is>
          <t>NAO_COMPUTADO</t>
        </is>
      </c>
      <c r="AC783" s="112" t="inlineStr">
        <is>
          <t>Estrutura Fase 1: sem impacto no VTA oficial</t>
        </is>
      </c>
    </row>
    <row r="784" ht="25.5" customHeight="1" s="289">
      <c r="A784" s="205" t="n"/>
      <c r="B784" s="207" t="n"/>
      <c r="C784" s="104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348" t="n"/>
      <c r="E784" s="349">
        <f>IF(C784="","",IFERROR(VLOOKUP(C784,parametros!$A$11:$E$15,5,0),""))</f>
        <v/>
      </c>
      <c r="F784" s="335">
        <f>IF(OR(D784="",E784=""),"",ROUND(D784*E784,2))</f>
        <v/>
      </c>
      <c r="G784" s="106" t="n"/>
      <c r="H784" s="350">
        <f>IF(G784="Sim",IF(OR(F784="",D784="",L784=""),"",IF(L784="Sim",ROUND(F784-D784,2),0)),0)</f>
        <v/>
      </c>
      <c r="I784" s="350">
        <f>IF(G784="Sim",0,IF(OR(F784="",L784=""),"",F784))</f>
        <v/>
      </c>
      <c r="J784" s="350">
        <f>IF(G784="Sim",0,IF(OR(F784="",D784="",L784=""),"",IF(L784="Sim",ROUND(F784-D784,2),0)))</f>
        <v/>
      </c>
      <c r="K784" s="97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inlineStr">
        <is>
          <t>Nao</t>
        </is>
      </c>
      <c r="W784" s="110" t="inlineStr">
        <is>
          <t>PC em analise</t>
        </is>
      </c>
      <c r="X784" s="110" t="inlineStr">
        <is>
          <t>Pedido de Compra</t>
        </is>
      </c>
      <c r="Y784" s="111" t="inlineStr">
        <is>
          <t>Impacto Potencial</t>
        </is>
      </c>
      <c r="Z784" s="111" t="inlineStr">
        <is>
          <t>PC</t>
        </is>
      </c>
      <c r="AA784" s="111" t="inlineStr">
        <is>
          <t>Nao</t>
        </is>
      </c>
      <c r="AB784" s="111" t="inlineStr">
        <is>
          <t>NAO_COMPUTADO</t>
        </is>
      </c>
      <c r="AC784" s="112" t="inlineStr">
        <is>
          <t>Estrutura Fase 1: sem impacto no VTA oficial</t>
        </is>
      </c>
    </row>
    <row r="785" ht="25.5" customHeight="1" s="289">
      <c r="A785" s="205" t="n"/>
      <c r="B785" s="207" t="n"/>
      <c r="C785" s="104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348" t="n"/>
      <c r="E785" s="349">
        <f>IF(C785="","",IFERROR(VLOOKUP(C785,parametros!$A$11:$E$15,5,0),""))</f>
        <v/>
      </c>
      <c r="F785" s="335">
        <f>IF(OR(D785="",E785=""),"",ROUND(D785*E785,2))</f>
        <v/>
      </c>
      <c r="G785" s="106" t="n"/>
      <c r="H785" s="350">
        <f>IF(G785="Sim",IF(OR(F785="",D785="",L785=""),"",IF(L785="Sim",ROUND(F785-D785,2),0)),0)</f>
        <v/>
      </c>
      <c r="I785" s="350">
        <f>IF(G785="Sim",0,IF(OR(F785="",L785=""),"",F785))</f>
        <v/>
      </c>
      <c r="J785" s="350">
        <f>IF(G785="Sim",0,IF(OR(F785="",D785="",L785=""),"",IF(L785="Sim",ROUND(F785-D785,2),0)))</f>
        <v/>
      </c>
      <c r="K785" s="97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inlineStr">
        <is>
          <t>Nao</t>
        </is>
      </c>
      <c r="W785" s="110" t="inlineStr">
        <is>
          <t>PC em analise</t>
        </is>
      </c>
      <c r="X785" s="110" t="inlineStr">
        <is>
          <t>Pedido de Compra</t>
        </is>
      </c>
      <c r="Y785" s="111" t="inlineStr">
        <is>
          <t>Impacto Potencial</t>
        </is>
      </c>
      <c r="Z785" s="111" t="inlineStr">
        <is>
          <t>PC</t>
        </is>
      </c>
      <c r="AA785" s="111" t="inlineStr">
        <is>
          <t>Nao</t>
        </is>
      </c>
      <c r="AB785" s="111" t="inlineStr">
        <is>
          <t>NAO_COMPUTADO</t>
        </is>
      </c>
      <c r="AC785" s="112" t="inlineStr">
        <is>
          <t>Estrutura Fase 1: sem impacto no VTA oficial</t>
        </is>
      </c>
    </row>
    <row r="786" ht="25.5" customHeight="1" s="289">
      <c r="A786" s="205" t="n"/>
      <c r="B786" s="207" t="n"/>
      <c r="C786" s="104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348" t="n"/>
      <c r="E786" s="349">
        <f>IF(C786="","",IFERROR(VLOOKUP(C786,parametros!$A$11:$E$15,5,0),""))</f>
        <v/>
      </c>
      <c r="F786" s="335">
        <f>IF(OR(D786="",E786=""),"",ROUND(D786*E786,2))</f>
        <v/>
      </c>
      <c r="G786" s="106" t="n"/>
      <c r="H786" s="350">
        <f>IF(G786="Sim",IF(OR(F786="",D786="",L786=""),"",IF(L786="Sim",ROUND(F786-D786,2),0)),0)</f>
        <v/>
      </c>
      <c r="I786" s="350">
        <f>IF(G786="Sim",0,IF(OR(F786="",L786=""),"",F786))</f>
        <v/>
      </c>
      <c r="J786" s="350">
        <f>IF(G786="Sim",0,IF(OR(F786="",D786="",L786=""),"",IF(L786="Sim",ROUND(F786-D786,2),0)))</f>
        <v/>
      </c>
      <c r="K786" s="97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inlineStr">
        <is>
          <t>Nao</t>
        </is>
      </c>
      <c r="W786" s="110" t="inlineStr">
        <is>
          <t>PC em analise</t>
        </is>
      </c>
      <c r="X786" s="110" t="inlineStr">
        <is>
          <t>Pedido de Compra</t>
        </is>
      </c>
      <c r="Y786" s="111" t="inlineStr">
        <is>
          <t>Impacto Potencial</t>
        </is>
      </c>
      <c r="Z786" s="111" t="inlineStr">
        <is>
          <t>PC</t>
        </is>
      </c>
      <c r="AA786" s="111" t="inlineStr">
        <is>
          <t>Nao</t>
        </is>
      </c>
      <c r="AB786" s="111" t="inlineStr">
        <is>
          <t>NAO_COMPUTADO</t>
        </is>
      </c>
      <c r="AC786" s="112" t="inlineStr">
        <is>
          <t>Estrutura Fase 1: sem impacto no VTA oficial</t>
        </is>
      </c>
    </row>
    <row r="787" ht="25.5" customHeight="1" s="289">
      <c r="A787" s="205" t="n"/>
      <c r="B787" s="207" t="n"/>
      <c r="C787" s="104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348" t="n"/>
      <c r="E787" s="349">
        <f>IF(C787="","",IFERROR(VLOOKUP(C787,parametros!$A$11:$E$15,5,0),""))</f>
        <v/>
      </c>
      <c r="F787" s="335">
        <f>IF(OR(D787="",E787=""),"",ROUND(D787*E787,2))</f>
        <v/>
      </c>
      <c r="G787" s="106" t="n"/>
      <c r="H787" s="350">
        <f>IF(G787="Sim",IF(OR(F787="",D787="",L787=""),"",IF(L787="Sim",ROUND(F787-D787,2),0)),0)</f>
        <v/>
      </c>
      <c r="I787" s="350">
        <f>IF(G787="Sim",0,IF(OR(F787="",L787=""),"",F787))</f>
        <v/>
      </c>
      <c r="J787" s="350">
        <f>IF(G787="Sim",0,IF(OR(F787="",D787="",L787=""),"",IF(L787="Sim",ROUND(F787-D787,2),0)))</f>
        <v/>
      </c>
      <c r="K787" s="97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inlineStr">
        <is>
          <t>Nao</t>
        </is>
      </c>
      <c r="W787" s="110" t="inlineStr">
        <is>
          <t>PC em analise</t>
        </is>
      </c>
      <c r="X787" s="110" t="inlineStr">
        <is>
          <t>Pedido de Compra</t>
        </is>
      </c>
      <c r="Y787" s="111" t="inlineStr">
        <is>
          <t>Impacto Potencial</t>
        </is>
      </c>
      <c r="Z787" s="111" t="inlineStr">
        <is>
          <t>PC</t>
        </is>
      </c>
      <c r="AA787" s="111" t="inlineStr">
        <is>
          <t>Nao</t>
        </is>
      </c>
      <c r="AB787" s="111" t="inlineStr">
        <is>
          <t>NAO_COMPUTADO</t>
        </is>
      </c>
      <c r="AC787" s="112" t="inlineStr">
        <is>
          <t>Estrutura Fase 1: sem impacto no VTA oficial</t>
        </is>
      </c>
    </row>
    <row r="788" ht="25.5" customHeight="1" s="289">
      <c r="A788" s="205" t="n"/>
      <c r="B788" s="207" t="n"/>
      <c r="C788" s="104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348" t="n"/>
      <c r="E788" s="349">
        <f>IF(C788="","",IFERROR(VLOOKUP(C788,parametros!$A$11:$E$15,5,0),""))</f>
        <v/>
      </c>
      <c r="F788" s="335">
        <f>IF(OR(D788="",E788=""),"",ROUND(D788*E788,2))</f>
        <v/>
      </c>
      <c r="G788" s="106" t="n"/>
      <c r="H788" s="350">
        <f>IF(G788="Sim",IF(OR(F788="",D788="",L788=""),"",IF(L788="Sim",ROUND(F788-D788,2),0)),0)</f>
        <v/>
      </c>
      <c r="I788" s="350">
        <f>IF(G788="Sim",0,IF(OR(F788="",L788=""),"",F788))</f>
        <v/>
      </c>
      <c r="J788" s="350">
        <f>IF(G788="Sim",0,IF(OR(F788="",D788="",L788=""),"",IF(L788="Sim",ROUND(F788-D788,2),0)))</f>
        <v/>
      </c>
      <c r="K788" s="97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inlineStr">
        <is>
          <t>Nao</t>
        </is>
      </c>
      <c r="W788" s="110" t="inlineStr">
        <is>
          <t>PC em analise</t>
        </is>
      </c>
      <c r="X788" s="110" t="inlineStr">
        <is>
          <t>Pedido de Compra</t>
        </is>
      </c>
      <c r="Y788" s="111" t="inlineStr">
        <is>
          <t>Impacto Potencial</t>
        </is>
      </c>
      <c r="Z788" s="111" t="inlineStr">
        <is>
          <t>PC</t>
        </is>
      </c>
      <c r="AA788" s="111" t="inlineStr">
        <is>
          <t>Nao</t>
        </is>
      </c>
      <c r="AB788" s="111" t="inlineStr">
        <is>
          <t>NAO_COMPUTADO</t>
        </is>
      </c>
      <c r="AC788" s="112" t="inlineStr">
        <is>
          <t>Estrutura Fase 1: sem impacto no VTA oficial</t>
        </is>
      </c>
    </row>
    <row r="789" ht="25.5" customHeight="1" s="289">
      <c r="A789" s="205" t="n"/>
      <c r="B789" s="207" t="n"/>
      <c r="C789" s="104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348" t="n"/>
      <c r="E789" s="349">
        <f>IF(C789="","",IFERROR(VLOOKUP(C789,parametros!$A$11:$E$15,5,0),""))</f>
        <v/>
      </c>
      <c r="F789" s="335">
        <f>IF(OR(D789="",E789=""),"",ROUND(D789*E789,2))</f>
        <v/>
      </c>
      <c r="G789" s="106" t="n"/>
      <c r="H789" s="350">
        <f>IF(G789="Sim",IF(OR(F789="",D789="",L789=""),"",IF(L789="Sim",ROUND(F789-D789,2),0)),0)</f>
        <v/>
      </c>
      <c r="I789" s="350">
        <f>IF(G789="Sim",0,IF(OR(F789="",L789=""),"",F789))</f>
        <v/>
      </c>
      <c r="J789" s="350">
        <f>IF(G789="Sim",0,IF(OR(F789="",D789="",L789=""),"",IF(L789="Sim",ROUND(F789-D789,2),0)))</f>
        <v/>
      </c>
      <c r="K789" s="97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inlineStr">
        <is>
          <t>Nao</t>
        </is>
      </c>
      <c r="W789" s="110" t="inlineStr">
        <is>
          <t>PC em analise</t>
        </is>
      </c>
      <c r="X789" s="110" t="inlineStr">
        <is>
          <t>Pedido de Compra</t>
        </is>
      </c>
      <c r="Y789" s="111" t="inlineStr">
        <is>
          <t>Impacto Potencial</t>
        </is>
      </c>
      <c r="Z789" s="111" t="inlineStr">
        <is>
          <t>PC</t>
        </is>
      </c>
      <c r="AA789" s="111" t="inlineStr">
        <is>
          <t>Nao</t>
        </is>
      </c>
      <c r="AB789" s="111" t="inlineStr">
        <is>
          <t>NAO_COMPUTADO</t>
        </is>
      </c>
      <c r="AC789" s="112" t="inlineStr">
        <is>
          <t>Estrutura Fase 1: sem impacto no VTA oficial</t>
        </is>
      </c>
    </row>
    <row r="790" ht="25.5" customHeight="1" s="289">
      <c r="A790" s="205" t="n"/>
      <c r="B790" s="207" t="n"/>
      <c r="C790" s="104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348" t="n"/>
      <c r="E790" s="349">
        <f>IF(C790="","",IFERROR(VLOOKUP(C790,parametros!$A$11:$E$15,5,0),""))</f>
        <v/>
      </c>
      <c r="F790" s="335">
        <f>IF(OR(D790="",E790=""),"",ROUND(D790*E790,2))</f>
        <v/>
      </c>
      <c r="G790" s="106" t="n"/>
      <c r="H790" s="350">
        <f>IF(G790="Sim",IF(OR(F790="",D790="",L790=""),"",IF(L790="Sim",ROUND(F790-D790,2),0)),0)</f>
        <v/>
      </c>
      <c r="I790" s="350">
        <f>IF(G790="Sim",0,IF(OR(F790="",L790=""),"",F790))</f>
        <v/>
      </c>
      <c r="J790" s="350">
        <f>IF(G790="Sim",0,IF(OR(F790="",D790="",L790=""),"",IF(L790="Sim",ROUND(F790-D790,2),0)))</f>
        <v/>
      </c>
      <c r="K790" s="97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inlineStr">
        <is>
          <t>Nao</t>
        </is>
      </c>
      <c r="W790" s="110" t="inlineStr">
        <is>
          <t>PC em analise</t>
        </is>
      </c>
      <c r="X790" s="110" t="inlineStr">
        <is>
          <t>Pedido de Compra</t>
        </is>
      </c>
      <c r="Y790" s="111" t="inlineStr">
        <is>
          <t>Impacto Potencial</t>
        </is>
      </c>
      <c r="Z790" s="111" t="inlineStr">
        <is>
          <t>PC</t>
        </is>
      </c>
      <c r="AA790" s="111" t="inlineStr">
        <is>
          <t>Nao</t>
        </is>
      </c>
      <c r="AB790" s="111" t="inlineStr">
        <is>
          <t>NAO_COMPUTADO</t>
        </is>
      </c>
      <c r="AC790" s="112" t="inlineStr">
        <is>
          <t>Estrutura Fase 1: sem impacto no VTA oficial</t>
        </is>
      </c>
    </row>
    <row r="791" ht="25.5" customHeight="1" s="289">
      <c r="A791" s="205" t="n"/>
      <c r="B791" s="207" t="n"/>
      <c r="C791" s="104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348" t="n"/>
      <c r="E791" s="349">
        <f>IF(C791="","",IFERROR(VLOOKUP(C791,parametros!$A$11:$E$15,5,0),""))</f>
        <v/>
      </c>
      <c r="F791" s="335">
        <f>IF(OR(D791="",E791=""),"",ROUND(D791*E791,2))</f>
        <v/>
      </c>
      <c r="G791" s="106" t="n"/>
      <c r="H791" s="350">
        <f>IF(G791="Sim",IF(OR(F791="",D791="",L791=""),"",IF(L791="Sim",ROUND(F791-D791,2),0)),0)</f>
        <v/>
      </c>
      <c r="I791" s="350">
        <f>IF(G791="Sim",0,IF(OR(F791="",L791=""),"",F791))</f>
        <v/>
      </c>
      <c r="J791" s="350">
        <f>IF(G791="Sim",0,IF(OR(F791="",D791="",L791=""),"",IF(L791="Sim",ROUND(F791-D791,2),0)))</f>
        <v/>
      </c>
      <c r="K791" s="97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inlineStr">
        <is>
          <t>Nao</t>
        </is>
      </c>
      <c r="W791" s="110" t="inlineStr">
        <is>
          <t>PC em analise</t>
        </is>
      </c>
      <c r="X791" s="110" t="inlineStr">
        <is>
          <t>Pedido de Compra</t>
        </is>
      </c>
      <c r="Y791" s="111" t="inlineStr">
        <is>
          <t>Impacto Potencial</t>
        </is>
      </c>
      <c r="Z791" s="111" t="inlineStr">
        <is>
          <t>PC</t>
        </is>
      </c>
      <c r="AA791" s="111" t="inlineStr">
        <is>
          <t>Nao</t>
        </is>
      </c>
      <c r="AB791" s="111" t="inlineStr">
        <is>
          <t>NAO_COMPUTADO</t>
        </is>
      </c>
      <c r="AC791" s="112" t="inlineStr">
        <is>
          <t>Estrutura Fase 1: sem impacto no VTA oficial</t>
        </is>
      </c>
    </row>
    <row r="792" ht="25.5" customHeight="1" s="289">
      <c r="A792" s="205" t="n"/>
      <c r="B792" s="207" t="n"/>
      <c r="C792" s="104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348" t="n"/>
      <c r="E792" s="349">
        <f>IF(C792="","",IFERROR(VLOOKUP(C792,parametros!$A$11:$E$15,5,0),""))</f>
        <v/>
      </c>
      <c r="F792" s="335">
        <f>IF(OR(D792="",E792=""),"",ROUND(D792*E792,2))</f>
        <v/>
      </c>
      <c r="G792" s="106" t="n"/>
      <c r="H792" s="350">
        <f>IF(G792="Sim",IF(OR(F792="",D792="",L792=""),"",IF(L792="Sim",ROUND(F792-D792,2),0)),0)</f>
        <v/>
      </c>
      <c r="I792" s="350">
        <f>IF(G792="Sim",0,IF(OR(F792="",L792=""),"",F792))</f>
        <v/>
      </c>
      <c r="J792" s="350">
        <f>IF(G792="Sim",0,IF(OR(F792="",D792="",L792=""),"",IF(L792="Sim",ROUND(F792-D792,2),0)))</f>
        <v/>
      </c>
      <c r="K792" s="97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inlineStr">
        <is>
          <t>Nao</t>
        </is>
      </c>
      <c r="W792" s="110" t="inlineStr">
        <is>
          <t>PC em analise</t>
        </is>
      </c>
      <c r="X792" s="110" t="inlineStr">
        <is>
          <t>Pedido de Compra</t>
        </is>
      </c>
      <c r="Y792" s="111" t="inlineStr">
        <is>
          <t>Impacto Potencial</t>
        </is>
      </c>
      <c r="Z792" s="111" t="inlineStr">
        <is>
          <t>PC</t>
        </is>
      </c>
      <c r="AA792" s="111" t="inlineStr">
        <is>
          <t>Nao</t>
        </is>
      </c>
      <c r="AB792" s="111" t="inlineStr">
        <is>
          <t>NAO_COMPUTADO</t>
        </is>
      </c>
      <c r="AC792" s="112" t="inlineStr">
        <is>
          <t>Estrutura Fase 1: sem impacto no VTA oficial</t>
        </is>
      </c>
    </row>
    <row r="793" ht="25.5" customHeight="1" s="289">
      <c r="A793" s="205" t="n"/>
      <c r="B793" s="207" t="n"/>
      <c r="C793" s="104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348" t="n"/>
      <c r="E793" s="349">
        <f>IF(C793="","",IFERROR(VLOOKUP(C793,parametros!$A$11:$E$15,5,0),""))</f>
        <v/>
      </c>
      <c r="F793" s="335">
        <f>IF(OR(D793="",E793=""),"",ROUND(D793*E793,2))</f>
        <v/>
      </c>
      <c r="G793" s="106" t="n"/>
      <c r="H793" s="350">
        <f>IF(G793="Sim",IF(OR(F793="",D793="",L793=""),"",IF(L793="Sim",ROUND(F793-D793,2),0)),0)</f>
        <v/>
      </c>
      <c r="I793" s="350">
        <f>IF(G793="Sim",0,IF(OR(F793="",L793=""),"",F793))</f>
        <v/>
      </c>
      <c r="J793" s="350">
        <f>IF(G793="Sim",0,IF(OR(F793="",D793="",L793=""),"",IF(L793="Sim",ROUND(F793-D793,2),0)))</f>
        <v/>
      </c>
      <c r="K793" s="97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inlineStr">
        <is>
          <t>Nao</t>
        </is>
      </c>
      <c r="W793" s="110" t="inlineStr">
        <is>
          <t>PC em analise</t>
        </is>
      </c>
      <c r="X793" s="110" t="inlineStr">
        <is>
          <t>Pedido de Compra</t>
        </is>
      </c>
      <c r="Y793" s="111" t="inlineStr">
        <is>
          <t>Impacto Potencial</t>
        </is>
      </c>
      <c r="Z793" s="111" t="inlineStr">
        <is>
          <t>PC</t>
        </is>
      </c>
      <c r="AA793" s="111" t="inlineStr">
        <is>
          <t>Nao</t>
        </is>
      </c>
      <c r="AB793" s="111" t="inlineStr">
        <is>
          <t>NAO_COMPUTADO</t>
        </is>
      </c>
      <c r="AC793" s="112" t="inlineStr">
        <is>
          <t>Estrutura Fase 1: sem impacto no VTA oficial</t>
        </is>
      </c>
    </row>
    <row r="794" ht="25.5" customHeight="1" s="289">
      <c r="A794" s="205" t="n"/>
      <c r="B794" s="207" t="n"/>
      <c r="C794" s="104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348" t="n"/>
      <c r="E794" s="349">
        <f>IF(C794="","",IFERROR(VLOOKUP(C794,parametros!$A$11:$E$15,5,0),""))</f>
        <v/>
      </c>
      <c r="F794" s="335">
        <f>IF(OR(D794="",E794=""),"",ROUND(D794*E794,2))</f>
        <v/>
      </c>
      <c r="G794" s="106" t="n"/>
      <c r="H794" s="350">
        <f>IF(G794="Sim",IF(OR(F794="",D794="",L794=""),"",IF(L794="Sim",ROUND(F794-D794,2),0)),0)</f>
        <v/>
      </c>
      <c r="I794" s="350">
        <f>IF(G794="Sim",0,IF(OR(F794="",L794=""),"",F794))</f>
        <v/>
      </c>
      <c r="J794" s="350">
        <f>IF(G794="Sim",0,IF(OR(F794="",D794="",L794=""),"",IF(L794="Sim",ROUND(F794-D794,2),0)))</f>
        <v/>
      </c>
      <c r="K794" s="97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inlineStr">
        <is>
          <t>Nao</t>
        </is>
      </c>
      <c r="W794" s="110" t="inlineStr">
        <is>
          <t>PC em analise</t>
        </is>
      </c>
      <c r="X794" s="110" t="inlineStr">
        <is>
          <t>Pedido de Compra</t>
        </is>
      </c>
      <c r="Y794" s="111" t="inlineStr">
        <is>
          <t>Impacto Potencial</t>
        </is>
      </c>
      <c r="Z794" s="111" t="inlineStr">
        <is>
          <t>PC</t>
        </is>
      </c>
      <c r="AA794" s="111" t="inlineStr">
        <is>
          <t>Nao</t>
        </is>
      </c>
      <c r="AB794" s="111" t="inlineStr">
        <is>
          <t>NAO_COMPUTADO</t>
        </is>
      </c>
      <c r="AC794" s="112" t="inlineStr">
        <is>
          <t>Estrutura Fase 1: sem impacto no VTA oficial</t>
        </is>
      </c>
    </row>
    <row r="795" ht="25.5" customHeight="1" s="289">
      <c r="A795" s="205" t="n"/>
      <c r="B795" s="207" t="n"/>
      <c r="C795" s="104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348" t="n"/>
      <c r="E795" s="349">
        <f>IF(C795="","",IFERROR(VLOOKUP(C795,parametros!$A$11:$E$15,5,0),""))</f>
        <v/>
      </c>
      <c r="F795" s="335">
        <f>IF(OR(D795="",E795=""),"",ROUND(D795*E795,2))</f>
        <v/>
      </c>
      <c r="G795" s="106" t="n"/>
      <c r="H795" s="350">
        <f>IF(G795="Sim",IF(OR(F795="",D795="",L795=""),"",IF(L795="Sim",ROUND(F795-D795,2),0)),0)</f>
        <v/>
      </c>
      <c r="I795" s="350">
        <f>IF(G795="Sim",0,IF(OR(F795="",L795=""),"",F795))</f>
        <v/>
      </c>
      <c r="J795" s="350">
        <f>IF(G795="Sim",0,IF(OR(F795="",D795="",L795=""),"",IF(L795="Sim",ROUND(F795-D795,2),0)))</f>
        <v/>
      </c>
      <c r="K795" s="97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inlineStr">
        <is>
          <t>Nao</t>
        </is>
      </c>
      <c r="W795" s="110" t="inlineStr">
        <is>
          <t>PC em analise</t>
        </is>
      </c>
      <c r="X795" s="110" t="inlineStr">
        <is>
          <t>Pedido de Compra</t>
        </is>
      </c>
      <c r="Y795" s="111" t="inlineStr">
        <is>
          <t>Impacto Potencial</t>
        </is>
      </c>
      <c r="Z795" s="111" t="inlineStr">
        <is>
          <t>PC</t>
        </is>
      </c>
      <c r="AA795" s="111" t="inlineStr">
        <is>
          <t>Nao</t>
        </is>
      </c>
      <c r="AB795" s="111" t="inlineStr">
        <is>
          <t>NAO_COMPUTADO</t>
        </is>
      </c>
      <c r="AC795" s="112" t="inlineStr">
        <is>
          <t>Estrutura Fase 1: sem impacto no VTA oficial</t>
        </is>
      </c>
    </row>
    <row r="796" ht="25.5" customHeight="1" s="289">
      <c r="A796" s="205" t="n"/>
      <c r="B796" s="207" t="n"/>
      <c r="C796" s="104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348" t="n"/>
      <c r="E796" s="349">
        <f>IF(C796="","",IFERROR(VLOOKUP(C796,parametros!$A$11:$E$15,5,0),""))</f>
        <v/>
      </c>
      <c r="F796" s="335">
        <f>IF(OR(D796="",E796=""),"",ROUND(D796*E796,2))</f>
        <v/>
      </c>
      <c r="G796" s="106" t="n"/>
      <c r="H796" s="350">
        <f>IF(G796="Sim",IF(OR(F796="",D796="",L796=""),"",IF(L796="Sim",ROUND(F796-D796,2),0)),0)</f>
        <v/>
      </c>
      <c r="I796" s="350">
        <f>IF(G796="Sim",0,IF(OR(F796="",L796=""),"",F796))</f>
        <v/>
      </c>
      <c r="J796" s="350">
        <f>IF(G796="Sim",0,IF(OR(F796="",D796="",L796=""),"",IF(L796="Sim",ROUND(F796-D796,2),0)))</f>
        <v/>
      </c>
      <c r="K796" s="97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inlineStr">
        <is>
          <t>Nao</t>
        </is>
      </c>
      <c r="W796" s="110" t="inlineStr">
        <is>
          <t>PC em analise</t>
        </is>
      </c>
      <c r="X796" s="110" t="inlineStr">
        <is>
          <t>Pedido de Compra</t>
        </is>
      </c>
      <c r="Y796" s="111" t="inlineStr">
        <is>
          <t>Impacto Potencial</t>
        </is>
      </c>
      <c r="Z796" s="111" t="inlineStr">
        <is>
          <t>PC</t>
        </is>
      </c>
      <c r="AA796" s="111" t="inlineStr">
        <is>
          <t>Nao</t>
        </is>
      </c>
      <c r="AB796" s="111" t="inlineStr">
        <is>
          <t>NAO_COMPUTADO</t>
        </is>
      </c>
      <c r="AC796" s="112" t="inlineStr">
        <is>
          <t>Estrutura Fase 1: sem impacto no VTA oficial</t>
        </is>
      </c>
    </row>
    <row r="797" ht="25.5" customHeight="1" s="289">
      <c r="A797" s="205" t="n"/>
      <c r="B797" s="207" t="n"/>
      <c r="C797" s="104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348" t="n"/>
      <c r="E797" s="349">
        <f>IF(C797="","",IFERROR(VLOOKUP(C797,parametros!$A$11:$E$15,5,0),""))</f>
        <v/>
      </c>
      <c r="F797" s="335">
        <f>IF(OR(D797="",E797=""),"",ROUND(D797*E797,2))</f>
        <v/>
      </c>
      <c r="G797" s="106" t="n"/>
      <c r="H797" s="350">
        <f>IF(G797="Sim",IF(OR(F797="",D797="",L797=""),"",IF(L797="Sim",ROUND(F797-D797,2),0)),0)</f>
        <v/>
      </c>
      <c r="I797" s="350">
        <f>IF(G797="Sim",0,IF(OR(F797="",L797=""),"",F797))</f>
        <v/>
      </c>
      <c r="J797" s="350">
        <f>IF(G797="Sim",0,IF(OR(F797="",D797="",L797=""),"",IF(L797="Sim",ROUND(F797-D797,2),0)))</f>
        <v/>
      </c>
      <c r="K797" s="97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inlineStr">
        <is>
          <t>Nao</t>
        </is>
      </c>
      <c r="W797" s="110" t="inlineStr">
        <is>
          <t>PC em analise</t>
        </is>
      </c>
      <c r="X797" s="110" t="inlineStr">
        <is>
          <t>Pedido de Compra</t>
        </is>
      </c>
      <c r="Y797" s="111" t="inlineStr">
        <is>
          <t>Impacto Potencial</t>
        </is>
      </c>
      <c r="Z797" s="111" t="inlineStr">
        <is>
          <t>PC</t>
        </is>
      </c>
      <c r="AA797" s="111" t="inlineStr">
        <is>
          <t>Nao</t>
        </is>
      </c>
      <c r="AB797" s="111" t="inlineStr">
        <is>
          <t>NAO_COMPUTADO</t>
        </is>
      </c>
      <c r="AC797" s="112" t="inlineStr">
        <is>
          <t>Estrutura Fase 1: sem impacto no VTA oficial</t>
        </is>
      </c>
    </row>
    <row r="798" ht="25.5" customHeight="1" s="289">
      <c r="A798" s="205" t="n"/>
      <c r="B798" s="207" t="n"/>
      <c r="C798" s="104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348" t="n"/>
      <c r="E798" s="349">
        <f>IF(C798="","",IFERROR(VLOOKUP(C798,parametros!$A$11:$E$15,5,0),""))</f>
        <v/>
      </c>
      <c r="F798" s="335">
        <f>IF(OR(D798="",E798=""),"",ROUND(D798*E798,2))</f>
        <v/>
      </c>
      <c r="G798" s="106" t="n"/>
      <c r="H798" s="350">
        <f>IF(G798="Sim",IF(OR(F798="",D798="",L798=""),"",IF(L798="Sim",ROUND(F798-D798,2),0)),0)</f>
        <v/>
      </c>
      <c r="I798" s="350">
        <f>IF(G798="Sim",0,IF(OR(F798="",L798=""),"",F798))</f>
        <v/>
      </c>
      <c r="J798" s="350">
        <f>IF(G798="Sim",0,IF(OR(F798="",D798="",L798=""),"",IF(L798="Sim",ROUND(F798-D798,2),0)))</f>
        <v/>
      </c>
      <c r="K798" s="97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inlineStr">
        <is>
          <t>Nao</t>
        </is>
      </c>
      <c r="W798" s="110" t="inlineStr">
        <is>
          <t>PC em analise</t>
        </is>
      </c>
      <c r="X798" s="110" t="inlineStr">
        <is>
          <t>Pedido de Compra</t>
        </is>
      </c>
      <c r="Y798" s="111" t="inlineStr">
        <is>
          <t>Impacto Potencial</t>
        </is>
      </c>
      <c r="Z798" s="111" t="inlineStr">
        <is>
          <t>PC</t>
        </is>
      </c>
      <c r="AA798" s="111" t="inlineStr">
        <is>
          <t>Nao</t>
        </is>
      </c>
      <c r="AB798" s="111" t="inlineStr">
        <is>
          <t>NAO_COMPUTADO</t>
        </is>
      </c>
      <c r="AC798" s="112" t="inlineStr">
        <is>
          <t>Estrutura Fase 1: sem impacto no VTA oficial</t>
        </is>
      </c>
    </row>
    <row r="799" ht="25.5" customHeight="1" s="289">
      <c r="A799" s="205" t="n"/>
      <c r="B799" s="207" t="n"/>
      <c r="C799" s="104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348" t="n"/>
      <c r="E799" s="349">
        <f>IF(C799="","",IFERROR(VLOOKUP(C799,parametros!$A$11:$E$15,5,0),""))</f>
        <v/>
      </c>
      <c r="F799" s="335">
        <f>IF(OR(D799="",E799=""),"",ROUND(D799*E799,2))</f>
        <v/>
      </c>
      <c r="G799" s="106" t="n"/>
      <c r="H799" s="350">
        <f>IF(G799="Sim",IF(OR(F799="",D799="",L799=""),"",IF(L799="Sim",ROUND(F799-D799,2),0)),0)</f>
        <v/>
      </c>
      <c r="I799" s="350">
        <f>IF(G799="Sim",0,IF(OR(F799="",L799=""),"",F799))</f>
        <v/>
      </c>
      <c r="J799" s="350">
        <f>IF(G799="Sim",0,IF(OR(F799="",D799="",L799=""),"",IF(L799="Sim",ROUND(F799-D799,2),0)))</f>
        <v/>
      </c>
      <c r="K799" s="97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inlineStr">
        <is>
          <t>Nao</t>
        </is>
      </c>
      <c r="W799" s="110" t="inlineStr">
        <is>
          <t>PC em analise</t>
        </is>
      </c>
      <c r="X799" s="110" t="inlineStr">
        <is>
          <t>Pedido de Compra</t>
        </is>
      </c>
      <c r="Y799" s="111" t="inlineStr">
        <is>
          <t>Impacto Potencial</t>
        </is>
      </c>
      <c r="Z799" s="111" t="inlineStr">
        <is>
          <t>PC</t>
        </is>
      </c>
      <c r="AA799" s="111" t="inlineStr">
        <is>
          <t>Nao</t>
        </is>
      </c>
      <c r="AB799" s="111" t="inlineStr">
        <is>
          <t>NAO_COMPUTADO</t>
        </is>
      </c>
      <c r="AC799" s="112" t="inlineStr">
        <is>
          <t>Estrutura Fase 1: sem impacto no VTA oficial</t>
        </is>
      </c>
    </row>
    <row r="800" ht="25.5" customHeight="1" s="289">
      <c r="A800" s="205" t="n"/>
      <c r="B800" s="207" t="n"/>
      <c r="C800" s="104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348" t="n"/>
      <c r="E800" s="349">
        <f>IF(C800="","",IFERROR(VLOOKUP(C800,parametros!$A$11:$E$15,5,0),""))</f>
        <v/>
      </c>
      <c r="F800" s="335">
        <f>IF(OR(D800="",E800=""),"",ROUND(D800*E800,2))</f>
        <v/>
      </c>
      <c r="G800" s="106" t="n"/>
      <c r="H800" s="350">
        <f>IF(G800="Sim",IF(OR(F800="",D800="",L800=""),"",IF(L800="Sim",ROUND(F800-D800,2),0)),0)</f>
        <v/>
      </c>
      <c r="I800" s="350">
        <f>IF(G800="Sim",0,IF(OR(F800="",L800=""),"",F800))</f>
        <v/>
      </c>
      <c r="J800" s="350">
        <f>IF(G800="Sim",0,IF(OR(F800="",D800="",L800=""),"",IF(L800="Sim",ROUND(F800-D800,2),0)))</f>
        <v/>
      </c>
      <c r="K800" s="97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inlineStr">
        <is>
          <t>Nao</t>
        </is>
      </c>
      <c r="W800" s="110" t="inlineStr">
        <is>
          <t>PC em analise</t>
        </is>
      </c>
      <c r="X800" s="110" t="inlineStr">
        <is>
          <t>Pedido de Compra</t>
        </is>
      </c>
      <c r="Y800" s="111" t="inlineStr">
        <is>
          <t>Impacto Potencial</t>
        </is>
      </c>
      <c r="Z800" s="111" t="inlineStr">
        <is>
          <t>PC</t>
        </is>
      </c>
      <c r="AA800" s="111" t="inlineStr">
        <is>
          <t>Nao</t>
        </is>
      </c>
      <c r="AB800" s="111" t="inlineStr">
        <is>
          <t>NAO_COMPUTADO</t>
        </is>
      </c>
      <c r="AC800" s="112" t="inlineStr">
        <is>
          <t>Estrutura Fase 1: sem impacto no VTA oficial</t>
        </is>
      </c>
    </row>
    <row r="801" ht="25.5" customHeight="1" s="289">
      <c r="A801" s="205" t="n"/>
      <c r="B801" s="207" t="n"/>
      <c r="C801" s="104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348" t="n"/>
      <c r="E801" s="349">
        <f>IF(C801="","",IFERROR(VLOOKUP(C801,parametros!$A$11:$E$15,5,0),""))</f>
        <v/>
      </c>
      <c r="F801" s="335">
        <f>IF(OR(D801="",E801=""),"",ROUND(D801*E801,2))</f>
        <v/>
      </c>
      <c r="G801" s="106" t="n"/>
      <c r="H801" s="350">
        <f>IF(G801="Sim",IF(OR(F801="",D801="",L801=""),"",IF(L801="Sim",ROUND(F801-D801,2),0)),0)</f>
        <v/>
      </c>
      <c r="I801" s="350">
        <f>IF(G801="Sim",0,IF(OR(F801="",L801=""),"",F801))</f>
        <v/>
      </c>
      <c r="J801" s="350">
        <f>IF(G801="Sim",0,IF(OR(F801="",D801="",L801=""),"",IF(L801="Sim",ROUND(F801-D801,2),0)))</f>
        <v/>
      </c>
      <c r="K801" s="97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inlineStr">
        <is>
          <t>Nao</t>
        </is>
      </c>
      <c r="W801" s="110" t="inlineStr">
        <is>
          <t>PC em analise</t>
        </is>
      </c>
      <c r="X801" s="110" t="inlineStr">
        <is>
          <t>Pedido de Compra</t>
        </is>
      </c>
      <c r="Y801" s="111" t="inlineStr">
        <is>
          <t>Impacto Potencial</t>
        </is>
      </c>
      <c r="Z801" s="111" t="inlineStr">
        <is>
          <t>PC</t>
        </is>
      </c>
      <c r="AA801" s="111" t="inlineStr">
        <is>
          <t>Nao</t>
        </is>
      </c>
      <c r="AB801" s="111" t="inlineStr">
        <is>
          <t>NAO_COMPUTADO</t>
        </is>
      </c>
      <c r="AC801" s="112" t="inlineStr">
        <is>
          <t>Estrutura Fase 1: sem impacto no VTA oficial</t>
        </is>
      </c>
    </row>
    <row r="802" ht="25.5" customHeight="1" s="289">
      <c r="A802" s="205" t="n"/>
      <c r="B802" s="207" t="n"/>
      <c r="C802" s="104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348" t="n"/>
      <c r="E802" s="349">
        <f>IF(C802="","",IFERROR(VLOOKUP(C802,parametros!$A$11:$E$15,5,0),""))</f>
        <v/>
      </c>
      <c r="F802" s="335">
        <f>IF(OR(D802="",E802=""),"",ROUND(D802*E802,2))</f>
        <v/>
      </c>
      <c r="G802" s="106" t="n"/>
      <c r="H802" s="350">
        <f>IF(G802="Sim",IF(OR(F802="",D802="",L802=""),"",IF(L802="Sim",ROUND(F802-D802,2),0)),0)</f>
        <v/>
      </c>
      <c r="I802" s="350">
        <f>IF(G802="Sim",0,IF(OR(F802="",L802=""),"",F802))</f>
        <v/>
      </c>
      <c r="J802" s="350">
        <f>IF(G802="Sim",0,IF(OR(F802="",D802="",L802=""),"",IF(L802="Sim",ROUND(F802-D802,2),0)))</f>
        <v/>
      </c>
      <c r="K802" s="97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inlineStr">
        <is>
          <t>Nao</t>
        </is>
      </c>
      <c r="W802" s="110" t="inlineStr">
        <is>
          <t>PC em analise</t>
        </is>
      </c>
      <c r="X802" s="110" t="inlineStr">
        <is>
          <t>Pedido de Compra</t>
        </is>
      </c>
      <c r="Y802" s="111" t="inlineStr">
        <is>
          <t>Impacto Potencial</t>
        </is>
      </c>
      <c r="Z802" s="111" t="inlineStr">
        <is>
          <t>PC</t>
        </is>
      </c>
      <c r="AA802" s="111" t="inlineStr">
        <is>
          <t>Nao</t>
        </is>
      </c>
      <c r="AB802" s="111" t="inlineStr">
        <is>
          <t>NAO_COMPUTADO</t>
        </is>
      </c>
      <c r="AC802" s="112" t="inlineStr">
        <is>
          <t>Estrutura Fase 1: sem impacto no VTA oficial</t>
        </is>
      </c>
    </row>
    <row r="803" ht="25.5" customHeight="1" s="289">
      <c r="A803" s="205" t="n"/>
      <c r="B803" s="207" t="n"/>
      <c r="C803" s="104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348" t="n"/>
      <c r="E803" s="349">
        <f>IF(C803="","",IFERROR(VLOOKUP(C803,parametros!$A$11:$E$15,5,0),""))</f>
        <v/>
      </c>
      <c r="F803" s="335">
        <f>IF(OR(D803="",E803=""),"",ROUND(D803*E803,2))</f>
        <v/>
      </c>
      <c r="G803" s="106" t="n"/>
      <c r="H803" s="350">
        <f>IF(G803="Sim",IF(OR(F803="",D803="",L803=""),"",IF(L803="Sim",ROUND(F803-D803,2),0)),0)</f>
        <v/>
      </c>
      <c r="I803" s="350">
        <f>IF(G803="Sim",0,IF(OR(F803="",L803=""),"",F803))</f>
        <v/>
      </c>
      <c r="J803" s="350">
        <f>IF(G803="Sim",0,IF(OR(F803="",D803="",L803=""),"",IF(L803="Sim",ROUND(F803-D803,2),0)))</f>
        <v/>
      </c>
      <c r="K803" s="97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inlineStr">
        <is>
          <t>Nao</t>
        </is>
      </c>
      <c r="W803" s="110" t="inlineStr">
        <is>
          <t>PC em analise</t>
        </is>
      </c>
      <c r="X803" s="110" t="inlineStr">
        <is>
          <t>Pedido de Compra</t>
        </is>
      </c>
      <c r="Y803" s="111" t="inlineStr">
        <is>
          <t>Impacto Potencial</t>
        </is>
      </c>
      <c r="Z803" s="111" t="inlineStr">
        <is>
          <t>PC</t>
        </is>
      </c>
      <c r="AA803" s="111" t="inlineStr">
        <is>
          <t>Nao</t>
        </is>
      </c>
      <c r="AB803" s="111" t="inlineStr">
        <is>
          <t>NAO_COMPUTADO</t>
        </is>
      </c>
      <c r="AC803" s="112" t="inlineStr">
        <is>
          <t>Estrutura Fase 1: sem impacto no VTA oficial</t>
        </is>
      </c>
    </row>
    <row r="804" ht="25.5" customHeight="1" s="289">
      <c r="A804" s="205" t="n"/>
      <c r="B804" s="207" t="n"/>
      <c r="C804" s="104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348" t="n"/>
      <c r="E804" s="349">
        <f>IF(C804="","",IFERROR(VLOOKUP(C804,parametros!$A$11:$E$15,5,0),""))</f>
        <v/>
      </c>
      <c r="F804" s="335">
        <f>IF(OR(D804="",E804=""),"",ROUND(D804*E804,2))</f>
        <v/>
      </c>
      <c r="G804" s="106" t="n"/>
      <c r="H804" s="350">
        <f>IF(G804="Sim",IF(OR(F804="",D804="",L804=""),"",IF(L804="Sim",ROUND(F804-D804,2),0)),0)</f>
        <v/>
      </c>
      <c r="I804" s="350">
        <f>IF(G804="Sim",0,IF(OR(F804="",L804=""),"",F804))</f>
        <v/>
      </c>
      <c r="J804" s="350">
        <f>IF(G804="Sim",0,IF(OR(F804="",D804="",L804=""),"",IF(L804="Sim",ROUND(F804-D804,2),0)))</f>
        <v/>
      </c>
      <c r="K804" s="97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inlineStr">
        <is>
          <t>Nao</t>
        </is>
      </c>
      <c r="W804" s="110" t="inlineStr">
        <is>
          <t>PC em analise</t>
        </is>
      </c>
      <c r="X804" s="110" t="inlineStr">
        <is>
          <t>Pedido de Compra</t>
        </is>
      </c>
      <c r="Y804" s="111" t="inlineStr">
        <is>
          <t>Impacto Potencial</t>
        </is>
      </c>
      <c r="Z804" s="111" t="inlineStr">
        <is>
          <t>PC</t>
        </is>
      </c>
      <c r="AA804" s="111" t="inlineStr">
        <is>
          <t>Nao</t>
        </is>
      </c>
      <c r="AB804" s="111" t="inlineStr">
        <is>
          <t>NAO_COMPUTADO</t>
        </is>
      </c>
      <c r="AC804" s="112" t="inlineStr">
        <is>
          <t>Estrutura Fase 1: sem impacto no VTA oficial</t>
        </is>
      </c>
    </row>
    <row r="805" ht="25.5" customHeight="1" s="289">
      <c r="A805" s="205" t="n"/>
      <c r="B805" s="207" t="n"/>
      <c r="C805" s="104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348" t="n"/>
      <c r="E805" s="349">
        <f>IF(C805="","",IFERROR(VLOOKUP(C805,parametros!$A$11:$E$15,5,0),""))</f>
        <v/>
      </c>
      <c r="F805" s="335">
        <f>IF(OR(D805="",E805=""),"",ROUND(D805*E805,2))</f>
        <v/>
      </c>
      <c r="G805" s="106" t="n"/>
      <c r="H805" s="350">
        <f>IF(G805="Sim",IF(OR(F805="",D805="",L805=""),"",IF(L805="Sim",ROUND(F805-D805,2),0)),0)</f>
        <v/>
      </c>
      <c r="I805" s="350">
        <f>IF(G805="Sim",0,IF(OR(F805="",L805=""),"",F805))</f>
        <v/>
      </c>
      <c r="J805" s="350">
        <f>IF(G805="Sim",0,IF(OR(F805="",D805="",L805=""),"",IF(L805="Sim",ROUND(F805-D805,2),0)))</f>
        <v/>
      </c>
      <c r="K805" s="97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inlineStr">
        <is>
          <t>Nao</t>
        </is>
      </c>
      <c r="W805" s="110" t="inlineStr">
        <is>
          <t>PC em analise</t>
        </is>
      </c>
      <c r="X805" s="110" t="inlineStr">
        <is>
          <t>Pedido de Compra</t>
        </is>
      </c>
      <c r="Y805" s="111" t="inlineStr">
        <is>
          <t>Impacto Potencial</t>
        </is>
      </c>
      <c r="Z805" s="111" t="inlineStr">
        <is>
          <t>PC</t>
        </is>
      </c>
      <c r="AA805" s="111" t="inlineStr">
        <is>
          <t>Nao</t>
        </is>
      </c>
      <c r="AB805" s="111" t="inlineStr">
        <is>
          <t>NAO_COMPUTADO</t>
        </is>
      </c>
      <c r="AC805" s="112" t="inlineStr">
        <is>
          <t>Estrutura Fase 1: sem impacto no VTA oficial</t>
        </is>
      </c>
    </row>
    <row r="806" ht="25.5" customHeight="1" s="289">
      <c r="A806" s="205" t="n"/>
      <c r="B806" s="207" t="n"/>
      <c r="C806" s="104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348" t="n"/>
      <c r="E806" s="349">
        <f>IF(C806="","",IFERROR(VLOOKUP(C806,parametros!$A$11:$E$15,5,0),""))</f>
        <v/>
      </c>
      <c r="F806" s="335">
        <f>IF(OR(D806="",E806=""),"",ROUND(D806*E806,2))</f>
        <v/>
      </c>
      <c r="G806" s="106" t="n"/>
      <c r="H806" s="350">
        <f>IF(G806="Sim",IF(OR(F806="",D806="",L806=""),"",IF(L806="Sim",ROUND(F806-D806,2),0)),0)</f>
        <v/>
      </c>
      <c r="I806" s="350">
        <f>IF(G806="Sim",0,IF(OR(F806="",L806=""),"",F806))</f>
        <v/>
      </c>
      <c r="J806" s="350">
        <f>IF(G806="Sim",0,IF(OR(F806="",D806="",L806=""),"",IF(L806="Sim",ROUND(F806-D806,2),0)))</f>
        <v/>
      </c>
      <c r="K806" s="97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inlineStr">
        <is>
          <t>Nao</t>
        </is>
      </c>
      <c r="W806" s="110" t="inlineStr">
        <is>
          <t>PC em analise</t>
        </is>
      </c>
      <c r="X806" s="110" t="inlineStr">
        <is>
          <t>Pedido de Compra</t>
        </is>
      </c>
      <c r="Y806" s="111" t="inlineStr">
        <is>
          <t>Impacto Potencial</t>
        </is>
      </c>
      <c r="Z806" s="111" t="inlineStr">
        <is>
          <t>PC</t>
        </is>
      </c>
      <c r="AA806" s="111" t="inlineStr">
        <is>
          <t>Nao</t>
        </is>
      </c>
      <c r="AB806" s="111" t="inlineStr">
        <is>
          <t>NAO_COMPUTADO</t>
        </is>
      </c>
      <c r="AC806" s="112" t="inlineStr">
        <is>
          <t>Estrutura Fase 1: sem impacto no VTA oficial</t>
        </is>
      </c>
    </row>
    <row r="807" ht="25.5" customHeight="1" s="289">
      <c r="A807" s="205" t="n"/>
      <c r="B807" s="207" t="n"/>
      <c r="C807" s="104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348" t="n"/>
      <c r="E807" s="349">
        <f>IF(C807="","",IFERROR(VLOOKUP(C807,parametros!$A$11:$E$15,5,0),""))</f>
        <v/>
      </c>
      <c r="F807" s="335">
        <f>IF(OR(D807="",E807=""),"",ROUND(D807*E807,2))</f>
        <v/>
      </c>
      <c r="G807" s="106" t="n"/>
      <c r="H807" s="350">
        <f>IF(G807="Sim",IF(OR(F807="",D807="",L807=""),"",IF(L807="Sim",ROUND(F807-D807,2),0)),0)</f>
        <v/>
      </c>
      <c r="I807" s="350">
        <f>IF(G807="Sim",0,IF(OR(F807="",L807=""),"",F807))</f>
        <v/>
      </c>
      <c r="J807" s="350">
        <f>IF(G807="Sim",0,IF(OR(F807="",D807="",L807=""),"",IF(L807="Sim",ROUND(F807-D807,2),0)))</f>
        <v/>
      </c>
      <c r="K807" s="97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inlineStr">
        <is>
          <t>Nao</t>
        </is>
      </c>
      <c r="W807" s="110" t="inlineStr">
        <is>
          <t>PC em analise</t>
        </is>
      </c>
      <c r="X807" s="110" t="inlineStr">
        <is>
          <t>Pedido de Compra</t>
        </is>
      </c>
      <c r="Y807" s="111" t="inlineStr">
        <is>
          <t>Impacto Potencial</t>
        </is>
      </c>
      <c r="Z807" s="111" t="inlineStr">
        <is>
          <t>PC</t>
        </is>
      </c>
      <c r="AA807" s="111" t="inlineStr">
        <is>
          <t>Nao</t>
        </is>
      </c>
      <c r="AB807" s="111" t="inlineStr">
        <is>
          <t>NAO_COMPUTADO</t>
        </is>
      </c>
      <c r="AC807" s="112" t="inlineStr">
        <is>
          <t>Estrutura Fase 1: sem impacto no VTA oficial</t>
        </is>
      </c>
    </row>
    <row r="808" ht="25.5" customHeight="1" s="289">
      <c r="A808" s="205" t="n"/>
      <c r="B808" s="207" t="n"/>
      <c r="C808" s="104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348" t="n"/>
      <c r="E808" s="349">
        <f>IF(C808="","",IFERROR(VLOOKUP(C808,parametros!$A$11:$E$15,5,0),""))</f>
        <v/>
      </c>
      <c r="F808" s="335">
        <f>IF(OR(D808="",E808=""),"",ROUND(D808*E808,2))</f>
        <v/>
      </c>
      <c r="G808" s="106" t="n"/>
      <c r="H808" s="350">
        <f>IF(G808="Sim",IF(OR(F808="",D808="",L808=""),"",IF(L808="Sim",ROUND(F808-D808,2),0)),0)</f>
        <v/>
      </c>
      <c r="I808" s="350">
        <f>IF(G808="Sim",0,IF(OR(F808="",L808=""),"",F808))</f>
        <v/>
      </c>
      <c r="J808" s="350">
        <f>IF(G808="Sim",0,IF(OR(F808="",D808="",L808=""),"",IF(L808="Sim",ROUND(F808-D808,2),0)))</f>
        <v/>
      </c>
      <c r="K808" s="97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inlineStr">
        <is>
          <t>Nao</t>
        </is>
      </c>
      <c r="W808" s="110" t="inlineStr">
        <is>
          <t>PC em analise</t>
        </is>
      </c>
      <c r="X808" s="110" t="inlineStr">
        <is>
          <t>Pedido de Compra</t>
        </is>
      </c>
      <c r="Y808" s="111" t="inlineStr">
        <is>
          <t>Impacto Potencial</t>
        </is>
      </c>
      <c r="Z808" s="111" t="inlineStr">
        <is>
          <t>PC</t>
        </is>
      </c>
      <c r="AA808" s="111" t="inlineStr">
        <is>
          <t>Nao</t>
        </is>
      </c>
      <c r="AB808" s="111" t="inlineStr">
        <is>
          <t>NAO_COMPUTADO</t>
        </is>
      </c>
      <c r="AC808" s="112" t="inlineStr">
        <is>
          <t>Estrutura Fase 1: sem impacto no VTA oficial</t>
        </is>
      </c>
    </row>
    <row r="809" ht="25.5" customHeight="1" s="289">
      <c r="A809" s="205" t="n"/>
      <c r="B809" s="207" t="n"/>
      <c r="C809" s="104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348" t="n"/>
      <c r="E809" s="349">
        <f>IF(C809="","",IFERROR(VLOOKUP(C809,parametros!$A$11:$E$15,5,0),""))</f>
        <v/>
      </c>
      <c r="F809" s="335">
        <f>IF(OR(D809="",E809=""),"",ROUND(D809*E809,2))</f>
        <v/>
      </c>
      <c r="G809" s="106" t="n"/>
      <c r="H809" s="350">
        <f>IF(G809="Sim",IF(OR(F809="",D809="",L809=""),"",IF(L809="Sim",ROUND(F809-D809,2),0)),0)</f>
        <v/>
      </c>
      <c r="I809" s="350">
        <f>IF(G809="Sim",0,IF(OR(F809="",L809=""),"",F809))</f>
        <v/>
      </c>
      <c r="J809" s="350">
        <f>IF(G809="Sim",0,IF(OR(F809="",D809="",L809=""),"",IF(L809="Sim",ROUND(F809-D809,2),0)))</f>
        <v/>
      </c>
      <c r="K809" s="97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inlineStr">
        <is>
          <t>Nao</t>
        </is>
      </c>
      <c r="W809" s="110" t="inlineStr">
        <is>
          <t>PC em analise</t>
        </is>
      </c>
      <c r="X809" s="110" t="inlineStr">
        <is>
          <t>Pedido de Compra</t>
        </is>
      </c>
      <c r="Y809" s="111" t="inlineStr">
        <is>
          <t>Impacto Potencial</t>
        </is>
      </c>
      <c r="Z809" s="111" t="inlineStr">
        <is>
          <t>PC</t>
        </is>
      </c>
      <c r="AA809" s="111" t="inlineStr">
        <is>
          <t>Nao</t>
        </is>
      </c>
      <c r="AB809" s="111" t="inlineStr">
        <is>
          <t>NAO_COMPUTADO</t>
        </is>
      </c>
      <c r="AC809" s="112" t="inlineStr">
        <is>
          <t>Estrutura Fase 1: sem impacto no VTA oficial</t>
        </is>
      </c>
    </row>
    <row r="810" ht="25.5" customHeight="1" s="289">
      <c r="A810" s="205" t="n"/>
      <c r="B810" s="207" t="n"/>
      <c r="C810" s="104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348" t="n"/>
      <c r="E810" s="349">
        <f>IF(C810="","",IFERROR(VLOOKUP(C810,parametros!$A$11:$E$15,5,0),""))</f>
        <v/>
      </c>
      <c r="F810" s="335">
        <f>IF(OR(D810="",E810=""),"",ROUND(D810*E810,2))</f>
        <v/>
      </c>
      <c r="G810" s="106" t="n"/>
      <c r="H810" s="350">
        <f>IF(G810="Sim",IF(OR(F810="",D810="",L810=""),"",IF(L810="Sim",ROUND(F810-D810,2),0)),0)</f>
        <v/>
      </c>
      <c r="I810" s="350">
        <f>IF(G810="Sim",0,IF(OR(F810="",L810=""),"",F810))</f>
        <v/>
      </c>
      <c r="J810" s="350">
        <f>IF(G810="Sim",0,IF(OR(F810="",D810="",L810=""),"",IF(L810="Sim",ROUND(F810-D810,2),0)))</f>
        <v/>
      </c>
      <c r="K810" s="97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inlineStr">
        <is>
          <t>Nao</t>
        </is>
      </c>
      <c r="W810" s="110" t="inlineStr">
        <is>
          <t>PC em analise</t>
        </is>
      </c>
      <c r="X810" s="110" t="inlineStr">
        <is>
          <t>Pedido de Compra</t>
        </is>
      </c>
      <c r="Y810" s="111" t="inlineStr">
        <is>
          <t>Impacto Potencial</t>
        </is>
      </c>
      <c r="Z810" s="111" t="inlineStr">
        <is>
          <t>PC</t>
        </is>
      </c>
      <c r="AA810" s="111" t="inlineStr">
        <is>
          <t>Nao</t>
        </is>
      </c>
      <c r="AB810" s="111" t="inlineStr">
        <is>
          <t>NAO_COMPUTADO</t>
        </is>
      </c>
      <c r="AC810" s="112" t="inlineStr">
        <is>
          <t>Estrutura Fase 1: sem impacto no VTA oficial</t>
        </is>
      </c>
    </row>
    <row r="811" ht="25.5" customHeight="1" s="289">
      <c r="A811" s="205" t="n"/>
      <c r="B811" s="207" t="n"/>
      <c r="C811" s="104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348" t="n"/>
      <c r="E811" s="349">
        <f>IF(C811="","",IFERROR(VLOOKUP(C811,parametros!$A$11:$E$15,5,0),""))</f>
        <v/>
      </c>
      <c r="F811" s="335">
        <f>IF(OR(D811="",E811=""),"",ROUND(D811*E811,2))</f>
        <v/>
      </c>
      <c r="G811" s="106" t="n"/>
      <c r="H811" s="350">
        <f>IF(G811="Sim",IF(OR(F811="",D811="",L811=""),"",IF(L811="Sim",ROUND(F811-D811,2),0)),0)</f>
        <v/>
      </c>
      <c r="I811" s="350">
        <f>IF(G811="Sim",0,IF(OR(F811="",L811=""),"",F811))</f>
        <v/>
      </c>
      <c r="J811" s="350">
        <f>IF(G811="Sim",0,IF(OR(F811="",D811="",L811=""),"",IF(L811="Sim",ROUND(F811-D811,2),0)))</f>
        <v/>
      </c>
      <c r="K811" s="97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inlineStr">
        <is>
          <t>Nao</t>
        </is>
      </c>
      <c r="W811" s="110" t="inlineStr">
        <is>
          <t>PC em analise</t>
        </is>
      </c>
      <c r="X811" s="110" t="inlineStr">
        <is>
          <t>Pedido de Compra</t>
        </is>
      </c>
      <c r="Y811" s="111" t="inlineStr">
        <is>
          <t>Impacto Potencial</t>
        </is>
      </c>
      <c r="Z811" s="111" t="inlineStr">
        <is>
          <t>PC</t>
        </is>
      </c>
      <c r="AA811" s="111" t="inlineStr">
        <is>
          <t>Nao</t>
        </is>
      </c>
      <c r="AB811" s="111" t="inlineStr">
        <is>
          <t>NAO_COMPUTADO</t>
        </is>
      </c>
      <c r="AC811" s="112" t="inlineStr">
        <is>
          <t>Estrutura Fase 1: sem impacto no VTA oficial</t>
        </is>
      </c>
    </row>
    <row r="812" ht="25.5" customHeight="1" s="289">
      <c r="A812" s="205" t="n"/>
      <c r="B812" s="207" t="n"/>
      <c r="C812" s="104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348" t="n"/>
      <c r="E812" s="349">
        <f>IF(C812="","",IFERROR(VLOOKUP(C812,parametros!$A$11:$E$15,5,0),""))</f>
        <v/>
      </c>
      <c r="F812" s="335">
        <f>IF(OR(D812="",E812=""),"",ROUND(D812*E812,2))</f>
        <v/>
      </c>
      <c r="G812" s="106" t="n"/>
      <c r="H812" s="350">
        <f>IF(G812="Sim",IF(OR(F812="",D812="",L812=""),"",IF(L812="Sim",ROUND(F812-D812,2),0)),0)</f>
        <v/>
      </c>
      <c r="I812" s="350">
        <f>IF(G812="Sim",0,IF(OR(F812="",L812=""),"",F812))</f>
        <v/>
      </c>
      <c r="J812" s="350">
        <f>IF(G812="Sim",0,IF(OR(F812="",D812="",L812=""),"",IF(L812="Sim",ROUND(F812-D812,2),0)))</f>
        <v/>
      </c>
      <c r="K812" s="97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inlineStr">
        <is>
          <t>Nao</t>
        </is>
      </c>
      <c r="W812" s="110" t="inlineStr">
        <is>
          <t>PC em analise</t>
        </is>
      </c>
      <c r="X812" s="110" t="inlineStr">
        <is>
          <t>Pedido de Compra</t>
        </is>
      </c>
      <c r="Y812" s="111" t="inlineStr">
        <is>
          <t>Impacto Potencial</t>
        </is>
      </c>
      <c r="Z812" s="111" t="inlineStr">
        <is>
          <t>PC</t>
        </is>
      </c>
      <c r="AA812" s="111" t="inlineStr">
        <is>
          <t>Nao</t>
        </is>
      </c>
      <c r="AB812" s="111" t="inlineStr">
        <is>
          <t>NAO_COMPUTADO</t>
        </is>
      </c>
      <c r="AC812" s="112" t="inlineStr">
        <is>
          <t>Estrutura Fase 1: sem impacto no VTA oficial</t>
        </is>
      </c>
    </row>
    <row r="813" ht="25.5" customHeight="1" s="289">
      <c r="A813" s="205" t="n"/>
      <c r="B813" s="207" t="n"/>
      <c r="C813" s="104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348" t="n"/>
      <c r="E813" s="349">
        <f>IF(C813="","",IFERROR(VLOOKUP(C813,parametros!$A$11:$E$15,5,0),""))</f>
        <v/>
      </c>
      <c r="F813" s="335">
        <f>IF(OR(D813="",E813=""),"",ROUND(D813*E813,2))</f>
        <v/>
      </c>
      <c r="G813" s="106" t="n"/>
      <c r="H813" s="350">
        <f>IF(G813="Sim",IF(OR(F813="",D813="",L813=""),"",IF(L813="Sim",ROUND(F813-D813,2),0)),0)</f>
        <v/>
      </c>
      <c r="I813" s="350">
        <f>IF(G813="Sim",0,IF(OR(F813="",L813=""),"",F813))</f>
        <v/>
      </c>
      <c r="J813" s="350">
        <f>IF(G813="Sim",0,IF(OR(F813="",D813="",L813=""),"",IF(L813="Sim",ROUND(F813-D813,2),0)))</f>
        <v/>
      </c>
      <c r="K813" s="97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inlineStr">
        <is>
          <t>Nao</t>
        </is>
      </c>
      <c r="W813" s="110" t="inlineStr">
        <is>
          <t>PC em analise</t>
        </is>
      </c>
      <c r="X813" s="110" t="inlineStr">
        <is>
          <t>Pedido de Compra</t>
        </is>
      </c>
      <c r="Y813" s="111" t="inlineStr">
        <is>
          <t>Impacto Potencial</t>
        </is>
      </c>
      <c r="Z813" s="111" t="inlineStr">
        <is>
          <t>PC</t>
        </is>
      </c>
      <c r="AA813" s="111" t="inlineStr">
        <is>
          <t>Nao</t>
        </is>
      </c>
      <c r="AB813" s="111" t="inlineStr">
        <is>
          <t>NAO_COMPUTADO</t>
        </is>
      </c>
      <c r="AC813" s="112" t="inlineStr">
        <is>
          <t>Estrutura Fase 1: sem impacto no VTA oficial</t>
        </is>
      </c>
    </row>
    <row r="814" ht="25.5" customHeight="1" s="289">
      <c r="A814" s="205" t="n"/>
      <c r="B814" s="207" t="n"/>
      <c r="C814" s="104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348" t="n"/>
      <c r="E814" s="349">
        <f>IF(C814="","",IFERROR(VLOOKUP(C814,parametros!$A$11:$E$15,5,0),""))</f>
        <v/>
      </c>
      <c r="F814" s="335">
        <f>IF(OR(D814="",E814=""),"",ROUND(D814*E814,2))</f>
        <v/>
      </c>
      <c r="G814" s="106" t="n"/>
      <c r="H814" s="350">
        <f>IF(G814="Sim",IF(OR(F814="",D814="",L814=""),"",IF(L814="Sim",ROUND(F814-D814,2),0)),0)</f>
        <v/>
      </c>
      <c r="I814" s="350">
        <f>IF(G814="Sim",0,IF(OR(F814="",L814=""),"",F814))</f>
        <v/>
      </c>
      <c r="J814" s="350">
        <f>IF(G814="Sim",0,IF(OR(F814="",D814="",L814=""),"",IF(L814="Sim",ROUND(F814-D814,2),0)))</f>
        <v/>
      </c>
      <c r="K814" s="97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inlineStr">
        <is>
          <t>Nao</t>
        </is>
      </c>
      <c r="W814" s="110" t="inlineStr">
        <is>
          <t>PC em analise</t>
        </is>
      </c>
      <c r="X814" s="110" t="inlineStr">
        <is>
          <t>Pedido de Compra</t>
        </is>
      </c>
      <c r="Y814" s="111" t="inlineStr">
        <is>
          <t>Impacto Potencial</t>
        </is>
      </c>
      <c r="Z814" s="111" t="inlineStr">
        <is>
          <t>PC</t>
        </is>
      </c>
      <c r="AA814" s="111" t="inlineStr">
        <is>
          <t>Nao</t>
        </is>
      </c>
      <c r="AB814" s="111" t="inlineStr">
        <is>
          <t>NAO_COMPUTADO</t>
        </is>
      </c>
      <c r="AC814" s="112" t="inlineStr">
        <is>
          <t>Estrutura Fase 1: sem impacto no VTA oficial</t>
        </is>
      </c>
    </row>
    <row r="815" ht="25.5" customHeight="1" s="289">
      <c r="A815" s="205" t="n"/>
      <c r="B815" s="207" t="n"/>
      <c r="C815" s="104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348" t="n"/>
      <c r="E815" s="349">
        <f>IF(C815="","",IFERROR(VLOOKUP(C815,parametros!$A$11:$E$15,5,0),""))</f>
        <v/>
      </c>
      <c r="F815" s="335">
        <f>IF(OR(D815="",E815=""),"",ROUND(D815*E815,2))</f>
        <v/>
      </c>
      <c r="G815" s="106" t="n"/>
      <c r="H815" s="350">
        <f>IF(G815="Sim",IF(OR(F815="",D815="",L815=""),"",IF(L815="Sim",ROUND(F815-D815,2),0)),0)</f>
        <v/>
      </c>
      <c r="I815" s="350">
        <f>IF(G815="Sim",0,IF(OR(F815="",L815=""),"",F815))</f>
        <v/>
      </c>
      <c r="J815" s="350">
        <f>IF(G815="Sim",0,IF(OR(F815="",D815="",L815=""),"",IF(L815="Sim",ROUND(F815-D815,2),0)))</f>
        <v/>
      </c>
      <c r="K815" s="97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inlineStr">
        <is>
          <t>Nao</t>
        </is>
      </c>
      <c r="W815" s="110" t="inlineStr">
        <is>
          <t>PC em analise</t>
        </is>
      </c>
      <c r="X815" s="110" t="inlineStr">
        <is>
          <t>Pedido de Compra</t>
        </is>
      </c>
      <c r="Y815" s="111" t="inlineStr">
        <is>
          <t>Impacto Potencial</t>
        </is>
      </c>
      <c r="Z815" s="111" t="inlineStr">
        <is>
          <t>PC</t>
        </is>
      </c>
      <c r="AA815" s="111" t="inlineStr">
        <is>
          <t>Nao</t>
        </is>
      </c>
      <c r="AB815" s="111" t="inlineStr">
        <is>
          <t>NAO_COMPUTADO</t>
        </is>
      </c>
      <c r="AC815" s="112" t="inlineStr">
        <is>
          <t>Estrutura Fase 1: sem impacto no VTA oficial</t>
        </is>
      </c>
    </row>
    <row r="816" ht="25.5" customHeight="1" s="289">
      <c r="A816" s="205" t="n"/>
      <c r="B816" s="207" t="n"/>
      <c r="C816" s="104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348" t="n"/>
      <c r="E816" s="349">
        <f>IF(C816="","",IFERROR(VLOOKUP(C816,parametros!$A$11:$E$15,5,0),""))</f>
        <v/>
      </c>
      <c r="F816" s="335">
        <f>IF(OR(D816="",E816=""),"",ROUND(D816*E816,2))</f>
        <v/>
      </c>
      <c r="G816" s="106" t="n"/>
      <c r="H816" s="350">
        <f>IF(G816="Sim",IF(OR(F816="",D816="",L816=""),"",IF(L816="Sim",ROUND(F816-D816,2),0)),0)</f>
        <v/>
      </c>
      <c r="I816" s="350">
        <f>IF(G816="Sim",0,IF(OR(F816="",L816=""),"",F816))</f>
        <v/>
      </c>
      <c r="J816" s="350">
        <f>IF(G816="Sim",0,IF(OR(F816="",D816="",L816=""),"",IF(L816="Sim",ROUND(F816-D816,2),0)))</f>
        <v/>
      </c>
      <c r="K816" s="97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inlineStr">
        <is>
          <t>Nao</t>
        </is>
      </c>
      <c r="W816" s="110" t="inlineStr">
        <is>
          <t>PC em analise</t>
        </is>
      </c>
      <c r="X816" s="110" t="inlineStr">
        <is>
          <t>Pedido de Compra</t>
        </is>
      </c>
      <c r="Y816" s="111" t="inlineStr">
        <is>
          <t>Impacto Potencial</t>
        </is>
      </c>
      <c r="Z816" s="111" t="inlineStr">
        <is>
          <t>PC</t>
        </is>
      </c>
      <c r="AA816" s="111" t="inlineStr">
        <is>
          <t>Nao</t>
        </is>
      </c>
      <c r="AB816" s="111" t="inlineStr">
        <is>
          <t>NAO_COMPUTADO</t>
        </is>
      </c>
      <c r="AC816" s="112" t="inlineStr">
        <is>
          <t>Estrutura Fase 1: sem impacto no VTA oficial</t>
        </is>
      </c>
    </row>
    <row r="817" ht="25.5" customHeight="1" s="289">
      <c r="A817" s="205" t="n"/>
      <c r="B817" s="207" t="n"/>
      <c r="C817" s="104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348" t="n"/>
      <c r="E817" s="349">
        <f>IF(C817="","",IFERROR(VLOOKUP(C817,parametros!$A$11:$E$15,5,0),""))</f>
        <v/>
      </c>
      <c r="F817" s="335">
        <f>IF(OR(D817="",E817=""),"",ROUND(D817*E817,2))</f>
        <v/>
      </c>
      <c r="G817" s="106" t="n"/>
      <c r="H817" s="350">
        <f>IF(G817="Sim",IF(OR(F817="",D817="",L817=""),"",IF(L817="Sim",ROUND(F817-D817,2),0)),0)</f>
        <v/>
      </c>
      <c r="I817" s="350">
        <f>IF(G817="Sim",0,IF(OR(F817="",L817=""),"",F817))</f>
        <v/>
      </c>
      <c r="J817" s="350">
        <f>IF(G817="Sim",0,IF(OR(F817="",D817="",L817=""),"",IF(L817="Sim",ROUND(F817-D817,2),0)))</f>
        <v/>
      </c>
      <c r="K817" s="97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inlineStr">
        <is>
          <t>Nao</t>
        </is>
      </c>
      <c r="W817" s="110" t="inlineStr">
        <is>
          <t>PC em analise</t>
        </is>
      </c>
      <c r="X817" s="110" t="inlineStr">
        <is>
          <t>Pedido de Compra</t>
        </is>
      </c>
      <c r="Y817" s="111" t="inlineStr">
        <is>
          <t>Impacto Potencial</t>
        </is>
      </c>
      <c r="Z817" s="111" t="inlineStr">
        <is>
          <t>PC</t>
        </is>
      </c>
      <c r="AA817" s="111" t="inlineStr">
        <is>
          <t>Nao</t>
        </is>
      </c>
      <c r="AB817" s="111" t="inlineStr">
        <is>
          <t>NAO_COMPUTADO</t>
        </is>
      </c>
      <c r="AC817" s="112" t="inlineStr">
        <is>
          <t>Estrutura Fase 1: sem impacto no VTA oficial</t>
        </is>
      </c>
    </row>
    <row r="818" ht="25.5" customHeight="1" s="289">
      <c r="A818" s="205" t="n"/>
      <c r="B818" s="207" t="n"/>
      <c r="C818" s="104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348" t="n"/>
      <c r="E818" s="349">
        <f>IF(C818="","",IFERROR(VLOOKUP(C818,parametros!$A$11:$E$15,5,0),""))</f>
        <v/>
      </c>
      <c r="F818" s="335">
        <f>IF(OR(D818="",E818=""),"",ROUND(D818*E818,2))</f>
        <v/>
      </c>
      <c r="G818" s="106" t="n"/>
      <c r="H818" s="350">
        <f>IF(G818="Sim",IF(OR(F818="",D818="",L818=""),"",IF(L818="Sim",ROUND(F818-D818,2),0)),0)</f>
        <v/>
      </c>
      <c r="I818" s="350">
        <f>IF(G818="Sim",0,IF(OR(F818="",L818=""),"",F818))</f>
        <v/>
      </c>
      <c r="J818" s="350">
        <f>IF(G818="Sim",0,IF(OR(F818="",D818="",L818=""),"",IF(L818="Sim",ROUND(F818-D818,2),0)))</f>
        <v/>
      </c>
      <c r="K818" s="97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inlineStr">
        <is>
          <t>Nao</t>
        </is>
      </c>
      <c r="W818" s="110" t="inlineStr">
        <is>
          <t>PC em analise</t>
        </is>
      </c>
      <c r="X818" s="110" t="inlineStr">
        <is>
          <t>Pedido de Compra</t>
        </is>
      </c>
      <c r="Y818" s="111" t="inlineStr">
        <is>
          <t>Impacto Potencial</t>
        </is>
      </c>
      <c r="Z818" s="111" t="inlineStr">
        <is>
          <t>PC</t>
        </is>
      </c>
      <c r="AA818" s="111" t="inlineStr">
        <is>
          <t>Nao</t>
        </is>
      </c>
      <c r="AB818" s="111" t="inlineStr">
        <is>
          <t>NAO_COMPUTADO</t>
        </is>
      </c>
      <c r="AC818" s="112" t="inlineStr">
        <is>
          <t>Estrutura Fase 1: sem impacto no VTA oficial</t>
        </is>
      </c>
    </row>
    <row r="819" ht="25.5" customHeight="1" s="289">
      <c r="A819" s="205" t="n"/>
      <c r="B819" s="207" t="n"/>
      <c r="C819" s="104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348" t="n"/>
      <c r="E819" s="349">
        <f>IF(C819="","",IFERROR(VLOOKUP(C819,parametros!$A$11:$E$15,5,0),""))</f>
        <v/>
      </c>
      <c r="F819" s="335">
        <f>IF(OR(D819="",E819=""),"",ROUND(D819*E819,2))</f>
        <v/>
      </c>
      <c r="G819" s="106" t="n"/>
      <c r="H819" s="350">
        <f>IF(G819="Sim",IF(OR(F819="",D819="",L819=""),"",IF(L819="Sim",ROUND(F819-D819,2),0)),0)</f>
        <v/>
      </c>
      <c r="I819" s="350">
        <f>IF(G819="Sim",0,IF(OR(F819="",L819=""),"",F819))</f>
        <v/>
      </c>
      <c r="J819" s="350">
        <f>IF(G819="Sim",0,IF(OR(F819="",D819="",L819=""),"",IF(L819="Sim",ROUND(F819-D819,2),0)))</f>
        <v/>
      </c>
      <c r="K819" s="97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inlineStr">
        <is>
          <t>Nao</t>
        </is>
      </c>
      <c r="W819" s="110" t="inlineStr">
        <is>
          <t>PC em analise</t>
        </is>
      </c>
      <c r="X819" s="110" t="inlineStr">
        <is>
          <t>Pedido de Compra</t>
        </is>
      </c>
      <c r="Y819" s="111" t="inlineStr">
        <is>
          <t>Impacto Potencial</t>
        </is>
      </c>
      <c r="Z819" s="111" t="inlineStr">
        <is>
          <t>PC</t>
        </is>
      </c>
      <c r="AA819" s="111" t="inlineStr">
        <is>
          <t>Nao</t>
        </is>
      </c>
      <c r="AB819" s="111" t="inlineStr">
        <is>
          <t>NAO_COMPUTADO</t>
        </is>
      </c>
      <c r="AC819" s="112" t="inlineStr">
        <is>
          <t>Estrutura Fase 1: sem impacto no VTA oficial</t>
        </is>
      </c>
    </row>
    <row r="820" ht="25.5" customHeight="1" s="289">
      <c r="A820" s="205" t="n"/>
      <c r="B820" s="207" t="n"/>
      <c r="C820" s="104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348" t="n"/>
      <c r="E820" s="349">
        <f>IF(C820="","",IFERROR(VLOOKUP(C820,parametros!$A$11:$E$15,5,0),""))</f>
        <v/>
      </c>
      <c r="F820" s="335">
        <f>IF(OR(D820="",E820=""),"",ROUND(D820*E820,2))</f>
        <v/>
      </c>
      <c r="G820" s="106" t="n"/>
      <c r="H820" s="350">
        <f>IF(G820="Sim",IF(OR(F820="",D820="",L820=""),"",IF(L820="Sim",ROUND(F820-D820,2),0)),0)</f>
        <v/>
      </c>
      <c r="I820" s="350">
        <f>IF(G820="Sim",0,IF(OR(F820="",L820=""),"",F820))</f>
        <v/>
      </c>
      <c r="J820" s="350">
        <f>IF(G820="Sim",0,IF(OR(F820="",D820="",L820=""),"",IF(L820="Sim",ROUND(F820-D820,2),0)))</f>
        <v/>
      </c>
      <c r="K820" s="97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inlineStr">
        <is>
          <t>Nao</t>
        </is>
      </c>
      <c r="W820" s="110" t="inlineStr">
        <is>
          <t>PC em analise</t>
        </is>
      </c>
      <c r="X820" s="110" t="inlineStr">
        <is>
          <t>Pedido de Compra</t>
        </is>
      </c>
      <c r="Y820" s="111" t="inlineStr">
        <is>
          <t>Impacto Potencial</t>
        </is>
      </c>
      <c r="Z820" s="111" t="inlineStr">
        <is>
          <t>PC</t>
        </is>
      </c>
      <c r="AA820" s="111" t="inlineStr">
        <is>
          <t>Nao</t>
        </is>
      </c>
      <c r="AB820" s="111" t="inlineStr">
        <is>
          <t>NAO_COMPUTADO</t>
        </is>
      </c>
      <c r="AC820" s="112" t="inlineStr">
        <is>
          <t>Estrutura Fase 1: sem impacto no VTA oficial</t>
        </is>
      </c>
    </row>
    <row r="821" ht="25.5" customHeight="1" s="289">
      <c r="A821" s="205" t="n"/>
      <c r="B821" s="207" t="n"/>
      <c r="C821" s="104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348" t="n"/>
      <c r="E821" s="349">
        <f>IF(C821="","",IFERROR(VLOOKUP(C821,parametros!$A$11:$E$15,5,0),""))</f>
        <v/>
      </c>
      <c r="F821" s="335">
        <f>IF(OR(D821="",E821=""),"",ROUND(D821*E821,2))</f>
        <v/>
      </c>
      <c r="G821" s="106" t="n"/>
      <c r="H821" s="350">
        <f>IF(G821="Sim",IF(OR(F821="",D821="",L821=""),"",IF(L821="Sim",ROUND(F821-D821,2),0)),0)</f>
        <v/>
      </c>
      <c r="I821" s="350">
        <f>IF(G821="Sim",0,IF(OR(F821="",L821=""),"",F821))</f>
        <v/>
      </c>
      <c r="J821" s="350">
        <f>IF(G821="Sim",0,IF(OR(F821="",D821="",L821=""),"",IF(L821="Sim",ROUND(F821-D821,2),0)))</f>
        <v/>
      </c>
      <c r="K821" s="97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inlineStr">
        <is>
          <t>Nao</t>
        </is>
      </c>
      <c r="W821" s="110" t="inlineStr">
        <is>
          <t>PC em analise</t>
        </is>
      </c>
      <c r="X821" s="110" t="inlineStr">
        <is>
          <t>Pedido de Compra</t>
        </is>
      </c>
      <c r="Y821" s="111" t="inlineStr">
        <is>
          <t>Impacto Potencial</t>
        </is>
      </c>
      <c r="Z821" s="111" t="inlineStr">
        <is>
          <t>PC</t>
        </is>
      </c>
      <c r="AA821" s="111" t="inlineStr">
        <is>
          <t>Nao</t>
        </is>
      </c>
      <c r="AB821" s="111" t="inlineStr">
        <is>
          <t>NAO_COMPUTADO</t>
        </is>
      </c>
      <c r="AC821" s="112" t="inlineStr">
        <is>
          <t>Estrutura Fase 1: sem impacto no VTA oficial</t>
        </is>
      </c>
    </row>
    <row r="822" ht="25.5" customHeight="1" s="289">
      <c r="A822" s="205" t="n"/>
      <c r="B822" s="207" t="n"/>
      <c r="C822" s="104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348" t="n"/>
      <c r="E822" s="349">
        <f>IF(C822="","",IFERROR(VLOOKUP(C822,parametros!$A$11:$E$15,5,0),""))</f>
        <v/>
      </c>
      <c r="F822" s="335">
        <f>IF(OR(D822="",E822=""),"",ROUND(D822*E822,2))</f>
        <v/>
      </c>
      <c r="G822" s="106" t="n"/>
      <c r="H822" s="350">
        <f>IF(G822="Sim",IF(OR(F822="",D822="",L822=""),"",IF(L822="Sim",ROUND(F822-D822,2),0)),0)</f>
        <v/>
      </c>
      <c r="I822" s="350">
        <f>IF(G822="Sim",0,IF(OR(F822="",L822=""),"",F822))</f>
        <v/>
      </c>
      <c r="J822" s="350">
        <f>IF(G822="Sim",0,IF(OR(F822="",D822="",L822=""),"",IF(L822="Sim",ROUND(F822-D822,2),0)))</f>
        <v/>
      </c>
      <c r="K822" s="97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inlineStr">
        <is>
          <t>Nao</t>
        </is>
      </c>
      <c r="W822" s="110" t="inlineStr">
        <is>
          <t>PC em analise</t>
        </is>
      </c>
      <c r="X822" s="110" t="inlineStr">
        <is>
          <t>Pedido de Compra</t>
        </is>
      </c>
      <c r="Y822" s="111" t="inlineStr">
        <is>
          <t>Impacto Potencial</t>
        </is>
      </c>
      <c r="Z822" s="111" t="inlineStr">
        <is>
          <t>PC</t>
        </is>
      </c>
      <c r="AA822" s="111" t="inlineStr">
        <is>
          <t>Nao</t>
        </is>
      </c>
      <c r="AB822" s="111" t="inlineStr">
        <is>
          <t>NAO_COMPUTADO</t>
        </is>
      </c>
      <c r="AC822" s="112" t="inlineStr">
        <is>
          <t>Estrutura Fase 1: sem impacto no VTA oficial</t>
        </is>
      </c>
    </row>
    <row r="823" ht="25.5" customHeight="1" s="289">
      <c r="A823" s="205" t="n"/>
      <c r="B823" s="207" t="n"/>
      <c r="C823" s="104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348" t="n"/>
      <c r="E823" s="349">
        <f>IF(C823="","",IFERROR(VLOOKUP(C823,parametros!$A$11:$E$15,5,0),""))</f>
        <v/>
      </c>
      <c r="F823" s="335">
        <f>IF(OR(D823="",E823=""),"",ROUND(D823*E823,2))</f>
        <v/>
      </c>
      <c r="G823" s="106" t="n"/>
      <c r="H823" s="350">
        <f>IF(G823="Sim",IF(OR(F823="",D823="",L823=""),"",IF(L823="Sim",ROUND(F823-D823,2),0)),0)</f>
        <v/>
      </c>
      <c r="I823" s="350">
        <f>IF(G823="Sim",0,IF(OR(F823="",L823=""),"",F823))</f>
        <v/>
      </c>
      <c r="J823" s="350">
        <f>IF(G823="Sim",0,IF(OR(F823="",D823="",L823=""),"",IF(L823="Sim",ROUND(F823-D823,2),0)))</f>
        <v/>
      </c>
      <c r="K823" s="97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inlineStr">
        <is>
          <t>Nao</t>
        </is>
      </c>
      <c r="W823" s="110" t="inlineStr">
        <is>
          <t>PC em analise</t>
        </is>
      </c>
      <c r="X823" s="110" t="inlineStr">
        <is>
          <t>Pedido de Compra</t>
        </is>
      </c>
      <c r="Y823" s="111" t="inlineStr">
        <is>
          <t>Impacto Potencial</t>
        </is>
      </c>
      <c r="Z823" s="111" t="inlineStr">
        <is>
          <t>PC</t>
        </is>
      </c>
      <c r="AA823" s="111" t="inlineStr">
        <is>
          <t>Nao</t>
        </is>
      </c>
      <c r="AB823" s="111" t="inlineStr">
        <is>
          <t>NAO_COMPUTADO</t>
        </is>
      </c>
      <c r="AC823" s="112" t="inlineStr">
        <is>
          <t>Estrutura Fase 1: sem impacto no VTA oficial</t>
        </is>
      </c>
    </row>
    <row r="824" ht="25.5" customHeight="1" s="289">
      <c r="A824" s="205" t="n"/>
      <c r="B824" s="207" t="n"/>
      <c r="C824" s="104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348" t="n"/>
      <c r="E824" s="349">
        <f>IF(C824="","",IFERROR(VLOOKUP(C824,parametros!$A$11:$E$15,5,0),""))</f>
        <v/>
      </c>
      <c r="F824" s="335">
        <f>IF(OR(D824="",E824=""),"",ROUND(D824*E824,2))</f>
        <v/>
      </c>
      <c r="G824" s="106" t="n"/>
      <c r="H824" s="350">
        <f>IF(G824="Sim",IF(OR(F824="",D824="",L824=""),"",IF(L824="Sim",ROUND(F824-D824,2),0)),0)</f>
        <v/>
      </c>
      <c r="I824" s="350">
        <f>IF(G824="Sim",0,IF(OR(F824="",L824=""),"",F824))</f>
        <v/>
      </c>
      <c r="J824" s="350">
        <f>IF(G824="Sim",0,IF(OR(F824="",D824="",L824=""),"",IF(L824="Sim",ROUND(F824-D824,2),0)))</f>
        <v/>
      </c>
      <c r="K824" s="97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inlineStr">
        <is>
          <t>Nao</t>
        </is>
      </c>
      <c r="W824" s="110" t="inlineStr">
        <is>
          <t>PC em analise</t>
        </is>
      </c>
      <c r="X824" s="110" t="inlineStr">
        <is>
          <t>Pedido de Compra</t>
        </is>
      </c>
      <c r="Y824" s="111" t="inlineStr">
        <is>
          <t>Impacto Potencial</t>
        </is>
      </c>
      <c r="Z824" s="111" t="inlineStr">
        <is>
          <t>PC</t>
        </is>
      </c>
      <c r="AA824" s="111" t="inlineStr">
        <is>
          <t>Nao</t>
        </is>
      </c>
      <c r="AB824" s="111" t="inlineStr">
        <is>
          <t>NAO_COMPUTADO</t>
        </is>
      </c>
      <c r="AC824" s="112" t="inlineStr">
        <is>
          <t>Estrutura Fase 1: sem impacto no VTA oficial</t>
        </is>
      </c>
    </row>
    <row r="825" ht="25.5" customHeight="1" s="289">
      <c r="A825" s="205" t="n"/>
      <c r="B825" s="207" t="n"/>
      <c r="C825" s="104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348" t="n"/>
      <c r="E825" s="349">
        <f>IF(C825="","",IFERROR(VLOOKUP(C825,parametros!$A$11:$E$15,5,0),""))</f>
        <v/>
      </c>
      <c r="F825" s="335">
        <f>IF(OR(D825="",E825=""),"",ROUND(D825*E825,2))</f>
        <v/>
      </c>
      <c r="G825" s="106" t="n"/>
      <c r="H825" s="350">
        <f>IF(G825="Sim",IF(OR(F825="",D825="",L825=""),"",IF(L825="Sim",ROUND(F825-D825,2),0)),0)</f>
        <v/>
      </c>
      <c r="I825" s="350">
        <f>IF(G825="Sim",0,IF(OR(F825="",L825=""),"",F825))</f>
        <v/>
      </c>
      <c r="J825" s="350">
        <f>IF(G825="Sim",0,IF(OR(F825="",D825="",L825=""),"",IF(L825="Sim",ROUND(F825-D825,2),0)))</f>
        <v/>
      </c>
      <c r="K825" s="97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inlineStr">
        <is>
          <t>Nao</t>
        </is>
      </c>
      <c r="W825" s="110" t="inlineStr">
        <is>
          <t>PC em analise</t>
        </is>
      </c>
      <c r="X825" s="110" t="inlineStr">
        <is>
          <t>Pedido de Compra</t>
        </is>
      </c>
      <c r="Y825" s="111" t="inlineStr">
        <is>
          <t>Impacto Potencial</t>
        </is>
      </c>
      <c r="Z825" s="111" t="inlineStr">
        <is>
          <t>PC</t>
        </is>
      </c>
      <c r="AA825" s="111" t="inlineStr">
        <is>
          <t>Nao</t>
        </is>
      </c>
      <c r="AB825" s="111" t="inlineStr">
        <is>
          <t>NAO_COMPUTADO</t>
        </is>
      </c>
      <c r="AC825" s="112" t="inlineStr">
        <is>
          <t>Estrutura Fase 1: sem impacto no VTA oficial</t>
        </is>
      </c>
    </row>
    <row r="826" ht="25.5" customHeight="1" s="289">
      <c r="A826" s="205" t="n"/>
      <c r="B826" s="207" t="n"/>
      <c r="C826" s="104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348" t="n"/>
      <c r="E826" s="349">
        <f>IF(C826="","",IFERROR(VLOOKUP(C826,parametros!$A$11:$E$15,5,0),""))</f>
        <v/>
      </c>
      <c r="F826" s="335">
        <f>IF(OR(D826="",E826=""),"",ROUND(D826*E826,2))</f>
        <v/>
      </c>
      <c r="G826" s="106" t="n"/>
      <c r="H826" s="350">
        <f>IF(G826="Sim",IF(OR(F826="",D826="",L826=""),"",IF(L826="Sim",ROUND(F826-D826,2),0)),0)</f>
        <v/>
      </c>
      <c r="I826" s="350">
        <f>IF(G826="Sim",0,IF(OR(F826="",L826=""),"",F826))</f>
        <v/>
      </c>
      <c r="J826" s="350">
        <f>IF(G826="Sim",0,IF(OR(F826="",D826="",L826=""),"",IF(L826="Sim",ROUND(F826-D826,2),0)))</f>
        <v/>
      </c>
      <c r="K826" s="97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inlineStr">
        <is>
          <t>Nao</t>
        </is>
      </c>
      <c r="W826" s="110" t="inlineStr">
        <is>
          <t>PC em analise</t>
        </is>
      </c>
      <c r="X826" s="110" t="inlineStr">
        <is>
          <t>Pedido de Compra</t>
        </is>
      </c>
      <c r="Y826" s="111" t="inlineStr">
        <is>
          <t>Impacto Potencial</t>
        </is>
      </c>
      <c r="Z826" s="111" t="inlineStr">
        <is>
          <t>PC</t>
        </is>
      </c>
      <c r="AA826" s="111" t="inlineStr">
        <is>
          <t>Nao</t>
        </is>
      </c>
      <c r="AB826" s="111" t="inlineStr">
        <is>
          <t>NAO_COMPUTADO</t>
        </is>
      </c>
      <c r="AC826" s="112" t="inlineStr">
        <is>
          <t>Estrutura Fase 1: sem impacto no VTA oficial</t>
        </is>
      </c>
    </row>
    <row r="827" ht="25.5" customHeight="1" s="289">
      <c r="A827" s="205" t="n"/>
      <c r="B827" s="207" t="n"/>
      <c r="C827" s="104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348" t="n"/>
      <c r="E827" s="349">
        <f>IF(C827="","",IFERROR(VLOOKUP(C827,parametros!$A$11:$E$15,5,0),""))</f>
        <v/>
      </c>
      <c r="F827" s="335">
        <f>IF(OR(D827="",E827=""),"",ROUND(D827*E827,2))</f>
        <v/>
      </c>
      <c r="G827" s="106" t="n"/>
      <c r="H827" s="350">
        <f>IF(G827="Sim",IF(OR(F827="",D827="",L827=""),"",IF(L827="Sim",ROUND(F827-D827,2),0)),0)</f>
        <v/>
      </c>
      <c r="I827" s="350">
        <f>IF(G827="Sim",0,IF(OR(F827="",L827=""),"",F827))</f>
        <v/>
      </c>
      <c r="J827" s="350">
        <f>IF(G827="Sim",0,IF(OR(F827="",D827="",L827=""),"",IF(L827="Sim",ROUND(F827-D827,2),0)))</f>
        <v/>
      </c>
      <c r="K827" s="97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inlineStr">
        <is>
          <t>Nao</t>
        </is>
      </c>
      <c r="W827" s="110" t="inlineStr">
        <is>
          <t>PC em analise</t>
        </is>
      </c>
      <c r="X827" s="110" t="inlineStr">
        <is>
          <t>Pedido de Compra</t>
        </is>
      </c>
      <c r="Y827" s="111" t="inlineStr">
        <is>
          <t>Impacto Potencial</t>
        </is>
      </c>
      <c r="Z827" s="111" t="inlineStr">
        <is>
          <t>PC</t>
        </is>
      </c>
      <c r="AA827" s="111" t="inlineStr">
        <is>
          <t>Nao</t>
        </is>
      </c>
      <c r="AB827" s="111" t="inlineStr">
        <is>
          <t>NAO_COMPUTADO</t>
        </is>
      </c>
      <c r="AC827" s="112" t="inlineStr">
        <is>
          <t>Estrutura Fase 1: sem impacto no VTA oficial</t>
        </is>
      </c>
    </row>
    <row r="828" ht="25.5" customHeight="1" s="289">
      <c r="A828" s="205" t="n"/>
      <c r="B828" s="207" t="n"/>
      <c r="C828" s="104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348" t="n"/>
      <c r="E828" s="349">
        <f>IF(C828="","",IFERROR(VLOOKUP(C828,parametros!$A$11:$E$15,5,0),""))</f>
        <v/>
      </c>
      <c r="F828" s="335">
        <f>IF(OR(D828="",E828=""),"",ROUND(D828*E828,2))</f>
        <v/>
      </c>
      <c r="G828" s="106" t="n"/>
      <c r="H828" s="350">
        <f>IF(G828="Sim",IF(OR(F828="",D828="",L828=""),"",IF(L828="Sim",ROUND(F828-D828,2),0)),0)</f>
        <v/>
      </c>
      <c r="I828" s="350">
        <f>IF(G828="Sim",0,IF(OR(F828="",L828=""),"",F828))</f>
        <v/>
      </c>
      <c r="J828" s="350">
        <f>IF(G828="Sim",0,IF(OR(F828="",D828="",L828=""),"",IF(L828="Sim",ROUND(F828-D828,2),0)))</f>
        <v/>
      </c>
      <c r="K828" s="97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inlineStr">
        <is>
          <t>Nao</t>
        </is>
      </c>
      <c r="W828" s="110" t="inlineStr">
        <is>
          <t>PC em analise</t>
        </is>
      </c>
      <c r="X828" s="110" t="inlineStr">
        <is>
          <t>Pedido de Compra</t>
        </is>
      </c>
      <c r="Y828" s="111" t="inlineStr">
        <is>
          <t>Impacto Potencial</t>
        </is>
      </c>
      <c r="Z828" s="111" t="inlineStr">
        <is>
          <t>PC</t>
        </is>
      </c>
      <c r="AA828" s="111" t="inlineStr">
        <is>
          <t>Nao</t>
        </is>
      </c>
      <c r="AB828" s="111" t="inlineStr">
        <is>
          <t>NAO_COMPUTADO</t>
        </is>
      </c>
      <c r="AC828" s="112" t="inlineStr">
        <is>
          <t>Estrutura Fase 1: sem impacto no VTA oficial</t>
        </is>
      </c>
    </row>
    <row r="829" ht="25.5" customHeight="1" s="289">
      <c r="A829" s="205" t="n"/>
      <c r="B829" s="207" t="n"/>
      <c r="C829" s="104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348" t="n"/>
      <c r="E829" s="349">
        <f>IF(C829="","",IFERROR(VLOOKUP(C829,parametros!$A$11:$E$15,5,0),""))</f>
        <v/>
      </c>
      <c r="F829" s="335">
        <f>IF(OR(D829="",E829=""),"",ROUND(D829*E829,2))</f>
        <v/>
      </c>
      <c r="G829" s="106" t="n"/>
      <c r="H829" s="350">
        <f>IF(G829="Sim",IF(OR(F829="",D829="",L829=""),"",IF(L829="Sim",ROUND(F829-D829,2),0)),0)</f>
        <v/>
      </c>
      <c r="I829" s="350">
        <f>IF(G829="Sim",0,IF(OR(F829="",L829=""),"",F829))</f>
        <v/>
      </c>
      <c r="J829" s="350">
        <f>IF(G829="Sim",0,IF(OR(F829="",D829="",L829=""),"",IF(L829="Sim",ROUND(F829-D829,2),0)))</f>
        <v/>
      </c>
      <c r="K829" s="97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inlineStr">
        <is>
          <t>Nao</t>
        </is>
      </c>
      <c r="W829" s="110" t="inlineStr">
        <is>
          <t>PC em analise</t>
        </is>
      </c>
      <c r="X829" s="110" t="inlineStr">
        <is>
          <t>Pedido de Compra</t>
        </is>
      </c>
      <c r="Y829" s="111" t="inlineStr">
        <is>
          <t>Impacto Potencial</t>
        </is>
      </c>
      <c r="Z829" s="111" t="inlineStr">
        <is>
          <t>PC</t>
        </is>
      </c>
      <c r="AA829" s="111" t="inlineStr">
        <is>
          <t>Nao</t>
        </is>
      </c>
      <c r="AB829" s="111" t="inlineStr">
        <is>
          <t>NAO_COMPUTADO</t>
        </is>
      </c>
      <c r="AC829" s="112" t="inlineStr">
        <is>
          <t>Estrutura Fase 1: sem impacto no VTA oficial</t>
        </is>
      </c>
    </row>
    <row r="830" ht="25.5" customHeight="1" s="289">
      <c r="A830" s="205" t="n"/>
      <c r="B830" s="207" t="n"/>
      <c r="C830" s="104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348" t="n"/>
      <c r="E830" s="349">
        <f>IF(C830="","",IFERROR(VLOOKUP(C830,parametros!$A$11:$E$15,5,0),""))</f>
        <v/>
      </c>
      <c r="F830" s="335">
        <f>IF(OR(D830="",E830=""),"",ROUND(D830*E830,2))</f>
        <v/>
      </c>
      <c r="G830" s="106" t="n"/>
      <c r="H830" s="350">
        <f>IF(G830="Sim",IF(OR(F830="",D830="",L830=""),"",IF(L830="Sim",ROUND(F830-D830,2),0)),0)</f>
        <v/>
      </c>
      <c r="I830" s="350">
        <f>IF(G830="Sim",0,IF(OR(F830="",L830=""),"",F830))</f>
        <v/>
      </c>
      <c r="J830" s="350">
        <f>IF(G830="Sim",0,IF(OR(F830="",D830="",L830=""),"",IF(L830="Sim",ROUND(F830-D830,2),0)))</f>
        <v/>
      </c>
      <c r="K830" s="97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inlineStr">
        <is>
          <t>Nao</t>
        </is>
      </c>
      <c r="W830" s="110" t="inlineStr">
        <is>
          <t>PC em analise</t>
        </is>
      </c>
      <c r="X830" s="110" t="inlineStr">
        <is>
          <t>Pedido de Compra</t>
        </is>
      </c>
      <c r="Y830" s="111" t="inlineStr">
        <is>
          <t>Impacto Potencial</t>
        </is>
      </c>
      <c r="Z830" s="111" t="inlineStr">
        <is>
          <t>PC</t>
        </is>
      </c>
      <c r="AA830" s="111" t="inlineStr">
        <is>
          <t>Nao</t>
        </is>
      </c>
      <c r="AB830" s="111" t="inlineStr">
        <is>
          <t>NAO_COMPUTADO</t>
        </is>
      </c>
      <c r="AC830" s="112" t="inlineStr">
        <is>
          <t>Estrutura Fase 1: sem impacto no VTA oficial</t>
        </is>
      </c>
    </row>
    <row r="831" ht="25.5" customHeight="1" s="289">
      <c r="A831" s="205" t="n"/>
      <c r="B831" s="207" t="n"/>
      <c r="C831" s="104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348" t="n"/>
      <c r="E831" s="349">
        <f>IF(C831="","",IFERROR(VLOOKUP(C831,parametros!$A$11:$E$15,5,0),""))</f>
        <v/>
      </c>
      <c r="F831" s="335">
        <f>IF(OR(D831="",E831=""),"",ROUND(D831*E831,2))</f>
        <v/>
      </c>
      <c r="G831" s="106" t="n"/>
      <c r="H831" s="350">
        <f>IF(G831="Sim",IF(OR(F831="",D831="",L831=""),"",IF(L831="Sim",ROUND(F831-D831,2),0)),0)</f>
        <v/>
      </c>
      <c r="I831" s="350">
        <f>IF(G831="Sim",0,IF(OR(F831="",L831=""),"",F831))</f>
        <v/>
      </c>
      <c r="J831" s="350">
        <f>IF(G831="Sim",0,IF(OR(F831="",D831="",L831=""),"",IF(L831="Sim",ROUND(F831-D831,2),0)))</f>
        <v/>
      </c>
      <c r="K831" s="97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inlineStr">
        <is>
          <t>Nao</t>
        </is>
      </c>
      <c r="W831" s="110" t="inlineStr">
        <is>
          <t>PC em analise</t>
        </is>
      </c>
      <c r="X831" s="110" t="inlineStr">
        <is>
          <t>Pedido de Compra</t>
        </is>
      </c>
      <c r="Y831" s="111" t="inlineStr">
        <is>
          <t>Impacto Potencial</t>
        </is>
      </c>
      <c r="Z831" s="111" t="inlineStr">
        <is>
          <t>PC</t>
        </is>
      </c>
      <c r="AA831" s="111" t="inlineStr">
        <is>
          <t>Nao</t>
        </is>
      </c>
      <c r="AB831" s="111" t="inlineStr">
        <is>
          <t>NAO_COMPUTADO</t>
        </is>
      </c>
      <c r="AC831" s="112" t="inlineStr">
        <is>
          <t>Estrutura Fase 1: sem impacto no VTA oficial</t>
        </is>
      </c>
    </row>
    <row r="832" ht="25.5" customHeight="1" s="289">
      <c r="A832" s="205" t="n"/>
      <c r="B832" s="207" t="n"/>
      <c r="C832" s="104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348" t="n"/>
      <c r="E832" s="349">
        <f>IF(C832="","",IFERROR(VLOOKUP(C832,parametros!$A$11:$E$15,5,0),""))</f>
        <v/>
      </c>
      <c r="F832" s="335">
        <f>IF(OR(D832="",E832=""),"",ROUND(D832*E832,2))</f>
        <v/>
      </c>
      <c r="G832" s="106" t="n"/>
      <c r="H832" s="350">
        <f>IF(G832="Sim",IF(OR(F832="",D832="",L832=""),"",IF(L832="Sim",ROUND(F832-D832,2),0)),0)</f>
        <v/>
      </c>
      <c r="I832" s="350">
        <f>IF(G832="Sim",0,IF(OR(F832="",L832=""),"",F832))</f>
        <v/>
      </c>
      <c r="J832" s="350">
        <f>IF(G832="Sim",0,IF(OR(F832="",D832="",L832=""),"",IF(L832="Sim",ROUND(F832-D832,2),0)))</f>
        <v/>
      </c>
      <c r="K832" s="97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inlineStr">
        <is>
          <t>Nao</t>
        </is>
      </c>
      <c r="W832" s="110" t="inlineStr">
        <is>
          <t>PC em analise</t>
        </is>
      </c>
      <c r="X832" s="110" t="inlineStr">
        <is>
          <t>Pedido de Compra</t>
        </is>
      </c>
      <c r="Y832" s="111" t="inlineStr">
        <is>
          <t>Impacto Potencial</t>
        </is>
      </c>
      <c r="Z832" s="111" t="inlineStr">
        <is>
          <t>PC</t>
        </is>
      </c>
      <c r="AA832" s="111" t="inlineStr">
        <is>
          <t>Nao</t>
        </is>
      </c>
      <c r="AB832" s="111" t="inlineStr">
        <is>
          <t>NAO_COMPUTADO</t>
        </is>
      </c>
      <c r="AC832" s="112" t="inlineStr">
        <is>
          <t>Estrutura Fase 1: sem impacto no VTA oficial</t>
        </is>
      </c>
    </row>
    <row r="833" ht="25.5" customHeight="1" s="289">
      <c r="A833" s="205" t="n"/>
      <c r="B833" s="207" t="n"/>
      <c r="C833" s="104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348" t="n"/>
      <c r="E833" s="349">
        <f>IF(C833="","",IFERROR(VLOOKUP(C833,parametros!$A$11:$E$15,5,0),""))</f>
        <v/>
      </c>
      <c r="F833" s="335">
        <f>IF(OR(D833="",E833=""),"",ROUND(D833*E833,2))</f>
        <v/>
      </c>
      <c r="G833" s="106" t="n"/>
      <c r="H833" s="350">
        <f>IF(G833="Sim",IF(OR(F833="",D833="",L833=""),"",IF(L833="Sim",ROUND(F833-D833,2),0)),0)</f>
        <v/>
      </c>
      <c r="I833" s="350">
        <f>IF(G833="Sim",0,IF(OR(F833="",L833=""),"",F833))</f>
        <v/>
      </c>
      <c r="J833" s="350">
        <f>IF(G833="Sim",0,IF(OR(F833="",D833="",L833=""),"",IF(L833="Sim",ROUND(F833-D833,2),0)))</f>
        <v/>
      </c>
      <c r="K833" s="97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inlineStr">
        <is>
          <t>Nao</t>
        </is>
      </c>
      <c r="W833" s="110" t="inlineStr">
        <is>
          <t>PC em analise</t>
        </is>
      </c>
      <c r="X833" s="110" t="inlineStr">
        <is>
          <t>Pedido de Compra</t>
        </is>
      </c>
      <c r="Y833" s="111" t="inlineStr">
        <is>
          <t>Impacto Potencial</t>
        </is>
      </c>
      <c r="Z833" s="111" t="inlineStr">
        <is>
          <t>PC</t>
        </is>
      </c>
      <c r="AA833" s="111" t="inlineStr">
        <is>
          <t>Nao</t>
        </is>
      </c>
      <c r="AB833" s="111" t="inlineStr">
        <is>
          <t>NAO_COMPUTADO</t>
        </is>
      </c>
      <c r="AC833" s="112" t="inlineStr">
        <is>
          <t>Estrutura Fase 1: sem impacto no VTA oficial</t>
        </is>
      </c>
    </row>
    <row r="834" ht="25.5" customHeight="1" s="289">
      <c r="A834" s="205" t="n"/>
      <c r="B834" s="207" t="n"/>
      <c r="C834" s="104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348" t="n"/>
      <c r="E834" s="349">
        <f>IF(C834="","",IFERROR(VLOOKUP(C834,parametros!$A$11:$E$15,5,0),""))</f>
        <v/>
      </c>
      <c r="F834" s="335">
        <f>IF(OR(D834="",E834=""),"",ROUND(D834*E834,2))</f>
        <v/>
      </c>
      <c r="G834" s="106" t="n"/>
      <c r="H834" s="350">
        <f>IF(G834="Sim",IF(OR(F834="",D834="",L834=""),"",IF(L834="Sim",ROUND(F834-D834,2),0)),0)</f>
        <v/>
      </c>
      <c r="I834" s="350">
        <f>IF(G834="Sim",0,IF(OR(F834="",L834=""),"",F834))</f>
        <v/>
      </c>
      <c r="J834" s="350">
        <f>IF(G834="Sim",0,IF(OR(F834="",D834="",L834=""),"",IF(L834="Sim",ROUND(F834-D834,2),0)))</f>
        <v/>
      </c>
      <c r="K834" s="97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inlineStr">
        <is>
          <t>Nao</t>
        </is>
      </c>
      <c r="W834" s="110" t="inlineStr">
        <is>
          <t>PC em analise</t>
        </is>
      </c>
      <c r="X834" s="110" t="inlineStr">
        <is>
          <t>Pedido de Compra</t>
        </is>
      </c>
      <c r="Y834" s="111" t="inlineStr">
        <is>
          <t>Impacto Potencial</t>
        </is>
      </c>
      <c r="Z834" s="111" t="inlineStr">
        <is>
          <t>PC</t>
        </is>
      </c>
      <c r="AA834" s="111" t="inlineStr">
        <is>
          <t>Nao</t>
        </is>
      </c>
      <c r="AB834" s="111" t="inlineStr">
        <is>
          <t>NAO_COMPUTADO</t>
        </is>
      </c>
      <c r="AC834" s="112" t="inlineStr">
        <is>
          <t>Estrutura Fase 1: sem impacto no VTA oficial</t>
        </is>
      </c>
    </row>
    <row r="835" ht="25.5" customHeight="1" s="289">
      <c r="A835" s="205" t="n"/>
      <c r="B835" s="207" t="n"/>
      <c r="C835" s="104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348" t="n"/>
      <c r="E835" s="349">
        <f>IF(C835="","",IFERROR(VLOOKUP(C835,parametros!$A$11:$E$15,5,0),""))</f>
        <v/>
      </c>
      <c r="F835" s="335">
        <f>IF(OR(D835="",E835=""),"",ROUND(D835*E835,2))</f>
        <v/>
      </c>
      <c r="G835" s="106" t="n"/>
      <c r="H835" s="350">
        <f>IF(G835="Sim",IF(OR(F835="",D835="",L835=""),"",IF(L835="Sim",ROUND(F835-D835,2),0)),0)</f>
        <v/>
      </c>
      <c r="I835" s="350">
        <f>IF(G835="Sim",0,IF(OR(F835="",L835=""),"",F835))</f>
        <v/>
      </c>
      <c r="J835" s="350">
        <f>IF(G835="Sim",0,IF(OR(F835="",D835="",L835=""),"",IF(L835="Sim",ROUND(F835-D835,2),0)))</f>
        <v/>
      </c>
      <c r="K835" s="97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inlineStr">
        <is>
          <t>Nao</t>
        </is>
      </c>
      <c r="W835" s="110" t="inlineStr">
        <is>
          <t>PC em analise</t>
        </is>
      </c>
      <c r="X835" s="110" t="inlineStr">
        <is>
          <t>Pedido de Compra</t>
        </is>
      </c>
      <c r="Y835" s="111" t="inlineStr">
        <is>
          <t>Impacto Potencial</t>
        </is>
      </c>
      <c r="Z835" s="111" t="inlineStr">
        <is>
          <t>PC</t>
        </is>
      </c>
      <c r="AA835" s="111" t="inlineStr">
        <is>
          <t>Nao</t>
        </is>
      </c>
      <c r="AB835" s="111" t="inlineStr">
        <is>
          <t>NAO_COMPUTADO</t>
        </is>
      </c>
      <c r="AC835" s="112" t="inlineStr">
        <is>
          <t>Estrutura Fase 1: sem impacto no VTA oficial</t>
        </is>
      </c>
    </row>
    <row r="836" ht="25.5" customHeight="1" s="289">
      <c r="A836" s="205" t="n"/>
      <c r="B836" s="207" t="n"/>
      <c r="C836" s="104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348" t="n"/>
      <c r="E836" s="349">
        <f>IF(C836="","",IFERROR(VLOOKUP(C836,parametros!$A$11:$E$15,5,0),""))</f>
        <v/>
      </c>
      <c r="F836" s="335">
        <f>IF(OR(D836="",E836=""),"",ROUND(D836*E836,2))</f>
        <v/>
      </c>
      <c r="G836" s="106" t="n"/>
      <c r="H836" s="350">
        <f>IF(G836="Sim",IF(OR(F836="",D836="",L836=""),"",IF(L836="Sim",ROUND(F836-D836,2),0)),0)</f>
        <v/>
      </c>
      <c r="I836" s="350">
        <f>IF(G836="Sim",0,IF(OR(F836="",L836=""),"",F836))</f>
        <v/>
      </c>
      <c r="J836" s="350">
        <f>IF(G836="Sim",0,IF(OR(F836="",D836="",L836=""),"",IF(L836="Sim",ROUND(F836-D836,2),0)))</f>
        <v/>
      </c>
      <c r="K836" s="97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inlineStr">
        <is>
          <t>Nao</t>
        </is>
      </c>
      <c r="W836" s="110" t="inlineStr">
        <is>
          <t>PC em analise</t>
        </is>
      </c>
      <c r="X836" s="110" t="inlineStr">
        <is>
          <t>Pedido de Compra</t>
        </is>
      </c>
      <c r="Y836" s="111" t="inlineStr">
        <is>
          <t>Impacto Potencial</t>
        </is>
      </c>
      <c r="Z836" s="111" t="inlineStr">
        <is>
          <t>PC</t>
        </is>
      </c>
      <c r="AA836" s="111" t="inlineStr">
        <is>
          <t>Nao</t>
        </is>
      </c>
      <c r="AB836" s="111" t="inlineStr">
        <is>
          <t>NAO_COMPUTADO</t>
        </is>
      </c>
      <c r="AC836" s="112" t="inlineStr">
        <is>
          <t>Estrutura Fase 1: sem impacto no VTA oficial</t>
        </is>
      </c>
    </row>
    <row r="837" ht="25.5" customHeight="1" s="289">
      <c r="A837" s="205" t="n"/>
      <c r="B837" s="207" t="n"/>
      <c r="C837" s="104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348" t="n"/>
      <c r="E837" s="349">
        <f>IF(C837="","",IFERROR(VLOOKUP(C837,parametros!$A$11:$E$15,5,0),""))</f>
        <v/>
      </c>
      <c r="F837" s="335">
        <f>IF(OR(D837="",E837=""),"",ROUND(D837*E837,2))</f>
        <v/>
      </c>
      <c r="G837" s="106" t="n"/>
      <c r="H837" s="350">
        <f>IF(G837="Sim",IF(OR(F837="",D837="",L837=""),"",IF(L837="Sim",ROUND(F837-D837,2),0)),0)</f>
        <v/>
      </c>
      <c r="I837" s="350">
        <f>IF(G837="Sim",0,IF(OR(F837="",L837=""),"",F837))</f>
        <v/>
      </c>
      <c r="J837" s="350">
        <f>IF(G837="Sim",0,IF(OR(F837="",D837="",L837=""),"",IF(L837="Sim",ROUND(F837-D837,2),0)))</f>
        <v/>
      </c>
      <c r="K837" s="97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inlineStr">
        <is>
          <t>Nao</t>
        </is>
      </c>
      <c r="W837" s="110" t="inlineStr">
        <is>
          <t>PC em analise</t>
        </is>
      </c>
      <c r="X837" s="110" t="inlineStr">
        <is>
          <t>Pedido de Compra</t>
        </is>
      </c>
      <c r="Y837" s="111" t="inlineStr">
        <is>
          <t>Impacto Potencial</t>
        </is>
      </c>
      <c r="Z837" s="111" t="inlineStr">
        <is>
          <t>PC</t>
        </is>
      </c>
      <c r="AA837" s="111" t="inlineStr">
        <is>
          <t>Nao</t>
        </is>
      </c>
      <c r="AB837" s="111" t="inlineStr">
        <is>
          <t>NAO_COMPUTADO</t>
        </is>
      </c>
      <c r="AC837" s="112" t="inlineStr">
        <is>
          <t>Estrutura Fase 1: sem impacto no VTA oficial</t>
        </is>
      </c>
    </row>
    <row r="838" ht="25.5" customHeight="1" s="289">
      <c r="A838" s="205" t="n"/>
      <c r="B838" s="207" t="n"/>
      <c r="C838" s="104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348" t="n"/>
      <c r="E838" s="349">
        <f>IF(C838="","",IFERROR(VLOOKUP(C838,parametros!$A$11:$E$15,5,0),""))</f>
        <v/>
      </c>
      <c r="F838" s="335">
        <f>IF(OR(D838="",E838=""),"",ROUND(D838*E838,2))</f>
        <v/>
      </c>
      <c r="G838" s="106" t="n"/>
      <c r="H838" s="350">
        <f>IF(G838="Sim",IF(OR(F838="",D838="",L838=""),"",IF(L838="Sim",ROUND(F838-D838,2),0)),0)</f>
        <v/>
      </c>
      <c r="I838" s="350">
        <f>IF(G838="Sim",0,IF(OR(F838="",L838=""),"",F838))</f>
        <v/>
      </c>
      <c r="J838" s="350">
        <f>IF(G838="Sim",0,IF(OR(F838="",D838="",L838=""),"",IF(L838="Sim",ROUND(F838-D838,2),0)))</f>
        <v/>
      </c>
      <c r="K838" s="97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inlineStr">
        <is>
          <t>Nao</t>
        </is>
      </c>
      <c r="W838" s="110" t="inlineStr">
        <is>
          <t>PC em analise</t>
        </is>
      </c>
      <c r="X838" s="110" t="inlineStr">
        <is>
          <t>Pedido de Compra</t>
        </is>
      </c>
      <c r="Y838" s="111" t="inlineStr">
        <is>
          <t>Impacto Potencial</t>
        </is>
      </c>
      <c r="Z838" s="111" t="inlineStr">
        <is>
          <t>PC</t>
        </is>
      </c>
      <c r="AA838" s="111" t="inlineStr">
        <is>
          <t>Nao</t>
        </is>
      </c>
      <c r="AB838" s="111" t="inlineStr">
        <is>
          <t>NAO_COMPUTADO</t>
        </is>
      </c>
      <c r="AC838" s="112" t="inlineStr">
        <is>
          <t>Estrutura Fase 1: sem impacto no VTA oficial</t>
        </is>
      </c>
    </row>
    <row r="839" ht="25.5" customHeight="1" s="289">
      <c r="A839" s="205" t="n"/>
      <c r="B839" s="207" t="n"/>
      <c r="C839" s="104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348" t="n"/>
      <c r="E839" s="349">
        <f>IF(C839="","",IFERROR(VLOOKUP(C839,parametros!$A$11:$E$15,5,0),""))</f>
        <v/>
      </c>
      <c r="F839" s="335">
        <f>IF(OR(D839="",E839=""),"",ROUND(D839*E839,2))</f>
        <v/>
      </c>
      <c r="G839" s="106" t="n"/>
      <c r="H839" s="350">
        <f>IF(G839="Sim",IF(OR(F839="",D839="",L839=""),"",IF(L839="Sim",ROUND(F839-D839,2),0)),0)</f>
        <v/>
      </c>
      <c r="I839" s="350">
        <f>IF(G839="Sim",0,IF(OR(F839="",L839=""),"",F839))</f>
        <v/>
      </c>
      <c r="J839" s="350">
        <f>IF(G839="Sim",0,IF(OR(F839="",D839="",L839=""),"",IF(L839="Sim",ROUND(F839-D839,2),0)))</f>
        <v/>
      </c>
      <c r="K839" s="97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inlineStr">
        <is>
          <t>Nao</t>
        </is>
      </c>
      <c r="W839" s="110" t="inlineStr">
        <is>
          <t>PC em analise</t>
        </is>
      </c>
      <c r="X839" s="110" t="inlineStr">
        <is>
          <t>Pedido de Compra</t>
        </is>
      </c>
      <c r="Y839" s="111" t="inlineStr">
        <is>
          <t>Impacto Potencial</t>
        </is>
      </c>
      <c r="Z839" s="111" t="inlineStr">
        <is>
          <t>PC</t>
        </is>
      </c>
      <c r="AA839" s="111" t="inlineStr">
        <is>
          <t>Nao</t>
        </is>
      </c>
      <c r="AB839" s="111" t="inlineStr">
        <is>
          <t>NAO_COMPUTADO</t>
        </is>
      </c>
      <c r="AC839" s="112" t="inlineStr">
        <is>
          <t>Estrutura Fase 1: sem impacto no VTA oficial</t>
        </is>
      </c>
    </row>
    <row r="840" ht="25.5" customHeight="1" s="289">
      <c r="A840" s="205" t="n"/>
      <c r="B840" s="207" t="n"/>
      <c r="C840" s="104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348" t="n"/>
      <c r="E840" s="349">
        <f>IF(C840="","",IFERROR(VLOOKUP(C840,parametros!$A$11:$E$15,5,0),""))</f>
        <v/>
      </c>
      <c r="F840" s="335">
        <f>IF(OR(D840="",E840=""),"",ROUND(D840*E840,2))</f>
        <v/>
      </c>
      <c r="G840" s="106" t="n"/>
      <c r="H840" s="350">
        <f>IF(G840="Sim",IF(OR(F840="",D840="",L840=""),"",IF(L840="Sim",ROUND(F840-D840,2),0)),0)</f>
        <v/>
      </c>
      <c r="I840" s="350">
        <f>IF(G840="Sim",0,IF(OR(F840="",L840=""),"",F840))</f>
        <v/>
      </c>
      <c r="J840" s="350">
        <f>IF(G840="Sim",0,IF(OR(F840="",D840="",L840=""),"",IF(L840="Sim",ROUND(F840-D840,2),0)))</f>
        <v/>
      </c>
      <c r="K840" s="97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inlineStr">
        <is>
          <t>Nao</t>
        </is>
      </c>
      <c r="W840" s="110" t="inlineStr">
        <is>
          <t>PC em analise</t>
        </is>
      </c>
      <c r="X840" s="110" t="inlineStr">
        <is>
          <t>Pedido de Compra</t>
        </is>
      </c>
      <c r="Y840" s="111" t="inlineStr">
        <is>
          <t>Impacto Potencial</t>
        </is>
      </c>
      <c r="Z840" s="111" t="inlineStr">
        <is>
          <t>PC</t>
        </is>
      </c>
      <c r="AA840" s="111" t="inlineStr">
        <is>
          <t>Nao</t>
        </is>
      </c>
      <c r="AB840" s="111" t="inlineStr">
        <is>
          <t>NAO_COMPUTADO</t>
        </is>
      </c>
      <c r="AC840" s="112" t="inlineStr">
        <is>
          <t>Estrutura Fase 1: sem impacto no VTA oficial</t>
        </is>
      </c>
    </row>
    <row r="841" ht="25.5" customHeight="1" s="289">
      <c r="A841" s="205" t="n"/>
      <c r="B841" s="207" t="n"/>
      <c r="C841" s="104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348" t="n"/>
      <c r="E841" s="349">
        <f>IF(C841="","",IFERROR(VLOOKUP(C841,parametros!$A$11:$E$15,5,0),""))</f>
        <v/>
      </c>
      <c r="F841" s="335">
        <f>IF(OR(D841="",E841=""),"",ROUND(D841*E841,2))</f>
        <v/>
      </c>
      <c r="G841" s="106" t="n"/>
      <c r="H841" s="350">
        <f>IF(G841="Sim",IF(OR(F841="",D841="",L841=""),"",IF(L841="Sim",ROUND(F841-D841,2),0)),0)</f>
        <v/>
      </c>
      <c r="I841" s="350">
        <f>IF(G841="Sim",0,IF(OR(F841="",L841=""),"",F841))</f>
        <v/>
      </c>
      <c r="J841" s="350">
        <f>IF(G841="Sim",0,IF(OR(F841="",D841="",L841=""),"",IF(L841="Sim",ROUND(F841-D841,2),0)))</f>
        <v/>
      </c>
      <c r="K841" s="97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inlineStr">
        <is>
          <t>Nao</t>
        </is>
      </c>
      <c r="W841" s="110" t="inlineStr">
        <is>
          <t>PC em analise</t>
        </is>
      </c>
      <c r="X841" s="110" t="inlineStr">
        <is>
          <t>Pedido de Compra</t>
        </is>
      </c>
      <c r="Y841" s="111" t="inlineStr">
        <is>
          <t>Impacto Potencial</t>
        </is>
      </c>
      <c r="Z841" s="111" t="inlineStr">
        <is>
          <t>PC</t>
        </is>
      </c>
      <c r="AA841" s="111" t="inlineStr">
        <is>
          <t>Nao</t>
        </is>
      </c>
      <c r="AB841" s="111" t="inlineStr">
        <is>
          <t>NAO_COMPUTADO</t>
        </is>
      </c>
      <c r="AC841" s="112" t="inlineStr">
        <is>
          <t>Estrutura Fase 1: sem impacto no VTA oficial</t>
        </is>
      </c>
    </row>
    <row r="842" ht="25.5" customHeight="1" s="289">
      <c r="A842" s="205" t="n"/>
      <c r="B842" s="207" t="n"/>
      <c r="C842" s="104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348" t="n"/>
      <c r="E842" s="349">
        <f>IF(C842="","",IFERROR(VLOOKUP(C842,parametros!$A$11:$E$15,5,0),""))</f>
        <v/>
      </c>
      <c r="F842" s="335">
        <f>IF(OR(D842="",E842=""),"",ROUND(D842*E842,2))</f>
        <v/>
      </c>
      <c r="G842" s="106" t="n"/>
      <c r="H842" s="350">
        <f>IF(G842="Sim",IF(OR(F842="",D842="",L842=""),"",IF(L842="Sim",ROUND(F842-D842,2),0)),0)</f>
        <v/>
      </c>
      <c r="I842" s="350">
        <f>IF(G842="Sim",0,IF(OR(F842="",L842=""),"",F842))</f>
        <v/>
      </c>
      <c r="J842" s="350">
        <f>IF(G842="Sim",0,IF(OR(F842="",D842="",L842=""),"",IF(L842="Sim",ROUND(F842-D842,2),0)))</f>
        <v/>
      </c>
      <c r="K842" s="97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inlineStr">
        <is>
          <t>Nao</t>
        </is>
      </c>
      <c r="W842" s="110" t="inlineStr">
        <is>
          <t>PC em analise</t>
        </is>
      </c>
      <c r="X842" s="110" t="inlineStr">
        <is>
          <t>Pedido de Compra</t>
        </is>
      </c>
      <c r="Y842" s="111" t="inlineStr">
        <is>
          <t>Impacto Potencial</t>
        </is>
      </c>
      <c r="Z842" s="111" t="inlineStr">
        <is>
          <t>PC</t>
        </is>
      </c>
      <c r="AA842" s="111" t="inlineStr">
        <is>
          <t>Nao</t>
        </is>
      </c>
      <c r="AB842" s="111" t="inlineStr">
        <is>
          <t>NAO_COMPUTADO</t>
        </is>
      </c>
      <c r="AC842" s="112" t="inlineStr">
        <is>
          <t>Estrutura Fase 1: sem impacto no VTA oficial</t>
        </is>
      </c>
    </row>
    <row r="843" ht="25.5" customHeight="1" s="289">
      <c r="A843" s="205" t="n"/>
      <c r="B843" s="207" t="n"/>
      <c r="C843" s="104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348" t="n"/>
      <c r="E843" s="349">
        <f>IF(C843="","",IFERROR(VLOOKUP(C843,parametros!$A$11:$E$15,5,0),""))</f>
        <v/>
      </c>
      <c r="F843" s="335">
        <f>IF(OR(D843="",E843=""),"",ROUND(D843*E843,2))</f>
        <v/>
      </c>
      <c r="G843" s="106" t="n"/>
      <c r="H843" s="350">
        <f>IF(G843="Sim",IF(OR(F843="",D843="",L843=""),"",IF(L843="Sim",ROUND(F843-D843,2),0)),0)</f>
        <v/>
      </c>
      <c r="I843" s="350">
        <f>IF(G843="Sim",0,IF(OR(F843="",L843=""),"",F843))</f>
        <v/>
      </c>
      <c r="J843" s="350">
        <f>IF(G843="Sim",0,IF(OR(F843="",D843="",L843=""),"",IF(L843="Sim",ROUND(F843-D843,2),0)))</f>
        <v/>
      </c>
      <c r="K843" s="97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inlineStr">
        <is>
          <t>Nao</t>
        </is>
      </c>
      <c r="W843" s="110" t="inlineStr">
        <is>
          <t>PC em analise</t>
        </is>
      </c>
      <c r="X843" s="110" t="inlineStr">
        <is>
          <t>Pedido de Compra</t>
        </is>
      </c>
      <c r="Y843" s="111" t="inlineStr">
        <is>
          <t>Impacto Potencial</t>
        </is>
      </c>
      <c r="Z843" s="111" t="inlineStr">
        <is>
          <t>PC</t>
        </is>
      </c>
      <c r="AA843" s="111" t="inlineStr">
        <is>
          <t>Nao</t>
        </is>
      </c>
      <c r="AB843" s="111" t="inlineStr">
        <is>
          <t>NAO_COMPUTADO</t>
        </is>
      </c>
      <c r="AC843" s="112" t="inlineStr">
        <is>
          <t>Estrutura Fase 1: sem impacto no VTA oficial</t>
        </is>
      </c>
    </row>
    <row r="844" ht="25.5" customHeight="1" s="289">
      <c r="A844" s="205" t="n"/>
      <c r="B844" s="207" t="n"/>
      <c r="C844" s="104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348" t="n"/>
      <c r="E844" s="349">
        <f>IF(C844="","",IFERROR(VLOOKUP(C844,parametros!$A$11:$E$15,5,0),""))</f>
        <v/>
      </c>
      <c r="F844" s="335">
        <f>IF(OR(D844="",E844=""),"",ROUND(D844*E844,2))</f>
        <v/>
      </c>
      <c r="G844" s="106" t="n"/>
      <c r="H844" s="350">
        <f>IF(G844="Sim",IF(OR(F844="",D844="",L844=""),"",IF(L844="Sim",ROUND(F844-D844,2),0)),0)</f>
        <v/>
      </c>
      <c r="I844" s="350">
        <f>IF(G844="Sim",0,IF(OR(F844="",L844=""),"",F844))</f>
        <v/>
      </c>
      <c r="J844" s="350">
        <f>IF(G844="Sim",0,IF(OR(F844="",D844="",L844=""),"",IF(L844="Sim",ROUND(F844-D844,2),0)))</f>
        <v/>
      </c>
      <c r="K844" s="97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inlineStr">
        <is>
          <t>Nao</t>
        </is>
      </c>
      <c r="W844" s="110" t="inlineStr">
        <is>
          <t>PC em analise</t>
        </is>
      </c>
      <c r="X844" s="110" t="inlineStr">
        <is>
          <t>Pedido de Compra</t>
        </is>
      </c>
      <c r="Y844" s="111" t="inlineStr">
        <is>
          <t>Impacto Potencial</t>
        </is>
      </c>
      <c r="Z844" s="111" t="inlineStr">
        <is>
          <t>PC</t>
        </is>
      </c>
      <c r="AA844" s="111" t="inlineStr">
        <is>
          <t>Nao</t>
        </is>
      </c>
      <c r="AB844" s="111" t="inlineStr">
        <is>
          <t>NAO_COMPUTADO</t>
        </is>
      </c>
      <c r="AC844" s="112" t="inlineStr">
        <is>
          <t>Estrutura Fase 1: sem impacto no VTA oficial</t>
        </is>
      </c>
    </row>
    <row r="845" ht="25.5" customHeight="1" s="289">
      <c r="A845" s="205" t="n"/>
      <c r="B845" s="207" t="n"/>
      <c r="C845" s="104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348" t="n"/>
      <c r="E845" s="349">
        <f>IF(C845="","",IFERROR(VLOOKUP(C845,parametros!$A$11:$E$15,5,0),""))</f>
        <v/>
      </c>
      <c r="F845" s="335">
        <f>IF(OR(D845="",E845=""),"",ROUND(D845*E845,2))</f>
        <v/>
      </c>
      <c r="G845" s="106" t="n"/>
      <c r="H845" s="350">
        <f>IF(G845="Sim",IF(OR(F845="",D845="",L845=""),"",IF(L845="Sim",ROUND(F845-D845,2),0)),0)</f>
        <v/>
      </c>
      <c r="I845" s="350">
        <f>IF(G845="Sim",0,IF(OR(F845="",L845=""),"",F845))</f>
        <v/>
      </c>
      <c r="J845" s="350">
        <f>IF(G845="Sim",0,IF(OR(F845="",D845="",L845=""),"",IF(L845="Sim",ROUND(F845-D845,2),0)))</f>
        <v/>
      </c>
      <c r="K845" s="97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inlineStr">
        <is>
          <t>Nao</t>
        </is>
      </c>
      <c r="W845" s="110" t="inlineStr">
        <is>
          <t>PC em analise</t>
        </is>
      </c>
      <c r="X845" s="110" t="inlineStr">
        <is>
          <t>Pedido de Compra</t>
        </is>
      </c>
      <c r="Y845" s="111" t="inlineStr">
        <is>
          <t>Impacto Potencial</t>
        </is>
      </c>
      <c r="Z845" s="111" t="inlineStr">
        <is>
          <t>PC</t>
        </is>
      </c>
      <c r="AA845" s="111" t="inlineStr">
        <is>
          <t>Nao</t>
        </is>
      </c>
      <c r="AB845" s="111" t="inlineStr">
        <is>
          <t>NAO_COMPUTADO</t>
        </is>
      </c>
      <c r="AC845" s="112" t="inlineStr">
        <is>
          <t>Estrutura Fase 1: sem impacto no VTA oficial</t>
        </is>
      </c>
    </row>
    <row r="846" ht="25.5" customHeight="1" s="289">
      <c r="A846" s="205" t="n"/>
      <c r="B846" s="207" t="n"/>
      <c r="C846" s="104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348" t="n"/>
      <c r="E846" s="349">
        <f>IF(C846="","",IFERROR(VLOOKUP(C846,parametros!$A$11:$E$15,5,0),""))</f>
        <v/>
      </c>
      <c r="F846" s="335">
        <f>IF(OR(D846="",E846=""),"",ROUND(D846*E846,2))</f>
        <v/>
      </c>
      <c r="G846" s="106" t="n"/>
      <c r="H846" s="350">
        <f>IF(G846="Sim",IF(OR(F846="",D846="",L846=""),"",IF(L846="Sim",ROUND(F846-D846,2),0)),0)</f>
        <v/>
      </c>
      <c r="I846" s="350">
        <f>IF(G846="Sim",0,IF(OR(F846="",L846=""),"",F846))</f>
        <v/>
      </c>
      <c r="J846" s="350">
        <f>IF(G846="Sim",0,IF(OR(F846="",D846="",L846=""),"",IF(L846="Sim",ROUND(F846-D846,2),0)))</f>
        <v/>
      </c>
      <c r="K846" s="97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inlineStr">
        <is>
          <t>Nao</t>
        </is>
      </c>
      <c r="W846" s="110" t="inlineStr">
        <is>
          <t>PC em analise</t>
        </is>
      </c>
      <c r="X846" s="110" t="inlineStr">
        <is>
          <t>Pedido de Compra</t>
        </is>
      </c>
      <c r="Y846" s="111" t="inlineStr">
        <is>
          <t>Impacto Potencial</t>
        </is>
      </c>
      <c r="Z846" s="111" t="inlineStr">
        <is>
          <t>PC</t>
        </is>
      </c>
      <c r="AA846" s="111" t="inlineStr">
        <is>
          <t>Nao</t>
        </is>
      </c>
      <c r="AB846" s="111" t="inlineStr">
        <is>
          <t>NAO_COMPUTADO</t>
        </is>
      </c>
      <c r="AC846" s="112" t="inlineStr">
        <is>
          <t>Estrutura Fase 1: sem impacto no VTA oficial</t>
        </is>
      </c>
    </row>
    <row r="847" ht="25.5" customHeight="1" s="289">
      <c r="A847" s="205" t="n"/>
      <c r="B847" s="207" t="n"/>
      <c r="C847" s="104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348" t="n"/>
      <c r="E847" s="349">
        <f>IF(C847="","",IFERROR(VLOOKUP(C847,parametros!$A$11:$E$15,5,0),""))</f>
        <v/>
      </c>
      <c r="F847" s="335">
        <f>IF(OR(D847="",E847=""),"",ROUND(D847*E847,2))</f>
        <v/>
      </c>
      <c r="G847" s="106" t="n"/>
      <c r="H847" s="350">
        <f>IF(G847="Sim",IF(OR(F847="",D847="",L847=""),"",IF(L847="Sim",ROUND(F847-D847,2),0)),0)</f>
        <v/>
      </c>
      <c r="I847" s="350">
        <f>IF(G847="Sim",0,IF(OR(F847="",L847=""),"",F847))</f>
        <v/>
      </c>
      <c r="J847" s="350">
        <f>IF(G847="Sim",0,IF(OR(F847="",D847="",L847=""),"",IF(L847="Sim",ROUND(F847-D847,2),0)))</f>
        <v/>
      </c>
      <c r="K847" s="97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inlineStr">
        <is>
          <t>Nao</t>
        </is>
      </c>
      <c r="W847" s="110" t="inlineStr">
        <is>
          <t>PC em analise</t>
        </is>
      </c>
      <c r="X847" s="110" t="inlineStr">
        <is>
          <t>Pedido de Compra</t>
        </is>
      </c>
      <c r="Y847" s="111" t="inlineStr">
        <is>
          <t>Impacto Potencial</t>
        </is>
      </c>
      <c r="Z847" s="111" t="inlineStr">
        <is>
          <t>PC</t>
        </is>
      </c>
      <c r="AA847" s="111" t="inlineStr">
        <is>
          <t>Nao</t>
        </is>
      </c>
      <c r="AB847" s="111" t="inlineStr">
        <is>
          <t>NAO_COMPUTADO</t>
        </is>
      </c>
      <c r="AC847" s="112" t="inlineStr">
        <is>
          <t>Estrutura Fase 1: sem impacto no VTA oficial</t>
        </is>
      </c>
    </row>
    <row r="848" ht="25.5" customHeight="1" s="289">
      <c r="A848" s="205" t="n"/>
      <c r="B848" s="207" t="n"/>
      <c r="C848" s="104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348" t="n"/>
      <c r="E848" s="349">
        <f>IF(C848="","",IFERROR(VLOOKUP(C848,parametros!$A$11:$E$15,5,0),""))</f>
        <v/>
      </c>
      <c r="F848" s="335">
        <f>IF(OR(D848="",E848=""),"",ROUND(D848*E848,2))</f>
        <v/>
      </c>
      <c r="G848" s="106" t="n"/>
      <c r="H848" s="350">
        <f>IF(G848="Sim",IF(OR(F848="",D848="",L848=""),"",IF(L848="Sim",ROUND(F848-D848,2),0)),0)</f>
        <v/>
      </c>
      <c r="I848" s="350">
        <f>IF(G848="Sim",0,IF(OR(F848="",L848=""),"",F848))</f>
        <v/>
      </c>
      <c r="J848" s="350">
        <f>IF(G848="Sim",0,IF(OR(F848="",D848="",L848=""),"",IF(L848="Sim",ROUND(F848-D848,2),0)))</f>
        <v/>
      </c>
      <c r="K848" s="97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inlineStr">
        <is>
          <t>Nao</t>
        </is>
      </c>
      <c r="W848" s="110" t="inlineStr">
        <is>
          <t>PC em analise</t>
        </is>
      </c>
      <c r="X848" s="110" t="inlineStr">
        <is>
          <t>Pedido de Compra</t>
        </is>
      </c>
      <c r="Y848" s="111" t="inlineStr">
        <is>
          <t>Impacto Potencial</t>
        </is>
      </c>
      <c r="Z848" s="111" t="inlineStr">
        <is>
          <t>PC</t>
        </is>
      </c>
      <c r="AA848" s="111" t="inlineStr">
        <is>
          <t>Nao</t>
        </is>
      </c>
      <c r="AB848" s="111" t="inlineStr">
        <is>
          <t>NAO_COMPUTADO</t>
        </is>
      </c>
      <c r="AC848" s="112" t="inlineStr">
        <is>
          <t>Estrutura Fase 1: sem impacto no VTA oficial</t>
        </is>
      </c>
    </row>
    <row r="849" ht="25.5" customHeight="1" s="289">
      <c r="A849" s="205" t="n"/>
      <c r="B849" s="207" t="n"/>
      <c r="C849" s="104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348" t="n"/>
      <c r="E849" s="349">
        <f>IF(C849="","",IFERROR(VLOOKUP(C849,parametros!$A$11:$E$15,5,0),""))</f>
        <v/>
      </c>
      <c r="F849" s="335">
        <f>IF(OR(D849="",E849=""),"",ROUND(D849*E849,2))</f>
        <v/>
      </c>
      <c r="G849" s="106" t="n"/>
      <c r="H849" s="350">
        <f>IF(G849="Sim",IF(OR(F849="",D849="",L849=""),"",IF(L849="Sim",ROUND(F849-D849,2),0)),0)</f>
        <v/>
      </c>
      <c r="I849" s="350">
        <f>IF(G849="Sim",0,IF(OR(F849="",L849=""),"",F849))</f>
        <v/>
      </c>
      <c r="J849" s="350">
        <f>IF(G849="Sim",0,IF(OR(F849="",D849="",L849=""),"",IF(L849="Sim",ROUND(F849-D849,2),0)))</f>
        <v/>
      </c>
      <c r="K849" s="97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inlineStr">
        <is>
          <t>Nao</t>
        </is>
      </c>
      <c r="W849" s="110" t="inlineStr">
        <is>
          <t>PC em analise</t>
        </is>
      </c>
      <c r="X849" s="110" t="inlineStr">
        <is>
          <t>Pedido de Compra</t>
        </is>
      </c>
      <c r="Y849" s="111" t="inlineStr">
        <is>
          <t>Impacto Potencial</t>
        </is>
      </c>
      <c r="Z849" s="111" t="inlineStr">
        <is>
          <t>PC</t>
        </is>
      </c>
      <c r="AA849" s="111" t="inlineStr">
        <is>
          <t>Nao</t>
        </is>
      </c>
      <c r="AB849" s="111" t="inlineStr">
        <is>
          <t>NAO_COMPUTADO</t>
        </is>
      </c>
      <c r="AC849" s="112" t="inlineStr">
        <is>
          <t>Estrutura Fase 1: sem impacto no VTA oficial</t>
        </is>
      </c>
    </row>
    <row r="850" ht="25.5" customHeight="1" s="289">
      <c r="A850" s="205" t="n"/>
      <c r="B850" s="207" t="n"/>
      <c r="C850" s="104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348" t="n"/>
      <c r="E850" s="349">
        <f>IF(C850="","",IFERROR(VLOOKUP(C850,parametros!$A$11:$E$15,5,0),""))</f>
        <v/>
      </c>
      <c r="F850" s="335">
        <f>IF(OR(D850="",E850=""),"",ROUND(D850*E850,2))</f>
        <v/>
      </c>
      <c r="G850" s="106" t="n"/>
      <c r="H850" s="350">
        <f>IF(G850="Sim",IF(OR(F850="",D850="",L850=""),"",IF(L850="Sim",ROUND(F850-D850,2),0)),0)</f>
        <v/>
      </c>
      <c r="I850" s="350">
        <f>IF(G850="Sim",0,IF(OR(F850="",L850=""),"",F850))</f>
        <v/>
      </c>
      <c r="J850" s="350">
        <f>IF(G850="Sim",0,IF(OR(F850="",D850="",L850=""),"",IF(L850="Sim",ROUND(F850-D850,2),0)))</f>
        <v/>
      </c>
      <c r="K850" s="97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inlineStr">
        <is>
          <t>Nao</t>
        </is>
      </c>
      <c r="W850" s="110" t="inlineStr">
        <is>
          <t>PC em analise</t>
        </is>
      </c>
      <c r="X850" s="110" t="inlineStr">
        <is>
          <t>Pedido de Compra</t>
        </is>
      </c>
      <c r="Y850" s="111" t="inlineStr">
        <is>
          <t>Impacto Potencial</t>
        </is>
      </c>
      <c r="Z850" s="111" t="inlineStr">
        <is>
          <t>PC</t>
        </is>
      </c>
      <c r="AA850" s="111" t="inlineStr">
        <is>
          <t>Nao</t>
        </is>
      </c>
      <c r="AB850" s="111" t="inlineStr">
        <is>
          <t>NAO_COMPUTADO</t>
        </is>
      </c>
      <c r="AC850" s="112" t="inlineStr">
        <is>
          <t>Estrutura Fase 1: sem impacto no VTA oficial</t>
        </is>
      </c>
    </row>
    <row r="851" ht="25.5" customHeight="1" s="289">
      <c r="A851" s="205" t="n"/>
      <c r="B851" s="207" t="n"/>
      <c r="C851" s="104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348" t="n"/>
      <c r="E851" s="349">
        <f>IF(C851="","",IFERROR(VLOOKUP(C851,parametros!$A$11:$E$15,5,0),""))</f>
        <v/>
      </c>
      <c r="F851" s="335">
        <f>IF(OR(D851="",E851=""),"",ROUND(D851*E851,2))</f>
        <v/>
      </c>
      <c r="G851" s="106" t="n"/>
      <c r="H851" s="350">
        <f>IF(G851="Sim",IF(OR(F851="",D851="",L851=""),"",IF(L851="Sim",ROUND(F851-D851,2),0)),0)</f>
        <v/>
      </c>
      <c r="I851" s="350">
        <f>IF(G851="Sim",0,IF(OR(F851="",L851=""),"",F851))</f>
        <v/>
      </c>
      <c r="J851" s="350">
        <f>IF(G851="Sim",0,IF(OR(F851="",D851="",L851=""),"",IF(L851="Sim",ROUND(F851-D851,2),0)))</f>
        <v/>
      </c>
      <c r="K851" s="97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inlineStr">
        <is>
          <t>Nao</t>
        </is>
      </c>
      <c r="W851" s="110" t="inlineStr">
        <is>
          <t>PC em analise</t>
        </is>
      </c>
      <c r="X851" s="110" t="inlineStr">
        <is>
          <t>Pedido de Compra</t>
        </is>
      </c>
      <c r="Y851" s="111" t="inlineStr">
        <is>
          <t>Impacto Potencial</t>
        </is>
      </c>
      <c r="Z851" s="111" t="inlineStr">
        <is>
          <t>PC</t>
        </is>
      </c>
      <c r="AA851" s="111" t="inlineStr">
        <is>
          <t>Nao</t>
        </is>
      </c>
      <c r="AB851" s="111" t="inlineStr">
        <is>
          <t>NAO_COMPUTADO</t>
        </is>
      </c>
      <c r="AC851" s="112" t="inlineStr">
        <is>
          <t>Estrutura Fase 1: sem impacto no VTA oficial</t>
        </is>
      </c>
    </row>
    <row r="852" ht="25.5" customHeight="1" s="289">
      <c r="A852" s="205" t="n"/>
      <c r="B852" s="207" t="n"/>
      <c r="C852" s="104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348" t="n"/>
      <c r="E852" s="349">
        <f>IF(C852="","",IFERROR(VLOOKUP(C852,parametros!$A$11:$E$15,5,0),""))</f>
        <v/>
      </c>
      <c r="F852" s="335">
        <f>IF(OR(D852="",E852=""),"",ROUND(D852*E852,2))</f>
        <v/>
      </c>
      <c r="G852" s="106" t="n"/>
      <c r="H852" s="350">
        <f>IF(G852="Sim",IF(OR(F852="",D852="",L852=""),"",IF(L852="Sim",ROUND(F852-D852,2),0)),0)</f>
        <v/>
      </c>
      <c r="I852" s="350">
        <f>IF(G852="Sim",0,IF(OR(F852="",L852=""),"",F852))</f>
        <v/>
      </c>
      <c r="J852" s="350">
        <f>IF(G852="Sim",0,IF(OR(F852="",D852="",L852=""),"",IF(L852="Sim",ROUND(F852-D852,2),0)))</f>
        <v/>
      </c>
      <c r="K852" s="97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inlineStr">
        <is>
          <t>Nao</t>
        </is>
      </c>
      <c r="W852" s="110" t="inlineStr">
        <is>
          <t>PC em analise</t>
        </is>
      </c>
      <c r="X852" s="110" t="inlineStr">
        <is>
          <t>Pedido de Compra</t>
        </is>
      </c>
      <c r="Y852" s="111" t="inlineStr">
        <is>
          <t>Impacto Potencial</t>
        </is>
      </c>
      <c r="Z852" s="111" t="inlineStr">
        <is>
          <t>PC</t>
        </is>
      </c>
      <c r="AA852" s="111" t="inlineStr">
        <is>
          <t>Nao</t>
        </is>
      </c>
      <c r="AB852" s="111" t="inlineStr">
        <is>
          <t>NAO_COMPUTADO</t>
        </is>
      </c>
      <c r="AC852" s="112" t="inlineStr">
        <is>
          <t>Estrutura Fase 1: sem impacto no VTA oficial</t>
        </is>
      </c>
    </row>
    <row r="853" ht="25.5" customHeight="1" s="289">
      <c r="A853" s="205" t="n"/>
      <c r="B853" s="207" t="n"/>
      <c r="C853" s="104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348" t="n"/>
      <c r="E853" s="349">
        <f>IF(C853="","",IFERROR(VLOOKUP(C853,parametros!$A$11:$E$15,5,0),""))</f>
        <v/>
      </c>
      <c r="F853" s="335">
        <f>IF(OR(D853="",E853=""),"",ROUND(D853*E853,2))</f>
        <v/>
      </c>
      <c r="G853" s="106" t="n"/>
      <c r="H853" s="350">
        <f>IF(G853="Sim",IF(OR(F853="",D853="",L853=""),"",IF(L853="Sim",ROUND(F853-D853,2),0)),0)</f>
        <v/>
      </c>
      <c r="I853" s="350">
        <f>IF(G853="Sim",0,IF(OR(F853="",L853=""),"",F853))</f>
        <v/>
      </c>
      <c r="J853" s="350">
        <f>IF(G853="Sim",0,IF(OR(F853="",D853="",L853=""),"",IF(L853="Sim",ROUND(F853-D853,2),0)))</f>
        <v/>
      </c>
      <c r="K853" s="97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inlineStr">
        <is>
          <t>Nao</t>
        </is>
      </c>
      <c r="W853" s="110" t="inlineStr">
        <is>
          <t>PC em analise</t>
        </is>
      </c>
      <c r="X853" s="110" t="inlineStr">
        <is>
          <t>Pedido de Compra</t>
        </is>
      </c>
      <c r="Y853" s="111" t="inlineStr">
        <is>
          <t>Impacto Potencial</t>
        </is>
      </c>
      <c r="Z853" s="111" t="inlineStr">
        <is>
          <t>PC</t>
        </is>
      </c>
      <c r="AA853" s="111" t="inlineStr">
        <is>
          <t>Nao</t>
        </is>
      </c>
      <c r="AB853" s="111" t="inlineStr">
        <is>
          <t>NAO_COMPUTADO</t>
        </is>
      </c>
      <c r="AC853" s="112" t="inlineStr">
        <is>
          <t>Estrutura Fase 1: sem impacto no VTA oficial</t>
        </is>
      </c>
    </row>
    <row r="854" ht="25.5" customHeight="1" s="289">
      <c r="A854" s="205" t="n"/>
      <c r="B854" s="207" t="n"/>
      <c r="C854" s="104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348" t="n"/>
      <c r="E854" s="349">
        <f>IF(C854="","",IFERROR(VLOOKUP(C854,parametros!$A$11:$E$15,5,0),""))</f>
        <v/>
      </c>
      <c r="F854" s="335">
        <f>IF(OR(D854="",E854=""),"",ROUND(D854*E854,2))</f>
        <v/>
      </c>
      <c r="G854" s="106" t="n"/>
      <c r="H854" s="350">
        <f>IF(G854="Sim",IF(OR(F854="",D854="",L854=""),"",IF(L854="Sim",ROUND(F854-D854,2),0)),0)</f>
        <v/>
      </c>
      <c r="I854" s="350">
        <f>IF(G854="Sim",0,IF(OR(F854="",L854=""),"",F854))</f>
        <v/>
      </c>
      <c r="J854" s="350">
        <f>IF(G854="Sim",0,IF(OR(F854="",D854="",L854=""),"",IF(L854="Sim",ROUND(F854-D854,2),0)))</f>
        <v/>
      </c>
      <c r="K854" s="97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inlineStr">
        <is>
          <t>Nao</t>
        </is>
      </c>
      <c r="W854" s="110" t="inlineStr">
        <is>
          <t>PC em analise</t>
        </is>
      </c>
      <c r="X854" s="110" t="inlineStr">
        <is>
          <t>Pedido de Compra</t>
        </is>
      </c>
      <c r="Y854" s="111" t="inlineStr">
        <is>
          <t>Impacto Potencial</t>
        </is>
      </c>
      <c r="Z854" s="111" t="inlineStr">
        <is>
          <t>PC</t>
        </is>
      </c>
      <c r="AA854" s="111" t="inlineStr">
        <is>
          <t>Nao</t>
        </is>
      </c>
      <c r="AB854" s="111" t="inlineStr">
        <is>
          <t>NAO_COMPUTADO</t>
        </is>
      </c>
      <c r="AC854" s="112" t="inlineStr">
        <is>
          <t>Estrutura Fase 1: sem impacto no VTA oficial</t>
        </is>
      </c>
    </row>
    <row r="855" ht="25.5" customHeight="1" s="289">
      <c r="A855" s="205" t="n"/>
      <c r="B855" s="207" t="n"/>
      <c r="C855" s="104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348" t="n"/>
      <c r="E855" s="349">
        <f>IF(C855="","",IFERROR(VLOOKUP(C855,parametros!$A$11:$E$15,5,0),""))</f>
        <v/>
      </c>
      <c r="F855" s="335">
        <f>IF(OR(D855="",E855=""),"",ROUND(D855*E855,2))</f>
        <v/>
      </c>
      <c r="G855" s="106" t="n"/>
      <c r="H855" s="350">
        <f>IF(G855="Sim",IF(OR(F855="",D855="",L855=""),"",IF(L855="Sim",ROUND(F855-D855,2),0)),0)</f>
        <v/>
      </c>
      <c r="I855" s="350">
        <f>IF(G855="Sim",0,IF(OR(F855="",L855=""),"",F855))</f>
        <v/>
      </c>
      <c r="J855" s="350">
        <f>IF(G855="Sim",0,IF(OR(F855="",D855="",L855=""),"",IF(L855="Sim",ROUND(F855-D855,2),0)))</f>
        <v/>
      </c>
      <c r="K855" s="97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inlineStr">
        <is>
          <t>Nao</t>
        </is>
      </c>
      <c r="W855" s="110" t="inlineStr">
        <is>
          <t>PC em analise</t>
        </is>
      </c>
      <c r="X855" s="110" t="inlineStr">
        <is>
          <t>Pedido de Compra</t>
        </is>
      </c>
      <c r="Y855" s="111" t="inlineStr">
        <is>
          <t>Impacto Potencial</t>
        </is>
      </c>
      <c r="Z855" s="111" t="inlineStr">
        <is>
          <t>PC</t>
        </is>
      </c>
      <c r="AA855" s="111" t="inlineStr">
        <is>
          <t>Nao</t>
        </is>
      </c>
      <c r="AB855" s="111" t="inlineStr">
        <is>
          <t>NAO_COMPUTADO</t>
        </is>
      </c>
      <c r="AC855" s="112" t="inlineStr">
        <is>
          <t>Estrutura Fase 1: sem impacto no VTA oficial</t>
        </is>
      </c>
    </row>
    <row r="856" ht="25.5" customHeight="1" s="289">
      <c r="A856" s="205" t="n"/>
      <c r="B856" s="207" t="n"/>
      <c r="C856" s="104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348" t="n"/>
      <c r="E856" s="349">
        <f>IF(C856="","",IFERROR(VLOOKUP(C856,parametros!$A$11:$E$15,5,0),""))</f>
        <v/>
      </c>
      <c r="F856" s="335">
        <f>IF(OR(D856="",E856=""),"",ROUND(D856*E856,2))</f>
        <v/>
      </c>
      <c r="G856" s="106" t="n"/>
      <c r="H856" s="350">
        <f>IF(G856="Sim",IF(OR(F856="",D856="",L856=""),"",IF(L856="Sim",ROUND(F856-D856,2),0)),0)</f>
        <v/>
      </c>
      <c r="I856" s="350">
        <f>IF(G856="Sim",0,IF(OR(F856="",L856=""),"",F856))</f>
        <v/>
      </c>
      <c r="J856" s="350">
        <f>IF(G856="Sim",0,IF(OR(F856="",D856="",L856=""),"",IF(L856="Sim",ROUND(F856-D856,2),0)))</f>
        <v/>
      </c>
      <c r="K856" s="97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inlineStr">
        <is>
          <t>Nao</t>
        </is>
      </c>
      <c r="W856" s="110" t="inlineStr">
        <is>
          <t>PC em analise</t>
        </is>
      </c>
      <c r="X856" s="110" t="inlineStr">
        <is>
          <t>Pedido de Compra</t>
        </is>
      </c>
      <c r="Y856" s="111" t="inlineStr">
        <is>
          <t>Impacto Potencial</t>
        </is>
      </c>
      <c r="Z856" s="111" t="inlineStr">
        <is>
          <t>PC</t>
        </is>
      </c>
      <c r="AA856" s="111" t="inlineStr">
        <is>
          <t>Nao</t>
        </is>
      </c>
      <c r="AB856" s="111" t="inlineStr">
        <is>
          <t>NAO_COMPUTADO</t>
        </is>
      </c>
      <c r="AC856" s="112" t="inlineStr">
        <is>
          <t>Estrutura Fase 1: sem impacto no VTA oficial</t>
        </is>
      </c>
    </row>
    <row r="857" ht="25.5" customHeight="1" s="289">
      <c r="A857" s="205" t="n"/>
      <c r="B857" s="207" t="n"/>
      <c r="C857" s="104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348" t="n"/>
      <c r="E857" s="349">
        <f>IF(C857="","",IFERROR(VLOOKUP(C857,parametros!$A$11:$E$15,5,0),""))</f>
        <v/>
      </c>
      <c r="F857" s="335">
        <f>IF(OR(D857="",E857=""),"",ROUND(D857*E857,2))</f>
        <v/>
      </c>
      <c r="G857" s="106" t="n"/>
      <c r="H857" s="350">
        <f>IF(G857="Sim",IF(OR(F857="",D857="",L857=""),"",IF(L857="Sim",ROUND(F857-D857,2),0)),0)</f>
        <v/>
      </c>
      <c r="I857" s="350">
        <f>IF(G857="Sim",0,IF(OR(F857="",L857=""),"",F857))</f>
        <v/>
      </c>
      <c r="J857" s="350">
        <f>IF(G857="Sim",0,IF(OR(F857="",D857="",L857=""),"",IF(L857="Sim",ROUND(F857-D857,2),0)))</f>
        <v/>
      </c>
      <c r="K857" s="97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inlineStr">
        <is>
          <t>Nao</t>
        </is>
      </c>
      <c r="W857" s="110" t="inlineStr">
        <is>
          <t>PC em analise</t>
        </is>
      </c>
      <c r="X857" s="110" t="inlineStr">
        <is>
          <t>Pedido de Compra</t>
        </is>
      </c>
      <c r="Y857" s="111" t="inlineStr">
        <is>
          <t>Impacto Potencial</t>
        </is>
      </c>
      <c r="Z857" s="111" t="inlineStr">
        <is>
          <t>PC</t>
        </is>
      </c>
      <c r="AA857" s="111" t="inlineStr">
        <is>
          <t>Nao</t>
        </is>
      </c>
      <c r="AB857" s="111" t="inlineStr">
        <is>
          <t>NAO_COMPUTADO</t>
        </is>
      </c>
      <c r="AC857" s="112" t="inlineStr">
        <is>
          <t>Estrutura Fase 1: sem impacto no VTA oficial</t>
        </is>
      </c>
    </row>
    <row r="858" ht="25.5" customHeight="1" s="289">
      <c r="A858" s="205" t="n"/>
      <c r="B858" s="207" t="n"/>
      <c r="C858" s="104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348" t="n"/>
      <c r="E858" s="349">
        <f>IF(C858="","",IFERROR(VLOOKUP(C858,parametros!$A$11:$E$15,5,0),""))</f>
        <v/>
      </c>
      <c r="F858" s="335">
        <f>IF(OR(D858="",E858=""),"",ROUND(D858*E858,2))</f>
        <v/>
      </c>
      <c r="G858" s="106" t="n"/>
      <c r="H858" s="350">
        <f>IF(G858="Sim",IF(OR(F858="",D858="",L858=""),"",IF(L858="Sim",ROUND(F858-D858,2),0)),0)</f>
        <v/>
      </c>
      <c r="I858" s="350">
        <f>IF(G858="Sim",0,IF(OR(F858="",L858=""),"",F858))</f>
        <v/>
      </c>
      <c r="J858" s="350">
        <f>IF(G858="Sim",0,IF(OR(F858="",D858="",L858=""),"",IF(L858="Sim",ROUND(F858-D858,2),0)))</f>
        <v/>
      </c>
      <c r="K858" s="97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inlineStr">
        <is>
          <t>Nao</t>
        </is>
      </c>
      <c r="W858" s="110" t="inlineStr">
        <is>
          <t>PC em analise</t>
        </is>
      </c>
      <c r="X858" s="110" t="inlineStr">
        <is>
          <t>Pedido de Compra</t>
        </is>
      </c>
      <c r="Y858" s="111" t="inlineStr">
        <is>
          <t>Impacto Potencial</t>
        </is>
      </c>
      <c r="Z858" s="111" t="inlineStr">
        <is>
          <t>PC</t>
        </is>
      </c>
      <c r="AA858" s="111" t="inlineStr">
        <is>
          <t>Nao</t>
        </is>
      </c>
      <c r="AB858" s="111" t="inlineStr">
        <is>
          <t>NAO_COMPUTADO</t>
        </is>
      </c>
      <c r="AC858" s="112" t="inlineStr">
        <is>
          <t>Estrutura Fase 1: sem impacto no VTA oficial</t>
        </is>
      </c>
    </row>
    <row r="859" ht="25.5" customHeight="1" s="289">
      <c r="A859" s="205" t="n"/>
      <c r="B859" s="207" t="n"/>
      <c r="C859" s="104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348" t="n"/>
      <c r="E859" s="349">
        <f>IF(C859="","",IFERROR(VLOOKUP(C859,parametros!$A$11:$E$15,5,0),""))</f>
        <v/>
      </c>
      <c r="F859" s="335">
        <f>IF(OR(D859="",E859=""),"",ROUND(D859*E859,2))</f>
        <v/>
      </c>
      <c r="G859" s="106" t="n"/>
      <c r="H859" s="350">
        <f>IF(G859="Sim",IF(OR(F859="",D859="",L859=""),"",IF(L859="Sim",ROUND(F859-D859,2),0)),0)</f>
        <v/>
      </c>
      <c r="I859" s="350">
        <f>IF(G859="Sim",0,IF(OR(F859="",L859=""),"",F859))</f>
        <v/>
      </c>
      <c r="J859" s="350">
        <f>IF(G859="Sim",0,IF(OR(F859="",D859="",L859=""),"",IF(L859="Sim",ROUND(F859-D859,2),0)))</f>
        <v/>
      </c>
      <c r="K859" s="97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inlineStr">
        <is>
          <t>Nao</t>
        </is>
      </c>
      <c r="W859" s="110" t="inlineStr">
        <is>
          <t>PC em analise</t>
        </is>
      </c>
      <c r="X859" s="110" t="inlineStr">
        <is>
          <t>Pedido de Compra</t>
        </is>
      </c>
      <c r="Y859" s="111" t="inlineStr">
        <is>
          <t>Impacto Potencial</t>
        </is>
      </c>
      <c r="Z859" s="111" t="inlineStr">
        <is>
          <t>PC</t>
        </is>
      </c>
      <c r="AA859" s="111" t="inlineStr">
        <is>
          <t>Nao</t>
        </is>
      </c>
      <c r="AB859" s="111" t="inlineStr">
        <is>
          <t>NAO_COMPUTADO</t>
        </is>
      </c>
      <c r="AC859" s="112" t="inlineStr">
        <is>
          <t>Estrutura Fase 1: sem impacto no VTA oficial</t>
        </is>
      </c>
    </row>
    <row r="860" ht="25.5" customHeight="1" s="289">
      <c r="A860" s="205" t="n"/>
      <c r="B860" s="207" t="n"/>
      <c r="C860" s="104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348" t="n"/>
      <c r="E860" s="349">
        <f>IF(C860="","",IFERROR(VLOOKUP(C860,parametros!$A$11:$E$15,5,0),""))</f>
        <v/>
      </c>
      <c r="F860" s="335">
        <f>IF(OR(D860="",E860=""),"",ROUND(D860*E860,2))</f>
        <v/>
      </c>
      <c r="G860" s="106" t="n"/>
      <c r="H860" s="350">
        <f>IF(G860="Sim",IF(OR(F860="",D860="",L860=""),"",IF(L860="Sim",ROUND(F860-D860,2),0)),0)</f>
        <v/>
      </c>
      <c r="I860" s="350">
        <f>IF(G860="Sim",0,IF(OR(F860="",L860=""),"",F860))</f>
        <v/>
      </c>
      <c r="J860" s="350">
        <f>IF(G860="Sim",0,IF(OR(F860="",D860="",L860=""),"",IF(L860="Sim",ROUND(F860-D860,2),0)))</f>
        <v/>
      </c>
      <c r="K860" s="97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inlineStr">
        <is>
          <t>Nao</t>
        </is>
      </c>
      <c r="W860" s="110" t="inlineStr">
        <is>
          <t>PC em analise</t>
        </is>
      </c>
      <c r="X860" s="110" t="inlineStr">
        <is>
          <t>Pedido de Compra</t>
        </is>
      </c>
      <c r="Y860" s="111" t="inlineStr">
        <is>
          <t>Impacto Potencial</t>
        </is>
      </c>
      <c r="Z860" s="111" t="inlineStr">
        <is>
          <t>PC</t>
        </is>
      </c>
      <c r="AA860" s="111" t="inlineStr">
        <is>
          <t>Nao</t>
        </is>
      </c>
      <c r="AB860" s="111" t="inlineStr">
        <is>
          <t>NAO_COMPUTADO</t>
        </is>
      </c>
      <c r="AC860" s="112" t="inlineStr">
        <is>
          <t>Estrutura Fase 1: sem impacto no VTA oficial</t>
        </is>
      </c>
    </row>
    <row r="861" ht="25.5" customHeight="1" s="289">
      <c r="A861" s="205" t="n"/>
      <c r="B861" s="207" t="n"/>
      <c r="C861" s="104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348" t="n"/>
      <c r="E861" s="349">
        <f>IF(C861="","",IFERROR(VLOOKUP(C861,parametros!$A$11:$E$15,5,0),""))</f>
        <v/>
      </c>
      <c r="F861" s="335">
        <f>IF(OR(D861="",E861=""),"",ROUND(D861*E861,2))</f>
        <v/>
      </c>
      <c r="G861" s="106" t="n"/>
      <c r="H861" s="350">
        <f>IF(G861="Sim",IF(OR(F861="",D861="",L861=""),"",IF(L861="Sim",ROUND(F861-D861,2),0)),0)</f>
        <v/>
      </c>
      <c r="I861" s="350">
        <f>IF(G861="Sim",0,IF(OR(F861="",L861=""),"",F861))</f>
        <v/>
      </c>
      <c r="J861" s="350">
        <f>IF(G861="Sim",0,IF(OR(F861="",D861="",L861=""),"",IF(L861="Sim",ROUND(F861-D861,2),0)))</f>
        <v/>
      </c>
      <c r="K861" s="97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inlineStr">
        <is>
          <t>Nao</t>
        </is>
      </c>
      <c r="W861" s="110" t="inlineStr">
        <is>
          <t>PC em analise</t>
        </is>
      </c>
      <c r="X861" s="110" t="inlineStr">
        <is>
          <t>Pedido de Compra</t>
        </is>
      </c>
      <c r="Y861" s="111" t="inlineStr">
        <is>
          <t>Impacto Potencial</t>
        </is>
      </c>
      <c r="Z861" s="111" t="inlineStr">
        <is>
          <t>PC</t>
        </is>
      </c>
      <c r="AA861" s="111" t="inlineStr">
        <is>
          <t>Nao</t>
        </is>
      </c>
      <c r="AB861" s="111" t="inlineStr">
        <is>
          <t>NAO_COMPUTADO</t>
        </is>
      </c>
      <c r="AC861" s="112" t="inlineStr">
        <is>
          <t>Estrutura Fase 1: sem impacto no VTA oficial</t>
        </is>
      </c>
    </row>
    <row r="862" ht="25.5" customHeight="1" s="289">
      <c r="A862" s="205" t="n"/>
      <c r="B862" s="207" t="n"/>
      <c r="C862" s="104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348" t="n"/>
      <c r="E862" s="349">
        <f>IF(C862="","",IFERROR(VLOOKUP(C862,parametros!$A$11:$E$15,5,0),""))</f>
        <v/>
      </c>
      <c r="F862" s="335">
        <f>IF(OR(D862="",E862=""),"",ROUND(D862*E862,2))</f>
        <v/>
      </c>
      <c r="G862" s="106" t="n"/>
      <c r="H862" s="350">
        <f>IF(G862="Sim",IF(OR(F862="",D862="",L862=""),"",IF(L862="Sim",ROUND(F862-D862,2),0)),0)</f>
        <v/>
      </c>
      <c r="I862" s="350">
        <f>IF(G862="Sim",0,IF(OR(F862="",L862=""),"",F862))</f>
        <v/>
      </c>
      <c r="J862" s="350">
        <f>IF(G862="Sim",0,IF(OR(F862="",D862="",L862=""),"",IF(L862="Sim",ROUND(F862-D862,2),0)))</f>
        <v/>
      </c>
      <c r="K862" s="97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inlineStr">
        <is>
          <t>Nao</t>
        </is>
      </c>
      <c r="W862" s="110" t="inlineStr">
        <is>
          <t>PC em analise</t>
        </is>
      </c>
      <c r="X862" s="110" t="inlineStr">
        <is>
          <t>Pedido de Compra</t>
        </is>
      </c>
      <c r="Y862" s="111" t="inlineStr">
        <is>
          <t>Impacto Potencial</t>
        </is>
      </c>
      <c r="Z862" s="111" t="inlineStr">
        <is>
          <t>PC</t>
        </is>
      </c>
      <c r="AA862" s="111" t="inlineStr">
        <is>
          <t>Nao</t>
        </is>
      </c>
      <c r="AB862" s="111" t="inlineStr">
        <is>
          <t>NAO_COMPUTADO</t>
        </is>
      </c>
      <c r="AC862" s="112" t="inlineStr">
        <is>
          <t>Estrutura Fase 1: sem impacto no VTA oficial</t>
        </is>
      </c>
    </row>
    <row r="863" ht="25.5" customHeight="1" s="289">
      <c r="A863" s="205" t="n"/>
      <c r="B863" s="207" t="n"/>
      <c r="C863" s="104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348" t="n"/>
      <c r="E863" s="349">
        <f>IF(C863="","",IFERROR(VLOOKUP(C863,parametros!$A$11:$E$15,5,0),""))</f>
        <v/>
      </c>
      <c r="F863" s="335">
        <f>IF(OR(D863="",E863=""),"",ROUND(D863*E863,2))</f>
        <v/>
      </c>
      <c r="G863" s="106" t="n"/>
      <c r="H863" s="350">
        <f>IF(G863="Sim",IF(OR(F863="",D863="",L863=""),"",IF(L863="Sim",ROUND(F863-D863,2),0)),0)</f>
        <v/>
      </c>
      <c r="I863" s="350">
        <f>IF(G863="Sim",0,IF(OR(F863="",L863=""),"",F863))</f>
        <v/>
      </c>
      <c r="J863" s="350">
        <f>IF(G863="Sim",0,IF(OR(F863="",D863="",L863=""),"",IF(L863="Sim",ROUND(F863-D863,2),0)))</f>
        <v/>
      </c>
      <c r="K863" s="97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inlineStr">
        <is>
          <t>Nao</t>
        </is>
      </c>
      <c r="W863" s="110" t="inlineStr">
        <is>
          <t>PC em analise</t>
        </is>
      </c>
      <c r="X863" s="110" t="inlineStr">
        <is>
          <t>Pedido de Compra</t>
        </is>
      </c>
      <c r="Y863" s="111" t="inlineStr">
        <is>
          <t>Impacto Potencial</t>
        </is>
      </c>
      <c r="Z863" s="111" t="inlineStr">
        <is>
          <t>PC</t>
        </is>
      </c>
      <c r="AA863" s="111" t="inlineStr">
        <is>
          <t>Nao</t>
        </is>
      </c>
      <c r="AB863" s="111" t="inlineStr">
        <is>
          <t>NAO_COMPUTADO</t>
        </is>
      </c>
      <c r="AC863" s="112" t="inlineStr">
        <is>
          <t>Estrutura Fase 1: sem impacto no VTA oficial</t>
        </is>
      </c>
    </row>
    <row r="864" ht="25.5" customHeight="1" s="289">
      <c r="A864" s="205" t="n"/>
      <c r="B864" s="207" t="n"/>
      <c r="C864" s="104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348" t="n"/>
      <c r="E864" s="349">
        <f>IF(C864="","",IFERROR(VLOOKUP(C864,parametros!$A$11:$E$15,5,0),""))</f>
        <v/>
      </c>
      <c r="F864" s="335">
        <f>IF(OR(D864="",E864=""),"",ROUND(D864*E864,2))</f>
        <v/>
      </c>
      <c r="G864" s="106" t="n"/>
      <c r="H864" s="350">
        <f>IF(G864="Sim",IF(OR(F864="",D864="",L864=""),"",IF(L864="Sim",ROUND(F864-D864,2),0)),0)</f>
        <v/>
      </c>
      <c r="I864" s="350">
        <f>IF(G864="Sim",0,IF(OR(F864="",L864=""),"",F864))</f>
        <v/>
      </c>
      <c r="J864" s="350">
        <f>IF(G864="Sim",0,IF(OR(F864="",D864="",L864=""),"",IF(L864="Sim",ROUND(F864-D864,2),0)))</f>
        <v/>
      </c>
      <c r="K864" s="97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inlineStr">
        <is>
          <t>Nao</t>
        </is>
      </c>
      <c r="W864" s="110" t="inlineStr">
        <is>
          <t>PC em analise</t>
        </is>
      </c>
      <c r="X864" s="110" t="inlineStr">
        <is>
          <t>Pedido de Compra</t>
        </is>
      </c>
      <c r="Y864" s="111" t="inlineStr">
        <is>
          <t>Impacto Potencial</t>
        </is>
      </c>
      <c r="Z864" s="111" t="inlineStr">
        <is>
          <t>PC</t>
        </is>
      </c>
      <c r="AA864" s="111" t="inlineStr">
        <is>
          <t>Nao</t>
        </is>
      </c>
      <c r="AB864" s="111" t="inlineStr">
        <is>
          <t>NAO_COMPUTADO</t>
        </is>
      </c>
      <c r="AC864" s="112" t="inlineStr">
        <is>
          <t>Estrutura Fase 1: sem impacto no VTA oficial</t>
        </is>
      </c>
    </row>
    <row r="865" ht="25.5" customHeight="1" s="289">
      <c r="A865" s="205" t="n"/>
      <c r="B865" s="207" t="n"/>
      <c r="C865" s="104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348" t="n"/>
      <c r="E865" s="349">
        <f>IF(C865="","",IFERROR(VLOOKUP(C865,parametros!$A$11:$E$15,5,0),""))</f>
        <v/>
      </c>
      <c r="F865" s="335">
        <f>IF(OR(D865="",E865=""),"",ROUND(D865*E865,2))</f>
        <v/>
      </c>
      <c r="G865" s="106" t="n"/>
      <c r="H865" s="350">
        <f>IF(G865="Sim",IF(OR(F865="",D865="",L865=""),"",IF(L865="Sim",ROUND(F865-D865,2),0)),0)</f>
        <v/>
      </c>
      <c r="I865" s="350">
        <f>IF(G865="Sim",0,IF(OR(F865="",L865=""),"",F865))</f>
        <v/>
      </c>
      <c r="J865" s="350">
        <f>IF(G865="Sim",0,IF(OR(F865="",D865="",L865=""),"",IF(L865="Sim",ROUND(F865-D865,2),0)))</f>
        <v/>
      </c>
      <c r="K865" s="97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inlineStr">
        <is>
          <t>Nao</t>
        </is>
      </c>
      <c r="W865" s="110" t="inlineStr">
        <is>
          <t>PC em analise</t>
        </is>
      </c>
      <c r="X865" s="110" t="inlineStr">
        <is>
          <t>Pedido de Compra</t>
        </is>
      </c>
      <c r="Y865" s="111" t="inlineStr">
        <is>
          <t>Impacto Potencial</t>
        </is>
      </c>
      <c r="Z865" s="111" t="inlineStr">
        <is>
          <t>PC</t>
        </is>
      </c>
      <c r="AA865" s="111" t="inlineStr">
        <is>
          <t>Nao</t>
        </is>
      </c>
      <c r="AB865" s="111" t="inlineStr">
        <is>
          <t>NAO_COMPUTADO</t>
        </is>
      </c>
      <c r="AC865" s="112" t="inlineStr">
        <is>
          <t>Estrutura Fase 1: sem impacto no VTA oficial</t>
        </is>
      </c>
    </row>
    <row r="866" ht="25.5" customHeight="1" s="289">
      <c r="A866" s="205" t="n"/>
      <c r="B866" s="207" t="n"/>
      <c r="C866" s="104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348" t="n"/>
      <c r="E866" s="349">
        <f>IF(C866="","",IFERROR(VLOOKUP(C866,parametros!$A$11:$E$15,5,0),""))</f>
        <v/>
      </c>
      <c r="F866" s="335">
        <f>IF(OR(D866="",E866=""),"",ROUND(D866*E866,2))</f>
        <v/>
      </c>
      <c r="G866" s="106" t="n"/>
      <c r="H866" s="350">
        <f>IF(G866="Sim",IF(OR(F866="",D866="",L866=""),"",IF(L866="Sim",ROUND(F866-D866,2),0)),0)</f>
        <v/>
      </c>
      <c r="I866" s="350">
        <f>IF(G866="Sim",0,IF(OR(F866="",L866=""),"",F866))</f>
        <v/>
      </c>
      <c r="J866" s="350">
        <f>IF(G866="Sim",0,IF(OR(F866="",D866="",L866=""),"",IF(L866="Sim",ROUND(F866-D866,2),0)))</f>
        <v/>
      </c>
      <c r="K866" s="97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inlineStr">
        <is>
          <t>Nao</t>
        </is>
      </c>
      <c r="W866" s="110" t="inlineStr">
        <is>
          <t>PC em analise</t>
        </is>
      </c>
      <c r="X866" s="110" t="inlineStr">
        <is>
          <t>Pedido de Compra</t>
        </is>
      </c>
      <c r="Y866" s="111" t="inlineStr">
        <is>
          <t>Impacto Potencial</t>
        </is>
      </c>
      <c r="Z866" s="111" t="inlineStr">
        <is>
          <t>PC</t>
        </is>
      </c>
      <c r="AA866" s="111" t="inlineStr">
        <is>
          <t>Nao</t>
        </is>
      </c>
      <c r="AB866" s="111" t="inlineStr">
        <is>
          <t>NAO_COMPUTADO</t>
        </is>
      </c>
      <c r="AC866" s="112" t="inlineStr">
        <is>
          <t>Estrutura Fase 1: sem impacto no VTA oficial</t>
        </is>
      </c>
    </row>
    <row r="867" ht="25.5" customHeight="1" s="289">
      <c r="A867" s="205" t="n"/>
      <c r="B867" s="207" t="n"/>
      <c r="C867" s="104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348" t="n"/>
      <c r="E867" s="349">
        <f>IF(C867="","",IFERROR(VLOOKUP(C867,parametros!$A$11:$E$15,5,0),""))</f>
        <v/>
      </c>
      <c r="F867" s="335">
        <f>IF(OR(D867="",E867=""),"",ROUND(D867*E867,2))</f>
        <v/>
      </c>
      <c r="G867" s="106" t="n"/>
      <c r="H867" s="350">
        <f>IF(G867="Sim",IF(OR(F867="",D867="",L867=""),"",IF(L867="Sim",ROUND(F867-D867,2),0)),0)</f>
        <v/>
      </c>
      <c r="I867" s="350">
        <f>IF(G867="Sim",0,IF(OR(F867="",L867=""),"",F867))</f>
        <v/>
      </c>
      <c r="J867" s="350">
        <f>IF(G867="Sim",0,IF(OR(F867="",D867="",L867=""),"",IF(L867="Sim",ROUND(F867-D867,2),0)))</f>
        <v/>
      </c>
      <c r="K867" s="97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inlineStr">
        <is>
          <t>Nao</t>
        </is>
      </c>
      <c r="W867" s="110" t="inlineStr">
        <is>
          <t>PC em analise</t>
        </is>
      </c>
      <c r="X867" s="110" t="inlineStr">
        <is>
          <t>Pedido de Compra</t>
        </is>
      </c>
      <c r="Y867" s="111" t="inlineStr">
        <is>
          <t>Impacto Potencial</t>
        </is>
      </c>
      <c r="Z867" s="111" t="inlineStr">
        <is>
          <t>PC</t>
        </is>
      </c>
      <c r="AA867" s="111" t="inlineStr">
        <is>
          <t>Nao</t>
        </is>
      </c>
      <c r="AB867" s="111" t="inlineStr">
        <is>
          <t>NAO_COMPUTADO</t>
        </is>
      </c>
      <c r="AC867" s="112" t="inlineStr">
        <is>
          <t>Estrutura Fase 1: sem impacto no VTA oficial</t>
        </is>
      </c>
    </row>
    <row r="868" ht="25.5" customHeight="1" s="289">
      <c r="A868" s="205" t="n"/>
      <c r="B868" s="207" t="n"/>
      <c r="C868" s="104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348" t="n"/>
      <c r="E868" s="349">
        <f>IF(C868="","",IFERROR(VLOOKUP(C868,parametros!$A$11:$E$15,5,0),""))</f>
        <v/>
      </c>
      <c r="F868" s="335">
        <f>IF(OR(D868="",E868=""),"",ROUND(D868*E868,2))</f>
        <v/>
      </c>
      <c r="G868" s="106" t="n"/>
      <c r="H868" s="350">
        <f>IF(G868="Sim",IF(OR(F868="",D868="",L868=""),"",IF(L868="Sim",ROUND(F868-D868,2),0)),0)</f>
        <v/>
      </c>
      <c r="I868" s="350">
        <f>IF(G868="Sim",0,IF(OR(F868="",L868=""),"",F868))</f>
        <v/>
      </c>
      <c r="J868" s="350">
        <f>IF(G868="Sim",0,IF(OR(F868="",D868="",L868=""),"",IF(L868="Sim",ROUND(F868-D868,2),0)))</f>
        <v/>
      </c>
      <c r="K868" s="97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inlineStr">
        <is>
          <t>Nao</t>
        </is>
      </c>
      <c r="W868" s="110" t="inlineStr">
        <is>
          <t>PC em analise</t>
        </is>
      </c>
      <c r="X868" s="110" t="inlineStr">
        <is>
          <t>Pedido de Compra</t>
        </is>
      </c>
      <c r="Y868" s="111" t="inlineStr">
        <is>
          <t>Impacto Potencial</t>
        </is>
      </c>
      <c r="Z868" s="111" t="inlineStr">
        <is>
          <t>PC</t>
        </is>
      </c>
      <c r="AA868" s="111" t="inlineStr">
        <is>
          <t>Nao</t>
        </is>
      </c>
      <c r="AB868" s="111" t="inlineStr">
        <is>
          <t>NAO_COMPUTADO</t>
        </is>
      </c>
      <c r="AC868" s="112" t="inlineStr">
        <is>
          <t>Estrutura Fase 1: sem impacto no VTA oficial</t>
        </is>
      </c>
    </row>
    <row r="869" ht="25.5" customHeight="1" s="289">
      <c r="A869" s="205" t="n"/>
      <c r="B869" s="207" t="n"/>
      <c r="C869" s="104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348" t="n"/>
      <c r="E869" s="349">
        <f>IF(C869="","",IFERROR(VLOOKUP(C869,parametros!$A$11:$E$15,5,0),""))</f>
        <v/>
      </c>
      <c r="F869" s="335">
        <f>IF(OR(D869="",E869=""),"",ROUND(D869*E869,2))</f>
        <v/>
      </c>
      <c r="G869" s="106" t="n"/>
      <c r="H869" s="350">
        <f>IF(G869="Sim",IF(OR(F869="",D869="",L869=""),"",IF(L869="Sim",ROUND(F869-D869,2),0)),0)</f>
        <v/>
      </c>
      <c r="I869" s="350">
        <f>IF(G869="Sim",0,IF(OR(F869="",L869=""),"",F869))</f>
        <v/>
      </c>
      <c r="J869" s="350">
        <f>IF(G869="Sim",0,IF(OR(F869="",D869="",L869=""),"",IF(L869="Sim",ROUND(F869-D869,2),0)))</f>
        <v/>
      </c>
      <c r="K869" s="97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inlineStr">
        <is>
          <t>Nao</t>
        </is>
      </c>
      <c r="W869" s="110" t="inlineStr">
        <is>
          <t>PC em analise</t>
        </is>
      </c>
      <c r="X869" s="110" t="inlineStr">
        <is>
          <t>Pedido de Compra</t>
        </is>
      </c>
      <c r="Y869" s="111" t="inlineStr">
        <is>
          <t>Impacto Potencial</t>
        </is>
      </c>
      <c r="Z869" s="111" t="inlineStr">
        <is>
          <t>PC</t>
        </is>
      </c>
      <c r="AA869" s="111" t="inlineStr">
        <is>
          <t>Nao</t>
        </is>
      </c>
      <c r="AB869" s="111" t="inlineStr">
        <is>
          <t>NAO_COMPUTADO</t>
        </is>
      </c>
      <c r="AC869" s="112" t="inlineStr">
        <is>
          <t>Estrutura Fase 1: sem impacto no VTA oficial</t>
        </is>
      </c>
    </row>
    <row r="870" ht="25.5" customHeight="1" s="289">
      <c r="A870" s="205" t="n"/>
      <c r="B870" s="207" t="n"/>
      <c r="C870" s="104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348" t="n"/>
      <c r="E870" s="349">
        <f>IF(C870="","",IFERROR(VLOOKUP(C870,parametros!$A$11:$E$15,5,0),""))</f>
        <v/>
      </c>
      <c r="F870" s="335">
        <f>IF(OR(D870="",E870=""),"",ROUND(D870*E870,2))</f>
        <v/>
      </c>
      <c r="G870" s="106" t="n"/>
      <c r="H870" s="350">
        <f>IF(G870="Sim",IF(OR(F870="",D870="",L870=""),"",IF(L870="Sim",ROUND(F870-D870,2),0)),0)</f>
        <v/>
      </c>
      <c r="I870" s="350">
        <f>IF(G870="Sim",0,IF(OR(F870="",L870=""),"",F870))</f>
        <v/>
      </c>
      <c r="J870" s="350">
        <f>IF(G870="Sim",0,IF(OR(F870="",D870="",L870=""),"",IF(L870="Sim",ROUND(F870-D870,2),0)))</f>
        <v/>
      </c>
      <c r="K870" s="97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inlineStr">
        <is>
          <t>Nao</t>
        </is>
      </c>
      <c r="W870" s="110" t="inlineStr">
        <is>
          <t>PC em analise</t>
        </is>
      </c>
      <c r="X870" s="110" t="inlineStr">
        <is>
          <t>Pedido de Compra</t>
        </is>
      </c>
      <c r="Y870" s="111" t="inlineStr">
        <is>
          <t>Impacto Potencial</t>
        </is>
      </c>
      <c r="Z870" s="111" t="inlineStr">
        <is>
          <t>PC</t>
        </is>
      </c>
      <c r="AA870" s="111" t="inlineStr">
        <is>
          <t>Nao</t>
        </is>
      </c>
      <c r="AB870" s="111" t="inlineStr">
        <is>
          <t>NAO_COMPUTADO</t>
        </is>
      </c>
      <c r="AC870" s="112" t="inlineStr">
        <is>
          <t>Estrutura Fase 1: sem impacto no VTA oficial</t>
        </is>
      </c>
    </row>
    <row r="871" ht="25.5" customHeight="1" s="289">
      <c r="A871" s="205" t="n"/>
      <c r="B871" s="207" t="n"/>
      <c r="C871" s="104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348" t="n"/>
      <c r="E871" s="349">
        <f>IF(C871="","",IFERROR(VLOOKUP(C871,parametros!$A$11:$E$15,5,0),""))</f>
        <v/>
      </c>
      <c r="F871" s="335">
        <f>IF(OR(D871="",E871=""),"",ROUND(D871*E871,2))</f>
        <v/>
      </c>
      <c r="G871" s="106" t="n"/>
      <c r="H871" s="350">
        <f>IF(G871="Sim",IF(OR(F871="",D871="",L871=""),"",IF(L871="Sim",ROUND(F871-D871,2),0)),0)</f>
        <v/>
      </c>
      <c r="I871" s="350">
        <f>IF(G871="Sim",0,IF(OR(F871="",L871=""),"",F871))</f>
        <v/>
      </c>
      <c r="J871" s="350">
        <f>IF(G871="Sim",0,IF(OR(F871="",D871="",L871=""),"",IF(L871="Sim",ROUND(F871-D871,2),0)))</f>
        <v/>
      </c>
      <c r="K871" s="97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inlineStr">
        <is>
          <t>Nao</t>
        </is>
      </c>
      <c r="W871" s="110" t="inlineStr">
        <is>
          <t>PC em analise</t>
        </is>
      </c>
      <c r="X871" s="110" t="inlineStr">
        <is>
          <t>Pedido de Compra</t>
        </is>
      </c>
      <c r="Y871" s="111" t="inlineStr">
        <is>
          <t>Impacto Potencial</t>
        </is>
      </c>
      <c r="Z871" s="111" t="inlineStr">
        <is>
          <t>PC</t>
        </is>
      </c>
      <c r="AA871" s="111" t="inlineStr">
        <is>
          <t>Nao</t>
        </is>
      </c>
      <c r="AB871" s="111" t="inlineStr">
        <is>
          <t>NAO_COMPUTADO</t>
        </is>
      </c>
      <c r="AC871" s="112" t="inlineStr">
        <is>
          <t>Estrutura Fase 1: sem impacto no VTA oficial</t>
        </is>
      </c>
    </row>
    <row r="872" ht="25.5" customHeight="1" s="289">
      <c r="A872" s="205" t="n"/>
      <c r="B872" s="207" t="n"/>
      <c r="C872" s="104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348" t="n"/>
      <c r="E872" s="349">
        <f>IF(C872="","",IFERROR(VLOOKUP(C872,parametros!$A$11:$E$15,5,0),""))</f>
        <v/>
      </c>
      <c r="F872" s="335">
        <f>IF(OR(D872="",E872=""),"",ROUND(D872*E872,2))</f>
        <v/>
      </c>
      <c r="G872" s="106" t="n"/>
      <c r="H872" s="350">
        <f>IF(G872="Sim",IF(OR(F872="",D872="",L872=""),"",IF(L872="Sim",ROUND(F872-D872,2),0)),0)</f>
        <v/>
      </c>
      <c r="I872" s="350">
        <f>IF(G872="Sim",0,IF(OR(F872="",L872=""),"",F872))</f>
        <v/>
      </c>
      <c r="J872" s="350">
        <f>IF(G872="Sim",0,IF(OR(F872="",D872="",L872=""),"",IF(L872="Sim",ROUND(F872-D872,2),0)))</f>
        <v/>
      </c>
      <c r="K872" s="97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inlineStr">
        <is>
          <t>Nao</t>
        </is>
      </c>
      <c r="W872" s="110" t="inlineStr">
        <is>
          <t>PC em analise</t>
        </is>
      </c>
      <c r="X872" s="110" t="inlineStr">
        <is>
          <t>Pedido de Compra</t>
        </is>
      </c>
      <c r="Y872" s="111" t="inlineStr">
        <is>
          <t>Impacto Potencial</t>
        </is>
      </c>
      <c r="Z872" s="111" t="inlineStr">
        <is>
          <t>PC</t>
        </is>
      </c>
      <c r="AA872" s="111" t="inlineStr">
        <is>
          <t>Nao</t>
        </is>
      </c>
      <c r="AB872" s="111" t="inlineStr">
        <is>
          <t>NAO_COMPUTADO</t>
        </is>
      </c>
      <c r="AC872" s="112" t="inlineStr">
        <is>
          <t>Estrutura Fase 1: sem impacto no VTA oficial</t>
        </is>
      </c>
    </row>
    <row r="873" ht="25.5" customHeight="1" s="289">
      <c r="A873" s="205" t="n"/>
      <c r="B873" s="207" t="n"/>
      <c r="C873" s="104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348" t="n"/>
      <c r="E873" s="349">
        <f>IF(C873="","",IFERROR(VLOOKUP(C873,parametros!$A$11:$E$15,5,0),""))</f>
        <v/>
      </c>
      <c r="F873" s="335">
        <f>IF(OR(D873="",E873=""),"",ROUND(D873*E873,2))</f>
        <v/>
      </c>
      <c r="G873" s="106" t="n"/>
      <c r="H873" s="350">
        <f>IF(G873="Sim",IF(OR(F873="",D873="",L873=""),"",IF(L873="Sim",ROUND(F873-D873,2),0)),0)</f>
        <v/>
      </c>
      <c r="I873" s="350">
        <f>IF(G873="Sim",0,IF(OR(F873="",L873=""),"",F873))</f>
        <v/>
      </c>
      <c r="J873" s="350">
        <f>IF(G873="Sim",0,IF(OR(F873="",D873="",L873=""),"",IF(L873="Sim",ROUND(F873-D873,2),0)))</f>
        <v/>
      </c>
      <c r="K873" s="97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inlineStr">
        <is>
          <t>Nao</t>
        </is>
      </c>
      <c r="W873" s="110" t="inlineStr">
        <is>
          <t>PC em analise</t>
        </is>
      </c>
      <c r="X873" s="110" t="inlineStr">
        <is>
          <t>Pedido de Compra</t>
        </is>
      </c>
      <c r="Y873" s="111" t="inlineStr">
        <is>
          <t>Impacto Potencial</t>
        </is>
      </c>
      <c r="Z873" s="111" t="inlineStr">
        <is>
          <t>PC</t>
        </is>
      </c>
      <c r="AA873" s="111" t="inlineStr">
        <is>
          <t>Nao</t>
        </is>
      </c>
      <c r="AB873" s="111" t="inlineStr">
        <is>
          <t>NAO_COMPUTADO</t>
        </is>
      </c>
      <c r="AC873" s="112" t="inlineStr">
        <is>
          <t>Estrutura Fase 1: sem impacto no VTA oficial</t>
        </is>
      </c>
    </row>
    <row r="874" ht="25.5" customHeight="1" s="289">
      <c r="A874" s="205" t="n"/>
      <c r="B874" s="207" t="n"/>
      <c r="C874" s="104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348" t="n"/>
      <c r="E874" s="349">
        <f>IF(C874="","",IFERROR(VLOOKUP(C874,parametros!$A$11:$E$15,5,0),""))</f>
        <v/>
      </c>
      <c r="F874" s="335">
        <f>IF(OR(D874="",E874=""),"",ROUND(D874*E874,2))</f>
        <v/>
      </c>
      <c r="G874" s="106" t="n"/>
      <c r="H874" s="350">
        <f>IF(G874="Sim",IF(OR(F874="",D874="",L874=""),"",IF(L874="Sim",ROUND(F874-D874,2),0)),0)</f>
        <v/>
      </c>
      <c r="I874" s="350">
        <f>IF(G874="Sim",0,IF(OR(F874="",L874=""),"",F874))</f>
        <v/>
      </c>
      <c r="J874" s="350">
        <f>IF(G874="Sim",0,IF(OR(F874="",D874="",L874=""),"",IF(L874="Sim",ROUND(F874-D874,2),0)))</f>
        <v/>
      </c>
      <c r="K874" s="97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inlineStr">
        <is>
          <t>Nao</t>
        </is>
      </c>
      <c r="W874" s="110" t="inlineStr">
        <is>
          <t>PC em analise</t>
        </is>
      </c>
      <c r="X874" s="110" t="inlineStr">
        <is>
          <t>Pedido de Compra</t>
        </is>
      </c>
      <c r="Y874" s="111" t="inlineStr">
        <is>
          <t>Impacto Potencial</t>
        </is>
      </c>
      <c r="Z874" s="111" t="inlineStr">
        <is>
          <t>PC</t>
        </is>
      </c>
      <c r="AA874" s="111" t="inlineStr">
        <is>
          <t>Nao</t>
        </is>
      </c>
      <c r="AB874" s="111" t="inlineStr">
        <is>
          <t>NAO_COMPUTADO</t>
        </is>
      </c>
      <c r="AC874" s="112" t="inlineStr">
        <is>
          <t>Estrutura Fase 1: sem impacto no VTA oficial</t>
        </is>
      </c>
    </row>
    <row r="875" ht="25.5" customHeight="1" s="289">
      <c r="A875" s="205" t="n"/>
      <c r="B875" s="207" t="n"/>
      <c r="C875" s="104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348" t="n"/>
      <c r="E875" s="349">
        <f>IF(C875="","",IFERROR(VLOOKUP(C875,parametros!$A$11:$E$15,5,0),""))</f>
        <v/>
      </c>
      <c r="F875" s="335">
        <f>IF(OR(D875="",E875=""),"",ROUND(D875*E875,2))</f>
        <v/>
      </c>
      <c r="G875" s="106" t="n"/>
      <c r="H875" s="350">
        <f>IF(G875="Sim",IF(OR(F875="",D875="",L875=""),"",IF(L875="Sim",ROUND(F875-D875,2),0)),0)</f>
        <v/>
      </c>
      <c r="I875" s="350">
        <f>IF(G875="Sim",0,IF(OR(F875="",L875=""),"",F875))</f>
        <v/>
      </c>
      <c r="J875" s="350">
        <f>IF(G875="Sim",0,IF(OR(F875="",D875="",L875=""),"",IF(L875="Sim",ROUND(F875-D875,2),0)))</f>
        <v/>
      </c>
      <c r="K875" s="97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inlineStr">
        <is>
          <t>Nao</t>
        </is>
      </c>
      <c r="W875" s="110" t="inlineStr">
        <is>
          <t>PC em analise</t>
        </is>
      </c>
      <c r="X875" s="110" t="inlineStr">
        <is>
          <t>Pedido de Compra</t>
        </is>
      </c>
      <c r="Y875" s="111" t="inlineStr">
        <is>
          <t>Impacto Potencial</t>
        </is>
      </c>
      <c r="Z875" s="111" t="inlineStr">
        <is>
          <t>PC</t>
        </is>
      </c>
      <c r="AA875" s="111" t="inlineStr">
        <is>
          <t>Nao</t>
        </is>
      </c>
      <c r="AB875" s="111" t="inlineStr">
        <is>
          <t>NAO_COMPUTADO</t>
        </is>
      </c>
      <c r="AC875" s="112" t="inlineStr">
        <is>
          <t>Estrutura Fase 1: sem impacto no VTA oficial</t>
        </is>
      </c>
    </row>
    <row r="876" ht="25.5" customHeight="1" s="289">
      <c r="A876" s="205" t="n"/>
      <c r="B876" s="207" t="n"/>
      <c r="C876" s="104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348" t="n"/>
      <c r="E876" s="349">
        <f>IF(C876="","",IFERROR(VLOOKUP(C876,parametros!$A$11:$E$15,5,0),""))</f>
        <v/>
      </c>
      <c r="F876" s="335">
        <f>IF(OR(D876="",E876=""),"",ROUND(D876*E876,2))</f>
        <v/>
      </c>
      <c r="G876" s="106" t="n"/>
      <c r="H876" s="350">
        <f>IF(G876="Sim",IF(OR(F876="",D876="",L876=""),"",IF(L876="Sim",ROUND(F876-D876,2),0)),0)</f>
        <v/>
      </c>
      <c r="I876" s="350">
        <f>IF(G876="Sim",0,IF(OR(F876="",L876=""),"",F876))</f>
        <v/>
      </c>
      <c r="J876" s="350">
        <f>IF(G876="Sim",0,IF(OR(F876="",D876="",L876=""),"",IF(L876="Sim",ROUND(F876-D876,2),0)))</f>
        <v/>
      </c>
      <c r="K876" s="97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inlineStr">
        <is>
          <t>Nao</t>
        </is>
      </c>
      <c r="W876" s="110" t="inlineStr">
        <is>
          <t>PC em analise</t>
        </is>
      </c>
      <c r="X876" s="110" t="inlineStr">
        <is>
          <t>Pedido de Compra</t>
        </is>
      </c>
      <c r="Y876" s="111" t="inlineStr">
        <is>
          <t>Impacto Potencial</t>
        </is>
      </c>
      <c r="Z876" s="111" t="inlineStr">
        <is>
          <t>PC</t>
        </is>
      </c>
      <c r="AA876" s="111" t="inlineStr">
        <is>
          <t>Nao</t>
        </is>
      </c>
      <c r="AB876" s="111" t="inlineStr">
        <is>
          <t>NAO_COMPUTADO</t>
        </is>
      </c>
      <c r="AC876" s="112" t="inlineStr">
        <is>
          <t>Estrutura Fase 1: sem impacto no VTA oficial</t>
        </is>
      </c>
    </row>
    <row r="877" ht="25.5" customHeight="1" s="289">
      <c r="A877" s="205" t="n"/>
      <c r="B877" s="207" t="n"/>
      <c r="C877" s="104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348" t="n"/>
      <c r="E877" s="349">
        <f>IF(C877="","",IFERROR(VLOOKUP(C877,parametros!$A$11:$E$15,5,0),""))</f>
        <v/>
      </c>
      <c r="F877" s="335">
        <f>IF(OR(D877="",E877=""),"",ROUND(D877*E877,2))</f>
        <v/>
      </c>
      <c r="G877" s="106" t="n"/>
      <c r="H877" s="350">
        <f>IF(G877="Sim",IF(OR(F877="",D877="",L877=""),"",IF(L877="Sim",ROUND(F877-D877,2),0)),0)</f>
        <v/>
      </c>
      <c r="I877" s="350">
        <f>IF(G877="Sim",0,IF(OR(F877="",L877=""),"",F877))</f>
        <v/>
      </c>
      <c r="J877" s="350">
        <f>IF(G877="Sim",0,IF(OR(F877="",D877="",L877=""),"",IF(L877="Sim",ROUND(F877-D877,2),0)))</f>
        <v/>
      </c>
      <c r="K877" s="97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inlineStr">
        <is>
          <t>Nao</t>
        </is>
      </c>
      <c r="W877" s="110" t="inlineStr">
        <is>
          <t>PC em analise</t>
        </is>
      </c>
      <c r="X877" s="110" t="inlineStr">
        <is>
          <t>Pedido de Compra</t>
        </is>
      </c>
      <c r="Y877" s="111" t="inlineStr">
        <is>
          <t>Impacto Potencial</t>
        </is>
      </c>
      <c r="Z877" s="111" t="inlineStr">
        <is>
          <t>PC</t>
        </is>
      </c>
      <c r="AA877" s="111" t="inlineStr">
        <is>
          <t>Nao</t>
        </is>
      </c>
      <c r="AB877" s="111" t="inlineStr">
        <is>
          <t>NAO_COMPUTADO</t>
        </is>
      </c>
      <c r="AC877" s="112" t="inlineStr">
        <is>
          <t>Estrutura Fase 1: sem impacto no VTA oficial</t>
        </is>
      </c>
    </row>
    <row r="878" ht="25.5" customHeight="1" s="289">
      <c r="A878" s="205" t="n"/>
      <c r="B878" s="207" t="n"/>
      <c r="C878" s="104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348" t="n"/>
      <c r="E878" s="349">
        <f>IF(C878="","",IFERROR(VLOOKUP(C878,parametros!$A$11:$E$15,5,0),""))</f>
        <v/>
      </c>
      <c r="F878" s="335">
        <f>IF(OR(D878="",E878=""),"",ROUND(D878*E878,2))</f>
        <v/>
      </c>
      <c r="G878" s="106" t="n"/>
      <c r="H878" s="350">
        <f>IF(G878="Sim",IF(OR(F878="",D878="",L878=""),"",IF(L878="Sim",ROUND(F878-D878,2),0)),0)</f>
        <v/>
      </c>
      <c r="I878" s="350">
        <f>IF(G878="Sim",0,IF(OR(F878="",L878=""),"",F878))</f>
        <v/>
      </c>
      <c r="J878" s="350">
        <f>IF(G878="Sim",0,IF(OR(F878="",D878="",L878=""),"",IF(L878="Sim",ROUND(F878-D878,2),0)))</f>
        <v/>
      </c>
      <c r="K878" s="97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inlineStr">
        <is>
          <t>Nao</t>
        </is>
      </c>
      <c r="W878" s="110" t="inlineStr">
        <is>
          <t>PC em analise</t>
        </is>
      </c>
      <c r="X878" s="110" t="inlineStr">
        <is>
          <t>Pedido de Compra</t>
        </is>
      </c>
      <c r="Y878" s="111" t="inlineStr">
        <is>
          <t>Impacto Potencial</t>
        </is>
      </c>
      <c r="Z878" s="111" t="inlineStr">
        <is>
          <t>PC</t>
        </is>
      </c>
      <c r="AA878" s="111" t="inlineStr">
        <is>
          <t>Nao</t>
        </is>
      </c>
      <c r="AB878" s="111" t="inlineStr">
        <is>
          <t>NAO_COMPUTADO</t>
        </is>
      </c>
      <c r="AC878" s="112" t="inlineStr">
        <is>
          <t>Estrutura Fase 1: sem impacto no VTA oficial</t>
        </is>
      </c>
    </row>
    <row r="879" ht="25.5" customHeight="1" s="289">
      <c r="A879" s="205" t="n"/>
      <c r="B879" s="207" t="n"/>
      <c r="C879" s="104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348" t="n"/>
      <c r="E879" s="349">
        <f>IF(C879="","",IFERROR(VLOOKUP(C879,parametros!$A$11:$E$15,5,0),""))</f>
        <v/>
      </c>
      <c r="F879" s="335">
        <f>IF(OR(D879="",E879=""),"",ROUND(D879*E879,2))</f>
        <v/>
      </c>
      <c r="G879" s="106" t="n"/>
      <c r="H879" s="350">
        <f>IF(G879="Sim",IF(OR(F879="",D879="",L879=""),"",IF(L879="Sim",ROUND(F879-D879,2),0)),0)</f>
        <v/>
      </c>
      <c r="I879" s="350">
        <f>IF(G879="Sim",0,IF(OR(F879="",L879=""),"",F879))</f>
        <v/>
      </c>
      <c r="J879" s="350">
        <f>IF(G879="Sim",0,IF(OR(F879="",D879="",L879=""),"",IF(L879="Sim",ROUND(F879-D879,2),0)))</f>
        <v/>
      </c>
      <c r="K879" s="97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inlineStr">
        <is>
          <t>Nao</t>
        </is>
      </c>
      <c r="W879" s="110" t="inlineStr">
        <is>
          <t>PC em analise</t>
        </is>
      </c>
      <c r="X879" s="110" t="inlineStr">
        <is>
          <t>Pedido de Compra</t>
        </is>
      </c>
      <c r="Y879" s="111" t="inlineStr">
        <is>
          <t>Impacto Potencial</t>
        </is>
      </c>
      <c r="Z879" s="111" t="inlineStr">
        <is>
          <t>PC</t>
        </is>
      </c>
      <c r="AA879" s="111" t="inlineStr">
        <is>
          <t>Nao</t>
        </is>
      </c>
      <c r="AB879" s="111" t="inlineStr">
        <is>
          <t>NAO_COMPUTADO</t>
        </is>
      </c>
      <c r="AC879" s="112" t="inlineStr">
        <is>
          <t>Estrutura Fase 1: sem impacto no VTA oficial</t>
        </is>
      </c>
    </row>
    <row r="880" ht="25.5" customHeight="1" s="289">
      <c r="A880" s="205" t="n"/>
      <c r="B880" s="207" t="n"/>
      <c r="C880" s="104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348" t="n"/>
      <c r="E880" s="349">
        <f>IF(C880="","",IFERROR(VLOOKUP(C880,parametros!$A$11:$E$15,5,0),""))</f>
        <v/>
      </c>
      <c r="F880" s="335">
        <f>IF(OR(D880="",E880=""),"",ROUND(D880*E880,2))</f>
        <v/>
      </c>
      <c r="G880" s="106" t="n"/>
      <c r="H880" s="350">
        <f>IF(G880="Sim",IF(OR(F880="",D880="",L880=""),"",IF(L880="Sim",ROUND(F880-D880,2),0)),0)</f>
        <v/>
      </c>
      <c r="I880" s="350">
        <f>IF(G880="Sim",0,IF(OR(F880="",L880=""),"",F880))</f>
        <v/>
      </c>
      <c r="J880" s="350">
        <f>IF(G880="Sim",0,IF(OR(F880="",D880="",L880=""),"",IF(L880="Sim",ROUND(F880-D880,2),0)))</f>
        <v/>
      </c>
      <c r="K880" s="97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inlineStr">
        <is>
          <t>Nao</t>
        </is>
      </c>
      <c r="W880" s="110" t="inlineStr">
        <is>
          <t>PC em analise</t>
        </is>
      </c>
      <c r="X880" s="110" t="inlineStr">
        <is>
          <t>Pedido de Compra</t>
        </is>
      </c>
      <c r="Y880" s="111" t="inlineStr">
        <is>
          <t>Impacto Potencial</t>
        </is>
      </c>
      <c r="Z880" s="111" t="inlineStr">
        <is>
          <t>PC</t>
        </is>
      </c>
      <c r="AA880" s="111" t="inlineStr">
        <is>
          <t>Nao</t>
        </is>
      </c>
      <c r="AB880" s="111" t="inlineStr">
        <is>
          <t>NAO_COMPUTADO</t>
        </is>
      </c>
      <c r="AC880" s="112" t="inlineStr">
        <is>
          <t>Estrutura Fase 1: sem impacto no VTA oficial</t>
        </is>
      </c>
    </row>
    <row r="881" ht="25.5" customHeight="1" s="289">
      <c r="A881" s="205" t="n"/>
      <c r="B881" s="207" t="n"/>
      <c r="C881" s="104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348" t="n"/>
      <c r="E881" s="349">
        <f>IF(C881="","",IFERROR(VLOOKUP(C881,parametros!$A$11:$E$15,5,0),""))</f>
        <v/>
      </c>
      <c r="F881" s="335">
        <f>IF(OR(D881="",E881=""),"",ROUND(D881*E881,2))</f>
        <v/>
      </c>
      <c r="G881" s="106" t="n"/>
      <c r="H881" s="350">
        <f>IF(G881="Sim",IF(OR(F881="",D881="",L881=""),"",IF(L881="Sim",ROUND(F881-D881,2),0)),0)</f>
        <v/>
      </c>
      <c r="I881" s="350">
        <f>IF(G881="Sim",0,IF(OR(F881="",L881=""),"",F881))</f>
        <v/>
      </c>
      <c r="J881" s="350">
        <f>IF(G881="Sim",0,IF(OR(F881="",D881="",L881=""),"",IF(L881="Sim",ROUND(F881-D881,2),0)))</f>
        <v/>
      </c>
      <c r="K881" s="97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inlineStr">
        <is>
          <t>Nao</t>
        </is>
      </c>
      <c r="W881" s="110" t="inlineStr">
        <is>
          <t>PC em analise</t>
        </is>
      </c>
      <c r="X881" s="110" t="inlineStr">
        <is>
          <t>Pedido de Compra</t>
        </is>
      </c>
      <c r="Y881" s="111" t="inlineStr">
        <is>
          <t>Impacto Potencial</t>
        </is>
      </c>
      <c r="Z881" s="111" t="inlineStr">
        <is>
          <t>PC</t>
        </is>
      </c>
      <c r="AA881" s="111" t="inlineStr">
        <is>
          <t>Nao</t>
        </is>
      </c>
      <c r="AB881" s="111" t="inlineStr">
        <is>
          <t>NAO_COMPUTADO</t>
        </is>
      </c>
      <c r="AC881" s="112" t="inlineStr">
        <is>
          <t>Estrutura Fase 1: sem impacto no VTA oficial</t>
        </is>
      </c>
    </row>
    <row r="882" ht="25.5" customHeight="1" s="289">
      <c r="A882" s="205" t="n"/>
      <c r="B882" s="207" t="n"/>
      <c r="C882" s="104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348" t="n"/>
      <c r="E882" s="349">
        <f>IF(C882="","",IFERROR(VLOOKUP(C882,parametros!$A$11:$E$15,5,0),""))</f>
        <v/>
      </c>
      <c r="F882" s="335">
        <f>IF(OR(D882="",E882=""),"",ROUND(D882*E882,2))</f>
        <v/>
      </c>
      <c r="G882" s="106" t="n"/>
      <c r="H882" s="350">
        <f>IF(G882="Sim",IF(OR(F882="",D882="",L882=""),"",IF(L882="Sim",ROUND(F882-D882,2),0)),0)</f>
        <v/>
      </c>
      <c r="I882" s="350">
        <f>IF(G882="Sim",0,IF(OR(F882="",L882=""),"",F882))</f>
        <v/>
      </c>
      <c r="J882" s="350">
        <f>IF(G882="Sim",0,IF(OR(F882="",D882="",L882=""),"",IF(L882="Sim",ROUND(F882-D882,2),0)))</f>
        <v/>
      </c>
      <c r="K882" s="97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inlineStr">
        <is>
          <t>Nao</t>
        </is>
      </c>
      <c r="W882" s="110" t="inlineStr">
        <is>
          <t>PC em analise</t>
        </is>
      </c>
      <c r="X882" s="110" t="inlineStr">
        <is>
          <t>Pedido de Compra</t>
        </is>
      </c>
      <c r="Y882" s="111" t="inlineStr">
        <is>
          <t>Impacto Potencial</t>
        </is>
      </c>
      <c r="Z882" s="111" t="inlineStr">
        <is>
          <t>PC</t>
        </is>
      </c>
      <c r="AA882" s="111" t="inlineStr">
        <is>
          <t>Nao</t>
        </is>
      </c>
      <c r="AB882" s="111" t="inlineStr">
        <is>
          <t>NAO_COMPUTADO</t>
        </is>
      </c>
      <c r="AC882" s="112" t="inlineStr">
        <is>
          <t>Estrutura Fase 1: sem impacto no VTA oficial</t>
        </is>
      </c>
    </row>
    <row r="883" ht="25.5" customHeight="1" s="289">
      <c r="A883" s="205" t="n"/>
      <c r="B883" s="207" t="n"/>
      <c r="C883" s="104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348" t="n"/>
      <c r="E883" s="349">
        <f>IF(C883="","",IFERROR(VLOOKUP(C883,parametros!$A$11:$E$15,5,0),""))</f>
        <v/>
      </c>
      <c r="F883" s="335">
        <f>IF(OR(D883="",E883=""),"",ROUND(D883*E883,2))</f>
        <v/>
      </c>
      <c r="G883" s="106" t="n"/>
      <c r="H883" s="350">
        <f>IF(G883="Sim",IF(OR(F883="",D883="",L883=""),"",IF(L883="Sim",ROUND(F883-D883,2),0)),0)</f>
        <v/>
      </c>
      <c r="I883" s="350">
        <f>IF(G883="Sim",0,IF(OR(F883="",L883=""),"",F883))</f>
        <v/>
      </c>
      <c r="J883" s="350">
        <f>IF(G883="Sim",0,IF(OR(F883="",D883="",L883=""),"",IF(L883="Sim",ROUND(F883-D883,2),0)))</f>
        <v/>
      </c>
      <c r="K883" s="97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inlineStr">
        <is>
          <t>Nao</t>
        </is>
      </c>
      <c r="W883" s="110" t="inlineStr">
        <is>
          <t>PC em analise</t>
        </is>
      </c>
      <c r="X883" s="110" t="inlineStr">
        <is>
          <t>Pedido de Compra</t>
        </is>
      </c>
      <c r="Y883" s="111" t="inlineStr">
        <is>
          <t>Impacto Potencial</t>
        </is>
      </c>
      <c r="Z883" s="111" t="inlineStr">
        <is>
          <t>PC</t>
        </is>
      </c>
      <c r="AA883" s="111" t="inlineStr">
        <is>
          <t>Nao</t>
        </is>
      </c>
      <c r="AB883" s="111" t="inlineStr">
        <is>
          <t>NAO_COMPUTADO</t>
        </is>
      </c>
      <c r="AC883" s="112" t="inlineStr">
        <is>
          <t>Estrutura Fase 1: sem impacto no VTA oficial</t>
        </is>
      </c>
    </row>
    <row r="884" ht="25.5" customHeight="1" s="289">
      <c r="A884" s="205" t="n"/>
      <c r="B884" s="207" t="n"/>
      <c r="C884" s="104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348" t="n"/>
      <c r="E884" s="349">
        <f>IF(C884="","",IFERROR(VLOOKUP(C884,parametros!$A$11:$E$15,5,0),""))</f>
        <v/>
      </c>
      <c r="F884" s="335">
        <f>IF(OR(D884="",E884=""),"",ROUND(D884*E884,2))</f>
        <v/>
      </c>
      <c r="G884" s="106" t="n"/>
      <c r="H884" s="350">
        <f>IF(G884="Sim",IF(OR(F884="",D884="",L884=""),"",IF(L884="Sim",ROUND(F884-D884,2),0)),0)</f>
        <v/>
      </c>
      <c r="I884" s="350">
        <f>IF(G884="Sim",0,IF(OR(F884="",L884=""),"",F884))</f>
        <v/>
      </c>
      <c r="J884" s="350">
        <f>IF(G884="Sim",0,IF(OR(F884="",D884="",L884=""),"",IF(L884="Sim",ROUND(F884-D884,2),0)))</f>
        <v/>
      </c>
      <c r="K884" s="97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inlineStr">
        <is>
          <t>Nao</t>
        </is>
      </c>
      <c r="W884" s="110" t="inlineStr">
        <is>
          <t>PC em analise</t>
        </is>
      </c>
      <c r="X884" s="110" t="inlineStr">
        <is>
          <t>Pedido de Compra</t>
        </is>
      </c>
      <c r="Y884" s="111" t="inlineStr">
        <is>
          <t>Impacto Potencial</t>
        </is>
      </c>
      <c r="Z884" s="111" t="inlineStr">
        <is>
          <t>PC</t>
        </is>
      </c>
      <c r="AA884" s="111" t="inlineStr">
        <is>
          <t>Nao</t>
        </is>
      </c>
      <c r="AB884" s="111" t="inlineStr">
        <is>
          <t>NAO_COMPUTADO</t>
        </is>
      </c>
      <c r="AC884" s="112" t="inlineStr">
        <is>
          <t>Estrutura Fase 1: sem impacto no VTA oficial</t>
        </is>
      </c>
    </row>
    <row r="885" ht="25.5" customHeight="1" s="289">
      <c r="A885" s="205" t="n"/>
      <c r="B885" s="207" t="n"/>
      <c r="C885" s="104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348" t="n"/>
      <c r="E885" s="349">
        <f>IF(C885="","",IFERROR(VLOOKUP(C885,parametros!$A$11:$E$15,5,0),""))</f>
        <v/>
      </c>
      <c r="F885" s="335">
        <f>IF(OR(D885="",E885=""),"",ROUND(D885*E885,2))</f>
        <v/>
      </c>
      <c r="G885" s="106" t="n"/>
      <c r="H885" s="350">
        <f>IF(G885="Sim",IF(OR(F885="",D885="",L885=""),"",IF(L885="Sim",ROUND(F885-D885,2),0)),0)</f>
        <v/>
      </c>
      <c r="I885" s="350">
        <f>IF(G885="Sim",0,IF(OR(F885="",L885=""),"",F885))</f>
        <v/>
      </c>
      <c r="J885" s="350">
        <f>IF(G885="Sim",0,IF(OR(F885="",D885="",L885=""),"",IF(L885="Sim",ROUND(F885-D885,2),0)))</f>
        <v/>
      </c>
      <c r="K885" s="97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inlineStr">
        <is>
          <t>Nao</t>
        </is>
      </c>
      <c r="W885" s="110" t="inlineStr">
        <is>
          <t>PC em analise</t>
        </is>
      </c>
      <c r="X885" s="110" t="inlineStr">
        <is>
          <t>Pedido de Compra</t>
        </is>
      </c>
      <c r="Y885" s="111" t="inlineStr">
        <is>
          <t>Impacto Potencial</t>
        </is>
      </c>
      <c r="Z885" s="111" t="inlineStr">
        <is>
          <t>PC</t>
        </is>
      </c>
      <c r="AA885" s="111" t="inlineStr">
        <is>
          <t>Nao</t>
        </is>
      </c>
      <c r="AB885" s="111" t="inlineStr">
        <is>
          <t>NAO_COMPUTADO</t>
        </is>
      </c>
      <c r="AC885" s="112" t="inlineStr">
        <is>
          <t>Estrutura Fase 1: sem impacto no VTA oficial</t>
        </is>
      </c>
    </row>
    <row r="886" ht="25.5" customHeight="1" s="289">
      <c r="A886" s="205" t="n"/>
      <c r="B886" s="207" t="n"/>
      <c r="C886" s="104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348" t="n"/>
      <c r="E886" s="349">
        <f>IF(C886="","",IFERROR(VLOOKUP(C886,parametros!$A$11:$E$15,5,0),""))</f>
        <v/>
      </c>
      <c r="F886" s="335">
        <f>IF(OR(D886="",E886=""),"",ROUND(D886*E886,2))</f>
        <v/>
      </c>
      <c r="G886" s="106" t="n"/>
      <c r="H886" s="350">
        <f>IF(G886="Sim",IF(OR(F886="",D886="",L886=""),"",IF(L886="Sim",ROUND(F886-D886,2),0)),0)</f>
        <v/>
      </c>
      <c r="I886" s="350">
        <f>IF(G886="Sim",0,IF(OR(F886="",L886=""),"",F886))</f>
        <v/>
      </c>
      <c r="J886" s="350">
        <f>IF(G886="Sim",0,IF(OR(F886="",D886="",L886=""),"",IF(L886="Sim",ROUND(F886-D886,2),0)))</f>
        <v/>
      </c>
      <c r="K886" s="97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inlineStr">
        <is>
          <t>Nao</t>
        </is>
      </c>
      <c r="W886" s="110" t="inlineStr">
        <is>
          <t>PC em analise</t>
        </is>
      </c>
      <c r="X886" s="110" t="inlineStr">
        <is>
          <t>Pedido de Compra</t>
        </is>
      </c>
      <c r="Y886" s="111" t="inlineStr">
        <is>
          <t>Impacto Potencial</t>
        </is>
      </c>
      <c r="Z886" s="111" t="inlineStr">
        <is>
          <t>PC</t>
        </is>
      </c>
      <c r="AA886" s="111" t="inlineStr">
        <is>
          <t>Nao</t>
        </is>
      </c>
      <c r="AB886" s="111" t="inlineStr">
        <is>
          <t>NAO_COMPUTADO</t>
        </is>
      </c>
      <c r="AC886" s="112" t="inlineStr">
        <is>
          <t>Estrutura Fase 1: sem impacto no VTA oficial</t>
        </is>
      </c>
    </row>
    <row r="887" ht="25.5" customHeight="1" s="289">
      <c r="A887" s="205" t="n"/>
      <c r="B887" s="207" t="n"/>
      <c r="C887" s="104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348" t="n"/>
      <c r="E887" s="349">
        <f>IF(C887="","",IFERROR(VLOOKUP(C887,parametros!$A$11:$E$15,5,0),""))</f>
        <v/>
      </c>
      <c r="F887" s="335">
        <f>IF(OR(D887="",E887=""),"",ROUND(D887*E887,2))</f>
        <v/>
      </c>
      <c r="G887" s="106" t="n"/>
      <c r="H887" s="350">
        <f>IF(G887="Sim",IF(OR(F887="",D887="",L887=""),"",IF(L887="Sim",ROUND(F887-D887,2),0)),0)</f>
        <v/>
      </c>
      <c r="I887" s="350">
        <f>IF(G887="Sim",0,IF(OR(F887="",L887=""),"",F887))</f>
        <v/>
      </c>
      <c r="J887" s="350">
        <f>IF(G887="Sim",0,IF(OR(F887="",D887="",L887=""),"",IF(L887="Sim",ROUND(F887-D887,2),0)))</f>
        <v/>
      </c>
      <c r="K887" s="97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inlineStr">
        <is>
          <t>Nao</t>
        </is>
      </c>
      <c r="W887" s="110" t="inlineStr">
        <is>
          <t>PC em analise</t>
        </is>
      </c>
      <c r="X887" s="110" t="inlineStr">
        <is>
          <t>Pedido de Compra</t>
        </is>
      </c>
      <c r="Y887" s="111" t="inlineStr">
        <is>
          <t>Impacto Potencial</t>
        </is>
      </c>
      <c r="Z887" s="111" t="inlineStr">
        <is>
          <t>PC</t>
        </is>
      </c>
      <c r="AA887" s="111" t="inlineStr">
        <is>
          <t>Nao</t>
        </is>
      </c>
      <c r="AB887" s="111" t="inlineStr">
        <is>
          <t>NAO_COMPUTADO</t>
        </is>
      </c>
      <c r="AC887" s="112" t="inlineStr">
        <is>
          <t>Estrutura Fase 1: sem impacto no VTA oficial</t>
        </is>
      </c>
    </row>
    <row r="888" ht="25.5" customHeight="1" s="289">
      <c r="A888" s="205" t="n"/>
      <c r="B888" s="207" t="n"/>
      <c r="C888" s="104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348" t="n"/>
      <c r="E888" s="349">
        <f>IF(C888="","",IFERROR(VLOOKUP(C888,parametros!$A$11:$E$15,5,0),""))</f>
        <v/>
      </c>
      <c r="F888" s="335">
        <f>IF(OR(D888="",E888=""),"",ROUND(D888*E888,2))</f>
        <v/>
      </c>
      <c r="G888" s="106" t="n"/>
      <c r="H888" s="350">
        <f>IF(G888="Sim",IF(OR(F888="",D888="",L888=""),"",IF(L888="Sim",ROUND(F888-D888,2),0)),0)</f>
        <v/>
      </c>
      <c r="I888" s="350">
        <f>IF(G888="Sim",0,IF(OR(F888="",L888=""),"",F888))</f>
        <v/>
      </c>
      <c r="J888" s="350">
        <f>IF(G888="Sim",0,IF(OR(F888="",D888="",L888=""),"",IF(L888="Sim",ROUND(F888-D888,2),0)))</f>
        <v/>
      </c>
      <c r="K888" s="97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inlineStr">
        <is>
          <t>Nao</t>
        </is>
      </c>
      <c r="W888" s="110" t="inlineStr">
        <is>
          <t>PC em analise</t>
        </is>
      </c>
      <c r="X888" s="110" t="inlineStr">
        <is>
          <t>Pedido de Compra</t>
        </is>
      </c>
      <c r="Y888" s="111" t="inlineStr">
        <is>
          <t>Impacto Potencial</t>
        </is>
      </c>
      <c r="Z888" s="111" t="inlineStr">
        <is>
          <t>PC</t>
        </is>
      </c>
      <c r="AA888" s="111" t="inlineStr">
        <is>
          <t>Nao</t>
        </is>
      </c>
      <c r="AB888" s="111" t="inlineStr">
        <is>
          <t>NAO_COMPUTADO</t>
        </is>
      </c>
      <c r="AC888" s="112" t="inlineStr">
        <is>
          <t>Estrutura Fase 1: sem impacto no VTA oficial</t>
        </is>
      </c>
    </row>
    <row r="889" ht="25.5" customHeight="1" s="289">
      <c r="A889" s="205" t="n"/>
      <c r="B889" s="207" t="n"/>
      <c r="C889" s="104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348" t="n"/>
      <c r="E889" s="349">
        <f>IF(C889="","",IFERROR(VLOOKUP(C889,parametros!$A$11:$E$15,5,0),""))</f>
        <v/>
      </c>
      <c r="F889" s="335">
        <f>IF(OR(D889="",E889=""),"",ROUND(D889*E889,2))</f>
        <v/>
      </c>
      <c r="G889" s="106" t="n"/>
      <c r="H889" s="350">
        <f>IF(G889="Sim",IF(OR(F889="",D889="",L889=""),"",IF(L889="Sim",ROUND(F889-D889,2),0)),0)</f>
        <v/>
      </c>
      <c r="I889" s="350">
        <f>IF(G889="Sim",0,IF(OR(F889="",L889=""),"",F889))</f>
        <v/>
      </c>
      <c r="J889" s="350">
        <f>IF(G889="Sim",0,IF(OR(F889="",D889="",L889=""),"",IF(L889="Sim",ROUND(F889-D889,2),0)))</f>
        <v/>
      </c>
      <c r="K889" s="97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inlineStr">
        <is>
          <t>Nao</t>
        </is>
      </c>
      <c r="W889" s="110" t="inlineStr">
        <is>
          <t>PC em analise</t>
        </is>
      </c>
      <c r="X889" s="110" t="inlineStr">
        <is>
          <t>Pedido de Compra</t>
        </is>
      </c>
      <c r="Y889" s="111" t="inlineStr">
        <is>
          <t>Impacto Potencial</t>
        </is>
      </c>
      <c r="Z889" s="111" t="inlineStr">
        <is>
          <t>PC</t>
        </is>
      </c>
      <c r="AA889" s="111" t="inlineStr">
        <is>
          <t>Nao</t>
        </is>
      </c>
      <c r="AB889" s="111" t="inlineStr">
        <is>
          <t>NAO_COMPUTADO</t>
        </is>
      </c>
      <c r="AC889" s="112" t="inlineStr">
        <is>
          <t>Estrutura Fase 1: sem impacto no VTA oficial</t>
        </is>
      </c>
    </row>
    <row r="890" ht="25.5" customHeight="1" s="289">
      <c r="A890" s="205" t="n"/>
      <c r="B890" s="207" t="n"/>
      <c r="C890" s="104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348" t="n"/>
      <c r="E890" s="349">
        <f>IF(C890="","",IFERROR(VLOOKUP(C890,parametros!$A$11:$E$15,5,0),""))</f>
        <v/>
      </c>
      <c r="F890" s="335">
        <f>IF(OR(D890="",E890=""),"",ROUND(D890*E890,2))</f>
        <v/>
      </c>
      <c r="G890" s="106" t="n"/>
      <c r="H890" s="350">
        <f>IF(G890="Sim",IF(OR(F890="",D890="",L890=""),"",IF(L890="Sim",ROUND(F890-D890,2),0)),0)</f>
        <v/>
      </c>
      <c r="I890" s="350">
        <f>IF(G890="Sim",0,IF(OR(F890="",L890=""),"",F890))</f>
        <v/>
      </c>
      <c r="J890" s="350">
        <f>IF(G890="Sim",0,IF(OR(F890="",D890="",L890=""),"",IF(L890="Sim",ROUND(F890-D890,2),0)))</f>
        <v/>
      </c>
      <c r="K890" s="97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inlineStr">
        <is>
          <t>Nao</t>
        </is>
      </c>
      <c r="W890" s="110" t="inlineStr">
        <is>
          <t>PC em analise</t>
        </is>
      </c>
      <c r="X890" s="110" t="inlineStr">
        <is>
          <t>Pedido de Compra</t>
        </is>
      </c>
      <c r="Y890" s="111" t="inlineStr">
        <is>
          <t>Impacto Potencial</t>
        </is>
      </c>
      <c r="Z890" s="111" t="inlineStr">
        <is>
          <t>PC</t>
        </is>
      </c>
      <c r="AA890" s="111" t="inlineStr">
        <is>
          <t>Nao</t>
        </is>
      </c>
      <c r="AB890" s="111" t="inlineStr">
        <is>
          <t>NAO_COMPUTADO</t>
        </is>
      </c>
      <c r="AC890" s="112" t="inlineStr">
        <is>
          <t>Estrutura Fase 1: sem impacto no VTA oficial</t>
        </is>
      </c>
    </row>
    <row r="891" ht="25.5" customHeight="1" s="289">
      <c r="A891" s="205" t="n"/>
      <c r="B891" s="207" t="n"/>
      <c r="C891" s="104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348" t="n"/>
      <c r="E891" s="349">
        <f>IF(C891="","",IFERROR(VLOOKUP(C891,parametros!$A$11:$E$15,5,0),""))</f>
        <v/>
      </c>
      <c r="F891" s="335">
        <f>IF(OR(D891="",E891=""),"",ROUND(D891*E891,2))</f>
        <v/>
      </c>
      <c r="G891" s="106" t="n"/>
      <c r="H891" s="350">
        <f>IF(G891="Sim",IF(OR(F891="",D891="",L891=""),"",IF(L891="Sim",ROUND(F891-D891,2),0)),0)</f>
        <v/>
      </c>
      <c r="I891" s="350">
        <f>IF(G891="Sim",0,IF(OR(F891="",L891=""),"",F891))</f>
        <v/>
      </c>
      <c r="J891" s="350">
        <f>IF(G891="Sim",0,IF(OR(F891="",D891="",L891=""),"",IF(L891="Sim",ROUND(F891-D891,2),0)))</f>
        <v/>
      </c>
      <c r="K891" s="97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inlineStr">
        <is>
          <t>Nao</t>
        </is>
      </c>
      <c r="W891" s="110" t="inlineStr">
        <is>
          <t>PC em analise</t>
        </is>
      </c>
      <c r="X891" s="110" t="inlineStr">
        <is>
          <t>Pedido de Compra</t>
        </is>
      </c>
      <c r="Y891" s="111" t="inlineStr">
        <is>
          <t>Impacto Potencial</t>
        </is>
      </c>
      <c r="Z891" s="111" t="inlineStr">
        <is>
          <t>PC</t>
        </is>
      </c>
      <c r="AA891" s="111" t="inlineStr">
        <is>
          <t>Nao</t>
        </is>
      </c>
      <c r="AB891" s="111" t="inlineStr">
        <is>
          <t>NAO_COMPUTADO</t>
        </is>
      </c>
      <c r="AC891" s="112" t="inlineStr">
        <is>
          <t>Estrutura Fase 1: sem impacto no VTA oficial</t>
        </is>
      </c>
    </row>
    <row r="892" ht="25.5" customHeight="1" s="289">
      <c r="A892" s="205" t="n"/>
      <c r="B892" s="207" t="n"/>
      <c r="C892" s="104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348" t="n"/>
      <c r="E892" s="349">
        <f>IF(C892="","",IFERROR(VLOOKUP(C892,parametros!$A$11:$E$15,5,0),""))</f>
        <v/>
      </c>
      <c r="F892" s="335">
        <f>IF(OR(D892="",E892=""),"",ROUND(D892*E892,2))</f>
        <v/>
      </c>
      <c r="G892" s="106" t="n"/>
      <c r="H892" s="350">
        <f>IF(G892="Sim",IF(OR(F892="",D892="",L892=""),"",IF(L892="Sim",ROUND(F892-D892,2),0)),0)</f>
        <v/>
      </c>
      <c r="I892" s="350">
        <f>IF(G892="Sim",0,IF(OR(F892="",L892=""),"",F892))</f>
        <v/>
      </c>
      <c r="J892" s="350">
        <f>IF(G892="Sim",0,IF(OR(F892="",D892="",L892=""),"",IF(L892="Sim",ROUND(F892-D892,2),0)))</f>
        <v/>
      </c>
      <c r="K892" s="97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inlineStr">
        <is>
          <t>Nao</t>
        </is>
      </c>
      <c r="W892" s="110" t="inlineStr">
        <is>
          <t>PC em analise</t>
        </is>
      </c>
      <c r="X892" s="110" t="inlineStr">
        <is>
          <t>Pedido de Compra</t>
        </is>
      </c>
      <c r="Y892" s="111" t="inlineStr">
        <is>
          <t>Impacto Potencial</t>
        </is>
      </c>
      <c r="Z892" s="111" t="inlineStr">
        <is>
          <t>PC</t>
        </is>
      </c>
      <c r="AA892" s="111" t="inlineStr">
        <is>
          <t>Nao</t>
        </is>
      </c>
      <c r="AB892" s="111" t="inlineStr">
        <is>
          <t>NAO_COMPUTADO</t>
        </is>
      </c>
      <c r="AC892" s="112" t="inlineStr">
        <is>
          <t>Estrutura Fase 1: sem impacto no VTA oficial</t>
        </is>
      </c>
    </row>
    <row r="893" ht="25.5" customHeight="1" s="289">
      <c r="A893" s="205" t="n"/>
      <c r="B893" s="207" t="n"/>
      <c r="C893" s="104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348" t="n"/>
      <c r="E893" s="349">
        <f>IF(C893="","",IFERROR(VLOOKUP(C893,parametros!$A$11:$E$15,5,0),""))</f>
        <v/>
      </c>
      <c r="F893" s="335">
        <f>IF(OR(D893="",E893=""),"",ROUND(D893*E893,2))</f>
        <v/>
      </c>
      <c r="G893" s="106" t="n"/>
      <c r="H893" s="350">
        <f>IF(G893="Sim",IF(OR(F893="",D893="",L893=""),"",IF(L893="Sim",ROUND(F893-D893,2),0)),0)</f>
        <v/>
      </c>
      <c r="I893" s="350">
        <f>IF(G893="Sim",0,IF(OR(F893="",L893=""),"",F893))</f>
        <v/>
      </c>
      <c r="J893" s="350">
        <f>IF(G893="Sim",0,IF(OR(F893="",D893="",L893=""),"",IF(L893="Sim",ROUND(F893-D893,2),0)))</f>
        <v/>
      </c>
      <c r="K893" s="97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inlineStr">
        <is>
          <t>Nao</t>
        </is>
      </c>
      <c r="W893" s="110" t="inlineStr">
        <is>
          <t>PC em analise</t>
        </is>
      </c>
      <c r="X893" s="110" t="inlineStr">
        <is>
          <t>Pedido de Compra</t>
        </is>
      </c>
      <c r="Y893" s="111" t="inlineStr">
        <is>
          <t>Impacto Potencial</t>
        </is>
      </c>
      <c r="Z893" s="111" t="inlineStr">
        <is>
          <t>PC</t>
        </is>
      </c>
      <c r="AA893" s="111" t="inlineStr">
        <is>
          <t>Nao</t>
        </is>
      </c>
      <c r="AB893" s="111" t="inlineStr">
        <is>
          <t>NAO_COMPUTADO</t>
        </is>
      </c>
      <c r="AC893" s="112" t="inlineStr">
        <is>
          <t>Estrutura Fase 1: sem impacto no VTA oficial</t>
        </is>
      </c>
    </row>
    <row r="894" ht="25.5" customHeight="1" s="289">
      <c r="A894" s="205" t="n"/>
      <c r="B894" s="207" t="n"/>
      <c r="C894" s="104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348" t="n"/>
      <c r="E894" s="349">
        <f>IF(C894="","",IFERROR(VLOOKUP(C894,parametros!$A$11:$E$15,5,0),""))</f>
        <v/>
      </c>
      <c r="F894" s="335">
        <f>IF(OR(D894="",E894=""),"",ROUND(D894*E894,2))</f>
        <v/>
      </c>
      <c r="G894" s="106" t="n"/>
      <c r="H894" s="350">
        <f>IF(G894="Sim",IF(OR(F894="",D894="",L894=""),"",IF(L894="Sim",ROUND(F894-D894,2),0)),0)</f>
        <v/>
      </c>
      <c r="I894" s="350">
        <f>IF(G894="Sim",0,IF(OR(F894="",L894=""),"",F894))</f>
        <v/>
      </c>
      <c r="J894" s="350">
        <f>IF(G894="Sim",0,IF(OR(F894="",D894="",L894=""),"",IF(L894="Sim",ROUND(F894-D894,2),0)))</f>
        <v/>
      </c>
      <c r="K894" s="97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inlineStr">
        <is>
          <t>Nao</t>
        </is>
      </c>
      <c r="W894" s="110" t="inlineStr">
        <is>
          <t>PC em analise</t>
        </is>
      </c>
      <c r="X894" s="110" t="inlineStr">
        <is>
          <t>Pedido de Compra</t>
        </is>
      </c>
      <c r="Y894" s="111" t="inlineStr">
        <is>
          <t>Impacto Potencial</t>
        </is>
      </c>
      <c r="Z894" s="111" t="inlineStr">
        <is>
          <t>PC</t>
        </is>
      </c>
      <c r="AA894" s="111" t="inlineStr">
        <is>
          <t>Nao</t>
        </is>
      </c>
      <c r="AB894" s="111" t="inlineStr">
        <is>
          <t>NAO_COMPUTADO</t>
        </is>
      </c>
      <c r="AC894" s="112" t="inlineStr">
        <is>
          <t>Estrutura Fase 1: sem impacto no VTA oficial</t>
        </is>
      </c>
    </row>
    <row r="895" ht="25.5" customHeight="1" s="289">
      <c r="A895" s="205" t="n"/>
      <c r="B895" s="207" t="n"/>
      <c r="C895" s="104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348" t="n"/>
      <c r="E895" s="349">
        <f>IF(C895="","",IFERROR(VLOOKUP(C895,parametros!$A$11:$E$15,5,0),""))</f>
        <v/>
      </c>
      <c r="F895" s="335">
        <f>IF(OR(D895="",E895=""),"",ROUND(D895*E895,2))</f>
        <v/>
      </c>
      <c r="G895" s="106" t="n"/>
      <c r="H895" s="350">
        <f>IF(G895="Sim",IF(OR(F895="",D895="",L895=""),"",IF(L895="Sim",ROUND(F895-D895,2),0)),0)</f>
        <v/>
      </c>
      <c r="I895" s="350">
        <f>IF(G895="Sim",0,IF(OR(F895="",L895=""),"",F895))</f>
        <v/>
      </c>
      <c r="J895" s="350">
        <f>IF(G895="Sim",0,IF(OR(F895="",D895="",L895=""),"",IF(L895="Sim",ROUND(F895-D895,2),0)))</f>
        <v/>
      </c>
      <c r="K895" s="97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inlineStr">
        <is>
          <t>Nao</t>
        </is>
      </c>
      <c r="W895" s="110" t="inlineStr">
        <is>
          <t>PC em analise</t>
        </is>
      </c>
      <c r="X895" s="110" t="inlineStr">
        <is>
          <t>Pedido de Compra</t>
        </is>
      </c>
      <c r="Y895" s="111" t="inlineStr">
        <is>
          <t>Impacto Potencial</t>
        </is>
      </c>
      <c r="Z895" s="111" t="inlineStr">
        <is>
          <t>PC</t>
        </is>
      </c>
      <c r="AA895" s="111" t="inlineStr">
        <is>
          <t>Nao</t>
        </is>
      </c>
      <c r="AB895" s="111" t="inlineStr">
        <is>
          <t>NAO_COMPUTADO</t>
        </is>
      </c>
      <c r="AC895" s="112" t="inlineStr">
        <is>
          <t>Estrutura Fase 1: sem impacto no VTA oficial</t>
        </is>
      </c>
    </row>
    <row r="896" ht="25.5" customHeight="1" s="289">
      <c r="A896" s="205" t="n"/>
      <c r="B896" s="207" t="n"/>
      <c r="C896" s="104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348" t="n"/>
      <c r="E896" s="349">
        <f>IF(C896="","",IFERROR(VLOOKUP(C896,parametros!$A$11:$E$15,5,0),""))</f>
        <v/>
      </c>
      <c r="F896" s="335">
        <f>IF(OR(D896="",E896=""),"",ROUND(D896*E896,2))</f>
        <v/>
      </c>
      <c r="G896" s="106" t="n"/>
      <c r="H896" s="350">
        <f>IF(G896="Sim",IF(OR(F896="",D896="",L896=""),"",IF(L896="Sim",ROUND(F896-D896,2),0)),0)</f>
        <v/>
      </c>
      <c r="I896" s="350">
        <f>IF(G896="Sim",0,IF(OR(F896="",L896=""),"",F896))</f>
        <v/>
      </c>
      <c r="J896" s="350">
        <f>IF(G896="Sim",0,IF(OR(F896="",D896="",L896=""),"",IF(L896="Sim",ROUND(F896-D896,2),0)))</f>
        <v/>
      </c>
      <c r="K896" s="97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inlineStr">
        <is>
          <t>Nao</t>
        </is>
      </c>
      <c r="W896" s="110" t="inlineStr">
        <is>
          <t>PC em analise</t>
        </is>
      </c>
      <c r="X896" s="110" t="inlineStr">
        <is>
          <t>Pedido de Compra</t>
        </is>
      </c>
      <c r="Y896" s="111" t="inlineStr">
        <is>
          <t>Impacto Potencial</t>
        </is>
      </c>
      <c r="Z896" s="111" t="inlineStr">
        <is>
          <t>PC</t>
        </is>
      </c>
      <c r="AA896" s="111" t="inlineStr">
        <is>
          <t>Nao</t>
        </is>
      </c>
      <c r="AB896" s="111" t="inlineStr">
        <is>
          <t>NAO_COMPUTADO</t>
        </is>
      </c>
      <c r="AC896" s="112" t="inlineStr">
        <is>
          <t>Estrutura Fase 1: sem impacto no VTA oficial</t>
        </is>
      </c>
    </row>
    <row r="897" ht="25.5" customHeight="1" s="289">
      <c r="A897" s="205" t="n"/>
      <c r="B897" s="207" t="n"/>
      <c r="C897" s="104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348" t="n"/>
      <c r="E897" s="349">
        <f>IF(C897="","",IFERROR(VLOOKUP(C897,parametros!$A$11:$E$15,5,0),""))</f>
        <v/>
      </c>
      <c r="F897" s="335">
        <f>IF(OR(D897="",E897=""),"",ROUND(D897*E897,2))</f>
        <v/>
      </c>
      <c r="G897" s="106" t="n"/>
      <c r="H897" s="350">
        <f>IF(G897="Sim",IF(OR(F897="",D897="",L897=""),"",IF(L897="Sim",ROUND(F897-D897,2),0)),0)</f>
        <v/>
      </c>
      <c r="I897" s="350">
        <f>IF(G897="Sim",0,IF(OR(F897="",L897=""),"",F897))</f>
        <v/>
      </c>
      <c r="J897" s="350">
        <f>IF(G897="Sim",0,IF(OR(F897="",D897="",L897=""),"",IF(L897="Sim",ROUND(F897-D897,2),0)))</f>
        <v/>
      </c>
      <c r="K897" s="97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inlineStr">
        <is>
          <t>Nao</t>
        </is>
      </c>
      <c r="W897" s="110" t="inlineStr">
        <is>
          <t>PC em analise</t>
        </is>
      </c>
      <c r="X897" s="110" t="inlineStr">
        <is>
          <t>Pedido de Compra</t>
        </is>
      </c>
      <c r="Y897" s="111" t="inlineStr">
        <is>
          <t>Impacto Potencial</t>
        </is>
      </c>
      <c r="Z897" s="111" t="inlineStr">
        <is>
          <t>PC</t>
        </is>
      </c>
      <c r="AA897" s="111" t="inlineStr">
        <is>
          <t>Nao</t>
        </is>
      </c>
      <c r="AB897" s="111" t="inlineStr">
        <is>
          <t>NAO_COMPUTADO</t>
        </is>
      </c>
      <c r="AC897" s="112" t="inlineStr">
        <is>
          <t>Estrutura Fase 1: sem impacto no VTA oficial</t>
        </is>
      </c>
    </row>
    <row r="898" ht="25.5" customHeight="1" s="289">
      <c r="A898" s="205" t="n"/>
      <c r="B898" s="207" t="n"/>
      <c r="C898" s="104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348" t="n"/>
      <c r="E898" s="349">
        <f>IF(C898="","",IFERROR(VLOOKUP(C898,parametros!$A$11:$E$15,5,0),""))</f>
        <v/>
      </c>
      <c r="F898" s="335">
        <f>IF(OR(D898="",E898=""),"",ROUND(D898*E898,2))</f>
        <v/>
      </c>
      <c r="G898" s="106" t="n"/>
      <c r="H898" s="350">
        <f>IF(G898="Sim",IF(OR(F898="",D898="",L898=""),"",IF(L898="Sim",ROUND(F898-D898,2),0)),0)</f>
        <v/>
      </c>
      <c r="I898" s="350">
        <f>IF(G898="Sim",0,IF(OR(F898="",L898=""),"",F898))</f>
        <v/>
      </c>
      <c r="J898" s="350">
        <f>IF(G898="Sim",0,IF(OR(F898="",D898="",L898=""),"",IF(L898="Sim",ROUND(F898-D898,2),0)))</f>
        <v/>
      </c>
      <c r="K898" s="97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inlineStr">
        <is>
          <t>Nao</t>
        </is>
      </c>
      <c r="W898" s="110" t="inlineStr">
        <is>
          <t>PC em analise</t>
        </is>
      </c>
      <c r="X898" s="110" t="inlineStr">
        <is>
          <t>Pedido de Compra</t>
        </is>
      </c>
      <c r="Y898" s="111" t="inlineStr">
        <is>
          <t>Impacto Potencial</t>
        </is>
      </c>
      <c r="Z898" s="111" t="inlineStr">
        <is>
          <t>PC</t>
        </is>
      </c>
      <c r="AA898" s="111" t="inlineStr">
        <is>
          <t>Nao</t>
        </is>
      </c>
      <c r="AB898" s="111" t="inlineStr">
        <is>
          <t>NAO_COMPUTADO</t>
        </is>
      </c>
      <c r="AC898" s="112" t="inlineStr">
        <is>
          <t>Estrutura Fase 1: sem impacto no VTA oficial</t>
        </is>
      </c>
    </row>
    <row r="899" ht="25.5" customHeight="1" s="289">
      <c r="A899" s="205" t="n"/>
      <c r="B899" s="207" t="n"/>
      <c r="C899" s="104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348" t="n"/>
      <c r="E899" s="349">
        <f>IF(C899="","",IFERROR(VLOOKUP(C899,parametros!$A$11:$E$15,5,0),""))</f>
        <v/>
      </c>
      <c r="F899" s="335">
        <f>IF(OR(D899="",E899=""),"",ROUND(D899*E899,2))</f>
        <v/>
      </c>
      <c r="G899" s="106" t="n"/>
      <c r="H899" s="350">
        <f>IF(G899="Sim",IF(OR(F899="",D899="",L899=""),"",IF(L899="Sim",ROUND(F899-D899,2),0)),0)</f>
        <v/>
      </c>
      <c r="I899" s="350">
        <f>IF(G899="Sim",0,IF(OR(F899="",L899=""),"",F899))</f>
        <v/>
      </c>
      <c r="J899" s="350">
        <f>IF(G899="Sim",0,IF(OR(F899="",D899="",L899=""),"",IF(L899="Sim",ROUND(F899-D899,2),0)))</f>
        <v/>
      </c>
      <c r="K899" s="97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inlineStr">
        <is>
          <t>Nao</t>
        </is>
      </c>
      <c r="W899" s="110" t="inlineStr">
        <is>
          <t>PC em analise</t>
        </is>
      </c>
      <c r="X899" s="110" t="inlineStr">
        <is>
          <t>Pedido de Compra</t>
        </is>
      </c>
      <c r="Y899" s="111" t="inlineStr">
        <is>
          <t>Impacto Potencial</t>
        </is>
      </c>
      <c r="Z899" s="111" t="inlineStr">
        <is>
          <t>PC</t>
        </is>
      </c>
      <c r="AA899" s="111" t="inlineStr">
        <is>
          <t>Nao</t>
        </is>
      </c>
      <c r="AB899" s="111" t="inlineStr">
        <is>
          <t>NAO_COMPUTADO</t>
        </is>
      </c>
      <c r="AC899" s="112" t="inlineStr">
        <is>
          <t>Estrutura Fase 1: sem impacto no VTA oficial</t>
        </is>
      </c>
    </row>
    <row r="900" ht="25.5" customHeight="1" s="289">
      <c r="A900" s="205" t="n"/>
      <c r="B900" s="207" t="n"/>
      <c r="C900" s="104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348" t="n"/>
      <c r="E900" s="349">
        <f>IF(C900="","",IFERROR(VLOOKUP(C900,parametros!$A$11:$E$15,5,0),""))</f>
        <v/>
      </c>
      <c r="F900" s="335">
        <f>IF(OR(D900="",E900=""),"",ROUND(D900*E900,2))</f>
        <v/>
      </c>
      <c r="G900" s="106" t="n"/>
      <c r="H900" s="350">
        <f>IF(G900="Sim",IF(OR(F900="",D900="",L900=""),"",IF(L900="Sim",ROUND(F900-D900,2),0)),0)</f>
        <v/>
      </c>
      <c r="I900" s="350">
        <f>IF(G900="Sim",0,IF(OR(F900="",L900=""),"",F900))</f>
        <v/>
      </c>
      <c r="J900" s="350">
        <f>IF(G900="Sim",0,IF(OR(F900="",D900="",L900=""),"",IF(L900="Sim",ROUND(F900-D900,2),0)))</f>
        <v/>
      </c>
      <c r="K900" s="97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inlineStr">
        <is>
          <t>Nao</t>
        </is>
      </c>
      <c r="W900" s="110" t="inlineStr">
        <is>
          <t>PC em analise</t>
        </is>
      </c>
      <c r="X900" s="110" t="inlineStr">
        <is>
          <t>Pedido de Compra</t>
        </is>
      </c>
      <c r="Y900" s="111" t="inlineStr">
        <is>
          <t>Impacto Potencial</t>
        </is>
      </c>
      <c r="Z900" s="111" t="inlineStr">
        <is>
          <t>PC</t>
        </is>
      </c>
      <c r="AA900" s="111" t="inlineStr">
        <is>
          <t>Nao</t>
        </is>
      </c>
      <c r="AB900" s="111" t="inlineStr">
        <is>
          <t>NAO_COMPUTADO</t>
        </is>
      </c>
      <c r="AC900" s="112" t="inlineStr">
        <is>
          <t>Estrutura Fase 1: sem impacto no VTA oficial</t>
        </is>
      </c>
    </row>
    <row r="901" ht="25.5" customHeight="1" s="289">
      <c r="A901" s="205" t="n"/>
      <c r="B901" s="207" t="n"/>
      <c r="C901" s="104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348" t="n"/>
      <c r="E901" s="349">
        <f>IF(C901="","",IFERROR(VLOOKUP(C901,parametros!$A$11:$E$15,5,0),""))</f>
        <v/>
      </c>
      <c r="F901" s="335">
        <f>IF(OR(D901="",E901=""),"",ROUND(D901*E901,2))</f>
        <v/>
      </c>
      <c r="G901" s="106" t="n"/>
      <c r="H901" s="350">
        <f>IF(G901="Sim",IF(OR(F901="",D901="",L901=""),"",IF(L901="Sim",ROUND(F901-D901,2),0)),0)</f>
        <v/>
      </c>
      <c r="I901" s="350">
        <f>IF(G901="Sim",0,IF(OR(F901="",L901=""),"",F901))</f>
        <v/>
      </c>
      <c r="J901" s="350">
        <f>IF(G901="Sim",0,IF(OR(F901="",D901="",L901=""),"",IF(L901="Sim",ROUND(F901-D901,2),0)))</f>
        <v/>
      </c>
      <c r="K901" s="97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inlineStr">
        <is>
          <t>Nao</t>
        </is>
      </c>
      <c r="W901" s="110" t="inlineStr">
        <is>
          <t>PC em analise</t>
        </is>
      </c>
      <c r="X901" s="110" t="inlineStr">
        <is>
          <t>Pedido de Compra</t>
        </is>
      </c>
      <c r="Y901" s="111" t="inlineStr">
        <is>
          <t>Impacto Potencial</t>
        </is>
      </c>
      <c r="Z901" s="111" t="inlineStr">
        <is>
          <t>PC</t>
        </is>
      </c>
      <c r="AA901" s="111" t="inlineStr">
        <is>
          <t>Nao</t>
        </is>
      </c>
      <c r="AB901" s="111" t="inlineStr">
        <is>
          <t>NAO_COMPUTADO</t>
        </is>
      </c>
      <c r="AC901" s="112" t="inlineStr">
        <is>
          <t>Estrutura Fase 1: sem impacto no VTA oficial</t>
        </is>
      </c>
    </row>
    <row r="902" ht="25.5" customHeight="1" s="289">
      <c r="A902" s="205" t="n"/>
      <c r="B902" s="207" t="n"/>
      <c r="C902" s="104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348" t="n"/>
      <c r="E902" s="349">
        <f>IF(C902="","",IFERROR(VLOOKUP(C902,parametros!$A$11:$E$15,5,0),""))</f>
        <v/>
      </c>
      <c r="F902" s="335">
        <f>IF(OR(D902="",E902=""),"",ROUND(D902*E902,2))</f>
        <v/>
      </c>
      <c r="G902" s="106" t="n"/>
      <c r="H902" s="350">
        <f>IF(G902="Sim",IF(OR(F902="",D902="",L902=""),"",IF(L902="Sim",ROUND(F902-D902,2),0)),0)</f>
        <v/>
      </c>
      <c r="I902" s="350">
        <f>IF(G902="Sim",0,IF(OR(F902="",L902=""),"",F902))</f>
        <v/>
      </c>
      <c r="J902" s="350">
        <f>IF(G902="Sim",0,IF(OR(F902="",D902="",L902=""),"",IF(L902="Sim",ROUND(F902-D902,2),0)))</f>
        <v/>
      </c>
      <c r="K902" s="97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inlineStr">
        <is>
          <t>Nao</t>
        </is>
      </c>
      <c r="W902" s="110" t="inlineStr">
        <is>
          <t>PC em analise</t>
        </is>
      </c>
      <c r="X902" s="110" t="inlineStr">
        <is>
          <t>Pedido de Compra</t>
        </is>
      </c>
      <c r="Y902" s="111" t="inlineStr">
        <is>
          <t>Impacto Potencial</t>
        </is>
      </c>
      <c r="Z902" s="111" t="inlineStr">
        <is>
          <t>PC</t>
        </is>
      </c>
      <c r="AA902" s="111" t="inlineStr">
        <is>
          <t>Nao</t>
        </is>
      </c>
      <c r="AB902" s="111" t="inlineStr">
        <is>
          <t>NAO_COMPUTADO</t>
        </is>
      </c>
      <c r="AC902" s="112" t="inlineStr">
        <is>
          <t>Estrutura Fase 1: sem impacto no VTA oficial</t>
        </is>
      </c>
    </row>
    <row r="903" ht="25.5" customHeight="1" s="289">
      <c r="A903" s="205" t="n"/>
      <c r="B903" s="207" t="n"/>
      <c r="C903" s="104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348" t="n"/>
      <c r="E903" s="349">
        <f>IF(C903="","",IFERROR(VLOOKUP(C903,parametros!$A$11:$E$15,5,0),""))</f>
        <v/>
      </c>
      <c r="F903" s="335">
        <f>IF(OR(D903="",E903=""),"",ROUND(D903*E903,2))</f>
        <v/>
      </c>
      <c r="G903" s="106" t="n"/>
      <c r="H903" s="350">
        <f>IF(G903="Sim",IF(OR(F903="",D903="",L903=""),"",IF(L903="Sim",ROUND(F903-D903,2),0)),0)</f>
        <v/>
      </c>
      <c r="I903" s="350">
        <f>IF(G903="Sim",0,IF(OR(F903="",L903=""),"",F903))</f>
        <v/>
      </c>
      <c r="J903" s="350">
        <f>IF(G903="Sim",0,IF(OR(F903="",D903="",L903=""),"",IF(L903="Sim",ROUND(F903-D903,2),0)))</f>
        <v/>
      </c>
      <c r="K903" s="97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inlineStr">
        <is>
          <t>Nao</t>
        </is>
      </c>
      <c r="W903" s="110" t="inlineStr">
        <is>
          <t>PC em analise</t>
        </is>
      </c>
      <c r="X903" s="110" t="inlineStr">
        <is>
          <t>Pedido de Compra</t>
        </is>
      </c>
      <c r="Y903" s="111" t="inlineStr">
        <is>
          <t>Impacto Potencial</t>
        </is>
      </c>
      <c r="Z903" s="111" t="inlineStr">
        <is>
          <t>PC</t>
        </is>
      </c>
      <c r="AA903" s="111" t="inlineStr">
        <is>
          <t>Nao</t>
        </is>
      </c>
      <c r="AB903" s="111" t="inlineStr">
        <is>
          <t>NAO_COMPUTADO</t>
        </is>
      </c>
      <c r="AC903" s="112" t="inlineStr">
        <is>
          <t>Estrutura Fase 1: sem impacto no VTA oficial</t>
        </is>
      </c>
    </row>
    <row r="904" ht="25.5" customHeight="1" s="289">
      <c r="A904" s="205" t="n"/>
      <c r="B904" s="207" t="n"/>
      <c r="C904" s="104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348" t="n"/>
      <c r="E904" s="349">
        <f>IF(C904="","",IFERROR(VLOOKUP(C904,parametros!$A$11:$E$15,5,0),""))</f>
        <v/>
      </c>
      <c r="F904" s="335">
        <f>IF(OR(D904="",E904=""),"",ROUND(D904*E904,2))</f>
        <v/>
      </c>
      <c r="G904" s="106" t="n"/>
      <c r="H904" s="350">
        <f>IF(G904="Sim",IF(OR(F904="",D904="",L904=""),"",IF(L904="Sim",ROUND(F904-D904,2),0)),0)</f>
        <v/>
      </c>
      <c r="I904" s="350">
        <f>IF(G904="Sim",0,IF(OR(F904="",L904=""),"",F904))</f>
        <v/>
      </c>
      <c r="J904" s="350">
        <f>IF(G904="Sim",0,IF(OR(F904="",D904="",L904=""),"",IF(L904="Sim",ROUND(F904-D904,2),0)))</f>
        <v/>
      </c>
      <c r="K904" s="97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inlineStr">
        <is>
          <t>Nao</t>
        </is>
      </c>
      <c r="W904" s="110" t="inlineStr">
        <is>
          <t>PC em analise</t>
        </is>
      </c>
      <c r="X904" s="110" t="inlineStr">
        <is>
          <t>Pedido de Compra</t>
        </is>
      </c>
      <c r="Y904" s="111" t="inlineStr">
        <is>
          <t>Impacto Potencial</t>
        </is>
      </c>
      <c r="Z904" s="111" t="inlineStr">
        <is>
          <t>PC</t>
        </is>
      </c>
      <c r="AA904" s="111" t="inlineStr">
        <is>
          <t>Nao</t>
        </is>
      </c>
      <c r="AB904" s="111" t="inlineStr">
        <is>
          <t>NAO_COMPUTADO</t>
        </is>
      </c>
      <c r="AC904" s="112" t="inlineStr">
        <is>
          <t>Estrutura Fase 1: sem impacto no VTA oficial</t>
        </is>
      </c>
    </row>
    <row r="905" ht="25.5" customHeight="1" s="289">
      <c r="A905" s="205" t="n"/>
      <c r="B905" s="207" t="n"/>
      <c r="C905" s="104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348" t="n"/>
      <c r="E905" s="349">
        <f>IF(C905="","",IFERROR(VLOOKUP(C905,parametros!$A$11:$E$15,5,0),""))</f>
        <v/>
      </c>
      <c r="F905" s="335">
        <f>IF(OR(D905="",E905=""),"",ROUND(D905*E905,2))</f>
        <v/>
      </c>
      <c r="G905" s="106" t="n"/>
      <c r="H905" s="350">
        <f>IF(G905="Sim",IF(OR(F905="",D905="",L905=""),"",IF(L905="Sim",ROUND(F905-D905,2),0)),0)</f>
        <v/>
      </c>
      <c r="I905" s="350">
        <f>IF(G905="Sim",0,IF(OR(F905="",L905=""),"",F905))</f>
        <v/>
      </c>
      <c r="J905" s="350">
        <f>IF(G905="Sim",0,IF(OR(F905="",D905="",L905=""),"",IF(L905="Sim",ROUND(F905-D905,2),0)))</f>
        <v/>
      </c>
      <c r="K905" s="97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inlineStr">
        <is>
          <t>Nao</t>
        </is>
      </c>
      <c r="W905" s="110" t="inlineStr">
        <is>
          <t>PC em analise</t>
        </is>
      </c>
      <c r="X905" s="110" t="inlineStr">
        <is>
          <t>Pedido de Compra</t>
        </is>
      </c>
      <c r="Y905" s="111" t="inlineStr">
        <is>
          <t>Impacto Potencial</t>
        </is>
      </c>
      <c r="Z905" s="111" t="inlineStr">
        <is>
          <t>PC</t>
        </is>
      </c>
      <c r="AA905" s="111" t="inlineStr">
        <is>
          <t>Nao</t>
        </is>
      </c>
      <c r="AB905" s="111" t="inlineStr">
        <is>
          <t>NAO_COMPUTADO</t>
        </is>
      </c>
      <c r="AC905" s="112" t="inlineStr">
        <is>
          <t>Estrutura Fase 1: sem impacto no VTA oficial</t>
        </is>
      </c>
    </row>
    <row r="906" ht="25.5" customHeight="1" s="289">
      <c r="A906" s="205" t="n"/>
      <c r="B906" s="207" t="n"/>
      <c r="C906" s="104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348" t="n"/>
      <c r="E906" s="349">
        <f>IF(C906="","",IFERROR(VLOOKUP(C906,parametros!$A$11:$E$15,5,0),""))</f>
        <v/>
      </c>
      <c r="F906" s="335">
        <f>IF(OR(D906="",E906=""),"",ROUND(D906*E906,2))</f>
        <v/>
      </c>
      <c r="G906" s="106" t="n"/>
      <c r="H906" s="350">
        <f>IF(G906="Sim",IF(OR(F906="",D906="",L906=""),"",IF(L906="Sim",ROUND(F906-D906,2),0)),0)</f>
        <v/>
      </c>
      <c r="I906" s="350">
        <f>IF(G906="Sim",0,IF(OR(F906="",L906=""),"",F906))</f>
        <v/>
      </c>
      <c r="J906" s="350">
        <f>IF(G906="Sim",0,IF(OR(F906="",D906="",L906=""),"",IF(L906="Sim",ROUND(F906-D906,2),0)))</f>
        <v/>
      </c>
      <c r="K906" s="97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inlineStr">
        <is>
          <t>Nao</t>
        </is>
      </c>
      <c r="W906" s="110" t="inlineStr">
        <is>
          <t>PC em analise</t>
        </is>
      </c>
      <c r="X906" s="110" t="inlineStr">
        <is>
          <t>Pedido de Compra</t>
        </is>
      </c>
      <c r="Y906" s="111" t="inlineStr">
        <is>
          <t>Impacto Potencial</t>
        </is>
      </c>
      <c r="Z906" s="111" t="inlineStr">
        <is>
          <t>PC</t>
        </is>
      </c>
      <c r="AA906" s="111" t="inlineStr">
        <is>
          <t>Nao</t>
        </is>
      </c>
      <c r="AB906" s="111" t="inlineStr">
        <is>
          <t>NAO_COMPUTADO</t>
        </is>
      </c>
      <c r="AC906" s="112" t="inlineStr">
        <is>
          <t>Estrutura Fase 1: sem impacto no VTA oficial</t>
        </is>
      </c>
    </row>
    <row r="907" ht="25.5" customHeight="1" s="289">
      <c r="A907" s="205" t="n"/>
      <c r="B907" s="207" t="n"/>
      <c r="C907" s="104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348" t="n"/>
      <c r="E907" s="349">
        <f>IF(C907="","",IFERROR(VLOOKUP(C907,parametros!$A$11:$E$15,5,0),""))</f>
        <v/>
      </c>
      <c r="F907" s="335">
        <f>IF(OR(D907="",E907=""),"",ROUND(D907*E907,2))</f>
        <v/>
      </c>
      <c r="G907" s="106" t="n"/>
      <c r="H907" s="350">
        <f>IF(G907="Sim",IF(OR(F907="",D907="",L907=""),"",IF(L907="Sim",ROUND(F907-D907,2),0)),0)</f>
        <v/>
      </c>
      <c r="I907" s="350">
        <f>IF(G907="Sim",0,IF(OR(F907="",L907=""),"",F907))</f>
        <v/>
      </c>
      <c r="J907" s="350">
        <f>IF(G907="Sim",0,IF(OR(F907="",D907="",L907=""),"",IF(L907="Sim",ROUND(F907-D907,2),0)))</f>
        <v/>
      </c>
      <c r="K907" s="97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inlineStr">
        <is>
          <t>Nao</t>
        </is>
      </c>
      <c r="W907" s="110" t="inlineStr">
        <is>
          <t>PC em analise</t>
        </is>
      </c>
      <c r="X907" s="110" t="inlineStr">
        <is>
          <t>Pedido de Compra</t>
        </is>
      </c>
      <c r="Y907" s="111" t="inlineStr">
        <is>
          <t>Impacto Potencial</t>
        </is>
      </c>
      <c r="Z907" s="111" t="inlineStr">
        <is>
          <t>PC</t>
        </is>
      </c>
      <c r="AA907" s="111" t="inlineStr">
        <is>
          <t>Nao</t>
        </is>
      </c>
      <c r="AB907" s="111" t="inlineStr">
        <is>
          <t>NAO_COMPUTADO</t>
        </is>
      </c>
      <c r="AC907" s="112" t="inlineStr">
        <is>
          <t>Estrutura Fase 1: sem impacto no VTA oficial</t>
        </is>
      </c>
    </row>
    <row r="908" ht="25.5" customHeight="1" s="289">
      <c r="A908" s="205" t="n"/>
      <c r="B908" s="207" t="n"/>
      <c r="C908" s="104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348" t="n"/>
      <c r="E908" s="349">
        <f>IF(C908="","",IFERROR(VLOOKUP(C908,parametros!$A$11:$E$15,5,0),""))</f>
        <v/>
      </c>
      <c r="F908" s="335">
        <f>IF(OR(D908="",E908=""),"",ROUND(D908*E908,2))</f>
        <v/>
      </c>
      <c r="G908" s="106" t="n"/>
      <c r="H908" s="350">
        <f>IF(G908="Sim",IF(OR(F908="",D908="",L908=""),"",IF(L908="Sim",ROUND(F908-D908,2),0)),0)</f>
        <v/>
      </c>
      <c r="I908" s="350">
        <f>IF(G908="Sim",0,IF(OR(F908="",L908=""),"",F908))</f>
        <v/>
      </c>
      <c r="J908" s="350">
        <f>IF(G908="Sim",0,IF(OR(F908="",D908="",L908=""),"",IF(L908="Sim",ROUND(F908-D908,2),0)))</f>
        <v/>
      </c>
      <c r="K908" s="97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inlineStr">
        <is>
          <t>Nao</t>
        </is>
      </c>
      <c r="W908" s="110" t="inlineStr">
        <is>
          <t>PC em analise</t>
        </is>
      </c>
      <c r="X908" s="110" t="inlineStr">
        <is>
          <t>Pedido de Compra</t>
        </is>
      </c>
      <c r="Y908" s="111" t="inlineStr">
        <is>
          <t>Impacto Potencial</t>
        </is>
      </c>
      <c r="Z908" s="111" t="inlineStr">
        <is>
          <t>PC</t>
        </is>
      </c>
      <c r="AA908" s="111" t="inlineStr">
        <is>
          <t>Nao</t>
        </is>
      </c>
      <c r="AB908" s="111" t="inlineStr">
        <is>
          <t>NAO_COMPUTADO</t>
        </is>
      </c>
      <c r="AC908" s="112" t="inlineStr">
        <is>
          <t>Estrutura Fase 1: sem impacto no VTA oficial</t>
        </is>
      </c>
    </row>
    <row r="909" ht="25.5" customHeight="1" s="289">
      <c r="A909" s="205" t="n"/>
      <c r="B909" s="207" t="n"/>
      <c r="C909" s="104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348" t="n"/>
      <c r="E909" s="349">
        <f>IF(C909="","",IFERROR(VLOOKUP(C909,parametros!$A$11:$E$15,5,0),""))</f>
        <v/>
      </c>
      <c r="F909" s="335">
        <f>IF(OR(D909="",E909=""),"",ROUND(D909*E909,2))</f>
        <v/>
      </c>
      <c r="G909" s="106" t="n"/>
      <c r="H909" s="350">
        <f>IF(G909="Sim",IF(OR(F909="",D909="",L909=""),"",IF(L909="Sim",ROUND(F909-D909,2),0)),0)</f>
        <v/>
      </c>
      <c r="I909" s="350">
        <f>IF(G909="Sim",0,IF(OR(F909="",L909=""),"",F909))</f>
        <v/>
      </c>
      <c r="J909" s="350">
        <f>IF(G909="Sim",0,IF(OR(F909="",D909="",L909=""),"",IF(L909="Sim",ROUND(F909-D909,2),0)))</f>
        <v/>
      </c>
      <c r="K909" s="97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inlineStr">
        <is>
          <t>Nao</t>
        </is>
      </c>
      <c r="W909" s="110" t="inlineStr">
        <is>
          <t>PC em analise</t>
        </is>
      </c>
      <c r="X909" s="110" t="inlineStr">
        <is>
          <t>Pedido de Compra</t>
        </is>
      </c>
      <c r="Y909" s="111" t="inlineStr">
        <is>
          <t>Impacto Potencial</t>
        </is>
      </c>
      <c r="Z909" s="111" t="inlineStr">
        <is>
          <t>PC</t>
        </is>
      </c>
      <c r="AA909" s="111" t="inlineStr">
        <is>
          <t>Nao</t>
        </is>
      </c>
      <c r="AB909" s="111" t="inlineStr">
        <is>
          <t>NAO_COMPUTADO</t>
        </is>
      </c>
      <c r="AC909" s="112" t="inlineStr">
        <is>
          <t>Estrutura Fase 1: sem impacto no VTA oficial</t>
        </is>
      </c>
    </row>
    <row r="910" ht="25.5" customHeight="1" s="289">
      <c r="A910" s="205" t="n"/>
      <c r="B910" s="207" t="n"/>
      <c r="C910" s="104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348" t="n"/>
      <c r="E910" s="349">
        <f>IF(C910="","",IFERROR(VLOOKUP(C910,parametros!$A$11:$E$15,5,0),""))</f>
        <v/>
      </c>
      <c r="F910" s="335">
        <f>IF(OR(D910="",E910=""),"",ROUND(D910*E910,2))</f>
        <v/>
      </c>
      <c r="G910" s="106" t="n"/>
      <c r="H910" s="350">
        <f>IF(G910="Sim",IF(OR(F910="",D910="",L910=""),"",IF(L910="Sim",ROUND(F910-D910,2),0)),0)</f>
        <v/>
      </c>
      <c r="I910" s="350">
        <f>IF(G910="Sim",0,IF(OR(F910="",L910=""),"",F910))</f>
        <v/>
      </c>
      <c r="J910" s="350">
        <f>IF(G910="Sim",0,IF(OR(F910="",D910="",L910=""),"",IF(L910="Sim",ROUND(F910-D910,2),0)))</f>
        <v/>
      </c>
      <c r="K910" s="97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inlineStr">
        <is>
          <t>Nao</t>
        </is>
      </c>
      <c r="W910" s="110" t="inlineStr">
        <is>
          <t>PC em analise</t>
        </is>
      </c>
      <c r="X910" s="110" t="inlineStr">
        <is>
          <t>Pedido de Compra</t>
        </is>
      </c>
      <c r="Y910" s="111" t="inlineStr">
        <is>
          <t>Impacto Potencial</t>
        </is>
      </c>
      <c r="Z910" s="111" t="inlineStr">
        <is>
          <t>PC</t>
        </is>
      </c>
      <c r="AA910" s="111" t="inlineStr">
        <is>
          <t>Nao</t>
        </is>
      </c>
      <c r="AB910" s="111" t="inlineStr">
        <is>
          <t>NAO_COMPUTADO</t>
        </is>
      </c>
      <c r="AC910" s="112" t="inlineStr">
        <is>
          <t>Estrutura Fase 1: sem impacto no VTA oficial</t>
        </is>
      </c>
    </row>
    <row r="911" ht="25.5" customHeight="1" s="289">
      <c r="A911" s="205" t="n"/>
      <c r="B911" s="207" t="n"/>
      <c r="C911" s="104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348" t="n"/>
      <c r="E911" s="349">
        <f>IF(C911="","",IFERROR(VLOOKUP(C911,parametros!$A$11:$E$15,5,0),""))</f>
        <v/>
      </c>
      <c r="F911" s="335">
        <f>IF(OR(D911="",E911=""),"",ROUND(D911*E911,2))</f>
        <v/>
      </c>
      <c r="G911" s="106" t="n"/>
      <c r="H911" s="350">
        <f>IF(G911="Sim",IF(OR(F911="",D911="",L911=""),"",IF(L911="Sim",ROUND(F911-D911,2),0)),0)</f>
        <v/>
      </c>
      <c r="I911" s="350">
        <f>IF(G911="Sim",0,IF(OR(F911="",L911=""),"",F911))</f>
        <v/>
      </c>
      <c r="J911" s="350">
        <f>IF(G911="Sim",0,IF(OR(F911="",D911="",L911=""),"",IF(L911="Sim",ROUND(F911-D911,2),0)))</f>
        <v/>
      </c>
      <c r="K911" s="97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inlineStr">
        <is>
          <t>Nao</t>
        </is>
      </c>
      <c r="W911" s="110" t="inlineStr">
        <is>
          <t>PC em analise</t>
        </is>
      </c>
      <c r="X911" s="110" t="inlineStr">
        <is>
          <t>Pedido de Compra</t>
        </is>
      </c>
      <c r="Y911" s="111" t="inlineStr">
        <is>
          <t>Impacto Potencial</t>
        </is>
      </c>
      <c r="Z911" s="111" t="inlineStr">
        <is>
          <t>PC</t>
        </is>
      </c>
      <c r="AA911" s="111" t="inlineStr">
        <is>
          <t>Nao</t>
        </is>
      </c>
      <c r="AB911" s="111" t="inlineStr">
        <is>
          <t>NAO_COMPUTADO</t>
        </is>
      </c>
      <c r="AC911" s="112" t="inlineStr">
        <is>
          <t>Estrutura Fase 1: sem impacto no VTA oficial</t>
        </is>
      </c>
    </row>
    <row r="912" ht="25.5" customHeight="1" s="289">
      <c r="A912" s="205" t="n"/>
      <c r="B912" s="207" t="n"/>
      <c r="C912" s="104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348" t="n"/>
      <c r="E912" s="349">
        <f>IF(C912="","",IFERROR(VLOOKUP(C912,parametros!$A$11:$E$15,5,0),""))</f>
        <v/>
      </c>
      <c r="F912" s="335">
        <f>IF(OR(D912="",E912=""),"",ROUND(D912*E912,2))</f>
        <v/>
      </c>
      <c r="G912" s="106" t="n"/>
      <c r="H912" s="350">
        <f>IF(G912="Sim",IF(OR(F912="",D912="",L912=""),"",IF(L912="Sim",ROUND(F912-D912,2),0)),0)</f>
        <v/>
      </c>
      <c r="I912" s="350">
        <f>IF(G912="Sim",0,IF(OR(F912="",L912=""),"",F912))</f>
        <v/>
      </c>
      <c r="J912" s="350">
        <f>IF(G912="Sim",0,IF(OR(F912="",D912="",L912=""),"",IF(L912="Sim",ROUND(F912-D912,2),0)))</f>
        <v/>
      </c>
      <c r="K912" s="97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inlineStr">
        <is>
          <t>Nao</t>
        </is>
      </c>
      <c r="W912" s="110" t="inlineStr">
        <is>
          <t>PC em analise</t>
        </is>
      </c>
      <c r="X912" s="110" t="inlineStr">
        <is>
          <t>Pedido de Compra</t>
        </is>
      </c>
      <c r="Y912" s="111" t="inlineStr">
        <is>
          <t>Impacto Potencial</t>
        </is>
      </c>
      <c r="Z912" s="111" t="inlineStr">
        <is>
          <t>PC</t>
        </is>
      </c>
      <c r="AA912" s="111" t="inlineStr">
        <is>
          <t>Nao</t>
        </is>
      </c>
      <c r="AB912" s="111" t="inlineStr">
        <is>
          <t>NAO_COMPUTADO</t>
        </is>
      </c>
      <c r="AC912" s="112" t="inlineStr">
        <is>
          <t>Estrutura Fase 1: sem impacto no VTA oficial</t>
        </is>
      </c>
    </row>
    <row r="913" ht="25.5" customHeight="1" s="289">
      <c r="A913" s="205" t="n"/>
      <c r="B913" s="207" t="n"/>
      <c r="C913" s="104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348" t="n"/>
      <c r="E913" s="349">
        <f>IF(C913="","",IFERROR(VLOOKUP(C913,parametros!$A$11:$E$15,5,0),""))</f>
        <v/>
      </c>
      <c r="F913" s="335">
        <f>IF(OR(D913="",E913=""),"",ROUND(D913*E913,2))</f>
        <v/>
      </c>
      <c r="G913" s="106" t="n"/>
      <c r="H913" s="350">
        <f>IF(G913="Sim",IF(OR(F913="",D913="",L913=""),"",IF(L913="Sim",ROUND(F913-D913,2),0)),0)</f>
        <v/>
      </c>
      <c r="I913" s="350">
        <f>IF(G913="Sim",0,IF(OR(F913="",L913=""),"",F913))</f>
        <v/>
      </c>
      <c r="J913" s="350">
        <f>IF(G913="Sim",0,IF(OR(F913="",D913="",L913=""),"",IF(L913="Sim",ROUND(F913-D913,2),0)))</f>
        <v/>
      </c>
      <c r="K913" s="97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inlineStr">
        <is>
          <t>Nao</t>
        </is>
      </c>
      <c r="W913" s="110" t="inlineStr">
        <is>
          <t>PC em analise</t>
        </is>
      </c>
      <c r="X913" s="110" t="inlineStr">
        <is>
          <t>Pedido de Compra</t>
        </is>
      </c>
      <c r="Y913" s="111" t="inlineStr">
        <is>
          <t>Impacto Potencial</t>
        </is>
      </c>
      <c r="Z913" s="111" t="inlineStr">
        <is>
          <t>PC</t>
        </is>
      </c>
      <c r="AA913" s="111" t="inlineStr">
        <is>
          <t>Nao</t>
        </is>
      </c>
      <c r="AB913" s="111" t="inlineStr">
        <is>
          <t>NAO_COMPUTADO</t>
        </is>
      </c>
      <c r="AC913" s="112" t="inlineStr">
        <is>
          <t>Estrutura Fase 1: sem impacto no VTA oficial</t>
        </is>
      </c>
    </row>
    <row r="914" ht="25.5" customHeight="1" s="289">
      <c r="A914" s="205" t="n"/>
      <c r="B914" s="207" t="n"/>
      <c r="C914" s="104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348" t="n"/>
      <c r="E914" s="349">
        <f>IF(C914="","",IFERROR(VLOOKUP(C914,parametros!$A$11:$E$15,5,0),""))</f>
        <v/>
      </c>
      <c r="F914" s="335">
        <f>IF(OR(D914="",E914=""),"",ROUND(D914*E914,2))</f>
        <v/>
      </c>
      <c r="G914" s="106" t="n"/>
      <c r="H914" s="350">
        <f>IF(G914="Sim",IF(OR(F914="",D914="",L914=""),"",IF(L914="Sim",ROUND(F914-D914,2),0)),0)</f>
        <v/>
      </c>
      <c r="I914" s="350">
        <f>IF(G914="Sim",0,IF(OR(F914="",L914=""),"",F914))</f>
        <v/>
      </c>
      <c r="J914" s="350">
        <f>IF(G914="Sim",0,IF(OR(F914="",D914="",L914=""),"",IF(L914="Sim",ROUND(F914-D914,2),0)))</f>
        <v/>
      </c>
      <c r="K914" s="97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inlineStr">
        <is>
          <t>Nao</t>
        </is>
      </c>
      <c r="W914" s="110" t="inlineStr">
        <is>
          <t>PC em analise</t>
        </is>
      </c>
      <c r="X914" s="110" t="inlineStr">
        <is>
          <t>Pedido de Compra</t>
        </is>
      </c>
      <c r="Y914" s="111" t="inlineStr">
        <is>
          <t>Impacto Potencial</t>
        </is>
      </c>
      <c r="Z914" s="111" t="inlineStr">
        <is>
          <t>PC</t>
        </is>
      </c>
      <c r="AA914" s="111" t="inlineStr">
        <is>
          <t>Nao</t>
        </is>
      </c>
      <c r="AB914" s="111" t="inlineStr">
        <is>
          <t>NAO_COMPUTADO</t>
        </is>
      </c>
      <c r="AC914" s="112" t="inlineStr">
        <is>
          <t>Estrutura Fase 1: sem impacto no VTA oficial</t>
        </is>
      </c>
    </row>
    <row r="915" ht="25.5" customHeight="1" s="289">
      <c r="A915" s="205" t="n"/>
      <c r="B915" s="207" t="n"/>
      <c r="C915" s="104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348" t="n"/>
      <c r="E915" s="349">
        <f>IF(C915="","",IFERROR(VLOOKUP(C915,parametros!$A$11:$E$15,5,0),""))</f>
        <v/>
      </c>
      <c r="F915" s="335">
        <f>IF(OR(D915="",E915=""),"",ROUND(D915*E915,2))</f>
        <v/>
      </c>
      <c r="G915" s="106" t="n"/>
      <c r="H915" s="350">
        <f>IF(G915="Sim",IF(OR(F915="",D915="",L915=""),"",IF(L915="Sim",ROUND(F915-D915,2),0)),0)</f>
        <v/>
      </c>
      <c r="I915" s="350">
        <f>IF(G915="Sim",0,IF(OR(F915="",L915=""),"",F915))</f>
        <v/>
      </c>
      <c r="J915" s="350">
        <f>IF(G915="Sim",0,IF(OR(F915="",D915="",L915=""),"",IF(L915="Sim",ROUND(F915-D915,2),0)))</f>
        <v/>
      </c>
      <c r="K915" s="97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inlineStr">
        <is>
          <t>Nao</t>
        </is>
      </c>
      <c r="W915" s="110" t="inlineStr">
        <is>
          <t>PC em analise</t>
        </is>
      </c>
      <c r="X915" s="110" t="inlineStr">
        <is>
          <t>Pedido de Compra</t>
        </is>
      </c>
      <c r="Y915" s="111" t="inlineStr">
        <is>
          <t>Impacto Potencial</t>
        </is>
      </c>
      <c r="Z915" s="111" t="inlineStr">
        <is>
          <t>PC</t>
        </is>
      </c>
      <c r="AA915" s="111" t="inlineStr">
        <is>
          <t>Nao</t>
        </is>
      </c>
      <c r="AB915" s="111" t="inlineStr">
        <is>
          <t>NAO_COMPUTADO</t>
        </is>
      </c>
      <c r="AC915" s="112" t="inlineStr">
        <is>
          <t>Estrutura Fase 1: sem impacto no VTA oficial</t>
        </is>
      </c>
    </row>
    <row r="916" ht="25.5" customHeight="1" s="289">
      <c r="A916" s="205" t="n"/>
      <c r="B916" s="207" t="n"/>
      <c r="C916" s="104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348" t="n"/>
      <c r="E916" s="349">
        <f>IF(C916="","",IFERROR(VLOOKUP(C916,parametros!$A$11:$E$15,5,0),""))</f>
        <v/>
      </c>
      <c r="F916" s="335">
        <f>IF(OR(D916="",E916=""),"",ROUND(D916*E916,2))</f>
        <v/>
      </c>
      <c r="G916" s="106" t="n"/>
      <c r="H916" s="350">
        <f>IF(G916="Sim",IF(OR(F916="",D916="",L916=""),"",IF(L916="Sim",ROUND(F916-D916,2),0)),0)</f>
        <v/>
      </c>
      <c r="I916" s="350">
        <f>IF(G916="Sim",0,IF(OR(F916="",L916=""),"",F916))</f>
        <v/>
      </c>
      <c r="J916" s="350">
        <f>IF(G916="Sim",0,IF(OR(F916="",D916="",L916=""),"",IF(L916="Sim",ROUND(F916-D916,2),0)))</f>
        <v/>
      </c>
      <c r="K916" s="97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inlineStr">
        <is>
          <t>Nao</t>
        </is>
      </c>
      <c r="W916" s="110" t="inlineStr">
        <is>
          <t>PC em analise</t>
        </is>
      </c>
      <c r="X916" s="110" t="inlineStr">
        <is>
          <t>Pedido de Compra</t>
        </is>
      </c>
      <c r="Y916" s="111" t="inlineStr">
        <is>
          <t>Impacto Potencial</t>
        </is>
      </c>
      <c r="Z916" s="111" t="inlineStr">
        <is>
          <t>PC</t>
        </is>
      </c>
      <c r="AA916" s="111" t="inlineStr">
        <is>
          <t>Nao</t>
        </is>
      </c>
      <c r="AB916" s="111" t="inlineStr">
        <is>
          <t>NAO_COMPUTADO</t>
        </is>
      </c>
      <c r="AC916" s="112" t="inlineStr">
        <is>
          <t>Estrutura Fase 1: sem impacto no VTA oficial</t>
        </is>
      </c>
    </row>
    <row r="917" ht="25.5" customHeight="1" s="289">
      <c r="A917" s="205" t="n"/>
      <c r="B917" s="207" t="n"/>
      <c r="C917" s="104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348" t="n"/>
      <c r="E917" s="349">
        <f>IF(C917="","",IFERROR(VLOOKUP(C917,parametros!$A$11:$E$15,5,0),""))</f>
        <v/>
      </c>
      <c r="F917" s="335">
        <f>IF(OR(D917="",E917=""),"",ROUND(D917*E917,2))</f>
        <v/>
      </c>
      <c r="G917" s="106" t="n"/>
      <c r="H917" s="350">
        <f>IF(G917="Sim",IF(OR(F917="",D917="",L917=""),"",IF(L917="Sim",ROUND(F917-D917,2),0)),0)</f>
        <v/>
      </c>
      <c r="I917" s="350">
        <f>IF(G917="Sim",0,IF(OR(F917="",L917=""),"",F917))</f>
        <v/>
      </c>
      <c r="J917" s="350">
        <f>IF(G917="Sim",0,IF(OR(F917="",D917="",L917=""),"",IF(L917="Sim",ROUND(F917-D917,2),0)))</f>
        <v/>
      </c>
      <c r="K917" s="97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inlineStr">
        <is>
          <t>Nao</t>
        </is>
      </c>
      <c r="W917" s="110" t="inlineStr">
        <is>
          <t>PC em analise</t>
        </is>
      </c>
      <c r="X917" s="110" t="inlineStr">
        <is>
          <t>Pedido de Compra</t>
        </is>
      </c>
      <c r="Y917" s="111" t="inlineStr">
        <is>
          <t>Impacto Potencial</t>
        </is>
      </c>
      <c r="Z917" s="111" t="inlineStr">
        <is>
          <t>PC</t>
        </is>
      </c>
      <c r="AA917" s="111" t="inlineStr">
        <is>
          <t>Nao</t>
        </is>
      </c>
      <c r="AB917" s="111" t="inlineStr">
        <is>
          <t>NAO_COMPUTADO</t>
        </is>
      </c>
      <c r="AC917" s="112" t="inlineStr">
        <is>
          <t>Estrutura Fase 1: sem impacto no VTA oficial</t>
        </is>
      </c>
    </row>
    <row r="918" ht="25.5" customHeight="1" s="289">
      <c r="A918" s="205" t="n"/>
      <c r="B918" s="207" t="n"/>
      <c r="C918" s="104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348" t="n"/>
      <c r="E918" s="349">
        <f>IF(C918="","",IFERROR(VLOOKUP(C918,parametros!$A$11:$E$15,5,0),""))</f>
        <v/>
      </c>
      <c r="F918" s="335">
        <f>IF(OR(D918="",E918=""),"",ROUND(D918*E918,2))</f>
        <v/>
      </c>
      <c r="G918" s="106" t="n"/>
      <c r="H918" s="350">
        <f>IF(G918="Sim",IF(OR(F918="",D918="",L918=""),"",IF(L918="Sim",ROUND(F918-D918,2),0)),0)</f>
        <v/>
      </c>
      <c r="I918" s="350">
        <f>IF(G918="Sim",0,IF(OR(F918="",L918=""),"",F918))</f>
        <v/>
      </c>
      <c r="J918" s="350">
        <f>IF(G918="Sim",0,IF(OR(F918="",D918="",L918=""),"",IF(L918="Sim",ROUND(F918-D918,2),0)))</f>
        <v/>
      </c>
      <c r="K918" s="97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inlineStr">
        <is>
          <t>Nao</t>
        </is>
      </c>
      <c r="W918" s="110" t="inlineStr">
        <is>
          <t>PC em analise</t>
        </is>
      </c>
      <c r="X918" s="110" t="inlineStr">
        <is>
          <t>Pedido de Compra</t>
        </is>
      </c>
      <c r="Y918" s="111" t="inlineStr">
        <is>
          <t>Impacto Potencial</t>
        </is>
      </c>
      <c r="Z918" s="111" t="inlineStr">
        <is>
          <t>PC</t>
        </is>
      </c>
      <c r="AA918" s="111" t="inlineStr">
        <is>
          <t>Nao</t>
        </is>
      </c>
      <c r="AB918" s="111" t="inlineStr">
        <is>
          <t>NAO_COMPUTADO</t>
        </is>
      </c>
      <c r="AC918" s="112" t="inlineStr">
        <is>
          <t>Estrutura Fase 1: sem impacto no VTA oficial</t>
        </is>
      </c>
    </row>
    <row r="919" ht="25.5" customHeight="1" s="289">
      <c r="A919" s="205" t="n"/>
      <c r="B919" s="207" t="n"/>
      <c r="C919" s="104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348" t="n"/>
      <c r="E919" s="349">
        <f>IF(C919="","",IFERROR(VLOOKUP(C919,parametros!$A$11:$E$15,5,0),""))</f>
        <v/>
      </c>
      <c r="F919" s="335">
        <f>IF(OR(D919="",E919=""),"",ROUND(D919*E919,2))</f>
        <v/>
      </c>
      <c r="G919" s="106" t="n"/>
      <c r="H919" s="350">
        <f>IF(G919="Sim",IF(OR(F919="",D919="",L919=""),"",IF(L919="Sim",ROUND(F919-D919,2),0)),0)</f>
        <v/>
      </c>
      <c r="I919" s="350">
        <f>IF(G919="Sim",0,IF(OR(F919="",L919=""),"",F919))</f>
        <v/>
      </c>
      <c r="J919" s="350">
        <f>IF(G919="Sim",0,IF(OR(F919="",D919="",L919=""),"",IF(L919="Sim",ROUND(F919-D919,2),0)))</f>
        <v/>
      </c>
      <c r="K919" s="97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inlineStr">
        <is>
          <t>Nao</t>
        </is>
      </c>
      <c r="W919" s="110" t="inlineStr">
        <is>
          <t>PC em analise</t>
        </is>
      </c>
      <c r="X919" s="110" t="inlineStr">
        <is>
          <t>Pedido de Compra</t>
        </is>
      </c>
      <c r="Y919" s="111" t="inlineStr">
        <is>
          <t>Impacto Potencial</t>
        </is>
      </c>
      <c r="Z919" s="111" t="inlineStr">
        <is>
          <t>PC</t>
        </is>
      </c>
      <c r="AA919" s="111" t="inlineStr">
        <is>
          <t>Nao</t>
        </is>
      </c>
      <c r="AB919" s="111" t="inlineStr">
        <is>
          <t>NAO_COMPUTADO</t>
        </is>
      </c>
      <c r="AC919" s="112" t="inlineStr">
        <is>
          <t>Estrutura Fase 1: sem impacto no VTA oficial</t>
        </is>
      </c>
    </row>
    <row r="920" ht="25.5" customHeight="1" s="289">
      <c r="A920" s="205" t="n"/>
      <c r="B920" s="207" t="n"/>
      <c r="C920" s="104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348" t="n"/>
      <c r="E920" s="349">
        <f>IF(C920="","",IFERROR(VLOOKUP(C920,parametros!$A$11:$E$15,5,0),""))</f>
        <v/>
      </c>
      <c r="F920" s="335">
        <f>IF(OR(D920="",E920=""),"",ROUND(D920*E920,2))</f>
        <v/>
      </c>
      <c r="G920" s="106" t="n"/>
      <c r="H920" s="350">
        <f>IF(G920="Sim",IF(OR(F920="",D920="",L920=""),"",IF(L920="Sim",ROUND(F920-D920,2),0)),0)</f>
        <v/>
      </c>
      <c r="I920" s="350">
        <f>IF(G920="Sim",0,IF(OR(F920="",L920=""),"",F920))</f>
        <v/>
      </c>
      <c r="J920" s="350">
        <f>IF(G920="Sim",0,IF(OR(F920="",D920="",L920=""),"",IF(L920="Sim",ROUND(F920-D920,2),0)))</f>
        <v/>
      </c>
      <c r="K920" s="97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inlineStr">
        <is>
          <t>Nao</t>
        </is>
      </c>
      <c r="W920" s="110" t="inlineStr">
        <is>
          <t>PC em analise</t>
        </is>
      </c>
      <c r="X920" s="110" t="inlineStr">
        <is>
          <t>Pedido de Compra</t>
        </is>
      </c>
      <c r="Y920" s="111" t="inlineStr">
        <is>
          <t>Impacto Potencial</t>
        </is>
      </c>
      <c r="Z920" s="111" t="inlineStr">
        <is>
          <t>PC</t>
        </is>
      </c>
      <c r="AA920" s="111" t="inlineStr">
        <is>
          <t>Nao</t>
        </is>
      </c>
      <c r="AB920" s="111" t="inlineStr">
        <is>
          <t>NAO_COMPUTADO</t>
        </is>
      </c>
      <c r="AC920" s="112" t="inlineStr">
        <is>
          <t>Estrutura Fase 1: sem impacto no VTA oficial</t>
        </is>
      </c>
    </row>
    <row r="921" ht="25.5" customHeight="1" s="289">
      <c r="A921" s="205" t="n"/>
      <c r="B921" s="207" t="n"/>
      <c r="C921" s="104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348" t="n"/>
      <c r="E921" s="349">
        <f>IF(C921="","",IFERROR(VLOOKUP(C921,parametros!$A$11:$E$15,5,0),""))</f>
        <v/>
      </c>
      <c r="F921" s="335">
        <f>IF(OR(D921="",E921=""),"",ROUND(D921*E921,2))</f>
        <v/>
      </c>
      <c r="G921" s="106" t="n"/>
      <c r="H921" s="350">
        <f>IF(G921="Sim",IF(OR(F921="",D921="",L921=""),"",IF(L921="Sim",ROUND(F921-D921,2),0)),0)</f>
        <v/>
      </c>
      <c r="I921" s="350">
        <f>IF(G921="Sim",0,IF(OR(F921="",L921=""),"",F921))</f>
        <v/>
      </c>
      <c r="J921" s="350">
        <f>IF(G921="Sim",0,IF(OR(F921="",D921="",L921=""),"",IF(L921="Sim",ROUND(F921-D921,2),0)))</f>
        <v/>
      </c>
      <c r="K921" s="97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inlineStr">
        <is>
          <t>Nao</t>
        </is>
      </c>
      <c r="W921" s="110" t="inlineStr">
        <is>
          <t>PC em analise</t>
        </is>
      </c>
      <c r="X921" s="110" t="inlineStr">
        <is>
          <t>Pedido de Compra</t>
        </is>
      </c>
      <c r="Y921" s="111" t="inlineStr">
        <is>
          <t>Impacto Potencial</t>
        </is>
      </c>
      <c r="Z921" s="111" t="inlineStr">
        <is>
          <t>PC</t>
        </is>
      </c>
      <c r="AA921" s="111" t="inlineStr">
        <is>
          <t>Nao</t>
        </is>
      </c>
      <c r="AB921" s="111" t="inlineStr">
        <is>
          <t>NAO_COMPUTADO</t>
        </is>
      </c>
      <c r="AC921" s="112" t="inlineStr">
        <is>
          <t>Estrutura Fase 1: sem impacto no VTA oficial</t>
        </is>
      </c>
    </row>
    <row r="922" ht="25.5" customHeight="1" s="289">
      <c r="A922" s="205" t="n"/>
      <c r="B922" s="207" t="n"/>
      <c r="C922" s="104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348" t="n"/>
      <c r="E922" s="349">
        <f>IF(C922="","",IFERROR(VLOOKUP(C922,parametros!$A$11:$E$15,5,0),""))</f>
        <v/>
      </c>
      <c r="F922" s="335">
        <f>IF(OR(D922="",E922=""),"",ROUND(D922*E922,2))</f>
        <v/>
      </c>
      <c r="G922" s="106" t="n"/>
      <c r="H922" s="350">
        <f>IF(G922="Sim",IF(OR(F922="",D922="",L922=""),"",IF(L922="Sim",ROUND(F922-D922,2),0)),0)</f>
        <v/>
      </c>
      <c r="I922" s="350">
        <f>IF(G922="Sim",0,IF(OR(F922="",L922=""),"",F922))</f>
        <v/>
      </c>
      <c r="J922" s="350">
        <f>IF(G922="Sim",0,IF(OR(F922="",D922="",L922=""),"",IF(L922="Sim",ROUND(F922-D922,2),0)))</f>
        <v/>
      </c>
      <c r="K922" s="97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inlineStr">
        <is>
          <t>Nao</t>
        </is>
      </c>
      <c r="W922" s="110" t="inlineStr">
        <is>
          <t>PC em analise</t>
        </is>
      </c>
      <c r="X922" s="110" t="inlineStr">
        <is>
          <t>Pedido de Compra</t>
        </is>
      </c>
      <c r="Y922" s="111" t="inlineStr">
        <is>
          <t>Impacto Potencial</t>
        </is>
      </c>
      <c r="Z922" s="111" t="inlineStr">
        <is>
          <t>PC</t>
        </is>
      </c>
      <c r="AA922" s="111" t="inlineStr">
        <is>
          <t>Nao</t>
        </is>
      </c>
      <c r="AB922" s="111" t="inlineStr">
        <is>
          <t>NAO_COMPUTADO</t>
        </is>
      </c>
      <c r="AC922" s="112" t="inlineStr">
        <is>
          <t>Estrutura Fase 1: sem impacto no VTA oficial</t>
        </is>
      </c>
    </row>
    <row r="923" ht="25.5" customHeight="1" s="289">
      <c r="A923" s="205" t="n"/>
      <c r="B923" s="207" t="n"/>
      <c r="C923" s="104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348" t="n"/>
      <c r="E923" s="349">
        <f>IF(C923="","",IFERROR(VLOOKUP(C923,parametros!$A$11:$E$15,5,0),""))</f>
        <v/>
      </c>
      <c r="F923" s="335">
        <f>IF(OR(D923="",E923=""),"",ROUND(D923*E923,2))</f>
        <v/>
      </c>
      <c r="G923" s="106" t="n"/>
      <c r="H923" s="350">
        <f>IF(G923="Sim",IF(OR(F923="",D923="",L923=""),"",IF(L923="Sim",ROUND(F923-D923,2),0)),0)</f>
        <v/>
      </c>
      <c r="I923" s="350">
        <f>IF(G923="Sim",0,IF(OR(F923="",L923=""),"",F923))</f>
        <v/>
      </c>
      <c r="J923" s="350">
        <f>IF(G923="Sim",0,IF(OR(F923="",D923="",L923=""),"",IF(L923="Sim",ROUND(F923-D923,2),0)))</f>
        <v/>
      </c>
      <c r="K923" s="97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inlineStr">
        <is>
          <t>Nao</t>
        </is>
      </c>
      <c r="W923" s="110" t="inlineStr">
        <is>
          <t>PC em analise</t>
        </is>
      </c>
      <c r="X923" s="110" t="inlineStr">
        <is>
          <t>Pedido de Compra</t>
        </is>
      </c>
      <c r="Y923" s="111" t="inlineStr">
        <is>
          <t>Impacto Potencial</t>
        </is>
      </c>
      <c r="Z923" s="111" t="inlineStr">
        <is>
          <t>PC</t>
        </is>
      </c>
      <c r="AA923" s="111" t="inlineStr">
        <is>
          <t>Nao</t>
        </is>
      </c>
      <c r="AB923" s="111" t="inlineStr">
        <is>
          <t>NAO_COMPUTADO</t>
        </is>
      </c>
      <c r="AC923" s="112" t="inlineStr">
        <is>
          <t>Estrutura Fase 1: sem impacto no VTA oficial</t>
        </is>
      </c>
    </row>
    <row r="924" ht="25.5" customHeight="1" s="289">
      <c r="A924" s="205" t="n"/>
      <c r="B924" s="207" t="n"/>
      <c r="C924" s="104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348" t="n"/>
      <c r="E924" s="349">
        <f>IF(C924="","",IFERROR(VLOOKUP(C924,parametros!$A$11:$E$15,5,0),""))</f>
        <v/>
      </c>
      <c r="F924" s="335">
        <f>IF(OR(D924="",E924=""),"",ROUND(D924*E924,2))</f>
        <v/>
      </c>
      <c r="G924" s="106" t="n"/>
      <c r="H924" s="350">
        <f>IF(G924="Sim",IF(OR(F924="",D924="",L924=""),"",IF(L924="Sim",ROUND(F924-D924,2),0)),0)</f>
        <v/>
      </c>
      <c r="I924" s="350">
        <f>IF(G924="Sim",0,IF(OR(F924="",L924=""),"",F924))</f>
        <v/>
      </c>
      <c r="J924" s="350">
        <f>IF(G924="Sim",0,IF(OR(F924="",D924="",L924=""),"",IF(L924="Sim",ROUND(F924-D924,2),0)))</f>
        <v/>
      </c>
      <c r="K924" s="97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inlineStr">
        <is>
          <t>Nao</t>
        </is>
      </c>
      <c r="W924" s="110" t="inlineStr">
        <is>
          <t>PC em analise</t>
        </is>
      </c>
      <c r="X924" s="110" t="inlineStr">
        <is>
          <t>Pedido de Compra</t>
        </is>
      </c>
      <c r="Y924" s="111" t="inlineStr">
        <is>
          <t>Impacto Potencial</t>
        </is>
      </c>
      <c r="Z924" s="111" t="inlineStr">
        <is>
          <t>PC</t>
        </is>
      </c>
      <c r="AA924" s="111" t="inlineStr">
        <is>
          <t>Nao</t>
        </is>
      </c>
      <c r="AB924" s="111" t="inlineStr">
        <is>
          <t>NAO_COMPUTADO</t>
        </is>
      </c>
      <c r="AC924" s="112" t="inlineStr">
        <is>
          <t>Estrutura Fase 1: sem impacto no VTA oficial</t>
        </is>
      </c>
    </row>
    <row r="925" ht="25.5" customHeight="1" s="289">
      <c r="A925" s="205" t="n"/>
      <c r="B925" s="207" t="n"/>
      <c r="C925" s="104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348" t="n"/>
      <c r="E925" s="349">
        <f>IF(C925="","",IFERROR(VLOOKUP(C925,parametros!$A$11:$E$15,5,0),""))</f>
        <v/>
      </c>
      <c r="F925" s="335">
        <f>IF(OR(D925="",E925=""),"",ROUND(D925*E925,2))</f>
        <v/>
      </c>
      <c r="G925" s="106" t="n"/>
      <c r="H925" s="350">
        <f>IF(G925="Sim",IF(OR(F925="",D925="",L925=""),"",IF(L925="Sim",ROUND(F925-D925,2),0)),0)</f>
        <v/>
      </c>
      <c r="I925" s="350">
        <f>IF(G925="Sim",0,IF(OR(F925="",L925=""),"",F925))</f>
        <v/>
      </c>
      <c r="J925" s="350">
        <f>IF(G925="Sim",0,IF(OR(F925="",D925="",L925=""),"",IF(L925="Sim",ROUND(F925-D925,2),0)))</f>
        <v/>
      </c>
      <c r="K925" s="97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inlineStr">
        <is>
          <t>Nao</t>
        </is>
      </c>
      <c r="W925" s="110" t="inlineStr">
        <is>
          <t>PC em analise</t>
        </is>
      </c>
      <c r="X925" s="110" t="inlineStr">
        <is>
          <t>Pedido de Compra</t>
        </is>
      </c>
      <c r="Y925" s="111" t="inlineStr">
        <is>
          <t>Impacto Potencial</t>
        </is>
      </c>
      <c r="Z925" s="111" t="inlineStr">
        <is>
          <t>PC</t>
        </is>
      </c>
      <c r="AA925" s="111" t="inlineStr">
        <is>
          <t>Nao</t>
        </is>
      </c>
      <c r="AB925" s="111" t="inlineStr">
        <is>
          <t>NAO_COMPUTADO</t>
        </is>
      </c>
      <c r="AC925" s="112" t="inlineStr">
        <is>
          <t>Estrutura Fase 1: sem impacto no VTA oficial</t>
        </is>
      </c>
    </row>
    <row r="926" ht="25.5" customHeight="1" s="289">
      <c r="A926" s="205" t="n"/>
      <c r="B926" s="207" t="n"/>
      <c r="C926" s="104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348" t="n"/>
      <c r="E926" s="349">
        <f>IF(C926="","",IFERROR(VLOOKUP(C926,parametros!$A$11:$E$15,5,0),""))</f>
        <v/>
      </c>
      <c r="F926" s="335">
        <f>IF(OR(D926="",E926=""),"",ROUND(D926*E926,2))</f>
        <v/>
      </c>
      <c r="G926" s="106" t="n"/>
      <c r="H926" s="350">
        <f>IF(G926="Sim",IF(OR(F926="",D926="",L926=""),"",IF(L926="Sim",ROUND(F926-D926,2),0)),0)</f>
        <v/>
      </c>
      <c r="I926" s="350">
        <f>IF(G926="Sim",0,IF(OR(F926="",L926=""),"",F926))</f>
        <v/>
      </c>
      <c r="J926" s="350">
        <f>IF(G926="Sim",0,IF(OR(F926="",D926="",L926=""),"",IF(L926="Sim",ROUND(F926-D926,2),0)))</f>
        <v/>
      </c>
      <c r="K926" s="97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inlineStr">
        <is>
          <t>Nao</t>
        </is>
      </c>
      <c r="W926" s="110" t="inlineStr">
        <is>
          <t>PC em analise</t>
        </is>
      </c>
      <c r="X926" s="110" t="inlineStr">
        <is>
          <t>Pedido de Compra</t>
        </is>
      </c>
      <c r="Y926" s="111" t="inlineStr">
        <is>
          <t>Impacto Potencial</t>
        </is>
      </c>
      <c r="Z926" s="111" t="inlineStr">
        <is>
          <t>PC</t>
        </is>
      </c>
      <c r="AA926" s="111" t="inlineStr">
        <is>
          <t>Nao</t>
        </is>
      </c>
      <c r="AB926" s="111" t="inlineStr">
        <is>
          <t>NAO_COMPUTADO</t>
        </is>
      </c>
      <c r="AC926" s="112" t="inlineStr">
        <is>
          <t>Estrutura Fase 1: sem impacto no VTA oficial</t>
        </is>
      </c>
    </row>
    <row r="927" ht="25.5" customHeight="1" s="289">
      <c r="A927" s="205" t="n"/>
      <c r="B927" s="207" t="n"/>
      <c r="C927" s="104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348" t="n"/>
      <c r="E927" s="349">
        <f>IF(C927="","",IFERROR(VLOOKUP(C927,parametros!$A$11:$E$15,5,0),""))</f>
        <v/>
      </c>
      <c r="F927" s="335">
        <f>IF(OR(D927="",E927=""),"",ROUND(D927*E927,2))</f>
        <v/>
      </c>
      <c r="G927" s="106" t="n"/>
      <c r="H927" s="350">
        <f>IF(G927="Sim",IF(OR(F927="",D927="",L927=""),"",IF(L927="Sim",ROUND(F927-D927,2),0)),0)</f>
        <v/>
      </c>
      <c r="I927" s="350">
        <f>IF(G927="Sim",0,IF(OR(F927="",L927=""),"",F927))</f>
        <v/>
      </c>
      <c r="J927" s="350">
        <f>IF(G927="Sim",0,IF(OR(F927="",D927="",L927=""),"",IF(L927="Sim",ROUND(F927-D927,2),0)))</f>
        <v/>
      </c>
      <c r="K927" s="97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inlineStr">
        <is>
          <t>Nao</t>
        </is>
      </c>
      <c r="W927" s="110" t="inlineStr">
        <is>
          <t>PC em analise</t>
        </is>
      </c>
      <c r="X927" s="110" t="inlineStr">
        <is>
          <t>Pedido de Compra</t>
        </is>
      </c>
      <c r="Y927" s="111" t="inlineStr">
        <is>
          <t>Impacto Potencial</t>
        </is>
      </c>
      <c r="Z927" s="111" t="inlineStr">
        <is>
          <t>PC</t>
        </is>
      </c>
      <c r="AA927" s="111" t="inlineStr">
        <is>
          <t>Nao</t>
        </is>
      </c>
      <c r="AB927" s="111" t="inlineStr">
        <is>
          <t>NAO_COMPUTADO</t>
        </is>
      </c>
      <c r="AC927" s="112" t="inlineStr">
        <is>
          <t>Estrutura Fase 1: sem impacto no VTA oficial</t>
        </is>
      </c>
    </row>
    <row r="928" ht="25.5" customHeight="1" s="289">
      <c r="A928" s="205" t="n"/>
      <c r="B928" s="207" t="n"/>
      <c r="C928" s="104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348" t="n"/>
      <c r="E928" s="349">
        <f>IF(C928="","",IFERROR(VLOOKUP(C928,parametros!$A$11:$E$15,5,0),""))</f>
        <v/>
      </c>
      <c r="F928" s="335">
        <f>IF(OR(D928="",E928=""),"",ROUND(D928*E928,2))</f>
        <v/>
      </c>
      <c r="G928" s="106" t="n"/>
      <c r="H928" s="350">
        <f>IF(G928="Sim",IF(OR(F928="",D928="",L928=""),"",IF(L928="Sim",ROUND(F928-D928,2),0)),0)</f>
        <v/>
      </c>
      <c r="I928" s="350">
        <f>IF(G928="Sim",0,IF(OR(F928="",L928=""),"",F928))</f>
        <v/>
      </c>
      <c r="J928" s="350">
        <f>IF(G928="Sim",0,IF(OR(F928="",D928="",L928=""),"",IF(L928="Sim",ROUND(F928-D928,2),0)))</f>
        <v/>
      </c>
      <c r="K928" s="97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inlineStr">
        <is>
          <t>Nao</t>
        </is>
      </c>
      <c r="W928" s="110" t="inlineStr">
        <is>
          <t>PC em analise</t>
        </is>
      </c>
      <c r="X928" s="110" t="inlineStr">
        <is>
          <t>Pedido de Compra</t>
        </is>
      </c>
      <c r="Y928" s="111" t="inlineStr">
        <is>
          <t>Impacto Potencial</t>
        </is>
      </c>
      <c r="Z928" s="111" t="inlineStr">
        <is>
          <t>PC</t>
        </is>
      </c>
      <c r="AA928" s="111" t="inlineStr">
        <is>
          <t>Nao</t>
        </is>
      </c>
      <c r="AB928" s="111" t="inlineStr">
        <is>
          <t>NAO_COMPUTADO</t>
        </is>
      </c>
      <c r="AC928" s="112" t="inlineStr">
        <is>
          <t>Estrutura Fase 1: sem impacto no VTA oficial</t>
        </is>
      </c>
    </row>
    <row r="929" ht="25.5" customHeight="1" s="289">
      <c r="A929" s="205" t="n"/>
      <c r="B929" s="207" t="n"/>
      <c r="C929" s="104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348" t="n"/>
      <c r="E929" s="349">
        <f>IF(C929="","",IFERROR(VLOOKUP(C929,parametros!$A$11:$E$15,5,0),""))</f>
        <v/>
      </c>
      <c r="F929" s="335">
        <f>IF(OR(D929="",E929=""),"",ROUND(D929*E929,2))</f>
        <v/>
      </c>
      <c r="G929" s="106" t="n"/>
      <c r="H929" s="350">
        <f>IF(G929="Sim",IF(OR(F929="",D929="",L929=""),"",IF(L929="Sim",ROUND(F929-D929,2),0)),0)</f>
        <v/>
      </c>
      <c r="I929" s="350">
        <f>IF(G929="Sim",0,IF(OR(F929="",L929=""),"",F929))</f>
        <v/>
      </c>
      <c r="J929" s="350">
        <f>IF(G929="Sim",0,IF(OR(F929="",D929="",L929=""),"",IF(L929="Sim",ROUND(F929-D929,2),0)))</f>
        <v/>
      </c>
      <c r="K929" s="97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inlineStr">
        <is>
          <t>Nao</t>
        </is>
      </c>
      <c r="W929" s="110" t="inlineStr">
        <is>
          <t>PC em analise</t>
        </is>
      </c>
      <c r="X929" s="110" t="inlineStr">
        <is>
          <t>Pedido de Compra</t>
        </is>
      </c>
      <c r="Y929" s="111" t="inlineStr">
        <is>
          <t>Impacto Potencial</t>
        </is>
      </c>
      <c r="Z929" s="111" t="inlineStr">
        <is>
          <t>PC</t>
        </is>
      </c>
      <c r="AA929" s="111" t="inlineStr">
        <is>
          <t>Nao</t>
        </is>
      </c>
      <c r="AB929" s="111" t="inlineStr">
        <is>
          <t>NAO_COMPUTADO</t>
        </is>
      </c>
      <c r="AC929" s="112" t="inlineStr">
        <is>
          <t>Estrutura Fase 1: sem impacto no VTA oficial</t>
        </is>
      </c>
    </row>
    <row r="930" ht="25.5" customHeight="1" s="289">
      <c r="A930" s="205" t="n"/>
      <c r="B930" s="207" t="n"/>
      <c r="C930" s="104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348" t="n"/>
      <c r="E930" s="349">
        <f>IF(C930="","",IFERROR(VLOOKUP(C930,parametros!$A$11:$E$15,5,0),""))</f>
        <v/>
      </c>
      <c r="F930" s="335">
        <f>IF(OR(D930="",E930=""),"",ROUND(D930*E930,2))</f>
        <v/>
      </c>
      <c r="G930" s="106" t="n"/>
      <c r="H930" s="350">
        <f>IF(G930="Sim",IF(OR(F930="",D930="",L930=""),"",IF(L930="Sim",ROUND(F930-D930,2),0)),0)</f>
        <v/>
      </c>
      <c r="I930" s="350">
        <f>IF(G930="Sim",0,IF(OR(F930="",L930=""),"",F930))</f>
        <v/>
      </c>
      <c r="J930" s="350">
        <f>IF(G930="Sim",0,IF(OR(F930="",D930="",L930=""),"",IF(L930="Sim",ROUND(F930-D930,2),0)))</f>
        <v/>
      </c>
      <c r="K930" s="97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inlineStr">
        <is>
          <t>Nao</t>
        </is>
      </c>
      <c r="W930" s="110" t="inlineStr">
        <is>
          <t>PC em analise</t>
        </is>
      </c>
      <c r="X930" s="110" t="inlineStr">
        <is>
          <t>Pedido de Compra</t>
        </is>
      </c>
      <c r="Y930" s="111" t="inlineStr">
        <is>
          <t>Impacto Potencial</t>
        </is>
      </c>
      <c r="Z930" s="111" t="inlineStr">
        <is>
          <t>PC</t>
        </is>
      </c>
      <c r="AA930" s="111" t="inlineStr">
        <is>
          <t>Nao</t>
        </is>
      </c>
      <c r="AB930" s="111" t="inlineStr">
        <is>
          <t>NAO_COMPUTADO</t>
        </is>
      </c>
      <c r="AC930" s="112" t="inlineStr">
        <is>
          <t>Estrutura Fase 1: sem impacto no VTA oficial</t>
        </is>
      </c>
    </row>
    <row r="931" ht="25.5" customHeight="1" s="289">
      <c r="A931" s="205" t="n"/>
      <c r="B931" s="207" t="n"/>
      <c r="C931" s="104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348" t="n"/>
      <c r="E931" s="349">
        <f>IF(C931="","",IFERROR(VLOOKUP(C931,parametros!$A$11:$E$15,5,0),""))</f>
        <v/>
      </c>
      <c r="F931" s="335">
        <f>IF(OR(D931="",E931=""),"",ROUND(D931*E931,2))</f>
        <v/>
      </c>
      <c r="G931" s="106" t="n"/>
      <c r="H931" s="350">
        <f>IF(G931="Sim",IF(OR(F931="",D931="",L931=""),"",IF(L931="Sim",ROUND(F931-D931,2),0)),0)</f>
        <v/>
      </c>
      <c r="I931" s="350">
        <f>IF(G931="Sim",0,IF(OR(F931="",L931=""),"",F931))</f>
        <v/>
      </c>
      <c r="J931" s="350">
        <f>IF(G931="Sim",0,IF(OR(F931="",D931="",L931=""),"",IF(L931="Sim",ROUND(F931-D931,2),0)))</f>
        <v/>
      </c>
      <c r="K931" s="97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inlineStr">
        <is>
          <t>Nao</t>
        </is>
      </c>
      <c r="W931" s="110" t="inlineStr">
        <is>
          <t>PC em analise</t>
        </is>
      </c>
      <c r="X931" s="110" t="inlineStr">
        <is>
          <t>Pedido de Compra</t>
        </is>
      </c>
      <c r="Y931" s="111" t="inlineStr">
        <is>
          <t>Impacto Potencial</t>
        </is>
      </c>
      <c r="Z931" s="111" t="inlineStr">
        <is>
          <t>PC</t>
        </is>
      </c>
      <c r="AA931" s="111" t="inlineStr">
        <is>
          <t>Nao</t>
        </is>
      </c>
      <c r="AB931" s="111" t="inlineStr">
        <is>
          <t>NAO_COMPUTADO</t>
        </is>
      </c>
      <c r="AC931" s="112" t="inlineStr">
        <is>
          <t>Estrutura Fase 1: sem impacto no VTA oficial</t>
        </is>
      </c>
    </row>
    <row r="932" ht="25.5" customHeight="1" s="289">
      <c r="A932" s="205" t="n"/>
      <c r="B932" s="207" t="n"/>
      <c r="C932" s="104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348" t="n"/>
      <c r="E932" s="349">
        <f>IF(C932="","",IFERROR(VLOOKUP(C932,parametros!$A$11:$E$15,5,0),""))</f>
        <v/>
      </c>
      <c r="F932" s="335">
        <f>IF(OR(D932="",E932=""),"",ROUND(D932*E932,2))</f>
        <v/>
      </c>
      <c r="G932" s="106" t="n"/>
      <c r="H932" s="350">
        <f>IF(G932="Sim",IF(OR(F932="",D932="",L932=""),"",IF(L932="Sim",ROUND(F932-D932,2),0)),0)</f>
        <v/>
      </c>
      <c r="I932" s="350">
        <f>IF(G932="Sim",0,IF(OR(F932="",L932=""),"",F932))</f>
        <v/>
      </c>
      <c r="J932" s="350">
        <f>IF(G932="Sim",0,IF(OR(F932="",D932="",L932=""),"",IF(L932="Sim",ROUND(F932-D932,2),0)))</f>
        <v/>
      </c>
      <c r="K932" s="97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inlineStr">
        <is>
          <t>Nao</t>
        </is>
      </c>
      <c r="W932" s="110" t="inlineStr">
        <is>
          <t>PC em analise</t>
        </is>
      </c>
      <c r="X932" s="110" t="inlineStr">
        <is>
          <t>Pedido de Compra</t>
        </is>
      </c>
      <c r="Y932" s="111" t="inlineStr">
        <is>
          <t>Impacto Potencial</t>
        </is>
      </c>
      <c r="Z932" s="111" t="inlineStr">
        <is>
          <t>PC</t>
        </is>
      </c>
      <c r="AA932" s="111" t="inlineStr">
        <is>
          <t>Nao</t>
        </is>
      </c>
      <c r="AB932" s="111" t="inlineStr">
        <is>
          <t>NAO_COMPUTADO</t>
        </is>
      </c>
      <c r="AC932" s="112" t="inlineStr">
        <is>
          <t>Estrutura Fase 1: sem impacto no VTA oficial</t>
        </is>
      </c>
    </row>
    <row r="933" ht="25.5" customHeight="1" s="289">
      <c r="A933" s="205" t="n"/>
      <c r="B933" s="207" t="n"/>
      <c r="C933" s="104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348" t="n"/>
      <c r="E933" s="349">
        <f>IF(C933="","",IFERROR(VLOOKUP(C933,parametros!$A$11:$E$15,5,0),""))</f>
        <v/>
      </c>
      <c r="F933" s="335">
        <f>IF(OR(D933="",E933=""),"",ROUND(D933*E933,2))</f>
        <v/>
      </c>
      <c r="G933" s="106" t="n"/>
      <c r="H933" s="350">
        <f>IF(G933="Sim",IF(OR(F933="",D933="",L933=""),"",IF(L933="Sim",ROUND(F933-D933,2),0)),0)</f>
        <v/>
      </c>
      <c r="I933" s="350">
        <f>IF(G933="Sim",0,IF(OR(F933="",L933=""),"",F933))</f>
        <v/>
      </c>
      <c r="J933" s="350">
        <f>IF(G933="Sim",0,IF(OR(F933="",D933="",L933=""),"",IF(L933="Sim",ROUND(F933-D933,2),0)))</f>
        <v/>
      </c>
      <c r="K933" s="97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inlineStr">
        <is>
          <t>Nao</t>
        </is>
      </c>
      <c r="W933" s="110" t="inlineStr">
        <is>
          <t>PC em analise</t>
        </is>
      </c>
      <c r="X933" s="110" t="inlineStr">
        <is>
          <t>Pedido de Compra</t>
        </is>
      </c>
      <c r="Y933" s="111" t="inlineStr">
        <is>
          <t>Impacto Potencial</t>
        </is>
      </c>
      <c r="Z933" s="111" t="inlineStr">
        <is>
          <t>PC</t>
        </is>
      </c>
      <c r="AA933" s="111" t="inlineStr">
        <is>
          <t>Nao</t>
        </is>
      </c>
      <c r="AB933" s="111" t="inlineStr">
        <is>
          <t>NAO_COMPUTADO</t>
        </is>
      </c>
      <c r="AC933" s="112" t="inlineStr">
        <is>
          <t>Estrutura Fase 1: sem impacto no VTA oficial</t>
        </is>
      </c>
    </row>
    <row r="934" ht="25.5" customHeight="1" s="289">
      <c r="A934" s="205" t="n"/>
      <c r="B934" s="207" t="n"/>
      <c r="C934" s="104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348" t="n"/>
      <c r="E934" s="349">
        <f>IF(C934="","",IFERROR(VLOOKUP(C934,parametros!$A$11:$E$15,5,0),""))</f>
        <v/>
      </c>
      <c r="F934" s="335">
        <f>IF(OR(D934="",E934=""),"",ROUND(D934*E934,2))</f>
        <v/>
      </c>
      <c r="G934" s="106" t="n"/>
      <c r="H934" s="350">
        <f>IF(G934="Sim",IF(OR(F934="",D934="",L934=""),"",IF(L934="Sim",ROUND(F934-D934,2),0)),0)</f>
        <v/>
      </c>
      <c r="I934" s="350">
        <f>IF(G934="Sim",0,IF(OR(F934="",L934=""),"",F934))</f>
        <v/>
      </c>
      <c r="J934" s="350">
        <f>IF(G934="Sim",0,IF(OR(F934="",D934="",L934=""),"",IF(L934="Sim",ROUND(F934-D934,2),0)))</f>
        <v/>
      </c>
      <c r="K934" s="97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inlineStr">
        <is>
          <t>Nao</t>
        </is>
      </c>
      <c r="W934" s="110" t="inlineStr">
        <is>
          <t>PC em analise</t>
        </is>
      </c>
      <c r="X934" s="110" t="inlineStr">
        <is>
          <t>Pedido de Compra</t>
        </is>
      </c>
      <c r="Y934" s="111" t="inlineStr">
        <is>
          <t>Impacto Potencial</t>
        </is>
      </c>
      <c r="Z934" s="111" t="inlineStr">
        <is>
          <t>PC</t>
        </is>
      </c>
      <c r="AA934" s="111" t="inlineStr">
        <is>
          <t>Nao</t>
        </is>
      </c>
      <c r="AB934" s="111" t="inlineStr">
        <is>
          <t>NAO_COMPUTADO</t>
        </is>
      </c>
      <c r="AC934" s="112" t="inlineStr">
        <is>
          <t>Estrutura Fase 1: sem impacto no VTA oficial</t>
        </is>
      </c>
    </row>
    <row r="935" ht="25.5" customHeight="1" s="289">
      <c r="A935" s="205" t="n"/>
      <c r="B935" s="207" t="n"/>
      <c r="C935" s="104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348" t="n"/>
      <c r="E935" s="349">
        <f>IF(C935="","",IFERROR(VLOOKUP(C935,parametros!$A$11:$E$15,5,0),""))</f>
        <v/>
      </c>
      <c r="F935" s="335">
        <f>IF(OR(D935="",E935=""),"",ROUND(D935*E935,2))</f>
        <v/>
      </c>
      <c r="G935" s="106" t="n"/>
      <c r="H935" s="350">
        <f>IF(G935="Sim",IF(OR(F935="",D935="",L935=""),"",IF(L935="Sim",ROUND(F935-D935,2),0)),0)</f>
        <v/>
      </c>
      <c r="I935" s="350">
        <f>IF(G935="Sim",0,IF(OR(F935="",L935=""),"",F935))</f>
        <v/>
      </c>
      <c r="J935" s="350">
        <f>IF(G935="Sim",0,IF(OR(F935="",D935="",L935=""),"",IF(L935="Sim",ROUND(F935-D935,2),0)))</f>
        <v/>
      </c>
      <c r="K935" s="97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inlineStr">
        <is>
          <t>Nao</t>
        </is>
      </c>
      <c r="W935" s="110" t="inlineStr">
        <is>
          <t>PC em analise</t>
        </is>
      </c>
      <c r="X935" s="110" t="inlineStr">
        <is>
          <t>Pedido de Compra</t>
        </is>
      </c>
      <c r="Y935" s="111" t="inlineStr">
        <is>
          <t>Impacto Potencial</t>
        </is>
      </c>
      <c r="Z935" s="111" t="inlineStr">
        <is>
          <t>PC</t>
        </is>
      </c>
      <c r="AA935" s="111" t="inlineStr">
        <is>
          <t>Nao</t>
        </is>
      </c>
      <c r="AB935" s="111" t="inlineStr">
        <is>
          <t>NAO_COMPUTADO</t>
        </is>
      </c>
      <c r="AC935" s="112" t="inlineStr">
        <is>
          <t>Estrutura Fase 1: sem impacto no VTA oficial</t>
        </is>
      </c>
    </row>
    <row r="936" ht="25.5" customHeight="1" s="289">
      <c r="A936" s="205" t="n"/>
      <c r="B936" s="207" t="n"/>
      <c r="C936" s="104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348" t="n"/>
      <c r="E936" s="349">
        <f>IF(C936="","",IFERROR(VLOOKUP(C936,parametros!$A$11:$E$15,5,0),""))</f>
        <v/>
      </c>
      <c r="F936" s="335">
        <f>IF(OR(D936="",E936=""),"",ROUND(D936*E936,2))</f>
        <v/>
      </c>
      <c r="G936" s="106" t="n"/>
      <c r="H936" s="350">
        <f>IF(G936="Sim",IF(OR(F936="",D936="",L936=""),"",IF(L936="Sim",ROUND(F936-D936,2),0)),0)</f>
        <v/>
      </c>
      <c r="I936" s="350">
        <f>IF(G936="Sim",0,IF(OR(F936="",L936=""),"",F936))</f>
        <v/>
      </c>
      <c r="J936" s="350">
        <f>IF(G936="Sim",0,IF(OR(F936="",D936="",L936=""),"",IF(L936="Sim",ROUND(F936-D936,2),0)))</f>
        <v/>
      </c>
      <c r="K936" s="97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inlineStr">
        <is>
          <t>Nao</t>
        </is>
      </c>
      <c r="W936" s="110" t="inlineStr">
        <is>
          <t>PC em analise</t>
        </is>
      </c>
      <c r="X936" s="110" t="inlineStr">
        <is>
          <t>Pedido de Compra</t>
        </is>
      </c>
      <c r="Y936" s="111" t="inlineStr">
        <is>
          <t>Impacto Potencial</t>
        </is>
      </c>
      <c r="Z936" s="111" t="inlineStr">
        <is>
          <t>PC</t>
        </is>
      </c>
      <c r="AA936" s="111" t="inlineStr">
        <is>
          <t>Nao</t>
        </is>
      </c>
      <c r="AB936" s="111" t="inlineStr">
        <is>
          <t>NAO_COMPUTADO</t>
        </is>
      </c>
      <c r="AC936" s="112" t="inlineStr">
        <is>
          <t>Estrutura Fase 1: sem impacto no VTA oficial</t>
        </is>
      </c>
    </row>
    <row r="937" ht="25.5" customHeight="1" s="289">
      <c r="A937" s="205" t="n"/>
      <c r="B937" s="207" t="n"/>
      <c r="C937" s="104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348" t="n"/>
      <c r="E937" s="349">
        <f>IF(C937="","",IFERROR(VLOOKUP(C937,parametros!$A$11:$E$15,5,0),""))</f>
        <v/>
      </c>
      <c r="F937" s="335">
        <f>IF(OR(D937="",E937=""),"",ROUND(D937*E937,2))</f>
        <v/>
      </c>
      <c r="G937" s="106" t="n"/>
      <c r="H937" s="350">
        <f>IF(G937="Sim",IF(OR(F937="",D937="",L937=""),"",IF(L937="Sim",ROUND(F937-D937,2),0)),0)</f>
        <v/>
      </c>
      <c r="I937" s="350">
        <f>IF(G937="Sim",0,IF(OR(F937="",L937=""),"",F937))</f>
        <v/>
      </c>
      <c r="J937" s="350">
        <f>IF(G937="Sim",0,IF(OR(F937="",D937="",L937=""),"",IF(L937="Sim",ROUND(F937-D937,2),0)))</f>
        <v/>
      </c>
      <c r="K937" s="97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inlineStr">
        <is>
          <t>Nao</t>
        </is>
      </c>
      <c r="W937" s="110" t="inlineStr">
        <is>
          <t>PC em analise</t>
        </is>
      </c>
      <c r="X937" s="110" t="inlineStr">
        <is>
          <t>Pedido de Compra</t>
        </is>
      </c>
      <c r="Y937" s="111" t="inlineStr">
        <is>
          <t>Impacto Potencial</t>
        </is>
      </c>
      <c r="Z937" s="111" t="inlineStr">
        <is>
          <t>PC</t>
        </is>
      </c>
      <c r="AA937" s="111" t="inlineStr">
        <is>
          <t>Nao</t>
        </is>
      </c>
      <c r="AB937" s="111" t="inlineStr">
        <is>
          <t>NAO_COMPUTADO</t>
        </is>
      </c>
      <c r="AC937" s="112" t="inlineStr">
        <is>
          <t>Estrutura Fase 1: sem impacto no VTA oficial</t>
        </is>
      </c>
    </row>
    <row r="938" ht="25.5" customHeight="1" s="289">
      <c r="A938" s="205" t="n"/>
      <c r="B938" s="207" t="n"/>
      <c r="C938" s="104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348" t="n"/>
      <c r="E938" s="349">
        <f>IF(C938="","",IFERROR(VLOOKUP(C938,parametros!$A$11:$E$15,5,0),""))</f>
        <v/>
      </c>
      <c r="F938" s="335">
        <f>IF(OR(D938="",E938=""),"",ROUND(D938*E938,2))</f>
        <v/>
      </c>
      <c r="G938" s="106" t="n"/>
      <c r="H938" s="350">
        <f>IF(G938="Sim",IF(OR(F938="",D938="",L938=""),"",IF(L938="Sim",ROUND(F938-D938,2),0)),0)</f>
        <v/>
      </c>
      <c r="I938" s="350">
        <f>IF(G938="Sim",0,IF(OR(F938="",L938=""),"",F938))</f>
        <v/>
      </c>
      <c r="J938" s="350">
        <f>IF(G938="Sim",0,IF(OR(F938="",D938="",L938=""),"",IF(L938="Sim",ROUND(F938-D938,2),0)))</f>
        <v/>
      </c>
      <c r="K938" s="97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inlineStr">
        <is>
          <t>Nao</t>
        </is>
      </c>
      <c r="W938" s="110" t="inlineStr">
        <is>
          <t>PC em analise</t>
        </is>
      </c>
      <c r="X938" s="110" t="inlineStr">
        <is>
          <t>Pedido de Compra</t>
        </is>
      </c>
      <c r="Y938" s="111" t="inlineStr">
        <is>
          <t>Impacto Potencial</t>
        </is>
      </c>
      <c r="Z938" s="111" t="inlineStr">
        <is>
          <t>PC</t>
        </is>
      </c>
      <c r="AA938" s="111" t="inlineStr">
        <is>
          <t>Nao</t>
        </is>
      </c>
      <c r="AB938" s="111" t="inlineStr">
        <is>
          <t>NAO_COMPUTADO</t>
        </is>
      </c>
      <c r="AC938" s="112" t="inlineStr">
        <is>
          <t>Estrutura Fase 1: sem impacto no VTA oficial</t>
        </is>
      </c>
    </row>
    <row r="939" ht="25.5" customHeight="1" s="289">
      <c r="A939" s="205" t="n"/>
      <c r="B939" s="207" t="n"/>
      <c r="C939" s="104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348" t="n"/>
      <c r="E939" s="349">
        <f>IF(C939="","",IFERROR(VLOOKUP(C939,parametros!$A$11:$E$15,5,0),""))</f>
        <v/>
      </c>
      <c r="F939" s="335">
        <f>IF(OR(D939="",E939=""),"",ROUND(D939*E939,2))</f>
        <v/>
      </c>
      <c r="G939" s="106" t="n"/>
      <c r="H939" s="350">
        <f>IF(G939="Sim",IF(OR(F939="",D939="",L939=""),"",IF(L939="Sim",ROUND(F939-D939,2),0)),0)</f>
        <v/>
      </c>
      <c r="I939" s="350">
        <f>IF(G939="Sim",0,IF(OR(F939="",L939=""),"",F939))</f>
        <v/>
      </c>
      <c r="J939" s="350">
        <f>IF(G939="Sim",0,IF(OR(F939="",D939="",L939=""),"",IF(L939="Sim",ROUND(F939-D939,2),0)))</f>
        <v/>
      </c>
      <c r="K939" s="97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inlineStr">
        <is>
          <t>Nao</t>
        </is>
      </c>
      <c r="W939" s="110" t="inlineStr">
        <is>
          <t>PC em analise</t>
        </is>
      </c>
      <c r="X939" s="110" t="inlineStr">
        <is>
          <t>Pedido de Compra</t>
        </is>
      </c>
      <c r="Y939" s="111" t="inlineStr">
        <is>
          <t>Impacto Potencial</t>
        </is>
      </c>
      <c r="Z939" s="111" t="inlineStr">
        <is>
          <t>PC</t>
        </is>
      </c>
      <c r="AA939" s="111" t="inlineStr">
        <is>
          <t>Nao</t>
        </is>
      </c>
      <c r="AB939" s="111" t="inlineStr">
        <is>
          <t>NAO_COMPUTADO</t>
        </is>
      </c>
      <c r="AC939" s="112" t="inlineStr">
        <is>
          <t>Estrutura Fase 1: sem impacto no VTA oficial</t>
        </is>
      </c>
    </row>
    <row r="940" ht="25.5" customHeight="1" s="289">
      <c r="A940" s="205" t="n"/>
      <c r="B940" s="207" t="n"/>
      <c r="C940" s="104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348" t="n"/>
      <c r="E940" s="349">
        <f>IF(C940="","",IFERROR(VLOOKUP(C940,parametros!$A$11:$E$15,5,0),""))</f>
        <v/>
      </c>
      <c r="F940" s="335">
        <f>IF(OR(D940="",E940=""),"",ROUND(D940*E940,2))</f>
        <v/>
      </c>
      <c r="G940" s="106" t="n"/>
      <c r="H940" s="350">
        <f>IF(G940="Sim",IF(OR(F940="",D940="",L940=""),"",IF(L940="Sim",ROUND(F940-D940,2),0)),0)</f>
        <v/>
      </c>
      <c r="I940" s="350">
        <f>IF(G940="Sim",0,IF(OR(F940="",L940=""),"",F940))</f>
        <v/>
      </c>
      <c r="J940" s="350">
        <f>IF(G940="Sim",0,IF(OR(F940="",D940="",L940=""),"",IF(L940="Sim",ROUND(F940-D940,2),0)))</f>
        <v/>
      </c>
      <c r="K940" s="97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inlineStr">
        <is>
          <t>Nao</t>
        </is>
      </c>
      <c r="W940" s="110" t="inlineStr">
        <is>
          <t>PC em analise</t>
        </is>
      </c>
      <c r="X940" s="110" t="inlineStr">
        <is>
          <t>Pedido de Compra</t>
        </is>
      </c>
      <c r="Y940" s="111" t="inlineStr">
        <is>
          <t>Impacto Potencial</t>
        </is>
      </c>
      <c r="Z940" s="111" t="inlineStr">
        <is>
          <t>PC</t>
        </is>
      </c>
      <c r="AA940" s="111" t="inlineStr">
        <is>
          <t>Nao</t>
        </is>
      </c>
      <c r="AB940" s="111" t="inlineStr">
        <is>
          <t>NAO_COMPUTADO</t>
        </is>
      </c>
      <c r="AC940" s="112" t="inlineStr">
        <is>
          <t>Estrutura Fase 1: sem impacto no VTA oficial</t>
        </is>
      </c>
    </row>
    <row r="941" ht="25.5" customHeight="1" s="289">
      <c r="A941" s="205" t="n"/>
      <c r="B941" s="207" t="n"/>
      <c r="C941" s="104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348" t="n"/>
      <c r="E941" s="349">
        <f>IF(C941="","",IFERROR(VLOOKUP(C941,parametros!$A$11:$E$15,5,0),""))</f>
        <v/>
      </c>
      <c r="F941" s="335">
        <f>IF(OR(D941="",E941=""),"",ROUND(D941*E941,2))</f>
        <v/>
      </c>
      <c r="G941" s="106" t="n"/>
      <c r="H941" s="350">
        <f>IF(G941="Sim",IF(OR(F941="",D941="",L941=""),"",IF(L941="Sim",ROUND(F941-D941,2),0)),0)</f>
        <v/>
      </c>
      <c r="I941" s="350">
        <f>IF(G941="Sim",0,IF(OR(F941="",L941=""),"",F941))</f>
        <v/>
      </c>
      <c r="J941" s="350">
        <f>IF(G941="Sim",0,IF(OR(F941="",D941="",L941=""),"",IF(L941="Sim",ROUND(F941-D941,2),0)))</f>
        <v/>
      </c>
      <c r="K941" s="97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inlineStr">
        <is>
          <t>Nao</t>
        </is>
      </c>
      <c r="W941" s="110" t="inlineStr">
        <is>
          <t>PC em analise</t>
        </is>
      </c>
      <c r="X941" s="110" t="inlineStr">
        <is>
          <t>Pedido de Compra</t>
        </is>
      </c>
      <c r="Y941" s="111" t="inlineStr">
        <is>
          <t>Impacto Potencial</t>
        </is>
      </c>
      <c r="Z941" s="111" t="inlineStr">
        <is>
          <t>PC</t>
        </is>
      </c>
      <c r="AA941" s="111" t="inlineStr">
        <is>
          <t>Nao</t>
        </is>
      </c>
      <c r="AB941" s="111" t="inlineStr">
        <is>
          <t>NAO_COMPUTADO</t>
        </is>
      </c>
      <c r="AC941" s="112" t="inlineStr">
        <is>
          <t>Estrutura Fase 1: sem impacto no VTA oficial</t>
        </is>
      </c>
    </row>
    <row r="942" ht="25.5" customHeight="1" s="289">
      <c r="A942" s="205" t="n"/>
      <c r="B942" s="207" t="n"/>
      <c r="C942" s="104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348" t="n"/>
      <c r="E942" s="349">
        <f>IF(C942="","",IFERROR(VLOOKUP(C942,parametros!$A$11:$E$15,5,0),""))</f>
        <v/>
      </c>
      <c r="F942" s="335">
        <f>IF(OR(D942="",E942=""),"",ROUND(D942*E942,2))</f>
        <v/>
      </c>
      <c r="G942" s="106" t="n"/>
      <c r="H942" s="350">
        <f>IF(G942="Sim",IF(OR(F942="",D942="",L942=""),"",IF(L942="Sim",ROUND(F942-D942,2),0)),0)</f>
        <v/>
      </c>
      <c r="I942" s="350">
        <f>IF(G942="Sim",0,IF(OR(F942="",L942=""),"",F942))</f>
        <v/>
      </c>
      <c r="J942" s="350">
        <f>IF(G942="Sim",0,IF(OR(F942="",D942="",L942=""),"",IF(L942="Sim",ROUND(F942-D942,2),0)))</f>
        <v/>
      </c>
      <c r="K942" s="97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inlineStr">
        <is>
          <t>Nao</t>
        </is>
      </c>
      <c r="W942" s="110" t="inlineStr">
        <is>
          <t>PC em analise</t>
        </is>
      </c>
      <c r="X942" s="110" t="inlineStr">
        <is>
          <t>Pedido de Compra</t>
        </is>
      </c>
      <c r="Y942" s="111" t="inlineStr">
        <is>
          <t>Impacto Potencial</t>
        </is>
      </c>
      <c r="Z942" s="111" t="inlineStr">
        <is>
          <t>PC</t>
        </is>
      </c>
      <c r="AA942" s="111" t="inlineStr">
        <is>
          <t>Nao</t>
        </is>
      </c>
      <c r="AB942" s="111" t="inlineStr">
        <is>
          <t>NAO_COMPUTADO</t>
        </is>
      </c>
      <c r="AC942" s="112" t="inlineStr">
        <is>
          <t>Estrutura Fase 1: sem impacto no VTA oficial</t>
        </is>
      </c>
    </row>
    <row r="943" ht="25.5" customHeight="1" s="289">
      <c r="A943" s="205" t="n"/>
      <c r="B943" s="207" t="n"/>
      <c r="C943" s="104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348" t="n"/>
      <c r="E943" s="349">
        <f>IF(C943="","",IFERROR(VLOOKUP(C943,parametros!$A$11:$E$15,5,0),""))</f>
        <v/>
      </c>
      <c r="F943" s="335">
        <f>IF(OR(D943="",E943=""),"",ROUND(D943*E943,2))</f>
        <v/>
      </c>
      <c r="G943" s="106" t="n"/>
      <c r="H943" s="350">
        <f>IF(G943="Sim",IF(OR(F943="",D943="",L943=""),"",IF(L943="Sim",ROUND(F943-D943,2),0)),0)</f>
        <v/>
      </c>
      <c r="I943" s="350">
        <f>IF(G943="Sim",0,IF(OR(F943="",L943=""),"",F943))</f>
        <v/>
      </c>
      <c r="J943" s="350">
        <f>IF(G943="Sim",0,IF(OR(F943="",D943="",L943=""),"",IF(L943="Sim",ROUND(F943-D943,2),0)))</f>
        <v/>
      </c>
      <c r="K943" s="97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inlineStr">
        <is>
          <t>Nao</t>
        </is>
      </c>
      <c r="W943" s="110" t="inlineStr">
        <is>
          <t>PC em analise</t>
        </is>
      </c>
      <c r="X943" s="110" t="inlineStr">
        <is>
          <t>Pedido de Compra</t>
        </is>
      </c>
      <c r="Y943" s="111" t="inlineStr">
        <is>
          <t>Impacto Potencial</t>
        </is>
      </c>
      <c r="Z943" s="111" t="inlineStr">
        <is>
          <t>PC</t>
        </is>
      </c>
      <c r="AA943" s="111" t="inlineStr">
        <is>
          <t>Nao</t>
        </is>
      </c>
      <c r="AB943" s="111" t="inlineStr">
        <is>
          <t>NAO_COMPUTADO</t>
        </is>
      </c>
      <c r="AC943" s="112" t="inlineStr">
        <is>
          <t>Estrutura Fase 1: sem impacto no VTA oficial</t>
        </is>
      </c>
    </row>
    <row r="944" ht="25.5" customHeight="1" s="289">
      <c r="A944" s="205" t="n"/>
      <c r="B944" s="207" t="n"/>
      <c r="C944" s="104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348" t="n"/>
      <c r="E944" s="349">
        <f>IF(C944="","",IFERROR(VLOOKUP(C944,parametros!$A$11:$E$15,5,0),""))</f>
        <v/>
      </c>
      <c r="F944" s="335">
        <f>IF(OR(D944="",E944=""),"",ROUND(D944*E944,2))</f>
        <v/>
      </c>
      <c r="G944" s="106" t="n"/>
      <c r="H944" s="350">
        <f>IF(G944="Sim",IF(OR(F944="",D944="",L944=""),"",IF(L944="Sim",ROUND(F944-D944,2),0)),0)</f>
        <v/>
      </c>
      <c r="I944" s="350">
        <f>IF(G944="Sim",0,IF(OR(F944="",L944=""),"",F944))</f>
        <v/>
      </c>
      <c r="J944" s="350">
        <f>IF(G944="Sim",0,IF(OR(F944="",D944="",L944=""),"",IF(L944="Sim",ROUND(F944-D944,2),0)))</f>
        <v/>
      </c>
      <c r="K944" s="97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inlineStr">
        <is>
          <t>Nao</t>
        </is>
      </c>
      <c r="W944" s="110" t="inlineStr">
        <is>
          <t>PC em analise</t>
        </is>
      </c>
      <c r="X944" s="110" t="inlineStr">
        <is>
          <t>Pedido de Compra</t>
        </is>
      </c>
      <c r="Y944" s="111" t="inlineStr">
        <is>
          <t>Impacto Potencial</t>
        </is>
      </c>
      <c r="Z944" s="111" t="inlineStr">
        <is>
          <t>PC</t>
        </is>
      </c>
      <c r="AA944" s="111" t="inlineStr">
        <is>
          <t>Nao</t>
        </is>
      </c>
      <c r="AB944" s="111" t="inlineStr">
        <is>
          <t>NAO_COMPUTADO</t>
        </is>
      </c>
      <c r="AC944" s="112" t="inlineStr">
        <is>
          <t>Estrutura Fase 1: sem impacto no VTA oficial</t>
        </is>
      </c>
    </row>
    <row r="945" ht="25.5" customHeight="1" s="289">
      <c r="A945" s="205" t="n"/>
      <c r="B945" s="207" t="n"/>
      <c r="C945" s="104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348" t="n"/>
      <c r="E945" s="349">
        <f>IF(C945="","",IFERROR(VLOOKUP(C945,parametros!$A$11:$E$15,5,0),""))</f>
        <v/>
      </c>
      <c r="F945" s="335">
        <f>IF(OR(D945="",E945=""),"",ROUND(D945*E945,2))</f>
        <v/>
      </c>
      <c r="G945" s="106" t="n"/>
      <c r="H945" s="350">
        <f>IF(G945="Sim",IF(OR(F945="",D945="",L945=""),"",IF(L945="Sim",ROUND(F945-D945,2),0)),0)</f>
        <v/>
      </c>
      <c r="I945" s="350">
        <f>IF(G945="Sim",0,IF(OR(F945="",L945=""),"",F945))</f>
        <v/>
      </c>
      <c r="J945" s="350">
        <f>IF(G945="Sim",0,IF(OR(F945="",D945="",L945=""),"",IF(L945="Sim",ROUND(F945-D945,2),0)))</f>
        <v/>
      </c>
      <c r="K945" s="97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inlineStr">
        <is>
          <t>Nao</t>
        </is>
      </c>
      <c r="W945" s="110" t="inlineStr">
        <is>
          <t>PC em analise</t>
        </is>
      </c>
      <c r="X945" s="110" t="inlineStr">
        <is>
          <t>Pedido de Compra</t>
        </is>
      </c>
      <c r="Y945" s="111" t="inlineStr">
        <is>
          <t>Impacto Potencial</t>
        </is>
      </c>
      <c r="Z945" s="111" t="inlineStr">
        <is>
          <t>PC</t>
        </is>
      </c>
      <c r="AA945" s="111" t="inlineStr">
        <is>
          <t>Nao</t>
        </is>
      </c>
      <c r="AB945" s="111" t="inlineStr">
        <is>
          <t>NAO_COMPUTADO</t>
        </is>
      </c>
      <c r="AC945" s="112" t="inlineStr">
        <is>
          <t>Estrutura Fase 1: sem impacto no VTA oficial</t>
        </is>
      </c>
    </row>
    <row r="946" ht="25.5" customHeight="1" s="289">
      <c r="A946" s="205" t="n"/>
      <c r="B946" s="207" t="n"/>
      <c r="C946" s="104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348" t="n"/>
      <c r="E946" s="349">
        <f>IF(C946="","",IFERROR(VLOOKUP(C946,parametros!$A$11:$E$15,5,0),""))</f>
        <v/>
      </c>
      <c r="F946" s="335">
        <f>IF(OR(D946="",E946=""),"",ROUND(D946*E946,2))</f>
        <v/>
      </c>
      <c r="G946" s="106" t="n"/>
      <c r="H946" s="350">
        <f>IF(G946="Sim",IF(OR(F946="",D946="",L946=""),"",IF(L946="Sim",ROUND(F946-D946,2),0)),0)</f>
        <v/>
      </c>
      <c r="I946" s="350">
        <f>IF(G946="Sim",0,IF(OR(F946="",L946=""),"",F946))</f>
        <v/>
      </c>
      <c r="J946" s="350">
        <f>IF(G946="Sim",0,IF(OR(F946="",D946="",L946=""),"",IF(L946="Sim",ROUND(F946-D946,2),0)))</f>
        <v/>
      </c>
      <c r="K946" s="97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inlineStr">
        <is>
          <t>Nao</t>
        </is>
      </c>
      <c r="W946" s="110" t="inlineStr">
        <is>
          <t>PC em analise</t>
        </is>
      </c>
      <c r="X946" s="110" t="inlineStr">
        <is>
          <t>Pedido de Compra</t>
        </is>
      </c>
      <c r="Y946" s="111" t="inlineStr">
        <is>
          <t>Impacto Potencial</t>
        </is>
      </c>
      <c r="Z946" s="111" t="inlineStr">
        <is>
          <t>PC</t>
        </is>
      </c>
      <c r="AA946" s="111" t="inlineStr">
        <is>
          <t>Nao</t>
        </is>
      </c>
      <c r="AB946" s="111" t="inlineStr">
        <is>
          <t>NAO_COMPUTADO</t>
        </is>
      </c>
      <c r="AC946" s="112" t="inlineStr">
        <is>
          <t>Estrutura Fase 1: sem impacto no VTA oficial</t>
        </is>
      </c>
    </row>
    <row r="947" ht="25.5" customHeight="1" s="289">
      <c r="A947" s="205" t="n"/>
      <c r="B947" s="207" t="n"/>
      <c r="C947" s="104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348" t="n"/>
      <c r="E947" s="349">
        <f>IF(C947="","",IFERROR(VLOOKUP(C947,parametros!$A$11:$E$15,5,0),""))</f>
        <v/>
      </c>
      <c r="F947" s="335">
        <f>IF(OR(D947="",E947=""),"",ROUND(D947*E947,2))</f>
        <v/>
      </c>
      <c r="G947" s="106" t="n"/>
      <c r="H947" s="350">
        <f>IF(G947="Sim",IF(OR(F947="",D947="",L947=""),"",IF(L947="Sim",ROUND(F947-D947,2),0)),0)</f>
        <v/>
      </c>
      <c r="I947" s="350">
        <f>IF(G947="Sim",0,IF(OR(F947="",L947=""),"",F947))</f>
        <v/>
      </c>
      <c r="J947" s="350">
        <f>IF(G947="Sim",0,IF(OR(F947="",D947="",L947=""),"",IF(L947="Sim",ROUND(F947-D947,2),0)))</f>
        <v/>
      </c>
      <c r="K947" s="97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inlineStr">
        <is>
          <t>Nao</t>
        </is>
      </c>
      <c r="W947" s="110" t="inlineStr">
        <is>
          <t>PC em analise</t>
        </is>
      </c>
      <c r="X947" s="110" t="inlineStr">
        <is>
          <t>Pedido de Compra</t>
        </is>
      </c>
      <c r="Y947" s="111" t="inlineStr">
        <is>
          <t>Impacto Potencial</t>
        </is>
      </c>
      <c r="Z947" s="111" t="inlineStr">
        <is>
          <t>PC</t>
        </is>
      </c>
      <c r="AA947" s="111" t="inlineStr">
        <is>
          <t>Nao</t>
        </is>
      </c>
      <c r="AB947" s="111" t="inlineStr">
        <is>
          <t>NAO_COMPUTADO</t>
        </is>
      </c>
      <c r="AC947" s="112" t="inlineStr">
        <is>
          <t>Estrutura Fase 1: sem impacto no VTA oficial</t>
        </is>
      </c>
    </row>
    <row r="948" ht="25.5" customHeight="1" s="289">
      <c r="A948" s="205" t="n"/>
      <c r="B948" s="207" t="n"/>
      <c r="C948" s="104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348" t="n"/>
      <c r="E948" s="349">
        <f>IF(C948="","",IFERROR(VLOOKUP(C948,parametros!$A$11:$E$15,5,0),""))</f>
        <v/>
      </c>
      <c r="F948" s="335">
        <f>IF(OR(D948="",E948=""),"",ROUND(D948*E948,2))</f>
        <v/>
      </c>
      <c r="G948" s="106" t="n"/>
      <c r="H948" s="350">
        <f>IF(G948="Sim",IF(OR(F948="",D948="",L948=""),"",IF(L948="Sim",ROUND(F948-D948,2),0)),0)</f>
        <v/>
      </c>
      <c r="I948" s="350">
        <f>IF(G948="Sim",0,IF(OR(F948="",L948=""),"",F948))</f>
        <v/>
      </c>
      <c r="J948" s="350">
        <f>IF(G948="Sim",0,IF(OR(F948="",D948="",L948=""),"",IF(L948="Sim",ROUND(F948-D948,2),0)))</f>
        <v/>
      </c>
      <c r="K948" s="97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inlineStr">
        <is>
          <t>Nao</t>
        </is>
      </c>
      <c r="W948" s="110" t="inlineStr">
        <is>
          <t>PC em analise</t>
        </is>
      </c>
      <c r="X948" s="110" t="inlineStr">
        <is>
          <t>Pedido de Compra</t>
        </is>
      </c>
      <c r="Y948" s="111" t="inlineStr">
        <is>
          <t>Impacto Potencial</t>
        </is>
      </c>
      <c r="Z948" s="111" t="inlineStr">
        <is>
          <t>PC</t>
        </is>
      </c>
      <c r="AA948" s="111" t="inlineStr">
        <is>
          <t>Nao</t>
        </is>
      </c>
      <c r="AB948" s="111" t="inlineStr">
        <is>
          <t>NAO_COMPUTADO</t>
        </is>
      </c>
      <c r="AC948" s="112" t="inlineStr">
        <is>
          <t>Estrutura Fase 1: sem impacto no VTA oficial</t>
        </is>
      </c>
    </row>
    <row r="949" ht="25.5" customHeight="1" s="289">
      <c r="A949" s="205" t="n"/>
      <c r="B949" s="207" t="n"/>
      <c r="C949" s="104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348" t="n"/>
      <c r="E949" s="349">
        <f>IF(C949="","",IFERROR(VLOOKUP(C949,parametros!$A$11:$E$15,5,0),""))</f>
        <v/>
      </c>
      <c r="F949" s="335">
        <f>IF(OR(D949="",E949=""),"",ROUND(D949*E949,2))</f>
        <v/>
      </c>
      <c r="G949" s="106" t="n"/>
      <c r="H949" s="350">
        <f>IF(G949="Sim",IF(OR(F949="",D949="",L949=""),"",IF(L949="Sim",ROUND(F949-D949,2),0)),0)</f>
        <v/>
      </c>
      <c r="I949" s="350">
        <f>IF(G949="Sim",0,IF(OR(F949="",L949=""),"",F949))</f>
        <v/>
      </c>
      <c r="J949" s="350">
        <f>IF(G949="Sim",0,IF(OR(F949="",D949="",L949=""),"",IF(L949="Sim",ROUND(F949-D949,2),0)))</f>
        <v/>
      </c>
      <c r="K949" s="97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inlineStr">
        <is>
          <t>Nao</t>
        </is>
      </c>
      <c r="W949" s="110" t="inlineStr">
        <is>
          <t>PC em analise</t>
        </is>
      </c>
      <c r="X949" s="110" t="inlineStr">
        <is>
          <t>Pedido de Compra</t>
        </is>
      </c>
      <c r="Y949" s="111" t="inlineStr">
        <is>
          <t>Impacto Potencial</t>
        </is>
      </c>
      <c r="Z949" s="111" t="inlineStr">
        <is>
          <t>PC</t>
        </is>
      </c>
      <c r="AA949" s="111" t="inlineStr">
        <is>
          <t>Nao</t>
        </is>
      </c>
      <c r="AB949" s="111" t="inlineStr">
        <is>
          <t>NAO_COMPUTADO</t>
        </is>
      </c>
      <c r="AC949" s="112" t="inlineStr">
        <is>
          <t>Estrutura Fase 1: sem impacto no VTA oficial</t>
        </is>
      </c>
    </row>
    <row r="950" ht="25.5" customHeight="1" s="289">
      <c r="A950" s="205" t="n"/>
      <c r="B950" s="207" t="n"/>
      <c r="C950" s="104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348" t="n"/>
      <c r="E950" s="349">
        <f>IF(C950="","",IFERROR(VLOOKUP(C950,parametros!$A$11:$E$15,5,0),""))</f>
        <v/>
      </c>
      <c r="F950" s="335">
        <f>IF(OR(D950="",E950=""),"",ROUND(D950*E950,2))</f>
        <v/>
      </c>
      <c r="G950" s="106" t="n"/>
      <c r="H950" s="350">
        <f>IF(G950="Sim",IF(OR(F950="",D950="",L950=""),"",IF(L950="Sim",ROUND(F950-D950,2),0)),0)</f>
        <v/>
      </c>
      <c r="I950" s="350">
        <f>IF(G950="Sim",0,IF(OR(F950="",L950=""),"",F950))</f>
        <v/>
      </c>
      <c r="J950" s="350">
        <f>IF(G950="Sim",0,IF(OR(F950="",D950="",L950=""),"",IF(L950="Sim",ROUND(F950-D950,2),0)))</f>
        <v/>
      </c>
      <c r="K950" s="97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inlineStr">
        <is>
          <t>Nao</t>
        </is>
      </c>
      <c r="W950" s="110" t="inlineStr">
        <is>
          <t>PC em analise</t>
        </is>
      </c>
      <c r="X950" s="110" t="inlineStr">
        <is>
          <t>Pedido de Compra</t>
        </is>
      </c>
      <c r="Y950" s="111" t="inlineStr">
        <is>
          <t>Impacto Potencial</t>
        </is>
      </c>
      <c r="Z950" s="111" t="inlineStr">
        <is>
          <t>PC</t>
        </is>
      </c>
      <c r="AA950" s="111" t="inlineStr">
        <is>
          <t>Nao</t>
        </is>
      </c>
      <c r="AB950" s="111" t="inlineStr">
        <is>
          <t>NAO_COMPUTADO</t>
        </is>
      </c>
      <c r="AC950" s="112" t="inlineStr">
        <is>
          <t>Estrutura Fase 1: sem impacto no VTA oficial</t>
        </is>
      </c>
    </row>
    <row r="951" ht="25.5" customHeight="1" s="289">
      <c r="A951" s="205" t="n"/>
      <c r="B951" s="207" t="n"/>
      <c r="C951" s="104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348" t="n"/>
      <c r="E951" s="349">
        <f>IF(C951="","",IFERROR(VLOOKUP(C951,parametros!$A$11:$E$15,5,0),""))</f>
        <v/>
      </c>
      <c r="F951" s="335">
        <f>IF(OR(D951="",E951=""),"",ROUND(D951*E951,2))</f>
        <v/>
      </c>
      <c r="G951" s="106" t="n"/>
      <c r="H951" s="350">
        <f>IF(G951="Sim",IF(OR(F951="",D951="",L951=""),"",IF(L951="Sim",ROUND(F951-D951,2),0)),0)</f>
        <v/>
      </c>
      <c r="I951" s="350">
        <f>IF(G951="Sim",0,IF(OR(F951="",L951=""),"",F951))</f>
        <v/>
      </c>
      <c r="J951" s="350">
        <f>IF(G951="Sim",0,IF(OR(F951="",D951="",L951=""),"",IF(L951="Sim",ROUND(F951-D951,2),0)))</f>
        <v/>
      </c>
      <c r="K951" s="97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inlineStr">
        <is>
          <t>Nao</t>
        </is>
      </c>
      <c r="W951" s="110" t="inlineStr">
        <is>
          <t>PC em analise</t>
        </is>
      </c>
      <c r="X951" s="110" t="inlineStr">
        <is>
          <t>Pedido de Compra</t>
        </is>
      </c>
      <c r="Y951" s="111" t="inlineStr">
        <is>
          <t>Impacto Potencial</t>
        </is>
      </c>
      <c r="Z951" s="111" t="inlineStr">
        <is>
          <t>PC</t>
        </is>
      </c>
      <c r="AA951" s="111" t="inlineStr">
        <is>
          <t>Nao</t>
        </is>
      </c>
      <c r="AB951" s="111" t="inlineStr">
        <is>
          <t>NAO_COMPUTADO</t>
        </is>
      </c>
      <c r="AC951" s="112" t="inlineStr">
        <is>
          <t>Estrutura Fase 1: sem impacto no VTA oficial</t>
        </is>
      </c>
    </row>
    <row r="952" ht="25.5" customHeight="1" s="289">
      <c r="A952" s="205" t="n"/>
      <c r="B952" s="207" t="n"/>
      <c r="C952" s="104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348" t="n"/>
      <c r="E952" s="349">
        <f>IF(C952="","",IFERROR(VLOOKUP(C952,parametros!$A$11:$E$15,5,0),""))</f>
        <v/>
      </c>
      <c r="F952" s="335">
        <f>IF(OR(D952="",E952=""),"",ROUND(D952*E952,2))</f>
        <v/>
      </c>
      <c r="G952" s="106" t="n"/>
      <c r="H952" s="350">
        <f>IF(G952="Sim",IF(OR(F952="",D952="",L952=""),"",IF(L952="Sim",ROUND(F952-D952,2),0)),0)</f>
        <v/>
      </c>
      <c r="I952" s="350">
        <f>IF(G952="Sim",0,IF(OR(F952="",L952=""),"",F952))</f>
        <v/>
      </c>
      <c r="J952" s="350">
        <f>IF(G952="Sim",0,IF(OR(F952="",D952="",L952=""),"",IF(L952="Sim",ROUND(F952-D952,2),0)))</f>
        <v/>
      </c>
      <c r="K952" s="97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inlineStr">
        <is>
          <t>Nao</t>
        </is>
      </c>
      <c r="W952" s="110" t="inlineStr">
        <is>
          <t>PC em analise</t>
        </is>
      </c>
      <c r="X952" s="110" t="inlineStr">
        <is>
          <t>Pedido de Compra</t>
        </is>
      </c>
      <c r="Y952" s="111" t="inlineStr">
        <is>
          <t>Impacto Potencial</t>
        </is>
      </c>
      <c r="Z952" s="111" t="inlineStr">
        <is>
          <t>PC</t>
        </is>
      </c>
      <c r="AA952" s="111" t="inlineStr">
        <is>
          <t>Nao</t>
        </is>
      </c>
      <c r="AB952" s="111" t="inlineStr">
        <is>
          <t>NAO_COMPUTADO</t>
        </is>
      </c>
      <c r="AC952" s="112" t="inlineStr">
        <is>
          <t>Estrutura Fase 1: sem impacto no VTA oficial</t>
        </is>
      </c>
    </row>
    <row r="953" ht="25.5" customHeight="1" s="289">
      <c r="A953" s="205" t="n"/>
      <c r="B953" s="207" t="n"/>
      <c r="C953" s="104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348" t="n"/>
      <c r="E953" s="349">
        <f>IF(C953="","",IFERROR(VLOOKUP(C953,parametros!$A$11:$E$15,5,0),""))</f>
        <v/>
      </c>
      <c r="F953" s="335">
        <f>IF(OR(D953="",E953=""),"",ROUND(D953*E953,2))</f>
        <v/>
      </c>
      <c r="G953" s="106" t="n"/>
      <c r="H953" s="350">
        <f>IF(G953="Sim",IF(OR(F953="",D953="",L953=""),"",IF(L953="Sim",ROUND(F953-D953,2),0)),0)</f>
        <v/>
      </c>
      <c r="I953" s="350">
        <f>IF(G953="Sim",0,IF(OR(F953="",L953=""),"",F953))</f>
        <v/>
      </c>
      <c r="J953" s="350">
        <f>IF(G953="Sim",0,IF(OR(F953="",D953="",L953=""),"",IF(L953="Sim",ROUND(F953-D953,2),0)))</f>
        <v/>
      </c>
      <c r="K953" s="97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inlineStr">
        <is>
          <t>Nao</t>
        </is>
      </c>
      <c r="W953" s="110" t="inlineStr">
        <is>
          <t>PC em analise</t>
        </is>
      </c>
      <c r="X953" s="110" t="inlineStr">
        <is>
          <t>Pedido de Compra</t>
        </is>
      </c>
      <c r="Y953" s="111" t="inlineStr">
        <is>
          <t>Impacto Potencial</t>
        </is>
      </c>
      <c r="Z953" s="111" t="inlineStr">
        <is>
          <t>PC</t>
        </is>
      </c>
      <c r="AA953" s="111" t="inlineStr">
        <is>
          <t>Nao</t>
        </is>
      </c>
      <c r="AB953" s="111" t="inlineStr">
        <is>
          <t>NAO_COMPUTADO</t>
        </is>
      </c>
      <c r="AC953" s="112" t="inlineStr">
        <is>
          <t>Estrutura Fase 1: sem impacto no VTA oficial</t>
        </is>
      </c>
    </row>
    <row r="954" ht="25.5" customHeight="1" s="289">
      <c r="A954" s="205" t="n"/>
      <c r="B954" s="207" t="n"/>
      <c r="C954" s="104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348" t="n"/>
      <c r="E954" s="349">
        <f>IF(C954="","",IFERROR(VLOOKUP(C954,parametros!$A$11:$E$15,5,0),""))</f>
        <v/>
      </c>
      <c r="F954" s="335">
        <f>IF(OR(D954="",E954=""),"",ROUND(D954*E954,2))</f>
        <v/>
      </c>
      <c r="G954" s="106" t="n"/>
      <c r="H954" s="350">
        <f>IF(G954="Sim",IF(OR(F954="",D954="",L954=""),"",IF(L954="Sim",ROUND(F954-D954,2),0)),0)</f>
        <v/>
      </c>
      <c r="I954" s="350">
        <f>IF(G954="Sim",0,IF(OR(F954="",L954=""),"",F954))</f>
        <v/>
      </c>
      <c r="J954" s="350">
        <f>IF(G954="Sim",0,IF(OR(F954="",D954="",L954=""),"",IF(L954="Sim",ROUND(F954-D954,2),0)))</f>
        <v/>
      </c>
      <c r="K954" s="97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inlineStr">
        <is>
          <t>Nao</t>
        </is>
      </c>
      <c r="W954" s="110" t="inlineStr">
        <is>
          <t>PC em analise</t>
        </is>
      </c>
      <c r="X954" s="110" t="inlineStr">
        <is>
          <t>Pedido de Compra</t>
        </is>
      </c>
      <c r="Y954" s="111" t="inlineStr">
        <is>
          <t>Impacto Potencial</t>
        </is>
      </c>
      <c r="Z954" s="111" t="inlineStr">
        <is>
          <t>PC</t>
        </is>
      </c>
      <c r="AA954" s="111" t="inlineStr">
        <is>
          <t>Nao</t>
        </is>
      </c>
      <c r="AB954" s="111" t="inlineStr">
        <is>
          <t>NAO_COMPUTADO</t>
        </is>
      </c>
      <c r="AC954" s="112" t="inlineStr">
        <is>
          <t>Estrutura Fase 1: sem impacto no VTA oficial</t>
        </is>
      </c>
    </row>
    <row r="955" ht="25.5" customHeight="1" s="289">
      <c r="A955" s="205" t="n"/>
      <c r="B955" s="207" t="n"/>
      <c r="C955" s="104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348" t="n"/>
      <c r="E955" s="349">
        <f>IF(C955="","",IFERROR(VLOOKUP(C955,parametros!$A$11:$E$15,5,0),""))</f>
        <v/>
      </c>
      <c r="F955" s="335">
        <f>IF(OR(D955="",E955=""),"",ROUND(D955*E955,2))</f>
        <v/>
      </c>
      <c r="G955" s="106" t="n"/>
      <c r="H955" s="350">
        <f>IF(G955="Sim",IF(OR(F955="",D955="",L955=""),"",IF(L955="Sim",ROUND(F955-D955,2),0)),0)</f>
        <v/>
      </c>
      <c r="I955" s="350">
        <f>IF(G955="Sim",0,IF(OR(F955="",L955=""),"",F955))</f>
        <v/>
      </c>
      <c r="J955" s="350">
        <f>IF(G955="Sim",0,IF(OR(F955="",D955="",L955=""),"",IF(L955="Sim",ROUND(F955-D955,2),0)))</f>
        <v/>
      </c>
      <c r="K955" s="97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inlineStr">
        <is>
          <t>Nao</t>
        </is>
      </c>
      <c r="W955" s="110" t="inlineStr">
        <is>
          <t>PC em analise</t>
        </is>
      </c>
      <c r="X955" s="110" t="inlineStr">
        <is>
          <t>Pedido de Compra</t>
        </is>
      </c>
      <c r="Y955" s="111" t="inlineStr">
        <is>
          <t>Impacto Potencial</t>
        </is>
      </c>
      <c r="Z955" s="111" t="inlineStr">
        <is>
          <t>PC</t>
        </is>
      </c>
      <c r="AA955" s="111" t="inlineStr">
        <is>
          <t>Nao</t>
        </is>
      </c>
      <c r="AB955" s="111" t="inlineStr">
        <is>
          <t>NAO_COMPUTADO</t>
        </is>
      </c>
      <c r="AC955" s="112" t="inlineStr">
        <is>
          <t>Estrutura Fase 1: sem impacto no VTA oficial</t>
        </is>
      </c>
    </row>
    <row r="956" ht="25.5" customHeight="1" s="289">
      <c r="A956" s="205" t="n"/>
      <c r="B956" s="207" t="n"/>
      <c r="C956" s="104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348" t="n"/>
      <c r="E956" s="349">
        <f>IF(C956="","",IFERROR(VLOOKUP(C956,parametros!$A$11:$E$15,5,0),""))</f>
        <v/>
      </c>
      <c r="F956" s="335">
        <f>IF(OR(D956="",E956=""),"",ROUND(D956*E956,2))</f>
        <v/>
      </c>
      <c r="G956" s="106" t="n"/>
      <c r="H956" s="350">
        <f>IF(G956="Sim",IF(OR(F956="",D956="",L956=""),"",IF(L956="Sim",ROUND(F956-D956,2),0)),0)</f>
        <v/>
      </c>
      <c r="I956" s="350">
        <f>IF(G956="Sim",0,IF(OR(F956="",L956=""),"",F956))</f>
        <v/>
      </c>
      <c r="J956" s="350">
        <f>IF(G956="Sim",0,IF(OR(F956="",D956="",L956=""),"",IF(L956="Sim",ROUND(F956-D956,2),0)))</f>
        <v/>
      </c>
      <c r="K956" s="97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inlineStr">
        <is>
          <t>Nao</t>
        </is>
      </c>
      <c r="W956" s="110" t="inlineStr">
        <is>
          <t>PC em analise</t>
        </is>
      </c>
      <c r="X956" s="110" t="inlineStr">
        <is>
          <t>Pedido de Compra</t>
        </is>
      </c>
      <c r="Y956" s="111" t="inlineStr">
        <is>
          <t>Impacto Potencial</t>
        </is>
      </c>
      <c r="Z956" s="111" t="inlineStr">
        <is>
          <t>PC</t>
        </is>
      </c>
      <c r="AA956" s="111" t="inlineStr">
        <is>
          <t>Nao</t>
        </is>
      </c>
      <c r="AB956" s="111" t="inlineStr">
        <is>
          <t>NAO_COMPUTADO</t>
        </is>
      </c>
      <c r="AC956" s="112" t="inlineStr">
        <is>
          <t>Estrutura Fase 1: sem impacto no VTA oficial</t>
        </is>
      </c>
    </row>
    <row r="957" ht="25.5" customHeight="1" s="289">
      <c r="A957" s="205" t="n"/>
      <c r="B957" s="207" t="n"/>
      <c r="C957" s="104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348" t="n"/>
      <c r="E957" s="349">
        <f>IF(C957="","",IFERROR(VLOOKUP(C957,parametros!$A$11:$E$15,5,0),""))</f>
        <v/>
      </c>
      <c r="F957" s="335">
        <f>IF(OR(D957="",E957=""),"",ROUND(D957*E957,2))</f>
        <v/>
      </c>
      <c r="G957" s="106" t="n"/>
      <c r="H957" s="350">
        <f>IF(G957="Sim",IF(OR(F957="",D957="",L957=""),"",IF(L957="Sim",ROUND(F957-D957,2),0)),0)</f>
        <v/>
      </c>
      <c r="I957" s="350">
        <f>IF(G957="Sim",0,IF(OR(F957="",L957=""),"",F957))</f>
        <v/>
      </c>
      <c r="J957" s="350">
        <f>IF(G957="Sim",0,IF(OR(F957="",D957="",L957=""),"",IF(L957="Sim",ROUND(F957-D957,2),0)))</f>
        <v/>
      </c>
      <c r="K957" s="97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inlineStr">
        <is>
          <t>Nao</t>
        </is>
      </c>
      <c r="W957" s="110" t="inlineStr">
        <is>
          <t>PC em analise</t>
        </is>
      </c>
      <c r="X957" s="110" t="inlineStr">
        <is>
          <t>Pedido de Compra</t>
        </is>
      </c>
      <c r="Y957" s="111" t="inlineStr">
        <is>
          <t>Impacto Potencial</t>
        </is>
      </c>
      <c r="Z957" s="111" t="inlineStr">
        <is>
          <t>PC</t>
        </is>
      </c>
      <c r="AA957" s="111" t="inlineStr">
        <is>
          <t>Nao</t>
        </is>
      </c>
      <c r="AB957" s="111" t="inlineStr">
        <is>
          <t>NAO_COMPUTADO</t>
        </is>
      </c>
      <c r="AC957" s="112" t="inlineStr">
        <is>
          <t>Estrutura Fase 1: sem impacto no VTA oficial</t>
        </is>
      </c>
    </row>
    <row r="958" ht="25.5" customHeight="1" s="289">
      <c r="A958" s="205" t="n"/>
      <c r="B958" s="207" t="n"/>
      <c r="C958" s="104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348" t="n"/>
      <c r="E958" s="349">
        <f>IF(C958="","",IFERROR(VLOOKUP(C958,parametros!$A$11:$E$15,5,0),""))</f>
        <v/>
      </c>
      <c r="F958" s="335">
        <f>IF(OR(D958="",E958=""),"",ROUND(D958*E958,2))</f>
        <v/>
      </c>
      <c r="G958" s="106" t="n"/>
      <c r="H958" s="350">
        <f>IF(G958="Sim",IF(OR(F958="",D958="",L958=""),"",IF(L958="Sim",ROUND(F958-D958,2),0)),0)</f>
        <v/>
      </c>
      <c r="I958" s="350">
        <f>IF(G958="Sim",0,IF(OR(F958="",L958=""),"",F958))</f>
        <v/>
      </c>
      <c r="J958" s="350">
        <f>IF(G958="Sim",0,IF(OR(F958="",D958="",L958=""),"",IF(L958="Sim",ROUND(F958-D958,2),0)))</f>
        <v/>
      </c>
      <c r="K958" s="97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inlineStr">
        <is>
          <t>Nao</t>
        </is>
      </c>
      <c r="W958" s="110" t="inlineStr">
        <is>
          <t>PC em analise</t>
        </is>
      </c>
      <c r="X958" s="110" t="inlineStr">
        <is>
          <t>Pedido de Compra</t>
        </is>
      </c>
      <c r="Y958" s="111" t="inlineStr">
        <is>
          <t>Impacto Potencial</t>
        </is>
      </c>
      <c r="Z958" s="111" t="inlineStr">
        <is>
          <t>PC</t>
        </is>
      </c>
      <c r="AA958" s="111" t="inlineStr">
        <is>
          <t>Nao</t>
        </is>
      </c>
      <c r="AB958" s="111" t="inlineStr">
        <is>
          <t>NAO_COMPUTADO</t>
        </is>
      </c>
      <c r="AC958" s="112" t="inlineStr">
        <is>
          <t>Estrutura Fase 1: sem impacto no VTA oficial</t>
        </is>
      </c>
    </row>
    <row r="959" ht="25.5" customHeight="1" s="289">
      <c r="A959" s="205" t="n"/>
      <c r="B959" s="207" t="n"/>
      <c r="C959" s="104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348" t="n"/>
      <c r="E959" s="349">
        <f>IF(C959="","",IFERROR(VLOOKUP(C959,parametros!$A$11:$E$15,5,0),""))</f>
        <v/>
      </c>
      <c r="F959" s="335">
        <f>IF(OR(D959="",E959=""),"",ROUND(D959*E959,2))</f>
        <v/>
      </c>
      <c r="G959" s="106" t="n"/>
      <c r="H959" s="350">
        <f>IF(G959="Sim",IF(OR(F959="",D959="",L959=""),"",IF(L959="Sim",ROUND(F959-D959,2),0)),0)</f>
        <v/>
      </c>
      <c r="I959" s="350">
        <f>IF(G959="Sim",0,IF(OR(F959="",L959=""),"",F959))</f>
        <v/>
      </c>
      <c r="J959" s="350">
        <f>IF(G959="Sim",0,IF(OR(F959="",D959="",L959=""),"",IF(L959="Sim",ROUND(F959-D959,2),0)))</f>
        <v/>
      </c>
      <c r="K959" s="97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inlineStr">
        <is>
          <t>Nao</t>
        </is>
      </c>
      <c r="W959" s="110" t="inlineStr">
        <is>
          <t>PC em analise</t>
        </is>
      </c>
      <c r="X959" s="110" t="inlineStr">
        <is>
          <t>Pedido de Compra</t>
        </is>
      </c>
      <c r="Y959" s="111" t="inlineStr">
        <is>
          <t>Impacto Potencial</t>
        </is>
      </c>
      <c r="Z959" s="111" t="inlineStr">
        <is>
          <t>PC</t>
        </is>
      </c>
      <c r="AA959" s="111" t="inlineStr">
        <is>
          <t>Nao</t>
        </is>
      </c>
      <c r="AB959" s="111" t="inlineStr">
        <is>
          <t>NAO_COMPUTADO</t>
        </is>
      </c>
      <c r="AC959" s="112" t="inlineStr">
        <is>
          <t>Estrutura Fase 1: sem impacto no VTA oficial</t>
        </is>
      </c>
    </row>
    <row r="960" ht="25.5" customHeight="1" s="289">
      <c r="A960" s="205" t="n"/>
      <c r="B960" s="207" t="n"/>
      <c r="C960" s="104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348" t="n"/>
      <c r="E960" s="349">
        <f>IF(C960="","",IFERROR(VLOOKUP(C960,parametros!$A$11:$E$15,5,0),""))</f>
        <v/>
      </c>
      <c r="F960" s="335">
        <f>IF(OR(D960="",E960=""),"",ROUND(D960*E960,2))</f>
        <v/>
      </c>
      <c r="G960" s="106" t="n"/>
      <c r="H960" s="350">
        <f>IF(G960="Sim",IF(OR(F960="",D960="",L960=""),"",IF(L960="Sim",ROUND(F960-D960,2),0)),0)</f>
        <v/>
      </c>
      <c r="I960" s="350">
        <f>IF(G960="Sim",0,IF(OR(F960="",L960=""),"",F960))</f>
        <v/>
      </c>
      <c r="J960" s="350">
        <f>IF(G960="Sim",0,IF(OR(F960="",D960="",L960=""),"",IF(L960="Sim",ROUND(F960-D960,2),0)))</f>
        <v/>
      </c>
      <c r="K960" s="97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inlineStr">
        <is>
          <t>Nao</t>
        </is>
      </c>
      <c r="W960" s="110" t="inlineStr">
        <is>
          <t>PC em analise</t>
        </is>
      </c>
      <c r="X960" s="110" t="inlineStr">
        <is>
          <t>Pedido de Compra</t>
        </is>
      </c>
      <c r="Y960" s="111" t="inlineStr">
        <is>
          <t>Impacto Potencial</t>
        </is>
      </c>
      <c r="Z960" s="111" t="inlineStr">
        <is>
          <t>PC</t>
        </is>
      </c>
      <c r="AA960" s="111" t="inlineStr">
        <is>
          <t>Nao</t>
        </is>
      </c>
      <c r="AB960" s="111" t="inlineStr">
        <is>
          <t>NAO_COMPUTADO</t>
        </is>
      </c>
      <c r="AC960" s="112" t="inlineStr">
        <is>
          <t>Estrutura Fase 1: sem impacto no VTA oficial</t>
        </is>
      </c>
    </row>
    <row r="961" ht="25.5" customHeight="1" s="289">
      <c r="A961" s="205" t="n"/>
      <c r="B961" s="207" t="n"/>
      <c r="C961" s="104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348" t="n"/>
      <c r="E961" s="349">
        <f>IF(C961="","",IFERROR(VLOOKUP(C961,parametros!$A$11:$E$15,5,0),""))</f>
        <v/>
      </c>
      <c r="F961" s="335">
        <f>IF(OR(D961="",E961=""),"",ROUND(D961*E961,2))</f>
        <v/>
      </c>
      <c r="G961" s="106" t="n"/>
      <c r="H961" s="350">
        <f>IF(G961="Sim",IF(OR(F961="",D961="",L961=""),"",IF(L961="Sim",ROUND(F961-D961,2),0)),0)</f>
        <v/>
      </c>
      <c r="I961" s="350">
        <f>IF(G961="Sim",0,IF(OR(F961="",L961=""),"",F961))</f>
        <v/>
      </c>
      <c r="J961" s="350">
        <f>IF(G961="Sim",0,IF(OR(F961="",D961="",L961=""),"",IF(L961="Sim",ROUND(F961-D961,2),0)))</f>
        <v/>
      </c>
      <c r="K961" s="97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inlineStr">
        <is>
          <t>Nao</t>
        </is>
      </c>
      <c r="W961" s="110" t="inlineStr">
        <is>
          <t>PC em analise</t>
        </is>
      </c>
      <c r="X961" s="110" t="inlineStr">
        <is>
          <t>Pedido de Compra</t>
        </is>
      </c>
      <c r="Y961" s="111" t="inlineStr">
        <is>
          <t>Impacto Potencial</t>
        </is>
      </c>
      <c r="Z961" s="111" t="inlineStr">
        <is>
          <t>PC</t>
        </is>
      </c>
      <c r="AA961" s="111" t="inlineStr">
        <is>
          <t>Nao</t>
        </is>
      </c>
      <c r="AB961" s="111" t="inlineStr">
        <is>
          <t>NAO_COMPUTADO</t>
        </is>
      </c>
      <c r="AC961" s="112" t="inlineStr">
        <is>
          <t>Estrutura Fase 1: sem impacto no VTA oficial</t>
        </is>
      </c>
    </row>
    <row r="962" ht="25.5" customHeight="1" s="289">
      <c r="A962" s="205" t="n"/>
      <c r="B962" s="207" t="n"/>
      <c r="C962" s="104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348" t="n"/>
      <c r="E962" s="349">
        <f>IF(C962="","",IFERROR(VLOOKUP(C962,parametros!$A$11:$E$15,5,0),""))</f>
        <v/>
      </c>
      <c r="F962" s="335">
        <f>IF(OR(D962="",E962=""),"",ROUND(D962*E962,2))</f>
        <v/>
      </c>
      <c r="G962" s="106" t="n"/>
      <c r="H962" s="350">
        <f>IF(G962="Sim",IF(OR(F962="",D962="",L962=""),"",IF(L962="Sim",ROUND(F962-D962,2),0)),0)</f>
        <v/>
      </c>
      <c r="I962" s="350">
        <f>IF(G962="Sim",0,IF(OR(F962="",L962=""),"",F962))</f>
        <v/>
      </c>
      <c r="J962" s="350">
        <f>IF(G962="Sim",0,IF(OR(F962="",D962="",L962=""),"",IF(L962="Sim",ROUND(F962-D962,2),0)))</f>
        <v/>
      </c>
      <c r="K962" s="97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inlineStr">
        <is>
          <t>Nao</t>
        </is>
      </c>
      <c r="W962" s="110" t="inlineStr">
        <is>
          <t>PC em analise</t>
        </is>
      </c>
      <c r="X962" s="110" t="inlineStr">
        <is>
          <t>Pedido de Compra</t>
        </is>
      </c>
      <c r="Y962" s="111" t="inlineStr">
        <is>
          <t>Impacto Potencial</t>
        </is>
      </c>
      <c r="Z962" s="111" t="inlineStr">
        <is>
          <t>PC</t>
        </is>
      </c>
      <c r="AA962" s="111" t="inlineStr">
        <is>
          <t>Nao</t>
        </is>
      </c>
      <c r="AB962" s="111" t="inlineStr">
        <is>
          <t>NAO_COMPUTADO</t>
        </is>
      </c>
      <c r="AC962" s="112" t="inlineStr">
        <is>
          <t>Estrutura Fase 1: sem impacto no VTA oficial</t>
        </is>
      </c>
    </row>
    <row r="963" ht="25.5" customHeight="1" s="289">
      <c r="A963" s="205" t="n"/>
      <c r="B963" s="207" t="n"/>
      <c r="C963" s="104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348" t="n"/>
      <c r="E963" s="349">
        <f>IF(C963="","",IFERROR(VLOOKUP(C963,parametros!$A$11:$E$15,5,0),""))</f>
        <v/>
      </c>
      <c r="F963" s="335">
        <f>IF(OR(D963="",E963=""),"",ROUND(D963*E963,2))</f>
        <v/>
      </c>
      <c r="G963" s="106" t="n"/>
      <c r="H963" s="350">
        <f>IF(G963="Sim",IF(OR(F963="",D963="",L963=""),"",IF(L963="Sim",ROUND(F963-D963,2),0)),0)</f>
        <v/>
      </c>
      <c r="I963" s="350">
        <f>IF(G963="Sim",0,IF(OR(F963="",L963=""),"",F963))</f>
        <v/>
      </c>
      <c r="J963" s="350">
        <f>IF(G963="Sim",0,IF(OR(F963="",D963="",L963=""),"",IF(L963="Sim",ROUND(F963-D963,2),0)))</f>
        <v/>
      </c>
      <c r="K963" s="97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inlineStr">
        <is>
          <t>Nao</t>
        </is>
      </c>
      <c r="W963" s="110" t="inlineStr">
        <is>
          <t>PC em analise</t>
        </is>
      </c>
      <c r="X963" s="110" t="inlineStr">
        <is>
          <t>Pedido de Compra</t>
        </is>
      </c>
      <c r="Y963" s="111" t="inlineStr">
        <is>
          <t>Impacto Potencial</t>
        </is>
      </c>
      <c r="Z963" s="111" t="inlineStr">
        <is>
          <t>PC</t>
        </is>
      </c>
      <c r="AA963" s="111" t="inlineStr">
        <is>
          <t>Nao</t>
        </is>
      </c>
      <c r="AB963" s="111" t="inlineStr">
        <is>
          <t>NAO_COMPUTADO</t>
        </is>
      </c>
      <c r="AC963" s="112" t="inlineStr">
        <is>
          <t>Estrutura Fase 1: sem impacto no VTA oficial</t>
        </is>
      </c>
    </row>
    <row r="964" ht="25.5" customHeight="1" s="289">
      <c r="A964" s="205" t="n"/>
      <c r="B964" s="207" t="n"/>
      <c r="C964" s="104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348" t="n"/>
      <c r="E964" s="349">
        <f>IF(C964="","",IFERROR(VLOOKUP(C964,parametros!$A$11:$E$15,5,0),""))</f>
        <v/>
      </c>
      <c r="F964" s="335">
        <f>IF(OR(D964="",E964=""),"",ROUND(D964*E964,2))</f>
        <v/>
      </c>
      <c r="G964" s="106" t="n"/>
      <c r="H964" s="350">
        <f>IF(G964="Sim",IF(OR(F964="",D964="",L964=""),"",IF(L964="Sim",ROUND(F964-D964,2),0)),0)</f>
        <v/>
      </c>
      <c r="I964" s="350">
        <f>IF(G964="Sim",0,IF(OR(F964="",L964=""),"",F964))</f>
        <v/>
      </c>
      <c r="J964" s="350">
        <f>IF(G964="Sim",0,IF(OR(F964="",D964="",L964=""),"",IF(L964="Sim",ROUND(F964-D964,2),0)))</f>
        <v/>
      </c>
      <c r="K964" s="97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inlineStr">
        <is>
          <t>Nao</t>
        </is>
      </c>
      <c r="W964" s="110" t="inlineStr">
        <is>
          <t>PC em analise</t>
        </is>
      </c>
      <c r="X964" s="110" t="inlineStr">
        <is>
          <t>Pedido de Compra</t>
        </is>
      </c>
      <c r="Y964" s="111" t="inlineStr">
        <is>
          <t>Impacto Potencial</t>
        </is>
      </c>
      <c r="Z964" s="111" t="inlineStr">
        <is>
          <t>PC</t>
        </is>
      </c>
      <c r="AA964" s="111" t="inlineStr">
        <is>
          <t>Nao</t>
        </is>
      </c>
      <c r="AB964" s="111" t="inlineStr">
        <is>
          <t>NAO_COMPUTADO</t>
        </is>
      </c>
      <c r="AC964" s="112" t="inlineStr">
        <is>
          <t>Estrutura Fase 1: sem impacto no VTA oficial</t>
        </is>
      </c>
    </row>
    <row r="965" ht="25.5" customHeight="1" s="289">
      <c r="A965" s="205" t="n"/>
      <c r="B965" s="207" t="n"/>
      <c r="C965" s="104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348" t="n"/>
      <c r="E965" s="349">
        <f>IF(C965="","",IFERROR(VLOOKUP(C965,parametros!$A$11:$E$15,5,0),""))</f>
        <v/>
      </c>
      <c r="F965" s="335">
        <f>IF(OR(D965="",E965=""),"",ROUND(D965*E965,2))</f>
        <v/>
      </c>
      <c r="G965" s="106" t="n"/>
      <c r="H965" s="350">
        <f>IF(G965="Sim",IF(OR(F965="",D965="",L965=""),"",IF(L965="Sim",ROUND(F965-D965,2),0)),0)</f>
        <v/>
      </c>
      <c r="I965" s="350">
        <f>IF(G965="Sim",0,IF(OR(F965="",L965=""),"",F965))</f>
        <v/>
      </c>
      <c r="J965" s="350">
        <f>IF(G965="Sim",0,IF(OR(F965="",D965="",L965=""),"",IF(L965="Sim",ROUND(F965-D965,2),0)))</f>
        <v/>
      </c>
      <c r="K965" s="97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inlineStr">
        <is>
          <t>Nao</t>
        </is>
      </c>
      <c r="W965" s="110" t="inlineStr">
        <is>
          <t>PC em analise</t>
        </is>
      </c>
      <c r="X965" s="110" t="inlineStr">
        <is>
          <t>Pedido de Compra</t>
        </is>
      </c>
      <c r="Y965" s="111" t="inlineStr">
        <is>
          <t>Impacto Potencial</t>
        </is>
      </c>
      <c r="Z965" s="111" t="inlineStr">
        <is>
          <t>PC</t>
        </is>
      </c>
      <c r="AA965" s="111" t="inlineStr">
        <is>
          <t>Nao</t>
        </is>
      </c>
      <c r="AB965" s="111" t="inlineStr">
        <is>
          <t>NAO_COMPUTADO</t>
        </is>
      </c>
      <c r="AC965" s="112" t="inlineStr">
        <is>
          <t>Estrutura Fase 1: sem impacto no VTA oficial</t>
        </is>
      </c>
    </row>
    <row r="966" ht="25.5" customHeight="1" s="289">
      <c r="A966" s="205" t="n"/>
      <c r="B966" s="207" t="n"/>
      <c r="C966" s="104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348" t="n"/>
      <c r="E966" s="349">
        <f>IF(C966="","",IFERROR(VLOOKUP(C966,parametros!$A$11:$E$15,5,0),""))</f>
        <v/>
      </c>
      <c r="F966" s="335">
        <f>IF(OR(D966="",E966=""),"",ROUND(D966*E966,2))</f>
        <v/>
      </c>
      <c r="G966" s="106" t="n"/>
      <c r="H966" s="350">
        <f>IF(G966="Sim",IF(OR(F966="",D966="",L966=""),"",IF(L966="Sim",ROUND(F966-D966,2),0)),0)</f>
        <v/>
      </c>
      <c r="I966" s="350">
        <f>IF(G966="Sim",0,IF(OR(F966="",L966=""),"",F966))</f>
        <v/>
      </c>
      <c r="J966" s="350">
        <f>IF(G966="Sim",0,IF(OR(F966="",D966="",L966=""),"",IF(L966="Sim",ROUND(F966-D966,2),0)))</f>
        <v/>
      </c>
      <c r="K966" s="97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inlineStr">
        <is>
          <t>Nao</t>
        </is>
      </c>
      <c r="W966" s="110" t="inlineStr">
        <is>
          <t>PC em analise</t>
        </is>
      </c>
      <c r="X966" s="110" t="inlineStr">
        <is>
          <t>Pedido de Compra</t>
        </is>
      </c>
      <c r="Y966" s="111" t="inlineStr">
        <is>
          <t>Impacto Potencial</t>
        </is>
      </c>
      <c r="Z966" s="111" t="inlineStr">
        <is>
          <t>PC</t>
        </is>
      </c>
      <c r="AA966" s="111" t="inlineStr">
        <is>
          <t>Nao</t>
        </is>
      </c>
      <c r="AB966" s="111" t="inlineStr">
        <is>
          <t>NAO_COMPUTADO</t>
        </is>
      </c>
      <c r="AC966" s="112" t="inlineStr">
        <is>
          <t>Estrutura Fase 1: sem impacto no VTA oficial</t>
        </is>
      </c>
    </row>
    <row r="967" ht="25.5" customHeight="1" s="289">
      <c r="A967" s="205" t="n"/>
      <c r="B967" s="207" t="n"/>
      <c r="C967" s="104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348" t="n"/>
      <c r="E967" s="349">
        <f>IF(C967="","",IFERROR(VLOOKUP(C967,parametros!$A$11:$E$15,5,0),""))</f>
        <v/>
      </c>
      <c r="F967" s="335">
        <f>IF(OR(D967="",E967=""),"",ROUND(D967*E967,2))</f>
        <v/>
      </c>
      <c r="G967" s="106" t="n"/>
      <c r="H967" s="350">
        <f>IF(G967="Sim",IF(OR(F967="",D967="",L967=""),"",IF(L967="Sim",ROUND(F967-D967,2),0)),0)</f>
        <v/>
      </c>
      <c r="I967" s="350">
        <f>IF(G967="Sim",0,IF(OR(F967="",L967=""),"",F967))</f>
        <v/>
      </c>
      <c r="J967" s="350">
        <f>IF(G967="Sim",0,IF(OR(F967="",D967="",L967=""),"",IF(L967="Sim",ROUND(F967-D967,2),0)))</f>
        <v/>
      </c>
      <c r="K967" s="97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inlineStr">
        <is>
          <t>Nao</t>
        </is>
      </c>
      <c r="W967" s="110" t="inlineStr">
        <is>
          <t>PC em analise</t>
        </is>
      </c>
      <c r="X967" s="110" t="inlineStr">
        <is>
          <t>Pedido de Compra</t>
        </is>
      </c>
      <c r="Y967" s="111" t="inlineStr">
        <is>
          <t>Impacto Potencial</t>
        </is>
      </c>
      <c r="Z967" s="111" t="inlineStr">
        <is>
          <t>PC</t>
        </is>
      </c>
      <c r="AA967" s="111" t="inlineStr">
        <is>
          <t>Nao</t>
        </is>
      </c>
      <c r="AB967" s="111" t="inlineStr">
        <is>
          <t>NAO_COMPUTADO</t>
        </is>
      </c>
      <c r="AC967" s="112" t="inlineStr">
        <is>
          <t>Estrutura Fase 1: sem impacto no VTA oficial</t>
        </is>
      </c>
    </row>
    <row r="968" ht="25.5" customHeight="1" s="289">
      <c r="A968" s="205" t="n"/>
      <c r="B968" s="207" t="n"/>
      <c r="C968" s="104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348" t="n"/>
      <c r="E968" s="349">
        <f>IF(C968="","",IFERROR(VLOOKUP(C968,parametros!$A$11:$E$15,5,0),""))</f>
        <v/>
      </c>
      <c r="F968" s="335">
        <f>IF(OR(D968="",E968=""),"",ROUND(D968*E968,2))</f>
        <v/>
      </c>
      <c r="G968" s="106" t="n"/>
      <c r="H968" s="350">
        <f>IF(G968="Sim",IF(OR(F968="",D968="",L968=""),"",IF(L968="Sim",ROUND(F968-D968,2),0)),0)</f>
        <v/>
      </c>
      <c r="I968" s="350">
        <f>IF(G968="Sim",0,IF(OR(F968="",L968=""),"",F968))</f>
        <v/>
      </c>
      <c r="J968" s="350">
        <f>IF(G968="Sim",0,IF(OR(F968="",D968="",L968=""),"",IF(L968="Sim",ROUND(F968-D968,2),0)))</f>
        <v/>
      </c>
      <c r="K968" s="97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inlineStr">
        <is>
          <t>Nao</t>
        </is>
      </c>
      <c r="W968" s="110" t="inlineStr">
        <is>
          <t>PC em analise</t>
        </is>
      </c>
      <c r="X968" s="110" t="inlineStr">
        <is>
          <t>Pedido de Compra</t>
        </is>
      </c>
      <c r="Y968" s="111" t="inlineStr">
        <is>
          <t>Impacto Potencial</t>
        </is>
      </c>
      <c r="Z968" s="111" t="inlineStr">
        <is>
          <t>PC</t>
        </is>
      </c>
      <c r="AA968" s="111" t="inlineStr">
        <is>
          <t>Nao</t>
        </is>
      </c>
      <c r="AB968" s="111" t="inlineStr">
        <is>
          <t>NAO_COMPUTADO</t>
        </is>
      </c>
      <c r="AC968" s="112" t="inlineStr">
        <is>
          <t>Estrutura Fase 1: sem impacto no VTA oficial</t>
        </is>
      </c>
    </row>
    <row r="969" ht="25.5" customHeight="1" s="289">
      <c r="A969" s="205" t="n"/>
      <c r="B969" s="207" t="n"/>
      <c r="C969" s="104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348" t="n"/>
      <c r="E969" s="349">
        <f>IF(C969="","",IFERROR(VLOOKUP(C969,parametros!$A$11:$E$15,5,0),""))</f>
        <v/>
      </c>
      <c r="F969" s="335">
        <f>IF(OR(D969="",E969=""),"",ROUND(D969*E969,2))</f>
        <v/>
      </c>
      <c r="G969" s="106" t="n"/>
      <c r="H969" s="350">
        <f>IF(G969="Sim",IF(OR(F969="",D969="",L969=""),"",IF(L969="Sim",ROUND(F969-D969,2),0)),0)</f>
        <v/>
      </c>
      <c r="I969" s="350">
        <f>IF(G969="Sim",0,IF(OR(F969="",L969=""),"",F969))</f>
        <v/>
      </c>
      <c r="J969" s="350">
        <f>IF(G969="Sim",0,IF(OR(F969="",D969="",L969=""),"",IF(L969="Sim",ROUND(F969-D969,2),0)))</f>
        <v/>
      </c>
      <c r="K969" s="97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inlineStr">
        <is>
          <t>Nao</t>
        </is>
      </c>
      <c r="W969" s="110" t="inlineStr">
        <is>
          <t>PC em analise</t>
        </is>
      </c>
      <c r="X969" s="110" t="inlineStr">
        <is>
          <t>Pedido de Compra</t>
        </is>
      </c>
      <c r="Y969" s="111" t="inlineStr">
        <is>
          <t>Impacto Potencial</t>
        </is>
      </c>
      <c r="Z969" s="111" t="inlineStr">
        <is>
          <t>PC</t>
        </is>
      </c>
      <c r="AA969" s="111" t="inlineStr">
        <is>
          <t>Nao</t>
        </is>
      </c>
      <c r="AB969" s="111" t="inlineStr">
        <is>
          <t>NAO_COMPUTADO</t>
        </is>
      </c>
      <c r="AC969" s="112" t="inlineStr">
        <is>
          <t>Estrutura Fase 1: sem impacto no VTA oficial</t>
        </is>
      </c>
    </row>
    <row r="970" ht="25.5" customHeight="1" s="289">
      <c r="A970" s="205" t="n"/>
      <c r="B970" s="207" t="n"/>
      <c r="C970" s="104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348" t="n"/>
      <c r="E970" s="349">
        <f>IF(C970="","",IFERROR(VLOOKUP(C970,parametros!$A$11:$E$15,5,0),""))</f>
        <v/>
      </c>
      <c r="F970" s="335">
        <f>IF(OR(D970="",E970=""),"",ROUND(D970*E970,2))</f>
        <v/>
      </c>
      <c r="G970" s="106" t="n"/>
      <c r="H970" s="350">
        <f>IF(G970="Sim",IF(OR(F970="",D970="",L970=""),"",IF(L970="Sim",ROUND(F970-D970,2),0)),0)</f>
        <v/>
      </c>
      <c r="I970" s="350">
        <f>IF(G970="Sim",0,IF(OR(F970="",L970=""),"",F970))</f>
        <v/>
      </c>
      <c r="J970" s="350">
        <f>IF(G970="Sim",0,IF(OR(F970="",D970="",L970=""),"",IF(L970="Sim",ROUND(F970-D970,2),0)))</f>
        <v/>
      </c>
      <c r="K970" s="97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inlineStr">
        <is>
          <t>Nao</t>
        </is>
      </c>
      <c r="W970" s="110" t="inlineStr">
        <is>
          <t>PC em analise</t>
        </is>
      </c>
      <c r="X970" s="110" t="inlineStr">
        <is>
          <t>Pedido de Compra</t>
        </is>
      </c>
      <c r="Y970" s="111" t="inlineStr">
        <is>
          <t>Impacto Potencial</t>
        </is>
      </c>
      <c r="Z970" s="111" t="inlineStr">
        <is>
          <t>PC</t>
        </is>
      </c>
      <c r="AA970" s="111" t="inlineStr">
        <is>
          <t>Nao</t>
        </is>
      </c>
      <c r="AB970" s="111" t="inlineStr">
        <is>
          <t>NAO_COMPUTADO</t>
        </is>
      </c>
      <c r="AC970" s="112" t="inlineStr">
        <is>
          <t>Estrutura Fase 1: sem impacto no VTA oficial</t>
        </is>
      </c>
    </row>
    <row r="971" ht="25.5" customHeight="1" s="289">
      <c r="A971" s="205" t="n"/>
      <c r="B971" s="207" t="n"/>
      <c r="C971" s="104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348" t="n"/>
      <c r="E971" s="349">
        <f>IF(C971="","",IFERROR(VLOOKUP(C971,parametros!$A$11:$E$15,5,0),""))</f>
        <v/>
      </c>
      <c r="F971" s="335">
        <f>IF(OR(D971="",E971=""),"",ROUND(D971*E971,2))</f>
        <v/>
      </c>
      <c r="G971" s="106" t="n"/>
      <c r="H971" s="350">
        <f>IF(G971="Sim",IF(OR(F971="",D971="",L971=""),"",IF(L971="Sim",ROUND(F971-D971,2),0)),0)</f>
        <v/>
      </c>
      <c r="I971" s="350">
        <f>IF(G971="Sim",0,IF(OR(F971="",L971=""),"",F971))</f>
        <v/>
      </c>
      <c r="J971" s="350">
        <f>IF(G971="Sim",0,IF(OR(F971="",D971="",L971=""),"",IF(L971="Sim",ROUND(F971-D971,2),0)))</f>
        <v/>
      </c>
      <c r="K971" s="97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inlineStr">
        <is>
          <t>Nao</t>
        </is>
      </c>
      <c r="W971" s="110" t="inlineStr">
        <is>
          <t>PC em analise</t>
        </is>
      </c>
      <c r="X971" s="110" t="inlineStr">
        <is>
          <t>Pedido de Compra</t>
        </is>
      </c>
      <c r="Y971" s="111" t="inlineStr">
        <is>
          <t>Impacto Potencial</t>
        </is>
      </c>
      <c r="Z971" s="111" t="inlineStr">
        <is>
          <t>PC</t>
        </is>
      </c>
      <c r="AA971" s="111" t="inlineStr">
        <is>
          <t>Nao</t>
        </is>
      </c>
      <c r="AB971" s="111" t="inlineStr">
        <is>
          <t>NAO_COMPUTADO</t>
        </is>
      </c>
      <c r="AC971" s="112" t="inlineStr">
        <is>
          <t>Estrutura Fase 1: sem impacto no VTA oficial</t>
        </is>
      </c>
    </row>
    <row r="972" ht="25.5" customHeight="1" s="289">
      <c r="A972" s="205" t="n"/>
      <c r="B972" s="207" t="n"/>
      <c r="C972" s="104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348" t="n"/>
      <c r="E972" s="349">
        <f>IF(C972="","",IFERROR(VLOOKUP(C972,parametros!$A$11:$E$15,5,0),""))</f>
        <v/>
      </c>
      <c r="F972" s="335">
        <f>IF(OR(D972="",E972=""),"",ROUND(D972*E972,2))</f>
        <v/>
      </c>
      <c r="G972" s="106" t="n"/>
      <c r="H972" s="350">
        <f>IF(G972="Sim",IF(OR(F972="",D972="",L972=""),"",IF(L972="Sim",ROUND(F972-D972,2),0)),0)</f>
        <v/>
      </c>
      <c r="I972" s="350">
        <f>IF(G972="Sim",0,IF(OR(F972="",L972=""),"",F972))</f>
        <v/>
      </c>
      <c r="J972" s="350">
        <f>IF(G972="Sim",0,IF(OR(F972="",D972="",L972=""),"",IF(L972="Sim",ROUND(F972-D972,2),0)))</f>
        <v/>
      </c>
      <c r="K972" s="97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inlineStr">
        <is>
          <t>Nao</t>
        </is>
      </c>
      <c r="W972" s="110" t="inlineStr">
        <is>
          <t>PC em analise</t>
        </is>
      </c>
      <c r="X972" s="110" t="inlineStr">
        <is>
          <t>Pedido de Compra</t>
        </is>
      </c>
      <c r="Y972" s="111" t="inlineStr">
        <is>
          <t>Impacto Potencial</t>
        </is>
      </c>
      <c r="Z972" s="111" t="inlineStr">
        <is>
          <t>PC</t>
        </is>
      </c>
      <c r="AA972" s="111" t="inlineStr">
        <is>
          <t>Nao</t>
        </is>
      </c>
      <c r="AB972" s="111" t="inlineStr">
        <is>
          <t>NAO_COMPUTADO</t>
        </is>
      </c>
      <c r="AC972" s="112" t="inlineStr">
        <is>
          <t>Estrutura Fase 1: sem impacto no VTA oficial</t>
        </is>
      </c>
    </row>
    <row r="973" ht="25.5" customHeight="1" s="289">
      <c r="A973" s="205" t="n"/>
      <c r="B973" s="207" t="n"/>
      <c r="C973" s="104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348" t="n"/>
      <c r="E973" s="349">
        <f>IF(C973="","",IFERROR(VLOOKUP(C973,parametros!$A$11:$E$15,5,0),""))</f>
        <v/>
      </c>
      <c r="F973" s="335">
        <f>IF(OR(D973="",E973=""),"",ROUND(D973*E973,2))</f>
        <v/>
      </c>
      <c r="G973" s="106" t="n"/>
      <c r="H973" s="350">
        <f>IF(G973="Sim",IF(OR(F973="",D973="",L973=""),"",IF(L973="Sim",ROUND(F973-D973,2),0)),0)</f>
        <v/>
      </c>
      <c r="I973" s="350">
        <f>IF(G973="Sim",0,IF(OR(F973="",L973=""),"",F973))</f>
        <v/>
      </c>
      <c r="J973" s="350">
        <f>IF(G973="Sim",0,IF(OR(F973="",D973="",L973=""),"",IF(L973="Sim",ROUND(F973-D973,2),0)))</f>
        <v/>
      </c>
      <c r="K973" s="97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inlineStr">
        <is>
          <t>Nao</t>
        </is>
      </c>
      <c r="W973" s="110" t="inlineStr">
        <is>
          <t>PC em analise</t>
        </is>
      </c>
      <c r="X973" s="110" t="inlineStr">
        <is>
          <t>Pedido de Compra</t>
        </is>
      </c>
      <c r="Y973" s="111" t="inlineStr">
        <is>
          <t>Impacto Potencial</t>
        </is>
      </c>
      <c r="Z973" s="111" t="inlineStr">
        <is>
          <t>PC</t>
        </is>
      </c>
      <c r="AA973" s="111" t="inlineStr">
        <is>
          <t>Nao</t>
        </is>
      </c>
      <c r="AB973" s="111" t="inlineStr">
        <is>
          <t>NAO_COMPUTADO</t>
        </is>
      </c>
      <c r="AC973" s="112" t="inlineStr">
        <is>
          <t>Estrutura Fase 1: sem impacto no VTA oficial</t>
        </is>
      </c>
    </row>
    <row r="974" ht="25.5" customHeight="1" s="289">
      <c r="A974" s="205" t="n"/>
      <c r="B974" s="207" t="n"/>
      <c r="C974" s="104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348" t="n"/>
      <c r="E974" s="349">
        <f>IF(C974="","",IFERROR(VLOOKUP(C974,parametros!$A$11:$E$15,5,0),""))</f>
        <v/>
      </c>
      <c r="F974" s="335">
        <f>IF(OR(D974="",E974=""),"",ROUND(D974*E974,2))</f>
        <v/>
      </c>
      <c r="G974" s="106" t="n"/>
      <c r="H974" s="350">
        <f>IF(G974="Sim",IF(OR(F974="",D974="",L974=""),"",IF(L974="Sim",ROUND(F974-D974,2),0)),0)</f>
        <v/>
      </c>
      <c r="I974" s="350">
        <f>IF(G974="Sim",0,IF(OR(F974="",L974=""),"",F974))</f>
        <v/>
      </c>
      <c r="J974" s="350">
        <f>IF(G974="Sim",0,IF(OR(F974="",D974="",L974=""),"",IF(L974="Sim",ROUND(F974-D974,2),0)))</f>
        <v/>
      </c>
      <c r="K974" s="97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inlineStr">
        <is>
          <t>Nao</t>
        </is>
      </c>
      <c r="W974" s="110" t="inlineStr">
        <is>
          <t>PC em analise</t>
        </is>
      </c>
      <c r="X974" s="110" t="inlineStr">
        <is>
          <t>Pedido de Compra</t>
        </is>
      </c>
      <c r="Y974" s="111" t="inlineStr">
        <is>
          <t>Impacto Potencial</t>
        </is>
      </c>
      <c r="Z974" s="111" t="inlineStr">
        <is>
          <t>PC</t>
        </is>
      </c>
      <c r="AA974" s="111" t="inlineStr">
        <is>
          <t>Nao</t>
        </is>
      </c>
      <c r="AB974" s="111" t="inlineStr">
        <is>
          <t>NAO_COMPUTADO</t>
        </is>
      </c>
      <c r="AC974" s="112" t="inlineStr">
        <is>
          <t>Estrutura Fase 1: sem impacto no VTA oficial</t>
        </is>
      </c>
    </row>
    <row r="975" ht="25.5" customHeight="1" s="289">
      <c r="A975" s="205" t="n"/>
      <c r="B975" s="207" t="n"/>
      <c r="C975" s="104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348" t="n"/>
      <c r="E975" s="349">
        <f>IF(C975="","",IFERROR(VLOOKUP(C975,parametros!$A$11:$E$15,5,0),""))</f>
        <v/>
      </c>
      <c r="F975" s="335">
        <f>IF(OR(D975="",E975=""),"",ROUND(D975*E975,2))</f>
        <v/>
      </c>
      <c r="G975" s="106" t="n"/>
      <c r="H975" s="350">
        <f>IF(G975="Sim",IF(OR(F975="",D975="",L975=""),"",IF(L975="Sim",ROUND(F975-D975,2),0)),0)</f>
        <v/>
      </c>
      <c r="I975" s="350">
        <f>IF(G975="Sim",0,IF(OR(F975="",L975=""),"",F975))</f>
        <v/>
      </c>
      <c r="J975" s="350">
        <f>IF(G975="Sim",0,IF(OR(F975="",D975="",L975=""),"",IF(L975="Sim",ROUND(F975-D975,2),0)))</f>
        <v/>
      </c>
      <c r="K975" s="97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inlineStr">
        <is>
          <t>Nao</t>
        </is>
      </c>
      <c r="W975" s="110" t="inlineStr">
        <is>
          <t>PC em analise</t>
        </is>
      </c>
      <c r="X975" s="110" t="inlineStr">
        <is>
          <t>Pedido de Compra</t>
        </is>
      </c>
      <c r="Y975" s="111" t="inlineStr">
        <is>
          <t>Impacto Potencial</t>
        </is>
      </c>
      <c r="Z975" s="111" t="inlineStr">
        <is>
          <t>PC</t>
        </is>
      </c>
      <c r="AA975" s="111" t="inlineStr">
        <is>
          <t>Nao</t>
        </is>
      </c>
      <c r="AB975" s="111" t="inlineStr">
        <is>
          <t>NAO_COMPUTADO</t>
        </is>
      </c>
      <c r="AC975" s="112" t="inlineStr">
        <is>
          <t>Estrutura Fase 1: sem impacto no VTA oficial</t>
        </is>
      </c>
    </row>
    <row r="976" ht="25.5" customHeight="1" s="289">
      <c r="A976" s="205" t="n"/>
      <c r="B976" s="207" t="n"/>
      <c r="C976" s="104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348" t="n"/>
      <c r="E976" s="349">
        <f>IF(C976="","",IFERROR(VLOOKUP(C976,parametros!$A$11:$E$15,5,0),""))</f>
        <v/>
      </c>
      <c r="F976" s="335">
        <f>IF(OR(D976="",E976=""),"",ROUND(D976*E976,2))</f>
        <v/>
      </c>
      <c r="G976" s="106" t="n"/>
      <c r="H976" s="350">
        <f>IF(G976="Sim",IF(OR(F976="",D976="",L976=""),"",IF(L976="Sim",ROUND(F976-D976,2),0)),0)</f>
        <v/>
      </c>
      <c r="I976" s="350">
        <f>IF(G976="Sim",0,IF(OR(F976="",L976=""),"",F976))</f>
        <v/>
      </c>
      <c r="J976" s="350">
        <f>IF(G976="Sim",0,IF(OR(F976="",D976="",L976=""),"",IF(L976="Sim",ROUND(F976-D976,2),0)))</f>
        <v/>
      </c>
      <c r="K976" s="97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inlineStr">
        <is>
          <t>Nao</t>
        </is>
      </c>
      <c r="W976" s="110" t="inlineStr">
        <is>
          <t>PC em analise</t>
        </is>
      </c>
      <c r="X976" s="110" t="inlineStr">
        <is>
          <t>Pedido de Compra</t>
        </is>
      </c>
      <c r="Y976" s="111" t="inlineStr">
        <is>
          <t>Impacto Potencial</t>
        </is>
      </c>
      <c r="Z976" s="111" t="inlineStr">
        <is>
          <t>PC</t>
        </is>
      </c>
      <c r="AA976" s="111" t="inlineStr">
        <is>
          <t>Nao</t>
        </is>
      </c>
      <c r="AB976" s="111" t="inlineStr">
        <is>
          <t>NAO_COMPUTADO</t>
        </is>
      </c>
      <c r="AC976" s="112" t="inlineStr">
        <is>
          <t>Estrutura Fase 1: sem impacto no VTA oficial</t>
        </is>
      </c>
    </row>
    <row r="977" ht="25.5" customHeight="1" s="289">
      <c r="A977" s="205" t="n"/>
      <c r="B977" s="207" t="n"/>
      <c r="C977" s="104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348" t="n"/>
      <c r="E977" s="349">
        <f>IF(C977="","",IFERROR(VLOOKUP(C977,parametros!$A$11:$E$15,5,0),""))</f>
        <v/>
      </c>
      <c r="F977" s="335">
        <f>IF(OR(D977="",E977=""),"",ROUND(D977*E977,2))</f>
        <v/>
      </c>
      <c r="G977" s="106" t="n"/>
      <c r="H977" s="350">
        <f>IF(G977="Sim",IF(OR(F977="",D977="",L977=""),"",IF(L977="Sim",ROUND(F977-D977,2),0)),0)</f>
        <v/>
      </c>
      <c r="I977" s="350">
        <f>IF(G977="Sim",0,IF(OR(F977="",L977=""),"",F977))</f>
        <v/>
      </c>
      <c r="J977" s="350">
        <f>IF(G977="Sim",0,IF(OR(F977="",D977="",L977=""),"",IF(L977="Sim",ROUND(F977-D977,2),0)))</f>
        <v/>
      </c>
      <c r="K977" s="97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inlineStr">
        <is>
          <t>Nao</t>
        </is>
      </c>
      <c r="W977" s="110" t="inlineStr">
        <is>
          <t>PC em analise</t>
        </is>
      </c>
      <c r="X977" s="110" t="inlineStr">
        <is>
          <t>Pedido de Compra</t>
        </is>
      </c>
      <c r="Y977" s="111" t="inlineStr">
        <is>
          <t>Impacto Potencial</t>
        </is>
      </c>
      <c r="Z977" s="111" t="inlineStr">
        <is>
          <t>PC</t>
        </is>
      </c>
      <c r="AA977" s="111" t="inlineStr">
        <is>
          <t>Nao</t>
        </is>
      </c>
      <c r="AB977" s="111" t="inlineStr">
        <is>
          <t>NAO_COMPUTADO</t>
        </is>
      </c>
      <c r="AC977" s="112" t="inlineStr">
        <is>
          <t>Estrutura Fase 1: sem impacto no VTA oficial</t>
        </is>
      </c>
    </row>
    <row r="978" ht="25.5" customHeight="1" s="289">
      <c r="A978" s="205" t="n"/>
      <c r="B978" s="207" t="n"/>
      <c r="C978" s="104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348" t="n"/>
      <c r="E978" s="349">
        <f>IF(C978="","",IFERROR(VLOOKUP(C978,parametros!$A$11:$E$15,5,0),""))</f>
        <v/>
      </c>
      <c r="F978" s="335">
        <f>IF(OR(D978="",E978=""),"",ROUND(D978*E978,2))</f>
        <v/>
      </c>
      <c r="G978" s="106" t="n"/>
      <c r="H978" s="350">
        <f>IF(G978="Sim",IF(OR(F978="",D978="",L978=""),"",IF(L978="Sim",ROUND(F978-D978,2),0)),0)</f>
        <v/>
      </c>
      <c r="I978" s="350">
        <f>IF(G978="Sim",0,IF(OR(F978="",L978=""),"",F978))</f>
        <v/>
      </c>
      <c r="J978" s="350">
        <f>IF(G978="Sim",0,IF(OR(F978="",D978="",L978=""),"",IF(L978="Sim",ROUND(F978-D978,2),0)))</f>
        <v/>
      </c>
      <c r="K978" s="97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inlineStr">
        <is>
          <t>Nao</t>
        </is>
      </c>
      <c r="W978" s="110" t="inlineStr">
        <is>
          <t>PC em analise</t>
        </is>
      </c>
      <c r="X978" s="110" t="inlineStr">
        <is>
          <t>Pedido de Compra</t>
        </is>
      </c>
      <c r="Y978" s="111" t="inlineStr">
        <is>
          <t>Impacto Potencial</t>
        </is>
      </c>
      <c r="Z978" s="111" t="inlineStr">
        <is>
          <t>PC</t>
        </is>
      </c>
      <c r="AA978" s="111" t="inlineStr">
        <is>
          <t>Nao</t>
        </is>
      </c>
      <c r="AB978" s="111" t="inlineStr">
        <is>
          <t>NAO_COMPUTADO</t>
        </is>
      </c>
      <c r="AC978" s="112" t="inlineStr">
        <is>
          <t>Estrutura Fase 1: sem impacto no VTA oficial</t>
        </is>
      </c>
    </row>
    <row r="979" ht="25.5" customHeight="1" s="289">
      <c r="A979" s="205" t="n"/>
      <c r="B979" s="207" t="n"/>
      <c r="C979" s="104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348" t="n"/>
      <c r="E979" s="349">
        <f>IF(C979="","",IFERROR(VLOOKUP(C979,parametros!$A$11:$E$15,5,0),""))</f>
        <v/>
      </c>
      <c r="F979" s="335">
        <f>IF(OR(D979="",E979=""),"",ROUND(D979*E979,2))</f>
        <v/>
      </c>
      <c r="G979" s="106" t="n"/>
      <c r="H979" s="350">
        <f>IF(G979="Sim",IF(OR(F979="",D979="",L979=""),"",IF(L979="Sim",ROUND(F979-D979,2),0)),0)</f>
        <v/>
      </c>
      <c r="I979" s="350">
        <f>IF(G979="Sim",0,IF(OR(F979="",L979=""),"",F979))</f>
        <v/>
      </c>
      <c r="J979" s="350">
        <f>IF(G979="Sim",0,IF(OR(F979="",D979="",L979=""),"",IF(L979="Sim",ROUND(F979-D979,2),0)))</f>
        <v/>
      </c>
      <c r="K979" s="97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inlineStr">
        <is>
          <t>Nao</t>
        </is>
      </c>
      <c r="W979" s="110" t="inlineStr">
        <is>
          <t>PC em analise</t>
        </is>
      </c>
      <c r="X979" s="110" t="inlineStr">
        <is>
          <t>Pedido de Compra</t>
        </is>
      </c>
      <c r="Y979" s="111" t="inlineStr">
        <is>
          <t>Impacto Potencial</t>
        </is>
      </c>
      <c r="Z979" s="111" t="inlineStr">
        <is>
          <t>PC</t>
        </is>
      </c>
      <c r="AA979" s="111" t="inlineStr">
        <is>
          <t>Nao</t>
        </is>
      </c>
      <c r="AB979" s="111" t="inlineStr">
        <is>
          <t>NAO_COMPUTADO</t>
        </is>
      </c>
      <c r="AC979" s="112" t="inlineStr">
        <is>
          <t>Estrutura Fase 1: sem impacto no VTA oficial</t>
        </is>
      </c>
    </row>
    <row r="980" ht="25.5" customHeight="1" s="289">
      <c r="A980" s="205" t="n"/>
      <c r="B980" s="207" t="n"/>
      <c r="C980" s="104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348" t="n"/>
      <c r="E980" s="349">
        <f>IF(C980="","",IFERROR(VLOOKUP(C980,parametros!$A$11:$E$15,5,0),""))</f>
        <v/>
      </c>
      <c r="F980" s="335">
        <f>IF(OR(D980="",E980=""),"",ROUND(D980*E980,2))</f>
        <v/>
      </c>
      <c r="G980" s="106" t="n"/>
      <c r="H980" s="350">
        <f>IF(G980="Sim",IF(OR(F980="",D980="",L980=""),"",IF(L980="Sim",ROUND(F980-D980,2),0)),0)</f>
        <v/>
      </c>
      <c r="I980" s="350">
        <f>IF(G980="Sim",0,IF(OR(F980="",L980=""),"",F980))</f>
        <v/>
      </c>
      <c r="J980" s="350">
        <f>IF(G980="Sim",0,IF(OR(F980="",D980="",L980=""),"",IF(L980="Sim",ROUND(F980-D980,2),0)))</f>
        <v/>
      </c>
      <c r="K980" s="97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inlineStr">
        <is>
          <t>Nao</t>
        </is>
      </c>
      <c r="W980" s="110" t="inlineStr">
        <is>
          <t>PC em analise</t>
        </is>
      </c>
      <c r="X980" s="110" t="inlineStr">
        <is>
          <t>Pedido de Compra</t>
        </is>
      </c>
      <c r="Y980" s="111" t="inlineStr">
        <is>
          <t>Impacto Potencial</t>
        </is>
      </c>
      <c r="Z980" s="111" t="inlineStr">
        <is>
          <t>PC</t>
        </is>
      </c>
      <c r="AA980" s="111" t="inlineStr">
        <is>
          <t>Nao</t>
        </is>
      </c>
      <c r="AB980" s="111" t="inlineStr">
        <is>
          <t>NAO_COMPUTADO</t>
        </is>
      </c>
      <c r="AC980" s="112" t="inlineStr">
        <is>
          <t>Estrutura Fase 1: sem impacto no VTA oficial</t>
        </is>
      </c>
    </row>
    <row r="981" ht="25.5" customHeight="1" s="289">
      <c r="A981" s="205" t="n"/>
      <c r="B981" s="207" t="n"/>
      <c r="C981" s="104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348" t="n"/>
      <c r="E981" s="349">
        <f>IF(C981="","",IFERROR(VLOOKUP(C981,parametros!$A$11:$E$15,5,0),""))</f>
        <v/>
      </c>
      <c r="F981" s="335">
        <f>IF(OR(D981="",E981=""),"",ROUND(D981*E981,2))</f>
        <v/>
      </c>
      <c r="G981" s="106" t="n"/>
      <c r="H981" s="350">
        <f>IF(G981="Sim",IF(OR(F981="",D981="",L981=""),"",IF(L981="Sim",ROUND(F981-D981,2),0)),0)</f>
        <v/>
      </c>
      <c r="I981" s="350">
        <f>IF(G981="Sim",0,IF(OR(F981="",L981=""),"",F981))</f>
        <v/>
      </c>
      <c r="J981" s="350">
        <f>IF(G981="Sim",0,IF(OR(F981="",D981="",L981=""),"",IF(L981="Sim",ROUND(F981-D981,2),0)))</f>
        <v/>
      </c>
      <c r="K981" s="97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inlineStr">
        <is>
          <t>Nao</t>
        </is>
      </c>
      <c r="W981" s="110" t="inlineStr">
        <is>
          <t>PC em analise</t>
        </is>
      </c>
      <c r="X981" s="110" t="inlineStr">
        <is>
          <t>Pedido de Compra</t>
        </is>
      </c>
      <c r="Y981" s="111" t="inlineStr">
        <is>
          <t>Impacto Potencial</t>
        </is>
      </c>
      <c r="Z981" s="111" t="inlineStr">
        <is>
          <t>PC</t>
        </is>
      </c>
      <c r="AA981" s="111" t="inlineStr">
        <is>
          <t>Nao</t>
        </is>
      </c>
      <c r="AB981" s="111" t="inlineStr">
        <is>
          <t>NAO_COMPUTADO</t>
        </is>
      </c>
      <c r="AC981" s="112" t="inlineStr">
        <is>
          <t>Estrutura Fase 1: sem impacto no VTA oficial</t>
        </is>
      </c>
    </row>
    <row r="982" ht="25.5" customHeight="1" s="289">
      <c r="A982" s="205" t="n"/>
      <c r="B982" s="207" t="n"/>
      <c r="C982" s="104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348" t="n"/>
      <c r="E982" s="349">
        <f>IF(C982="","",IFERROR(VLOOKUP(C982,parametros!$A$11:$E$15,5,0),""))</f>
        <v/>
      </c>
      <c r="F982" s="335">
        <f>IF(OR(D982="",E982=""),"",ROUND(D982*E982,2))</f>
        <v/>
      </c>
      <c r="G982" s="106" t="n"/>
      <c r="H982" s="350">
        <f>IF(G982="Sim",IF(OR(F982="",D982="",L982=""),"",IF(L982="Sim",ROUND(F982-D982,2),0)),0)</f>
        <v/>
      </c>
      <c r="I982" s="350">
        <f>IF(G982="Sim",0,IF(OR(F982="",L982=""),"",F982))</f>
        <v/>
      </c>
      <c r="J982" s="350">
        <f>IF(G982="Sim",0,IF(OR(F982="",D982="",L982=""),"",IF(L982="Sim",ROUND(F982-D982,2),0)))</f>
        <v/>
      </c>
      <c r="K982" s="97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inlineStr">
        <is>
          <t>Nao</t>
        </is>
      </c>
      <c r="W982" s="110" t="inlineStr">
        <is>
          <t>PC em analise</t>
        </is>
      </c>
      <c r="X982" s="110" t="inlineStr">
        <is>
          <t>Pedido de Compra</t>
        </is>
      </c>
      <c r="Y982" s="111" t="inlineStr">
        <is>
          <t>Impacto Potencial</t>
        </is>
      </c>
      <c r="Z982" s="111" t="inlineStr">
        <is>
          <t>PC</t>
        </is>
      </c>
      <c r="AA982" s="111" t="inlineStr">
        <is>
          <t>Nao</t>
        </is>
      </c>
      <c r="AB982" s="111" t="inlineStr">
        <is>
          <t>NAO_COMPUTADO</t>
        </is>
      </c>
      <c r="AC982" s="112" t="inlineStr">
        <is>
          <t>Estrutura Fase 1: sem impacto no VTA oficial</t>
        </is>
      </c>
    </row>
    <row r="983" ht="25.5" customHeight="1" s="289">
      <c r="A983" s="205" t="n"/>
      <c r="B983" s="207" t="n"/>
      <c r="C983" s="104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348" t="n"/>
      <c r="E983" s="349">
        <f>IF(C983="","",IFERROR(VLOOKUP(C983,parametros!$A$11:$E$15,5,0),""))</f>
        <v/>
      </c>
      <c r="F983" s="335">
        <f>IF(OR(D983="",E983=""),"",ROUND(D983*E983,2))</f>
        <v/>
      </c>
      <c r="G983" s="106" t="n"/>
      <c r="H983" s="350">
        <f>IF(G983="Sim",IF(OR(F983="",D983="",L983=""),"",IF(L983="Sim",ROUND(F983-D983,2),0)),0)</f>
        <v/>
      </c>
      <c r="I983" s="350">
        <f>IF(G983="Sim",0,IF(OR(F983="",L983=""),"",F983))</f>
        <v/>
      </c>
      <c r="J983" s="350">
        <f>IF(G983="Sim",0,IF(OR(F983="",D983="",L983=""),"",IF(L983="Sim",ROUND(F983-D983,2),0)))</f>
        <v/>
      </c>
      <c r="K983" s="97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inlineStr">
        <is>
          <t>Nao</t>
        </is>
      </c>
      <c r="W983" s="110" t="inlineStr">
        <is>
          <t>PC em analise</t>
        </is>
      </c>
      <c r="X983" s="110" t="inlineStr">
        <is>
          <t>Pedido de Compra</t>
        </is>
      </c>
      <c r="Y983" s="111" t="inlineStr">
        <is>
          <t>Impacto Potencial</t>
        </is>
      </c>
      <c r="Z983" s="111" t="inlineStr">
        <is>
          <t>PC</t>
        </is>
      </c>
      <c r="AA983" s="111" t="inlineStr">
        <is>
          <t>Nao</t>
        </is>
      </c>
      <c r="AB983" s="111" t="inlineStr">
        <is>
          <t>NAO_COMPUTADO</t>
        </is>
      </c>
      <c r="AC983" s="112" t="inlineStr">
        <is>
          <t>Estrutura Fase 1: sem impacto no VTA oficial</t>
        </is>
      </c>
    </row>
    <row r="984" ht="25.5" customHeight="1" s="289">
      <c r="A984" s="205" t="n"/>
      <c r="B984" s="207" t="n"/>
      <c r="C984" s="104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348" t="n"/>
      <c r="E984" s="349">
        <f>IF(C984="","",IFERROR(VLOOKUP(C984,parametros!$A$11:$E$15,5,0),""))</f>
        <v/>
      </c>
      <c r="F984" s="335">
        <f>IF(OR(D984="",E984=""),"",ROUND(D984*E984,2))</f>
        <v/>
      </c>
      <c r="G984" s="106" t="n"/>
      <c r="H984" s="350">
        <f>IF(G984="Sim",IF(OR(F984="",D984="",L984=""),"",IF(L984="Sim",ROUND(F984-D984,2),0)),0)</f>
        <v/>
      </c>
      <c r="I984" s="350">
        <f>IF(G984="Sim",0,IF(OR(F984="",L984=""),"",F984))</f>
        <v/>
      </c>
      <c r="J984" s="350">
        <f>IF(G984="Sim",0,IF(OR(F984="",D984="",L984=""),"",IF(L984="Sim",ROUND(F984-D984,2),0)))</f>
        <v/>
      </c>
      <c r="K984" s="97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inlineStr">
        <is>
          <t>Nao</t>
        </is>
      </c>
      <c r="W984" s="110" t="inlineStr">
        <is>
          <t>PC em analise</t>
        </is>
      </c>
      <c r="X984" s="110" t="inlineStr">
        <is>
          <t>Pedido de Compra</t>
        </is>
      </c>
      <c r="Y984" s="111" t="inlineStr">
        <is>
          <t>Impacto Potencial</t>
        </is>
      </c>
      <c r="Z984" s="111" t="inlineStr">
        <is>
          <t>PC</t>
        </is>
      </c>
      <c r="AA984" s="111" t="inlineStr">
        <is>
          <t>Nao</t>
        </is>
      </c>
      <c r="AB984" s="111" t="inlineStr">
        <is>
          <t>NAO_COMPUTADO</t>
        </is>
      </c>
      <c r="AC984" s="112" t="inlineStr">
        <is>
          <t>Estrutura Fase 1: sem impacto no VTA oficial</t>
        </is>
      </c>
    </row>
    <row r="985" ht="25.5" customHeight="1" s="289">
      <c r="A985" s="205" t="n"/>
      <c r="B985" s="207" t="n"/>
      <c r="C985" s="104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348" t="n"/>
      <c r="E985" s="349">
        <f>IF(C985="","",IFERROR(VLOOKUP(C985,parametros!$A$11:$E$15,5,0),""))</f>
        <v/>
      </c>
      <c r="F985" s="335">
        <f>IF(OR(D985="",E985=""),"",ROUND(D985*E985,2))</f>
        <v/>
      </c>
      <c r="G985" s="106" t="n"/>
      <c r="H985" s="350">
        <f>IF(G985="Sim",IF(OR(F985="",D985="",L985=""),"",IF(L985="Sim",ROUND(F985-D985,2),0)),0)</f>
        <v/>
      </c>
      <c r="I985" s="350">
        <f>IF(G985="Sim",0,IF(OR(F985="",L985=""),"",F985))</f>
        <v/>
      </c>
      <c r="J985" s="350">
        <f>IF(G985="Sim",0,IF(OR(F985="",D985="",L985=""),"",IF(L985="Sim",ROUND(F985-D985,2),0)))</f>
        <v/>
      </c>
      <c r="K985" s="97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inlineStr">
        <is>
          <t>Nao</t>
        </is>
      </c>
      <c r="W985" s="110" t="inlineStr">
        <is>
          <t>PC em analise</t>
        </is>
      </c>
      <c r="X985" s="110" t="inlineStr">
        <is>
          <t>Pedido de Compra</t>
        </is>
      </c>
      <c r="Y985" s="111" t="inlineStr">
        <is>
          <t>Impacto Potencial</t>
        </is>
      </c>
      <c r="Z985" s="111" t="inlineStr">
        <is>
          <t>PC</t>
        </is>
      </c>
      <c r="AA985" s="111" t="inlineStr">
        <is>
          <t>Nao</t>
        </is>
      </c>
      <c r="AB985" s="111" t="inlineStr">
        <is>
          <t>NAO_COMPUTADO</t>
        </is>
      </c>
      <c r="AC985" s="112" t="inlineStr">
        <is>
          <t>Estrutura Fase 1: sem impacto no VTA oficial</t>
        </is>
      </c>
    </row>
    <row r="986" ht="25.5" customHeight="1" s="289">
      <c r="A986" s="205" t="n"/>
      <c r="B986" s="207" t="n"/>
      <c r="C986" s="104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348" t="n"/>
      <c r="E986" s="349">
        <f>IF(C986="","",IFERROR(VLOOKUP(C986,parametros!$A$11:$E$15,5,0),""))</f>
        <v/>
      </c>
      <c r="F986" s="335">
        <f>IF(OR(D986="",E986=""),"",ROUND(D986*E986,2))</f>
        <v/>
      </c>
      <c r="G986" s="106" t="n"/>
      <c r="H986" s="350">
        <f>IF(G986="Sim",IF(OR(F986="",D986="",L986=""),"",IF(L986="Sim",ROUND(F986-D986,2),0)),0)</f>
        <v/>
      </c>
      <c r="I986" s="350">
        <f>IF(G986="Sim",0,IF(OR(F986="",L986=""),"",F986))</f>
        <v/>
      </c>
      <c r="J986" s="350">
        <f>IF(G986="Sim",0,IF(OR(F986="",D986="",L986=""),"",IF(L986="Sim",ROUND(F986-D986,2),0)))</f>
        <v/>
      </c>
      <c r="K986" s="97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inlineStr">
        <is>
          <t>Nao</t>
        </is>
      </c>
      <c r="W986" s="110" t="inlineStr">
        <is>
          <t>PC em analise</t>
        </is>
      </c>
      <c r="X986" s="110" t="inlineStr">
        <is>
          <t>Pedido de Compra</t>
        </is>
      </c>
      <c r="Y986" s="111" t="inlineStr">
        <is>
          <t>Impacto Potencial</t>
        </is>
      </c>
      <c r="Z986" s="111" t="inlineStr">
        <is>
          <t>PC</t>
        </is>
      </c>
      <c r="AA986" s="111" t="inlineStr">
        <is>
          <t>Nao</t>
        </is>
      </c>
      <c r="AB986" s="111" t="inlineStr">
        <is>
          <t>NAO_COMPUTADO</t>
        </is>
      </c>
      <c r="AC986" s="112" t="inlineStr">
        <is>
          <t>Estrutura Fase 1: sem impacto no VTA oficial</t>
        </is>
      </c>
    </row>
    <row r="987" ht="25.5" customHeight="1" s="289">
      <c r="A987" s="205" t="n"/>
      <c r="B987" s="207" t="n"/>
      <c r="C987" s="104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348" t="n"/>
      <c r="E987" s="349">
        <f>IF(C987="","",IFERROR(VLOOKUP(C987,parametros!$A$11:$E$15,5,0),""))</f>
        <v/>
      </c>
      <c r="F987" s="335">
        <f>IF(OR(D987="",E987=""),"",ROUND(D987*E987,2))</f>
        <v/>
      </c>
      <c r="G987" s="106" t="n"/>
      <c r="H987" s="350">
        <f>IF(G987="Sim",IF(OR(F987="",D987="",L987=""),"",IF(L987="Sim",ROUND(F987-D987,2),0)),0)</f>
        <v/>
      </c>
      <c r="I987" s="350">
        <f>IF(G987="Sim",0,IF(OR(F987="",L987=""),"",F987))</f>
        <v/>
      </c>
      <c r="J987" s="350">
        <f>IF(G987="Sim",0,IF(OR(F987="",D987="",L987=""),"",IF(L987="Sim",ROUND(F987-D987,2),0)))</f>
        <v/>
      </c>
      <c r="K987" s="97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inlineStr">
        <is>
          <t>Nao</t>
        </is>
      </c>
      <c r="W987" s="110" t="inlineStr">
        <is>
          <t>PC em analise</t>
        </is>
      </c>
      <c r="X987" s="110" t="inlineStr">
        <is>
          <t>Pedido de Compra</t>
        </is>
      </c>
      <c r="Y987" s="111" t="inlineStr">
        <is>
          <t>Impacto Potencial</t>
        </is>
      </c>
      <c r="Z987" s="111" t="inlineStr">
        <is>
          <t>PC</t>
        </is>
      </c>
      <c r="AA987" s="111" t="inlineStr">
        <is>
          <t>Nao</t>
        </is>
      </c>
      <c r="AB987" s="111" t="inlineStr">
        <is>
          <t>NAO_COMPUTADO</t>
        </is>
      </c>
      <c r="AC987" s="112" t="inlineStr">
        <is>
          <t>Estrutura Fase 1: sem impacto no VTA oficial</t>
        </is>
      </c>
    </row>
    <row r="988" ht="25.5" customHeight="1" s="289">
      <c r="A988" s="205" t="n"/>
      <c r="B988" s="207" t="n"/>
      <c r="C988" s="104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348" t="n"/>
      <c r="E988" s="349">
        <f>IF(C988="","",IFERROR(VLOOKUP(C988,parametros!$A$11:$E$15,5,0),""))</f>
        <v/>
      </c>
      <c r="F988" s="335">
        <f>IF(OR(D988="",E988=""),"",ROUND(D988*E988,2))</f>
        <v/>
      </c>
      <c r="G988" s="106" t="n"/>
      <c r="H988" s="350">
        <f>IF(G988="Sim",IF(OR(F988="",D988="",L988=""),"",IF(L988="Sim",ROUND(F988-D988,2),0)),0)</f>
        <v/>
      </c>
      <c r="I988" s="350">
        <f>IF(G988="Sim",0,IF(OR(F988="",L988=""),"",F988))</f>
        <v/>
      </c>
      <c r="J988" s="350">
        <f>IF(G988="Sim",0,IF(OR(F988="",D988="",L988=""),"",IF(L988="Sim",ROUND(F988-D988,2),0)))</f>
        <v/>
      </c>
      <c r="K988" s="97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inlineStr">
        <is>
          <t>Nao</t>
        </is>
      </c>
      <c r="W988" s="110" t="inlineStr">
        <is>
          <t>PC em analise</t>
        </is>
      </c>
      <c r="X988" s="110" t="inlineStr">
        <is>
          <t>Pedido de Compra</t>
        </is>
      </c>
      <c r="Y988" s="111" t="inlineStr">
        <is>
          <t>Impacto Potencial</t>
        </is>
      </c>
      <c r="Z988" s="111" t="inlineStr">
        <is>
          <t>PC</t>
        </is>
      </c>
      <c r="AA988" s="111" t="inlineStr">
        <is>
          <t>Nao</t>
        </is>
      </c>
      <c r="AB988" s="111" t="inlineStr">
        <is>
          <t>NAO_COMPUTADO</t>
        </is>
      </c>
      <c r="AC988" s="112" t="inlineStr">
        <is>
          <t>Estrutura Fase 1: sem impacto no VTA oficial</t>
        </is>
      </c>
    </row>
    <row r="989" ht="25.5" customHeight="1" s="289">
      <c r="A989" s="205" t="n"/>
      <c r="B989" s="207" t="n"/>
      <c r="C989" s="104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348" t="n"/>
      <c r="E989" s="349">
        <f>IF(C989="","",IFERROR(VLOOKUP(C989,parametros!$A$11:$E$15,5,0),""))</f>
        <v/>
      </c>
      <c r="F989" s="335">
        <f>IF(OR(D989="",E989=""),"",ROUND(D989*E989,2))</f>
        <v/>
      </c>
      <c r="G989" s="106" t="n"/>
      <c r="H989" s="350">
        <f>IF(G989="Sim",IF(OR(F989="",D989="",L989=""),"",IF(L989="Sim",ROUND(F989-D989,2),0)),0)</f>
        <v/>
      </c>
      <c r="I989" s="350">
        <f>IF(G989="Sim",0,IF(OR(F989="",L989=""),"",F989))</f>
        <v/>
      </c>
      <c r="J989" s="350">
        <f>IF(G989="Sim",0,IF(OR(F989="",D989="",L989=""),"",IF(L989="Sim",ROUND(F989-D989,2),0)))</f>
        <v/>
      </c>
      <c r="K989" s="97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inlineStr">
        <is>
          <t>Nao</t>
        </is>
      </c>
      <c r="W989" s="110" t="inlineStr">
        <is>
          <t>PC em analise</t>
        </is>
      </c>
      <c r="X989" s="110" t="inlineStr">
        <is>
          <t>Pedido de Compra</t>
        </is>
      </c>
      <c r="Y989" s="111" t="inlineStr">
        <is>
          <t>Impacto Potencial</t>
        </is>
      </c>
      <c r="Z989" s="111" t="inlineStr">
        <is>
          <t>PC</t>
        </is>
      </c>
      <c r="AA989" s="111" t="inlineStr">
        <is>
          <t>Nao</t>
        </is>
      </c>
      <c r="AB989" s="111" t="inlineStr">
        <is>
          <t>NAO_COMPUTADO</t>
        </is>
      </c>
      <c r="AC989" s="112" t="inlineStr">
        <is>
          <t>Estrutura Fase 1: sem impacto no VTA oficial</t>
        </is>
      </c>
    </row>
    <row r="990" ht="25.5" customHeight="1" s="289">
      <c r="A990" s="205" t="n"/>
      <c r="B990" s="207" t="n"/>
      <c r="C990" s="104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348" t="n"/>
      <c r="E990" s="349">
        <f>IF(C990="","",IFERROR(VLOOKUP(C990,parametros!$A$11:$E$15,5,0),""))</f>
        <v/>
      </c>
      <c r="F990" s="335">
        <f>IF(OR(D990="",E990=""),"",ROUND(D990*E990,2))</f>
        <v/>
      </c>
      <c r="G990" s="106" t="n"/>
      <c r="H990" s="350">
        <f>IF(G990="Sim",IF(OR(F990="",D990="",L990=""),"",IF(L990="Sim",ROUND(F990-D990,2),0)),0)</f>
        <v/>
      </c>
      <c r="I990" s="350">
        <f>IF(G990="Sim",0,IF(OR(F990="",L990=""),"",F990))</f>
        <v/>
      </c>
      <c r="J990" s="350">
        <f>IF(G990="Sim",0,IF(OR(F990="",D990="",L990=""),"",IF(L990="Sim",ROUND(F990-D990,2),0)))</f>
        <v/>
      </c>
      <c r="K990" s="97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inlineStr">
        <is>
          <t>Nao</t>
        </is>
      </c>
      <c r="W990" s="110" t="inlineStr">
        <is>
          <t>PC em analise</t>
        </is>
      </c>
      <c r="X990" s="110" t="inlineStr">
        <is>
          <t>Pedido de Compra</t>
        </is>
      </c>
      <c r="Y990" s="111" t="inlineStr">
        <is>
          <t>Impacto Potencial</t>
        </is>
      </c>
      <c r="Z990" s="111" t="inlineStr">
        <is>
          <t>PC</t>
        </is>
      </c>
      <c r="AA990" s="111" t="inlineStr">
        <is>
          <t>Nao</t>
        </is>
      </c>
      <c r="AB990" s="111" t="inlineStr">
        <is>
          <t>NAO_COMPUTADO</t>
        </is>
      </c>
      <c r="AC990" s="112" t="inlineStr">
        <is>
          <t>Estrutura Fase 1: sem impacto no VTA oficial</t>
        </is>
      </c>
    </row>
    <row r="991" ht="25.5" customHeight="1" s="289">
      <c r="A991" s="205" t="n"/>
      <c r="B991" s="207" t="n"/>
      <c r="C991" s="104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348" t="n"/>
      <c r="E991" s="349">
        <f>IF(C991="","",IFERROR(VLOOKUP(C991,parametros!$A$11:$E$15,5,0),""))</f>
        <v/>
      </c>
      <c r="F991" s="335">
        <f>IF(OR(D991="",E991=""),"",ROUND(D991*E991,2))</f>
        <v/>
      </c>
      <c r="G991" s="106" t="n"/>
      <c r="H991" s="350">
        <f>IF(G991="Sim",IF(OR(F991="",D991="",L991=""),"",IF(L991="Sim",ROUND(F991-D991,2),0)),0)</f>
        <v/>
      </c>
      <c r="I991" s="350">
        <f>IF(G991="Sim",0,IF(OR(F991="",L991=""),"",F991))</f>
        <v/>
      </c>
      <c r="J991" s="350">
        <f>IF(G991="Sim",0,IF(OR(F991="",D991="",L991=""),"",IF(L991="Sim",ROUND(F991-D991,2),0)))</f>
        <v/>
      </c>
      <c r="K991" s="97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inlineStr">
        <is>
          <t>Nao</t>
        </is>
      </c>
      <c r="W991" s="110" t="inlineStr">
        <is>
          <t>PC em analise</t>
        </is>
      </c>
      <c r="X991" s="110" t="inlineStr">
        <is>
          <t>Pedido de Compra</t>
        </is>
      </c>
      <c r="Y991" s="111" t="inlineStr">
        <is>
          <t>Impacto Potencial</t>
        </is>
      </c>
      <c r="Z991" s="111" t="inlineStr">
        <is>
          <t>PC</t>
        </is>
      </c>
      <c r="AA991" s="111" t="inlineStr">
        <is>
          <t>Nao</t>
        </is>
      </c>
      <c r="AB991" s="111" t="inlineStr">
        <is>
          <t>NAO_COMPUTADO</t>
        </is>
      </c>
      <c r="AC991" s="112" t="inlineStr">
        <is>
          <t>Estrutura Fase 1: sem impacto no VTA oficial</t>
        </is>
      </c>
    </row>
    <row r="992" ht="25.5" customHeight="1" s="289">
      <c r="A992" s="205" t="n"/>
      <c r="B992" s="207" t="n"/>
      <c r="C992" s="104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348" t="n"/>
      <c r="E992" s="349">
        <f>IF(C992="","",IFERROR(VLOOKUP(C992,parametros!$A$11:$E$15,5,0),""))</f>
        <v/>
      </c>
      <c r="F992" s="335">
        <f>IF(OR(D992="",E992=""),"",ROUND(D992*E992,2))</f>
        <v/>
      </c>
      <c r="G992" s="106" t="n"/>
      <c r="H992" s="350">
        <f>IF(G992="Sim",IF(OR(F992="",D992="",L992=""),"",IF(L992="Sim",ROUND(F992-D992,2),0)),0)</f>
        <v/>
      </c>
      <c r="I992" s="350">
        <f>IF(G992="Sim",0,IF(OR(F992="",L992=""),"",F992))</f>
        <v/>
      </c>
      <c r="J992" s="350">
        <f>IF(G992="Sim",0,IF(OR(F992="",D992="",L992=""),"",IF(L992="Sim",ROUND(F992-D992,2),0)))</f>
        <v/>
      </c>
      <c r="K992" s="97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inlineStr">
        <is>
          <t>Nao</t>
        </is>
      </c>
      <c r="W992" s="110" t="inlineStr">
        <is>
          <t>PC em analise</t>
        </is>
      </c>
      <c r="X992" s="110" t="inlineStr">
        <is>
          <t>Pedido de Compra</t>
        </is>
      </c>
      <c r="Y992" s="111" t="inlineStr">
        <is>
          <t>Impacto Potencial</t>
        </is>
      </c>
      <c r="Z992" s="111" t="inlineStr">
        <is>
          <t>PC</t>
        </is>
      </c>
      <c r="AA992" s="111" t="inlineStr">
        <is>
          <t>Nao</t>
        </is>
      </c>
      <c r="AB992" s="111" t="inlineStr">
        <is>
          <t>NAO_COMPUTADO</t>
        </is>
      </c>
      <c r="AC992" s="112" t="inlineStr">
        <is>
          <t>Estrutura Fase 1: sem impacto no VTA oficial</t>
        </is>
      </c>
    </row>
    <row r="993" ht="25.5" customHeight="1" s="289">
      <c r="A993" s="205" t="n"/>
      <c r="B993" s="207" t="n"/>
      <c r="C993" s="104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348" t="n"/>
      <c r="E993" s="349">
        <f>IF(C993="","",IFERROR(VLOOKUP(C993,parametros!$A$11:$E$15,5,0),""))</f>
        <v/>
      </c>
      <c r="F993" s="335">
        <f>IF(OR(D993="",E993=""),"",ROUND(D993*E993,2))</f>
        <v/>
      </c>
      <c r="G993" s="106" t="n"/>
      <c r="H993" s="350">
        <f>IF(G993="Sim",IF(OR(F993="",D993="",L993=""),"",IF(L993="Sim",ROUND(F993-D993,2),0)),0)</f>
        <v/>
      </c>
      <c r="I993" s="350">
        <f>IF(G993="Sim",0,IF(OR(F993="",L993=""),"",F993))</f>
        <v/>
      </c>
      <c r="J993" s="350">
        <f>IF(G993="Sim",0,IF(OR(F993="",D993="",L993=""),"",IF(L993="Sim",ROUND(F993-D993,2),0)))</f>
        <v/>
      </c>
      <c r="K993" s="97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inlineStr">
        <is>
          <t>Nao</t>
        </is>
      </c>
      <c r="W993" s="110" t="inlineStr">
        <is>
          <t>PC em analise</t>
        </is>
      </c>
      <c r="X993" s="110" t="inlineStr">
        <is>
          <t>Pedido de Compra</t>
        </is>
      </c>
      <c r="Y993" s="111" t="inlineStr">
        <is>
          <t>Impacto Potencial</t>
        </is>
      </c>
      <c r="Z993" s="111" t="inlineStr">
        <is>
          <t>PC</t>
        </is>
      </c>
      <c r="AA993" s="111" t="inlineStr">
        <is>
          <t>Nao</t>
        </is>
      </c>
      <c r="AB993" s="111" t="inlineStr">
        <is>
          <t>NAO_COMPUTADO</t>
        </is>
      </c>
      <c r="AC993" s="112" t="inlineStr">
        <is>
          <t>Estrutura Fase 1: sem impacto no VTA oficial</t>
        </is>
      </c>
    </row>
    <row r="994" ht="25.5" customHeight="1" s="289">
      <c r="A994" s="205" t="n"/>
      <c r="B994" s="207" t="n"/>
      <c r="C994" s="104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348" t="n"/>
      <c r="E994" s="349">
        <f>IF(C994="","",IFERROR(VLOOKUP(C994,parametros!$A$11:$E$15,5,0),""))</f>
        <v/>
      </c>
      <c r="F994" s="335">
        <f>IF(OR(D994="",E994=""),"",ROUND(D994*E994,2))</f>
        <v/>
      </c>
      <c r="G994" s="106" t="n"/>
      <c r="H994" s="350">
        <f>IF(G994="Sim",IF(OR(F994="",D994="",L994=""),"",IF(L994="Sim",ROUND(F994-D994,2),0)),0)</f>
        <v/>
      </c>
      <c r="I994" s="350">
        <f>IF(G994="Sim",0,IF(OR(F994="",L994=""),"",F994))</f>
        <v/>
      </c>
      <c r="J994" s="350">
        <f>IF(G994="Sim",0,IF(OR(F994="",D994="",L994=""),"",IF(L994="Sim",ROUND(F994-D994,2),0)))</f>
        <v/>
      </c>
      <c r="K994" s="97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inlineStr">
        <is>
          <t>Nao</t>
        </is>
      </c>
      <c r="W994" s="110" t="inlineStr">
        <is>
          <t>PC em analise</t>
        </is>
      </c>
      <c r="X994" s="110" t="inlineStr">
        <is>
          <t>Pedido de Compra</t>
        </is>
      </c>
      <c r="Y994" s="111" t="inlineStr">
        <is>
          <t>Impacto Potencial</t>
        </is>
      </c>
      <c r="Z994" s="111" t="inlineStr">
        <is>
          <t>PC</t>
        </is>
      </c>
      <c r="AA994" s="111" t="inlineStr">
        <is>
          <t>Nao</t>
        </is>
      </c>
      <c r="AB994" s="111" t="inlineStr">
        <is>
          <t>NAO_COMPUTADO</t>
        </is>
      </c>
      <c r="AC994" s="112" t="inlineStr">
        <is>
          <t>Estrutura Fase 1: sem impacto no VTA oficial</t>
        </is>
      </c>
    </row>
    <row r="995" ht="25.5" customHeight="1" s="289">
      <c r="A995" s="205" t="n"/>
      <c r="B995" s="207" t="n"/>
      <c r="C995" s="104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348" t="n"/>
      <c r="E995" s="349">
        <f>IF(C995="","",IFERROR(VLOOKUP(C995,parametros!$A$11:$E$15,5,0),""))</f>
        <v/>
      </c>
      <c r="F995" s="335">
        <f>IF(OR(D995="",E995=""),"",ROUND(D995*E995,2))</f>
        <v/>
      </c>
      <c r="G995" s="106" t="n"/>
      <c r="H995" s="350">
        <f>IF(G995="Sim",IF(OR(F995="",D995="",L995=""),"",IF(L995="Sim",ROUND(F995-D995,2),0)),0)</f>
        <v/>
      </c>
      <c r="I995" s="350">
        <f>IF(G995="Sim",0,IF(OR(F995="",L995=""),"",F995))</f>
        <v/>
      </c>
      <c r="J995" s="350">
        <f>IF(G995="Sim",0,IF(OR(F995="",D995="",L995=""),"",IF(L995="Sim",ROUND(F995-D995,2),0)))</f>
        <v/>
      </c>
      <c r="K995" s="97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inlineStr">
        <is>
          <t>Nao</t>
        </is>
      </c>
      <c r="W995" s="110" t="inlineStr">
        <is>
          <t>PC em analise</t>
        </is>
      </c>
      <c r="X995" s="110" t="inlineStr">
        <is>
          <t>Pedido de Compra</t>
        </is>
      </c>
      <c r="Y995" s="111" t="inlineStr">
        <is>
          <t>Impacto Potencial</t>
        </is>
      </c>
      <c r="Z995" s="111" t="inlineStr">
        <is>
          <t>PC</t>
        </is>
      </c>
      <c r="AA995" s="111" t="inlineStr">
        <is>
          <t>Nao</t>
        </is>
      </c>
      <c r="AB995" s="111" t="inlineStr">
        <is>
          <t>NAO_COMPUTADO</t>
        </is>
      </c>
      <c r="AC995" s="112" t="inlineStr">
        <is>
          <t>Estrutura Fase 1: sem impacto no VTA oficial</t>
        </is>
      </c>
    </row>
    <row r="996" ht="25.5" customHeight="1" s="289">
      <c r="A996" s="205" t="n"/>
      <c r="B996" s="207" t="n"/>
      <c r="C996" s="104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348" t="n"/>
      <c r="E996" s="349">
        <f>IF(C996="","",IFERROR(VLOOKUP(C996,parametros!$A$11:$E$15,5,0),""))</f>
        <v/>
      </c>
      <c r="F996" s="335">
        <f>IF(OR(D996="",E996=""),"",ROUND(D996*E996,2))</f>
        <v/>
      </c>
      <c r="G996" s="106" t="n"/>
      <c r="H996" s="350">
        <f>IF(G996="Sim",IF(OR(F996="",D996="",L996=""),"",IF(L996="Sim",ROUND(F996-D996,2),0)),0)</f>
        <v/>
      </c>
      <c r="I996" s="350">
        <f>IF(G996="Sim",0,IF(OR(F996="",L996=""),"",F996))</f>
        <v/>
      </c>
      <c r="J996" s="350">
        <f>IF(G996="Sim",0,IF(OR(F996="",D996="",L996=""),"",IF(L996="Sim",ROUND(F996-D996,2),0)))</f>
        <v/>
      </c>
      <c r="K996" s="97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inlineStr">
        <is>
          <t>Nao</t>
        </is>
      </c>
      <c r="W996" s="110" t="inlineStr">
        <is>
          <t>PC em analise</t>
        </is>
      </c>
      <c r="X996" s="110" t="inlineStr">
        <is>
          <t>Pedido de Compra</t>
        </is>
      </c>
      <c r="Y996" s="111" t="inlineStr">
        <is>
          <t>Impacto Potencial</t>
        </is>
      </c>
      <c r="Z996" s="111" t="inlineStr">
        <is>
          <t>PC</t>
        </is>
      </c>
      <c r="AA996" s="111" t="inlineStr">
        <is>
          <t>Nao</t>
        </is>
      </c>
      <c r="AB996" s="111" t="inlineStr">
        <is>
          <t>NAO_COMPUTADO</t>
        </is>
      </c>
      <c r="AC996" s="112" t="inlineStr">
        <is>
          <t>Estrutura Fase 1: sem impacto no VTA oficial</t>
        </is>
      </c>
    </row>
    <row r="997" ht="25.5" customHeight="1" s="289">
      <c r="A997" s="205" t="n"/>
      <c r="B997" s="207" t="n"/>
      <c r="C997" s="104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348" t="n"/>
      <c r="E997" s="349">
        <f>IF(C997="","",IFERROR(VLOOKUP(C997,parametros!$A$11:$E$15,5,0),""))</f>
        <v/>
      </c>
      <c r="F997" s="335">
        <f>IF(OR(D997="",E997=""),"",ROUND(D997*E997,2))</f>
        <v/>
      </c>
      <c r="G997" s="106" t="n"/>
      <c r="H997" s="350">
        <f>IF(G997="Sim",IF(OR(F997="",D997="",L997=""),"",IF(L997="Sim",ROUND(F997-D997,2),0)),0)</f>
        <v/>
      </c>
      <c r="I997" s="350">
        <f>IF(G997="Sim",0,IF(OR(F997="",L997=""),"",F997))</f>
        <v/>
      </c>
      <c r="J997" s="350">
        <f>IF(G997="Sim",0,IF(OR(F997="",D997="",L997=""),"",IF(L997="Sim",ROUND(F997-D997,2),0)))</f>
        <v/>
      </c>
      <c r="K997" s="97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inlineStr">
        <is>
          <t>Nao</t>
        </is>
      </c>
      <c r="W997" s="110" t="inlineStr">
        <is>
          <t>PC em analise</t>
        </is>
      </c>
      <c r="X997" s="110" t="inlineStr">
        <is>
          <t>Pedido de Compra</t>
        </is>
      </c>
      <c r="Y997" s="111" t="inlineStr">
        <is>
          <t>Impacto Potencial</t>
        </is>
      </c>
      <c r="Z997" s="111" t="inlineStr">
        <is>
          <t>PC</t>
        </is>
      </c>
      <c r="AA997" s="111" t="inlineStr">
        <is>
          <t>Nao</t>
        </is>
      </c>
      <c r="AB997" s="111" t="inlineStr">
        <is>
          <t>NAO_COMPUTADO</t>
        </is>
      </c>
      <c r="AC997" s="112" t="inlineStr">
        <is>
          <t>Estrutura Fase 1: sem impacto no VTA oficial</t>
        </is>
      </c>
    </row>
    <row r="998" ht="25.5" customHeight="1" s="289">
      <c r="A998" s="205" t="n"/>
      <c r="B998" s="207" t="n"/>
      <c r="C998" s="104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348" t="n"/>
      <c r="E998" s="349">
        <f>IF(C998="","",IFERROR(VLOOKUP(C998,parametros!$A$11:$E$15,5,0),""))</f>
        <v/>
      </c>
      <c r="F998" s="335">
        <f>IF(OR(D998="",E998=""),"",ROUND(D998*E998,2))</f>
        <v/>
      </c>
      <c r="G998" s="106" t="n"/>
      <c r="H998" s="350">
        <f>IF(G998="Sim",IF(OR(F998="",D998="",L998=""),"",IF(L998="Sim",ROUND(F998-D998,2),0)),0)</f>
        <v/>
      </c>
      <c r="I998" s="350">
        <f>IF(G998="Sim",0,IF(OR(F998="",L998=""),"",F998))</f>
        <v/>
      </c>
      <c r="J998" s="350">
        <f>IF(G998="Sim",0,IF(OR(F998="",D998="",L998=""),"",IF(L998="Sim",ROUND(F998-D998,2),0)))</f>
        <v/>
      </c>
      <c r="K998" s="97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inlineStr">
        <is>
          <t>Nao</t>
        </is>
      </c>
      <c r="W998" s="110" t="inlineStr">
        <is>
          <t>PC em analise</t>
        </is>
      </c>
      <c r="X998" s="110" t="inlineStr">
        <is>
          <t>Pedido de Compra</t>
        </is>
      </c>
      <c r="Y998" s="111" t="inlineStr">
        <is>
          <t>Impacto Potencial</t>
        </is>
      </c>
      <c r="Z998" s="111" t="inlineStr">
        <is>
          <t>PC</t>
        </is>
      </c>
      <c r="AA998" s="111" t="inlineStr">
        <is>
          <t>Nao</t>
        </is>
      </c>
      <c r="AB998" s="111" t="inlineStr">
        <is>
          <t>NAO_COMPUTADO</t>
        </is>
      </c>
      <c r="AC998" s="112" t="inlineStr">
        <is>
          <t>Estrutura Fase 1: sem impacto no VTA oficial</t>
        </is>
      </c>
    </row>
    <row r="999" ht="25.5" customHeight="1" s="289">
      <c r="A999" s="205" t="n"/>
      <c r="B999" s="207" t="n"/>
      <c r="C999" s="104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348" t="n"/>
      <c r="E999" s="349">
        <f>IF(C999="","",IFERROR(VLOOKUP(C999,parametros!$A$11:$E$15,5,0),""))</f>
        <v/>
      </c>
      <c r="F999" s="335">
        <f>IF(OR(D999="",E999=""),"",ROUND(D999*E999,2))</f>
        <v/>
      </c>
      <c r="G999" s="106" t="n"/>
      <c r="H999" s="350">
        <f>IF(G999="Sim",IF(OR(F999="",D999="",L999=""),"",IF(L999="Sim",ROUND(F999-D999,2),0)),0)</f>
        <v/>
      </c>
      <c r="I999" s="350">
        <f>IF(G999="Sim",0,IF(OR(F999="",L999=""),"",F999))</f>
        <v/>
      </c>
      <c r="J999" s="350">
        <f>IF(G999="Sim",0,IF(OR(F999="",D999="",L999=""),"",IF(L999="Sim",ROUND(F999-D999,2),0)))</f>
        <v/>
      </c>
      <c r="K999" s="97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inlineStr">
        <is>
          <t>Nao</t>
        </is>
      </c>
      <c r="W999" s="110" t="inlineStr">
        <is>
          <t>PC em analise</t>
        </is>
      </c>
      <c r="X999" s="110" t="inlineStr">
        <is>
          <t>Pedido de Compra</t>
        </is>
      </c>
      <c r="Y999" s="111" t="inlineStr">
        <is>
          <t>Impacto Potencial</t>
        </is>
      </c>
      <c r="Z999" s="111" t="inlineStr">
        <is>
          <t>PC</t>
        </is>
      </c>
      <c r="AA999" s="111" t="inlineStr">
        <is>
          <t>Nao</t>
        </is>
      </c>
      <c r="AB999" s="111" t="inlineStr">
        <is>
          <t>NAO_COMPUTADO</t>
        </is>
      </c>
      <c r="AC999" s="112" t="inlineStr">
        <is>
          <t>Estrutura Fase 1: sem impacto no VTA oficial</t>
        </is>
      </c>
    </row>
    <row r="1000" ht="25.5" customHeight="1" s="289">
      <c r="A1000" s="205" t="n"/>
      <c r="B1000" s="207" t="n"/>
      <c r="C1000" s="104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348" t="n"/>
      <c r="E1000" s="349">
        <f>IF(C1000="","",IFERROR(VLOOKUP(C1000,parametros!$A$11:$E$15,5,0),""))</f>
        <v/>
      </c>
      <c r="F1000" s="335">
        <f>IF(OR(D1000="",E1000=""),"",ROUND(D1000*E1000,2))</f>
        <v/>
      </c>
      <c r="G1000" s="106" t="n"/>
      <c r="H1000" s="350">
        <f>IF(G1000="Sim",IF(OR(F1000="",D1000="",L1000=""),"",IF(L1000="Sim",ROUND(F1000-D1000,2),0)),0)</f>
        <v/>
      </c>
      <c r="I1000" s="350">
        <f>IF(G1000="Sim",0,IF(OR(F1000="",L1000=""),"",F1000))</f>
        <v/>
      </c>
      <c r="J1000" s="350">
        <f>IF(G1000="Sim",0,IF(OR(F1000="",D1000="",L1000=""),"",IF(L1000="Sim",ROUND(F1000-D1000,2),0)))</f>
        <v/>
      </c>
      <c r="K1000" s="97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inlineStr">
        <is>
          <t>Nao</t>
        </is>
      </c>
      <c r="W1000" s="110" t="inlineStr">
        <is>
          <t>PC em analise</t>
        </is>
      </c>
      <c r="X1000" s="110" t="inlineStr">
        <is>
          <t>Pedido de Compra</t>
        </is>
      </c>
      <c r="Y1000" s="111" t="inlineStr">
        <is>
          <t>Impacto Potencial</t>
        </is>
      </c>
      <c r="Z1000" s="111" t="inlineStr">
        <is>
          <t>PC</t>
        </is>
      </c>
      <c r="AA1000" s="111" t="inlineStr">
        <is>
          <t>Nao</t>
        </is>
      </c>
      <c r="AB1000" s="111" t="inlineStr">
        <is>
          <t>NAO_COMPUTADO</t>
        </is>
      </c>
      <c r="AC1000" s="112" t="inlineStr">
        <is>
          <t>Estrutura Fase 1: sem impacto no VTA oficial</t>
        </is>
      </c>
    </row>
    <row r="1001" ht="25.5" customHeight="1" s="289">
      <c r="A1001" s="205" t="n"/>
      <c r="B1001" s="207" t="n"/>
      <c r="C1001" s="104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348" t="n"/>
      <c r="E1001" s="349">
        <f>IF(C1001="","",IFERROR(VLOOKUP(C1001,parametros!$A$11:$E$15,5,0),""))</f>
        <v/>
      </c>
      <c r="F1001" s="335">
        <f>IF(OR(D1001="",E1001=""),"",ROUND(D1001*E1001,2))</f>
        <v/>
      </c>
      <c r="G1001" s="106" t="n"/>
      <c r="H1001" s="350">
        <f>IF(G1001="Sim",IF(OR(F1001="",D1001="",L1001=""),"",IF(L1001="Sim",ROUND(F1001-D1001,2),0)),0)</f>
        <v/>
      </c>
      <c r="I1001" s="350">
        <f>IF(G1001="Sim",0,IF(OR(F1001="",L1001=""),"",F1001))</f>
        <v/>
      </c>
      <c r="J1001" s="350">
        <f>IF(G1001="Sim",0,IF(OR(F1001="",D1001="",L1001=""),"",IF(L1001="Sim",ROUND(F1001-D1001,2),0)))</f>
        <v/>
      </c>
      <c r="K1001" s="97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inlineStr">
        <is>
          <t>Nao</t>
        </is>
      </c>
      <c r="W1001" s="110" t="inlineStr">
        <is>
          <t>PC em analise</t>
        </is>
      </c>
      <c r="X1001" s="110" t="inlineStr">
        <is>
          <t>Pedido de Compra</t>
        </is>
      </c>
      <c r="Y1001" s="111" t="inlineStr">
        <is>
          <t>Impacto Potencial</t>
        </is>
      </c>
      <c r="Z1001" s="111" t="inlineStr">
        <is>
          <t>PC</t>
        </is>
      </c>
      <c r="AA1001" s="111" t="inlineStr">
        <is>
          <t>Nao</t>
        </is>
      </c>
      <c r="AB1001" s="111" t="inlineStr">
        <is>
          <t>NAO_COMPUTADO</t>
        </is>
      </c>
      <c r="AC1001" s="112" t="inlineStr">
        <is>
          <t>Estrutura Fase 1: sem impacto no VTA oficial</t>
        </is>
      </c>
    </row>
    <row r="1002" ht="25.5" customHeight="1" s="289">
      <c r="A1002" s="205" t="n"/>
      <c r="B1002" s="207" t="n"/>
      <c r="C1002" s="104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348" t="n"/>
      <c r="E1002" s="349">
        <f>IF(C1002="","",IFERROR(VLOOKUP(C1002,parametros!$A$11:$E$15,5,0),""))</f>
        <v/>
      </c>
      <c r="F1002" s="335">
        <f>IF(OR(D1002="",E1002=""),"",ROUND(D1002*E1002,2))</f>
        <v/>
      </c>
      <c r="G1002" s="106" t="n"/>
      <c r="H1002" s="350">
        <f>IF(G1002="Sim",IF(OR(F1002="",D1002="",L1002=""),"",IF(L1002="Sim",ROUND(F1002-D1002,2),0)),0)</f>
        <v/>
      </c>
      <c r="I1002" s="350">
        <f>IF(G1002="Sim",0,IF(OR(F1002="",L1002=""),"",F1002))</f>
        <v/>
      </c>
      <c r="J1002" s="350">
        <f>IF(G1002="Sim",0,IF(OR(F1002="",D1002="",L1002=""),"",IF(L1002="Sim",ROUND(F1002-D1002,2),0)))</f>
        <v/>
      </c>
      <c r="K1002" s="97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inlineStr">
        <is>
          <t>Nao</t>
        </is>
      </c>
      <c r="W1002" s="110" t="inlineStr">
        <is>
          <t>PC em analise</t>
        </is>
      </c>
      <c r="X1002" s="110" t="inlineStr">
        <is>
          <t>Pedido de Compra</t>
        </is>
      </c>
      <c r="Y1002" s="111" t="inlineStr">
        <is>
          <t>Impacto Potencial</t>
        </is>
      </c>
      <c r="Z1002" s="111" t="inlineStr">
        <is>
          <t>PC</t>
        </is>
      </c>
      <c r="AA1002" s="111" t="inlineStr">
        <is>
          <t>Nao</t>
        </is>
      </c>
      <c r="AB1002" s="111" t="inlineStr">
        <is>
          <t>NAO_COMPUTADO</t>
        </is>
      </c>
      <c r="AC1002" s="112" t="inlineStr">
        <is>
          <t>Estrutura Fase 1: sem impacto no VTA oficial</t>
        </is>
      </c>
    </row>
    <row r="1003" ht="25.5" customHeight="1" s="289">
      <c r="A1003" s="205" t="n"/>
      <c r="B1003" s="207" t="n"/>
      <c r="C1003" s="104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348" t="n"/>
      <c r="E1003" s="349">
        <f>IF(C1003="","",IFERROR(VLOOKUP(C1003,parametros!$A$11:$E$15,5,0),""))</f>
        <v/>
      </c>
      <c r="F1003" s="335">
        <f>IF(OR(D1003="",E1003=""),"",ROUND(D1003*E1003,2))</f>
        <v/>
      </c>
      <c r="G1003" s="106" t="n"/>
      <c r="H1003" s="350">
        <f>IF(G1003="Sim",IF(OR(F1003="",D1003="",L1003=""),"",IF(L1003="Sim",ROUND(F1003-D1003,2),0)),0)</f>
        <v/>
      </c>
      <c r="I1003" s="350">
        <f>IF(G1003="Sim",0,IF(OR(F1003="",L1003=""),"",F1003))</f>
        <v/>
      </c>
      <c r="J1003" s="350">
        <f>IF(G1003="Sim",0,IF(OR(F1003="",D1003="",L1003=""),"",IF(L1003="Sim",ROUND(F1003-D1003,2),0)))</f>
        <v/>
      </c>
      <c r="K1003" s="97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inlineStr">
        <is>
          <t>Nao</t>
        </is>
      </c>
      <c r="W1003" s="110" t="inlineStr">
        <is>
          <t>PC em analise</t>
        </is>
      </c>
      <c r="X1003" s="110" t="inlineStr">
        <is>
          <t>Pedido de Compra</t>
        </is>
      </c>
      <c r="Y1003" s="111" t="inlineStr">
        <is>
          <t>Impacto Potencial</t>
        </is>
      </c>
      <c r="Z1003" s="111" t="inlineStr">
        <is>
          <t>PC</t>
        </is>
      </c>
      <c r="AA1003" s="111" t="inlineStr">
        <is>
          <t>Nao</t>
        </is>
      </c>
      <c r="AB1003" s="111" t="inlineStr">
        <is>
          <t>NAO_COMPUTADO</t>
        </is>
      </c>
      <c r="AC1003" s="112" t="inlineStr">
        <is>
          <t>Estrutura Fase 1: sem impacto no VTA oficial</t>
        </is>
      </c>
    </row>
    <row r="1004" ht="25.5" customHeight="1" s="289">
      <c r="A1004" s="205" t="n"/>
      <c r="B1004" s="207" t="n"/>
      <c r="C1004" s="104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348" t="n"/>
      <c r="E1004" s="349">
        <f>IF(C1004="","",IFERROR(VLOOKUP(C1004,parametros!$A$11:$E$15,5,0),""))</f>
        <v/>
      </c>
      <c r="F1004" s="335">
        <f>IF(OR(D1004="",E1004=""),"",ROUND(D1004*E1004,2))</f>
        <v/>
      </c>
      <c r="G1004" s="106" t="n"/>
      <c r="H1004" s="350">
        <f>IF(G1004="Sim",IF(OR(F1004="",D1004="",L1004=""),"",IF(L1004="Sim",ROUND(F1004-D1004,2),0)),0)</f>
        <v/>
      </c>
      <c r="I1004" s="350">
        <f>IF(G1004="Sim",0,IF(OR(F1004="",L1004=""),"",F1004))</f>
        <v/>
      </c>
      <c r="J1004" s="350">
        <f>IF(G1004="Sim",0,IF(OR(F1004="",D1004="",L1004=""),"",IF(L1004="Sim",ROUND(F1004-D1004,2),0)))</f>
        <v/>
      </c>
      <c r="K1004" s="97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inlineStr">
        <is>
          <t>Nao</t>
        </is>
      </c>
      <c r="W1004" s="110" t="inlineStr">
        <is>
          <t>PC em analise</t>
        </is>
      </c>
      <c r="X1004" s="110" t="inlineStr">
        <is>
          <t>Pedido de Compra</t>
        </is>
      </c>
      <c r="Y1004" s="111" t="inlineStr">
        <is>
          <t>Impacto Potencial</t>
        </is>
      </c>
      <c r="Z1004" s="111" t="inlineStr">
        <is>
          <t>PC</t>
        </is>
      </c>
      <c r="AA1004" s="111" t="inlineStr">
        <is>
          <t>Nao</t>
        </is>
      </c>
      <c r="AB1004" s="111" t="inlineStr">
        <is>
          <t>NAO_COMPUTADO</t>
        </is>
      </c>
      <c r="AC1004" s="112" t="inlineStr">
        <is>
          <t>Estrutura Fase 1: sem impacto no VTA oficial</t>
        </is>
      </c>
    </row>
    <row r="1005" ht="25.5" customHeight="1" s="289">
      <c r="A1005" s="205" t="n"/>
      <c r="B1005" s="207" t="n"/>
      <c r="C1005" s="104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348" t="n"/>
      <c r="E1005" s="349">
        <f>IF(C1005="","",IFERROR(VLOOKUP(C1005,parametros!$A$11:$E$15,5,0),""))</f>
        <v/>
      </c>
      <c r="F1005" s="335">
        <f>IF(OR(D1005="",E1005=""),"",ROUND(D1005*E1005,2))</f>
        <v/>
      </c>
      <c r="G1005" s="106" t="n"/>
      <c r="H1005" s="350">
        <f>IF(G1005="Sim",IF(OR(F1005="",D1005="",L1005=""),"",IF(L1005="Sim",ROUND(F1005-D1005,2),0)),0)</f>
        <v/>
      </c>
      <c r="I1005" s="350">
        <f>IF(G1005="Sim",0,IF(OR(F1005="",L1005=""),"",F1005))</f>
        <v/>
      </c>
      <c r="J1005" s="350">
        <f>IF(G1005="Sim",0,IF(OR(F1005="",D1005="",L1005=""),"",IF(L1005="Sim",ROUND(F1005-D1005,2),0)))</f>
        <v/>
      </c>
      <c r="K1005" s="97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inlineStr">
        <is>
          <t>Nao</t>
        </is>
      </c>
      <c r="W1005" s="110" t="inlineStr">
        <is>
          <t>PC em analise</t>
        </is>
      </c>
      <c r="X1005" s="110" t="inlineStr">
        <is>
          <t>Pedido de Compra</t>
        </is>
      </c>
      <c r="Y1005" s="111" t="inlineStr">
        <is>
          <t>Impacto Potencial</t>
        </is>
      </c>
      <c r="Z1005" s="111" t="inlineStr">
        <is>
          <t>PC</t>
        </is>
      </c>
      <c r="AA1005" s="111" t="inlineStr">
        <is>
          <t>Nao</t>
        </is>
      </c>
      <c r="AB1005" s="111" t="inlineStr">
        <is>
          <t>NAO_COMPUTADO</t>
        </is>
      </c>
      <c r="AC1005" s="112" t="inlineStr">
        <is>
          <t>Estrutura Fase 1: sem impacto no VTA oficial</t>
        </is>
      </c>
    </row>
    <row r="1006" ht="25.5" customHeight="1" s="289">
      <c r="A1006" s="205" t="n"/>
      <c r="B1006" s="207" t="n"/>
      <c r="C1006" s="104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348" t="n"/>
      <c r="E1006" s="349">
        <f>IF(C1006="","",IFERROR(VLOOKUP(C1006,parametros!$A$11:$E$15,5,0),""))</f>
        <v/>
      </c>
      <c r="F1006" s="335">
        <f>IF(OR(D1006="",E1006=""),"",ROUND(D1006*E1006,2))</f>
        <v/>
      </c>
      <c r="G1006" s="106" t="n"/>
      <c r="H1006" s="350">
        <f>IF(G1006="Sim",IF(OR(F1006="",D1006="",L1006=""),"",IF(L1006="Sim",ROUND(F1006-D1006,2),0)),0)</f>
        <v/>
      </c>
      <c r="I1006" s="350">
        <f>IF(G1006="Sim",0,IF(OR(F1006="",L1006=""),"",F1006))</f>
        <v/>
      </c>
      <c r="J1006" s="350">
        <f>IF(G1006="Sim",0,IF(OR(F1006="",D1006="",L1006=""),"",IF(L1006="Sim",ROUND(F1006-D1006,2),0)))</f>
        <v/>
      </c>
      <c r="K1006" s="97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inlineStr">
        <is>
          <t>Nao</t>
        </is>
      </c>
      <c r="W1006" s="110" t="inlineStr">
        <is>
          <t>PC em analise</t>
        </is>
      </c>
      <c r="X1006" s="110" t="inlineStr">
        <is>
          <t>Pedido de Compra</t>
        </is>
      </c>
      <c r="Y1006" s="111" t="inlineStr">
        <is>
          <t>Impacto Potencial</t>
        </is>
      </c>
      <c r="Z1006" s="111" t="inlineStr">
        <is>
          <t>PC</t>
        </is>
      </c>
      <c r="AA1006" s="111" t="inlineStr">
        <is>
          <t>Nao</t>
        </is>
      </c>
      <c r="AB1006" s="111" t="inlineStr">
        <is>
          <t>NAO_COMPUTADO</t>
        </is>
      </c>
      <c r="AC1006" s="112" t="inlineStr">
        <is>
          <t>Estrutura Fase 1: sem impacto no VTA oficial</t>
        </is>
      </c>
    </row>
    <row r="1007" ht="25.5" customHeight="1" s="289">
      <c r="A1007" s="205" t="n"/>
      <c r="B1007" s="207" t="n"/>
      <c r="C1007" s="104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348" t="n"/>
      <c r="E1007" s="349">
        <f>IF(C1007="","",IFERROR(VLOOKUP(C1007,parametros!$A$11:$E$15,5,0),""))</f>
        <v/>
      </c>
      <c r="F1007" s="335">
        <f>IF(OR(D1007="",E1007=""),"",ROUND(D1007*E1007,2))</f>
        <v/>
      </c>
      <c r="G1007" s="106" t="n"/>
      <c r="H1007" s="350">
        <f>IF(G1007="Sim",IF(OR(F1007="",D1007="",L1007=""),"",IF(L1007="Sim",ROUND(F1007-D1007,2),0)),0)</f>
        <v/>
      </c>
      <c r="I1007" s="350">
        <f>IF(G1007="Sim",0,IF(OR(F1007="",L1007=""),"",F1007))</f>
        <v/>
      </c>
      <c r="J1007" s="350">
        <f>IF(G1007="Sim",0,IF(OR(F1007="",D1007="",L1007=""),"",IF(L1007="Sim",ROUND(F1007-D1007,2),0)))</f>
        <v/>
      </c>
      <c r="K1007" s="97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inlineStr">
        <is>
          <t>Nao</t>
        </is>
      </c>
      <c r="W1007" s="110" t="inlineStr">
        <is>
          <t>PC em analise</t>
        </is>
      </c>
      <c r="X1007" s="110" t="inlineStr">
        <is>
          <t>Pedido de Compra</t>
        </is>
      </c>
      <c r="Y1007" s="111" t="inlineStr">
        <is>
          <t>Impacto Potencial</t>
        </is>
      </c>
      <c r="Z1007" s="111" t="inlineStr">
        <is>
          <t>PC</t>
        </is>
      </c>
      <c r="AA1007" s="111" t="inlineStr">
        <is>
          <t>Nao</t>
        </is>
      </c>
      <c r="AB1007" s="111" t="inlineStr">
        <is>
          <t>NAO_COMPUTADO</t>
        </is>
      </c>
      <c r="AC1007" s="112" t="inlineStr">
        <is>
          <t>Estrutura Fase 1: sem impacto no VTA oficial</t>
        </is>
      </c>
    </row>
    <row r="1008" ht="25.5" customHeight="1" s="289">
      <c r="A1008" s="205" t="n"/>
      <c r="B1008" s="207" t="n"/>
      <c r="C1008" s="104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348" t="n"/>
      <c r="E1008" s="349">
        <f>IF(C1008="","",IFERROR(VLOOKUP(C1008,parametros!$A$11:$E$15,5,0),""))</f>
        <v/>
      </c>
      <c r="F1008" s="335">
        <f>IF(OR(D1008="",E1008=""),"",ROUND(D1008*E1008,2))</f>
        <v/>
      </c>
      <c r="G1008" s="106" t="n"/>
      <c r="H1008" s="350">
        <f>IF(G1008="Sim",IF(OR(F1008="",D1008="",L1008=""),"",IF(L1008="Sim",ROUND(F1008-D1008,2),0)),0)</f>
        <v/>
      </c>
      <c r="I1008" s="350">
        <f>IF(G1008="Sim",0,IF(OR(F1008="",L1008=""),"",F1008))</f>
        <v/>
      </c>
      <c r="J1008" s="350">
        <f>IF(G1008="Sim",0,IF(OR(F1008="",D1008="",L1008=""),"",IF(L1008="Sim",ROUND(F1008-D1008,2),0)))</f>
        <v/>
      </c>
      <c r="K1008" s="97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inlineStr">
        <is>
          <t>Nao</t>
        </is>
      </c>
      <c r="W1008" s="110" t="inlineStr">
        <is>
          <t>PC em analise</t>
        </is>
      </c>
      <c r="X1008" s="110" t="inlineStr">
        <is>
          <t>Pedido de Compra</t>
        </is>
      </c>
      <c r="Y1008" s="111" t="inlineStr">
        <is>
          <t>Impacto Potencial</t>
        </is>
      </c>
      <c r="Z1008" s="111" t="inlineStr">
        <is>
          <t>PC</t>
        </is>
      </c>
      <c r="AA1008" s="111" t="inlineStr">
        <is>
          <t>Nao</t>
        </is>
      </c>
      <c r="AB1008" s="111" t="inlineStr">
        <is>
          <t>NAO_COMPUTADO</t>
        </is>
      </c>
      <c r="AC1008" s="112" t="inlineStr">
        <is>
          <t>Estrutura Fase 1: sem impacto no VTA oficial</t>
        </is>
      </c>
    </row>
    <row r="1009" ht="25.5" customHeight="1" s="289">
      <c r="A1009" s="205" t="n"/>
      <c r="B1009" s="207" t="n"/>
      <c r="C1009" s="104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348" t="n"/>
      <c r="E1009" s="349">
        <f>IF(C1009="","",IFERROR(VLOOKUP(C1009,parametros!$A$11:$E$15,5,0),""))</f>
        <v/>
      </c>
      <c r="F1009" s="335">
        <f>IF(OR(D1009="",E1009=""),"",ROUND(D1009*E1009,2))</f>
        <v/>
      </c>
      <c r="G1009" s="106" t="n"/>
      <c r="H1009" s="350">
        <f>IF(G1009="Sim",IF(OR(F1009="",D1009="",L1009=""),"",IF(L1009="Sim",ROUND(F1009-D1009,2),0)),0)</f>
        <v/>
      </c>
      <c r="I1009" s="350">
        <f>IF(G1009="Sim",0,IF(OR(F1009="",L1009=""),"",F1009))</f>
        <v/>
      </c>
      <c r="J1009" s="350">
        <f>IF(G1009="Sim",0,IF(OR(F1009="",D1009="",L1009=""),"",IF(L1009="Sim",ROUND(F1009-D1009,2),0)))</f>
        <v/>
      </c>
      <c r="K1009" s="97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inlineStr">
        <is>
          <t>Nao</t>
        </is>
      </c>
      <c r="W1009" s="110" t="inlineStr">
        <is>
          <t>PC em analise</t>
        </is>
      </c>
      <c r="X1009" s="110" t="inlineStr">
        <is>
          <t>Pedido de Compra</t>
        </is>
      </c>
      <c r="Y1009" s="111" t="inlineStr">
        <is>
          <t>Impacto Potencial</t>
        </is>
      </c>
      <c r="Z1009" s="111" t="inlineStr">
        <is>
          <t>PC</t>
        </is>
      </c>
      <c r="AA1009" s="111" t="inlineStr">
        <is>
          <t>Nao</t>
        </is>
      </c>
      <c r="AB1009" s="111" t="inlineStr">
        <is>
          <t>NAO_COMPUTADO</t>
        </is>
      </c>
      <c r="AC1009" s="112" t="inlineStr">
        <is>
          <t>Estrutura Fase 1: sem impacto no VTA oficial</t>
        </is>
      </c>
    </row>
    <row r="1010" ht="25.5" customHeight="1" s="289">
      <c r="A1010" s="205" t="n"/>
      <c r="B1010" s="207" t="n"/>
      <c r="C1010" s="104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348" t="n"/>
      <c r="E1010" s="349">
        <f>IF(C1010="","",IFERROR(VLOOKUP(C1010,parametros!$A$11:$E$15,5,0),""))</f>
        <v/>
      </c>
      <c r="F1010" s="335">
        <f>IF(OR(D1010="",E1010=""),"",ROUND(D1010*E1010,2))</f>
        <v/>
      </c>
      <c r="G1010" s="106" t="n"/>
      <c r="H1010" s="350">
        <f>IF(G1010="Sim",IF(OR(F1010="",D1010="",L1010=""),"",IF(L1010="Sim",ROUND(F1010-D1010,2),0)),0)</f>
        <v/>
      </c>
      <c r="I1010" s="350">
        <f>IF(G1010="Sim",0,IF(OR(F1010="",L1010=""),"",F1010))</f>
        <v/>
      </c>
      <c r="J1010" s="350">
        <f>IF(G1010="Sim",0,IF(OR(F1010="",D1010="",L1010=""),"",IF(L1010="Sim",ROUND(F1010-D1010,2),0)))</f>
        <v/>
      </c>
      <c r="K1010" s="97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inlineStr">
        <is>
          <t>Nao</t>
        </is>
      </c>
      <c r="W1010" s="110" t="inlineStr">
        <is>
          <t>PC em analise</t>
        </is>
      </c>
      <c r="X1010" s="110" t="inlineStr">
        <is>
          <t>Pedido de Compra</t>
        </is>
      </c>
      <c r="Y1010" s="111" t="inlineStr">
        <is>
          <t>Impacto Potencial</t>
        </is>
      </c>
      <c r="Z1010" s="111" t="inlineStr">
        <is>
          <t>PC</t>
        </is>
      </c>
      <c r="AA1010" s="111" t="inlineStr">
        <is>
          <t>Nao</t>
        </is>
      </c>
      <c r="AB1010" s="111" t="inlineStr">
        <is>
          <t>NAO_COMPUTADO</t>
        </is>
      </c>
      <c r="AC1010" s="112" t="inlineStr">
        <is>
          <t>Estrutura Fase 1: sem impacto no VTA oficial</t>
        </is>
      </c>
    </row>
    <row r="1011" ht="25.5" customHeight="1" s="289">
      <c r="A1011" s="205" t="n"/>
      <c r="B1011" s="207" t="n"/>
      <c r="C1011" s="104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348" t="n"/>
      <c r="E1011" s="349">
        <f>IF(C1011="","",IFERROR(VLOOKUP(C1011,parametros!$A$11:$E$15,5,0),""))</f>
        <v/>
      </c>
      <c r="F1011" s="335">
        <f>IF(OR(D1011="",E1011=""),"",ROUND(D1011*E1011,2))</f>
        <v/>
      </c>
      <c r="G1011" s="106" t="n"/>
      <c r="H1011" s="350">
        <f>IF(G1011="Sim",IF(OR(F1011="",D1011="",L1011=""),"",IF(L1011="Sim",ROUND(F1011-D1011,2),0)),0)</f>
        <v/>
      </c>
      <c r="I1011" s="350">
        <f>IF(G1011="Sim",0,IF(OR(F1011="",L1011=""),"",F1011))</f>
        <v/>
      </c>
      <c r="J1011" s="350">
        <f>IF(G1011="Sim",0,IF(OR(F1011="",D1011="",L1011=""),"",IF(L1011="Sim",ROUND(F1011-D1011,2),0)))</f>
        <v/>
      </c>
      <c r="K1011" s="97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inlineStr">
        <is>
          <t>Nao</t>
        </is>
      </c>
      <c r="W1011" s="110" t="inlineStr">
        <is>
          <t>PC em analise</t>
        </is>
      </c>
      <c r="X1011" s="110" t="inlineStr">
        <is>
          <t>Pedido de Compra</t>
        </is>
      </c>
      <c r="Y1011" s="111" t="inlineStr">
        <is>
          <t>Impacto Potencial</t>
        </is>
      </c>
      <c r="Z1011" s="111" t="inlineStr">
        <is>
          <t>PC</t>
        </is>
      </c>
      <c r="AA1011" s="111" t="inlineStr">
        <is>
          <t>Nao</t>
        </is>
      </c>
      <c r="AB1011" s="111" t="inlineStr">
        <is>
          <t>NAO_COMPUTADO</t>
        </is>
      </c>
      <c r="AC1011" s="112" t="inlineStr">
        <is>
          <t>Estrutura Fase 1: sem impacto no VTA oficial</t>
        </is>
      </c>
    </row>
    <row r="1012" ht="25.5" customHeight="1" s="289">
      <c r="A1012" s="205" t="n"/>
      <c r="B1012" s="207" t="n"/>
      <c r="C1012" s="104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348" t="n"/>
      <c r="E1012" s="349">
        <f>IF(C1012="","",IFERROR(VLOOKUP(C1012,parametros!$A$11:$E$15,5,0),""))</f>
        <v/>
      </c>
      <c r="F1012" s="335">
        <f>IF(OR(D1012="",E1012=""),"",ROUND(D1012*E1012,2))</f>
        <v/>
      </c>
      <c r="G1012" s="106" t="n"/>
      <c r="H1012" s="350">
        <f>IF(G1012="Sim",IF(OR(F1012="",D1012="",L1012=""),"",IF(L1012="Sim",ROUND(F1012-D1012,2),0)),0)</f>
        <v/>
      </c>
      <c r="I1012" s="350">
        <f>IF(G1012="Sim",0,IF(OR(F1012="",L1012=""),"",F1012))</f>
        <v/>
      </c>
      <c r="J1012" s="350">
        <f>IF(G1012="Sim",0,IF(OR(F1012="",D1012="",L1012=""),"",IF(L1012="Sim",ROUND(F1012-D1012,2),0)))</f>
        <v/>
      </c>
      <c r="K1012" s="97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inlineStr">
        <is>
          <t>Nao</t>
        </is>
      </c>
      <c r="W1012" s="110" t="inlineStr">
        <is>
          <t>PC em analise</t>
        </is>
      </c>
      <c r="X1012" s="110" t="inlineStr">
        <is>
          <t>Pedido de Compra</t>
        </is>
      </c>
      <c r="Y1012" s="111" t="inlineStr">
        <is>
          <t>Impacto Potencial</t>
        </is>
      </c>
      <c r="Z1012" s="111" t="inlineStr">
        <is>
          <t>PC</t>
        </is>
      </c>
      <c r="AA1012" s="111" t="inlineStr">
        <is>
          <t>Nao</t>
        </is>
      </c>
      <c r="AB1012" s="111" t="inlineStr">
        <is>
          <t>NAO_COMPUTADO</t>
        </is>
      </c>
      <c r="AC1012" s="112" t="inlineStr">
        <is>
          <t>Estrutura Fase 1: sem impacto no VTA oficial</t>
        </is>
      </c>
    </row>
    <row r="1013" ht="25.5" customHeight="1" s="289">
      <c r="A1013" s="205" t="n"/>
      <c r="B1013" s="207" t="n"/>
      <c r="C1013" s="104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348" t="n"/>
      <c r="E1013" s="349">
        <f>IF(C1013="","",IFERROR(VLOOKUP(C1013,parametros!$A$11:$E$15,5,0),""))</f>
        <v/>
      </c>
      <c r="F1013" s="335">
        <f>IF(OR(D1013="",E1013=""),"",ROUND(D1013*E1013,2))</f>
        <v/>
      </c>
      <c r="G1013" s="106" t="n"/>
      <c r="H1013" s="350">
        <f>IF(G1013="Sim",IF(OR(F1013="",D1013="",L1013=""),"",IF(L1013="Sim",ROUND(F1013-D1013,2),0)),0)</f>
        <v/>
      </c>
      <c r="I1013" s="350">
        <f>IF(G1013="Sim",0,IF(OR(F1013="",L1013=""),"",F1013))</f>
        <v/>
      </c>
      <c r="J1013" s="350">
        <f>IF(G1013="Sim",0,IF(OR(F1013="",D1013="",L1013=""),"",IF(L1013="Sim",ROUND(F1013-D1013,2),0)))</f>
        <v/>
      </c>
      <c r="K1013" s="97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inlineStr">
        <is>
          <t>Nao</t>
        </is>
      </c>
      <c r="W1013" s="110" t="inlineStr">
        <is>
          <t>PC em analise</t>
        </is>
      </c>
      <c r="X1013" s="110" t="inlineStr">
        <is>
          <t>Pedido de Compra</t>
        </is>
      </c>
      <c r="Y1013" s="111" t="inlineStr">
        <is>
          <t>Impacto Potencial</t>
        </is>
      </c>
      <c r="Z1013" s="111" t="inlineStr">
        <is>
          <t>PC</t>
        </is>
      </c>
      <c r="AA1013" s="111" t="inlineStr">
        <is>
          <t>Nao</t>
        </is>
      </c>
      <c r="AB1013" s="111" t="inlineStr">
        <is>
          <t>NAO_COMPUTADO</t>
        </is>
      </c>
      <c r="AC1013" s="112" t="inlineStr">
        <is>
          <t>Estrutura Fase 1: sem impacto no VTA oficial</t>
        </is>
      </c>
    </row>
    <row r="1014" ht="25.5" customHeight="1" s="289">
      <c r="A1014" s="205" t="n"/>
      <c r="B1014" s="207" t="n"/>
      <c r="C1014" s="104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348" t="n"/>
      <c r="E1014" s="349">
        <f>IF(C1014="","",IFERROR(VLOOKUP(C1014,parametros!$A$11:$E$15,5,0),""))</f>
        <v/>
      </c>
      <c r="F1014" s="335">
        <f>IF(OR(D1014="",E1014=""),"",ROUND(D1014*E1014,2))</f>
        <v/>
      </c>
      <c r="G1014" s="106" t="n"/>
      <c r="H1014" s="350">
        <f>IF(G1014="Sim",IF(OR(F1014="",D1014="",L1014=""),"",IF(L1014="Sim",ROUND(F1014-D1014,2),0)),0)</f>
        <v/>
      </c>
      <c r="I1014" s="350">
        <f>IF(G1014="Sim",0,IF(OR(F1014="",L1014=""),"",F1014))</f>
        <v/>
      </c>
      <c r="J1014" s="350">
        <f>IF(G1014="Sim",0,IF(OR(F1014="",D1014="",L1014=""),"",IF(L1014="Sim",ROUND(F1014-D1014,2),0)))</f>
        <v/>
      </c>
      <c r="K1014" s="97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inlineStr">
        <is>
          <t>Nao</t>
        </is>
      </c>
      <c r="W1014" s="110" t="inlineStr">
        <is>
          <t>PC em analise</t>
        </is>
      </c>
      <c r="X1014" s="110" t="inlineStr">
        <is>
          <t>Pedido de Compra</t>
        </is>
      </c>
      <c r="Y1014" s="111" t="inlineStr">
        <is>
          <t>Impacto Potencial</t>
        </is>
      </c>
      <c r="Z1014" s="111" t="inlineStr">
        <is>
          <t>PC</t>
        </is>
      </c>
      <c r="AA1014" s="111" t="inlineStr">
        <is>
          <t>Nao</t>
        </is>
      </c>
      <c r="AB1014" s="111" t="inlineStr">
        <is>
          <t>NAO_COMPUTADO</t>
        </is>
      </c>
      <c r="AC1014" s="112" t="inlineStr">
        <is>
          <t>Estrutura Fase 1: sem impacto no VTA oficial</t>
        </is>
      </c>
    </row>
    <row r="1015" ht="25.5" customHeight="1" s="289">
      <c r="A1015" s="205" t="n"/>
      <c r="B1015" s="207" t="n"/>
      <c r="C1015" s="104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348" t="n"/>
      <c r="E1015" s="349">
        <f>IF(C1015="","",IFERROR(VLOOKUP(C1015,parametros!$A$11:$E$15,5,0),""))</f>
        <v/>
      </c>
      <c r="F1015" s="335">
        <f>IF(OR(D1015="",E1015=""),"",ROUND(D1015*E1015,2))</f>
        <v/>
      </c>
      <c r="G1015" s="106" t="n"/>
      <c r="H1015" s="350">
        <f>IF(G1015="Sim",IF(OR(F1015="",D1015="",L1015=""),"",IF(L1015="Sim",ROUND(F1015-D1015,2),0)),0)</f>
        <v/>
      </c>
      <c r="I1015" s="350">
        <f>IF(G1015="Sim",0,IF(OR(F1015="",L1015=""),"",F1015))</f>
        <v/>
      </c>
      <c r="J1015" s="350">
        <f>IF(G1015="Sim",0,IF(OR(F1015="",D1015="",L1015=""),"",IF(L1015="Sim",ROUND(F1015-D1015,2),0)))</f>
        <v/>
      </c>
      <c r="K1015" s="97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inlineStr">
        <is>
          <t>Nao</t>
        </is>
      </c>
      <c r="W1015" s="110" t="inlineStr">
        <is>
          <t>PC em analise</t>
        </is>
      </c>
      <c r="X1015" s="110" t="inlineStr">
        <is>
          <t>Pedido de Compra</t>
        </is>
      </c>
      <c r="Y1015" s="111" t="inlineStr">
        <is>
          <t>Impacto Potencial</t>
        </is>
      </c>
      <c r="Z1015" s="111" t="inlineStr">
        <is>
          <t>PC</t>
        </is>
      </c>
      <c r="AA1015" s="111" t="inlineStr">
        <is>
          <t>Nao</t>
        </is>
      </c>
      <c r="AB1015" s="111" t="inlineStr">
        <is>
          <t>NAO_COMPUTADO</t>
        </is>
      </c>
      <c r="AC1015" s="112" t="inlineStr">
        <is>
          <t>Estrutura Fase 1: sem impacto no VTA oficial</t>
        </is>
      </c>
    </row>
    <row r="1016" ht="25.5" customHeight="1" s="289">
      <c r="A1016" s="205" t="n"/>
      <c r="B1016" s="207" t="n"/>
      <c r="C1016" s="104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348" t="n"/>
      <c r="E1016" s="349">
        <f>IF(C1016="","",IFERROR(VLOOKUP(C1016,parametros!$A$11:$E$15,5,0),""))</f>
        <v/>
      </c>
      <c r="F1016" s="335">
        <f>IF(OR(D1016="",E1016=""),"",ROUND(D1016*E1016,2))</f>
        <v/>
      </c>
      <c r="G1016" s="106" t="n"/>
      <c r="H1016" s="350">
        <f>IF(G1016="Sim",IF(OR(F1016="",D1016="",L1016=""),"",IF(L1016="Sim",ROUND(F1016-D1016,2),0)),0)</f>
        <v/>
      </c>
      <c r="I1016" s="350">
        <f>IF(G1016="Sim",0,IF(OR(F1016="",L1016=""),"",F1016))</f>
        <v/>
      </c>
      <c r="J1016" s="350">
        <f>IF(G1016="Sim",0,IF(OR(F1016="",D1016="",L1016=""),"",IF(L1016="Sim",ROUND(F1016-D1016,2),0)))</f>
        <v/>
      </c>
      <c r="K1016" s="97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inlineStr">
        <is>
          <t>Nao</t>
        </is>
      </c>
      <c r="W1016" s="110" t="inlineStr">
        <is>
          <t>PC em analise</t>
        </is>
      </c>
      <c r="X1016" s="110" t="inlineStr">
        <is>
          <t>Pedido de Compra</t>
        </is>
      </c>
      <c r="Y1016" s="111" t="inlineStr">
        <is>
          <t>Impacto Potencial</t>
        </is>
      </c>
      <c r="Z1016" s="111" t="inlineStr">
        <is>
          <t>PC</t>
        </is>
      </c>
      <c r="AA1016" s="111" t="inlineStr">
        <is>
          <t>Nao</t>
        </is>
      </c>
      <c r="AB1016" s="111" t="inlineStr">
        <is>
          <t>NAO_COMPUTADO</t>
        </is>
      </c>
      <c r="AC1016" s="112" t="inlineStr">
        <is>
          <t>Estrutura Fase 1: sem impacto no VTA oficial</t>
        </is>
      </c>
    </row>
    <row r="1017" ht="25.5" customHeight="1" s="289">
      <c r="A1017" s="205" t="n"/>
      <c r="B1017" s="207" t="n"/>
      <c r="C1017" s="104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348" t="n"/>
      <c r="E1017" s="349">
        <f>IF(C1017="","",IFERROR(VLOOKUP(C1017,parametros!$A$11:$E$15,5,0),""))</f>
        <v/>
      </c>
      <c r="F1017" s="335">
        <f>IF(OR(D1017="",E1017=""),"",ROUND(D1017*E1017,2))</f>
        <v/>
      </c>
      <c r="G1017" s="106" t="n"/>
      <c r="H1017" s="350">
        <f>IF(G1017="Sim",IF(OR(F1017="",D1017="",L1017=""),"",IF(L1017="Sim",ROUND(F1017-D1017,2),0)),0)</f>
        <v/>
      </c>
      <c r="I1017" s="350">
        <f>IF(G1017="Sim",0,IF(OR(F1017="",L1017=""),"",F1017))</f>
        <v/>
      </c>
      <c r="J1017" s="350">
        <f>IF(G1017="Sim",0,IF(OR(F1017="",D1017="",L1017=""),"",IF(L1017="Sim",ROUND(F1017-D1017,2),0)))</f>
        <v/>
      </c>
      <c r="K1017" s="97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inlineStr">
        <is>
          <t>Nao</t>
        </is>
      </c>
      <c r="W1017" s="110" t="inlineStr">
        <is>
          <t>PC em analise</t>
        </is>
      </c>
      <c r="X1017" s="110" t="inlineStr">
        <is>
          <t>Pedido de Compra</t>
        </is>
      </c>
      <c r="Y1017" s="111" t="inlineStr">
        <is>
          <t>Impacto Potencial</t>
        </is>
      </c>
      <c r="Z1017" s="111" t="inlineStr">
        <is>
          <t>PC</t>
        </is>
      </c>
      <c r="AA1017" s="111" t="inlineStr">
        <is>
          <t>Nao</t>
        </is>
      </c>
      <c r="AB1017" s="111" t="inlineStr">
        <is>
          <t>NAO_COMPUTADO</t>
        </is>
      </c>
      <c r="AC1017" s="112" t="inlineStr">
        <is>
          <t>Estrutura Fase 1: sem impacto no VTA oficial</t>
        </is>
      </c>
    </row>
    <row r="1018" ht="25.5" customHeight="1" s="289">
      <c r="A1018" s="205" t="n"/>
      <c r="B1018" s="207" t="n"/>
      <c r="C1018" s="104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348" t="n"/>
      <c r="E1018" s="349">
        <f>IF(C1018="","",IFERROR(VLOOKUP(C1018,parametros!$A$11:$E$15,5,0),""))</f>
        <v/>
      </c>
      <c r="F1018" s="335">
        <f>IF(OR(D1018="",E1018=""),"",ROUND(D1018*E1018,2))</f>
        <v/>
      </c>
      <c r="G1018" s="106" t="n"/>
      <c r="H1018" s="350">
        <f>IF(G1018="Sim",IF(OR(F1018="",D1018="",L1018=""),"",IF(L1018="Sim",ROUND(F1018-D1018,2),0)),0)</f>
        <v/>
      </c>
      <c r="I1018" s="350">
        <f>IF(G1018="Sim",0,IF(OR(F1018="",L1018=""),"",F1018))</f>
        <v/>
      </c>
      <c r="J1018" s="350">
        <f>IF(G1018="Sim",0,IF(OR(F1018="",D1018="",L1018=""),"",IF(L1018="Sim",ROUND(F1018-D1018,2),0)))</f>
        <v/>
      </c>
      <c r="K1018" s="97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inlineStr">
        <is>
          <t>Nao</t>
        </is>
      </c>
      <c r="W1018" s="110" t="inlineStr">
        <is>
          <t>PC em analise</t>
        </is>
      </c>
      <c r="X1018" s="110" t="inlineStr">
        <is>
          <t>Pedido de Compra</t>
        </is>
      </c>
      <c r="Y1018" s="111" t="inlineStr">
        <is>
          <t>Impacto Potencial</t>
        </is>
      </c>
      <c r="Z1018" s="111" t="inlineStr">
        <is>
          <t>PC</t>
        </is>
      </c>
      <c r="AA1018" s="111" t="inlineStr">
        <is>
          <t>Nao</t>
        </is>
      </c>
      <c r="AB1018" s="111" t="inlineStr">
        <is>
          <t>NAO_COMPUTADO</t>
        </is>
      </c>
      <c r="AC1018" s="112" t="inlineStr">
        <is>
          <t>Estrutura Fase 1: sem impacto no VTA oficial</t>
        </is>
      </c>
    </row>
    <row r="1019" ht="25.5" customHeight="1" s="289">
      <c r="A1019" s="205" t="n"/>
      <c r="B1019" s="207" t="n"/>
      <c r="C1019" s="104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348" t="n"/>
      <c r="E1019" s="349">
        <f>IF(C1019="","",IFERROR(VLOOKUP(C1019,parametros!$A$11:$E$15,5,0),""))</f>
        <v/>
      </c>
      <c r="F1019" s="335">
        <f>IF(OR(D1019="",E1019=""),"",ROUND(D1019*E1019,2))</f>
        <v/>
      </c>
      <c r="G1019" s="106" t="n"/>
      <c r="H1019" s="350">
        <f>IF(G1019="Sim",IF(OR(F1019="",D1019="",L1019=""),"",IF(L1019="Sim",ROUND(F1019-D1019,2),0)),0)</f>
        <v/>
      </c>
      <c r="I1019" s="350">
        <f>IF(G1019="Sim",0,IF(OR(F1019="",L1019=""),"",F1019))</f>
        <v/>
      </c>
      <c r="J1019" s="350">
        <f>IF(G1019="Sim",0,IF(OR(F1019="",D1019="",L1019=""),"",IF(L1019="Sim",ROUND(F1019-D1019,2),0)))</f>
        <v/>
      </c>
      <c r="K1019" s="97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inlineStr">
        <is>
          <t>Nao</t>
        </is>
      </c>
      <c r="W1019" s="110" t="inlineStr">
        <is>
          <t>PC em analise</t>
        </is>
      </c>
      <c r="X1019" s="110" t="inlineStr">
        <is>
          <t>Pedido de Compra</t>
        </is>
      </c>
      <c r="Y1019" s="111" t="inlineStr">
        <is>
          <t>Impacto Potencial</t>
        </is>
      </c>
      <c r="Z1019" s="111" t="inlineStr">
        <is>
          <t>PC</t>
        </is>
      </c>
      <c r="AA1019" s="111" t="inlineStr">
        <is>
          <t>Nao</t>
        </is>
      </c>
      <c r="AB1019" s="111" t="inlineStr">
        <is>
          <t>NAO_COMPUTADO</t>
        </is>
      </c>
      <c r="AC1019" s="112" t="inlineStr">
        <is>
          <t>Estrutura Fase 1: sem impacto no VTA oficial</t>
        </is>
      </c>
    </row>
    <row r="1020" ht="25.5" customHeight="1" s="289">
      <c r="A1020" s="205" t="n"/>
      <c r="B1020" s="207" t="n"/>
      <c r="C1020" s="104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348" t="n"/>
      <c r="E1020" s="349">
        <f>IF(C1020="","",IFERROR(VLOOKUP(C1020,parametros!$A$11:$E$15,5,0),""))</f>
        <v/>
      </c>
      <c r="F1020" s="335">
        <f>IF(OR(D1020="",E1020=""),"",ROUND(D1020*E1020,2))</f>
        <v/>
      </c>
      <c r="G1020" s="106" t="n"/>
      <c r="H1020" s="350">
        <f>IF(G1020="Sim",IF(OR(F1020="",D1020="",L1020=""),"",IF(L1020="Sim",ROUND(F1020-D1020,2),0)),0)</f>
        <v/>
      </c>
      <c r="I1020" s="350">
        <f>IF(G1020="Sim",0,IF(OR(F1020="",L1020=""),"",F1020))</f>
        <v/>
      </c>
      <c r="J1020" s="350">
        <f>IF(G1020="Sim",0,IF(OR(F1020="",D1020="",L1020=""),"",IF(L1020="Sim",ROUND(F1020-D1020,2),0)))</f>
        <v/>
      </c>
      <c r="K1020" s="97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inlineStr">
        <is>
          <t>Nao</t>
        </is>
      </c>
      <c r="W1020" s="110" t="inlineStr">
        <is>
          <t>PC em analise</t>
        </is>
      </c>
      <c r="X1020" s="110" t="inlineStr">
        <is>
          <t>Pedido de Compra</t>
        </is>
      </c>
      <c r="Y1020" s="111" t="inlineStr">
        <is>
          <t>Impacto Potencial</t>
        </is>
      </c>
      <c r="Z1020" s="111" t="inlineStr">
        <is>
          <t>PC</t>
        </is>
      </c>
      <c r="AA1020" s="111" t="inlineStr">
        <is>
          <t>Nao</t>
        </is>
      </c>
      <c r="AB1020" s="111" t="inlineStr">
        <is>
          <t>NAO_COMPUTADO</t>
        </is>
      </c>
      <c r="AC1020" s="112" t="inlineStr">
        <is>
          <t>Estrutura Fase 1: sem impacto no VTA oficial</t>
        </is>
      </c>
    </row>
    <row r="1021" ht="25.5" customHeight="1" s="289">
      <c r="A1021" s="205" t="n"/>
      <c r="B1021" s="207" t="n"/>
      <c r="C1021" s="104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348" t="n"/>
      <c r="E1021" s="349">
        <f>IF(C1021="","",IFERROR(VLOOKUP(C1021,parametros!$A$11:$E$15,5,0),""))</f>
        <v/>
      </c>
      <c r="F1021" s="335">
        <f>IF(OR(D1021="",E1021=""),"",ROUND(D1021*E1021,2))</f>
        <v/>
      </c>
      <c r="G1021" s="106" t="n"/>
      <c r="H1021" s="350">
        <f>IF(G1021="Sim",IF(OR(F1021="",D1021="",L1021=""),"",IF(L1021="Sim",ROUND(F1021-D1021,2),0)),0)</f>
        <v/>
      </c>
      <c r="I1021" s="350">
        <f>IF(G1021="Sim",0,IF(OR(F1021="",L1021=""),"",F1021))</f>
        <v/>
      </c>
      <c r="J1021" s="350">
        <f>IF(G1021="Sim",0,IF(OR(F1021="",D1021="",L1021=""),"",IF(L1021="Sim",ROUND(F1021-D1021,2),0)))</f>
        <v/>
      </c>
      <c r="K1021" s="97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inlineStr">
        <is>
          <t>Nao</t>
        </is>
      </c>
      <c r="W1021" s="110" t="inlineStr">
        <is>
          <t>PC em analise</t>
        </is>
      </c>
      <c r="X1021" s="110" t="inlineStr">
        <is>
          <t>Pedido de Compra</t>
        </is>
      </c>
      <c r="Y1021" s="111" t="inlineStr">
        <is>
          <t>Impacto Potencial</t>
        </is>
      </c>
      <c r="Z1021" s="111" t="inlineStr">
        <is>
          <t>PC</t>
        </is>
      </c>
      <c r="AA1021" s="111" t="inlineStr">
        <is>
          <t>Nao</t>
        </is>
      </c>
      <c r="AB1021" s="111" t="inlineStr">
        <is>
          <t>NAO_COMPUTADO</t>
        </is>
      </c>
      <c r="AC1021" s="112" t="inlineStr">
        <is>
          <t>Estrutura Fase 1: sem impacto no VTA oficial</t>
        </is>
      </c>
    </row>
    <row r="1022" ht="25.5" customHeight="1" s="289">
      <c r="A1022" s="205" t="n"/>
      <c r="B1022" s="207" t="n"/>
      <c r="C1022" s="104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348" t="n"/>
      <c r="E1022" s="349">
        <f>IF(C1022="","",IFERROR(VLOOKUP(C1022,parametros!$A$11:$E$15,5,0),""))</f>
        <v/>
      </c>
      <c r="F1022" s="335">
        <f>IF(OR(D1022="",E1022=""),"",ROUND(D1022*E1022,2))</f>
        <v/>
      </c>
      <c r="G1022" s="106" t="n"/>
      <c r="H1022" s="350">
        <f>IF(G1022="Sim",IF(OR(F1022="",D1022="",L1022=""),"",IF(L1022="Sim",ROUND(F1022-D1022,2),0)),0)</f>
        <v/>
      </c>
      <c r="I1022" s="350">
        <f>IF(G1022="Sim",0,IF(OR(F1022="",L1022=""),"",F1022))</f>
        <v/>
      </c>
      <c r="J1022" s="350">
        <f>IF(G1022="Sim",0,IF(OR(F1022="",D1022="",L1022=""),"",IF(L1022="Sim",ROUND(F1022-D1022,2),0)))</f>
        <v/>
      </c>
      <c r="K1022" s="97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inlineStr">
        <is>
          <t>Nao</t>
        </is>
      </c>
      <c r="W1022" s="110" t="inlineStr">
        <is>
          <t>PC em analise</t>
        </is>
      </c>
      <c r="X1022" s="110" t="inlineStr">
        <is>
          <t>Pedido de Compra</t>
        </is>
      </c>
      <c r="Y1022" s="111" t="inlineStr">
        <is>
          <t>Impacto Potencial</t>
        </is>
      </c>
      <c r="Z1022" s="111" t="inlineStr">
        <is>
          <t>PC</t>
        </is>
      </c>
      <c r="AA1022" s="111" t="inlineStr">
        <is>
          <t>Nao</t>
        </is>
      </c>
      <c r="AB1022" s="111" t="inlineStr">
        <is>
          <t>NAO_COMPUTADO</t>
        </is>
      </c>
      <c r="AC1022" s="112" t="inlineStr">
        <is>
          <t>Estrutura Fase 1: sem impacto no VTA oficial</t>
        </is>
      </c>
    </row>
    <row r="1023" ht="25.5" customHeight="1" s="289">
      <c r="A1023" s="205" t="n"/>
      <c r="B1023" s="207" t="n"/>
      <c r="C1023" s="104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348" t="n"/>
      <c r="E1023" s="349">
        <f>IF(C1023="","",IFERROR(VLOOKUP(C1023,parametros!$A$11:$E$15,5,0),""))</f>
        <v/>
      </c>
      <c r="F1023" s="335">
        <f>IF(OR(D1023="",E1023=""),"",ROUND(D1023*E1023,2))</f>
        <v/>
      </c>
      <c r="G1023" s="106" t="n"/>
      <c r="H1023" s="350">
        <f>IF(G1023="Sim",IF(OR(F1023="",D1023="",L1023=""),"",IF(L1023="Sim",ROUND(F1023-D1023,2),0)),0)</f>
        <v/>
      </c>
      <c r="I1023" s="350">
        <f>IF(G1023="Sim",0,IF(OR(F1023="",L1023=""),"",F1023))</f>
        <v/>
      </c>
      <c r="J1023" s="350">
        <f>IF(G1023="Sim",0,IF(OR(F1023="",D1023="",L1023=""),"",IF(L1023="Sim",ROUND(F1023-D1023,2),0)))</f>
        <v/>
      </c>
      <c r="K1023" s="97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inlineStr">
        <is>
          <t>Nao</t>
        </is>
      </c>
      <c r="W1023" s="110" t="inlineStr">
        <is>
          <t>PC em analise</t>
        </is>
      </c>
      <c r="X1023" s="110" t="inlineStr">
        <is>
          <t>Pedido de Compra</t>
        </is>
      </c>
      <c r="Y1023" s="111" t="inlineStr">
        <is>
          <t>Impacto Potencial</t>
        </is>
      </c>
      <c r="Z1023" s="111" t="inlineStr">
        <is>
          <t>PC</t>
        </is>
      </c>
      <c r="AA1023" s="111" t="inlineStr">
        <is>
          <t>Nao</t>
        </is>
      </c>
      <c r="AB1023" s="111" t="inlineStr">
        <is>
          <t>NAO_COMPUTADO</t>
        </is>
      </c>
      <c r="AC1023" s="112" t="inlineStr">
        <is>
          <t>Estrutura Fase 1: sem impacto no VTA oficial</t>
        </is>
      </c>
    </row>
    <row r="1024" ht="25.5" customHeight="1" s="289">
      <c r="A1024" s="205" t="n"/>
      <c r="B1024" s="207" t="n"/>
      <c r="C1024" s="104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348" t="n"/>
      <c r="E1024" s="349">
        <f>IF(C1024="","",IFERROR(VLOOKUP(C1024,parametros!$A$11:$E$15,5,0),""))</f>
        <v/>
      </c>
      <c r="F1024" s="335">
        <f>IF(OR(D1024="",E1024=""),"",ROUND(D1024*E1024,2))</f>
        <v/>
      </c>
      <c r="G1024" s="106" t="n"/>
      <c r="H1024" s="350">
        <f>IF(G1024="Sim",IF(OR(F1024="",D1024="",L1024=""),"",IF(L1024="Sim",ROUND(F1024-D1024,2),0)),0)</f>
        <v/>
      </c>
      <c r="I1024" s="350">
        <f>IF(G1024="Sim",0,IF(OR(F1024="",L1024=""),"",F1024))</f>
        <v/>
      </c>
      <c r="J1024" s="350">
        <f>IF(G1024="Sim",0,IF(OR(F1024="",D1024="",L1024=""),"",IF(L1024="Sim",ROUND(F1024-D1024,2),0)))</f>
        <v/>
      </c>
      <c r="K1024" s="97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inlineStr">
        <is>
          <t>Nao</t>
        </is>
      </c>
      <c r="W1024" s="110" t="inlineStr">
        <is>
          <t>PC em analise</t>
        </is>
      </c>
      <c r="X1024" s="110" t="inlineStr">
        <is>
          <t>Pedido de Compra</t>
        </is>
      </c>
      <c r="Y1024" s="111" t="inlineStr">
        <is>
          <t>Impacto Potencial</t>
        </is>
      </c>
      <c r="Z1024" s="111" t="inlineStr">
        <is>
          <t>PC</t>
        </is>
      </c>
      <c r="AA1024" s="111" t="inlineStr">
        <is>
          <t>Nao</t>
        </is>
      </c>
      <c r="AB1024" s="111" t="inlineStr">
        <is>
          <t>NAO_COMPUTADO</t>
        </is>
      </c>
      <c r="AC1024" s="112" t="inlineStr">
        <is>
          <t>Estrutura Fase 1: sem impacto no VTA oficial</t>
        </is>
      </c>
    </row>
    <row r="1025" ht="25.5" customHeight="1" s="289">
      <c r="A1025" s="205" t="n"/>
      <c r="B1025" s="207" t="n"/>
      <c r="C1025" s="104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348" t="n"/>
      <c r="E1025" s="349">
        <f>IF(C1025="","",IFERROR(VLOOKUP(C1025,parametros!$A$11:$E$15,5,0),""))</f>
        <v/>
      </c>
      <c r="F1025" s="335">
        <f>IF(OR(D1025="",E1025=""),"",ROUND(D1025*E1025,2))</f>
        <v/>
      </c>
      <c r="G1025" s="106" t="n"/>
      <c r="H1025" s="350">
        <f>IF(G1025="Sim",IF(OR(F1025="",D1025="",L1025=""),"",IF(L1025="Sim",ROUND(F1025-D1025,2),0)),0)</f>
        <v/>
      </c>
      <c r="I1025" s="350">
        <f>IF(G1025="Sim",0,IF(OR(F1025="",L1025=""),"",F1025))</f>
        <v/>
      </c>
      <c r="J1025" s="350">
        <f>IF(G1025="Sim",0,IF(OR(F1025="",D1025="",L1025=""),"",IF(L1025="Sim",ROUND(F1025-D1025,2),0)))</f>
        <v/>
      </c>
      <c r="K1025" s="97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inlineStr">
        <is>
          <t>Nao</t>
        </is>
      </c>
      <c r="W1025" s="110" t="inlineStr">
        <is>
          <t>PC em analise</t>
        </is>
      </c>
      <c r="X1025" s="110" t="inlineStr">
        <is>
          <t>Pedido de Compra</t>
        </is>
      </c>
      <c r="Y1025" s="111" t="inlineStr">
        <is>
          <t>Impacto Potencial</t>
        </is>
      </c>
      <c r="Z1025" s="111" t="inlineStr">
        <is>
          <t>PC</t>
        </is>
      </c>
      <c r="AA1025" s="111" t="inlineStr">
        <is>
          <t>Nao</t>
        </is>
      </c>
      <c r="AB1025" s="111" t="inlineStr">
        <is>
          <t>NAO_COMPUTADO</t>
        </is>
      </c>
      <c r="AC1025" s="112" t="inlineStr">
        <is>
          <t>Estrutura Fase 1: sem impacto no VTA oficial</t>
        </is>
      </c>
    </row>
    <row r="1026" ht="25.5" customHeight="1" s="289">
      <c r="A1026" s="205" t="n"/>
      <c r="B1026" s="207" t="n"/>
      <c r="C1026" s="104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348" t="n"/>
      <c r="E1026" s="349">
        <f>IF(C1026="","",IFERROR(VLOOKUP(C1026,parametros!$A$11:$E$15,5,0),""))</f>
        <v/>
      </c>
      <c r="F1026" s="335">
        <f>IF(OR(D1026="",E1026=""),"",ROUND(D1026*E1026,2))</f>
        <v/>
      </c>
      <c r="G1026" s="106" t="n"/>
      <c r="H1026" s="350">
        <f>IF(G1026="Sim",IF(OR(F1026="",D1026="",L1026=""),"",IF(L1026="Sim",ROUND(F1026-D1026,2),0)),0)</f>
        <v/>
      </c>
      <c r="I1026" s="350">
        <f>IF(G1026="Sim",0,IF(OR(F1026="",L1026=""),"",F1026))</f>
        <v/>
      </c>
      <c r="J1026" s="350">
        <f>IF(G1026="Sim",0,IF(OR(F1026="",D1026="",L1026=""),"",IF(L1026="Sim",ROUND(F1026-D1026,2),0)))</f>
        <v/>
      </c>
      <c r="K1026" s="97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inlineStr">
        <is>
          <t>Nao</t>
        </is>
      </c>
      <c r="W1026" s="110" t="inlineStr">
        <is>
          <t>PC em analise</t>
        </is>
      </c>
      <c r="X1026" s="110" t="inlineStr">
        <is>
          <t>Pedido de Compra</t>
        </is>
      </c>
      <c r="Y1026" s="111" t="inlineStr">
        <is>
          <t>Impacto Potencial</t>
        </is>
      </c>
      <c r="Z1026" s="111" t="inlineStr">
        <is>
          <t>PC</t>
        </is>
      </c>
      <c r="AA1026" s="111" t="inlineStr">
        <is>
          <t>Nao</t>
        </is>
      </c>
      <c r="AB1026" s="111" t="inlineStr">
        <is>
          <t>NAO_COMPUTADO</t>
        </is>
      </c>
      <c r="AC1026" s="112" t="inlineStr">
        <is>
          <t>Estrutura Fase 1: sem impacto no VTA oficial</t>
        </is>
      </c>
    </row>
    <row r="1027" ht="25.5" customHeight="1" s="289">
      <c r="A1027" s="205" t="n"/>
      <c r="B1027" s="207" t="n"/>
      <c r="C1027" s="104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348" t="n"/>
      <c r="E1027" s="349">
        <f>IF(C1027="","",IFERROR(VLOOKUP(C1027,parametros!$A$11:$E$15,5,0),""))</f>
        <v/>
      </c>
      <c r="F1027" s="335">
        <f>IF(OR(D1027="",E1027=""),"",ROUND(D1027*E1027,2))</f>
        <v/>
      </c>
      <c r="G1027" s="106" t="n"/>
      <c r="H1027" s="350">
        <f>IF(G1027="Sim",IF(OR(F1027="",D1027="",L1027=""),"",IF(L1027="Sim",ROUND(F1027-D1027,2),0)),0)</f>
        <v/>
      </c>
      <c r="I1027" s="350">
        <f>IF(G1027="Sim",0,IF(OR(F1027="",L1027=""),"",F1027))</f>
        <v/>
      </c>
      <c r="J1027" s="350">
        <f>IF(G1027="Sim",0,IF(OR(F1027="",D1027="",L1027=""),"",IF(L1027="Sim",ROUND(F1027-D1027,2),0)))</f>
        <v/>
      </c>
      <c r="K1027" s="97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inlineStr">
        <is>
          <t>Nao</t>
        </is>
      </c>
      <c r="W1027" s="110" t="inlineStr">
        <is>
          <t>PC em analise</t>
        </is>
      </c>
      <c r="X1027" s="110" t="inlineStr">
        <is>
          <t>Pedido de Compra</t>
        </is>
      </c>
      <c r="Y1027" s="111" t="inlineStr">
        <is>
          <t>Impacto Potencial</t>
        </is>
      </c>
      <c r="Z1027" s="111" t="inlineStr">
        <is>
          <t>PC</t>
        </is>
      </c>
      <c r="AA1027" s="111" t="inlineStr">
        <is>
          <t>Nao</t>
        </is>
      </c>
      <c r="AB1027" s="111" t="inlineStr">
        <is>
          <t>NAO_COMPUTADO</t>
        </is>
      </c>
      <c r="AC1027" s="112" t="inlineStr">
        <is>
          <t>Estrutura Fase 1: sem impacto no VTA oficial</t>
        </is>
      </c>
    </row>
    <row r="1028" ht="25.5" customHeight="1" s="289">
      <c r="A1028" s="205" t="n"/>
      <c r="B1028" s="207" t="n"/>
      <c r="C1028" s="104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348" t="n"/>
      <c r="E1028" s="349">
        <f>IF(C1028="","",IFERROR(VLOOKUP(C1028,parametros!$A$11:$E$15,5,0),""))</f>
        <v/>
      </c>
      <c r="F1028" s="335">
        <f>IF(OR(D1028="",E1028=""),"",ROUND(D1028*E1028,2))</f>
        <v/>
      </c>
      <c r="G1028" s="106" t="n"/>
      <c r="H1028" s="350">
        <f>IF(G1028="Sim",IF(OR(F1028="",D1028="",L1028=""),"",IF(L1028="Sim",ROUND(F1028-D1028,2),0)),0)</f>
        <v/>
      </c>
      <c r="I1028" s="350">
        <f>IF(G1028="Sim",0,IF(OR(F1028="",L1028=""),"",F1028))</f>
        <v/>
      </c>
      <c r="J1028" s="350">
        <f>IF(G1028="Sim",0,IF(OR(F1028="",D1028="",L1028=""),"",IF(L1028="Sim",ROUND(F1028-D1028,2),0)))</f>
        <v/>
      </c>
      <c r="K1028" s="97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inlineStr">
        <is>
          <t>Nao</t>
        </is>
      </c>
      <c r="W1028" s="110" t="inlineStr">
        <is>
          <t>PC em analise</t>
        </is>
      </c>
      <c r="X1028" s="110" t="inlineStr">
        <is>
          <t>Pedido de Compra</t>
        </is>
      </c>
      <c r="Y1028" s="111" t="inlineStr">
        <is>
          <t>Impacto Potencial</t>
        </is>
      </c>
      <c r="Z1028" s="111" t="inlineStr">
        <is>
          <t>PC</t>
        </is>
      </c>
      <c r="AA1028" s="111" t="inlineStr">
        <is>
          <t>Nao</t>
        </is>
      </c>
      <c r="AB1028" s="111" t="inlineStr">
        <is>
          <t>NAO_COMPUTADO</t>
        </is>
      </c>
      <c r="AC1028" s="112" t="inlineStr">
        <is>
          <t>Estrutura Fase 1: sem impacto no VTA oficial</t>
        </is>
      </c>
    </row>
    <row r="1029" ht="25.5" customHeight="1" s="289">
      <c r="A1029" s="205" t="n"/>
      <c r="B1029" s="207" t="n"/>
      <c r="C1029" s="104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348" t="n"/>
      <c r="E1029" s="349">
        <f>IF(C1029="","",IFERROR(VLOOKUP(C1029,parametros!$A$11:$E$15,5,0),""))</f>
        <v/>
      </c>
      <c r="F1029" s="335">
        <f>IF(OR(D1029="",E1029=""),"",ROUND(D1029*E1029,2))</f>
        <v/>
      </c>
      <c r="G1029" s="106" t="n"/>
      <c r="H1029" s="350">
        <f>IF(G1029="Sim",IF(OR(F1029="",D1029="",L1029=""),"",IF(L1029="Sim",ROUND(F1029-D1029,2),0)),0)</f>
        <v/>
      </c>
      <c r="I1029" s="350">
        <f>IF(G1029="Sim",0,IF(OR(F1029="",L1029=""),"",F1029))</f>
        <v/>
      </c>
      <c r="J1029" s="350">
        <f>IF(G1029="Sim",0,IF(OR(F1029="",D1029="",L1029=""),"",IF(L1029="Sim",ROUND(F1029-D1029,2),0)))</f>
        <v/>
      </c>
      <c r="K1029" s="97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inlineStr">
        <is>
          <t>Nao</t>
        </is>
      </c>
      <c r="W1029" s="110" t="inlineStr">
        <is>
          <t>PC em analise</t>
        </is>
      </c>
      <c r="X1029" s="110" t="inlineStr">
        <is>
          <t>Pedido de Compra</t>
        </is>
      </c>
      <c r="Y1029" s="111" t="inlineStr">
        <is>
          <t>Impacto Potencial</t>
        </is>
      </c>
      <c r="Z1029" s="111" t="inlineStr">
        <is>
          <t>PC</t>
        </is>
      </c>
      <c r="AA1029" s="111" t="inlineStr">
        <is>
          <t>Nao</t>
        </is>
      </c>
      <c r="AB1029" s="111" t="inlineStr">
        <is>
          <t>NAO_COMPUTADO</t>
        </is>
      </c>
      <c r="AC1029" s="112" t="inlineStr">
        <is>
          <t>Estrutura Fase 1: sem impacto no VTA oficial</t>
        </is>
      </c>
    </row>
    <row r="1030" ht="25.5" customHeight="1" s="289">
      <c r="A1030" s="205" t="n"/>
      <c r="B1030" s="207" t="n"/>
      <c r="C1030" s="104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348" t="n"/>
      <c r="E1030" s="349">
        <f>IF(C1030="","",IFERROR(VLOOKUP(C1030,parametros!$A$11:$E$15,5,0),""))</f>
        <v/>
      </c>
      <c r="F1030" s="335">
        <f>IF(OR(D1030="",E1030=""),"",ROUND(D1030*E1030,2))</f>
        <v/>
      </c>
      <c r="G1030" s="106" t="n"/>
      <c r="H1030" s="350">
        <f>IF(G1030="Sim",IF(OR(F1030="",D1030="",L1030=""),"",IF(L1030="Sim",ROUND(F1030-D1030,2),0)),0)</f>
        <v/>
      </c>
      <c r="I1030" s="350">
        <f>IF(G1030="Sim",0,IF(OR(F1030="",L1030=""),"",F1030))</f>
        <v/>
      </c>
      <c r="J1030" s="350">
        <f>IF(G1030="Sim",0,IF(OR(F1030="",D1030="",L1030=""),"",IF(L1030="Sim",ROUND(F1030-D1030,2),0)))</f>
        <v/>
      </c>
      <c r="K1030" s="97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inlineStr">
        <is>
          <t>Nao</t>
        </is>
      </c>
      <c r="W1030" s="110" t="inlineStr">
        <is>
          <t>PC em analise</t>
        </is>
      </c>
      <c r="X1030" s="110" t="inlineStr">
        <is>
          <t>Pedido de Compra</t>
        </is>
      </c>
      <c r="Y1030" s="111" t="inlineStr">
        <is>
          <t>Impacto Potencial</t>
        </is>
      </c>
      <c r="Z1030" s="111" t="inlineStr">
        <is>
          <t>PC</t>
        </is>
      </c>
      <c r="AA1030" s="111" t="inlineStr">
        <is>
          <t>Nao</t>
        </is>
      </c>
      <c r="AB1030" s="111" t="inlineStr">
        <is>
          <t>NAO_COMPUTADO</t>
        </is>
      </c>
      <c r="AC1030" s="112" t="inlineStr">
        <is>
          <t>Estrutura Fase 1: sem impacto no VTA oficial</t>
        </is>
      </c>
    </row>
    <row r="1031" ht="25.5" customHeight="1" s="289">
      <c r="A1031" s="205" t="n"/>
      <c r="B1031" s="207" t="n"/>
      <c r="C1031" s="104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348" t="n"/>
      <c r="E1031" s="349">
        <f>IF(C1031="","",IFERROR(VLOOKUP(C1031,parametros!$A$11:$E$15,5,0),""))</f>
        <v/>
      </c>
      <c r="F1031" s="335">
        <f>IF(OR(D1031="",E1031=""),"",ROUND(D1031*E1031,2))</f>
        <v/>
      </c>
      <c r="G1031" s="106" t="n"/>
      <c r="H1031" s="350">
        <f>IF(G1031="Sim",IF(OR(F1031="",D1031="",L1031=""),"",IF(L1031="Sim",ROUND(F1031-D1031,2),0)),0)</f>
        <v/>
      </c>
      <c r="I1031" s="350">
        <f>IF(G1031="Sim",0,IF(OR(F1031="",L1031=""),"",F1031))</f>
        <v/>
      </c>
      <c r="J1031" s="350">
        <f>IF(G1031="Sim",0,IF(OR(F1031="",D1031="",L1031=""),"",IF(L1031="Sim",ROUND(F1031-D1031,2),0)))</f>
        <v/>
      </c>
      <c r="K1031" s="97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inlineStr">
        <is>
          <t>Nao</t>
        </is>
      </c>
      <c r="W1031" s="110" t="inlineStr">
        <is>
          <t>PC em analise</t>
        </is>
      </c>
      <c r="X1031" s="110" t="inlineStr">
        <is>
          <t>Pedido de Compra</t>
        </is>
      </c>
      <c r="Y1031" s="111" t="inlineStr">
        <is>
          <t>Impacto Potencial</t>
        </is>
      </c>
      <c r="Z1031" s="111" t="inlineStr">
        <is>
          <t>PC</t>
        </is>
      </c>
      <c r="AA1031" s="111" t="inlineStr">
        <is>
          <t>Nao</t>
        </is>
      </c>
      <c r="AB1031" s="111" t="inlineStr">
        <is>
          <t>NAO_COMPUTADO</t>
        </is>
      </c>
      <c r="AC1031" s="112" t="inlineStr">
        <is>
          <t>Estrutura Fase 1: sem impacto no VTA oficial</t>
        </is>
      </c>
    </row>
    <row r="1032" ht="25.5" customHeight="1" s="289">
      <c r="A1032" s="205" t="n"/>
      <c r="B1032" s="207" t="n"/>
      <c r="C1032" s="104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348" t="n"/>
      <c r="E1032" s="349">
        <f>IF(C1032="","",IFERROR(VLOOKUP(C1032,parametros!$A$11:$E$15,5,0),""))</f>
        <v/>
      </c>
      <c r="F1032" s="335">
        <f>IF(OR(D1032="",E1032=""),"",ROUND(D1032*E1032,2))</f>
        <v/>
      </c>
      <c r="G1032" s="106" t="n"/>
      <c r="H1032" s="350">
        <f>IF(G1032="Sim",IF(OR(F1032="",D1032="",L1032=""),"",IF(L1032="Sim",ROUND(F1032-D1032,2),0)),0)</f>
        <v/>
      </c>
      <c r="I1032" s="350">
        <f>IF(G1032="Sim",0,IF(OR(F1032="",L1032=""),"",F1032))</f>
        <v/>
      </c>
      <c r="J1032" s="350">
        <f>IF(G1032="Sim",0,IF(OR(F1032="",D1032="",L1032=""),"",IF(L1032="Sim",ROUND(F1032-D1032,2),0)))</f>
        <v/>
      </c>
      <c r="K1032" s="97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inlineStr">
        <is>
          <t>Nao</t>
        </is>
      </c>
      <c r="W1032" s="110" t="inlineStr">
        <is>
          <t>PC em analise</t>
        </is>
      </c>
      <c r="X1032" s="110" t="inlineStr">
        <is>
          <t>Pedido de Compra</t>
        </is>
      </c>
      <c r="Y1032" s="111" t="inlineStr">
        <is>
          <t>Impacto Potencial</t>
        </is>
      </c>
      <c r="Z1032" s="111" t="inlineStr">
        <is>
          <t>PC</t>
        </is>
      </c>
      <c r="AA1032" s="111" t="inlineStr">
        <is>
          <t>Nao</t>
        </is>
      </c>
      <c r="AB1032" s="111" t="inlineStr">
        <is>
          <t>NAO_COMPUTADO</t>
        </is>
      </c>
      <c r="AC1032" s="112" t="inlineStr">
        <is>
          <t>Estrutura Fase 1: sem impacto no VTA oficial</t>
        </is>
      </c>
    </row>
    <row r="1033" ht="25.5" customHeight="1" s="289">
      <c r="A1033" s="205" t="n"/>
      <c r="B1033" s="207" t="n"/>
      <c r="C1033" s="104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348" t="n"/>
      <c r="E1033" s="349">
        <f>IF(C1033="","",IFERROR(VLOOKUP(C1033,parametros!$A$11:$E$15,5,0),""))</f>
        <v/>
      </c>
      <c r="F1033" s="335">
        <f>IF(OR(D1033="",E1033=""),"",ROUND(D1033*E1033,2))</f>
        <v/>
      </c>
      <c r="G1033" s="106" t="n"/>
      <c r="H1033" s="350">
        <f>IF(G1033="Sim",IF(OR(F1033="",D1033="",L1033=""),"",IF(L1033="Sim",ROUND(F1033-D1033,2),0)),0)</f>
        <v/>
      </c>
      <c r="I1033" s="350">
        <f>IF(G1033="Sim",0,IF(OR(F1033="",L1033=""),"",F1033))</f>
        <v/>
      </c>
      <c r="J1033" s="350">
        <f>IF(G1033="Sim",0,IF(OR(F1033="",D1033="",L1033=""),"",IF(L1033="Sim",ROUND(F1033-D1033,2),0)))</f>
        <v/>
      </c>
      <c r="K1033" s="97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inlineStr">
        <is>
          <t>Nao</t>
        </is>
      </c>
      <c r="W1033" s="110" t="inlineStr">
        <is>
          <t>PC em analise</t>
        </is>
      </c>
      <c r="X1033" s="110" t="inlineStr">
        <is>
          <t>Pedido de Compra</t>
        </is>
      </c>
      <c r="Y1033" s="111" t="inlineStr">
        <is>
          <t>Impacto Potencial</t>
        </is>
      </c>
      <c r="Z1033" s="111" t="inlineStr">
        <is>
          <t>PC</t>
        </is>
      </c>
      <c r="AA1033" s="111" t="inlineStr">
        <is>
          <t>Nao</t>
        </is>
      </c>
      <c r="AB1033" s="111" t="inlineStr">
        <is>
          <t>NAO_COMPUTADO</t>
        </is>
      </c>
      <c r="AC1033" s="112" t="inlineStr">
        <is>
          <t>Estrutura Fase 1: sem impacto no VTA oficial</t>
        </is>
      </c>
    </row>
    <row r="1034" ht="25.5" customHeight="1" s="289">
      <c r="A1034" s="205" t="n"/>
      <c r="B1034" s="207" t="n"/>
      <c r="C1034" s="104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348" t="n"/>
      <c r="E1034" s="349">
        <f>IF(C1034="","",IFERROR(VLOOKUP(C1034,parametros!$A$11:$E$15,5,0),""))</f>
        <v/>
      </c>
      <c r="F1034" s="335">
        <f>IF(OR(D1034="",E1034=""),"",ROUND(D1034*E1034,2))</f>
        <v/>
      </c>
      <c r="G1034" s="106" t="n"/>
      <c r="H1034" s="350">
        <f>IF(G1034="Sim",IF(OR(F1034="",D1034="",L1034=""),"",IF(L1034="Sim",ROUND(F1034-D1034,2),0)),0)</f>
        <v/>
      </c>
      <c r="I1034" s="350">
        <f>IF(G1034="Sim",0,IF(OR(F1034="",L1034=""),"",F1034))</f>
        <v/>
      </c>
      <c r="J1034" s="350">
        <f>IF(G1034="Sim",0,IF(OR(F1034="",D1034="",L1034=""),"",IF(L1034="Sim",ROUND(F1034-D1034,2),0)))</f>
        <v/>
      </c>
      <c r="K1034" s="97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inlineStr">
        <is>
          <t>Nao</t>
        </is>
      </c>
      <c r="W1034" s="110" t="inlineStr">
        <is>
          <t>PC em analise</t>
        </is>
      </c>
      <c r="X1034" s="110" t="inlineStr">
        <is>
          <t>Pedido de Compra</t>
        </is>
      </c>
      <c r="Y1034" s="111" t="inlineStr">
        <is>
          <t>Impacto Potencial</t>
        </is>
      </c>
      <c r="Z1034" s="111" t="inlineStr">
        <is>
          <t>PC</t>
        </is>
      </c>
      <c r="AA1034" s="111" t="inlineStr">
        <is>
          <t>Nao</t>
        </is>
      </c>
      <c r="AB1034" s="111" t="inlineStr">
        <is>
          <t>NAO_COMPUTADO</t>
        </is>
      </c>
      <c r="AC1034" s="112" t="inlineStr">
        <is>
          <t>Estrutura Fase 1: sem impacto no VTA oficial</t>
        </is>
      </c>
    </row>
    <row r="1035" ht="25.5" customHeight="1" s="289">
      <c r="A1035" s="205" t="n"/>
      <c r="B1035" s="207" t="n"/>
      <c r="C1035" s="104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348" t="n"/>
      <c r="E1035" s="349">
        <f>IF(C1035="","",IFERROR(VLOOKUP(C1035,parametros!$A$11:$E$15,5,0),""))</f>
        <v/>
      </c>
      <c r="F1035" s="335">
        <f>IF(OR(D1035="",E1035=""),"",ROUND(D1035*E1035,2))</f>
        <v/>
      </c>
      <c r="G1035" s="106" t="n"/>
      <c r="H1035" s="350">
        <f>IF(G1035="Sim",IF(OR(F1035="",D1035="",L1035=""),"",IF(L1035="Sim",ROUND(F1035-D1035,2),0)),0)</f>
        <v/>
      </c>
      <c r="I1035" s="350">
        <f>IF(G1035="Sim",0,IF(OR(F1035="",L1035=""),"",F1035))</f>
        <v/>
      </c>
      <c r="J1035" s="350">
        <f>IF(G1035="Sim",0,IF(OR(F1035="",D1035="",L1035=""),"",IF(L1035="Sim",ROUND(F1035-D1035,2),0)))</f>
        <v/>
      </c>
      <c r="K1035" s="97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inlineStr">
        <is>
          <t>Nao</t>
        </is>
      </c>
      <c r="W1035" s="110" t="inlineStr">
        <is>
          <t>PC em analise</t>
        </is>
      </c>
      <c r="X1035" s="110" t="inlineStr">
        <is>
          <t>Pedido de Compra</t>
        </is>
      </c>
      <c r="Y1035" s="111" t="inlineStr">
        <is>
          <t>Impacto Potencial</t>
        </is>
      </c>
      <c r="Z1035" s="111" t="inlineStr">
        <is>
          <t>PC</t>
        </is>
      </c>
      <c r="AA1035" s="111" t="inlineStr">
        <is>
          <t>Nao</t>
        </is>
      </c>
      <c r="AB1035" s="111" t="inlineStr">
        <is>
          <t>NAO_COMPUTADO</t>
        </is>
      </c>
      <c r="AC1035" s="112" t="inlineStr">
        <is>
          <t>Estrutura Fase 1: sem impacto no VTA oficial</t>
        </is>
      </c>
    </row>
    <row r="1036" ht="25.5" customHeight="1" s="289">
      <c r="A1036" s="205" t="n"/>
      <c r="B1036" s="207" t="n"/>
      <c r="C1036" s="104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348" t="n"/>
      <c r="E1036" s="349">
        <f>IF(C1036="","",IFERROR(VLOOKUP(C1036,parametros!$A$11:$E$15,5,0),""))</f>
        <v/>
      </c>
      <c r="F1036" s="335">
        <f>IF(OR(D1036="",E1036=""),"",ROUND(D1036*E1036,2))</f>
        <v/>
      </c>
      <c r="G1036" s="106" t="n"/>
      <c r="H1036" s="350">
        <f>IF(G1036="Sim",IF(OR(F1036="",D1036="",L1036=""),"",IF(L1036="Sim",ROUND(F1036-D1036,2),0)),0)</f>
        <v/>
      </c>
      <c r="I1036" s="350">
        <f>IF(G1036="Sim",0,IF(OR(F1036="",L1036=""),"",F1036))</f>
        <v/>
      </c>
      <c r="J1036" s="350">
        <f>IF(G1036="Sim",0,IF(OR(F1036="",D1036="",L1036=""),"",IF(L1036="Sim",ROUND(F1036-D1036,2),0)))</f>
        <v/>
      </c>
      <c r="K1036" s="97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inlineStr">
        <is>
          <t>Nao</t>
        </is>
      </c>
      <c r="W1036" s="110" t="inlineStr">
        <is>
          <t>PC em analise</t>
        </is>
      </c>
      <c r="X1036" s="110" t="inlineStr">
        <is>
          <t>Pedido de Compra</t>
        </is>
      </c>
      <c r="Y1036" s="111" t="inlineStr">
        <is>
          <t>Impacto Potencial</t>
        </is>
      </c>
      <c r="Z1036" s="111" t="inlineStr">
        <is>
          <t>PC</t>
        </is>
      </c>
      <c r="AA1036" s="111" t="inlineStr">
        <is>
          <t>Nao</t>
        </is>
      </c>
      <c r="AB1036" s="111" t="inlineStr">
        <is>
          <t>NAO_COMPUTADO</t>
        </is>
      </c>
      <c r="AC1036" s="112" t="inlineStr">
        <is>
          <t>Estrutura Fase 1: sem impacto no VTA oficial</t>
        </is>
      </c>
    </row>
    <row r="1037" ht="25.5" customHeight="1" s="289">
      <c r="A1037" s="205" t="n"/>
      <c r="B1037" s="207" t="n"/>
      <c r="C1037" s="104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348" t="n"/>
      <c r="E1037" s="349">
        <f>IF(C1037="","",IFERROR(VLOOKUP(C1037,parametros!$A$11:$E$15,5,0),""))</f>
        <v/>
      </c>
      <c r="F1037" s="335">
        <f>IF(OR(D1037="",E1037=""),"",ROUND(D1037*E1037,2))</f>
        <v/>
      </c>
      <c r="G1037" s="106" t="n"/>
      <c r="H1037" s="350">
        <f>IF(G1037="Sim",IF(OR(F1037="",D1037="",L1037=""),"",IF(L1037="Sim",ROUND(F1037-D1037,2),0)),0)</f>
        <v/>
      </c>
      <c r="I1037" s="350">
        <f>IF(G1037="Sim",0,IF(OR(F1037="",L1037=""),"",F1037))</f>
        <v/>
      </c>
      <c r="J1037" s="350">
        <f>IF(G1037="Sim",0,IF(OR(F1037="",D1037="",L1037=""),"",IF(L1037="Sim",ROUND(F1037-D1037,2),0)))</f>
        <v/>
      </c>
      <c r="K1037" s="97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inlineStr">
        <is>
          <t>Nao</t>
        </is>
      </c>
      <c r="W1037" s="110" t="inlineStr">
        <is>
          <t>PC em analise</t>
        </is>
      </c>
      <c r="X1037" s="110" t="inlineStr">
        <is>
          <t>Pedido de Compra</t>
        </is>
      </c>
      <c r="Y1037" s="111" t="inlineStr">
        <is>
          <t>Impacto Potencial</t>
        </is>
      </c>
      <c r="Z1037" s="111" t="inlineStr">
        <is>
          <t>PC</t>
        </is>
      </c>
      <c r="AA1037" s="111" t="inlineStr">
        <is>
          <t>Nao</t>
        </is>
      </c>
      <c r="AB1037" s="111" t="inlineStr">
        <is>
          <t>NAO_COMPUTADO</t>
        </is>
      </c>
      <c r="AC1037" s="112" t="inlineStr">
        <is>
          <t>Estrutura Fase 1: sem impacto no VTA oficial</t>
        </is>
      </c>
    </row>
    <row r="1038" ht="25.5" customHeight="1" s="289">
      <c r="A1038" s="205" t="n"/>
      <c r="B1038" s="207" t="n"/>
      <c r="C1038" s="104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348" t="n"/>
      <c r="E1038" s="349">
        <f>IF(C1038="","",IFERROR(VLOOKUP(C1038,parametros!$A$11:$E$15,5,0),""))</f>
        <v/>
      </c>
      <c r="F1038" s="335">
        <f>IF(OR(D1038="",E1038=""),"",ROUND(D1038*E1038,2))</f>
        <v/>
      </c>
      <c r="G1038" s="106" t="n"/>
      <c r="H1038" s="350">
        <f>IF(G1038="Sim",IF(OR(F1038="",D1038="",L1038=""),"",IF(L1038="Sim",ROUND(F1038-D1038,2),0)),0)</f>
        <v/>
      </c>
      <c r="I1038" s="350">
        <f>IF(G1038="Sim",0,IF(OR(F1038="",L1038=""),"",F1038))</f>
        <v/>
      </c>
      <c r="J1038" s="350">
        <f>IF(G1038="Sim",0,IF(OR(F1038="",D1038="",L1038=""),"",IF(L1038="Sim",ROUND(F1038-D1038,2),0)))</f>
        <v/>
      </c>
      <c r="K1038" s="97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inlineStr">
        <is>
          <t>Nao</t>
        </is>
      </c>
      <c r="W1038" s="110" t="inlineStr">
        <is>
          <t>PC em analise</t>
        </is>
      </c>
      <c r="X1038" s="110" t="inlineStr">
        <is>
          <t>Pedido de Compra</t>
        </is>
      </c>
      <c r="Y1038" s="111" t="inlineStr">
        <is>
          <t>Impacto Potencial</t>
        </is>
      </c>
      <c r="Z1038" s="111" t="inlineStr">
        <is>
          <t>PC</t>
        </is>
      </c>
      <c r="AA1038" s="111" t="inlineStr">
        <is>
          <t>Nao</t>
        </is>
      </c>
      <c r="AB1038" s="111" t="inlineStr">
        <is>
          <t>NAO_COMPUTADO</t>
        </is>
      </c>
      <c r="AC1038" s="112" t="inlineStr">
        <is>
          <t>Estrutura Fase 1: sem impacto no VTA oficial</t>
        </is>
      </c>
    </row>
    <row r="1039" ht="25.5" customHeight="1" s="289">
      <c r="A1039" s="205" t="n"/>
      <c r="B1039" s="207" t="n"/>
      <c r="C1039" s="104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348" t="n"/>
      <c r="E1039" s="349">
        <f>IF(C1039="","",IFERROR(VLOOKUP(C1039,parametros!$A$11:$E$15,5,0),""))</f>
        <v/>
      </c>
      <c r="F1039" s="335">
        <f>IF(OR(D1039="",E1039=""),"",ROUND(D1039*E1039,2))</f>
        <v/>
      </c>
      <c r="G1039" s="106" t="n"/>
      <c r="H1039" s="350">
        <f>IF(G1039="Sim",IF(OR(F1039="",D1039="",L1039=""),"",IF(L1039="Sim",ROUND(F1039-D1039,2),0)),0)</f>
        <v/>
      </c>
      <c r="I1039" s="350">
        <f>IF(G1039="Sim",0,IF(OR(F1039="",L1039=""),"",F1039))</f>
        <v/>
      </c>
      <c r="J1039" s="350">
        <f>IF(G1039="Sim",0,IF(OR(F1039="",D1039="",L1039=""),"",IF(L1039="Sim",ROUND(F1039-D1039,2),0)))</f>
        <v/>
      </c>
      <c r="K1039" s="97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inlineStr">
        <is>
          <t>Nao</t>
        </is>
      </c>
      <c r="W1039" s="110" t="inlineStr">
        <is>
          <t>PC em analise</t>
        </is>
      </c>
      <c r="X1039" s="110" t="inlineStr">
        <is>
          <t>Pedido de Compra</t>
        </is>
      </c>
      <c r="Y1039" s="111" t="inlineStr">
        <is>
          <t>Impacto Potencial</t>
        </is>
      </c>
      <c r="Z1039" s="111" t="inlineStr">
        <is>
          <t>PC</t>
        </is>
      </c>
      <c r="AA1039" s="111" t="inlineStr">
        <is>
          <t>Nao</t>
        </is>
      </c>
      <c r="AB1039" s="111" t="inlineStr">
        <is>
          <t>NAO_COMPUTADO</t>
        </is>
      </c>
      <c r="AC1039" s="112" t="inlineStr">
        <is>
          <t>Estrutura Fase 1: sem impacto no VTA oficial</t>
        </is>
      </c>
    </row>
    <row r="1040" ht="25.5" customHeight="1" s="289">
      <c r="A1040" s="205" t="n"/>
      <c r="B1040" s="207" t="n"/>
      <c r="C1040" s="104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348" t="n"/>
      <c r="E1040" s="349">
        <f>IF(C1040="","",IFERROR(VLOOKUP(C1040,parametros!$A$11:$E$15,5,0),""))</f>
        <v/>
      </c>
      <c r="F1040" s="335">
        <f>IF(OR(D1040="",E1040=""),"",ROUND(D1040*E1040,2))</f>
        <v/>
      </c>
      <c r="G1040" s="106" t="n"/>
      <c r="H1040" s="350">
        <f>IF(G1040="Sim",IF(OR(F1040="",D1040="",L1040=""),"",IF(L1040="Sim",ROUND(F1040-D1040,2),0)),0)</f>
        <v/>
      </c>
      <c r="I1040" s="350">
        <f>IF(G1040="Sim",0,IF(OR(F1040="",L1040=""),"",F1040))</f>
        <v/>
      </c>
      <c r="J1040" s="350">
        <f>IF(G1040="Sim",0,IF(OR(F1040="",D1040="",L1040=""),"",IF(L1040="Sim",ROUND(F1040-D1040,2),0)))</f>
        <v/>
      </c>
      <c r="K1040" s="97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inlineStr">
        <is>
          <t>Nao</t>
        </is>
      </c>
      <c r="W1040" s="110" t="inlineStr">
        <is>
          <t>PC em analise</t>
        </is>
      </c>
      <c r="X1040" s="110" t="inlineStr">
        <is>
          <t>Pedido de Compra</t>
        </is>
      </c>
      <c r="Y1040" s="111" t="inlineStr">
        <is>
          <t>Impacto Potencial</t>
        </is>
      </c>
      <c r="Z1040" s="111" t="inlineStr">
        <is>
          <t>PC</t>
        </is>
      </c>
      <c r="AA1040" s="111" t="inlineStr">
        <is>
          <t>Nao</t>
        </is>
      </c>
      <c r="AB1040" s="111" t="inlineStr">
        <is>
          <t>NAO_COMPUTADO</t>
        </is>
      </c>
      <c r="AC1040" s="112" t="inlineStr">
        <is>
          <t>Estrutura Fase 1: sem impacto no VTA oficial</t>
        </is>
      </c>
    </row>
    <row r="1041" ht="25.5" customHeight="1" s="289">
      <c r="A1041" s="205" t="n"/>
      <c r="B1041" s="207" t="n"/>
      <c r="C1041" s="104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348" t="n"/>
      <c r="E1041" s="349">
        <f>IF(C1041="","",IFERROR(VLOOKUP(C1041,parametros!$A$11:$E$15,5,0),""))</f>
        <v/>
      </c>
      <c r="F1041" s="335">
        <f>IF(OR(D1041="",E1041=""),"",ROUND(D1041*E1041,2))</f>
        <v/>
      </c>
      <c r="G1041" s="106" t="n"/>
      <c r="H1041" s="350">
        <f>IF(G1041="Sim",IF(OR(F1041="",D1041="",L1041=""),"",IF(L1041="Sim",ROUND(F1041-D1041,2),0)),0)</f>
        <v/>
      </c>
      <c r="I1041" s="350">
        <f>IF(G1041="Sim",0,IF(OR(F1041="",L1041=""),"",F1041))</f>
        <v/>
      </c>
      <c r="J1041" s="350">
        <f>IF(G1041="Sim",0,IF(OR(F1041="",D1041="",L1041=""),"",IF(L1041="Sim",ROUND(F1041-D1041,2),0)))</f>
        <v/>
      </c>
      <c r="K1041" s="97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inlineStr">
        <is>
          <t>Nao</t>
        </is>
      </c>
      <c r="W1041" s="110" t="inlineStr">
        <is>
          <t>PC em analise</t>
        </is>
      </c>
      <c r="X1041" s="110" t="inlineStr">
        <is>
          <t>Pedido de Compra</t>
        </is>
      </c>
      <c r="Y1041" s="111" t="inlineStr">
        <is>
          <t>Impacto Potencial</t>
        </is>
      </c>
      <c r="Z1041" s="111" t="inlineStr">
        <is>
          <t>PC</t>
        </is>
      </c>
      <c r="AA1041" s="111" t="inlineStr">
        <is>
          <t>Nao</t>
        </is>
      </c>
      <c r="AB1041" s="111" t="inlineStr">
        <is>
          <t>NAO_COMPUTADO</t>
        </is>
      </c>
      <c r="AC1041" s="112" t="inlineStr">
        <is>
          <t>Estrutura Fase 1: sem impacto no VTA oficial</t>
        </is>
      </c>
    </row>
    <row r="1042" ht="25.5" customHeight="1" s="289">
      <c r="A1042" s="205" t="n"/>
      <c r="B1042" s="207" t="n"/>
      <c r="C1042" s="104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348" t="n"/>
      <c r="E1042" s="349">
        <f>IF(C1042="","",IFERROR(VLOOKUP(C1042,parametros!$A$11:$E$15,5,0),""))</f>
        <v/>
      </c>
      <c r="F1042" s="335">
        <f>IF(OR(D1042="",E1042=""),"",ROUND(D1042*E1042,2))</f>
        <v/>
      </c>
      <c r="G1042" s="106" t="n"/>
      <c r="H1042" s="350">
        <f>IF(G1042="Sim",IF(OR(F1042="",D1042="",L1042=""),"",IF(L1042="Sim",ROUND(F1042-D1042,2),0)),0)</f>
        <v/>
      </c>
      <c r="I1042" s="350">
        <f>IF(G1042="Sim",0,IF(OR(F1042="",L1042=""),"",F1042))</f>
        <v/>
      </c>
      <c r="J1042" s="350">
        <f>IF(G1042="Sim",0,IF(OR(F1042="",D1042="",L1042=""),"",IF(L1042="Sim",ROUND(F1042-D1042,2),0)))</f>
        <v/>
      </c>
      <c r="K1042" s="97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inlineStr">
        <is>
          <t>Nao</t>
        </is>
      </c>
      <c r="W1042" s="110" t="inlineStr">
        <is>
          <t>PC em analise</t>
        </is>
      </c>
      <c r="X1042" s="110" t="inlineStr">
        <is>
          <t>Pedido de Compra</t>
        </is>
      </c>
      <c r="Y1042" s="111" t="inlineStr">
        <is>
          <t>Impacto Potencial</t>
        </is>
      </c>
      <c r="Z1042" s="111" t="inlineStr">
        <is>
          <t>PC</t>
        </is>
      </c>
      <c r="AA1042" s="111" t="inlineStr">
        <is>
          <t>Nao</t>
        </is>
      </c>
      <c r="AB1042" s="111" t="inlineStr">
        <is>
          <t>NAO_COMPUTADO</t>
        </is>
      </c>
      <c r="AC1042" s="112" t="inlineStr">
        <is>
          <t>Estrutura Fase 1: sem impacto no VTA oficial</t>
        </is>
      </c>
    </row>
    <row r="1043" ht="25.5" customHeight="1" s="289">
      <c r="A1043" s="205" t="n"/>
      <c r="B1043" s="207" t="n"/>
      <c r="C1043" s="104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348" t="n"/>
      <c r="E1043" s="349">
        <f>IF(C1043="","",IFERROR(VLOOKUP(C1043,parametros!$A$11:$E$15,5,0),""))</f>
        <v/>
      </c>
      <c r="F1043" s="335">
        <f>IF(OR(D1043="",E1043=""),"",ROUND(D1043*E1043,2))</f>
        <v/>
      </c>
      <c r="G1043" s="106" t="n"/>
      <c r="H1043" s="350">
        <f>IF(G1043="Sim",IF(OR(F1043="",D1043="",L1043=""),"",IF(L1043="Sim",ROUND(F1043-D1043,2),0)),0)</f>
        <v/>
      </c>
      <c r="I1043" s="350">
        <f>IF(G1043="Sim",0,IF(OR(F1043="",L1043=""),"",F1043))</f>
        <v/>
      </c>
      <c r="J1043" s="350">
        <f>IF(G1043="Sim",0,IF(OR(F1043="",D1043="",L1043=""),"",IF(L1043="Sim",ROUND(F1043-D1043,2),0)))</f>
        <v/>
      </c>
      <c r="K1043" s="97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inlineStr">
        <is>
          <t>Nao</t>
        </is>
      </c>
      <c r="W1043" s="110" t="inlineStr">
        <is>
          <t>PC em analise</t>
        </is>
      </c>
      <c r="X1043" s="110" t="inlineStr">
        <is>
          <t>Pedido de Compra</t>
        </is>
      </c>
      <c r="Y1043" s="111" t="inlineStr">
        <is>
          <t>Impacto Potencial</t>
        </is>
      </c>
      <c r="Z1043" s="111" t="inlineStr">
        <is>
          <t>PC</t>
        </is>
      </c>
      <c r="AA1043" s="111" t="inlineStr">
        <is>
          <t>Nao</t>
        </is>
      </c>
      <c r="AB1043" s="111" t="inlineStr">
        <is>
          <t>NAO_COMPUTADO</t>
        </is>
      </c>
      <c r="AC1043" s="112" t="inlineStr">
        <is>
          <t>Estrutura Fase 1: sem impacto no VTA oficial</t>
        </is>
      </c>
    </row>
    <row r="1044" ht="25.5" customHeight="1" s="289">
      <c r="A1044" s="205" t="n"/>
      <c r="B1044" s="207" t="n"/>
      <c r="C1044" s="104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348" t="n"/>
      <c r="E1044" s="349">
        <f>IF(C1044="","",IFERROR(VLOOKUP(C1044,parametros!$A$11:$E$15,5,0),""))</f>
        <v/>
      </c>
      <c r="F1044" s="335">
        <f>IF(OR(D1044="",E1044=""),"",ROUND(D1044*E1044,2))</f>
        <v/>
      </c>
      <c r="G1044" s="106" t="n"/>
      <c r="H1044" s="350">
        <f>IF(G1044="Sim",IF(OR(F1044="",D1044="",L1044=""),"",IF(L1044="Sim",ROUND(F1044-D1044,2),0)),0)</f>
        <v/>
      </c>
      <c r="I1044" s="350">
        <f>IF(G1044="Sim",0,IF(OR(F1044="",L1044=""),"",F1044))</f>
        <v/>
      </c>
      <c r="J1044" s="350">
        <f>IF(G1044="Sim",0,IF(OR(F1044="",D1044="",L1044=""),"",IF(L1044="Sim",ROUND(F1044-D1044,2),0)))</f>
        <v/>
      </c>
      <c r="K1044" s="97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inlineStr">
        <is>
          <t>Nao</t>
        </is>
      </c>
      <c r="W1044" s="110" t="inlineStr">
        <is>
          <t>PC em analise</t>
        </is>
      </c>
      <c r="X1044" s="110" t="inlineStr">
        <is>
          <t>Pedido de Compra</t>
        </is>
      </c>
      <c r="Y1044" s="111" t="inlineStr">
        <is>
          <t>Impacto Potencial</t>
        </is>
      </c>
      <c r="Z1044" s="111" t="inlineStr">
        <is>
          <t>PC</t>
        </is>
      </c>
      <c r="AA1044" s="111" t="inlineStr">
        <is>
          <t>Nao</t>
        </is>
      </c>
      <c r="AB1044" s="111" t="inlineStr">
        <is>
          <t>NAO_COMPUTADO</t>
        </is>
      </c>
      <c r="AC1044" s="112" t="inlineStr">
        <is>
          <t>Estrutura Fase 1: sem impacto no VTA oficial</t>
        </is>
      </c>
    </row>
    <row r="1045" ht="25.5" customHeight="1" s="289">
      <c r="A1045" s="205" t="n"/>
      <c r="B1045" s="207" t="n"/>
      <c r="C1045" s="104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348" t="n"/>
      <c r="E1045" s="349">
        <f>IF(C1045="","",IFERROR(VLOOKUP(C1045,parametros!$A$11:$E$15,5,0),""))</f>
        <v/>
      </c>
      <c r="F1045" s="335">
        <f>IF(OR(D1045="",E1045=""),"",ROUND(D1045*E1045,2))</f>
        <v/>
      </c>
      <c r="G1045" s="106" t="n"/>
      <c r="H1045" s="350">
        <f>IF(G1045="Sim",IF(OR(F1045="",D1045="",L1045=""),"",IF(L1045="Sim",ROUND(F1045-D1045,2),0)),0)</f>
        <v/>
      </c>
      <c r="I1045" s="350">
        <f>IF(G1045="Sim",0,IF(OR(F1045="",L1045=""),"",F1045))</f>
        <v/>
      </c>
      <c r="J1045" s="350">
        <f>IF(G1045="Sim",0,IF(OR(F1045="",D1045="",L1045=""),"",IF(L1045="Sim",ROUND(F1045-D1045,2),0)))</f>
        <v/>
      </c>
      <c r="K1045" s="97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inlineStr">
        <is>
          <t>Nao</t>
        </is>
      </c>
      <c r="W1045" s="110" t="inlineStr">
        <is>
          <t>PC em analise</t>
        </is>
      </c>
      <c r="X1045" s="110" t="inlineStr">
        <is>
          <t>Pedido de Compra</t>
        </is>
      </c>
      <c r="Y1045" s="111" t="inlineStr">
        <is>
          <t>Impacto Potencial</t>
        </is>
      </c>
      <c r="Z1045" s="111" t="inlineStr">
        <is>
          <t>PC</t>
        </is>
      </c>
      <c r="AA1045" s="111" t="inlineStr">
        <is>
          <t>Nao</t>
        </is>
      </c>
      <c r="AB1045" s="111" t="inlineStr">
        <is>
          <t>NAO_COMPUTADO</t>
        </is>
      </c>
      <c r="AC1045" s="112" t="inlineStr">
        <is>
          <t>Estrutura Fase 1: sem impacto no VTA oficial</t>
        </is>
      </c>
    </row>
    <row r="1046" ht="25.5" customHeight="1" s="289">
      <c r="A1046" s="205" t="n"/>
      <c r="B1046" s="207" t="n"/>
      <c r="C1046" s="104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348" t="n"/>
      <c r="E1046" s="349">
        <f>IF(C1046="","",IFERROR(VLOOKUP(C1046,parametros!$A$11:$E$15,5,0),""))</f>
        <v/>
      </c>
      <c r="F1046" s="335">
        <f>IF(OR(D1046="",E1046=""),"",ROUND(D1046*E1046,2))</f>
        <v/>
      </c>
      <c r="G1046" s="106" t="n"/>
      <c r="H1046" s="350">
        <f>IF(G1046="Sim",IF(OR(F1046="",D1046="",L1046=""),"",IF(L1046="Sim",ROUND(F1046-D1046,2),0)),0)</f>
        <v/>
      </c>
      <c r="I1046" s="350">
        <f>IF(G1046="Sim",0,IF(OR(F1046="",L1046=""),"",F1046))</f>
        <v/>
      </c>
      <c r="J1046" s="350">
        <f>IF(G1046="Sim",0,IF(OR(F1046="",D1046="",L1046=""),"",IF(L1046="Sim",ROUND(F1046-D1046,2),0)))</f>
        <v/>
      </c>
      <c r="K1046" s="97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inlineStr">
        <is>
          <t>Nao</t>
        </is>
      </c>
      <c r="W1046" s="110" t="inlineStr">
        <is>
          <t>PC em analise</t>
        </is>
      </c>
      <c r="X1046" s="110" t="inlineStr">
        <is>
          <t>Pedido de Compra</t>
        </is>
      </c>
      <c r="Y1046" s="111" t="inlineStr">
        <is>
          <t>Impacto Potencial</t>
        </is>
      </c>
      <c r="Z1046" s="111" t="inlineStr">
        <is>
          <t>PC</t>
        </is>
      </c>
      <c r="AA1046" s="111" t="inlineStr">
        <is>
          <t>Nao</t>
        </is>
      </c>
      <c r="AB1046" s="111" t="inlineStr">
        <is>
          <t>NAO_COMPUTADO</t>
        </is>
      </c>
      <c r="AC1046" s="112" t="inlineStr">
        <is>
          <t>Estrutura Fase 1: sem impacto no VTA oficial</t>
        </is>
      </c>
    </row>
    <row r="1047" ht="25.5" customHeight="1" s="289">
      <c r="A1047" s="205" t="n"/>
      <c r="B1047" s="207" t="n"/>
      <c r="C1047" s="104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348" t="n"/>
      <c r="E1047" s="349">
        <f>IF(C1047="","",IFERROR(VLOOKUP(C1047,parametros!$A$11:$E$15,5,0),""))</f>
        <v/>
      </c>
      <c r="F1047" s="335">
        <f>IF(OR(D1047="",E1047=""),"",ROUND(D1047*E1047,2))</f>
        <v/>
      </c>
      <c r="G1047" s="106" t="n"/>
      <c r="H1047" s="350">
        <f>IF(G1047="Sim",IF(OR(F1047="",D1047="",L1047=""),"",IF(L1047="Sim",ROUND(F1047-D1047,2),0)),0)</f>
        <v/>
      </c>
      <c r="I1047" s="350">
        <f>IF(G1047="Sim",0,IF(OR(F1047="",L1047=""),"",F1047))</f>
        <v/>
      </c>
      <c r="J1047" s="350">
        <f>IF(G1047="Sim",0,IF(OR(F1047="",D1047="",L1047=""),"",IF(L1047="Sim",ROUND(F1047-D1047,2),0)))</f>
        <v/>
      </c>
      <c r="K1047" s="97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inlineStr">
        <is>
          <t>Nao</t>
        </is>
      </c>
      <c r="W1047" s="110" t="inlineStr">
        <is>
          <t>PC em analise</t>
        </is>
      </c>
      <c r="X1047" s="110" t="inlineStr">
        <is>
          <t>Pedido de Compra</t>
        </is>
      </c>
      <c r="Y1047" s="111" t="inlineStr">
        <is>
          <t>Impacto Potencial</t>
        </is>
      </c>
      <c r="Z1047" s="111" t="inlineStr">
        <is>
          <t>PC</t>
        </is>
      </c>
      <c r="AA1047" s="111" t="inlineStr">
        <is>
          <t>Nao</t>
        </is>
      </c>
      <c r="AB1047" s="111" t="inlineStr">
        <is>
          <t>NAO_COMPUTADO</t>
        </is>
      </c>
      <c r="AC1047" s="112" t="inlineStr">
        <is>
          <t>Estrutura Fase 1: sem impacto no VTA oficial</t>
        </is>
      </c>
    </row>
    <row r="1048" ht="25.5" customHeight="1" s="289">
      <c r="A1048" s="205" t="n"/>
      <c r="B1048" s="207" t="n"/>
      <c r="C1048" s="104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348" t="n"/>
      <c r="E1048" s="349">
        <f>IF(C1048="","",IFERROR(VLOOKUP(C1048,parametros!$A$11:$E$15,5,0),""))</f>
        <v/>
      </c>
      <c r="F1048" s="335">
        <f>IF(OR(D1048="",E1048=""),"",ROUND(D1048*E1048,2))</f>
        <v/>
      </c>
      <c r="G1048" s="106" t="n"/>
      <c r="H1048" s="350">
        <f>IF(G1048="Sim",IF(OR(F1048="",D1048="",L1048=""),"",IF(L1048="Sim",ROUND(F1048-D1048,2),0)),0)</f>
        <v/>
      </c>
      <c r="I1048" s="350">
        <f>IF(G1048="Sim",0,IF(OR(F1048="",L1048=""),"",F1048))</f>
        <v/>
      </c>
      <c r="J1048" s="350">
        <f>IF(G1048="Sim",0,IF(OR(F1048="",D1048="",L1048=""),"",IF(L1048="Sim",ROUND(F1048-D1048,2),0)))</f>
        <v/>
      </c>
      <c r="K1048" s="97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inlineStr">
        <is>
          <t>Nao</t>
        </is>
      </c>
      <c r="W1048" s="110" t="inlineStr">
        <is>
          <t>PC em analise</t>
        </is>
      </c>
      <c r="X1048" s="110" t="inlineStr">
        <is>
          <t>Pedido de Compra</t>
        </is>
      </c>
      <c r="Y1048" s="111" t="inlineStr">
        <is>
          <t>Impacto Potencial</t>
        </is>
      </c>
      <c r="Z1048" s="111" t="inlineStr">
        <is>
          <t>PC</t>
        </is>
      </c>
      <c r="AA1048" s="111" t="inlineStr">
        <is>
          <t>Nao</t>
        </is>
      </c>
      <c r="AB1048" s="111" t="inlineStr">
        <is>
          <t>NAO_COMPUTADO</t>
        </is>
      </c>
      <c r="AC1048" s="112" t="inlineStr">
        <is>
          <t>Estrutura Fase 1: sem impacto no VTA oficial</t>
        </is>
      </c>
    </row>
    <row r="1049" ht="25.5" customHeight="1" s="289">
      <c r="A1049" s="205" t="n"/>
      <c r="B1049" s="207" t="n"/>
      <c r="C1049" s="104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348" t="n"/>
      <c r="E1049" s="349">
        <f>IF(C1049="","",IFERROR(VLOOKUP(C1049,parametros!$A$11:$E$15,5,0),""))</f>
        <v/>
      </c>
      <c r="F1049" s="335">
        <f>IF(OR(D1049="",E1049=""),"",ROUND(D1049*E1049,2))</f>
        <v/>
      </c>
      <c r="G1049" s="106" t="n"/>
      <c r="H1049" s="350">
        <f>IF(G1049="Sim",IF(OR(F1049="",D1049="",L1049=""),"",IF(L1049="Sim",ROUND(F1049-D1049,2),0)),0)</f>
        <v/>
      </c>
      <c r="I1049" s="350">
        <f>IF(G1049="Sim",0,IF(OR(F1049="",L1049=""),"",F1049))</f>
        <v/>
      </c>
      <c r="J1049" s="350">
        <f>IF(G1049="Sim",0,IF(OR(F1049="",D1049="",L1049=""),"",IF(L1049="Sim",ROUND(F1049-D1049,2),0)))</f>
        <v/>
      </c>
      <c r="K1049" s="97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inlineStr">
        <is>
          <t>Nao</t>
        </is>
      </c>
      <c r="W1049" s="110" t="inlineStr">
        <is>
          <t>PC em analise</t>
        </is>
      </c>
      <c r="X1049" s="110" t="inlineStr">
        <is>
          <t>Pedido de Compra</t>
        </is>
      </c>
      <c r="Y1049" s="111" t="inlineStr">
        <is>
          <t>Impacto Potencial</t>
        </is>
      </c>
      <c r="Z1049" s="111" t="inlineStr">
        <is>
          <t>PC</t>
        </is>
      </c>
      <c r="AA1049" s="111" t="inlineStr">
        <is>
          <t>Nao</t>
        </is>
      </c>
      <c r="AB1049" s="111" t="inlineStr">
        <is>
          <t>NAO_COMPUTADO</t>
        </is>
      </c>
      <c r="AC1049" s="112" t="inlineStr">
        <is>
          <t>Estrutura Fase 1: sem impacto no VTA oficial</t>
        </is>
      </c>
    </row>
    <row r="1050" ht="25.5" customHeight="1" s="289">
      <c r="A1050" s="205" t="n"/>
      <c r="B1050" s="207" t="n"/>
      <c r="C1050" s="104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348" t="n"/>
      <c r="E1050" s="349">
        <f>IF(C1050="","",IFERROR(VLOOKUP(C1050,parametros!$A$11:$E$15,5,0),""))</f>
        <v/>
      </c>
      <c r="F1050" s="335">
        <f>IF(OR(D1050="",E1050=""),"",ROUND(D1050*E1050,2))</f>
        <v/>
      </c>
      <c r="G1050" s="106" t="n"/>
      <c r="H1050" s="350">
        <f>IF(G1050="Sim",IF(OR(F1050="",D1050="",L1050=""),"",IF(L1050="Sim",ROUND(F1050-D1050,2),0)),0)</f>
        <v/>
      </c>
      <c r="I1050" s="350">
        <f>IF(G1050="Sim",0,IF(OR(F1050="",L1050=""),"",F1050))</f>
        <v/>
      </c>
      <c r="J1050" s="350">
        <f>IF(G1050="Sim",0,IF(OR(F1050="",D1050="",L1050=""),"",IF(L1050="Sim",ROUND(F1050-D1050,2),0)))</f>
        <v/>
      </c>
      <c r="K1050" s="97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inlineStr">
        <is>
          <t>Nao</t>
        </is>
      </c>
      <c r="W1050" s="110" t="inlineStr">
        <is>
          <t>PC em analise</t>
        </is>
      </c>
      <c r="X1050" s="110" t="inlineStr">
        <is>
          <t>Pedido de Compra</t>
        </is>
      </c>
      <c r="Y1050" s="111" t="inlineStr">
        <is>
          <t>Impacto Potencial</t>
        </is>
      </c>
      <c r="Z1050" s="111" t="inlineStr">
        <is>
          <t>PC</t>
        </is>
      </c>
      <c r="AA1050" s="111" t="inlineStr">
        <is>
          <t>Nao</t>
        </is>
      </c>
      <c r="AB1050" s="111" t="inlineStr">
        <is>
          <t>NAO_COMPUTADO</t>
        </is>
      </c>
      <c r="AC1050" s="112" t="inlineStr">
        <is>
          <t>Estrutura Fase 1: sem impacto no VTA oficial</t>
        </is>
      </c>
    </row>
    <row r="1051" ht="25.5" customHeight="1" s="289">
      <c r="A1051" s="205" t="n"/>
      <c r="B1051" s="207" t="n"/>
      <c r="C1051" s="104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348" t="n"/>
      <c r="E1051" s="349">
        <f>IF(C1051="","",IFERROR(VLOOKUP(C1051,parametros!$A$11:$E$15,5,0),""))</f>
        <v/>
      </c>
      <c r="F1051" s="335">
        <f>IF(OR(D1051="",E1051=""),"",ROUND(D1051*E1051,2))</f>
        <v/>
      </c>
      <c r="G1051" s="106" t="n"/>
      <c r="H1051" s="350">
        <f>IF(G1051="Sim",IF(OR(F1051="",D1051="",L1051=""),"",IF(L1051="Sim",ROUND(F1051-D1051,2),0)),0)</f>
        <v/>
      </c>
      <c r="I1051" s="350">
        <f>IF(G1051="Sim",0,IF(OR(F1051="",L1051=""),"",F1051))</f>
        <v/>
      </c>
      <c r="J1051" s="350">
        <f>IF(G1051="Sim",0,IF(OR(F1051="",D1051="",L1051=""),"",IF(L1051="Sim",ROUND(F1051-D1051,2),0)))</f>
        <v/>
      </c>
      <c r="K1051" s="97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inlineStr">
        <is>
          <t>Nao</t>
        </is>
      </c>
      <c r="W1051" s="110" t="inlineStr">
        <is>
          <t>PC em analise</t>
        </is>
      </c>
      <c r="X1051" s="110" t="inlineStr">
        <is>
          <t>Pedido de Compra</t>
        </is>
      </c>
      <c r="Y1051" s="111" t="inlineStr">
        <is>
          <t>Impacto Potencial</t>
        </is>
      </c>
      <c r="Z1051" s="111" t="inlineStr">
        <is>
          <t>PC</t>
        </is>
      </c>
      <c r="AA1051" s="111" t="inlineStr">
        <is>
          <t>Nao</t>
        </is>
      </c>
      <c r="AB1051" s="111" t="inlineStr">
        <is>
          <t>NAO_COMPUTADO</t>
        </is>
      </c>
      <c r="AC1051" s="112" t="inlineStr">
        <is>
          <t>Estrutura Fase 1: sem impacto no VTA oficial</t>
        </is>
      </c>
    </row>
    <row r="1052" ht="25.5" customHeight="1" s="289">
      <c r="A1052" s="205" t="n"/>
      <c r="B1052" s="207" t="n"/>
      <c r="C1052" s="104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348" t="n"/>
      <c r="E1052" s="349">
        <f>IF(C1052="","",IFERROR(VLOOKUP(C1052,parametros!$A$11:$E$15,5,0),""))</f>
        <v/>
      </c>
      <c r="F1052" s="335">
        <f>IF(OR(D1052="",E1052=""),"",ROUND(D1052*E1052,2))</f>
        <v/>
      </c>
      <c r="G1052" s="106" t="n"/>
      <c r="H1052" s="350">
        <f>IF(G1052="Sim",IF(OR(F1052="",D1052="",L1052=""),"",IF(L1052="Sim",ROUND(F1052-D1052,2),0)),0)</f>
        <v/>
      </c>
      <c r="I1052" s="350">
        <f>IF(G1052="Sim",0,IF(OR(F1052="",L1052=""),"",F1052))</f>
        <v/>
      </c>
      <c r="J1052" s="350">
        <f>IF(G1052="Sim",0,IF(OR(F1052="",D1052="",L1052=""),"",IF(L1052="Sim",ROUND(F1052-D1052,2),0)))</f>
        <v/>
      </c>
      <c r="K1052" s="97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inlineStr">
        <is>
          <t>Nao</t>
        </is>
      </c>
      <c r="W1052" s="110" t="inlineStr">
        <is>
          <t>PC em analise</t>
        </is>
      </c>
      <c r="X1052" s="110" t="inlineStr">
        <is>
          <t>Pedido de Compra</t>
        </is>
      </c>
      <c r="Y1052" s="111" t="inlineStr">
        <is>
          <t>Impacto Potencial</t>
        </is>
      </c>
      <c r="Z1052" s="111" t="inlineStr">
        <is>
          <t>PC</t>
        </is>
      </c>
      <c r="AA1052" s="111" t="inlineStr">
        <is>
          <t>Nao</t>
        </is>
      </c>
      <c r="AB1052" s="111" t="inlineStr">
        <is>
          <t>NAO_COMPUTADO</t>
        </is>
      </c>
      <c r="AC1052" s="112" t="inlineStr">
        <is>
          <t>Estrutura Fase 1: sem impacto no VTA oficial</t>
        </is>
      </c>
    </row>
    <row r="1053" ht="25.5" customHeight="1" s="289">
      <c r="A1053" s="205" t="n"/>
      <c r="B1053" s="207" t="n"/>
      <c r="C1053" s="104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348" t="n"/>
      <c r="E1053" s="349">
        <f>IF(C1053="","",IFERROR(VLOOKUP(C1053,parametros!$A$11:$E$15,5,0),""))</f>
        <v/>
      </c>
      <c r="F1053" s="335">
        <f>IF(OR(D1053="",E1053=""),"",ROUND(D1053*E1053,2))</f>
        <v/>
      </c>
      <c r="G1053" s="106" t="n"/>
      <c r="H1053" s="350">
        <f>IF(G1053="Sim",IF(OR(F1053="",D1053="",L1053=""),"",IF(L1053="Sim",ROUND(F1053-D1053,2),0)),0)</f>
        <v/>
      </c>
      <c r="I1053" s="350">
        <f>IF(G1053="Sim",0,IF(OR(F1053="",L1053=""),"",F1053))</f>
        <v/>
      </c>
      <c r="J1053" s="350">
        <f>IF(G1053="Sim",0,IF(OR(F1053="",D1053="",L1053=""),"",IF(L1053="Sim",ROUND(F1053-D1053,2),0)))</f>
        <v/>
      </c>
      <c r="K1053" s="97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inlineStr">
        <is>
          <t>Nao</t>
        </is>
      </c>
      <c r="W1053" s="110" t="inlineStr">
        <is>
          <t>PC em analise</t>
        </is>
      </c>
      <c r="X1053" s="110" t="inlineStr">
        <is>
          <t>Pedido de Compra</t>
        </is>
      </c>
      <c r="Y1053" s="111" t="inlineStr">
        <is>
          <t>Impacto Potencial</t>
        </is>
      </c>
      <c r="Z1053" s="111" t="inlineStr">
        <is>
          <t>PC</t>
        </is>
      </c>
      <c r="AA1053" s="111" t="inlineStr">
        <is>
          <t>Nao</t>
        </is>
      </c>
      <c r="AB1053" s="111" t="inlineStr">
        <is>
          <t>NAO_COMPUTADO</t>
        </is>
      </c>
      <c r="AC1053" s="112" t="inlineStr">
        <is>
          <t>Estrutura Fase 1: sem impacto no VTA oficial</t>
        </is>
      </c>
    </row>
    <row r="1054" ht="25.5" customHeight="1" s="289">
      <c r="A1054" s="205" t="n"/>
      <c r="B1054" s="207" t="n"/>
      <c r="C1054" s="104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348" t="n"/>
      <c r="E1054" s="349">
        <f>IF(C1054="","",IFERROR(VLOOKUP(C1054,parametros!$A$11:$E$15,5,0),""))</f>
        <v/>
      </c>
      <c r="F1054" s="335">
        <f>IF(OR(D1054="",E1054=""),"",ROUND(D1054*E1054,2))</f>
        <v/>
      </c>
      <c r="G1054" s="106" t="n"/>
      <c r="H1054" s="350">
        <f>IF(G1054="Sim",IF(OR(F1054="",D1054="",L1054=""),"",IF(L1054="Sim",ROUND(F1054-D1054,2),0)),0)</f>
        <v/>
      </c>
      <c r="I1054" s="350">
        <f>IF(G1054="Sim",0,IF(OR(F1054="",L1054=""),"",F1054))</f>
        <v/>
      </c>
      <c r="J1054" s="350">
        <f>IF(G1054="Sim",0,IF(OR(F1054="",D1054="",L1054=""),"",IF(L1054="Sim",ROUND(F1054-D1054,2),0)))</f>
        <v/>
      </c>
      <c r="K1054" s="97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inlineStr">
        <is>
          <t>Nao</t>
        </is>
      </c>
      <c r="W1054" s="110" t="inlineStr">
        <is>
          <t>PC em analise</t>
        </is>
      </c>
      <c r="X1054" s="110" t="inlineStr">
        <is>
          <t>Pedido de Compra</t>
        </is>
      </c>
      <c r="Y1054" s="111" t="inlineStr">
        <is>
          <t>Impacto Potencial</t>
        </is>
      </c>
      <c r="Z1054" s="111" t="inlineStr">
        <is>
          <t>PC</t>
        </is>
      </c>
      <c r="AA1054" s="111" t="inlineStr">
        <is>
          <t>Nao</t>
        </is>
      </c>
      <c r="AB1054" s="111" t="inlineStr">
        <is>
          <t>NAO_COMPUTADO</t>
        </is>
      </c>
      <c r="AC1054" s="112" t="inlineStr">
        <is>
          <t>Estrutura Fase 1: sem impacto no VTA oficial</t>
        </is>
      </c>
    </row>
    <row r="1055" ht="25.5" customHeight="1" s="289">
      <c r="A1055" s="205" t="n"/>
      <c r="B1055" s="207" t="n"/>
      <c r="C1055" s="104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348" t="n"/>
      <c r="E1055" s="349">
        <f>IF(C1055="","",IFERROR(VLOOKUP(C1055,parametros!$A$11:$E$15,5,0),""))</f>
        <v/>
      </c>
      <c r="F1055" s="335">
        <f>IF(OR(D1055="",E1055=""),"",ROUND(D1055*E1055,2))</f>
        <v/>
      </c>
      <c r="G1055" s="106" t="n"/>
      <c r="H1055" s="350">
        <f>IF(G1055="Sim",IF(OR(F1055="",D1055="",L1055=""),"",IF(L1055="Sim",ROUND(F1055-D1055,2),0)),0)</f>
        <v/>
      </c>
      <c r="I1055" s="350">
        <f>IF(G1055="Sim",0,IF(OR(F1055="",L1055=""),"",F1055))</f>
        <v/>
      </c>
      <c r="J1055" s="350">
        <f>IF(G1055="Sim",0,IF(OR(F1055="",D1055="",L1055=""),"",IF(L1055="Sim",ROUND(F1055-D1055,2),0)))</f>
        <v/>
      </c>
      <c r="K1055" s="97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inlineStr">
        <is>
          <t>Nao</t>
        </is>
      </c>
      <c r="W1055" s="110" t="inlineStr">
        <is>
          <t>PC em analise</t>
        </is>
      </c>
      <c r="X1055" s="110" t="inlineStr">
        <is>
          <t>Pedido de Compra</t>
        </is>
      </c>
      <c r="Y1055" s="111" t="inlineStr">
        <is>
          <t>Impacto Potencial</t>
        </is>
      </c>
      <c r="Z1055" s="111" t="inlineStr">
        <is>
          <t>PC</t>
        </is>
      </c>
      <c r="AA1055" s="111" t="inlineStr">
        <is>
          <t>Nao</t>
        </is>
      </c>
      <c r="AB1055" s="111" t="inlineStr">
        <is>
          <t>NAO_COMPUTADO</t>
        </is>
      </c>
      <c r="AC1055" s="112" t="inlineStr">
        <is>
          <t>Estrutura Fase 1: sem impacto no VTA oficial</t>
        </is>
      </c>
    </row>
    <row r="1056" ht="25.5" customHeight="1" s="289">
      <c r="A1056" s="205" t="n"/>
      <c r="B1056" s="207" t="n"/>
      <c r="C1056" s="104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348" t="n"/>
      <c r="E1056" s="349">
        <f>IF(C1056="","",IFERROR(VLOOKUP(C1056,parametros!$A$11:$E$15,5,0),""))</f>
        <v/>
      </c>
      <c r="F1056" s="335">
        <f>IF(OR(D1056="",E1056=""),"",ROUND(D1056*E1056,2))</f>
        <v/>
      </c>
      <c r="G1056" s="106" t="n"/>
      <c r="H1056" s="350">
        <f>IF(G1056="Sim",IF(OR(F1056="",D1056="",L1056=""),"",IF(L1056="Sim",ROUND(F1056-D1056,2),0)),0)</f>
        <v/>
      </c>
      <c r="I1056" s="350">
        <f>IF(G1056="Sim",0,IF(OR(F1056="",L1056=""),"",F1056))</f>
        <v/>
      </c>
      <c r="J1056" s="350">
        <f>IF(G1056="Sim",0,IF(OR(F1056="",D1056="",L1056=""),"",IF(L1056="Sim",ROUND(F1056-D1056,2),0)))</f>
        <v/>
      </c>
      <c r="K1056" s="97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inlineStr">
        <is>
          <t>Nao</t>
        </is>
      </c>
      <c r="W1056" s="110" t="inlineStr">
        <is>
          <t>PC em analise</t>
        </is>
      </c>
      <c r="X1056" s="110" t="inlineStr">
        <is>
          <t>Pedido de Compra</t>
        </is>
      </c>
      <c r="Y1056" s="111" t="inlineStr">
        <is>
          <t>Impacto Potencial</t>
        </is>
      </c>
      <c r="Z1056" s="111" t="inlineStr">
        <is>
          <t>PC</t>
        </is>
      </c>
      <c r="AA1056" s="111" t="inlineStr">
        <is>
          <t>Nao</t>
        </is>
      </c>
      <c r="AB1056" s="111" t="inlineStr">
        <is>
          <t>NAO_COMPUTADO</t>
        </is>
      </c>
      <c r="AC1056" s="112" t="inlineStr">
        <is>
          <t>Estrutura Fase 1: sem impacto no VTA oficial</t>
        </is>
      </c>
    </row>
    <row r="1057" ht="25.5" customHeight="1" s="289">
      <c r="A1057" s="205" t="n"/>
      <c r="B1057" s="207" t="n"/>
      <c r="C1057" s="104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348" t="n"/>
      <c r="E1057" s="349">
        <f>IF(C1057="","",IFERROR(VLOOKUP(C1057,parametros!$A$11:$E$15,5,0),""))</f>
        <v/>
      </c>
      <c r="F1057" s="335">
        <f>IF(OR(D1057="",E1057=""),"",ROUND(D1057*E1057,2))</f>
        <v/>
      </c>
      <c r="G1057" s="106" t="n"/>
      <c r="H1057" s="350">
        <f>IF(G1057="Sim",IF(OR(F1057="",D1057="",L1057=""),"",IF(L1057="Sim",ROUND(F1057-D1057,2),0)),0)</f>
        <v/>
      </c>
      <c r="I1057" s="350">
        <f>IF(G1057="Sim",0,IF(OR(F1057="",L1057=""),"",F1057))</f>
        <v/>
      </c>
      <c r="J1057" s="350">
        <f>IF(G1057="Sim",0,IF(OR(F1057="",D1057="",L1057=""),"",IF(L1057="Sim",ROUND(F1057-D1057,2),0)))</f>
        <v/>
      </c>
      <c r="K1057" s="97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inlineStr">
        <is>
          <t>Nao</t>
        </is>
      </c>
      <c r="W1057" s="110" t="inlineStr">
        <is>
          <t>PC em analise</t>
        </is>
      </c>
      <c r="X1057" s="110" t="inlineStr">
        <is>
          <t>Pedido de Compra</t>
        </is>
      </c>
      <c r="Y1057" s="111" t="inlineStr">
        <is>
          <t>Impacto Potencial</t>
        </is>
      </c>
      <c r="Z1057" s="111" t="inlineStr">
        <is>
          <t>PC</t>
        </is>
      </c>
      <c r="AA1057" s="111" t="inlineStr">
        <is>
          <t>Nao</t>
        </is>
      </c>
      <c r="AB1057" s="111" t="inlineStr">
        <is>
          <t>NAO_COMPUTADO</t>
        </is>
      </c>
      <c r="AC1057" s="112" t="inlineStr">
        <is>
          <t>Estrutura Fase 1: sem impacto no VTA oficial</t>
        </is>
      </c>
    </row>
    <row r="1058" ht="25.5" customHeight="1" s="289">
      <c r="A1058" s="205" t="n"/>
      <c r="B1058" s="207" t="n"/>
      <c r="C1058" s="104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348" t="n"/>
      <c r="E1058" s="349">
        <f>IF(C1058="","",IFERROR(VLOOKUP(C1058,parametros!$A$11:$E$15,5,0),""))</f>
        <v/>
      </c>
      <c r="F1058" s="335">
        <f>IF(OR(D1058="",E1058=""),"",ROUND(D1058*E1058,2))</f>
        <v/>
      </c>
      <c r="G1058" s="106" t="n"/>
      <c r="H1058" s="350">
        <f>IF(G1058="Sim",IF(OR(F1058="",D1058="",L1058=""),"",IF(L1058="Sim",ROUND(F1058-D1058,2),0)),0)</f>
        <v/>
      </c>
      <c r="I1058" s="350">
        <f>IF(G1058="Sim",0,IF(OR(F1058="",L1058=""),"",F1058))</f>
        <v/>
      </c>
      <c r="J1058" s="350">
        <f>IF(G1058="Sim",0,IF(OR(F1058="",D1058="",L1058=""),"",IF(L1058="Sim",ROUND(F1058-D1058,2),0)))</f>
        <v/>
      </c>
      <c r="K1058" s="97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inlineStr">
        <is>
          <t>Nao</t>
        </is>
      </c>
      <c r="W1058" s="110" t="inlineStr">
        <is>
          <t>PC em analise</t>
        </is>
      </c>
      <c r="X1058" s="110" t="inlineStr">
        <is>
          <t>Pedido de Compra</t>
        </is>
      </c>
      <c r="Y1058" s="111" t="inlineStr">
        <is>
          <t>Impacto Potencial</t>
        </is>
      </c>
      <c r="Z1058" s="111" t="inlineStr">
        <is>
          <t>PC</t>
        </is>
      </c>
      <c r="AA1058" s="111" t="inlineStr">
        <is>
          <t>Nao</t>
        </is>
      </c>
      <c r="AB1058" s="111" t="inlineStr">
        <is>
          <t>NAO_COMPUTADO</t>
        </is>
      </c>
      <c r="AC1058" s="112" t="inlineStr">
        <is>
          <t>Estrutura Fase 1: sem impacto no VTA oficial</t>
        </is>
      </c>
    </row>
    <row r="1059" ht="25.5" customHeight="1" s="289">
      <c r="A1059" s="205" t="n"/>
      <c r="B1059" s="207" t="n"/>
      <c r="C1059" s="104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348" t="n"/>
      <c r="E1059" s="349">
        <f>IF(C1059="","",IFERROR(VLOOKUP(C1059,parametros!$A$11:$E$15,5,0),""))</f>
        <v/>
      </c>
      <c r="F1059" s="335">
        <f>IF(OR(D1059="",E1059=""),"",ROUND(D1059*E1059,2))</f>
        <v/>
      </c>
      <c r="G1059" s="106" t="n"/>
      <c r="H1059" s="350">
        <f>IF(G1059="Sim",IF(OR(F1059="",D1059="",L1059=""),"",IF(L1059="Sim",ROUND(F1059-D1059,2),0)),0)</f>
        <v/>
      </c>
      <c r="I1059" s="350">
        <f>IF(G1059="Sim",0,IF(OR(F1059="",L1059=""),"",F1059))</f>
        <v/>
      </c>
      <c r="J1059" s="350">
        <f>IF(G1059="Sim",0,IF(OR(F1059="",D1059="",L1059=""),"",IF(L1059="Sim",ROUND(F1059-D1059,2),0)))</f>
        <v/>
      </c>
      <c r="K1059" s="97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inlineStr">
        <is>
          <t>Nao</t>
        </is>
      </c>
      <c r="W1059" s="110" t="inlineStr">
        <is>
          <t>PC em analise</t>
        </is>
      </c>
      <c r="X1059" s="110" t="inlineStr">
        <is>
          <t>Pedido de Compra</t>
        </is>
      </c>
      <c r="Y1059" s="111" t="inlineStr">
        <is>
          <t>Impacto Potencial</t>
        </is>
      </c>
      <c r="Z1059" s="111" t="inlineStr">
        <is>
          <t>PC</t>
        </is>
      </c>
      <c r="AA1059" s="111" t="inlineStr">
        <is>
          <t>Nao</t>
        </is>
      </c>
      <c r="AB1059" s="111" t="inlineStr">
        <is>
          <t>NAO_COMPUTADO</t>
        </is>
      </c>
      <c r="AC1059" s="112" t="inlineStr">
        <is>
          <t>Estrutura Fase 1: sem impacto no VTA oficial</t>
        </is>
      </c>
    </row>
    <row r="1060" ht="25.5" customHeight="1" s="289">
      <c r="A1060" s="205" t="n"/>
      <c r="B1060" s="207" t="n"/>
      <c r="C1060" s="104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348" t="n"/>
      <c r="E1060" s="349">
        <f>IF(C1060="","",IFERROR(VLOOKUP(C1060,parametros!$A$11:$E$15,5,0),""))</f>
        <v/>
      </c>
      <c r="F1060" s="335">
        <f>IF(OR(D1060="",E1060=""),"",ROUND(D1060*E1060,2))</f>
        <v/>
      </c>
      <c r="G1060" s="106" t="n"/>
      <c r="H1060" s="350">
        <f>IF(G1060="Sim",IF(OR(F1060="",D1060="",L1060=""),"",IF(L1060="Sim",ROUND(F1060-D1060,2),0)),0)</f>
        <v/>
      </c>
      <c r="I1060" s="350">
        <f>IF(G1060="Sim",0,IF(OR(F1060="",L1060=""),"",F1060))</f>
        <v/>
      </c>
      <c r="J1060" s="350">
        <f>IF(G1060="Sim",0,IF(OR(F1060="",D1060="",L1060=""),"",IF(L1060="Sim",ROUND(F1060-D1060,2),0)))</f>
        <v/>
      </c>
      <c r="K1060" s="97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inlineStr">
        <is>
          <t>Nao</t>
        </is>
      </c>
      <c r="W1060" s="110" t="inlineStr">
        <is>
          <t>PC em analise</t>
        </is>
      </c>
      <c r="X1060" s="110" t="inlineStr">
        <is>
          <t>Pedido de Compra</t>
        </is>
      </c>
      <c r="Y1060" s="111" t="inlineStr">
        <is>
          <t>Impacto Potencial</t>
        </is>
      </c>
      <c r="Z1060" s="111" t="inlineStr">
        <is>
          <t>PC</t>
        </is>
      </c>
      <c r="AA1060" s="111" t="inlineStr">
        <is>
          <t>Nao</t>
        </is>
      </c>
      <c r="AB1060" s="111" t="inlineStr">
        <is>
          <t>NAO_COMPUTADO</t>
        </is>
      </c>
      <c r="AC1060" s="112" t="inlineStr">
        <is>
          <t>Estrutura Fase 1: sem impacto no VTA oficial</t>
        </is>
      </c>
    </row>
    <row r="1061" ht="25.5" customHeight="1" s="289">
      <c r="A1061" s="205" t="n"/>
      <c r="B1061" s="207" t="n"/>
      <c r="C1061" s="104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348" t="n"/>
      <c r="E1061" s="349">
        <f>IF(C1061="","",IFERROR(VLOOKUP(C1061,parametros!$A$11:$E$15,5,0),""))</f>
        <v/>
      </c>
      <c r="F1061" s="335">
        <f>IF(OR(D1061="",E1061=""),"",ROUND(D1061*E1061,2))</f>
        <v/>
      </c>
      <c r="G1061" s="106" t="n"/>
      <c r="H1061" s="350">
        <f>IF(G1061="Sim",IF(OR(F1061="",D1061="",L1061=""),"",IF(L1061="Sim",ROUND(F1061-D1061,2),0)),0)</f>
        <v/>
      </c>
      <c r="I1061" s="350">
        <f>IF(G1061="Sim",0,IF(OR(F1061="",L1061=""),"",F1061))</f>
        <v/>
      </c>
      <c r="J1061" s="350">
        <f>IF(G1061="Sim",0,IF(OR(F1061="",D1061="",L1061=""),"",IF(L1061="Sim",ROUND(F1061-D1061,2),0)))</f>
        <v/>
      </c>
      <c r="K1061" s="97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inlineStr">
        <is>
          <t>Nao</t>
        </is>
      </c>
      <c r="W1061" s="110" t="inlineStr">
        <is>
          <t>PC em analise</t>
        </is>
      </c>
      <c r="X1061" s="110" t="inlineStr">
        <is>
          <t>Pedido de Compra</t>
        </is>
      </c>
      <c r="Y1061" s="111" t="inlineStr">
        <is>
          <t>Impacto Potencial</t>
        </is>
      </c>
      <c r="Z1061" s="111" t="inlineStr">
        <is>
          <t>PC</t>
        </is>
      </c>
      <c r="AA1061" s="111" t="inlineStr">
        <is>
          <t>Nao</t>
        </is>
      </c>
      <c r="AB1061" s="111" t="inlineStr">
        <is>
          <t>NAO_COMPUTADO</t>
        </is>
      </c>
      <c r="AC1061" s="112" t="inlineStr">
        <is>
          <t>Estrutura Fase 1: sem impacto no VTA oficial</t>
        </is>
      </c>
    </row>
    <row r="1062" ht="25.5" customHeight="1" s="289">
      <c r="A1062" s="205" t="n"/>
      <c r="B1062" s="207" t="n"/>
      <c r="C1062" s="104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348" t="n"/>
      <c r="E1062" s="349">
        <f>IF(C1062="","",IFERROR(VLOOKUP(C1062,parametros!$A$11:$E$15,5,0),""))</f>
        <v/>
      </c>
      <c r="F1062" s="335">
        <f>IF(OR(D1062="",E1062=""),"",ROUND(D1062*E1062,2))</f>
        <v/>
      </c>
      <c r="G1062" s="106" t="n"/>
      <c r="H1062" s="350">
        <f>IF(G1062="Sim",IF(OR(F1062="",D1062="",L1062=""),"",IF(L1062="Sim",ROUND(F1062-D1062,2),0)),0)</f>
        <v/>
      </c>
      <c r="I1062" s="350">
        <f>IF(G1062="Sim",0,IF(OR(F1062="",L1062=""),"",F1062))</f>
        <v/>
      </c>
      <c r="J1062" s="350">
        <f>IF(G1062="Sim",0,IF(OR(F1062="",D1062="",L1062=""),"",IF(L1062="Sim",ROUND(F1062-D1062,2),0)))</f>
        <v/>
      </c>
      <c r="K1062" s="97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inlineStr">
        <is>
          <t>Nao</t>
        </is>
      </c>
      <c r="W1062" s="110" t="inlineStr">
        <is>
          <t>PC em analise</t>
        </is>
      </c>
      <c r="X1062" s="110" t="inlineStr">
        <is>
          <t>Pedido de Compra</t>
        </is>
      </c>
      <c r="Y1062" s="111" t="inlineStr">
        <is>
          <t>Impacto Potencial</t>
        </is>
      </c>
      <c r="Z1062" s="111" t="inlineStr">
        <is>
          <t>PC</t>
        </is>
      </c>
      <c r="AA1062" s="111" t="inlineStr">
        <is>
          <t>Nao</t>
        </is>
      </c>
      <c r="AB1062" s="111" t="inlineStr">
        <is>
          <t>NAO_COMPUTADO</t>
        </is>
      </c>
      <c r="AC1062" s="112" t="inlineStr">
        <is>
          <t>Estrutura Fase 1: sem impacto no VTA oficial</t>
        </is>
      </c>
    </row>
    <row r="1063" ht="25.5" customHeight="1" s="289">
      <c r="A1063" s="205" t="n"/>
      <c r="B1063" s="207" t="n"/>
      <c r="C1063" s="104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348" t="n"/>
      <c r="E1063" s="349">
        <f>IF(C1063="","",IFERROR(VLOOKUP(C1063,parametros!$A$11:$E$15,5,0),""))</f>
        <v/>
      </c>
      <c r="F1063" s="335">
        <f>IF(OR(D1063="",E1063=""),"",ROUND(D1063*E1063,2))</f>
        <v/>
      </c>
      <c r="G1063" s="106" t="n"/>
      <c r="H1063" s="350">
        <f>IF(G1063="Sim",IF(OR(F1063="",D1063="",L1063=""),"",IF(L1063="Sim",ROUND(F1063-D1063,2),0)),0)</f>
        <v/>
      </c>
      <c r="I1063" s="350">
        <f>IF(G1063="Sim",0,IF(OR(F1063="",L1063=""),"",F1063))</f>
        <v/>
      </c>
      <c r="J1063" s="350">
        <f>IF(G1063="Sim",0,IF(OR(F1063="",D1063="",L1063=""),"",IF(L1063="Sim",ROUND(F1063-D1063,2),0)))</f>
        <v/>
      </c>
      <c r="K1063" s="97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inlineStr">
        <is>
          <t>Nao</t>
        </is>
      </c>
      <c r="W1063" s="110" t="inlineStr">
        <is>
          <t>PC em analise</t>
        </is>
      </c>
      <c r="X1063" s="110" t="inlineStr">
        <is>
          <t>Pedido de Compra</t>
        </is>
      </c>
      <c r="Y1063" s="111" t="inlineStr">
        <is>
          <t>Impacto Potencial</t>
        </is>
      </c>
      <c r="Z1063" s="111" t="inlineStr">
        <is>
          <t>PC</t>
        </is>
      </c>
      <c r="AA1063" s="111" t="inlineStr">
        <is>
          <t>Nao</t>
        </is>
      </c>
      <c r="AB1063" s="111" t="inlineStr">
        <is>
          <t>NAO_COMPUTADO</t>
        </is>
      </c>
      <c r="AC1063" s="112" t="inlineStr">
        <is>
          <t>Estrutura Fase 1: sem impacto no VTA oficial</t>
        </is>
      </c>
    </row>
    <row r="1064" ht="25.5" customHeight="1" s="289">
      <c r="A1064" s="205" t="n"/>
      <c r="B1064" s="207" t="n"/>
      <c r="C1064" s="104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348" t="n"/>
      <c r="E1064" s="349">
        <f>IF(C1064="","",IFERROR(VLOOKUP(C1064,parametros!$A$11:$E$15,5,0),""))</f>
        <v/>
      </c>
      <c r="F1064" s="335">
        <f>IF(OR(D1064="",E1064=""),"",ROUND(D1064*E1064,2))</f>
        <v/>
      </c>
      <c r="G1064" s="106" t="n"/>
      <c r="H1064" s="350">
        <f>IF(G1064="Sim",IF(OR(F1064="",D1064="",L1064=""),"",IF(L1064="Sim",ROUND(F1064-D1064,2),0)),0)</f>
        <v/>
      </c>
      <c r="I1064" s="350">
        <f>IF(G1064="Sim",0,IF(OR(F1064="",L1064=""),"",F1064))</f>
        <v/>
      </c>
      <c r="J1064" s="350">
        <f>IF(G1064="Sim",0,IF(OR(F1064="",D1064="",L1064=""),"",IF(L1064="Sim",ROUND(F1064-D1064,2),0)))</f>
        <v/>
      </c>
      <c r="K1064" s="97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inlineStr">
        <is>
          <t>Nao</t>
        </is>
      </c>
      <c r="W1064" s="110" t="inlineStr">
        <is>
          <t>PC em analise</t>
        </is>
      </c>
      <c r="X1064" s="110" t="inlineStr">
        <is>
          <t>Pedido de Compra</t>
        </is>
      </c>
      <c r="Y1064" s="111" t="inlineStr">
        <is>
          <t>Impacto Potencial</t>
        </is>
      </c>
      <c r="Z1064" s="111" t="inlineStr">
        <is>
          <t>PC</t>
        </is>
      </c>
      <c r="AA1064" s="111" t="inlineStr">
        <is>
          <t>Nao</t>
        </is>
      </c>
      <c r="AB1064" s="111" t="inlineStr">
        <is>
          <t>NAO_COMPUTADO</t>
        </is>
      </c>
      <c r="AC1064" s="112" t="inlineStr">
        <is>
          <t>Estrutura Fase 1: sem impacto no VTA oficial</t>
        </is>
      </c>
    </row>
    <row r="1065" ht="25.5" customHeight="1" s="289">
      <c r="A1065" s="205" t="n"/>
      <c r="B1065" s="207" t="n"/>
      <c r="C1065" s="104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348" t="n"/>
      <c r="E1065" s="349">
        <f>IF(C1065="","",IFERROR(VLOOKUP(C1065,parametros!$A$11:$E$15,5,0),""))</f>
        <v/>
      </c>
      <c r="F1065" s="335">
        <f>IF(OR(D1065="",E1065=""),"",ROUND(D1065*E1065,2))</f>
        <v/>
      </c>
      <c r="G1065" s="106" t="n"/>
      <c r="H1065" s="350">
        <f>IF(G1065="Sim",IF(OR(F1065="",D1065="",L1065=""),"",IF(L1065="Sim",ROUND(F1065-D1065,2),0)),0)</f>
        <v/>
      </c>
      <c r="I1065" s="350">
        <f>IF(G1065="Sim",0,IF(OR(F1065="",L1065=""),"",F1065))</f>
        <v/>
      </c>
      <c r="J1065" s="350">
        <f>IF(G1065="Sim",0,IF(OR(F1065="",D1065="",L1065=""),"",IF(L1065="Sim",ROUND(F1065-D1065,2),0)))</f>
        <v/>
      </c>
      <c r="K1065" s="97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inlineStr">
        <is>
          <t>Nao</t>
        </is>
      </c>
      <c r="W1065" s="110" t="inlineStr">
        <is>
          <t>PC em analise</t>
        </is>
      </c>
      <c r="X1065" s="110" t="inlineStr">
        <is>
          <t>Pedido de Compra</t>
        </is>
      </c>
      <c r="Y1065" s="111" t="inlineStr">
        <is>
          <t>Impacto Potencial</t>
        </is>
      </c>
      <c r="Z1065" s="111" t="inlineStr">
        <is>
          <t>PC</t>
        </is>
      </c>
      <c r="AA1065" s="111" t="inlineStr">
        <is>
          <t>Nao</t>
        </is>
      </c>
      <c r="AB1065" s="111" t="inlineStr">
        <is>
          <t>NAO_COMPUTADO</t>
        </is>
      </c>
      <c r="AC1065" s="112" t="inlineStr">
        <is>
          <t>Estrutura Fase 1: sem impacto no VTA oficial</t>
        </is>
      </c>
    </row>
    <row r="1066" ht="25.5" customHeight="1" s="289">
      <c r="A1066" s="205" t="n"/>
      <c r="B1066" s="207" t="n"/>
      <c r="C1066" s="104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348" t="n"/>
      <c r="E1066" s="349">
        <f>IF(C1066="","",IFERROR(VLOOKUP(C1066,parametros!$A$11:$E$15,5,0),""))</f>
        <v/>
      </c>
      <c r="F1066" s="335">
        <f>IF(OR(D1066="",E1066=""),"",ROUND(D1066*E1066,2))</f>
        <v/>
      </c>
      <c r="G1066" s="106" t="n"/>
      <c r="H1066" s="350">
        <f>IF(G1066="Sim",IF(OR(F1066="",D1066="",L1066=""),"",IF(L1066="Sim",ROUND(F1066-D1066,2),0)),0)</f>
        <v/>
      </c>
      <c r="I1066" s="350">
        <f>IF(G1066="Sim",0,IF(OR(F1066="",L1066=""),"",F1066))</f>
        <v/>
      </c>
      <c r="J1066" s="350">
        <f>IF(G1066="Sim",0,IF(OR(F1066="",D1066="",L1066=""),"",IF(L1066="Sim",ROUND(F1066-D1066,2),0)))</f>
        <v/>
      </c>
      <c r="K1066" s="97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inlineStr">
        <is>
          <t>Nao</t>
        </is>
      </c>
      <c r="W1066" s="110" t="inlineStr">
        <is>
          <t>PC em analise</t>
        </is>
      </c>
      <c r="X1066" s="110" t="inlineStr">
        <is>
          <t>Pedido de Compra</t>
        </is>
      </c>
      <c r="Y1066" s="111" t="inlineStr">
        <is>
          <t>Impacto Potencial</t>
        </is>
      </c>
      <c r="Z1066" s="111" t="inlineStr">
        <is>
          <t>PC</t>
        </is>
      </c>
      <c r="AA1066" s="111" t="inlineStr">
        <is>
          <t>Nao</t>
        </is>
      </c>
      <c r="AB1066" s="111" t="inlineStr">
        <is>
          <t>NAO_COMPUTADO</t>
        </is>
      </c>
      <c r="AC1066" s="112" t="inlineStr">
        <is>
          <t>Estrutura Fase 1: sem impacto no VTA oficial</t>
        </is>
      </c>
    </row>
    <row r="1067" ht="25.5" customHeight="1" s="289">
      <c r="A1067" s="205" t="n"/>
      <c r="B1067" s="207" t="n"/>
      <c r="C1067" s="104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348" t="n"/>
      <c r="E1067" s="349">
        <f>IF(C1067="","",IFERROR(VLOOKUP(C1067,parametros!$A$11:$E$15,5,0),""))</f>
        <v/>
      </c>
      <c r="F1067" s="335">
        <f>IF(OR(D1067="",E1067=""),"",ROUND(D1067*E1067,2))</f>
        <v/>
      </c>
      <c r="G1067" s="106" t="n"/>
      <c r="H1067" s="350">
        <f>IF(G1067="Sim",IF(OR(F1067="",D1067="",L1067=""),"",IF(L1067="Sim",ROUND(F1067-D1067,2),0)),0)</f>
        <v/>
      </c>
      <c r="I1067" s="350">
        <f>IF(G1067="Sim",0,IF(OR(F1067="",L1067=""),"",F1067))</f>
        <v/>
      </c>
      <c r="J1067" s="350">
        <f>IF(G1067="Sim",0,IF(OR(F1067="",D1067="",L1067=""),"",IF(L1067="Sim",ROUND(F1067-D1067,2),0)))</f>
        <v/>
      </c>
      <c r="K1067" s="97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inlineStr">
        <is>
          <t>Nao</t>
        </is>
      </c>
      <c r="W1067" s="110" t="inlineStr">
        <is>
          <t>PC em analise</t>
        </is>
      </c>
      <c r="X1067" s="110" t="inlineStr">
        <is>
          <t>Pedido de Compra</t>
        </is>
      </c>
      <c r="Y1067" s="111" t="inlineStr">
        <is>
          <t>Impacto Potencial</t>
        </is>
      </c>
      <c r="Z1067" s="111" t="inlineStr">
        <is>
          <t>PC</t>
        </is>
      </c>
      <c r="AA1067" s="111" t="inlineStr">
        <is>
          <t>Nao</t>
        </is>
      </c>
      <c r="AB1067" s="111" t="inlineStr">
        <is>
          <t>NAO_COMPUTADO</t>
        </is>
      </c>
      <c r="AC1067" s="112" t="inlineStr">
        <is>
          <t>Estrutura Fase 1: sem impacto no VTA oficial</t>
        </is>
      </c>
    </row>
    <row r="1068" ht="25.5" customHeight="1" s="289">
      <c r="A1068" s="205" t="n"/>
      <c r="B1068" s="207" t="n"/>
      <c r="C1068" s="104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348" t="n"/>
      <c r="E1068" s="349">
        <f>IF(C1068="","",IFERROR(VLOOKUP(C1068,parametros!$A$11:$E$15,5,0),""))</f>
        <v/>
      </c>
      <c r="F1068" s="335">
        <f>IF(OR(D1068="",E1068=""),"",ROUND(D1068*E1068,2))</f>
        <v/>
      </c>
      <c r="G1068" s="106" t="n"/>
      <c r="H1068" s="350">
        <f>IF(G1068="Sim",IF(OR(F1068="",D1068="",L1068=""),"",IF(L1068="Sim",ROUND(F1068-D1068,2),0)),0)</f>
        <v/>
      </c>
      <c r="I1068" s="350">
        <f>IF(G1068="Sim",0,IF(OR(F1068="",L1068=""),"",F1068))</f>
        <v/>
      </c>
      <c r="J1068" s="350">
        <f>IF(G1068="Sim",0,IF(OR(F1068="",D1068="",L1068=""),"",IF(L1068="Sim",ROUND(F1068-D1068,2),0)))</f>
        <v/>
      </c>
      <c r="K1068" s="97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inlineStr">
        <is>
          <t>Nao</t>
        </is>
      </c>
      <c r="W1068" s="110" t="inlineStr">
        <is>
          <t>PC em analise</t>
        </is>
      </c>
      <c r="X1068" s="110" t="inlineStr">
        <is>
          <t>Pedido de Compra</t>
        </is>
      </c>
      <c r="Y1068" s="111" t="inlineStr">
        <is>
          <t>Impacto Potencial</t>
        </is>
      </c>
      <c r="Z1068" s="111" t="inlineStr">
        <is>
          <t>PC</t>
        </is>
      </c>
      <c r="AA1068" s="111" t="inlineStr">
        <is>
          <t>Nao</t>
        </is>
      </c>
      <c r="AB1068" s="111" t="inlineStr">
        <is>
          <t>NAO_COMPUTADO</t>
        </is>
      </c>
      <c r="AC1068" s="112" t="inlineStr">
        <is>
          <t>Estrutura Fase 1: sem impacto no VTA oficial</t>
        </is>
      </c>
    </row>
    <row r="1069" ht="25.5" customHeight="1" s="289">
      <c r="A1069" s="205" t="n"/>
      <c r="B1069" s="207" t="n"/>
      <c r="C1069" s="104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348" t="n"/>
      <c r="E1069" s="349">
        <f>IF(C1069="","",IFERROR(VLOOKUP(C1069,parametros!$A$11:$E$15,5,0),""))</f>
        <v/>
      </c>
      <c r="F1069" s="335">
        <f>IF(OR(D1069="",E1069=""),"",ROUND(D1069*E1069,2))</f>
        <v/>
      </c>
      <c r="G1069" s="106" t="n"/>
      <c r="H1069" s="350">
        <f>IF(G1069="Sim",IF(OR(F1069="",D1069="",L1069=""),"",IF(L1069="Sim",ROUND(F1069-D1069,2),0)),0)</f>
        <v/>
      </c>
      <c r="I1069" s="350">
        <f>IF(G1069="Sim",0,IF(OR(F1069="",L1069=""),"",F1069))</f>
        <v/>
      </c>
      <c r="J1069" s="350">
        <f>IF(G1069="Sim",0,IF(OR(F1069="",D1069="",L1069=""),"",IF(L1069="Sim",ROUND(F1069-D1069,2),0)))</f>
        <v/>
      </c>
      <c r="K1069" s="97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inlineStr">
        <is>
          <t>Nao</t>
        </is>
      </c>
      <c r="W1069" s="110" t="inlineStr">
        <is>
          <t>PC em analise</t>
        </is>
      </c>
      <c r="X1069" s="110" t="inlineStr">
        <is>
          <t>Pedido de Compra</t>
        </is>
      </c>
      <c r="Y1069" s="111" t="inlineStr">
        <is>
          <t>Impacto Potencial</t>
        </is>
      </c>
      <c r="Z1069" s="111" t="inlineStr">
        <is>
          <t>PC</t>
        </is>
      </c>
      <c r="AA1069" s="111" t="inlineStr">
        <is>
          <t>Nao</t>
        </is>
      </c>
      <c r="AB1069" s="111" t="inlineStr">
        <is>
          <t>NAO_COMPUTADO</t>
        </is>
      </c>
      <c r="AC1069" s="112" t="inlineStr">
        <is>
          <t>Estrutura Fase 1: sem impacto no VTA oficial</t>
        </is>
      </c>
    </row>
    <row r="1070" ht="25.5" customHeight="1" s="289">
      <c r="A1070" s="205" t="n"/>
      <c r="B1070" s="207" t="n"/>
      <c r="C1070" s="104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348" t="n"/>
      <c r="E1070" s="349">
        <f>IF(C1070="","",IFERROR(VLOOKUP(C1070,parametros!$A$11:$E$15,5,0),""))</f>
        <v/>
      </c>
      <c r="F1070" s="335">
        <f>IF(OR(D1070="",E1070=""),"",ROUND(D1070*E1070,2))</f>
        <v/>
      </c>
      <c r="G1070" s="106" t="n"/>
      <c r="H1070" s="350">
        <f>IF(G1070="Sim",IF(OR(F1070="",D1070="",L1070=""),"",IF(L1070="Sim",ROUND(F1070-D1070,2),0)),0)</f>
        <v/>
      </c>
      <c r="I1070" s="350">
        <f>IF(G1070="Sim",0,IF(OR(F1070="",L1070=""),"",F1070))</f>
        <v/>
      </c>
      <c r="J1070" s="350">
        <f>IF(G1070="Sim",0,IF(OR(F1070="",D1070="",L1070=""),"",IF(L1070="Sim",ROUND(F1070-D1070,2),0)))</f>
        <v/>
      </c>
      <c r="K1070" s="97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inlineStr">
        <is>
          <t>Nao</t>
        </is>
      </c>
      <c r="W1070" s="110" t="inlineStr">
        <is>
          <t>PC em analise</t>
        </is>
      </c>
      <c r="X1070" s="110" t="inlineStr">
        <is>
          <t>Pedido de Compra</t>
        </is>
      </c>
      <c r="Y1070" s="111" t="inlineStr">
        <is>
          <t>Impacto Potencial</t>
        </is>
      </c>
      <c r="Z1070" s="111" t="inlineStr">
        <is>
          <t>PC</t>
        </is>
      </c>
      <c r="AA1070" s="111" t="inlineStr">
        <is>
          <t>Nao</t>
        </is>
      </c>
      <c r="AB1070" s="111" t="inlineStr">
        <is>
          <t>NAO_COMPUTADO</t>
        </is>
      </c>
      <c r="AC1070" s="112" t="inlineStr">
        <is>
          <t>Estrutura Fase 1: sem impacto no VTA oficial</t>
        </is>
      </c>
    </row>
    <row r="1071" ht="25.5" customHeight="1" s="289">
      <c r="A1071" s="205" t="n"/>
      <c r="B1071" s="207" t="n"/>
      <c r="C1071" s="104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348" t="n"/>
      <c r="E1071" s="349">
        <f>IF(C1071="","",IFERROR(VLOOKUP(C1071,parametros!$A$11:$E$15,5,0),""))</f>
        <v/>
      </c>
      <c r="F1071" s="335">
        <f>IF(OR(D1071="",E1071=""),"",ROUND(D1071*E1071,2))</f>
        <v/>
      </c>
      <c r="G1071" s="106" t="n"/>
      <c r="H1071" s="350">
        <f>IF(G1071="Sim",IF(OR(F1071="",D1071="",L1071=""),"",IF(L1071="Sim",ROUND(F1071-D1071,2),0)),0)</f>
        <v/>
      </c>
      <c r="I1071" s="350">
        <f>IF(G1071="Sim",0,IF(OR(F1071="",L1071=""),"",F1071))</f>
        <v/>
      </c>
      <c r="J1071" s="350">
        <f>IF(G1071="Sim",0,IF(OR(F1071="",D1071="",L1071=""),"",IF(L1071="Sim",ROUND(F1071-D1071,2),0)))</f>
        <v/>
      </c>
      <c r="K1071" s="97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inlineStr">
        <is>
          <t>Nao</t>
        </is>
      </c>
      <c r="W1071" s="110" t="inlineStr">
        <is>
          <t>PC em analise</t>
        </is>
      </c>
      <c r="X1071" s="110" t="inlineStr">
        <is>
          <t>Pedido de Compra</t>
        </is>
      </c>
      <c r="Y1071" s="111" t="inlineStr">
        <is>
          <t>Impacto Potencial</t>
        </is>
      </c>
      <c r="Z1071" s="111" t="inlineStr">
        <is>
          <t>PC</t>
        </is>
      </c>
      <c r="AA1071" s="111" t="inlineStr">
        <is>
          <t>Nao</t>
        </is>
      </c>
      <c r="AB1071" s="111" t="inlineStr">
        <is>
          <t>NAO_COMPUTADO</t>
        </is>
      </c>
      <c r="AC1071" s="112" t="inlineStr">
        <is>
          <t>Estrutura Fase 1: sem impacto no VTA oficial</t>
        </is>
      </c>
    </row>
    <row r="1072" ht="25.5" customHeight="1" s="289">
      <c r="A1072" s="205" t="n"/>
      <c r="B1072" s="207" t="n"/>
      <c r="C1072" s="104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348" t="n"/>
      <c r="E1072" s="349">
        <f>IF(C1072="","",IFERROR(VLOOKUP(C1072,parametros!$A$11:$E$15,5,0),""))</f>
        <v/>
      </c>
      <c r="F1072" s="335">
        <f>IF(OR(D1072="",E1072=""),"",ROUND(D1072*E1072,2))</f>
        <v/>
      </c>
      <c r="G1072" s="106" t="n"/>
      <c r="H1072" s="350">
        <f>IF(G1072="Sim",IF(OR(F1072="",D1072="",L1072=""),"",IF(L1072="Sim",ROUND(F1072-D1072,2),0)),0)</f>
        <v/>
      </c>
      <c r="I1072" s="350">
        <f>IF(G1072="Sim",0,IF(OR(F1072="",L1072=""),"",F1072))</f>
        <v/>
      </c>
      <c r="J1072" s="350">
        <f>IF(G1072="Sim",0,IF(OR(F1072="",D1072="",L1072=""),"",IF(L1072="Sim",ROUND(F1072-D1072,2),0)))</f>
        <v/>
      </c>
      <c r="K1072" s="97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inlineStr">
        <is>
          <t>Nao</t>
        </is>
      </c>
      <c r="W1072" s="110" t="inlineStr">
        <is>
          <t>PC em analise</t>
        </is>
      </c>
      <c r="X1072" s="110" t="inlineStr">
        <is>
          <t>Pedido de Compra</t>
        </is>
      </c>
      <c r="Y1072" s="111" t="inlineStr">
        <is>
          <t>Impacto Potencial</t>
        </is>
      </c>
      <c r="Z1072" s="111" t="inlineStr">
        <is>
          <t>PC</t>
        </is>
      </c>
      <c r="AA1072" s="111" t="inlineStr">
        <is>
          <t>Nao</t>
        </is>
      </c>
      <c r="AB1072" s="111" t="inlineStr">
        <is>
          <t>NAO_COMPUTADO</t>
        </is>
      </c>
      <c r="AC1072" s="112" t="inlineStr">
        <is>
          <t>Estrutura Fase 1: sem impacto no VTA oficial</t>
        </is>
      </c>
    </row>
    <row r="1073" ht="25.5" customHeight="1" s="289">
      <c r="A1073" s="205" t="n"/>
      <c r="B1073" s="207" t="n"/>
      <c r="C1073" s="104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348" t="n"/>
      <c r="E1073" s="349">
        <f>IF(C1073="","",IFERROR(VLOOKUP(C1073,parametros!$A$11:$E$15,5,0),""))</f>
        <v/>
      </c>
      <c r="F1073" s="335">
        <f>IF(OR(D1073="",E1073=""),"",ROUND(D1073*E1073,2))</f>
        <v/>
      </c>
      <c r="G1073" s="106" t="n"/>
      <c r="H1073" s="350">
        <f>IF(G1073="Sim",IF(OR(F1073="",D1073="",L1073=""),"",IF(L1073="Sim",ROUND(F1073-D1073,2),0)),0)</f>
        <v/>
      </c>
      <c r="I1073" s="350">
        <f>IF(G1073="Sim",0,IF(OR(F1073="",L1073=""),"",F1073))</f>
        <v/>
      </c>
      <c r="J1073" s="350">
        <f>IF(G1073="Sim",0,IF(OR(F1073="",D1073="",L1073=""),"",IF(L1073="Sim",ROUND(F1073-D1073,2),0)))</f>
        <v/>
      </c>
      <c r="K1073" s="97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inlineStr">
        <is>
          <t>Nao</t>
        </is>
      </c>
      <c r="W1073" s="110" t="inlineStr">
        <is>
          <t>PC em analise</t>
        </is>
      </c>
      <c r="X1073" s="110" t="inlineStr">
        <is>
          <t>Pedido de Compra</t>
        </is>
      </c>
      <c r="Y1073" s="111" t="inlineStr">
        <is>
          <t>Impacto Potencial</t>
        </is>
      </c>
      <c r="Z1073" s="111" t="inlineStr">
        <is>
          <t>PC</t>
        </is>
      </c>
      <c r="AA1073" s="111" t="inlineStr">
        <is>
          <t>Nao</t>
        </is>
      </c>
      <c r="AB1073" s="111" t="inlineStr">
        <is>
          <t>NAO_COMPUTADO</t>
        </is>
      </c>
      <c r="AC1073" s="112" t="inlineStr">
        <is>
          <t>Estrutura Fase 1: sem impacto no VTA oficial</t>
        </is>
      </c>
    </row>
    <row r="1074" ht="25.5" customHeight="1" s="289">
      <c r="A1074" s="205" t="n"/>
      <c r="B1074" s="207" t="n"/>
      <c r="C1074" s="104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348" t="n"/>
      <c r="E1074" s="349">
        <f>IF(C1074="","",IFERROR(VLOOKUP(C1074,parametros!$A$11:$E$15,5,0),""))</f>
        <v/>
      </c>
      <c r="F1074" s="335">
        <f>IF(OR(D1074="",E1074=""),"",ROUND(D1074*E1074,2))</f>
        <v/>
      </c>
      <c r="G1074" s="106" t="n"/>
      <c r="H1074" s="350">
        <f>IF(G1074="Sim",IF(OR(F1074="",D1074="",L1074=""),"",IF(L1074="Sim",ROUND(F1074-D1074,2),0)),0)</f>
        <v/>
      </c>
      <c r="I1074" s="350">
        <f>IF(G1074="Sim",0,IF(OR(F1074="",L1074=""),"",F1074))</f>
        <v/>
      </c>
      <c r="J1074" s="350">
        <f>IF(G1074="Sim",0,IF(OR(F1074="",D1074="",L1074=""),"",IF(L1074="Sim",ROUND(F1074-D1074,2),0)))</f>
        <v/>
      </c>
      <c r="K1074" s="97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inlineStr">
        <is>
          <t>Nao</t>
        </is>
      </c>
      <c r="W1074" s="110" t="inlineStr">
        <is>
          <t>PC em analise</t>
        </is>
      </c>
      <c r="X1074" s="110" t="inlineStr">
        <is>
          <t>Pedido de Compra</t>
        </is>
      </c>
      <c r="Y1074" s="111" t="inlineStr">
        <is>
          <t>Impacto Potencial</t>
        </is>
      </c>
      <c r="Z1074" s="111" t="inlineStr">
        <is>
          <t>PC</t>
        </is>
      </c>
      <c r="AA1074" s="111" t="inlineStr">
        <is>
          <t>Nao</t>
        </is>
      </c>
      <c r="AB1074" s="111" t="inlineStr">
        <is>
          <t>NAO_COMPUTADO</t>
        </is>
      </c>
      <c r="AC1074" s="112" t="inlineStr">
        <is>
          <t>Estrutura Fase 1: sem impacto no VTA oficial</t>
        </is>
      </c>
    </row>
    <row r="1075" ht="25.5" customHeight="1" s="289">
      <c r="A1075" s="205" t="n"/>
      <c r="B1075" s="207" t="n"/>
      <c r="C1075" s="104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348" t="n"/>
      <c r="E1075" s="349">
        <f>IF(C1075="","",IFERROR(VLOOKUP(C1075,parametros!$A$11:$E$15,5,0),""))</f>
        <v/>
      </c>
      <c r="F1075" s="335">
        <f>IF(OR(D1075="",E1075=""),"",ROUND(D1075*E1075,2))</f>
        <v/>
      </c>
      <c r="G1075" s="106" t="n"/>
      <c r="H1075" s="350">
        <f>IF(G1075="Sim",IF(OR(F1075="",D1075="",L1075=""),"",IF(L1075="Sim",ROUND(F1075-D1075,2),0)),0)</f>
        <v/>
      </c>
      <c r="I1075" s="350">
        <f>IF(G1075="Sim",0,IF(OR(F1075="",L1075=""),"",F1075))</f>
        <v/>
      </c>
      <c r="J1075" s="350">
        <f>IF(G1075="Sim",0,IF(OR(F1075="",D1075="",L1075=""),"",IF(L1075="Sim",ROUND(F1075-D1075,2),0)))</f>
        <v/>
      </c>
      <c r="K1075" s="97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inlineStr">
        <is>
          <t>Nao</t>
        </is>
      </c>
      <c r="W1075" s="110" t="inlineStr">
        <is>
          <t>PC em analise</t>
        </is>
      </c>
      <c r="X1075" s="110" t="inlineStr">
        <is>
          <t>Pedido de Compra</t>
        </is>
      </c>
      <c r="Y1075" s="111" t="inlineStr">
        <is>
          <t>Impacto Potencial</t>
        </is>
      </c>
      <c r="Z1075" s="111" t="inlineStr">
        <is>
          <t>PC</t>
        </is>
      </c>
      <c r="AA1075" s="111" t="inlineStr">
        <is>
          <t>Nao</t>
        </is>
      </c>
      <c r="AB1075" s="111" t="inlineStr">
        <is>
          <t>NAO_COMPUTADO</t>
        </is>
      </c>
      <c r="AC1075" s="112" t="inlineStr">
        <is>
          <t>Estrutura Fase 1: sem impacto no VTA oficial</t>
        </is>
      </c>
    </row>
    <row r="1076" ht="25.5" customHeight="1" s="289">
      <c r="A1076" s="205" t="n"/>
      <c r="B1076" s="207" t="n"/>
      <c r="C1076" s="104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348" t="n"/>
      <c r="E1076" s="349">
        <f>IF(C1076="","",IFERROR(VLOOKUP(C1076,parametros!$A$11:$E$15,5,0),""))</f>
        <v/>
      </c>
      <c r="F1076" s="335">
        <f>IF(OR(D1076="",E1076=""),"",ROUND(D1076*E1076,2))</f>
        <v/>
      </c>
      <c r="G1076" s="106" t="n"/>
      <c r="H1076" s="350">
        <f>IF(G1076="Sim",IF(OR(F1076="",D1076="",L1076=""),"",IF(L1076="Sim",ROUND(F1076-D1076,2),0)),0)</f>
        <v/>
      </c>
      <c r="I1076" s="350">
        <f>IF(G1076="Sim",0,IF(OR(F1076="",L1076=""),"",F1076))</f>
        <v/>
      </c>
      <c r="J1076" s="350">
        <f>IF(G1076="Sim",0,IF(OR(F1076="",D1076="",L1076=""),"",IF(L1076="Sim",ROUND(F1076-D1076,2),0)))</f>
        <v/>
      </c>
      <c r="K1076" s="97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inlineStr">
        <is>
          <t>Nao</t>
        </is>
      </c>
      <c r="W1076" s="110" t="inlineStr">
        <is>
          <t>PC em analise</t>
        </is>
      </c>
      <c r="X1076" s="110" t="inlineStr">
        <is>
          <t>Pedido de Compra</t>
        </is>
      </c>
      <c r="Y1076" s="111" t="inlineStr">
        <is>
          <t>Impacto Potencial</t>
        </is>
      </c>
      <c r="Z1076" s="111" t="inlineStr">
        <is>
          <t>PC</t>
        </is>
      </c>
      <c r="AA1076" s="111" t="inlineStr">
        <is>
          <t>Nao</t>
        </is>
      </c>
      <c r="AB1076" s="111" t="inlineStr">
        <is>
          <t>NAO_COMPUTADO</t>
        </is>
      </c>
      <c r="AC1076" s="112" t="inlineStr">
        <is>
          <t>Estrutura Fase 1: sem impacto no VTA oficial</t>
        </is>
      </c>
    </row>
    <row r="1077" ht="25.5" customHeight="1" s="289">
      <c r="A1077" s="205" t="n"/>
      <c r="B1077" s="207" t="n"/>
      <c r="C1077" s="104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348" t="n"/>
      <c r="E1077" s="349">
        <f>IF(C1077="","",IFERROR(VLOOKUP(C1077,parametros!$A$11:$E$15,5,0),""))</f>
        <v/>
      </c>
      <c r="F1077" s="335">
        <f>IF(OR(D1077="",E1077=""),"",ROUND(D1077*E1077,2))</f>
        <v/>
      </c>
      <c r="G1077" s="106" t="n"/>
      <c r="H1077" s="350">
        <f>IF(G1077="Sim",IF(OR(F1077="",D1077="",L1077=""),"",IF(L1077="Sim",ROUND(F1077-D1077,2),0)),0)</f>
        <v/>
      </c>
      <c r="I1077" s="350">
        <f>IF(G1077="Sim",0,IF(OR(F1077="",L1077=""),"",F1077))</f>
        <v/>
      </c>
      <c r="J1077" s="350">
        <f>IF(G1077="Sim",0,IF(OR(F1077="",D1077="",L1077=""),"",IF(L1077="Sim",ROUND(F1077-D1077,2),0)))</f>
        <v/>
      </c>
      <c r="K1077" s="97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inlineStr">
        <is>
          <t>Nao</t>
        </is>
      </c>
      <c r="W1077" s="110" t="inlineStr">
        <is>
          <t>PC em analise</t>
        </is>
      </c>
      <c r="X1077" s="110" t="inlineStr">
        <is>
          <t>Pedido de Compra</t>
        </is>
      </c>
      <c r="Y1077" s="111" t="inlineStr">
        <is>
          <t>Impacto Potencial</t>
        </is>
      </c>
      <c r="Z1077" s="111" t="inlineStr">
        <is>
          <t>PC</t>
        </is>
      </c>
      <c r="AA1077" s="111" t="inlineStr">
        <is>
          <t>Nao</t>
        </is>
      </c>
      <c r="AB1077" s="111" t="inlineStr">
        <is>
          <t>NAO_COMPUTADO</t>
        </is>
      </c>
      <c r="AC1077" s="112" t="inlineStr">
        <is>
          <t>Estrutura Fase 1: sem impacto no VTA oficial</t>
        </is>
      </c>
    </row>
    <row r="1078" ht="25.5" customHeight="1" s="289">
      <c r="A1078" s="205" t="n"/>
      <c r="B1078" s="207" t="n"/>
      <c r="C1078" s="104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348" t="n"/>
      <c r="E1078" s="349">
        <f>IF(C1078="","",IFERROR(VLOOKUP(C1078,parametros!$A$11:$E$15,5,0),""))</f>
        <v/>
      </c>
      <c r="F1078" s="335">
        <f>IF(OR(D1078="",E1078=""),"",ROUND(D1078*E1078,2))</f>
        <v/>
      </c>
      <c r="G1078" s="106" t="n"/>
      <c r="H1078" s="350">
        <f>IF(G1078="Sim",IF(OR(F1078="",D1078="",L1078=""),"",IF(L1078="Sim",ROUND(F1078-D1078,2),0)),0)</f>
        <v/>
      </c>
      <c r="I1078" s="350">
        <f>IF(G1078="Sim",0,IF(OR(F1078="",L1078=""),"",F1078))</f>
        <v/>
      </c>
      <c r="J1078" s="350">
        <f>IF(G1078="Sim",0,IF(OR(F1078="",D1078="",L1078=""),"",IF(L1078="Sim",ROUND(F1078-D1078,2),0)))</f>
        <v/>
      </c>
      <c r="K1078" s="97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inlineStr">
        <is>
          <t>Nao</t>
        </is>
      </c>
      <c r="W1078" s="110" t="inlineStr">
        <is>
          <t>PC em analise</t>
        </is>
      </c>
      <c r="X1078" s="110" t="inlineStr">
        <is>
          <t>Pedido de Compra</t>
        </is>
      </c>
      <c r="Y1078" s="111" t="inlineStr">
        <is>
          <t>Impacto Potencial</t>
        </is>
      </c>
      <c r="Z1078" s="111" t="inlineStr">
        <is>
          <t>PC</t>
        </is>
      </c>
      <c r="AA1078" s="111" t="inlineStr">
        <is>
          <t>Nao</t>
        </is>
      </c>
      <c r="AB1078" s="111" t="inlineStr">
        <is>
          <t>NAO_COMPUTADO</t>
        </is>
      </c>
      <c r="AC1078" s="112" t="inlineStr">
        <is>
          <t>Estrutura Fase 1: sem impacto no VTA oficial</t>
        </is>
      </c>
    </row>
    <row r="1079" ht="25.5" customHeight="1" s="289">
      <c r="A1079" s="205" t="n"/>
      <c r="B1079" s="207" t="n"/>
      <c r="C1079" s="104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348" t="n"/>
      <c r="E1079" s="349">
        <f>IF(C1079="","",IFERROR(VLOOKUP(C1079,parametros!$A$11:$E$15,5,0),""))</f>
        <v/>
      </c>
      <c r="F1079" s="335">
        <f>IF(OR(D1079="",E1079=""),"",ROUND(D1079*E1079,2))</f>
        <v/>
      </c>
      <c r="G1079" s="106" t="n"/>
      <c r="H1079" s="350">
        <f>IF(G1079="Sim",IF(OR(F1079="",D1079="",L1079=""),"",IF(L1079="Sim",ROUND(F1079-D1079,2),0)),0)</f>
        <v/>
      </c>
      <c r="I1079" s="350">
        <f>IF(G1079="Sim",0,IF(OR(F1079="",L1079=""),"",F1079))</f>
        <v/>
      </c>
      <c r="J1079" s="350">
        <f>IF(G1079="Sim",0,IF(OR(F1079="",D1079="",L1079=""),"",IF(L1079="Sim",ROUND(F1079-D1079,2),0)))</f>
        <v/>
      </c>
      <c r="K1079" s="97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inlineStr">
        <is>
          <t>Nao</t>
        </is>
      </c>
      <c r="W1079" s="110" t="inlineStr">
        <is>
          <t>PC em analise</t>
        </is>
      </c>
      <c r="X1079" s="110" t="inlineStr">
        <is>
          <t>Pedido de Compra</t>
        </is>
      </c>
      <c r="Y1079" s="111" t="inlineStr">
        <is>
          <t>Impacto Potencial</t>
        </is>
      </c>
      <c r="Z1079" s="111" t="inlineStr">
        <is>
          <t>PC</t>
        </is>
      </c>
      <c r="AA1079" s="111" t="inlineStr">
        <is>
          <t>Nao</t>
        </is>
      </c>
      <c r="AB1079" s="111" t="inlineStr">
        <is>
          <t>NAO_COMPUTADO</t>
        </is>
      </c>
      <c r="AC1079" s="112" t="inlineStr">
        <is>
          <t>Estrutura Fase 1: sem impacto no VTA oficial</t>
        </is>
      </c>
    </row>
    <row r="1080" ht="25.5" customHeight="1" s="289">
      <c r="A1080" s="205" t="n"/>
      <c r="B1080" s="207" t="n"/>
      <c r="C1080" s="104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348" t="n"/>
      <c r="E1080" s="349">
        <f>IF(C1080="","",IFERROR(VLOOKUP(C1080,parametros!$A$11:$E$15,5,0),""))</f>
        <v/>
      </c>
      <c r="F1080" s="335">
        <f>IF(OR(D1080="",E1080=""),"",ROUND(D1080*E1080,2))</f>
        <v/>
      </c>
      <c r="G1080" s="106" t="n"/>
      <c r="H1080" s="350">
        <f>IF(G1080="Sim",IF(OR(F1080="",D1080="",L1080=""),"",IF(L1080="Sim",ROUND(F1080-D1080,2),0)),0)</f>
        <v/>
      </c>
      <c r="I1080" s="350">
        <f>IF(G1080="Sim",0,IF(OR(F1080="",L1080=""),"",F1080))</f>
        <v/>
      </c>
      <c r="J1080" s="350">
        <f>IF(G1080="Sim",0,IF(OR(F1080="",D1080="",L1080=""),"",IF(L1080="Sim",ROUND(F1080-D1080,2),0)))</f>
        <v/>
      </c>
      <c r="K1080" s="97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inlineStr">
        <is>
          <t>Nao</t>
        </is>
      </c>
      <c r="W1080" s="110" t="inlineStr">
        <is>
          <t>PC em analise</t>
        </is>
      </c>
      <c r="X1080" s="110" t="inlineStr">
        <is>
          <t>Pedido de Compra</t>
        </is>
      </c>
      <c r="Y1080" s="111" t="inlineStr">
        <is>
          <t>Impacto Potencial</t>
        </is>
      </c>
      <c r="Z1080" s="111" t="inlineStr">
        <is>
          <t>PC</t>
        </is>
      </c>
      <c r="AA1080" s="111" t="inlineStr">
        <is>
          <t>Nao</t>
        </is>
      </c>
      <c r="AB1080" s="111" t="inlineStr">
        <is>
          <t>NAO_COMPUTADO</t>
        </is>
      </c>
      <c r="AC1080" s="112" t="inlineStr">
        <is>
          <t>Estrutura Fase 1: sem impacto no VTA oficial</t>
        </is>
      </c>
    </row>
    <row r="1081" ht="25.5" customHeight="1" s="289">
      <c r="A1081" s="205" t="n"/>
      <c r="B1081" s="207" t="n"/>
      <c r="C1081" s="104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348" t="n"/>
      <c r="E1081" s="349">
        <f>IF(C1081="","",IFERROR(VLOOKUP(C1081,parametros!$A$11:$E$15,5,0),""))</f>
        <v/>
      </c>
      <c r="F1081" s="335">
        <f>IF(OR(D1081="",E1081=""),"",ROUND(D1081*E1081,2))</f>
        <v/>
      </c>
      <c r="G1081" s="106" t="n"/>
      <c r="H1081" s="350">
        <f>IF(G1081="Sim",IF(OR(F1081="",D1081="",L1081=""),"",IF(L1081="Sim",ROUND(F1081-D1081,2),0)),0)</f>
        <v/>
      </c>
      <c r="I1081" s="350">
        <f>IF(G1081="Sim",0,IF(OR(F1081="",L1081=""),"",F1081))</f>
        <v/>
      </c>
      <c r="J1081" s="350">
        <f>IF(G1081="Sim",0,IF(OR(F1081="",D1081="",L1081=""),"",IF(L1081="Sim",ROUND(F1081-D1081,2),0)))</f>
        <v/>
      </c>
      <c r="K1081" s="97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inlineStr">
        <is>
          <t>Nao</t>
        </is>
      </c>
      <c r="W1081" s="110" t="inlineStr">
        <is>
          <t>PC em analise</t>
        </is>
      </c>
      <c r="X1081" s="110" t="inlineStr">
        <is>
          <t>Pedido de Compra</t>
        </is>
      </c>
      <c r="Y1081" s="111" t="inlineStr">
        <is>
          <t>Impacto Potencial</t>
        </is>
      </c>
      <c r="Z1081" s="111" t="inlineStr">
        <is>
          <t>PC</t>
        </is>
      </c>
      <c r="AA1081" s="111" t="inlineStr">
        <is>
          <t>Nao</t>
        </is>
      </c>
      <c r="AB1081" s="111" t="inlineStr">
        <is>
          <t>NAO_COMPUTADO</t>
        </is>
      </c>
      <c r="AC1081" s="112" t="inlineStr">
        <is>
          <t>Estrutura Fase 1: sem impacto no VTA oficial</t>
        </is>
      </c>
    </row>
    <row r="1082" ht="25.5" customHeight="1" s="289">
      <c r="A1082" s="205" t="n"/>
      <c r="B1082" s="207" t="n"/>
      <c r="C1082" s="104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348" t="n"/>
      <c r="E1082" s="349">
        <f>IF(C1082="","",IFERROR(VLOOKUP(C1082,parametros!$A$11:$E$15,5,0),""))</f>
        <v/>
      </c>
      <c r="F1082" s="335">
        <f>IF(OR(D1082="",E1082=""),"",ROUND(D1082*E1082,2))</f>
        <v/>
      </c>
      <c r="G1082" s="106" t="n"/>
      <c r="H1082" s="350">
        <f>IF(G1082="Sim",IF(OR(F1082="",D1082="",L1082=""),"",IF(L1082="Sim",ROUND(F1082-D1082,2),0)),0)</f>
        <v/>
      </c>
      <c r="I1082" s="350">
        <f>IF(G1082="Sim",0,IF(OR(F1082="",L1082=""),"",F1082))</f>
        <v/>
      </c>
      <c r="J1082" s="350">
        <f>IF(G1082="Sim",0,IF(OR(F1082="",D1082="",L1082=""),"",IF(L1082="Sim",ROUND(F1082-D1082,2),0)))</f>
        <v/>
      </c>
      <c r="K1082" s="97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inlineStr">
        <is>
          <t>Nao</t>
        </is>
      </c>
      <c r="W1082" s="110" t="inlineStr">
        <is>
          <t>PC em analise</t>
        </is>
      </c>
      <c r="X1082" s="110" t="inlineStr">
        <is>
          <t>Pedido de Compra</t>
        </is>
      </c>
      <c r="Y1082" s="111" t="inlineStr">
        <is>
          <t>Impacto Potencial</t>
        </is>
      </c>
      <c r="Z1082" s="111" t="inlineStr">
        <is>
          <t>PC</t>
        </is>
      </c>
      <c r="AA1082" s="111" t="inlineStr">
        <is>
          <t>Nao</t>
        </is>
      </c>
      <c r="AB1082" s="111" t="inlineStr">
        <is>
          <t>NAO_COMPUTADO</t>
        </is>
      </c>
      <c r="AC1082" s="112" t="inlineStr">
        <is>
          <t>Estrutura Fase 1: sem impacto no VTA oficial</t>
        </is>
      </c>
    </row>
    <row r="1083" ht="25.5" customHeight="1" s="289">
      <c r="A1083" s="205" t="n"/>
      <c r="B1083" s="207" t="n"/>
      <c r="C1083" s="104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348" t="n"/>
      <c r="E1083" s="349">
        <f>IF(C1083="","",IFERROR(VLOOKUP(C1083,parametros!$A$11:$E$15,5,0),""))</f>
        <v/>
      </c>
      <c r="F1083" s="335">
        <f>IF(OR(D1083="",E1083=""),"",ROUND(D1083*E1083,2))</f>
        <v/>
      </c>
      <c r="G1083" s="106" t="n"/>
      <c r="H1083" s="350">
        <f>IF(G1083="Sim",IF(OR(F1083="",D1083="",L1083=""),"",IF(L1083="Sim",ROUND(F1083-D1083,2),0)),0)</f>
        <v/>
      </c>
      <c r="I1083" s="350">
        <f>IF(G1083="Sim",0,IF(OR(F1083="",L1083=""),"",F1083))</f>
        <v/>
      </c>
      <c r="J1083" s="350">
        <f>IF(G1083="Sim",0,IF(OR(F1083="",D1083="",L1083=""),"",IF(L1083="Sim",ROUND(F1083-D1083,2),0)))</f>
        <v/>
      </c>
      <c r="K1083" s="97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inlineStr">
        <is>
          <t>Nao</t>
        </is>
      </c>
      <c r="W1083" s="110" t="inlineStr">
        <is>
          <t>PC em analise</t>
        </is>
      </c>
      <c r="X1083" s="110" t="inlineStr">
        <is>
          <t>Pedido de Compra</t>
        </is>
      </c>
      <c r="Y1083" s="111" t="inlineStr">
        <is>
          <t>Impacto Potencial</t>
        </is>
      </c>
      <c r="Z1083" s="111" t="inlineStr">
        <is>
          <t>PC</t>
        </is>
      </c>
      <c r="AA1083" s="111" t="inlineStr">
        <is>
          <t>Nao</t>
        </is>
      </c>
      <c r="AB1083" s="111" t="inlineStr">
        <is>
          <t>NAO_COMPUTADO</t>
        </is>
      </c>
      <c r="AC1083" s="112" t="inlineStr">
        <is>
          <t>Estrutura Fase 1: sem impacto no VTA oficial</t>
        </is>
      </c>
    </row>
    <row r="1084" ht="25.5" customHeight="1" s="289">
      <c r="A1084" s="205" t="n"/>
      <c r="B1084" s="207" t="n"/>
      <c r="C1084" s="104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348" t="n"/>
      <c r="E1084" s="349">
        <f>IF(C1084="","",IFERROR(VLOOKUP(C1084,parametros!$A$11:$E$15,5,0),""))</f>
        <v/>
      </c>
      <c r="F1084" s="335">
        <f>IF(OR(D1084="",E1084=""),"",ROUND(D1084*E1084,2))</f>
        <v/>
      </c>
      <c r="G1084" s="106" t="n"/>
      <c r="H1084" s="350">
        <f>IF(G1084="Sim",IF(OR(F1084="",D1084="",L1084=""),"",IF(L1084="Sim",ROUND(F1084-D1084,2),0)),0)</f>
        <v/>
      </c>
      <c r="I1084" s="350">
        <f>IF(G1084="Sim",0,IF(OR(F1084="",L1084=""),"",F1084))</f>
        <v/>
      </c>
      <c r="J1084" s="350">
        <f>IF(G1084="Sim",0,IF(OR(F1084="",D1084="",L1084=""),"",IF(L1084="Sim",ROUND(F1084-D1084,2),0)))</f>
        <v/>
      </c>
      <c r="K1084" s="97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inlineStr">
        <is>
          <t>Nao</t>
        </is>
      </c>
      <c r="W1084" s="110" t="inlineStr">
        <is>
          <t>PC em analise</t>
        </is>
      </c>
      <c r="X1084" s="110" t="inlineStr">
        <is>
          <t>Pedido de Compra</t>
        </is>
      </c>
      <c r="Y1084" s="111" t="inlineStr">
        <is>
          <t>Impacto Potencial</t>
        </is>
      </c>
      <c r="Z1084" s="111" t="inlineStr">
        <is>
          <t>PC</t>
        </is>
      </c>
      <c r="AA1084" s="111" t="inlineStr">
        <is>
          <t>Nao</t>
        </is>
      </c>
      <c r="AB1084" s="111" t="inlineStr">
        <is>
          <t>NAO_COMPUTADO</t>
        </is>
      </c>
      <c r="AC1084" s="112" t="inlineStr">
        <is>
          <t>Estrutura Fase 1: sem impacto no VTA oficial</t>
        </is>
      </c>
    </row>
    <row r="1085" ht="25.5" customHeight="1" s="289">
      <c r="A1085" s="205" t="n"/>
      <c r="B1085" s="207" t="n"/>
      <c r="C1085" s="104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348" t="n"/>
      <c r="E1085" s="349">
        <f>IF(C1085="","",IFERROR(VLOOKUP(C1085,parametros!$A$11:$E$15,5,0),""))</f>
        <v/>
      </c>
      <c r="F1085" s="335">
        <f>IF(OR(D1085="",E1085=""),"",ROUND(D1085*E1085,2))</f>
        <v/>
      </c>
      <c r="G1085" s="106" t="n"/>
      <c r="H1085" s="350">
        <f>IF(G1085="Sim",IF(OR(F1085="",D1085="",L1085=""),"",IF(L1085="Sim",ROUND(F1085-D1085,2),0)),0)</f>
        <v/>
      </c>
      <c r="I1085" s="350">
        <f>IF(G1085="Sim",0,IF(OR(F1085="",L1085=""),"",F1085))</f>
        <v/>
      </c>
      <c r="J1085" s="350">
        <f>IF(G1085="Sim",0,IF(OR(F1085="",D1085="",L1085=""),"",IF(L1085="Sim",ROUND(F1085-D1085,2),0)))</f>
        <v/>
      </c>
      <c r="K1085" s="97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inlineStr">
        <is>
          <t>Nao</t>
        </is>
      </c>
      <c r="W1085" s="110" t="inlineStr">
        <is>
          <t>PC em analise</t>
        </is>
      </c>
      <c r="X1085" s="110" t="inlineStr">
        <is>
          <t>Pedido de Compra</t>
        </is>
      </c>
      <c r="Y1085" s="111" t="inlineStr">
        <is>
          <t>Impacto Potencial</t>
        </is>
      </c>
      <c r="Z1085" s="111" t="inlineStr">
        <is>
          <t>PC</t>
        </is>
      </c>
      <c r="AA1085" s="111" t="inlineStr">
        <is>
          <t>Nao</t>
        </is>
      </c>
      <c r="AB1085" s="111" t="inlineStr">
        <is>
          <t>NAO_COMPUTADO</t>
        </is>
      </c>
      <c r="AC1085" s="112" t="inlineStr">
        <is>
          <t>Estrutura Fase 1: sem impacto no VTA oficial</t>
        </is>
      </c>
    </row>
    <row r="1086" ht="25.5" customHeight="1" s="289">
      <c r="A1086" s="205" t="n"/>
      <c r="B1086" s="207" t="n"/>
      <c r="C1086" s="104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348" t="n"/>
      <c r="E1086" s="349">
        <f>IF(C1086="","",IFERROR(VLOOKUP(C1086,parametros!$A$11:$E$15,5,0),""))</f>
        <v/>
      </c>
      <c r="F1086" s="335">
        <f>IF(OR(D1086="",E1086=""),"",ROUND(D1086*E1086,2))</f>
        <v/>
      </c>
      <c r="G1086" s="106" t="n"/>
      <c r="H1086" s="350">
        <f>IF(G1086="Sim",IF(OR(F1086="",D1086="",L1086=""),"",IF(L1086="Sim",ROUND(F1086-D1086,2),0)),0)</f>
        <v/>
      </c>
      <c r="I1086" s="350">
        <f>IF(G1086="Sim",0,IF(OR(F1086="",L1086=""),"",F1086))</f>
        <v/>
      </c>
      <c r="J1086" s="350">
        <f>IF(G1086="Sim",0,IF(OR(F1086="",D1086="",L1086=""),"",IF(L1086="Sim",ROUND(F1086-D1086,2),0)))</f>
        <v/>
      </c>
      <c r="K1086" s="97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inlineStr">
        <is>
          <t>Nao</t>
        </is>
      </c>
      <c r="W1086" s="110" t="inlineStr">
        <is>
          <t>PC em analise</t>
        </is>
      </c>
      <c r="X1086" s="110" t="inlineStr">
        <is>
          <t>Pedido de Compra</t>
        </is>
      </c>
      <c r="Y1086" s="111" t="inlineStr">
        <is>
          <t>Impacto Potencial</t>
        </is>
      </c>
      <c r="Z1086" s="111" t="inlineStr">
        <is>
          <t>PC</t>
        </is>
      </c>
      <c r="AA1086" s="111" t="inlineStr">
        <is>
          <t>Nao</t>
        </is>
      </c>
      <c r="AB1086" s="111" t="inlineStr">
        <is>
          <t>NAO_COMPUTADO</t>
        </is>
      </c>
      <c r="AC1086" s="112" t="inlineStr">
        <is>
          <t>Estrutura Fase 1: sem impacto no VTA oficial</t>
        </is>
      </c>
    </row>
    <row r="1087" ht="25.5" customHeight="1" s="289">
      <c r="A1087" s="205" t="n"/>
      <c r="B1087" s="207" t="n"/>
      <c r="C1087" s="104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348" t="n"/>
      <c r="E1087" s="349">
        <f>IF(C1087="","",IFERROR(VLOOKUP(C1087,parametros!$A$11:$E$15,5,0),""))</f>
        <v/>
      </c>
      <c r="F1087" s="335">
        <f>IF(OR(D1087="",E1087=""),"",ROUND(D1087*E1087,2))</f>
        <v/>
      </c>
      <c r="G1087" s="106" t="n"/>
      <c r="H1087" s="350">
        <f>IF(G1087="Sim",IF(OR(F1087="",D1087="",L1087=""),"",IF(L1087="Sim",ROUND(F1087-D1087,2),0)),0)</f>
        <v/>
      </c>
      <c r="I1087" s="350">
        <f>IF(G1087="Sim",0,IF(OR(F1087="",L1087=""),"",F1087))</f>
        <v/>
      </c>
      <c r="J1087" s="350">
        <f>IF(G1087="Sim",0,IF(OR(F1087="",D1087="",L1087=""),"",IF(L1087="Sim",ROUND(F1087-D1087,2),0)))</f>
        <v/>
      </c>
      <c r="K1087" s="97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inlineStr">
        <is>
          <t>Nao</t>
        </is>
      </c>
      <c r="W1087" s="110" t="inlineStr">
        <is>
          <t>PC em analise</t>
        </is>
      </c>
      <c r="X1087" s="110" t="inlineStr">
        <is>
          <t>Pedido de Compra</t>
        </is>
      </c>
      <c r="Y1087" s="111" t="inlineStr">
        <is>
          <t>Impacto Potencial</t>
        </is>
      </c>
      <c r="Z1087" s="111" t="inlineStr">
        <is>
          <t>PC</t>
        </is>
      </c>
      <c r="AA1087" s="111" t="inlineStr">
        <is>
          <t>Nao</t>
        </is>
      </c>
      <c r="AB1087" s="111" t="inlineStr">
        <is>
          <t>NAO_COMPUTADO</t>
        </is>
      </c>
      <c r="AC1087" s="112" t="inlineStr">
        <is>
          <t>Estrutura Fase 1: sem impacto no VTA oficial</t>
        </is>
      </c>
    </row>
    <row r="1088" ht="25.5" customHeight="1" s="289">
      <c r="A1088" s="205" t="n"/>
      <c r="B1088" s="207" t="n"/>
      <c r="C1088" s="104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348" t="n"/>
      <c r="E1088" s="349">
        <f>IF(C1088="","",IFERROR(VLOOKUP(C1088,parametros!$A$11:$E$15,5,0),""))</f>
        <v/>
      </c>
      <c r="F1088" s="335">
        <f>IF(OR(D1088="",E1088=""),"",ROUND(D1088*E1088,2))</f>
        <v/>
      </c>
      <c r="G1088" s="106" t="n"/>
      <c r="H1088" s="350">
        <f>IF(G1088="Sim",IF(OR(F1088="",D1088="",L1088=""),"",IF(L1088="Sim",ROUND(F1088-D1088,2),0)),0)</f>
        <v/>
      </c>
      <c r="I1088" s="350">
        <f>IF(G1088="Sim",0,IF(OR(F1088="",L1088=""),"",F1088))</f>
        <v/>
      </c>
      <c r="J1088" s="350">
        <f>IF(G1088="Sim",0,IF(OR(F1088="",D1088="",L1088=""),"",IF(L1088="Sim",ROUND(F1088-D1088,2),0)))</f>
        <v/>
      </c>
      <c r="K1088" s="97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inlineStr">
        <is>
          <t>Nao</t>
        </is>
      </c>
      <c r="W1088" s="110" t="inlineStr">
        <is>
          <t>PC em analise</t>
        </is>
      </c>
      <c r="X1088" s="110" t="inlineStr">
        <is>
          <t>Pedido de Compra</t>
        </is>
      </c>
      <c r="Y1088" s="111" t="inlineStr">
        <is>
          <t>Impacto Potencial</t>
        </is>
      </c>
      <c r="Z1088" s="111" t="inlineStr">
        <is>
          <t>PC</t>
        </is>
      </c>
      <c r="AA1088" s="111" t="inlineStr">
        <is>
          <t>Nao</t>
        </is>
      </c>
      <c r="AB1088" s="111" t="inlineStr">
        <is>
          <t>NAO_COMPUTADO</t>
        </is>
      </c>
      <c r="AC1088" s="112" t="inlineStr">
        <is>
          <t>Estrutura Fase 1: sem impacto no VTA oficial</t>
        </is>
      </c>
    </row>
    <row r="1089" ht="25.5" customHeight="1" s="289">
      <c r="A1089" s="205" t="n"/>
      <c r="B1089" s="207" t="n"/>
      <c r="C1089" s="104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348" t="n"/>
      <c r="E1089" s="349">
        <f>IF(C1089="","",IFERROR(VLOOKUP(C1089,parametros!$A$11:$E$15,5,0),""))</f>
        <v/>
      </c>
      <c r="F1089" s="335">
        <f>IF(OR(D1089="",E1089=""),"",ROUND(D1089*E1089,2))</f>
        <v/>
      </c>
      <c r="G1089" s="106" t="n"/>
      <c r="H1089" s="350">
        <f>IF(G1089="Sim",IF(OR(F1089="",D1089="",L1089=""),"",IF(L1089="Sim",ROUND(F1089-D1089,2),0)),0)</f>
        <v/>
      </c>
      <c r="I1089" s="350">
        <f>IF(G1089="Sim",0,IF(OR(F1089="",L1089=""),"",F1089))</f>
        <v/>
      </c>
      <c r="J1089" s="350">
        <f>IF(G1089="Sim",0,IF(OR(F1089="",D1089="",L1089=""),"",IF(L1089="Sim",ROUND(F1089-D1089,2),0)))</f>
        <v/>
      </c>
      <c r="K1089" s="97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inlineStr">
        <is>
          <t>Nao</t>
        </is>
      </c>
      <c r="W1089" s="110" t="inlineStr">
        <is>
          <t>PC em analise</t>
        </is>
      </c>
      <c r="X1089" s="110" t="inlineStr">
        <is>
          <t>Pedido de Compra</t>
        </is>
      </c>
      <c r="Y1089" s="111" t="inlineStr">
        <is>
          <t>Impacto Potencial</t>
        </is>
      </c>
      <c r="Z1089" s="111" t="inlineStr">
        <is>
          <t>PC</t>
        </is>
      </c>
      <c r="AA1089" s="111" t="inlineStr">
        <is>
          <t>Nao</t>
        </is>
      </c>
      <c r="AB1089" s="111" t="inlineStr">
        <is>
          <t>NAO_COMPUTADO</t>
        </is>
      </c>
      <c r="AC1089" s="112" t="inlineStr">
        <is>
          <t>Estrutura Fase 1: sem impacto no VTA oficial</t>
        </is>
      </c>
    </row>
    <row r="1090" ht="25.5" customHeight="1" s="289">
      <c r="A1090" s="205" t="n"/>
      <c r="B1090" s="207" t="n"/>
      <c r="C1090" s="104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348" t="n"/>
      <c r="E1090" s="349">
        <f>IF(C1090="","",IFERROR(VLOOKUP(C1090,parametros!$A$11:$E$15,5,0),""))</f>
        <v/>
      </c>
      <c r="F1090" s="335">
        <f>IF(OR(D1090="",E1090=""),"",ROUND(D1090*E1090,2))</f>
        <v/>
      </c>
      <c r="G1090" s="106" t="n"/>
      <c r="H1090" s="350">
        <f>IF(G1090="Sim",IF(OR(F1090="",D1090="",L1090=""),"",IF(L1090="Sim",ROUND(F1090-D1090,2),0)),0)</f>
        <v/>
      </c>
      <c r="I1090" s="350">
        <f>IF(G1090="Sim",0,IF(OR(F1090="",L1090=""),"",F1090))</f>
        <v/>
      </c>
      <c r="J1090" s="350">
        <f>IF(G1090="Sim",0,IF(OR(F1090="",D1090="",L1090=""),"",IF(L1090="Sim",ROUND(F1090-D1090,2),0)))</f>
        <v/>
      </c>
      <c r="K1090" s="97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inlineStr">
        <is>
          <t>Nao</t>
        </is>
      </c>
      <c r="W1090" s="110" t="inlineStr">
        <is>
          <t>PC em analise</t>
        </is>
      </c>
      <c r="X1090" s="110" t="inlineStr">
        <is>
          <t>Pedido de Compra</t>
        </is>
      </c>
      <c r="Y1090" s="111" t="inlineStr">
        <is>
          <t>Impacto Potencial</t>
        </is>
      </c>
      <c r="Z1090" s="111" t="inlineStr">
        <is>
          <t>PC</t>
        </is>
      </c>
      <c r="AA1090" s="111" t="inlineStr">
        <is>
          <t>Nao</t>
        </is>
      </c>
      <c r="AB1090" s="111" t="inlineStr">
        <is>
          <t>NAO_COMPUTADO</t>
        </is>
      </c>
      <c r="AC1090" s="112" t="inlineStr">
        <is>
          <t>Estrutura Fase 1: sem impacto no VTA oficial</t>
        </is>
      </c>
    </row>
    <row r="1091" ht="25.5" customHeight="1" s="289">
      <c r="A1091" s="205" t="n"/>
      <c r="B1091" s="207" t="n"/>
      <c r="C1091" s="104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348" t="n"/>
      <c r="E1091" s="349">
        <f>IF(C1091="","",IFERROR(VLOOKUP(C1091,parametros!$A$11:$E$15,5,0),""))</f>
        <v/>
      </c>
      <c r="F1091" s="335">
        <f>IF(OR(D1091="",E1091=""),"",ROUND(D1091*E1091,2))</f>
        <v/>
      </c>
      <c r="G1091" s="106" t="n"/>
      <c r="H1091" s="350">
        <f>IF(G1091="Sim",IF(OR(F1091="",D1091="",L1091=""),"",IF(L1091="Sim",ROUND(F1091-D1091,2),0)),0)</f>
        <v/>
      </c>
      <c r="I1091" s="350">
        <f>IF(G1091="Sim",0,IF(OR(F1091="",L1091=""),"",F1091))</f>
        <v/>
      </c>
      <c r="J1091" s="350">
        <f>IF(G1091="Sim",0,IF(OR(F1091="",D1091="",L1091=""),"",IF(L1091="Sim",ROUND(F1091-D1091,2),0)))</f>
        <v/>
      </c>
      <c r="K1091" s="97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inlineStr">
        <is>
          <t>Nao</t>
        </is>
      </c>
      <c r="W1091" s="110" t="inlineStr">
        <is>
          <t>PC em analise</t>
        </is>
      </c>
      <c r="X1091" s="110" t="inlineStr">
        <is>
          <t>Pedido de Compra</t>
        </is>
      </c>
      <c r="Y1091" s="111" t="inlineStr">
        <is>
          <t>Impacto Potencial</t>
        </is>
      </c>
      <c r="Z1091" s="111" t="inlineStr">
        <is>
          <t>PC</t>
        </is>
      </c>
      <c r="AA1091" s="111" t="inlineStr">
        <is>
          <t>Nao</t>
        </is>
      </c>
      <c r="AB1091" s="111" t="inlineStr">
        <is>
          <t>NAO_COMPUTADO</t>
        </is>
      </c>
      <c r="AC1091" s="112" t="inlineStr">
        <is>
          <t>Estrutura Fase 1: sem impacto no VTA oficial</t>
        </is>
      </c>
    </row>
    <row r="1092" ht="25.5" customHeight="1" s="289">
      <c r="A1092" s="205" t="n"/>
      <c r="B1092" s="207" t="n"/>
      <c r="C1092" s="104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348" t="n"/>
      <c r="E1092" s="349">
        <f>IF(C1092="","",IFERROR(VLOOKUP(C1092,parametros!$A$11:$E$15,5,0),""))</f>
        <v/>
      </c>
      <c r="F1092" s="335">
        <f>IF(OR(D1092="",E1092=""),"",ROUND(D1092*E1092,2))</f>
        <v/>
      </c>
      <c r="G1092" s="106" t="n"/>
      <c r="H1092" s="350">
        <f>IF(G1092="Sim",IF(OR(F1092="",D1092="",L1092=""),"",IF(L1092="Sim",ROUND(F1092-D1092,2),0)),0)</f>
        <v/>
      </c>
      <c r="I1092" s="350">
        <f>IF(G1092="Sim",0,IF(OR(F1092="",L1092=""),"",F1092))</f>
        <v/>
      </c>
      <c r="J1092" s="350">
        <f>IF(G1092="Sim",0,IF(OR(F1092="",D1092="",L1092=""),"",IF(L1092="Sim",ROUND(F1092-D1092,2),0)))</f>
        <v/>
      </c>
      <c r="K1092" s="97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inlineStr">
        <is>
          <t>Nao</t>
        </is>
      </c>
      <c r="W1092" s="110" t="inlineStr">
        <is>
          <t>PC em analise</t>
        </is>
      </c>
      <c r="X1092" s="110" t="inlineStr">
        <is>
          <t>Pedido de Compra</t>
        </is>
      </c>
      <c r="Y1092" s="111" t="inlineStr">
        <is>
          <t>Impacto Potencial</t>
        </is>
      </c>
      <c r="Z1092" s="111" t="inlineStr">
        <is>
          <t>PC</t>
        </is>
      </c>
      <c r="AA1092" s="111" t="inlineStr">
        <is>
          <t>Nao</t>
        </is>
      </c>
      <c r="AB1092" s="111" t="inlineStr">
        <is>
          <t>NAO_COMPUTADO</t>
        </is>
      </c>
      <c r="AC1092" s="112" t="inlineStr">
        <is>
          <t>Estrutura Fase 1: sem impacto no VTA oficial</t>
        </is>
      </c>
    </row>
    <row r="1093" ht="25.5" customHeight="1" s="289">
      <c r="A1093" s="205" t="n"/>
      <c r="B1093" s="207" t="n"/>
      <c r="C1093" s="104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348" t="n"/>
      <c r="E1093" s="349">
        <f>IF(C1093="","",IFERROR(VLOOKUP(C1093,parametros!$A$11:$E$15,5,0),""))</f>
        <v/>
      </c>
      <c r="F1093" s="335">
        <f>IF(OR(D1093="",E1093=""),"",ROUND(D1093*E1093,2))</f>
        <v/>
      </c>
      <c r="G1093" s="106" t="n"/>
      <c r="H1093" s="350">
        <f>IF(G1093="Sim",IF(OR(F1093="",D1093="",L1093=""),"",IF(L1093="Sim",ROUND(F1093-D1093,2),0)),0)</f>
        <v/>
      </c>
      <c r="I1093" s="350">
        <f>IF(G1093="Sim",0,IF(OR(F1093="",L1093=""),"",F1093))</f>
        <v/>
      </c>
      <c r="J1093" s="350">
        <f>IF(G1093="Sim",0,IF(OR(F1093="",D1093="",L1093=""),"",IF(L1093="Sim",ROUND(F1093-D1093,2),0)))</f>
        <v/>
      </c>
      <c r="K1093" s="97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inlineStr">
        <is>
          <t>Nao</t>
        </is>
      </c>
      <c r="W1093" s="110" t="inlineStr">
        <is>
          <t>PC em analise</t>
        </is>
      </c>
      <c r="X1093" s="110" t="inlineStr">
        <is>
          <t>Pedido de Compra</t>
        </is>
      </c>
      <c r="Y1093" s="111" t="inlineStr">
        <is>
          <t>Impacto Potencial</t>
        </is>
      </c>
      <c r="Z1093" s="111" t="inlineStr">
        <is>
          <t>PC</t>
        </is>
      </c>
      <c r="AA1093" s="111" t="inlineStr">
        <is>
          <t>Nao</t>
        </is>
      </c>
      <c r="AB1093" s="111" t="inlineStr">
        <is>
          <t>NAO_COMPUTADO</t>
        </is>
      </c>
      <c r="AC1093" s="112" t="inlineStr">
        <is>
          <t>Estrutura Fase 1: sem impacto no VTA oficial</t>
        </is>
      </c>
    </row>
    <row r="1094" ht="25.5" customHeight="1" s="289">
      <c r="A1094" s="205" t="n"/>
      <c r="B1094" s="207" t="n"/>
      <c r="C1094" s="104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348" t="n"/>
      <c r="E1094" s="349">
        <f>IF(C1094="","",IFERROR(VLOOKUP(C1094,parametros!$A$11:$E$15,5,0),""))</f>
        <v/>
      </c>
      <c r="F1094" s="335">
        <f>IF(OR(D1094="",E1094=""),"",ROUND(D1094*E1094,2))</f>
        <v/>
      </c>
      <c r="G1094" s="106" t="n"/>
      <c r="H1094" s="350">
        <f>IF(G1094="Sim",IF(OR(F1094="",D1094="",L1094=""),"",IF(L1094="Sim",ROUND(F1094-D1094,2),0)),0)</f>
        <v/>
      </c>
      <c r="I1094" s="350">
        <f>IF(G1094="Sim",0,IF(OR(F1094="",L1094=""),"",F1094))</f>
        <v/>
      </c>
      <c r="J1094" s="350">
        <f>IF(G1094="Sim",0,IF(OR(F1094="",D1094="",L1094=""),"",IF(L1094="Sim",ROUND(F1094-D1094,2),0)))</f>
        <v/>
      </c>
      <c r="K1094" s="97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inlineStr">
        <is>
          <t>Nao</t>
        </is>
      </c>
      <c r="W1094" s="110" t="inlineStr">
        <is>
          <t>PC em analise</t>
        </is>
      </c>
      <c r="X1094" s="110" t="inlineStr">
        <is>
          <t>Pedido de Compra</t>
        </is>
      </c>
      <c r="Y1094" s="111" t="inlineStr">
        <is>
          <t>Impacto Potencial</t>
        </is>
      </c>
      <c r="Z1094" s="111" t="inlineStr">
        <is>
          <t>PC</t>
        </is>
      </c>
      <c r="AA1094" s="111" t="inlineStr">
        <is>
          <t>Nao</t>
        </is>
      </c>
      <c r="AB1094" s="111" t="inlineStr">
        <is>
          <t>NAO_COMPUTADO</t>
        </is>
      </c>
      <c r="AC1094" s="112" t="inlineStr">
        <is>
          <t>Estrutura Fase 1: sem impacto no VTA oficial</t>
        </is>
      </c>
    </row>
    <row r="1095" ht="25.5" customHeight="1" s="289">
      <c r="A1095" s="205" t="n"/>
      <c r="B1095" s="207" t="n"/>
      <c r="C1095" s="104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348" t="n"/>
      <c r="E1095" s="349">
        <f>IF(C1095="","",IFERROR(VLOOKUP(C1095,parametros!$A$11:$E$15,5,0),""))</f>
        <v/>
      </c>
      <c r="F1095" s="335">
        <f>IF(OR(D1095="",E1095=""),"",ROUND(D1095*E1095,2))</f>
        <v/>
      </c>
      <c r="G1095" s="106" t="n"/>
      <c r="H1095" s="350">
        <f>IF(G1095="Sim",IF(OR(F1095="",D1095="",L1095=""),"",IF(L1095="Sim",ROUND(F1095-D1095,2),0)),0)</f>
        <v/>
      </c>
      <c r="I1095" s="350">
        <f>IF(G1095="Sim",0,IF(OR(F1095="",L1095=""),"",F1095))</f>
        <v/>
      </c>
      <c r="J1095" s="350">
        <f>IF(G1095="Sim",0,IF(OR(F1095="",D1095="",L1095=""),"",IF(L1095="Sim",ROUND(F1095-D1095,2),0)))</f>
        <v/>
      </c>
      <c r="K1095" s="97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inlineStr">
        <is>
          <t>Nao</t>
        </is>
      </c>
      <c r="W1095" s="110" t="inlineStr">
        <is>
          <t>PC em analise</t>
        </is>
      </c>
      <c r="X1095" s="110" t="inlineStr">
        <is>
          <t>Pedido de Compra</t>
        </is>
      </c>
      <c r="Y1095" s="111" t="inlineStr">
        <is>
          <t>Impacto Potencial</t>
        </is>
      </c>
      <c r="Z1095" s="111" t="inlineStr">
        <is>
          <t>PC</t>
        </is>
      </c>
      <c r="AA1095" s="111" t="inlineStr">
        <is>
          <t>Nao</t>
        </is>
      </c>
      <c r="AB1095" s="111" t="inlineStr">
        <is>
          <t>NAO_COMPUTADO</t>
        </is>
      </c>
      <c r="AC1095" s="112" t="inlineStr">
        <is>
          <t>Estrutura Fase 1: sem impacto no VTA oficial</t>
        </is>
      </c>
    </row>
    <row r="1096" ht="25.5" customHeight="1" s="289">
      <c r="A1096" s="205" t="n"/>
      <c r="B1096" s="207" t="n"/>
      <c r="C1096" s="104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348" t="n"/>
      <c r="E1096" s="349">
        <f>IF(C1096="","",IFERROR(VLOOKUP(C1096,parametros!$A$11:$E$15,5,0),""))</f>
        <v/>
      </c>
      <c r="F1096" s="335">
        <f>IF(OR(D1096="",E1096=""),"",ROUND(D1096*E1096,2))</f>
        <v/>
      </c>
      <c r="G1096" s="106" t="n"/>
      <c r="H1096" s="350">
        <f>IF(G1096="Sim",IF(OR(F1096="",D1096="",L1096=""),"",IF(L1096="Sim",ROUND(F1096-D1096,2),0)),0)</f>
        <v/>
      </c>
      <c r="I1096" s="350">
        <f>IF(G1096="Sim",0,IF(OR(F1096="",L1096=""),"",F1096))</f>
        <v/>
      </c>
      <c r="J1096" s="350">
        <f>IF(G1096="Sim",0,IF(OR(F1096="",D1096="",L1096=""),"",IF(L1096="Sim",ROUND(F1096-D1096,2),0)))</f>
        <v/>
      </c>
      <c r="K1096" s="97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inlineStr">
        <is>
          <t>Nao</t>
        </is>
      </c>
      <c r="W1096" s="110" t="inlineStr">
        <is>
          <t>PC em analise</t>
        </is>
      </c>
      <c r="X1096" s="110" t="inlineStr">
        <is>
          <t>Pedido de Compra</t>
        </is>
      </c>
      <c r="Y1096" s="111" t="inlineStr">
        <is>
          <t>Impacto Potencial</t>
        </is>
      </c>
      <c r="Z1096" s="111" t="inlineStr">
        <is>
          <t>PC</t>
        </is>
      </c>
      <c r="AA1096" s="111" t="inlineStr">
        <is>
          <t>Nao</t>
        </is>
      </c>
      <c r="AB1096" s="111" t="inlineStr">
        <is>
          <t>NAO_COMPUTADO</t>
        </is>
      </c>
      <c r="AC1096" s="112" t="inlineStr">
        <is>
          <t>Estrutura Fase 1: sem impacto no VTA oficial</t>
        </is>
      </c>
    </row>
    <row r="1097" ht="25.5" customHeight="1" s="289">
      <c r="A1097" s="205" t="n"/>
      <c r="B1097" s="207" t="n"/>
      <c r="C1097" s="104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348" t="n"/>
      <c r="E1097" s="349">
        <f>IF(C1097="","",IFERROR(VLOOKUP(C1097,parametros!$A$11:$E$15,5,0),""))</f>
        <v/>
      </c>
      <c r="F1097" s="335">
        <f>IF(OR(D1097="",E1097=""),"",ROUND(D1097*E1097,2))</f>
        <v/>
      </c>
      <c r="G1097" s="106" t="n"/>
      <c r="H1097" s="350">
        <f>IF(G1097="Sim",IF(OR(F1097="",D1097="",L1097=""),"",IF(L1097="Sim",ROUND(F1097-D1097,2),0)),0)</f>
        <v/>
      </c>
      <c r="I1097" s="350">
        <f>IF(G1097="Sim",0,IF(OR(F1097="",L1097=""),"",F1097))</f>
        <v/>
      </c>
      <c r="J1097" s="350">
        <f>IF(G1097="Sim",0,IF(OR(F1097="",D1097="",L1097=""),"",IF(L1097="Sim",ROUND(F1097-D1097,2),0)))</f>
        <v/>
      </c>
      <c r="K1097" s="97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inlineStr">
        <is>
          <t>Nao</t>
        </is>
      </c>
      <c r="W1097" s="110" t="inlineStr">
        <is>
          <t>PC em analise</t>
        </is>
      </c>
      <c r="X1097" s="110" t="inlineStr">
        <is>
          <t>Pedido de Compra</t>
        </is>
      </c>
      <c r="Y1097" s="111" t="inlineStr">
        <is>
          <t>Impacto Potencial</t>
        </is>
      </c>
      <c r="Z1097" s="111" t="inlineStr">
        <is>
          <t>PC</t>
        </is>
      </c>
      <c r="AA1097" s="111" t="inlineStr">
        <is>
          <t>Nao</t>
        </is>
      </c>
      <c r="AB1097" s="111" t="inlineStr">
        <is>
          <t>NAO_COMPUTADO</t>
        </is>
      </c>
      <c r="AC1097" s="112" t="inlineStr">
        <is>
          <t>Estrutura Fase 1: sem impacto no VTA oficial</t>
        </is>
      </c>
    </row>
    <row r="1098" ht="25.5" customHeight="1" s="289">
      <c r="A1098" s="205" t="n"/>
      <c r="B1098" s="207" t="n"/>
      <c r="C1098" s="104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348" t="n"/>
      <c r="E1098" s="349">
        <f>IF(C1098="","",IFERROR(VLOOKUP(C1098,parametros!$A$11:$E$15,5,0),""))</f>
        <v/>
      </c>
      <c r="F1098" s="335">
        <f>IF(OR(D1098="",E1098=""),"",ROUND(D1098*E1098,2))</f>
        <v/>
      </c>
      <c r="G1098" s="106" t="n"/>
      <c r="H1098" s="350">
        <f>IF(G1098="Sim",IF(OR(F1098="",D1098="",L1098=""),"",IF(L1098="Sim",ROUND(F1098-D1098,2),0)),0)</f>
        <v/>
      </c>
      <c r="I1098" s="350">
        <f>IF(G1098="Sim",0,IF(OR(F1098="",L1098=""),"",F1098))</f>
        <v/>
      </c>
      <c r="J1098" s="350">
        <f>IF(G1098="Sim",0,IF(OR(F1098="",D1098="",L1098=""),"",IF(L1098="Sim",ROUND(F1098-D1098,2),0)))</f>
        <v/>
      </c>
      <c r="K1098" s="97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inlineStr">
        <is>
          <t>Nao</t>
        </is>
      </c>
      <c r="W1098" s="110" t="inlineStr">
        <is>
          <t>PC em analise</t>
        </is>
      </c>
      <c r="X1098" s="110" t="inlineStr">
        <is>
          <t>Pedido de Compra</t>
        </is>
      </c>
      <c r="Y1098" s="111" t="inlineStr">
        <is>
          <t>Impacto Potencial</t>
        </is>
      </c>
      <c r="Z1098" s="111" t="inlineStr">
        <is>
          <t>PC</t>
        </is>
      </c>
      <c r="AA1098" s="111" t="inlineStr">
        <is>
          <t>Nao</t>
        </is>
      </c>
      <c r="AB1098" s="111" t="inlineStr">
        <is>
          <t>NAO_COMPUTADO</t>
        </is>
      </c>
      <c r="AC1098" s="112" t="inlineStr">
        <is>
          <t>Estrutura Fase 1: sem impacto no VTA oficial</t>
        </is>
      </c>
    </row>
    <row r="1099" ht="25.5" customHeight="1" s="289">
      <c r="A1099" s="205" t="n"/>
      <c r="B1099" s="207" t="n"/>
      <c r="C1099" s="104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348" t="n"/>
      <c r="E1099" s="349">
        <f>IF(C1099="","",IFERROR(VLOOKUP(C1099,parametros!$A$11:$E$15,5,0),""))</f>
        <v/>
      </c>
      <c r="F1099" s="335">
        <f>IF(OR(D1099="",E1099=""),"",ROUND(D1099*E1099,2))</f>
        <v/>
      </c>
      <c r="G1099" s="106" t="n"/>
      <c r="H1099" s="350">
        <f>IF(G1099="Sim",IF(OR(F1099="",D1099="",L1099=""),"",IF(L1099="Sim",ROUND(F1099-D1099,2),0)),0)</f>
        <v/>
      </c>
      <c r="I1099" s="350">
        <f>IF(G1099="Sim",0,IF(OR(F1099="",L1099=""),"",F1099))</f>
        <v/>
      </c>
      <c r="J1099" s="350">
        <f>IF(G1099="Sim",0,IF(OR(F1099="",D1099="",L1099=""),"",IF(L1099="Sim",ROUND(F1099-D1099,2),0)))</f>
        <v/>
      </c>
      <c r="K1099" s="97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inlineStr">
        <is>
          <t>Nao</t>
        </is>
      </c>
      <c r="W1099" s="110" t="inlineStr">
        <is>
          <t>PC em analise</t>
        </is>
      </c>
      <c r="X1099" s="110" t="inlineStr">
        <is>
          <t>Pedido de Compra</t>
        </is>
      </c>
      <c r="Y1099" s="111" t="inlineStr">
        <is>
          <t>Impacto Potencial</t>
        </is>
      </c>
      <c r="Z1099" s="111" t="inlineStr">
        <is>
          <t>PC</t>
        </is>
      </c>
      <c r="AA1099" s="111" t="inlineStr">
        <is>
          <t>Nao</t>
        </is>
      </c>
      <c r="AB1099" s="111" t="inlineStr">
        <is>
          <t>NAO_COMPUTADO</t>
        </is>
      </c>
      <c r="AC1099" s="112" t="inlineStr">
        <is>
          <t>Estrutura Fase 1: sem impacto no VTA oficial</t>
        </is>
      </c>
    </row>
    <row r="1100" ht="25.5" customHeight="1" s="289">
      <c r="A1100" s="205" t="n"/>
      <c r="B1100" s="207" t="n"/>
      <c r="C1100" s="104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348" t="n"/>
      <c r="E1100" s="349">
        <f>IF(C1100="","",IFERROR(VLOOKUP(C1100,parametros!$A$11:$E$15,5,0),""))</f>
        <v/>
      </c>
      <c r="F1100" s="335">
        <f>IF(OR(D1100="",E1100=""),"",ROUND(D1100*E1100,2))</f>
        <v/>
      </c>
      <c r="G1100" s="106" t="n"/>
      <c r="H1100" s="350">
        <f>IF(G1100="Sim",IF(OR(F1100="",D1100="",L1100=""),"",IF(L1100="Sim",ROUND(F1100-D1100,2),0)),0)</f>
        <v/>
      </c>
      <c r="I1100" s="350">
        <f>IF(G1100="Sim",0,IF(OR(F1100="",L1100=""),"",F1100))</f>
        <v/>
      </c>
      <c r="J1100" s="350">
        <f>IF(G1100="Sim",0,IF(OR(F1100="",D1100="",L1100=""),"",IF(L1100="Sim",ROUND(F1100-D1100,2),0)))</f>
        <v/>
      </c>
      <c r="K1100" s="97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inlineStr">
        <is>
          <t>Nao</t>
        </is>
      </c>
      <c r="W1100" s="110" t="inlineStr">
        <is>
          <t>PC em analise</t>
        </is>
      </c>
      <c r="X1100" s="110" t="inlineStr">
        <is>
          <t>Pedido de Compra</t>
        </is>
      </c>
      <c r="Y1100" s="111" t="inlineStr">
        <is>
          <t>Impacto Potencial</t>
        </is>
      </c>
      <c r="Z1100" s="111" t="inlineStr">
        <is>
          <t>PC</t>
        </is>
      </c>
      <c r="AA1100" s="111" t="inlineStr">
        <is>
          <t>Nao</t>
        </is>
      </c>
      <c r="AB1100" s="111" t="inlineStr">
        <is>
          <t>NAO_COMPUTADO</t>
        </is>
      </c>
      <c r="AC1100" s="112" t="inlineStr">
        <is>
          <t>Estrutura Fase 1: sem impacto no VTA oficial</t>
        </is>
      </c>
    </row>
    <row r="1101" ht="25.5" customHeight="1" s="289">
      <c r="A1101" s="205" t="n"/>
      <c r="B1101" s="207" t="n"/>
      <c r="C1101" s="104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348" t="n"/>
      <c r="E1101" s="349">
        <f>IF(C1101="","",IFERROR(VLOOKUP(C1101,parametros!$A$11:$E$15,5,0),""))</f>
        <v/>
      </c>
      <c r="F1101" s="335">
        <f>IF(OR(D1101="",E1101=""),"",ROUND(D1101*E1101,2))</f>
        <v/>
      </c>
      <c r="G1101" s="106" t="n"/>
      <c r="H1101" s="350">
        <f>IF(G1101="Sim",IF(OR(F1101="",D1101="",L1101=""),"",IF(L1101="Sim",ROUND(F1101-D1101,2),0)),0)</f>
        <v/>
      </c>
      <c r="I1101" s="350">
        <f>IF(G1101="Sim",0,IF(OR(F1101="",L1101=""),"",F1101))</f>
        <v/>
      </c>
      <c r="J1101" s="350">
        <f>IF(G1101="Sim",0,IF(OR(F1101="",D1101="",L1101=""),"",IF(L1101="Sim",ROUND(F1101-D1101,2),0)))</f>
        <v/>
      </c>
      <c r="K1101" s="97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inlineStr">
        <is>
          <t>Nao</t>
        </is>
      </c>
      <c r="W1101" s="110" t="inlineStr">
        <is>
          <t>PC em analise</t>
        </is>
      </c>
      <c r="X1101" s="110" t="inlineStr">
        <is>
          <t>Pedido de Compra</t>
        </is>
      </c>
      <c r="Y1101" s="111" t="inlineStr">
        <is>
          <t>Impacto Potencial</t>
        </is>
      </c>
      <c r="Z1101" s="111" t="inlineStr">
        <is>
          <t>PC</t>
        </is>
      </c>
      <c r="AA1101" s="111" t="inlineStr">
        <is>
          <t>Nao</t>
        </is>
      </c>
      <c r="AB1101" s="111" t="inlineStr">
        <is>
          <t>NAO_COMPUTADO</t>
        </is>
      </c>
      <c r="AC1101" s="112" t="inlineStr">
        <is>
          <t>Estrutura Fase 1: sem impacto no VTA oficial</t>
        </is>
      </c>
    </row>
    <row r="1102" ht="25.5" customHeight="1" s="289">
      <c r="A1102" s="205" t="n"/>
      <c r="B1102" s="207" t="n"/>
      <c r="C1102" s="104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348" t="n"/>
      <c r="E1102" s="349">
        <f>IF(C1102="","",IFERROR(VLOOKUP(C1102,parametros!$A$11:$E$15,5,0),""))</f>
        <v/>
      </c>
      <c r="F1102" s="335">
        <f>IF(OR(D1102="",E1102=""),"",ROUND(D1102*E1102,2))</f>
        <v/>
      </c>
      <c r="G1102" s="106" t="n"/>
      <c r="H1102" s="350">
        <f>IF(G1102="Sim",IF(OR(F1102="",D1102="",L1102=""),"",IF(L1102="Sim",ROUND(F1102-D1102,2),0)),0)</f>
        <v/>
      </c>
      <c r="I1102" s="350">
        <f>IF(G1102="Sim",0,IF(OR(F1102="",L1102=""),"",F1102))</f>
        <v/>
      </c>
      <c r="J1102" s="350">
        <f>IF(G1102="Sim",0,IF(OR(F1102="",D1102="",L1102=""),"",IF(L1102="Sim",ROUND(F1102-D1102,2),0)))</f>
        <v/>
      </c>
      <c r="K1102" s="97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inlineStr">
        <is>
          <t>Nao</t>
        </is>
      </c>
      <c r="W1102" s="110" t="inlineStr">
        <is>
          <t>PC em analise</t>
        </is>
      </c>
      <c r="X1102" s="110" t="inlineStr">
        <is>
          <t>Pedido de Compra</t>
        </is>
      </c>
      <c r="Y1102" s="111" t="inlineStr">
        <is>
          <t>Impacto Potencial</t>
        </is>
      </c>
      <c r="Z1102" s="111" t="inlineStr">
        <is>
          <t>PC</t>
        </is>
      </c>
      <c r="AA1102" s="111" t="inlineStr">
        <is>
          <t>Nao</t>
        </is>
      </c>
      <c r="AB1102" s="111" t="inlineStr">
        <is>
          <t>NAO_COMPUTADO</t>
        </is>
      </c>
      <c r="AC1102" s="112" t="inlineStr">
        <is>
          <t>Estrutura Fase 1: sem impacto no VTA oficial</t>
        </is>
      </c>
    </row>
    <row r="1103" ht="25.5" customHeight="1" s="289">
      <c r="A1103" s="205" t="n"/>
      <c r="B1103" s="207" t="n"/>
      <c r="C1103" s="104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348" t="n"/>
      <c r="E1103" s="349">
        <f>IF(C1103="","",IFERROR(VLOOKUP(C1103,parametros!$A$11:$E$15,5,0),""))</f>
        <v/>
      </c>
      <c r="F1103" s="335">
        <f>IF(OR(D1103="",E1103=""),"",ROUND(D1103*E1103,2))</f>
        <v/>
      </c>
      <c r="G1103" s="106" t="n"/>
      <c r="H1103" s="350">
        <f>IF(G1103="Sim",IF(OR(F1103="",D1103="",L1103=""),"",IF(L1103="Sim",ROUND(F1103-D1103,2),0)),0)</f>
        <v/>
      </c>
      <c r="I1103" s="350">
        <f>IF(G1103="Sim",0,IF(OR(F1103="",L1103=""),"",F1103))</f>
        <v/>
      </c>
      <c r="J1103" s="350">
        <f>IF(G1103="Sim",0,IF(OR(F1103="",D1103="",L1103=""),"",IF(L1103="Sim",ROUND(F1103-D1103,2),0)))</f>
        <v/>
      </c>
      <c r="K1103" s="97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inlineStr">
        <is>
          <t>Nao</t>
        </is>
      </c>
      <c r="W1103" s="110" t="inlineStr">
        <is>
          <t>PC em analise</t>
        </is>
      </c>
      <c r="X1103" s="110" t="inlineStr">
        <is>
          <t>Pedido de Compra</t>
        </is>
      </c>
      <c r="Y1103" s="111" t="inlineStr">
        <is>
          <t>Impacto Potencial</t>
        </is>
      </c>
      <c r="Z1103" s="111" t="inlineStr">
        <is>
          <t>PC</t>
        </is>
      </c>
      <c r="AA1103" s="111" t="inlineStr">
        <is>
          <t>Nao</t>
        </is>
      </c>
      <c r="AB1103" s="111" t="inlineStr">
        <is>
          <t>NAO_COMPUTADO</t>
        </is>
      </c>
      <c r="AC1103" s="112" t="inlineStr">
        <is>
          <t>Estrutura Fase 1: sem impacto no VTA oficial</t>
        </is>
      </c>
    </row>
    <row r="1104" ht="25.5" customHeight="1" s="289">
      <c r="A1104" s="205" t="n"/>
      <c r="B1104" s="207" t="n"/>
      <c r="C1104" s="104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348" t="n"/>
      <c r="E1104" s="349">
        <f>IF(C1104="","",IFERROR(VLOOKUP(C1104,parametros!$A$11:$E$15,5,0),""))</f>
        <v/>
      </c>
      <c r="F1104" s="335">
        <f>IF(OR(D1104="",E1104=""),"",ROUND(D1104*E1104,2))</f>
        <v/>
      </c>
      <c r="G1104" s="106" t="n"/>
      <c r="H1104" s="350">
        <f>IF(G1104="Sim",IF(OR(F1104="",D1104="",L1104=""),"",IF(L1104="Sim",ROUND(F1104-D1104,2),0)),0)</f>
        <v/>
      </c>
      <c r="I1104" s="350">
        <f>IF(G1104="Sim",0,IF(OR(F1104="",L1104=""),"",F1104))</f>
        <v/>
      </c>
      <c r="J1104" s="350">
        <f>IF(G1104="Sim",0,IF(OR(F1104="",D1104="",L1104=""),"",IF(L1104="Sim",ROUND(F1104-D1104,2),0)))</f>
        <v/>
      </c>
      <c r="K1104" s="97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inlineStr">
        <is>
          <t>Nao</t>
        </is>
      </c>
      <c r="W1104" s="110" t="inlineStr">
        <is>
          <t>PC em analise</t>
        </is>
      </c>
      <c r="X1104" s="110" t="inlineStr">
        <is>
          <t>Pedido de Compra</t>
        </is>
      </c>
      <c r="Y1104" s="111" t="inlineStr">
        <is>
          <t>Impacto Potencial</t>
        </is>
      </c>
      <c r="Z1104" s="111" t="inlineStr">
        <is>
          <t>PC</t>
        </is>
      </c>
      <c r="AA1104" s="111" t="inlineStr">
        <is>
          <t>Nao</t>
        </is>
      </c>
      <c r="AB1104" s="111" t="inlineStr">
        <is>
          <t>NAO_COMPUTADO</t>
        </is>
      </c>
      <c r="AC1104" s="112" t="inlineStr">
        <is>
          <t>Estrutura Fase 1: sem impacto no VTA oficial</t>
        </is>
      </c>
    </row>
    <row r="1105" ht="25.5" customHeight="1" s="289">
      <c r="A1105" s="205" t="n"/>
      <c r="B1105" s="207" t="n"/>
      <c r="C1105" s="104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348" t="n"/>
      <c r="E1105" s="349">
        <f>IF(C1105="","",IFERROR(VLOOKUP(C1105,parametros!$A$11:$E$15,5,0),""))</f>
        <v/>
      </c>
      <c r="F1105" s="335">
        <f>IF(OR(D1105="",E1105=""),"",ROUND(D1105*E1105,2))</f>
        <v/>
      </c>
      <c r="G1105" s="106" t="n"/>
      <c r="H1105" s="350">
        <f>IF(G1105="Sim",IF(OR(F1105="",D1105="",L1105=""),"",IF(L1105="Sim",ROUND(F1105-D1105,2),0)),0)</f>
        <v/>
      </c>
      <c r="I1105" s="350">
        <f>IF(G1105="Sim",0,IF(OR(F1105="",L1105=""),"",F1105))</f>
        <v/>
      </c>
      <c r="J1105" s="350">
        <f>IF(G1105="Sim",0,IF(OR(F1105="",D1105="",L1105=""),"",IF(L1105="Sim",ROUND(F1105-D1105,2),0)))</f>
        <v/>
      </c>
      <c r="K1105" s="97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inlineStr">
        <is>
          <t>Nao</t>
        </is>
      </c>
      <c r="W1105" s="110" t="inlineStr">
        <is>
          <t>PC em analise</t>
        </is>
      </c>
      <c r="X1105" s="110" t="inlineStr">
        <is>
          <t>Pedido de Compra</t>
        </is>
      </c>
      <c r="Y1105" s="111" t="inlineStr">
        <is>
          <t>Impacto Potencial</t>
        </is>
      </c>
      <c r="Z1105" s="111" t="inlineStr">
        <is>
          <t>PC</t>
        </is>
      </c>
      <c r="AA1105" s="111" t="inlineStr">
        <is>
          <t>Nao</t>
        </is>
      </c>
      <c r="AB1105" s="111" t="inlineStr">
        <is>
          <t>NAO_COMPUTADO</t>
        </is>
      </c>
      <c r="AC1105" s="112" t="inlineStr">
        <is>
          <t>Estrutura Fase 1: sem impacto no VTA oficial</t>
        </is>
      </c>
    </row>
    <row r="1106" ht="25.5" customHeight="1" s="289">
      <c r="A1106" s="205" t="n"/>
      <c r="B1106" s="207" t="n"/>
      <c r="C1106" s="104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348" t="n"/>
      <c r="E1106" s="349">
        <f>IF(C1106="","",IFERROR(VLOOKUP(C1106,parametros!$A$11:$E$15,5,0),""))</f>
        <v/>
      </c>
      <c r="F1106" s="335">
        <f>IF(OR(D1106="",E1106=""),"",ROUND(D1106*E1106,2))</f>
        <v/>
      </c>
      <c r="G1106" s="106" t="n"/>
      <c r="H1106" s="350">
        <f>IF(G1106="Sim",IF(OR(F1106="",D1106="",L1106=""),"",IF(L1106="Sim",ROUND(F1106-D1106,2),0)),0)</f>
        <v/>
      </c>
      <c r="I1106" s="350">
        <f>IF(G1106="Sim",0,IF(OR(F1106="",L1106=""),"",F1106))</f>
        <v/>
      </c>
      <c r="J1106" s="350">
        <f>IF(G1106="Sim",0,IF(OR(F1106="",D1106="",L1106=""),"",IF(L1106="Sim",ROUND(F1106-D1106,2),0)))</f>
        <v/>
      </c>
      <c r="K1106" s="97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inlineStr">
        <is>
          <t>Nao</t>
        </is>
      </c>
      <c r="W1106" s="110" t="inlineStr">
        <is>
          <t>PC em analise</t>
        </is>
      </c>
      <c r="X1106" s="110" t="inlineStr">
        <is>
          <t>Pedido de Compra</t>
        </is>
      </c>
      <c r="Y1106" s="111" t="inlineStr">
        <is>
          <t>Impacto Potencial</t>
        </is>
      </c>
      <c r="Z1106" s="111" t="inlineStr">
        <is>
          <t>PC</t>
        </is>
      </c>
      <c r="AA1106" s="111" t="inlineStr">
        <is>
          <t>Nao</t>
        </is>
      </c>
      <c r="AB1106" s="111" t="inlineStr">
        <is>
          <t>NAO_COMPUTADO</t>
        </is>
      </c>
      <c r="AC1106" s="112" t="inlineStr">
        <is>
          <t>Estrutura Fase 1: sem impacto no VTA oficial</t>
        </is>
      </c>
    </row>
    <row r="1107" ht="25.5" customHeight="1" s="289">
      <c r="A1107" s="205" t="n"/>
      <c r="B1107" s="207" t="n"/>
      <c r="C1107" s="104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348" t="n"/>
      <c r="E1107" s="349">
        <f>IF(C1107="","",IFERROR(VLOOKUP(C1107,parametros!$A$11:$E$15,5,0),""))</f>
        <v/>
      </c>
      <c r="F1107" s="335">
        <f>IF(OR(D1107="",E1107=""),"",ROUND(D1107*E1107,2))</f>
        <v/>
      </c>
      <c r="G1107" s="106" t="n"/>
      <c r="H1107" s="350">
        <f>IF(G1107="Sim",IF(OR(F1107="",D1107="",L1107=""),"",IF(L1107="Sim",ROUND(F1107-D1107,2),0)),0)</f>
        <v/>
      </c>
      <c r="I1107" s="350">
        <f>IF(G1107="Sim",0,IF(OR(F1107="",L1107=""),"",F1107))</f>
        <v/>
      </c>
      <c r="J1107" s="350">
        <f>IF(G1107="Sim",0,IF(OR(F1107="",D1107="",L1107=""),"",IF(L1107="Sim",ROUND(F1107-D1107,2),0)))</f>
        <v/>
      </c>
      <c r="K1107" s="97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inlineStr">
        <is>
          <t>Nao</t>
        </is>
      </c>
      <c r="W1107" s="110" t="inlineStr">
        <is>
          <t>PC em analise</t>
        </is>
      </c>
      <c r="X1107" s="110" t="inlineStr">
        <is>
          <t>Pedido de Compra</t>
        </is>
      </c>
      <c r="Y1107" s="111" t="inlineStr">
        <is>
          <t>Impacto Potencial</t>
        </is>
      </c>
      <c r="Z1107" s="111" t="inlineStr">
        <is>
          <t>PC</t>
        </is>
      </c>
      <c r="AA1107" s="111" t="inlineStr">
        <is>
          <t>Nao</t>
        </is>
      </c>
      <c r="AB1107" s="111" t="inlineStr">
        <is>
          <t>NAO_COMPUTADO</t>
        </is>
      </c>
      <c r="AC1107" s="112" t="inlineStr">
        <is>
          <t>Estrutura Fase 1: sem impacto no VTA oficial</t>
        </is>
      </c>
    </row>
    <row r="1108" ht="25.5" customHeight="1" s="289">
      <c r="A1108" s="205" t="n"/>
      <c r="B1108" s="207" t="n"/>
      <c r="C1108" s="104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348" t="n"/>
      <c r="E1108" s="349">
        <f>IF(C1108="","",IFERROR(VLOOKUP(C1108,parametros!$A$11:$E$15,5,0),""))</f>
        <v/>
      </c>
      <c r="F1108" s="335">
        <f>IF(OR(D1108="",E1108=""),"",ROUND(D1108*E1108,2))</f>
        <v/>
      </c>
      <c r="G1108" s="106" t="n"/>
      <c r="H1108" s="350">
        <f>IF(G1108="Sim",IF(OR(F1108="",D1108="",L1108=""),"",IF(L1108="Sim",ROUND(F1108-D1108,2),0)),0)</f>
        <v/>
      </c>
      <c r="I1108" s="350">
        <f>IF(G1108="Sim",0,IF(OR(F1108="",L1108=""),"",F1108))</f>
        <v/>
      </c>
      <c r="J1108" s="350">
        <f>IF(G1108="Sim",0,IF(OR(F1108="",D1108="",L1108=""),"",IF(L1108="Sim",ROUND(F1108-D1108,2),0)))</f>
        <v/>
      </c>
      <c r="K1108" s="97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inlineStr">
        <is>
          <t>Nao</t>
        </is>
      </c>
      <c r="W1108" s="110" t="inlineStr">
        <is>
          <t>PC em analise</t>
        </is>
      </c>
      <c r="X1108" s="110" t="inlineStr">
        <is>
          <t>Pedido de Compra</t>
        </is>
      </c>
      <c r="Y1108" s="111" t="inlineStr">
        <is>
          <t>Impacto Potencial</t>
        </is>
      </c>
      <c r="Z1108" s="111" t="inlineStr">
        <is>
          <t>PC</t>
        </is>
      </c>
      <c r="AA1108" s="111" t="inlineStr">
        <is>
          <t>Nao</t>
        </is>
      </c>
      <c r="AB1108" s="111" t="inlineStr">
        <is>
          <t>NAO_COMPUTADO</t>
        </is>
      </c>
      <c r="AC1108" s="112" t="inlineStr">
        <is>
          <t>Estrutura Fase 1: sem impacto no VTA oficial</t>
        </is>
      </c>
    </row>
    <row r="1109" ht="25.5" customHeight="1" s="289">
      <c r="A1109" s="205" t="n"/>
      <c r="B1109" s="207" t="n"/>
      <c r="C1109" s="104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348" t="n"/>
      <c r="E1109" s="349">
        <f>IF(C1109="","",IFERROR(VLOOKUP(C1109,parametros!$A$11:$E$15,5,0),""))</f>
        <v/>
      </c>
      <c r="F1109" s="335">
        <f>IF(OR(D1109="",E1109=""),"",ROUND(D1109*E1109,2))</f>
        <v/>
      </c>
      <c r="G1109" s="106" t="n"/>
      <c r="H1109" s="350">
        <f>IF(G1109="Sim",IF(OR(F1109="",D1109="",L1109=""),"",IF(L1109="Sim",ROUND(F1109-D1109,2),0)),0)</f>
        <v/>
      </c>
      <c r="I1109" s="350">
        <f>IF(G1109="Sim",0,IF(OR(F1109="",L1109=""),"",F1109))</f>
        <v/>
      </c>
      <c r="J1109" s="350">
        <f>IF(G1109="Sim",0,IF(OR(F1109="",D1109="",L1109=""),"",IF(L1109="Sim",ROUND(F1109-D1109,2),0)))</f>
        <v/>
      </c>
      <c r="K1109" s="97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inlineStr">
        <is>
          <t>Nao</t>
        </is>
      </c>
      <c r="W1109" s="110" t="inlineStr">
        <is>
          <t>PC em analise</t>
        </is>
      </c>
      <c r="X1109" s="110" t="inlineStr">
        <is>
          <t>Pedido de Compra</t>
        </is>
      </c>
      <c r="Y1109" s="111" t="inlineStr">
        <is>
          <t>Impacto Potencial</t>
        </is>
      </c>
      <c r="Z1109" s="111" t="inlineStr">
        <is>
          <t>PC</t>
        </is>
      </c>
      <c r="AA1109" s="111" t="inlineStr">
        <is>
          <t>Nao</t>
        </is>
      </c>
      <c r="AB1109" s="111" t="inlineStr">
        <is>
          <t>NAO_COMPUTADO</t>
        </is>
      </c>
      <c r="AC1109" s="112" t="inlineStr">
        <is>
          <t>Estrutura Fase 1: sem impacto no VTA oficial</t>
        </is>
      </c>
    </row>
    <row r="1110" ht="25.5" customHeight="1" s="289">
      <c r="A1110" s="205" t="n"/>
      <c r="B1110" s="207" t="n"/>
      <c r="C1110" s="104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348" t="n"/>
      <c r="E1110" s="349">
        <f>IF(C1110="","",IFERROR(VLOOKUP(C1110,parametros!$A$11:$E$15,5,0),""))</f>
        <v/>
      </c>
      <c r="F1110" s="335">
        <f>IF(OR(D1110="",E1110=""),"",ROUND(D1110*E1110,2))</f>
        <v/>
      </c>
      <c r="G1110" s="106" t="n"/>
      <c r="H1110" s="350">
        <f>IF(G1110="Sim",IF(OR(F1110="",D1110="",L1110=""),"",IF(L1110="Sim",ROUND(F1110-D1110,2),0)),0)</f>
        <v/>
      </c>
      <c r="I1110" s="350">
        <f>IF(G1110="Sim",0,IF(OR(F1110="",L1110=""),"",F1110))</f>
        <v/>
      </c>
      <c r="J1110" s="350">
        <f>IF(G1110="Sim",0,IF(OR(F1110="",D1110="",L1110=""),"",IF(L1110="Sim",ROUND(F1110-D1110,2),0)))</f>
        <v/>
      </c>
      <c r="K1110" s="97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inlineStr">
        <is>
          <t>Nao</t>
        </is>
      </c>
      <c r="W1110" s="110" t="inlineStr">
        <is>
          <t>PC em analise</t>
        </is>
      </c>
      <c r="X1110" s="110" t="inlineStr">
        <is>
          <t>Pedido de Compra</t>
        </is>
      </c>
      <c r="Y1110" s="111" t="inlineStr">
        <is>
          <t>Impacto Potencial</t>
        </is>
      </c>
      <c r="Z1110" s="111" t="inlineStr">
        <is>
          <t>PC</t>
        </is>
      </c>
      <c r="AA1110" s="111" t="inlineStr">
        <is>
          <t>Nao</t>
        </is>
      </c>
      <c r="AB1110" s="111" t="inlineStr">
        <is>
          <t>NAO_COMPUTADO</t>
        </is>
      </c>
      <c r="AC1110" s="112" t="inlineStr">
        <is>
          <t>Estrutura Fase 1: sem impacto no VTA oficial</t>
        </is>
      </c>
    </row>
    <row r="1111" ht="25.5" customHeight="1" s="289">
      <c r="A1111" s="205" t="n"/>
      <c r="B1111" s="207" t="n"/>
      <c r="C1111" s="104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348" t="n"/>
      <c r="E1111" s="349">
        <f>IF(C1111="","",IFERROR(VLOOKUP(C1111,parametros!$A$11:$E$15,5,0),""))</f>
        <v/>
      </c>
      <c r="F1111" s="335">
        <f>IF(OR(D1111="",E1111=""),"",ROUND(D1111*E1111,2))</f>
        <v/>
      </c>
      <c r="G1111" s="106" t="n"/>
      <c r="H1111" s="350">
        <f>IF(G1111="Sim",IF(OR(F1111="",D1111="",L1111=""),"",IF(L1111="Sim",ROUND(F1111-D1111,2),0)),0)</f>
        <v/>
      </c>
      <c r="I1111" s="350">
        <f>IF(G1111="Sim",0,IF(OR(F1111="",L1111=""),"",F1111))</f>
        <v/>
      </c>
      <c r="J1111" s="350">
        <f>IF(G1111="Sim",0,IF(OR(F1111="",D1111="",L1111=""),"",IF(L1111="Sim",ROUND(F1111-D1111,2),0)))</f>
        <v/>
      </c>
      <c r="K1111" s="97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inlineStr">
        <is>
          <t>Nao</t>
        </is>
      </c>
      <c r="W1111" s="110" t="inlineStr">
        <is>
          <t>PC em analise</t>
        </is>
      </c>
      <c r="X1111" s="110" t="inlineStr">
        <is>
          <t>Pedido de Compra</t>
        </is>
      </c>
      <c r="Y1111" s="111" t="inlineStr">
        <is>
          <t>Impacto Potencial</t>
        </is>
      </c>
      <c r="Z1111" s="111" t="inlineStr">
        <is>
          <t>PC</t>
        </is>
      </c>
      <c r="AA1111" s="111" t="inlineStr">
        <is>
          <t>Nao</t>
        </is>
      </c>
      <c r="AB1111" s="111" t="inlineStr">
        <is>
          <t>NAO_COMPUTADO</t>
        </is>
      </c>
      <c r="AC1111" s="112" t="inlineStr">
        <is>
          <t>Estrutura Fase 1: sem impacto no VTA oficial</t>
        </is>
      </c>
    </row>
    <row r="1112" ht="25.5" customHeight="1" s="289">
      <c r="A1112" s="205" t="n"/>
      <c r="B1112" s="207" t="n"/>
      <c r="C1112" s="104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348" t="n"/>
      <c r="E1112" s="349">
        <f>IF(C1112="","",IFERROR(VLOOKUP(C1112,parametros!$A$11:$E$15,5,0),""))</f>
        <v/>
      </c>
      <c r="F1112" s="335">
        <f>IF(OR(D1112="",E1112=""),"",ROUND(D1112*E1112,2))</f>
        <v/>
      </c>
      <c r="G1112" s="106" t="n"/>
      <c r="H1112" s="350">
        <f>IF(G1112="Sim",IF(OR(F1112="",D1112="",L1112=""),"",IF(L1112="Sim",ROUND(F1112-D1112,2),0)),0)</f>
        <v/>
      </c>
      <c r="I1112" s="350">
        <f>IF(G1112="Sim",0,IF(OR(F1112="",L1112=""),"",F1112))</f>
        <v/>
      </c>
      <c r="J1112" s="350">
        <f>IF(G1112="Sim",0,IF(OR(F1112="",D1112="",L1112=""),"",IF(L1112="Sim",ROUND(F1112-D1112,2),0)))</f>
        <v/>
      </c>
      <c r="K1112" s="97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inlineStr">
        <is>
          <t>Nao</t>
        </is>
      </c>
      <c r="W1112" s="110" t="inlineStr">
        <is>
          <t>PC em analise</t>
        </is>
      </c>
      <c r="X1112" s="110" t="inlineStr">
        <is>
          <t>Pedido de Compra</t>
        </is>
      </c>
      <c r="Y1112" s="111" t="inlineStr">
        <is>
          <t>Impacto Potencial</t>
        </is>
      </c>
      <c r="Z1112" s="111" t="inlineStr">
        <is>
          <t>PC</t>
        </is>
      </c>
      <c r="AA1112" s="111" t="inlineStr">
        <is>
          <t>Nao</t>
        </is>
      </c>
      <c r="AB1112" s="111" t="inlineStr">
        <is>
          <t>NAO_COMPUTADO</t>
        </is>
      </c>
      <c r="AC1112" s="112" t="inlineStr">
        <is>
          <t>Estrutura Fase 1: sem impacto no VTA oficial</t>
        </is>
      </c>
    </row>
    <row r="1113" ht="25.5" customHeight="1" s="289">
      <c r="A1113" s="205" t="n"/>
      <c r="B1113" s="207" t="n"/>
      <c r="C1113" s="104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348" t="n"/>
      <c r="E1113" s="349">
        <f>IF(C1113="","",IFERROR(VLOOKUP(C1113,parametros!$A$11:$E$15,5,0),""))</f>
        <v/>
      </c>
      <c r="F1113" s="335">
        <f>IF(OR(D1113="",E1113=""),"",ROUND(D1113*E1113,2))</f>
        <v/>
      </c>
      <c r="G1113" s="106" t="n"/>
      <c r="H1113" s="350">
        <f>IF(G1113="Sim",IF(OR(F1113="",D1113="",L1113=""),"",IF(L1113="Sim",ROUND(F1113-D1113,2),0)),0)</f>
        <v/>
      </c>
      <c r="I1113" s="350">
        <f>IF(G1113="Sim",0,IF(OR(F1113="",L1113=""),"",F1113))</f>
        <v/>
      </c>
      <c r="J1113" s="350">
        <f>IF(G1113="Sim",0,IF(OR(F1113="",D1113="",L1113=""),"",IF(L1113="Sim",ROUND(F1113-D1113,2),0)))</f>
        <v/>
      </c>
      <c r="K1113" s="97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inlineStr">
        <is>
          <t>Nao</t>
        </is>
      </c>
      <c r="W1113" s="110" t="inlineStr">
        <is>
          <t>PC em analise</t>
        </is>
      </c>
      <c r="X1113" s="110" t="inlineStr">
        <is>
          <t>Pedido de Compra</t>
        </is>
      </c>
      <c r="Y1113" s="111" t="inlineStr">
        <is>
          <t>Impacto Potencial</t>
        </is>
      </c>
      <c r="Z1113" s="111" t="inlineStr">
        <is>
          <t>PC</t>
        </is>
      </c>
      <c r="AA1113" s="111" t="inlineStr">
        <is>
          <t>Nao</t>
        </is>
      </c>
      <c r="AB1113" s="111" t="inlineStr">
        <is>
          <t>NAO_COMPUTADO</t>
        </is>
      </c>
      <c r="AC1113" s="112" t="inlineStr">
        <is>
          <t>Estrutura Fase 1: sem impacto no VTA oficial</t>
        </is>
      </c>
    </row>
    <row r="1114" ht="25.5" customHeight="1" s="289">
      <c r="A1114" s="205" t="n"/>
      <c r="B1114" s="207" t="n"/>
      <c r="C1114" s="104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348" t="n"/>
      <c r="E1114" s="349">
        <f>IF(C1114="","",IFERROR(VLOOKUP(C1114,parametros!$A$11:$E$15,5,0),""))</f>
        <v/>
      </c>
      <c r="F1114" s="335">
        <f>IF(OR(D1114="",E1114=""),"",ROUND(D1114*E1114,2))</f>
        <v/>
      </c>
      <c r="G1114" s="106" t="n"/>
      <c r="H1114" s="350">
        <f>IF(G1114="Sim",IF(OR(F1114="",D1114="",L1114=""),"",IF(L1114="Sim",ROUND(F1114-D1114,2),0)),0)</f>
        <v/>
      </c>
      <c r="I1114" s="350">
        <f>IF(G1114="Sim",0,IF(OR(F1114="",L1114=""),"",F1114))</f>
        <v/>
      </c>
      <c r="J1114" s="350">
        <f>IF(G1114="Sim",0,IF(OR(F1114="",D1114="",L1114=""),"",IF(L1114="Sim",ROUND(F1114-D1114,2),0)))</f>
        <v/>
      </c>
      <c r="K1114" s="97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inlineStr">
        <is>
          <t>Nao</t>
        </is>
      </c>
      <c r="W1114" s="110" t="inlineStr">
        <is>
          <t>PC em analise</t>
        </is>
      </c>
      <c r="X1114" s="110" t="inlineStr">
        <is>
          <t>Pedido de Compra</t>
        </is>
      </c>
      <c r="Y1114" s="111" t="inlineStr">
        <is>
          <t>Impacto Potencial</t>
        </is>
      </c>
      <c r="Z1114" s="111" t="inlineStr">
        <is>
          <t>PC</t>
        </is>
      </c>
      <c r="AA1114" s="111" t="inlineStr">
        <is>
          <t>Nao</t>
        </is>
      </c>
      <c r="AB1114" s="111" t="inlineStr">
        <is>
          <t>NAO_COMPUTADO</t>
        </is>
      </c>
      <c r="AC1114" s="112" t="inlineStr">
        <is>
          <t>Estrutura Fase 1: sem impacto no VTA oficial</t>
        </is>
      </c>
    </row>
    <row r="1115" ht="25.5" customHeight="1" s="289">
      <c r="A1115" s="205" t="n"/>
      <c r="B1115" s="207" t="n"/>
      <c r="C1115" s="104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348" t="n"/>
      <c r="E1115" s="349">
        <f>IF(C1115="","",IFERROR(VLOOKUP(C1115,parametros!$A$11:$E$15,5,0),""))</f>
        <v/>
      </c>
      <c r="F1115" s="335">
        <f>IF(OR(D1115="",E1115=""),"",ROUND(D1115*E1115,2))</f>
        <v/>
      </c>
      <c r="G1115" s="106" t="n"/>
      <c r="H1115" s="350">
        <f>IF(G1115="Sim",IF(OR(F1115="",D1115="",L1115=""),"",IF(L1115="Sim",ROUND(F1115-D1115,2),0)),0)</f>
        <v/>
      </c>
      <c r="I1115" s="350">
        <f>IF(G1115="Sim",0,IF(OR(F1115="",L1115=""),"",F1115))</f>
        <v/>
      </c>
      <c r="J1115" s="350">
        <f>IF(G1115="Sim",0,IF(OR(F1115="",D1115="",L1115=""),"",IF(L1115="Sim",ROUND(F1115-D1115,2),0)))</f>
        <v/>
      </c>
      <c r="K1115" s="97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inlineStr">
        <is>
          <t>Nao</t>
        </is>
      </c>
      <c r="W1115" s="110" t="inlineStr">
        <is>
          <t>PC em analise</t>
        </is>
      </c>
      <c r="X1115" s="110" t="inlineStr">
        <is>
          <t>Pedido de Compra</t>
        </is>
      </c>
      <c r="Y1115" s="111" t="inlineStr">
        <is>
          <t>Impacto Potencial</t>
        </is>
      </c>
      <c r="Z1115" s="111" t="inlineStr">
        <is>
          <t>PC</t>
        </is>
      </c>
      <c r="AA1115" s="111" t="inlineStr">
        <is>
          <t>Nao</t>
        </is>
      </c>
      <c r="AB1115" s="111" t="inlineStr">
        <is>
          <t>NAO_COMPUTADO</t>
        </is>
      </c>
      <c r="AC1115" s="112" t="inlineStr">
        <is>
          <t>Estrutura Fase 1: sem impacto no VTA oficial</t>
        </is>
      </c>
    </row>
    <row r="1116" ht="25.5" customHeight="1" s="289">
      <c r="A1116" s="205" t="n"/>
      <c r="B1116" s="207" t="n"/>
      <c r="C1116" s="104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348" t="n"/>
      <c r="E1116" s="349">
        <f>IF(C1116="","",IFERROR(VLOOKUP(C1116,parametros!$A$11:$E$15,5,0),""))</f>
        <v/>
      </c>
      <c r="F1116" s="335">
        <f>IF(OR(D1116="",E1116=""),"",ROUND(D1116*E1116,2))</f>
        <v/>
      </c>
      <c r="G1116" s="106" t="n"/>
      <c r="H1116" s="350">
        <f>IF(G1116="Sim",IF(OR(F1116="",D1116="",L1116=""),"",IF(L1116="Sim",ROUND(F1116-D1116,2),0)),0)</f>
        <v/>
      </c>
      <c r="I1116" s="350">
        <f>IF(G1116="Sim",0,IF(OR(F1116="",L1116=""),"",F1116))</f>
        <v/>
      </c>
      <c r="J1116" s="350">
        <f>IF(G1116="Sim",0,IF(OR(F1116="",D1116="",L1116=""),"",IF(L1116="Sim",ROUND(F1116-D1116,2),0)))</f>
        <v/>
      </c>
      <c r="K1116" s="97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inlineStr">
        <is>
          <t>Nao</t>
        </is>
      </c>
      <c r="W1116" s="110" t="inlineStr">
        <is>
          <t>PC em analise</t>
        </is>
      </c>
      <c r="X1116" s="110" t="inlineStr">
        <is>
          <t>Pedido de Compra</t>
        </is>
      </c>
      <c r="Y1116" s="111" t="inlineStr">
        <is>
          <t>Impacto Potencial</t>
        </is>
      </c>
      <c r="Z1116" s="111" t="inlineStr">
        <is>
          <t>PC</t>
        </is>
      </c>
      <c r="AA1116" s="111" t="inlineStr">
        <is>
          <t>Nao</t>
        </is>
      </c>
      <c r="AB1116" s="111" t="inlineStr">
        <is>
          <t>NAO_COMPUTADO</t>
        </is>
      </c>
      <c r="AC1116" s="112" t="inlineStr">
        <is>
          <t>Estrutura Fase 1: sem impacto no VTA oficial</t>
        </is>
      </c>
    </row>
    <row r="1117" ht="25.5" customHeight="1" s="289">
      <c r="A1117" s="205" t="n"/>
      <c r="B1117" s="207" t="n"/>
      <c r="C1117" s="104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348" t="n"/>
      <c r="E1117" s="349">
        <f>IF(C1117="","",IFERROR(VLOOKUP(C1117,parametros!$A$11:$E$15,5,0),""))</f>
        <v/>
      </c>
      <c r="F1117" s="335">
        <f>IF(OR(D1117="",E1117=""),"",ROUND(D1117*E1117,2))</f>
        <v/>
      </c>
      <c r="G1117" s="106" t="n"/>
      <c r="H1117" s="350">
        <f>IF(G1117="Sim",IF(OR(F1117="",D1117="",L1117=""),"",IF(L1117="Sim",ROUND(F1117-D1117,2),0)),0)</f>
        <v/>
      </c>
      <c r="I1117" s="350">
        <f>IF(G1117="Sim",0,IF(OR(F1117="",L1117=""),"",F1117))</f>
        <v/>
      </c>
      <c r="J1117" s="350">
        <f>IF(G1117="Sim",0,IF(OR(F1117="",D1117="",L1117=""),"",IF(L1117="Sim",ROUND(F1117-D1117,2),0)))</f>
        <v/>
      </c>
      <c r="K1117" s="97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inlineStr">
        <is>
          <t>Nao</t>
        </is>
      </c>
      <c r="W1117" s="110" t="inlineStr">
        <is>
          <t>PC em analise</t>
        </is>
      </c>
      <c r="X1117" s="110" t="inlineStr">
        <is>
          <t>Pedido de Compra</t>
        </is>
      </c>
      <c r="Y1117" s="111" t="inlineStr">
        <is>
          <t>Impacto Potencial</t>
        </is>
      </c>
      <c r="Z1117" s="111" t="inlineStr">
        <is>
          <t>PC</t>
        </is>
      </c>
      <c r="AA1117" s="111" t="inlineStr">
        <is>
          <t>Nao</t>
        </is>
      </c>
      <c r="AB1117" s="111" t="inlineStr">
        <is>
          <t>NAO_COMPUTADO</t>
        </is>
      </c>
      <c r="AC1117" s="112" t="inlineStr">
        <is>
          <t>Estrutura Fase 1: sem impacto no VTA oficial</t>
        </is>
      </c>
    </row>
    <row r="1118" ht="25.5" customHeight="1" s="289">
      <c r="A1118" s="205" t="n"/>
      <c r="B1118" s="207" t="n"/>
      <c r="C1118" s="104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348" t="n"/>
      <c r="E1118" s="349">
        <f>IF(C1118="","",IFERROR(VLOOKUP(C1118,parametros!$A$11:$E$15,5,0),""))</f>
        <v/>
      </c>
      <c r="F1118" s="335">
        <f>IF(OR(D1118="",E1118=""),"",ROUND(D1118*E1118,2))</f>
        <v/>
      </c>
      <c r="G1118" s="106" t="n"/>
      <c r="H1118" s="350">
        <f>IF(G1118="Sim",IF(OR(F1118="",D1118="",L1118=""),"",IF(L1118="Sim",ROUND(F1118-D1118,2),0)),0)</f>
        <v/>
      </c>
      <c r="I1118" s="350">
        <f>IF(G1118="Sim",0,IF(OR(F1118="",L1118=""),"",F1118))</f>
        <v/>
      </c>
      <c r="J1118" s="350">
        <f>IF(G1118="Sim",0,IF(OR(F1118="",D1118="",L1118=""),"",IF(L1118="Sim",ROUND(F1118-D1118,2),0)))</f>
        <v/>
      </c>
      <c r="K1118" s="97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inlineStr">
        <is>
          <t>Nao</t>
        </is>
      </c>
      <c r="W1118" s="110" t="inlineStr">
        <is>
          <t>PC em analise</t>
        </is>
      </c>
      <c r="X1118" s="110" t="inlineStr">
        <is>
          <t>Pedido de Compra</t>
        </is>
      </c>
      <c r="Y1118" s="111" t="inlineStr">
        <is>
          <t>Impacto Potencial</t>
        </is>
      </c>
      <c r="Z1118" s="111" t="inlineStr">
        <is>
          <t>PC</t>
        </is>
      </c>
      <c r="AA1118" s="111" t="inlineStr">
        <is>
          <t>Nao</t>
        </is>
      </c>
      <c r="AB1118" s="111" t="inlineStr">
        <is>
          <t>NAO_COMPUTADO</t>
        </is>
      </c>
      <c r="AC1118" s="112" t="inlineStr">
        <is>
          <t>Estrutura Fase 1: sem impacto no VTA oficial</t>
        </is>
      </c>
    </row>
    <row r="1119" ht="25.5" customHeight="1" s="289">
      <c r="A1119" s="205" t="n"/>
      <c r="B1119" s="207" t="n"/>
      <c r="C1119" s="104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348" t="n"/>
      <c r="E1119" s="349">
        <f>IF(C1119="","",IFERROR(VLOOKUP(C1119,parametros!$A$11:$E$15,5,0),""))</f>
        <v/>
      </c>
      <c r="F1119" s="335">
        <f>IF(OR(D1119="",E1119=""),"",ROUND(D1119*E1119,2))</f>
        <v/>
      </c>
      <c r="G1119" s="106" t="n"/>
      <c r="H1119" s="350">
        <f>IF(G1119="Sim",IF(OR(F1119="",D1119="",L1119=""),"",IF(L1119="Sim",ROUND(F1119-D1119,2),0)),0)</f>
        <v/>
      </c>
      <c r="I1119" s="350">
        <f>IF(G1119="Sim",0,IF(OR(F1119="",L1119=""),"",F1119))</f>
        <v/>
      </c>
      <c r="J1119" s="350">
        <f>IF(G1119="Sim",0,IF(OR(F1119="",D1119="",L1119=""),"",IF(L1119="Sim",ROUND(F1119-D1119,2),0)))</f>
        <v/>
      </c>
      <c r="K1119" s="97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inlineStr">
        <is>
          <t>Nao</t>
        </is>
      </c>
      <c r="W1119" s="110" t="inlineStr">
        <is>
          <t>PC em analise</t>
        </is>
      </c>
      <c r="X1119" s="110" t="inlineStr">
        <is>
          <t>Pedido de Compra</t>
        </is>
      </c>
      <c r="Y1119" s="111" t="inlineStr">
        <is>
          <t>Impacto Potencial</t>
        </is>
      </c>
      <c r="Z1119" s="111" t="inlineStr">
        <is>
          <t>PC</t>
        </is>
      </c>
      <c r="AA1119" s="111" t="inlineStr">
        <is>
          <t>Nao</t>
        </is>
      </c>
      <c r="AB1119" s="111" t="inlineStr">
        <is>
          <t>NAO_COMPUTADO</t>
        </is>
      </c>
      <c r="AC1119" s="112" t="inlineStr">
        <is>
          <t>Estrutura Fase 1: sem impacto no VTA oficial</t>
        </is>
      </c>
    </row>
    <row r="1120" ht="25.5" customHeight="1" s="289">
      <c r="A1120" s="205" t="n"/>
      <c r="B1120" s="207" t="n"/>
      <c r="C1120" s="104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348" t="n"/>
      <c r="E1120" s="349">
        <f>IF(C1120="","",IFERROR(VLOOKUP(C1120,parametros!$A$11:$E$15,5,0),""))</f>
        <v/>
      </c>
      <c r="F1120" s="335">
        <f>IF(OR(D1120="",E1120=""),"",ROUND(D1120*E1120,2))</f>
        <v/>
      </c>
      <c r="G1120" s="106" t="n"/>
      <c r="H1120" s="350">
        <f>IF(G1120="Sim",IF(OR(F1120="",D1120="",L1120=""),"",IF(L1120="Sim",ROUND(F1120-D1120,2),0)),0)</f>
        <v/>
      </c>
      <c r="I1120" s="350">
        <f>IF(G1120="Sim",0,IF(OR(F1120="",L1120=""),"",F1120))</f>
        <v/>
      </c>
      <c r="J1120" s="350">
        <f>IF(G1120="Sim",0,IF(OR(F1120="",D1120="",L1120=""),"",IF(L1120="Sim",ROUND(F1120-D1120,2),0)))</f>
        <v/>
      </c>
      <c r="K1120" s="97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inlineStr">
        <is>
          <t>Nao</t>
        </is>
      </c>
      <c r="W1120" s="110" t="inlineStr">
        <is>
          <t>PC em analise</t>
        </is>
      </c>
      <c r="X1120" s="110" t="inlineStr">
        <is>
          <t>Pedido de Compra</t>
        </is>
      </c>
      <c r="Y1120" s="111" t="inlineStr">
        <is>
          <t>Impacto Potencial</t>
        </is>
      </c>
      <c r="Z1120" s="111" t="inlineStr">
        <is>
          <t>PC</t>
        </is>
      </c>
      <c r="AA1120" s="111" t="inlineStr">
        <is>
          <t>Nao</t>
        </is>
      </c>
      <c r="AB1120" s="111" t="inlineStr">
        <is>
          <t>NAO_COMPUTADO</t>
        </is>
      </c>
      <c r="AC1120" s="112" t="inlineStr">
        <is>
          <t>Estrutura Fase 1: sem impacto no VTA oficial</t>
        </is>
      </c>
    </row>
    <row r="1121" ht="25.5" customHeight="1" s="289">
      <c r="A1121" s="205" t="n"/>
      <c r="B1121" s="207" t="n"/>
      <c r="C1121" s="104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348" t="n"/>
      <c r="E1121" s="349">
        <f>IF(C1121="","",IFERROR(VLOOKUP(C1121,parametros!$A$11:$E$15,5,0),""))</f>
        <v/>
      </c>
      <c r="F1121" s="335">
        <f>IF(OR(D1121="",E1121=""),"",ROUND(D1121*E1121,2))</f>
        <v/>
      </c>
      <c r="G1121" s="106" t="n"/>
      <c r="H1121" s="350">
        <f>IF(G1121="Sim",IF(OR(F1121="",D1121="",L1121=""),"",IF(L1121="Sim",ROUND(F1121-D1121,2),0)),0)</f>
        <v/>
      </c>
      <c r="I1121" s="350">
        <f>IF(G1121="Sim",0,IF(OR(F1121="",L1121=""),"",F1121))</f>
        <v/>
      </c>
      <c r="J1121" s="350">
        <f>IF(G1121="Sim",0,IF(OR(F1121="",D1121="",L1121=""),"",IF(L1121="Sim",ROUND(F1121-D1121,2),0)))</f>
        <v/>
      </c>
      <c r="K1121" s="97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inlineStr">
        <is>
          <t>Nao</t>
        </is>
      </c>
      <c r="W1121" s="110" t="inlineStr">
        <is>
          <t>PC em analise</t>
        </is>
      </c>
      <c r="X1121" s="110" t="inlineStr">
        <is>
          <t>Pedido de Compra</t>
        </is>
      </c>
      <c r="Y1121" s="111" t="inlineStr">
        <is>
          <t>Impacto Potencial</t>
        </is>
      </c>
      <c r="Z1121" s="111" t="inlineStr">
        <is>
          <t>PC</t>
        </is>
      </c>
      <c r="AA1121" s="111" t="inlineStr">
        <is>
          <t>Nao</t>
        </is>
      </c>
      <c r="AB1121" s="111" t="inlineStr">
        <is>
          <t>NAO_COMPUTADO</t>
        </is>
      </c>
      <c r="AC1121" s="112" t="inlineStr">
        <is>
          <t>Estrutura Fase 1: sem impacto no VTA oficial</t>
        </is>
      </c>
    </row>
    <row r="1122" ht="25.5" customHeight="1" s="289">
      <c r="A1122" s="205" t="n"/>
      <c r="B1122" s="207" t="n"/>
      <c r="C1122" s="104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348" t="n"/>
      <c r="E1122" s="349">
        <f>IF(C1122="","",IFERROR(VLOOKUP(C1122,parametros!$A$11:$E$15,5,0),""))</f>
        <v/>
      </c>
      <c r="F1122" s="335">
        <f>IF(OR(D1122="",E1122=""),"",ROUND(D1122*E1122,2))</f>
        <v/>
      </c>
      <c r="G1122" s="106" t="n"/>
      <c r="H1122" s="350">
        <f>IF(G1122="Sim",IF(OR(F1122="",D1122="",L1122=""),"",IF(L1122="Sim",ROUND(F1122-D1122,2),0)),0)</f>
        <v/>
      </c>
      <c r="I1122" s="350">
        <f>IF(G1122="Sim",0,IF(OR(F1122="",L1122=""),"",F1122))</f>
        <v/>
      </c>
      <c r="J1122" s="350">
        <f>IF(G1122="Sim",0,IF(OR(F1122="",D1122="",L1122=""),"",IF(L1122="Sim",ROUND(F1122-D1122,2),0)))</f>
        <v/>
      </c>
      <c r="K1122" s="97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inlineStr">
        <is>
          <t>Nao</t>
        </is>
      </c>
      <c r="W1122" s="110" t="inlineStr">
        <is>
          <t>PC em analise</t>
        </is>
      </c>
      <c r="X1122" s="110" t="inlineStr">
        <is>
          <t>Pedido de Compra</t>
        </is>
      </c>
      <c r="Y1122" s="111" t="inlineStr">
        <is>
          <t>Impacto Potencial</t>
        </is>
      </c>
      <c r="Z1122" s="111" t="inlineStr">
        <is>
          <t>PC</t>
        </is>
      </c>
      <c r="AA1122" s="111" t="inlineStr">
        <is>
          <t>Nao</t>
        </is>
      </c>
      <c r="AB1122" s="111" t="inlineStr">
        <is>
          <t>NAO_COMPUTADO</t>
        </is>
      </c>
      <c r="AC1122" s="112" t="inlineStr">
        <is>
          <t>Estrutura Fase 1: sem impacto no VTA oficial</t>
        </is>
      </c>
    </row>
    <row r="1123" ht="25.5" customHeight="1" s="289">
      <c r="A1123" s="205" t="n"/>
      <c r="B1123" s="207" t="n"/>
      <c r="C1123" s="104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348" t="n"/>
      <c r="E1123" s="349">
        <f>IF(C1123="","",IFERROR(VLOOKUP(C1123,parametros!$A$11:$E$15,5,0),""))</f>
        <v/>
      </c>
      <c r="F1123" s="335">
        <f>IF(OR(D1123="",E1123=""),"",ROUND(D1123*E1123,2))</f>
        <v/>
      </c>
      <c r="G1123" s="106" t="n"/>
      <c r="H1123" s="350">
        <f>IF(G1123="Sim",IF(OR(F1123="",D1123="",L1123=""),"",IF(L1123="Sim",ROUND(F1123-D1123,2),0)),0)</f>
        <v/>
      </c>
      <c r="I1123" s="350">
        <f>IF(G1123="Sim",0,IF(OR(F1123="",L1123=""),"",F1123))</f>
        <v/>
      </c>
      <c r="J1123" s="350">
        <f>IF(G1123="Sim",0,IF(OR(F1123="",D1123="",L1123=""),"",IF(L1123="Sim",ROUND(F1123-D1123,2),0)))</f>
        <v/>
      </c>
      <c r="K1123" s="97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inlineStr">
        <is>
          <t>Nao</t>
        </is>
      </c>
      <c r="W1123" s="110" t="inlineStr">
        <is>
          <t>PC em analise</t>
        </is>
      </c>
      <c r="X1123" s="110" t="inlineStr">
        <is>
          <t>Pedido de Compra</t>
        </is>
      </c>
      <c r="Y1123" s="111" t="inlineStr">
        <is>
          <t>Impacto Potencial</t>
        </is>
      </c>
      <c r="Z1123" s="111" t="inlineStr">
        <is>
          <t>PC</t>
        </is>
      </c>
      <c r="AA1123" s="111" t="inlineStr">
        <is>
          <t>Nao</t>
        </is>
      </c>
      <c r="AB1123" s="111" t="inlineStr">
        <is>
          <t>NAO_COMPUTADO</t>
        </is>
      </c>
      <c r="AC1123" s="112" t="inlineStr">
        <is>
          <t>Estrutura Fase 1: sem impacto no VTA oficial</t>
        </is>
      </c>
    </row>
    <row r="1124" ht="25.5" customHeight="1" s="289">
      <c r="A1124" s="205" t="n"/>
      <c r="B1124" s="207" t="n"/>
      <c r="C1124" s="104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348" t="n"/>
      <c r="E1124" s="349">
        <f>IF(C1124="","",IFERROR(VLOOKUP(C1124,parametros!$A$11:$E$15,5,0),""))</f>
        <v/>
      </c>
      <c r="F1124" s="335">
        <f>IF(OR(D1124="",E1124=""),"",ROUND(D1124*E1124,2))</f>
        <v/>
      </c>
      <c r="G1124" s="106" t="n"/>
      <c r="H1124" s="350">
        <f>IF(G1124="Sim",IF(OR(F1124="",D1124="",L1124=""),"",IF(L1124="Sim",ROUND(F1124-D1124,2),0)),0)</f>
        <v/>
      </c>
      <c r="I1124" s="350">
        <f>IF(G1124="Sim",0,IF(OR(F1124="",L1124=""),"",F1124))</f>
        <v/>
      </c>
      <c r="J1124" s="350">
        <f>IF(G1124="Sim",0,IF(OR(F1124="",D1124="",L1124=""),"",IF(L1124="Sim",ROUND(F1124-D1124,2),0)))</f>
        <v/>
      </c>
      <c r="K1124" s="97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inlineStr">
        <is>
          <t>Nao</t>
        </is>
      </c>
      <c r="W1124" s="110" t="inlineStr">
        <is>
          <t>PC em analise</t>
        </is>
      </c>
      <c r="X1124" s="110" t="inlineStr">
        <is>
          <t>Pedido de Compra</t>
        </is>
      </c>
      <c r="Y1124" s="111" t="inlineStr">
        <is>
          <t>Impacto Potencial</t>
        </is>
      </c>
      <c r="Z1124" s="111" t="inlineStr">
        <is>
          <t>PC</t>
        </is>
      </c>
      <c r="AA1124" s="111" t="inlineStr">
        <is>
          <t>Nao</t>
        </is>
      </c>
      <c r="AB1124" s="111" t="inlineStr">
        <is>
          <t>NAO_COMPUTADO</t>
        </is>
      </c>
      <c r="AC1124" s="112" t="inlineStr">
        <is>
          <t>Estrutura Fase 1: sem impacto no VTA oficial</t>
        </is>
      </c>
    </row>
    <row r="1125" ht="25.5" customHeight="1" s="289">
      <c r="A1125" s="205" t="n"/>
      <c r="B1125" s="207" t="n"/>
      <c r="C1125" s="104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348" t="n"/>
      <c r="E1125" s="349">
        <f>IF(C1125="","",IFERROR(VLOOKUP(C1125,parametros!$A$11:$E$15,5,0),""))</f>
        <v/>
      </c>
      <c r="F1125" s="335">
        <f>IF(OR(D1125="",E1125=""),"",ROUND(D1125*E1125,2))</f>
        <v/>
      </c>
      <c r="G1125" s="106" t="n"/>
      <c r="H1125" s="350">
        <f>IF(G1125="Sim",IF(OR(F1125="",D1125="",L1125=""),"",IF(L1125="Sim",ROUND(F1125-D1125,2),0)),0)</f>
        <v/>
      </c>
      <c r="I1125" s="350">
        <f>IF(G1125="Sim",0,IF(OR(F1125="",L1125=""),"",F1125))</f>
        <v/>
      </c>
      <c r="J1125" s="350">
        <f>IF(G1125="Sim",0,IF(OR(F1125="",D1125="",L1125=""),"",IF(L1125="Sim",ROUND(F1125-D1125,2),0)))</f>
        <v/>
      </c>
      <c r="K1125" s="97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inlineStr">
        <is>
          <t>Nao</t>
        </is>
      </c>
      <c r="W1125" s="110" t="inlineStr">
        <is>
          <t>PC em analise</t>
        </is>
      </c>
      <c r="X1125" s="110" t="inlineStr">
        <is>
          <t>Pedido de Compra</t>
        </is>
      </c>
      <c r="Y1125" s="111" t="inlineStr">
        <is>
          <t>Impacto Potencial</t>
        </is>
      </c>
      <c r="Z1125" s="111" t="inlineStr">
        <is>
          <t>PC</t>
        </is>
      </c>
      <c r="AA1125" s="111" t="inlineStr">
        <is>
          <t>Nao</t>
        </is>
      </c>
      <c r="AB1125" s="111" t="inlineStr">
        <is>
          <t>NAO_COMPUTADO</t>
        </is>
      </c>
      <c r="AC1125" s="112" t="inlineStr">
        <is>
          <t>Estrutura Fase 1: sem impacto no VTA oficial</t>
        </is>
      </c>
    </row>
    <row r="1126" ht="25.5" customHeight="1" s="289">
      <c r="A1126" s="205" t="n"/>
      <c r="B1126" s="207" t="n"/>
      <c r="C1126" s="104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348" t="n"/>
      <c r="E1126" s="349">
        <f>IF(C1126="","",IFERROR(VLOOKUP(C1126,parametros!$A$11:$E$15,5,0),""))</f>
        <v/>
      </c>
      <c r="F1126" s="335">
        <f>IF(OR(D1126="",E1126=""),"",ROUND(D1126*E1126,2))</f>
        <v/>
      </c>
      <c r="G1126" s="106" t="n"/>
      <c r="H1126" s="350">
        <f>IF(G1126="Sim",IF(OR(F1126="",D1126="",L1126=""),"",IF(L1126="Sim",ROUND(F1126-D1126,2),0)),0)</f>
        <v/>
      </c>
      <c r="I1126" s="350">
        <f>IF(G1126="Sim",0,IF(OR(F1126="",L1126=""),"",F1126))</f>
        <v/>
      </c>
      <c r="J1126" s="350">
        <f>IF(G1126="Sim",0,IF(OR(F1126="",D1126="",L1126=""),"",IF(L1126="Sim",ROUND(F1126-D1126,2),0)))</f>
        <v/>
      </c>
      <c r="K1126" s="97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inlineStr">
        <is>
          <t>Nao</t>
        </is>
      </c>
      <c r="W1126" s="110" t="inlineStr">
        <is>
          <t>PC em analise</t>
        </is>
      </c>
      <c r="X1126" s="110" t="inlineStr">
        <is>
          <t>Pedido de Compra</t>
        </is>
      </c>
      <c r="Y1126" s="111" t="inlineStr">
        <is>
          <t>Impacto Potencial</t>
        </is>
      </c>
      <c r="Z1126" s="111" t="inlineStr">
        <is>
          <t>PC</t>
        </is>
      </c>
      <c r="AA1126" s="111" t="inlineStr">
        <is>
          <t>Nao</t>
        </is>
      </c>
      <c r="AB1126" s="111" t="inlineStr">
        <is>
          <t>NAO_COMPUTADO</t>
        </is>
      </c>
      <c r="AC1126" s="112" t="inlineStr">
        <is>
          <t>Estrutura Fase 1: sem impacto no VTA oficial</t>
        </is>
      </c>
    </row>
    <row r="1127" ht="25.5" customHeight="1" s="289">
      <c r="A1127" s="205" t="n"/>
      <c r="B1127" s="207" t="n"/>
      <c r="C1127" s="104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348" t="n"/>
      <c r="E1127" s="349">
        <f>IF(C1127="","",IFERROR(VLOOKUP(C1127,parametros!$A$11:$E$15,5,0),""))</f>
        <v/>
      </c>
      <c r="F1127" s="335">
        <f>IF(OR(D1127="",E1127=""),"",ROUND(D1127*E1127,2))</f>
        <v/>
      </c>
      <c r="G1127" s="106" t="n"/>
      <c r="H1127" s="350">
        <f>IF(G1127="Sim",IF(OR(F1127="",D1127="",L1127=""),"",IF(L1127="Sim",ROUND(F1127-D1127,2),0)),0)</f>
        <v/>
      </c>
      <c r="I1127" s="350">
        <f>IF(G1127="Sim",0,IF(OR(F1127="",L1127=""),"",F1127))</f>
        <v/>
      </c>
      <c r="J1127" s="350">
        <f>IF(G1127="Sim",0,IF(OR(F1127="",D1127="",L1127=""),"",IF(L1127="Sim",ROUND(F1127-D1127,2),0)))</f>
        <v/>
      </c>
      <c r="K1127" s="97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inlineStr">
        <is>
          <t>Nao</t>
        </is>
      </c>
      <c r="W1127" s="110" t="inlineStr">
        <is>
          <t>PC em analise</t>
        </is>
      </c>
      <c r="X1127" s="110" t="inlineStr">
        <is>
          <t>Pedido de Compra</t>
        </is>
      </c>
      <c r="Y1127" s="111" t="inlineStr">
        <is>
          <t>Impacto Potencial</t>
        </is>
      </c>
      <c r="Z1127" s="111" t="inlineStr">
        <is>
          <t>PC</t>
        </is>
      </c>
      <c r="AA1127" s="111" t="inlineStr">
        <is>
          <t>Nao</t>
        </is>
      </c>
      <c r="AB1127" s="111" t="inlineStr">
        <is>
          <t>NAO_COMPUTADO</t>
        </is>
      </c>
      <c r="AC1127" s="112" t="inlineStr">
        <is>
          <t>Estrutura Fase 1: sem impacto no VTA oficial</t>
        </is>
      </c>
    </row>
    <row r="1128" ht="25.5" customHeight="1" s="289">
      <c r="A1128" s="205" t="n"/>
      <c r="B1128" s="207" t="n"/>
      <c r="C1128" s="104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348" t="n"/>
      <c r="E1128" s="349">
        <f>IF(C1128="","",IFERROR(VLOOKUP(C1128,parametros!$A$11:$E$15,5,0),""))</f>
        <v/>
      </c>
      <c r="F1128" s="335">
        <f>IF(OR(D1128="",E1128=""),"",ROUND(D1128*E1128,2))</f>
        <v/>
      </c>
      <c r="G1128" s="106" t="n"/>
      <c r="H1128" s="350">
        <f>IF(G1128="Sim",IF(OR(F1128="",D1128="",L1128=""),"",IF(L1128="Sim",ROUND(F1128-D1128,2),0)),0)</f>
        <v/>
      </c>
      <c r="I1128" s="350">
        <f>IF(G1128="Sim",0,IF(OR(F1128="",L1128=""),"",F1128))</f>
        <v/>
      </c>
      <c r="J1128" s="350">
        <f>IF(G1128="Sim",0,IF(OR(F1128="",D1128="",L1128=""),"",IF(L1128="Sim",ROUND(F1128-D1128,2),0)))</f>
        <v/>
      </c>
      <c r="K1128" s="97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inlineStr">
        <is>
          <t>Nao</t>
        </is>
      </c>
      <c r="W1128" s="110" t="inlineStr">
        <is>
          <t>PC em analise</t>
        </is>
      </c>
      <c r="X1128" s="110" t="inlineStr">
        <is>
          <t>Pedido de Compra</t>
        </is>
      </c>
      <c r="Y1128" s="111" t="inlineStr">
        <is>
          <t>Impacto Potencial</t>
        </is>
      </c>
      <c r="Z1128" s="111" t="inlineStr">
        <is>
          <t>PC</t>
        </is>
      </c>
      <c r="AA1128" s="111" t="inlineStr">
        <is>
          <t>Nao</t>
        </is>
      </c>
      <c r="AB1128" s="111" t="inlineStr">
        <is>
          <t>NAO_COMPUTADO</t>
        </is>
      </c>
      <c r="AC1128" s="112" t="inlineStr">
        <is>
          <t>Estrutura Fase 1: sem impacto no VTA oficial</t>
        </is>
      </c>
    </row>
    <row r="1129" ht="25.5" customHeight="1" s="289">
      <c r="A1129" s="205" t="n"/>
      <c r="B1129" s="207" t="n"/>
      <c r="C1129" s="104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348" t="n"/>
      <c r="E1129" s="349">
        <f>IF(C1129="","",IFERROR(VLOOKUP(C1129,parametros!$A$11:$E$15,5,0),""))</f>
        <v/>
      </c>
      <c r="F1129" s="335">
        <f>IF(OR(D1129="",E1129=""),"",ROUND(D1129*E1129,2))</f>
        <v/>
      </c>
      <c r="G1129" s="106" t="n"/>
      <c r="H1129" s="350">
        <f>IF(G1129="Sim",IF(OR(F1129="",D1129="",L1129=""),"",IF(L1129="Sim",ROUND(F1129-D1129,2),0)),0)</f>
        <v/>
      </c>
      <c r="I1129" s="350">
        <f>IF(G1129="Sim",0,IF(OR(F1129="",L1129=""),"",F1129))</f>
        <v/>
      </c>
      <c r="J1129" s="350">
        <f>IF(G1129="Sim",0,IF(OR(F1129="",D1129="",L1129=""),"",IF(L1129="Sim",ROUND(F1129-D1129,2),0)))</f>
        <v/>
      </c>
      <c r="K1129" s="97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inlineStr">
        <is>
          <t>Nao</t>
        </is>
      </c>
      <c r="W1129" s="110" t="inlineStr">
        <is>
          <t>PC em analise</t>
        </is>
      </c>
      <c r="X1129" s="110" t="inlineStr">
        <is>
          <t>Pedido de Compra</t>
        </is>
      </c>
      <c r="Y1129" s="111" t="inlineStr">
        <is>
          <t>Impacto Potencial</t>
        </is>
      </c>
      <c r="Z1129" s="111" t="inlineStr">
        <is>
          <t>PC</t>
        </is>
      </c>
      <c r="AA1129" s="111" t="inlineStr">
        <is>
          <t>Nao</t>
        </is>
      </c>
      <c r="AB1129" s="111" t="inlineStr">
        <is>
          <t>NAO_COMPUTADO</t>
        </is>
      </c>
      <c r="AC1129" s="112" t="inlineStr">
        <is>
          <t>Estrutura Fase 1: sem impacto no VTA oficial</t>
        </is>
      </c>
    </row>
    <row r="1130" ht="25.5" customHeight="1" s="289">
      <c r="A1130" s="205" t="n"/>
      <c r="B1130" s="207" t="n"/>
      <c r="C1130" s="104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348" t="n"/>
      <c r="E1130" s="349">
        <f>IF(C1130="","",IFERROR(VLOOKUP(C1130,parametros!$A$11:$E$15,5,0),""))</f>
        <v/>
      </c>
      <c r="F1130" s="335">
        <f>IF(OR(D1130="",E1130=""),"",ROUND(D1130*E1130,2))</f>
        <v/>
      </c>
      <c r="G1130" s="106" t="n"/>
      <c r="H1130" s="350">
        <f>IF(G1130="Sim",IF(OR(F1130="",D1130="",L1130=""),"",IF(L1130="Sim",ROUND(F1130-D1130,2),0)),0)</f>
        <v/>
      </c>
      <c r="I1130" s="350">
        <f>IF(G1130="Sim",0,IF(OR(F1130="",L1130=""),"",F1130))</f>
        <v/>
      </c>
      <c r="J1130" s="350">
        <f>IF(G1130="Sim",0,IF(OR(F1130="",D1130="",L1130=""),"",IF(L1130="Sim",ROUND(F1130-D1130,2),0)))</f>
        <v/>
      </c>
      <c r="K1130" s="97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inlineStr">
        <is>
          <t>Nao</t>
        </is>
      </c>
      <c r="W1130" s="110" t="inlineStr">
        <is>
          <t>PC em analise</t>
        </is>
      </c>
      <c r="X1130" s="110" t="inlineStr">
        <is>
          <t>Pedido de Compra</t>
        </is>
      </c>
      <c r="Y1130" s="111" t="inlineStr">
        <is>
          <t>Impacto Potencial</t>
        </is>
      </c>
      <c r="Z1130" s="111" t="inlineStr">
        <is>
          <t>PC</t>
        </is>
      </c>
      <c r="AA1130" s="111" t="inlineStr">
        <is>
          <t>Nao</t>
        </is>
      </c>
      <c r="AB1130" s="111" t="inlineStr">
        <is>
          <t>NAO_COMPUTADO</t>
        </is>
      </c>
      <c r="AC1130" s="112" t="inlineStr">
        <is>
          <t>Estrutura Fase 1: sem impacto no VTA oficial</t>
        </is>
      </c>
    </row>
    <row r="1131" ht="25.5" customHeight="1" s="289">
      <c r="A1131" s="205" t="n"/>
      <c r="B1131" s="207" t="n"/>
      <c r="C1131" s="104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348" t="n"/>
      <c r="E1131" s="349">
        <f>IF(C1131="","",IFERROR(VLOOKUP(C1131,parametros!$A$11:$E$15,5,0),""))</f>
        <v/>
      </c>
      <c r="F1131" s="335">
        <f>IF(OR(D1131="",E1131=""),"",ROUND(D1131*E1131,2))</f>
        <v/>
      </c>
      <c r="G1131" s="106" t="n"/>
      <c r="H1131" s="350">
        <f>IF(G1131="Sim",IF(OR(F1131="",D1131="",L1131=""),"",IF(L1131="Sim",ROUND(F1131-D1131,2),0)),0)</f>
        <v/>
      </c>
      <c r="I1131" s="350">
        <f>IF(G1131="Sim",0,IF(OR(F1131="",L1131=""),"",F1131))</f>
        <v/>
      </c>
      <c r="J1131" s="350">
        <f>IF(G1131="Sim",0,IF(OR(F1131="",D1131="",L1131=""),"",IF(L1131="Sim",ROUND(F1131-D1131,2),0)))</f>
        <v/>
      </c>
      <c r="K1131" s="97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inlineStr">
        <is>
          <t>Nao</t>
        </is>
      </c>
      <c r="W1131" s="110" t="inlineStr">
        <is>
          <t>PC em analise</t>
        </is>
      </c>
      <c r="X1131" s="110" t="inlineStr">
        <is>
          <t>Pedido de Compra</t>
        </is>
      </c>
      <c r="Y1131" s="111" t="inlineStr">
        <is>
          <t>Impacto Potencial</t>
        </is>
      </c>
      <c r="Z1131" s="111" t="inlineStr">
        <is>
          <t>PC</t>
        </is>
      </c>
      <c r="AA1131" s="111" t="inlineStr">
        <is>
          <t>Nao</t>
        </is>
      </c>
      <c r="AB1131" s="111" t="inlineStr">
        <is>
          <t>NAO_COMPUTADO</t>
        </is>
      </c>
      <c r="AC1131" s="112" t="inlineStr">
        <is>
          <t>Estrutura Fase 1: sem impacto no VTA oficial</t>
        </is>
      </c>
    </row>
    <row r="1132" ht="25.5" customHeight="1" s="289">
      <c r="A1132" s="205" t="n"/>
      <c r="B1132" s="207" t="n"/>
      <c r="C1132" s="104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348" t="n"/>
      <c r="E1132" s="349">
        <f>IF(C1132="","",IFERROR(VLOOKUP(C1132,parametros!$A$11:$E$15,5,0),""))</f>
        <v/>
      </c>
      <c r="F1132" s="335">
        <f>IF(OR(D1132="",E1132=""),"",ROUND(D1132*E1132,2))</f>
        <v/>
      </c>
      <c r="G1132" s="106" t="n"/>
      <c r="H1132" s="350">
        <f>IF(G1132="Sim",IF(OR(F1132="",D1132="",L1132=""),"",IF(L1132="Sim",ROUND(F1132-D1132,2),0)),0)</f>
        <v/>
      </c>
      <c r="I1132" s="350">
        <f>IF(G1132="Sim",0,IF(OR(F1132="",L1132=""),"",F1132))</f>
        <v/>
      </c>
      <c r="J1132" s="350">
        <f>IF(G1132="Sim",0,IF(OR(F1132="",D1132="",L1132=""),"",IF(L1132="Sim",ROUND(F1132-D1132,2),0)))</f>
        <v/>
      </c>
      <c r="K1132" s="97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inlineStr">
        <is>
          <t>Nao</t>
        </is>
      </c>
      <c r="W1132" s="110" t="inlineStr">
        <is>
          <t>PC em analise</t>
        </is>
      </c>
      <c r="X1132" s="110" t="inlineStr">
        <is>
          <t>Pedido de Compra</t>
        </is>
      </c>
      <c r="Y1132" s="111" t="inlineStr">
        <is>
          <t>Impacto Potencial</t>
        </is>
      </c>
      <c r="Z1132" s="111" t="inlineStr">
        <is>
          <t>PC</t>
        </is>
      </c>
      <c r="AA1132" s="111" t="inlineStr">
        <is>
          <t>Nao</t>
        </is>
      </c>
      <c r="AB1132" s="111" t="inlineStr">
        <is>
          <t>NAO_COMPUTADO</t>
        </is>
      </c>
      <c r="AC1132" s="112" t="inlineStr">
        <is>
          <t>Estrutura Fase 1: sem impacto no VTA oficial</t>
        </is>
      </c>
    </row>
    <row r="1133" ht="25.5" customHeight="1" s="289">
      <c r="A1133" s="205" t="n"/>
      <c r="B1133" s="207" t="n"/>
      <c r="C1133" s="104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348" t="n"/>
      <c r="E1133" s="349">
        <f>IF(C1133="","",IFERROR(VLOOKUP(C1133,parametros!$A$11:$E$15,5,0),""))</f>
        <v/>
      </c>
      <c r="F1133" s="335">
        <f>IF(OR(D1133="",E1133=""),"",ROUND(D1133*E1133,2))</f>
        <v/>
      </c>
      <c r="G1133" s="106" t="n"/>
      <c r="H1133" s="350">
        <f>IF(G1133="Sim",IF(OR(F1133="",D1133="",L1133=""),"",IF(L1133="Sim",ROUND(F1133-D1133,2),0)),0)</f>
        <v/>
      </c>
      <c r="I1133" s="350">
        <f>IF(G1133="Sim",0,IF(OR(F1133="",L1133=""),"",F1133))</f>
        <v/>
      </c>
      <c r="J1133" s="350">
        <f>IF(G1133="Sim",0,IF(OR(F1133="",D1133="",L1133=""),"",IF(L1133="Sim",ROUND(F1133-D1133,2),0)))</f>
        <v/>
      </c>
      <c r="K1133" s="97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inlineStr">
        <is>
          <t>Nao</t>
        </is>
      </c>
      <c r="W1133" s="110" t="inlineStr">
        <is>
          <t>PC em analise</t>
        </is>
      </c>
      <c r="X1133" s="110" t="inlineStr">
        <is>
          <t>Pedido de Compra</t>
        </is>
      </c>
      <c r="Y1133" s="111" t="inlineStr">
        <is>
          <t>Impacto Potencial</t>
        </is>
      </c>
      <c r="Z1133" s="111" t="inlineStr">
        <is>
          <t>PC</t>
        </is>
      </c>
      <c r="AA1133" s="111" t="inlineStr">
        <is>
          <t>Nao</t>
        </is>
      </c>
      <c r="AB1133" s="111" t="inlineStr">
        <is>
          <t>NAO_COMPUTADO</t>
        </is>
      </c>
      <c r="AC1133" s="112" t="inlineStr">
        <is>
          <t>Estrutura Fase 1: sem impacto no VTA oficial</t>
        </is>
      </c>
    </row>
    <row r="1134" ht="25.5" customHeight="1" s="289">
      <c r="A1134" s="205" t="n"/>
      <c r="B1134" s="207" t="n"/>
      <c r="C1134" s="104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348" t="n"/>
      <c r="E1134" s="349">
        <f>IF(C1134="","",IFERROR(VLOOKUP(C1134,parametros!$A$11:$E$15,5,0),""))</f>
        <v/>
      </c>
      <c r="F1134" s="335">
        <f>IF(OR(D1134="",E1134=""),"",ROUND(D1134*E1134,2))</f>
        <v/>
      </c>
      <c r="G1134" s="106" t="n"/>
      <c r="H1134" s="350">
        <f>IF(G1134="Sim",IF(OR(F1134="",D1134="",L1134=""),"",IF(L1134="Sim",ROUND(F1134-D1134,2),0)),0)</f>
        <v/>
      </c>
      <c r="I1134" s="350">
        <f>IF(G1134="Sim",0,IF(OR(F1134="",L1134=""),"",F1134))</f>
        <v/>
      </c>
      <c r="J1134" s="350">
        <f>IF(G1134="Sim",0,IF(OR(F1134="",D1134="",L1134=""),"",IF(L1134="Sim",ROUND(F1134-D1134,2),0)))</f>
        <v/>
      </c>
      <c r="K1134" s="97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inlineStr">
        <is>
          <t>Nao</t>
        </is>
      </c>
      <c r="W1134" s="110" t="inlineStr">
        <is>
          <t>PC em analise</t>
        </is>
      </c>
      <c r="X1134" s="110" t="inlineStr">
        <is>
          <t>Pedido de Compra</t>
        </is>
      </c>
      <c r="Y1134" s="111" t="inlineStr">
        <is>
          <t>Impacto Potencial</t>
        </is>
      </c>
      <c r="Z1134" s="111" t="inlineStr">
        <is>
          <t>PC</t>
        </is>
      </c>
      <c r="AA1134" s="111" t="inlineStr">
        <is>
          <t>Nao</t>
        </is>
      </c>
      <c r="AB1134" s="111" t="inlineStr">
        <is>
          <t>NAO_COMPUTADO</t>
        </is>
      </c>
      <c r="AC1134" s="112" t="inlineStr">
        <is>
          <t>Estrutura Fase 1: sem impacto no VTA oficial</t>
        </is>
      </c>
    </row>
    <row r="1135" ht="25.5" customHeight="1" s="289">
      <c r="A1135" s="205" t="n"/>
      <c r="B1135" s="207" t="n"/>
      <c r="C1135" s="104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348" t="n"/>
      <c r="E1135" s="349">
        <f>IF(C1135="","",IFERROR(VLOOKUP(C1135,parametros!$A$11:$E$15,5,0),""))</f>
        <v/>
      </c>
      <c r="F1135" s="335">
        <f>IF(OR(D1135="",E1135=""),"",ROUND(D1135*E1135,2))</f>
        <v/>
      </c>
      <c r="G1135" s="106" t="n"/>
      <c r="H1135" s="350">
        <f>IF(G1135="Sim",IF(OR(F1135="",D1135="",L1135=""),"",IF(L1135="Sim",ROUND(F1135-D1135,2),0)),0)</f>
        <v/>
      </c>
      <c r="I1135" s="350">
        <f>IF(G1135="Sim",0,IF(OR(F1135="",L1135=""),"",F1135))</f>
        <v/>
      </c>
      <c r="J1135" s="350">
        <f>IF(G1135="Sim",0,IF(OR(F1135="",D1135="",L1135=""),"",IF(L1135="Sim",ROUND(F1135-D1135,2),0)))</f>
        <v/>
      </c>
      <c r="K1135" s="97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inlineStr">
        <is>
          <t>Nao</t>
        </is>
      </c>
      <c r="W1135" s="110" t="inlineStr">
        <is>
          <t>PC em analise</t>
        </is>
      </c>
      <c r="X1135" s="110" t="inlineStr">
        <is>
          <t>Pedido de Compra</t>
        </is>
      </c>
      <c r="Y1135" s="111" t="inlineStr">
        <is>
          <t>Impacto Potencial</t>
        </is>
      </c>
      <c r="Z1135" s="111" t="inlineStr">
        <is>
          <t>PC</t>
        </is>
      </c>
      <c r="AA1135" s="111" t="inlineStr">
        <is>
          <t>Nao</t>
        </is>
      </c>
      <c r="AB1135" s="111" t="inlineStr">
        <is>
          <t>NAO_COMPUTADO</t>
        </is>
      </c>
      <c r="AC1135" s="112" t="inlineStr">
        <is>
          <t>Estrutura Fase 1: sem impacto no VTA oficial</t>
        </is>
      </c>
    </row>
    <row r="1136" ht="25.5" customHeight="1" s="289">
      <c r="A1136" s="205" t="n"/>
      <c r="B1136" s="207" t="n"/>
      <c r="C1136" s="104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348" t="n"/>
      <c r="E1136" s="349">
        <f>IF(C1136="","",IFERROR(VLOOKUP(C1136,parametros!$A$11:$E$15,5,0),""))</f>
        <v/>
      </c>
      <c r="F1136" s="335">
        <f>IF(OR(D1136="",E1136=""),"",ROUND(D1136*E1136,2))</f>
        <v/>
      </c>
      <c r="G1136" s="106" t="n"/>
      <c r="H1136" s="350">
        <f>IF(G1136="Sim",IF(OR(F1136="",D1136="",L1136=""),"",IF(L1136="Sim",ROUND(F1136-D1136,2),0)),0)</f>
        <v/>
      </c>
      <c r="I1136" s="350">
        <f>IF(G1136="Sim",0,IF(OR(F1136="",L1136=""),"",F1136))</f>
        <v/>
      </c>
      <c r="J1136" s="350">
        <f>IF(G1136="Sim",0,IF(OR(F1136="",D1136="",L1136=""),"",IF(L1136="Sim",ROUND(F1136-D1136,2),0)))</f>
        <v/>
      </c>
      <c r="K1136" s="97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inlineStr">
        <is>
          <t>Nao</t>
        </is>
      </c>
      <c r="W1136" s="110" t="inlineStr">
        <is>
          <t>PC em analise</t>
        </is>
      </c>
      <c r="X1136" s="110" t="inlineStr">
        <is>
          <t>Pedido de Compra</t>
        </is>
      </c>
      <c r="Y1136" s="111" t="inlineStr">
        <is>
          <t>Impacto Potencial</t>
        </is>
      </c>
      <c r="Z1136" s="111" t="inlineStr">
        <is>
          <t>PC</t>
        </is>
      </c>
      <c r="AA1136" s="111" t="inlineStr">
        <is>
          <t>Nao</t>
        </is>
      </c>
      <c r="AB1136" s="111" t="inlineStr">
        <is>
          <t>NAO_COMPUTADO</t>
        </is>
      </c>
      <c r="AC1136" s="112" t="inlineStr">
        <is>
          <t>Estrutura Fase 1: sem impacto no VTA oficial</t>
        </is>
      </c>
    </row>
    <row r="1137" ht="25.5" customHeight="1" s="289">
      <c r="A1137" s="205" t="n"/>
      <c r="B1137" s="207" t="n"/>
      <c r="C1137" s="104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348" t="n"/>
      <c r="E1137" s="349">
        <f>IF(C1137="","",IFERROR(VLOOKUP(C1137,parametros!$A$11:$E$15,5,0),""))</f>
        <v/>
      </c>
      <c r="F1137" s="335">
        <f>IF(OR(D1137="",E1137=""),"",ROUND(D1137*E1137,2))</f>
        <v/>
      </c>
      <c r="G1137" s="106" t="n"/>
      <c r="H1137" s="350">
        <f>IF(G1137="Sim",IF(OR(F1137="",D1137="",L1137=""),"",IF(L1137="Sim",ROUND(F1137-D1137,2),0)),0)</f>
        <v/>
      </c>
      <c r="I1137" s="350">
        <f>IF(G1137="Sim",0,IF(OR(F1137="",L1137=""),"",F1137))</f>
        <v/>
      </c>
      <c r="J1137" s="350">
        <f>IF(G1137="Sim",0,IF(OR(F1137="",D1137="",L1137=""),"",IF(L1137="Sim",ROUND(F1137-D1137,2),0)))</f>
        <v/>
      </c>
      <c r="K1137" s="97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inlineStr">
        <is>
          <t>Nao</t>
        </is>
      </c>
      <c r="W1137" s="110" t="inlineStr">
        <is>
          <t>PC em analise</t>
        </is>
      </c>
      <c r="X1137" s="110" t="inlineStr">
        <is>
          <t>Pedido de Compra</t>
        </is>
      </c>
      <c r="Y1137" s="111" t="inlineStr">
        <is>
          <t>Impacto Potencial</t>
        </is>
      </c>
      <c r="Z1137" s="111" t="inlineStr">
        <is>
          <t>PC</t>
        </is>
      </c>
      <c r="AA1137" s="111" t="inlineStr">
        <is>
          <t>Nao</t>
        </is>
      </c>
      <c r="AB1137" s="111" t="inlineStr">
        <is>
          <t>NAO_COMPUTADO</t>
        </is>
      </c>
      <c r="AC1137" s="112" t="inlineStr">
        <is>
          <t>Estrutura Fase 1: sem impacto no VTA oficial</t>
        </is>
      </c>
    </row>
    <row r="1138" ht="25.5" customHeight="1" s="289">
      <c r="A1138" s="205" t="n"/>
      <c r="B1138" s="207" t="n"/>
      <c r="C1138" s="104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348" t="n"/>
      <c r="E1138" s="349">
        <f>IF(C1138="","",IFERROR(VLOOKUP(C1138,parametros!$A$11:$E$15,5,0),""))</f>
        <v/>
      </c>
      <c r="F1138" s="335">
        <f>IF(OR(D1138="",E1138=""),"",ROUND(D1138*E1138,2))</f>
        <v/>
      </c>
      <c r="G1138" s="106" t="n"/>
      <c r="H1138" s="350">
        <f>IF(G1138="Sim",IF(OR(F1138="",D1138="",L1138=""),"",IF(L1138="Sim",ROUND(F1138-D1138,2),0)),0)</f>
        <v/>
      </c>
      <c r="I1138" s="350">
        <f>IF(G1138="Sim",0,IF(OR(F1138="",L1138=""),"",F1138))</f>
        <v/>
      </c>
      <c r="J1138" s="350">
        <f>IF(G1138="Sim",0,IF(OR(F1138="",D1138="",L1138=""),"",IF(L1138="Sim",ROUND(F1138-D1138,2),0)))</f>
        <v/>
      </c>
      <c r="K1138" s="97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inlineStr">
        <is>
          <t>Nao</t>
        </is>
      </c>
      <c r="W1138" s="110" t="inlineStr">
        <is>
          <t>PC em analise</t>
        </is>
      </c>
      <c r="X1138" s="110" t="inlineStr">
        <is>
          <t>Pedido de Compra</t>
        </is>
      </c>
      <c r="Y1138" s="111" t="inlineStr">
        <is>
          <t>Impacto Potencial</t>
        </is>
      </c>
      <c r="Z1138" s="111" t="inlineStr">
        <is>
          <t>PC</t>
        </is>
      </c>
      <c r="AA1138" s="111" t="inlineStr">
        <is>
          <t>Nao</t>
        </is>
      </c>
      <c r="AB1138" s="111" t="inlineStr">
        <is>
          <t>NAO_COMPUTADO</t>
        </is>
      </c>
      <c r="AC1138" s="112" t="inlineStr">
        <is>
          <t>Estrutura Fase 1: sem impacto no VTA oficial</t>
        </is>
      </c>
    </row>
    <row r="1139" ht="25.5" customHeight="1" s="289">
      <c r="A1139" s="205" t="n"/>
      <c r="B1139" s="207" t="n"/>
      <c r="C1139" s="104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348" t="n"/>
      <c r="E1139" s="349">
        <f>IF(C1139="","",IFERROR(VLOOKUP(C1139,parametros!$A$11:$E$15,5,0),""))</f>
        <v/>
      </c>
      <c r="F1139" s="335">
        <f>IF(OR(D1139="",E1139=""),"",ROUND(D1139*E1139,2))</f>
        <v/>
      </c>
      <c r="G1139" s="106" t="n"/>
      <c r="H1139" s="350">
        <f>IF(G1139="Sim",IF(OR(F1139="",D1139="",L1139=""),"",IF(L1139="Sim",ROUND(F1139-D1139,2),0)),0)</f>
        <v/>
      </c>
      <c r="I1139" s="350">
        <f>IF(G1139="Sim",0,IF(OR(F1139="",L1139=""),"",F1139))</f>
        <v/>
      </c>
      <c r="J1139" s="350">
        <f>IF(G1139="Sim",0,IF(OR(F1139="",D1139="",L1139=""),"",IF(L1139="Sim",ROUND(F1139-D1139,2),0)))</f>
        <v/>
      </c>
      <c r="K1139" s="97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inlineStr">
        <is>
          <t>Nao</t>
        </is>
      </c>
      <c r="W1139" s="110" t="inlineStr">
        <is>
          <t>PC em analise</t>
        </is>
      </c>
      <c r="X1139" s="110" t="inlineStr">
        <is>
          <t>Pedido de Compra</t>
        </is>
      </c>
      <c r="Y1139" s="111" t="inlineStr">
        <is>
          <t>Impacto Potencial</t>
        </is>
      </c>
      <c r="Z1139" s="111" t="inlineStr">
        <is>
          <t>PC</t>
        </is>
      </c>
      <c r="AA1139" s="111" t="inlineStr">
        <is>
          <t>Nao</t>
        </is>
      </c>
      <c r="AB1139" s="111" t="inlineStr">
        <is>
          <t>NAO_COMPUTADO</t>
        </is>
      </c>
      <c r="AC1139" s="112" t="inlineStr">
        <is>
          <t>Estrutura Fase 1: sem impacto no VTA oficial</t>
        </is>
      </c>
    </row>
    <row r="1140" ht="25.5" customHeight="1" s="289">
      <c r="A1140" s="205" t="n"/>
      <c r="B1140" s="207" t="n"/>
      <c r="C1140" s="104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348" t="n"/>
      <c r="E1140" s="349">
        <f>IF(C1140="","",IFERROR(VLOOKUP(C1140,parametros!$A$11:$E$15,5,0),""))</f>
        <v/>
      </c>
      <c r="F1140" s="335">
        <f>IF(OR(D1140="",E1140=""),"",ROUND(D1140*E1140,2))</f>
        <v/>
      </c>
      <c r="G1140" s="106" t="n"/>
      <c r="H1140" s="350">
        <f>IF(G1140="Sim",IF(OR(F1140="",D1140="",L1140=""),"",IF(L1140="Sim",ROUND(F1140-D1140,2),0)),0)</f>
        <v/>
      </c>
      <c r="I1140" s="350">
        <f>IF(G1140="Sim",0,IF(OR(F1140="",L1140=""),"",F1140))</f>
        <v/>
      </c>
      <c r="J1140" s="350">
        <f>IF(G1140="Sim",0,IF(OR(F1140="",D1140="",L1140=""),"",IF(L1140="Sim",ROUND(F1140-D1140,2),0)))</f>
        <v/>
      </c>
      <c r="K1140" s="97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inlineStr">
        <is>
          <t>Nao</t>
        </is>
      </c>
      <c r="W1140" s="110" t="inlineStr">
        <is>
          <t>PC em analise</t>
        </is>
      </c>
      <c r="X1140" s="110" t="inlineStr">
        <is>
          <t>Pedido de Compra</t>
        </is>
      </c>
      <c r="Y1140" s="111" t="inlineStr">
        <is>
          <t>Impacto Potencial</t>
        </is>
      </c>
      <c r="Z1140" s="111" t="inlineStr">
        <is>
          <t>PC</t>
        </is>
      </c>
      <c r="AA1140" s="111" t="inlineStr">
        <is>
          <t>Nao</t>
        </is>
      </c>
      <c r="AB1140" s="111" t="inlineStr">
        <is>
          <t>NAO_COMPUTADO</t>
        </is>
      </c>
      <c r="AC1140" s="112" t="inlineStr">
        <is>
          <t>Estrutura Fase 1: sem impacto no VTA oficial</t>
        </is>
      </c>
    </row>
    <row r="1141" ht="25.5" customHeight="1" s="289">
      <c r="A1141" s="205" t="n"/>
      <c r="B1141" s="207" t="n"/>
      <c r="C1141" s="104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348" t="n"/>
      <c r="E1141" s="349">
        <f>IF(C1141="","",IFERROR(VLOOKUP(C1141,parametros!$A$11:$E$15,5,0),""))</f>
        <v/>
      </c>
      <c r="F1141" s="335">
        <f>IF(OR(D1141="",E1141=""),"",ROUND(D1141*E1141,2))</f>
        <v/>
      </c>
      <c r="G1141" s="106" t="n"/>
      <c r="H1141" s="350">
        <f>IF(G1141="Sim",IF(OR(F1141="",D1141="",L1141=""),"",IF(L1141="Sim",ROUND(F1141-D1141,2),0)),0)</f>
        <v/>
      </c>
      <c r="I1141" s="350">
        <f>IF(G1141="Sim",0,IF(OR(F1141="",L1141=""),"",F1141))</f>
        <v/>
      </c>
      <c r="J1141" s="350">
        <f>IF(G1141="Sim",0,IF(OR(F1141="",D1141="",L1141=""),"",IF(L1141="Sim",ROUND(F1141-D1141,2),0)))</f>
        <v/>
      </c>
      <c r="K1141" s="97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inlineStr">
        <is>
          <t>Nao</t>
        </is>
      </c>
      <c r="W1141" s="110" t="inlineStr">
        <is>
          <t>PC em analise</t>
        </is>
      </c>
      <c r="X1141" s="110" t="inlineStr">
        <is>
          <t>Pedido de Compra</t>
        </is>
      </c>
      <c r="Y1141" s="111" t="inlineStr">
        <is>
          <t>Impacto Potencial</t>
        </is>
      </c>
      <c r="Z1141" s="111" t="inlineStr">
        <is>
          <t>PC</t>
        </is>
      </c>
      <c r="AA1141" s="111" t="inlineStr">
        <is>
          <t>Nao</t>
        </is>
      </c>
      <c r="AB1141" s="111" t="inlineStr">
        <is>
          <t>NAO_COMPUTADO</t>
        </is>
      </c>
      <c r="AC1141" s="112" t="inlineStr">
        <is>
          <t>Estrutura Fase 1: sem impacto no VTA oficial</t>
        </is>
      </c>
    </row>
    <row r="1142" ht="25.5" customHeight="1" s="289">
      <c r="A1142" s="205" t="n"/>
      <c r="B1142" s="207" t="n"/>
      <c r="C1142" s="104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348" t="n"/>
      <c r="E1142" s="349">
        <f>IF(C1142="","",IFERROR(VLOOKUP(C1142,parametros!$A$11:$E$15,5,0),""))</f>
        <v/>
      </c>
      <c r="F1142" s="335">
        <f>IF(OR(D1142="",E1142=""),"",ROUND(D1142*E1142,2))</f>
        <v/>
      </c>
      <c r="G1142" s="106" t="n"/>
      <c r="H1142" s="350">
        <f>IF(G1142="Sim",IF(OR(F1142="",D1142="",L1142=""),"",IF(L1142="Sim",ROUND(F1142-D1142,2),0)),0)</f>
        <v/>
      </c>
      <c r="I1142" s="350">
        <f>IF(G1142="Sim",0,IF(OR(F1142="",L1142=""),"",F1142))</f>
        <v/>
      </c>
      <c r="J1142" s="350">
        <f>IF(G1142="Sim",0,IF(OR(F1142="",D1142="",L1142=""),"",IF(L1142="Sim",ROUND(F1142-D1142,2),0)))</f>
        <v/>
      </c>
      <c r="K1142" s="97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inlineStr">
        <is>
          <t>Nao</t>
        </is>
      </c>
      <c r="W1142" s="110" t="inlineStr">
        <is>
          <t>PC em analise</t>
        </is>
      </c>
      <c r="X1142" s="110" t="inlineStr">
        <is>
          <t>Pedido de Compra</t>
        </is>
      </c>
      <c r="Y1142" s="111" t="inlineStr">
        <is>
          <t>Impacto Potencial</t>
        </is>
      </c>
      <c r="Z1142" s="111" t="inlineStr">
        <is>
          <t>PC</t>
        </is>
      </c>
      <c r="AA1142" s="111" t="inlineStr">
        <is>
          <t>Nao</t>
        </is>
      </c>
      <c r="AB1142" s="111" t="inlineStr">
        <is>
          <t>NAO_COMPUTADO</t>
        </is>
      </c>
      <c r="AC1142" s="112" t="inlineStr">
        <is>
          <t>Estrutura Fase 1: sem impacto no VTA oficial</t>
        </is>
      </c>
    </row>
    <row r="1143" ht="25.5" customHeight="1" s="289">
      <c r="A1143" s="205" t="n"/>
      <c r="B1143" s="207" t="n"/>
      <c r="C1143" s="104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348" t="n"/>
      <c r="E1143" s="349">
        <f>IF(C1143="","",IFERROR(VLOOKUP(C1143,parametros!$A$11:$E$15,5,0),""))</f>
        <v/>
      </c>
      <c r="F1143" s="335">
        <f>IF(OR(D1143="",E1143=""),"",ROUND(D1143*E1143,2))</f>
        <v/>
      </c>
      <c r="G1143" s="106" t="n"/>
      <c r="H1143" s="350">
        <f>IF(G1143="Sim",IF(OR(F1143="",D1143="",L1143=""),"",IF(L1143="Sim",ROUND(F1143-D1143,2),0)),0)</f>
        <v/>
      </c>
      <c r="I1143" s="350">
        <f>IF(G1143="Sim",0,IF(OR(F1143="",L1143=""),"",F1143))</f>
        <v/>
      </c>
      <c r="J1143" s="350">
        <f>IF(G1143="Sim",0,IF(OR(F1143="",D1143="",L1143=""),"",IF(L1143="Sim",ROUND(F1143-D1143,2),0)))</f>
        <v/>
      </c>
      <c r="K1143" s="97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inlineStr">
        <is>
          <t>Nao</t>
        </is>
      </c>
      <c r="W1143" s="110" t="inlineStr">
        <is>
          <t>PC em analise</t>
        </is>
      </c>
      <c r="X1143" s="110" t="inlineStr">
        <is>
          <t>Pedido de Compra</t>
        </is>
      </c>
      <c r="Y1143" s="111" t="inlineStr">
        <is>
          <t>Impacto Potencial</t>
        </is>
      </c>
      <c r="Z1143" s="111" t="inlineStr">
        <is>
          <t>PC</t>
        </is>
      </c>
      <c r="AA1143" s="111" t="inlineStr">
        <is>
          <t>Nao</t>
        </is>
      </c>
      <c r="AB1143" s="111" t="inlineStr">
        <is>
          <t>NAO_COMPUTADO</t>
        </is>
      </c>
      <c r="AC1143" s="112" t="inlineStr">
        <is>
          <t>Estrutura Fase 1: sem impacto no VTA oficial</t>
        </is>
      </c>
    </row>
    <row r="1144" ht="25.5" customHeight="1" s="289">
      <c r="A1144" s="205" t="n"/>
      <c r="B1144" s="207" t="n"/>
      <c r="C1144" s="104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348" t="n"/>
      <c r="E1144" s="349">
        <f>IF(C1144="","",IFERROR(VLOOKUP(C1144,parametros!$A$11:$E$15,5,0),""))</f>
        <v/>
      </c>
      <c r="F1144" s="335">
        <f>IF(OR(D1144="",E1144=""),"",ROUND(D1144*E1144,2))</f>
        <v/>
      </c>
      <c r="G1144" s="106" t="n"/>
      <c r="H1144" s="350">
        <f>IF(G1144="Sim",IF(OR(F1144="",D1144="",L1144=""),"",IF(L1144="Sim",ROUND(F1144-D1144,2),0)),0)</f>
        <v/>
      </c>
      <c r="I1144" s="350">
        <f>IF(G1144="Sim",0,IF(OR(F1144="",L1144=""),"",F1144))</f>
        <v/>
      </c>
      <c r="J1144" s="350">
        <f>IF(G1144="Sim",0,IF(OR(F1144="",D1144="",L1144=""),"",IF(L1144="Sim",ROUND(F1144-D1144,2),0)))</f>
        <v/>
      </c>
      <c r="K1144" s="97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inlineStr">
        <is>
          <t>Nao</t>
        </is>
      </c>
      <c r="W1144" s="110" t="inlineStr">
        <is>
          <t>PC em analise</t>
        </is>
      </c>
      <c r="X1144" s="110" t="inlineStr">
        <is>
          <t>Pedido de Compra</t>
        </is>
      </c>
      <c r="Y1144" s="111" t="inlineStr">
        <is>
          <t>Impacto Potencial</t>
        </is>
      </c>
      <c r="Z1144" s="111" t="inlineStr">
        <is>
          <t>PC</t>
        </is>
      </c>
      <c r="AA1144" s="111" t="inlineStr">
        <is>
          <t>Nao</t>
        </is>
      </c>
      <c r="AB1144" s="111" t="inlineStr">
        <is>
          <t>NAO_COMPUTADO</t>
        </is>
      </c>
      <c r="AC1144" s="112" t="inlineStr">
        <is>
          <t>Estrutura Fase 1: sem impacto no VTA oficial</t>
        </is>
      </c>
    </row>
    <row r="1145" ht="25.5" customHeight="1" s="289">
      <c r="A1145" s="205" t="n"/>
      <c r="B1145" s="207" t="n"/>
      <c r="C1145" s="104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348" t="n"/>
      <c r="E1145" s="349">
        <f>IF(C1145="","",IFERROR(VLOOKUP(C1145,parametros!$A$11:$E$15,5,0),""))</f>
        <v/>
      </c>
      <c r="F1145" s="335">
        <f>IF(OR(D1145="",E1145=""),"",ROUND(D1145*E1145,2))</f>
        <v/>
      </c>
      <c r="G1145" s="106" t="n"/>
      <c r="H1145" s="350">
        <f>IF(G1145="Sim",IF(OR(F1145="",D1145="",L1145=""),"",IF(L1145="Sim",ROUND(F1145-D1145,2),0)),0)</f>
        <v/>
      </c>
      <c r="I1145" s="350">
        <f>IF(G1145="Sim",0,IF(OR(F1145="",L1145=""),"",F1145))</f>
        <v/>
      </c>
      <c r="J1145" s="350">
        <f>IF(G1145="Sim",0,IF(OR(F1145="",D1145="",L1145=""),"",IF(L1145="Sim",ROUND(F1145-D1145,2),0)))</f>
        <v/>
      </c>
      <c r="K1145" s="97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inlineStr">
        <is>
          <t>Nao</t>
        </is>
      </c>
      <c r="W1145" s="110" t="inlineStr">
        <is>
          <t>PC em analise</t>
        </is>
      </c>
      <c r="X1145" s="110" t="inlineStr">
        <is>
          <t>Pedido de Compra</t>
        </is>
      </c>
      <c r="Y1145" s="111" t="inlineStr">
        <is>
          <t>Impacto Potencial</t>
        </is>
      </c>
      <c r="Z1145" s="111" t="inlineStr">
        <is>
          <t>PC</t>
        </is>
      </c>
      <c r="AA1145" s="111" t="inlineStr">
        <is>
          <t>Nao</t>
        </is>
      </c>
      <c r="AB1145" s="111" t="inlineStr">
        <is>
          <t>NAO_COMPUTADO</t>
        </is>
      </c>
      <c r="AC1145" s="112" t="inlineStr">
        <is>
          <t>Estrutura Fase 1: sem impacto no VTA oficial</t>
        </is>
      </c>
    </row>
    <row r="1146" ht="25.5" customHeight="1" s="289">
      <c r="A1146" s="205" t="n"/>
      <c r="B1146" s="207" t="n"/>
      <c r="C1146" s="104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348" t="n"/>
      <c r="E1146" s="349">
        <f>IF(C1146="","",IFERROR(VLOOKUP(C1146,parametros!$A$11:$E$15,5,0),""))</f>
        <v/>
      </c>
      <c r="F1146" s="335">
        <f>IF(OR(D1146="",E1146=""),"",ROUND(D1146*E1146,2))</f>
        <v/>
      </c>
      <c r="G1146" s="106" t="n"/>
      <c r="H1146" s="350">
        <f>IF(G1146="Sim",IF(OR(F1146="",D1146="",L1146=""),"",IF(L1146="Sim",ROUND(F1146-D1146,2),0)),0)</f>
        <v/>
      </c>
      <c r="I1146" s="350">
        <f>IF(G1146="Sim",0,IF(OR(F1146="",L1146=""),"",F1146))</f>
        <v/>
      </c>
      <c r="J1146" s="350">
        <f>IF(G1146="Sim",0,IF(OR(F1146="",D1146="",L1146=""),"",IF(L1146="Sim",ROUND(F1146-D1146,2),0)))</f>
        <v/>
      </c>
      <c r="K1146" s="97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inlineStr">
        <is>
          <t>Nao</t>
        </is>
      </c>
      <c r="W1146" s="110" t="inlineStr">
        <is>
          <t>PC em analise</t>
        </is>
      </c>
      <c r="X1146" s="110" t="inlineStr">
        <is>
          <t>Pedido de Compra</t>
        </is>
      </c>
      <c r="Y1146" s="111" t="inlineStr">
        <is>
          <t>Impacto Potencial</t>
        </is>
      </c>
      <c r="Z1146" s="111" t="inlineStr">
        <is>
          <t>PC</t>
        </is>
      </c>
      <c r="AA1146" s="111" t="inlineStr">
        <is>
          <t>Nao</t>
        </is>
      </c>
      <c r="AB1146" s="111" t="inlineStr">
        <is>
          <t>NAO_COMPUTADO</t>
        </is>
      </c>
      <c r="AC1146" s="112" t="inlineStr">
        <is>
          <t>Estrutura Fase 1: sem impacto no VTA oficial</t>
        </is>
      </c>
    </row>
    <row r="1147" ht="25.5" customHeight="1" s="289">
      <c r="A1147" s="205" t="n"/>
      <c r="B1147" s="207" t="n"/>
      <c r="C1147" s="104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348" t="n"/>
      <c r="E1147" s="349">
        <f>IF(C1147="","",IFERROR(VLOOKUP(C1147,parametros!$A$11:$E$15,5,0),""))</f>
        <v/>
      </c>
      <c r="F1147" s="335">
        <f>IF(OR(D1147="",E1147=""),"",ROUND(D1147*E1147,2))</f>
        <v/>
      </c>
      <c r="G1147" s="106" t="n"/>
      <c r="H1147" s="350">
        <f>IF(G1147="Sim",IF(OR(F1147="",D1147="",L1147=""),"",IF(L1147="Sim",ROUND(F1147-D1147,2),0)),0)</f>
        <v/>
      </c>
      <c r="I1147" s="350">
        <f>IF(G1147="Sim",0,IF(OR(F1147="",L1147=""),"",F1147))</f>
        <v/>
      </c>
      <c r="J1147" s="350">
        <f>IF(G1147="Sim",0,IF(OR(F1147="",D1147="",L1147=""),"",IF(L1147="Sim",ROUND(F1147-D1147,2),0)))</f>
        <v/>
      </c>
      <c r="K1147" s="97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inlineStr">
        <is>
          <t>Nao</t>
        </is>
      </c>
      <c r="W1147" s="110" t="inlineStr">
        <is>
          <t>PC em analise</t>
        </is>
      </c>
      <c r="X1147" s="110" t="inlineStr">
        <is>
          <t>Pedido de Compra</t>
        </is>
      </c>
      <c r="Y1147" s="111" t="inlineStr">
        <is>
          <t>Impacto Potencial</t>
        </is>
      </c>
      <c r="Z1147" s="111" t="inlineStr">
        <is>
          <t>PC</t>
        </is>
      </c>
      <c r="AA1147" s="111" t="inlineStr">
        <is>
          <t>Nao</t>
        </is>
      </c>
      <c r="AB1147" s="111" t="inlineStr">
        <is>
          <t>NAO_COMPUTADO</t>
        </is>
      </c>
      <c r="AC1147" s="112" t="inlineStr">
        <is>
          <t>Estrutura Fase 1: sem impacto no VTA oficial</t>
        </is>
      </c>
    </row>
    <row r="1148" ht="25.5" customHeight="1" s="289">
      <c r="A1148" s="205" t="n"/>
      <c r="B1148" s="207" t="n"/>
      <c r="C1148" s="104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348" t="n"/>
      <c r="E1148" s="349">
        <f>IF(C1148="","",IFERROR(VLOOKUP(C1148,parametros!$A$11:$E$15,5,0),""))</f>
        <v/>
      </c>
      <c r="F1148" s="335">
        <f>IF(OR(D1148="",E1148=""),"",ROUND(D1148*E1148,2))</f>
        <v/>
      </c>
      <c r="G1148" s="106" t="n"/>
      <c r="H1148" s="350">
        <f>IF(G1148="Sim",IF(OR(F1148="",D1148="",L1148=""),"",IF(L1148="Sim",ROUND(F1148-D1148,2),0)),0)</f>
        <v/>
      </c>
      <c r="I1148" s="350">
        <f>IF(G1148="Sim",0,IF(OR(F1148="",L1148=""),"",F1148))</f>
        <v/>
      </c>
      <c r="J1148" s="350">
        <f>IF(G1148="Sim",0,IF(OR(F1148="",D1148="",L1148=""),"",IF(L1148="Sim",ROUND(F1148-D1148,2),0)))</f>
        <v/>
      </c>
      <c r="K1148" s="97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inlineStr">
        <is>
          <t>Nao</t>
        </is>
      </c>
      <c r="W1148" s="110" t="inlineStr">
        <is>
          <t>PC em analise</t>
        </is>
      </c>
      <c r="X1148" s="110" t="inlineStr">
        <is>
          <t>Pedido de Compra</t>
        </is>
      </c>
      <c r="Y1148" s="111" t="inlineStr">
        <is>
          <t>Impacto Potencial</t>
        </is>
      </c>
      <c r="Z1148" s="111" t="inlineStr">
        <is>
          <t>PC</t>
        </is>
      </c>
      <c r="AA1148" s="111" t="inlineStr">
        <is>
          <t>Nao</t>
        </is>
      </c>
      <c r="AB1148" s="111" t="inlineStr">
        <is>
          <t>NAO_COMPUTADO</t>
        </is>
      </c>
      <c r="AC1148" s="112" t="inlineStr">
        <is>
          <t>Estrutura Fase 1: sem impacto no VTA oficial</t>
        </is>
      </c>
    </row>
    <row r="1149" ht="25.5" customHeight="1" s="289">
      <c r="A1149" s="205" t="n"/>
      <c r="B1149" s="207" t="n"/>
      <c r="C1149" s="104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348" t="n"/>
      <c r="E1149" s="349">
        <f>IF(C1149="","",IFERROR(VLOOKUP(C1149,parametros!$A$11:$E$15,5,0),""))</f>
        <v/>
      </c>
      <c r="F1149" s="335">
        <f>IF(OR(D1149="",E1149=""),"",ROUND(D1149*E1149,2))</f>
        <v/>
      </c>
      <c r="G1149" s="106" t="n"/>
      <c r="H1149" s="350">
        <f>IF(G1149="Sim",IF(OR(F1149="",D1149="",L1149=""),"",IF(L1149="Sim",ROUND(F1149-D1149,2),0)),0)</f>
        <v/>
      </c>
      <c r="I1149" s="350">
        <f>IF(G1149="Sim",0,IF(OR(F1149="",L1149=""),"",F1149))</f>
        <v/>
      </c>
      <c r="J1149" s="350">
        <f>IF(G1149="Sim",0,IF(OR(F1149="",D1149="",L1149=""),"",IF(L1149="Sim",ROUND(F1149-D1149,2),0)))</f>
        <v/>
      </c>
      <c r="K1149" s="97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inlineStr">
        <is>
          <t>Nao</t>
        </is>
      </c>
      <c r="W1149" s="110" t="inlineStr">
        <is>
          <t>PC em analise</t>
        </is>
      </c>
      <c r="X1149" s="110" t="inlineStr">
        <is>
          <t>Pedido de Compra</t>
        </is>
      </c>
      <c r="Y1149" s="111" t="inlineStr">
        <is>
          <t>Impacto Potencial</t>
        </is>
      </c>
      <c r="Z1149" s="111" t="inlineStr">
        <is>
          <t>PC</t>
        </is>
      </c>
      <c r="AA1149" s="111" t="inlineStr">
        <is>
          <t>Nao</t>
        </is>
      </c>
      <c r="AB1149" s="111" t="inlineStr">
        <is>
          <t>NAO_COMPUTADO</t>
        </is>
      </c>
      <c r="AC1149" s="112" t="inlineStr">
        <is>
          <t>Estrutura Fase 1: sem impacto no VTA oficial</t>
        </is>
      </c>
    </row>
    <row r="1150" ht="25.5" customHeight="1" s="289">
      <c r="A1150" s="205" t="n"/>
      <c r="B1150" s="207" t="n"/>
      <c r="C1150" s="104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348" t="n"/>
      <c r="E1150" s="349">
        <f>IF(C1150="","",IFERROR(VLOOKUP(C1150,parametros!$A$11:$E$15,5,0),""))</f>
        <v/>
      </c>
      <c r="F1150" s="335">
        <f>IF(OR(D1150="",E1150=""),"",ROUND(D1150*E1150,2))</f>
        <v/>
      </c>
      <c r="G1150" s="106" t="n"/>
      <c r="H1150" s="350">
        <f>IF(G1150="Sim",IF(OR(F1150="",D1150="",L1150=""),"",IF(L1150="Sim",ROUND(F1150-D1150,2),0)),0)</f>
        <v/>
      </c>
      <c r="I1150" s="350">
        <f>IF(G1150="Sim",0,IF(OR(F1150="",L1150=""),"",F1150))</f>
        <v/>
      </c>
      <c r="J1150" s="350">
        <f>IF(G1150="Sim",0,IF(OR(F1150="",D1150="",L1150=""),"",IF(L1150="Sim",ROUND(F1150-D1150,2),0)))</f>
        <v/>
      </c>
      <c r="K1150" s="97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inlineStr">
        <is>
          <t>Nao</t>
        </is>
      </c>
      <c r="W1150" s="110" t="inlineStr">
        <is>
          <t>PC em analise</t>
        </is>
      </c>
      <c r="X1150" s="110" t="inlineStr">
        <is>
          <t>Pedido de Compra</t>
        </is>
      </c>
      <c r="Y1150" s="111" t="inlineStr">
        <is>
          <t>Impacto Potencial</t>
        </is>
      </c>
      <c r="Z1150" s="111" t="inlineStr">
        <is>
          <t>PC</t>
        </is>
      </c>
      <c r="AA1150" s="111" t="inlineStr">
        <is>
          <t>Nao</t>
        </is>
      </c>
      <c r="AB1150" s="111" t="inlineStr">
        <is>
          <t>NAO_COMPUTADO</t>
        </is>
      </c>
      <c r="AC1150" s="112" t="inlineStr">
        <is>
          <t>Estrutura Fase 1: sem impacto no VTA oficial</t>
        </is>
      </c>
    </row>
    <row r="1151" ht="25.5" customHeight="1" s="289">
      <c r="A1151" s="205" t="n"/>
      <c r="B1151" s="207" t="n"/>
      <c r="C1151" s="104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348" t="n"/>
      <c r="E1151" s="349">
        <f>IF(C1151="","",IFERROR(VLOOKUP(C1151,parametros!$A$11:$E$15,5,0),""))</f>
        <v/>
      </c>
      <c r="F1151" s="335">
        <f>IF(OR(D1151="",E1151=""),"",ROUND(D1151*E1151,2))</f>
        <v/>
      </c>
      <c r="G1151" s="106" t="n"/>
      <c r="H1151" s="350">
        <f>IF(G1151="Sim",IF(OR(F1151="",D1151="",L1151=""),"",IF(L1151="Sim",ROUND(F1151-D1151,2),0)),0)</f>
        <v/>
      </c>
      <c r="I1151" s="350">
        <f>IF(G1151="Sim",0,IF(OR(F1151="",L1151=""),"",F1151))</f>
        <v/>
      </c>
      <c r="J1151" s="350">
        <f>IF(G1151="Sim",0,IF(OR(F1151="",D1151="",L1151=""),"",IF(L1151="Sim",ROUND(F1151-D1151,2),0)))</f>
        <v/>
      </c>
      <c r="K1151" s="97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inlineStr">
        <is>
          <t>Nao</t>
        </is>
      </c>
      <c r="W1151" s="110" t="inlineStr">
        <is>
          <t>PC em analise</t>
        </is>
      </c>
      <c r="X1151" s="110" t="inlineStr">
        <is>
          <t>Pedido de Compra</t>
        </is>
      </c>
      <c r="Y1151" s="111" t="inlineStr">
        <is>
          <t>Impacto Potencial</t>
        </is>
      </c>
      <c r="Z1151" s="111" t="inlineStr">
        <is>
          <t>PC</t>
        </is>
      </c>
      <c r="AA1151" s="111" t="inlineStr">
        <is>
          <t>Nao</t>
        </is>
      </c>
      <c r="AB1151" s="111" t="inlineStr">
        <is>
          <t>NAO_COMPUTADO</t>
        </is>
      </c>
      <c r="AC1151" s="112" t="inlineStr">
        <is>
          <t>Estrutura Fase 1: sem impacto no VTA oficial</t>
        </is>
      </c>
    </row>
    <row r="1152" ht="25.5" customHeight="1" s="289">
      <c r="A1152" s="205" t="n"/>
      <c r="B1152" s="207" t="n"/>
      <c r="C1152" s="104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348" t="n"/>
      <c r="E1152" s="349">
        <f>IF(C1152="","",IFERROR(VLOOKUP(C1152,parametros!$A$11:$E$15,5,0),""))</f>
        <v/>
      </c>
      <c r="F1152" s="335">
        <f>IF(OR(D1152="",E1152=""),"",ROUND(D1152*E1152,2))</f>
        <v/>
      </c>
      <c r="G1152" s="106" t="n"/>
      <c r="H1152" s="350">
        <f>IF(G1152="Sim",IF(OR(F1152="",D1152="",L1152=""),"",IF(L1152="Sim",ROUND(F1152-D1152,2),0)),0)</f>
        <v/>
      </c>
      <c r="I1152" s="350">
        <f>IF(G1152="Sim",0,IF(OR(F1152="",L1152=""),"",F1152))</f>
        <v/>
      </c>
      <c r="J1152" s="350">
        <f>IF(G1152="Sim",0,IF(OR(F1152="",D1152="",L1152=""),"",IF(L1152="Sim",ROUND(F1152-D1152,2),0)))</f>
        <v/>
      </c>
      <c r="K1152" s="97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inlineStr">
        <is>
          <t>Nao</t>
        </is>
      </c>
      <c r="W1152" s="110" t="inlineStr">
        <is>
          <t>PC em analise</t>
        </is>
      </c>
      <c r="X1152" s="110" t="inlineStr">
        <is>
          <t>Pedido de Compra</t>
        </is>
      </c>
      <c r="Y1152" s="111" t="inlineStr">
        <is>
          <t>Impacto Potencial</t>
        </is>
      </c>
      <c r="Z1152" s="111" t="inlineStr">
        <is>
          <t>PC</t>
        </is>
      </c>
      <c r="AA1152" s="111" t="inlineStr">
        <is>
          <t>Nao</t>
        </is>
      </c>
      <c r="AB1152" s="111" t="inlineStr">
        <is>
          <t>NAO_COMPUTADO</t>
        </is>
      </c>
      <c r="AC1152" s="112" t="inlineStr">
        <is>
          <t>Estrutura Fase 1: sem impacto no VTA oficial</t>
        </is>
      </c>
    </row>
    <row r="1153" ht="25.5" customHeight="1" s="289">
      <c r="A1153" s="205" t="n"/>
      <c r="B1153" s="207" t="n"/>
      <c r="C1153" s="104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348" t="n"/>
      <c r="E1153" s="349">
        <f>IF(C1153="","",IFERROR(VLOOKUP(C1153,parametros!$A$11:$E$15,5,0),""))</f>
        <v/>
      </c>
      <c r="F1153" s="335">
        <f>IF(OR(D1153="",E1153=""),"",ROUND(D1153*E1153,2))</f>
        <v/>
      </c>
      <c r="G1153" s="106" t="n"/>
      <c r="H1153" s="350">
        <f>IF(G1153="Sim",IF(OR(F1153="",D1153="",L1153=""),"",IF(L1153="Sim",ROUND(F1153-D1153,2),0)),0)</f>
        <v/>
      </c>
      <c r="I1153" s="350">
        <f>IF(G1153="Sim",0,IF(OR(F1153="",L1153=""),"",F1153))</f>
        <v/>
      </c>
      <c r="J1153" s="350">
        <f>IF(G1153="Sim",0,IF(OR(F1153="",D1153="",L1153=""),"",IF(L1153="Sim",ROUND(F1153-D1153,2),0)))</f>
        <v/>
      </c>
      <c r="K1153" s="97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inlineStr">
        <is>
          <t>Nao</t>
        </is>
      </c>
      <c r="W1153" s="110" t="inlineStr">
        <is>
          <t>PC em analise</t>
        </is>
      </c>
      <c r="X1153" s="110" t="inlineStr">
        <is>
          <t>Pedido de Compra</t>
        </is>
      </c>
      <c r="Y1153" s="111" t="inlineStr">
        <is>
          <t>Impacto Potencial</t>
        </is>
      </c>
      <c r="Z1153" s="111" t="inlineStr">
        <is>
          <t>PC</t>
        </is>
      </c>
      <c r="AA1153" s="111" t="inlineStr">
        <is>
          <t>Nao</t>
        </is>
      </c>
      <c r="AB1153" s="111" t="inlineStr">
        <is>
          <t>NAO_COMPUTADO</t>
        </is>
      </c>
      <c r="AC1153" s="112" t="inlineStr">
        <is>
          <t>Estrutura Fase 1: sem impacto no VTA oficial</t>
        </is>
      </c>
    </row>
    <row r="1154" ht="25.5" customHeight="1" s="289">
      <c r="A1154" s="205" t="n"/>
      <c r="B1154" s="207" t="n"/>
      <c r="C1154" s="104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348" t="n"/>
      <c r="E1154" s="349">
        <f>IF(C1154="","",IFERROR(VLOOKUP(C1154,parametros!$A$11:$E$15,5,0),""))</f>
        <v/>
      </c>
      <c r="F1154" s="335">
        <f>IF(OR(D1154="",E1154=""),"",ROUND(D1154*E1154,2))</f>
        <v/>
      </c>
      <c r="G1154" s="106" t="n"/>
      <c r="H1154" s="350">
        <f>IF(G1154="Sim",IF(OR(F1154="",D1154="",L1154=""),"",IF(L1154="Sim",ROUND(F1154-D1154,2),0)),0)</f>
        <v/>
      </c>
      <c r="I1154" s="350">
        <f>IF(G1154="Sim",0,IF(OR(F1154="",L1154=""),"",F1154))</f>
        <v/>
      </c>
      <c r="J1154" s="350">
        <f>IF(G1154="Sim",0,IF(OR(F1154="",D1154="",L1154=""),"",IF(L1154="Sim",ROUND(F1154-D1154,2),0)))</f>
        <v/>
      </c>
      <c r="K1154" s="97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inlineStr">
        <is>
          <t>Nao</t>
        </is>
      </c>
      <c r="W1154" s="110" t="inlineStr">
        <is>
          <t>PC em analise</t>
        </is>
      </c>
      <c r="X1154" s="110" t="inlineStr">
        <is>
          <t>Pedido de Compra</t>
        </is>
      </c>
      <c r="Y1154" s="111" t="inlineStr">
        <is>
          <t>Impacto Potencial</t>
        </is>
      </c>
      <c r="Z1154" s="111" t="inlineStr">
        <is>
          <t>PC</t>
        </is>
      </c>
      <c r="AA1154" s="111" t="inlineStr">
        <is>
          <t>Nao</t>
        </is>
      </c>
      <c r="AB1154" s="111" t="inlineStr">
        <is>
          <t>NAO_COMPUTADO</t>
        </is>
      </c>
      <c r="AC1154" s="112" t="inlineStr">
        <is>
          <t>Estrutura Fase 1: sem impacto no VTA oficial</t>
        </is>
      </c>
    </row>
    <row r="1155" ht="25.5" customHeight="1" s="289">
      <c r="A1155" s="205" t="n"/>
      <c r="B1155" s="207" t="n"/>
      <c r="C1155" s="104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348" t="n"/>
      <c r="E1155" s="349">
        <f>IF(C1155="","",IFERROR(VLOOKUP(C1155,parametros!$A$11:$E$15,5,0),""))</f>
        <v/>
      </c>
      <c r="F1155" s="335">
        <f>IF(OR(D1155="",E1155=""),"",ROUND(D1155*E1155,2))</f>
        <v/>
      </c>
      <c r="G1155" s="106" t="n"/>
      <c r="H1155" s="350">
        <f>IF(G1155="Sim",IF(OR(F1155="",D1155="",L1155=""),"",IF(L1155="Sim",ROUND(F1155-D1155,2),0)),0)</f>
        <v/>
      </c>
      <c r="I1155" s="350">
        <f>IF(G1155="Sim",0,IF(OR(F1155="",L1155=""),"",F1155))</f>
        <v/>
      </c>
      <c r="J1155" s="350">
        <f>IF(G1155="Sim",0,IF(OR(F1155="",D1155="",L1155=""),"",IF(L1155="Sim",ROUND(F1155-D1155,2),0)))</f>
        <v/>
      </c>
      <c r="K1155" s="97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inlineStr">
        <is>
          <t>Nao</t>
        </is>
      </c>
      <c r="W1155" s="110" t="inlineStr">
        <is>
          <t>PC em analise</t>
        </is>
      </c>
      <c r="X1155" s="110" t="inlineStr">
        <is>
          <t>Pedido de Compra</t>
        </is>
      </c>
      <c r="Y1155" s="111" t="inlineStr">
        <is>
          <t>Impacto Potencial</t>
        </is>
      </c>
      <c r="Z1155" s="111" t="inlineStr">
        <is>
          <t>PC</t>
        </is>
      </c>
      <c r="AA1155" s="111" t="inlineStr">
        <is>
          <t>Nao</t>
        </is>
      </c>
      <c r="AB1155" s="111" t="inlineStr">
        <is>
          <t>NAO_COMPUTADO</t>
        </is>
      </c>
      <c r="AC1155" s="112" t="inlineStr">
        <is>
          <t>Estrutura Fase 1: sem impacto no VTA oficial</t>
        </is>
      </c>
    </row>
    <row r="1156" ht="25.5" customHeight="1" s="289">
      <c r="A1156" s="205" t="n"/>
      <c r="B1156" s="207" t="n"/>
      <c r="C1156" s="104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348" t="n"/>
      <c r="E1156" s="349">
        <f>IF(C1156="","",IFERROR(VLOOKUP(C1156,parametros!$A$11:$E$15,5,0),""))</f>
        <v/>
      </c>
      <c r="F1156" s="335">
        <f>IF(OR(D1156="",E1156=""),"",ROUND(D1156*E1156,2))</f>
        <v/>
      </c>
      <c r="G1156" s="106" t="n"/>
      <c r="H1156" s="350">
        <f>IF(G1156="Sim",IF(OR(F1156="",D1156="",L1156=""),"",IF(L1156="Sim",ROUND(F1156-D1156,2),0)),0)</f>
        <v/>
      </c>
      <c r="I1156" s="350">
        <f>IF(G1156="Sim",0,IF(OR(F1156="",L1156=""),"",F1156))</f>
        <v/>
      </c>
      <c r="J1156" s="350">
        <f>IF(G1156="Sim",0,IF(OR(F1156="",D1156="",L1156=""),"",IF(L1156="Sim",ROUND(F1156-D1156,2),0)))</f>
        <v/>
      </c>
      <c r="K1156" s="97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inlineStr">
        <is>
          <t>Nao</t>
        </is>
      </c>
      <c r="W1156" s="110" t="inlineStr">
        <is>
          <t>PC em analise</t>
        </is>
      </c>
      <c r="X1156" s="110" t="inlineStr">
        <is>
          <t>Pedido de Compra</t>
        </is>
      </c>
      <c r="Y1156" s="111" t="inlineStr">
        <is>
          <t>Impacto Potencial</t>
        </is>
      </c>
      <c r="Z1156" s="111" t="inlineStr">
        <is>
          <t>PC</t>
        </is>
      </c>
      <c r="AA1156" s="111" t="inlineStr">
        <is>
          <t>Nao</t>
        </is>
      </c>
      <c r="AB1156" s="111" t="inlineStr">
        <is>
          <t>NAO_COMPUTADO</t>
        </is>
      </c>
      <c r="AC1156" s="112" t="inlineStr">
        <is>
          <t>Estrutura Fase 1: sem impacto no VTA oficial</t>
        </is>
      </c>
    </row>
    <row r="1157" ht="25.5" customHeight="1" s="289">
      <c r="A1157" s="205" t="n"/>
      <c r="B1157" s="207" t="n"/>
      <c r="C1157" s="104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348" t="n"/>
      <c r="E1157" s="349">
        <f>IF(C1157="","",IFERROR(VLOOKUP(C1157,parametros!$A$11:$E$15,5,0),""))</f>
        <v/>
      </c>
      <c r="F1157" s="335">
        <f>IF(OR(D1157="",E1157=""),"",ROUND(D1157*E1157,2))</f>
        <v/>
      </c>
      <c r="G1157" s="106" t="n"/>
      <c r="H1157" s="350">
        <f>IF(G1157="Sim",IF(OR(F1157="",D1157="",L1157=""),"",IF(L1157="Sim",ROUND(F1157-D1157,2),0)),0)</f>
        <v/>
      </c>
      <c r="I1157" s="350">
        <f>IF(G1157="Sim",0,IF(OR(F1157="",L1157=""),"",F1157))</f>
        <v/>
      </c>
      <c r="J1157" s="350">
        <f>IF(G1157="Sim",0,IF(OR(F1157="",D1157="",L1157=""),"",IF(L1157="Sim",ROUND(F1157-D1157,2),0)))</f>
        <v/>
      </c>
      <c r="K1157" s="97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inlineStr">
        <is>
          <t>Nao</t>
        </is>
      </c>
      <c r="W1157" s="110" t="inlineStr">
        <is>
          <t>PC em analise</t>
        </is>
      </c>
      <c r="X1157" s="110" t="inlineStr">
        <is>
          <t>Pedido de Compra</t>
        </is>
      </c>
      <c r="Y1157" s="111" t="inlineStr">
        <is>
          <t>Impacto Potencial</t>
        </is>
      </c>
      <c r="Z1157" s="111" t="inlineStr">
        <is>
          <t>PC</t>
        </is>
      </c>
      <c r="AA1157" s="111" t="inlineStr">
        <is>
          <t>Nao</t>
        </is>
      </c>
      <c r="AB1157" s="111" t="inlineStr">
        <is>
          <t>NAO_COMPUTADO</t>
        </is>
      </c>
      <c r="AC1157" s="112" t="inlineStr">
        <is>
          <t>Estrutura Fase 1: sem impacto no VTA oficial</t>
        </is>
      </c>
    </row>
    <row r="1158" ht="25.5" customHeight="1" s="289">
      <c r="A1158" s="205" t="n"/>
      <c r="B1158" s="207" t="n"/>
      <c r="C1158" s="104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348" t="n"/>
      <c r="E1158" s="349">
        <f>IF(C1158="","",IFERROR(VLOOKUP(C1158,parametros!$A$11:$E$15,5,0),""))</f>
        <v/>
      </c>
      <c r="F1158" s="335">
        <f>IF(OR(D1158="",E1158=""),"",ROUND(D1158*E1158,2))</f>
        <v/>
      </c>
      <c r="G1158" s="106" t="n"/>
      <c r="H1158" s="350">
        <f>IF(G1158="Sim",IF(OR(F1158="",D1158="",L1158=""),"",IF(L1158="Sim",ROUND(F1158-D1158,2),0)),0)</f>
        <v/>
      </c>
      <c r="I1158" s="350">
        <f>IF(G1158="Sim",0,IF(OR(F1158="",L1158=""),"",F1158))</f>
        <v/>
      </c>
      <c r="J1158" s="350">
        <f>IF(G1158="Sim",0,IF(OR(F1158="",D1158="",L1158=""),"",IF(L1158="Sim",ROUND(F1158-D1158,2),0)))</f>
        <v/>
      </c>
      <c r="K1158" s="97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inlineStr">
        <is>
          <t>Nao</t>
        </is>
      </c>
      <c r="W1158" s="110" t="inlineStr">
        <is>
          <t>PC em analise</t>
        </is>
      </c>
      <c r="X1158" s="110" t="inlineStr">
        <is>
          <t>Pedido de Compra</t>
        </is>
      </c>
      <c r="Y1158" s="111" t="inlineStr">
        <is>
          <t>Impacto Potencial</t>
        </is>
      </c>
      <c r="Z1158" s="111" t="inlineStr">
        <is>
          <t>PC</t>
        </is>
      </c>
      <c r="AA1158" s="111" t="inlineStr">
        <is>
          <t>Nao</t>
        </is>
      </c>
      <c r="AB1158" s="111" t="inlineStr">
        <is>
          <t>NAO_COMPUTADO</t>
        </is>
      </c>
      <c r="AC1158" s="112" t="inlineStr">
        <is>
          <t>Estrutura Fase 1: sem impacto no VTA oficial</t>
        </is>
      </c>
    </row>
    <row r="1159" ht="25.5" customHeight="1" s="289">
      <c r="A1159" s="205" t="n"/>
      <c r="B1159" s="207" t="n"/>
      <c r="C1159" s="104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348" t="n"/>
      <c r="E1159" s="349">
        <f>IF(C1159="","",IFERROR(VLOOKUP(C1159,parametros!$A$11:$E$15,5,0),""))</f>
        <v/>
      </c>
      <c r="F1159" s="335">
        <f>IF(OR(D1159="",E1159=""),"",ROUND(D1159*E1159,2))</f>
        <v/>
      </c>
      <c r="G1159" s="106" t="n"/>
      <c r="H1159" s="350">
        <f>IF(G1159="Sim",IF(OR(F1159="",D1159="",L1159=""),"",IF(L1159="Sim",ROUND(F1159-D1159,2),0)),0)</f>
        <v/>
      </c>
      <c r="I1159" s="350">
        <f>IF(G1159="Sim",0,IF(OR(F1159="",L1159=""),"",F1159))</f>
        <v/>
      </c>
      <c r="J1159" s="350">
        <f>IF(G1159="Sim",0,IF(OR(F1159="",D1159="",L1159=""),"",IF(L1159="Sim",ROUND(F1159-D1159,2),0)))</f>
        <v/>
      </c>
      <c r="K1159" s="97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inlineStr">
        <is>
          <t>Nao</t>
        </is>
      </c>
      <c r="W1159" s="110" t="inlineStr">
        <is>
          <t>PC em analise</t>
        </is>
      </c>
      <c r="X1159" s="110" t="inlineStr">
        <is>
          <t>Pedido de Compra</t>
        </is>
      </c>
      <c r="Y1159" s="111" t="inlineStr">
        <is>
          <t>Impacto Potencial</t>
        </is>
      </c>
      <c r="Z1159" s="111" t="inlineStr">
        <is>
          <t>PC</t>
        </is>
      </c>
      <c r="AA1159" s="111" t="inlineStr">
        <is>
          <t>Nao</t>
        </is>
      </c>
      <c r="AB1159" s="111" t="inlineStr">
        <is>
          <t>NAO_COMPUTADO</t>
        </is>
      </c>
      <c r="AC1159" s="112" t="inlineStr">
        <is>
          <t>Estrutura Fase 1: sem impacto no VTA oficial</t>
        </is>
      </c>
    </row>
    <row r="1160" ht="25.5" customHeight="1" s="289">
      <c r="A1160" s="205" t="n"/>
      <c r="B1160" s="207" t="n"/>
      <c r="C1160" s="104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348" t="n"/>
      <c r="E1160" s="349">
        <f>IF(C1160="","",IFERROR(VLOOKUP(C1160,parametros!$A$11:$E$15,5,0),""))</f>
        <v/>
      </c>
      <c r="F1160" s="335">
        <f>IF(OR(D1160="",E1160=""),"",ROUND(D1160*E1160,2))</f>
        <v/>
      </c>
      <c r="G1160" s="106" t="n"/>
      <c r="H1160" s="350">
        <f>IF(G1160="Sim",IF(OR(F1160="",D1160="",L1160=""),"",IF(L1160="Sim",ROUND(F1160-D1160,2),0)),0)</f>
        <v/>
      </c>
      <c r="I1160" s="350">
        <f>IF(G1160="Sim",0,IF(OR(F1160="",L1160=""),"",F1160))</f>
        <v/>
      </c>
      <c r="J1160" s="350">
        <f>IF(G1160="Sim",0,IF(OR(F1160="",D1160="",L1160=""),"",IF(L1160="Sim",ROUND(F1160-D1160,2),0)))</f>
        <v/>
      </c>
      <c r="K1160" s="97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inlineStr">
        <is>
          <t>Nao</t>
        </is>
      </c>
      <c r="W1160" s="110" t="inlineStr">
        <is>
          <t>PC em analise</t>
        </is>
      </c>
      <c r="X1160" s="110" t="inlineStr">
        <is>
          <t>Pedido de Compra</t>
        </is>
      </c>
      <c r="Y1160" s="111" t="inlineStr">
        <is>
          <t>Impacto Potencial</t>
        </is>
      </c>
      <c r="Z1160" s="111" t="inlineStr">
        <is>
          <t>PC</t>
        </is>
      </c>
      <c r="AA1160" s="111" t="inlineStr">
        <is>
          <t>Nao</t>
        </is>
      </c>
      <c r="AB1160" s="111" t="inlineStr">
        <is>
          <t>NAO_COMPUTADO</t>
        </is>
      </c>
      <c r="AC1160" s="112" t="inlineStr">
        <is>
          <t>Estrutura Fase 1: sem impacto no VTA oficial</t>
        </is>
      </c>
    </row>
    <row r="1161" ht="25.5" customHeight="1" s="289">
      <c r="A1161" s="205" t="n"/>
      <c r="B1161" s="207" t="n"/>
      <c r="C1161" s="104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348" t="n"/>
      <c r="E1161" s="349">
        <f>IF(C1161="","",IFERROR(VLOOKUP(C1161,parametros!$A$11:$E$15,5,0),""))</f>
        <v/>
      </c>
      <c r="F1161" s="335">
        <f>IF(OR(D1161="",E1161=""),"",ROUND(D1161*E1161,2))</f>
        <v/>
      </c>
      <c r="G1161" s="106" t="n"/>
      <c r="H1161" s="350">
        <f>IF(G1161="Sim",IF(OR(F1161="",D1161="",L1161=""),"",IF(L1161="Sim",ROUND(F1161-D1161,2),0)),0)</f>
        <v/>
      </c>
      <c r="I1161" s="350">
        <f>IF(G1161="Sim",0,IF(OR(F1161="",L1161=""),"",F1161))</f>
        <v/>
      </c>
      <c r="J1161" s="350">
        <f>IF(G1161="Sim",0,IF(OR(F1161="",D1161="",L1161=""),"",IF(L1161="Sim",ROUND(F1161-D1161,2),0)))</f>
        <v/>
      </c>
      <c r="K1161" s="97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inlineStr">
        <is>
          <t>Nao</t>
        </is>
      </c>
      <c r="W1161" s="110" t="inlineStr">
        <is>
          <t>PC em analise</t>
        </is>
      </c>
      <c r="X1161" s="110" t="inlineStr">
        <is>
          <t>Pedido de Compra</t>
        </is>
      </c>
      <c r="Y1161" s="111" t="inlineStr">
        <is>
          <t>Impacto Potencial</t>
        </is>
      </c>
      <c r="Z1161" s="111" t="inlineStr">
        <is>
          <t>PC</t>
        </is>
      </c>
      <c r="AA1161" s="111" t="inlineStr">
        <is>
          <t>Nao</t>
        </is>
      </c>
      <c r="AB1161" s="111" t="inlineStr">
        <is>
          <t>NAO_COMPUTADO</t>
        </is>
      </c>
      <c r="AC1161" s="112" t="inlineStr">
        <is>
          <t>Estrutura Fase 1: sem impacto no VTA oficial</t>
        </is>
      </c>
    </row>
    <row r="1162" ht="25.5" customHeight="1" s="289">
      <c r="A1162" s="205" t="n"/>
      <c r="B1162" s="207" t="n"/>
      <c r="C1162" s="104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348" t="n"/>
      <c r="E1162" s="349">
        <f>IF(C1162="","",IFERROR(VLOOKUP(C1162,parametros!$A$11:$E$15,5,0),""))</f>
        <v/>
      </c>
      <c r="F1162" s="335">
        <f>IF(OR(D1162="",E1162=""),"",ROUND(D1162*E1162,2))</f>
        <v/>
      </c>
      <c r="G1162" s="106" t="n"/>
      <c r="H1162" s="350">
        <f>IF(G1162="Sim",IF(OR(F1162="",D1162="",L1162=""),"",IF(L1162="Sim",ROUND(F1162-D1162,2),0)),0)</f>
        <v/>
      </c>
      <c r="I1162" s="350">
        <f>IF(G1162="Sim",0,IF(OR(F1162="",L1162=""),"",F1162))</f>
        <v/>
      </c>
      <c r="J1162" s="350">
        <f>IF(G1162="Sim",0,IF(OR(F1162="",D1162="",L1162=""),"",IF(L1162="Sim",ROUND(F1162-D1162,2),0)))</f>
        <v/>
      </c>
      <c r="K1162" s="97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inlineStr">
        <is>
          <t>Nao</t>
        </is>
      </c>
      <c r="W1162" s="110" t="inlineStr">
        <is>
          <t>PC em analise</t>
        </is>
      </c>
      <c r="X1162" s="110" t="inlineStr">
        <is>
          <t>Pedido de Compra</t>
        </is>
      </c>
      <c r="Y1162" s="111" t="inlineStr">
        <is>
          <t>Impacto Potencial</t>
        </is>
      </c>
      <c r="Z1162" s="111" t="inlineStr">
        <is>
          <t>PC</t>
        </is>
      </c>
      <c r="AA1162" s="111" t="inlineStr">
        <is>
          <t>Nao</t>
        </is>
      </c>
      <c r="AB1162" s="111" t="inlineStr">
        <is>
          <t>NAO_COMPUTADO</t>
        </is>
      </c>
      <c r="AC1162" s="112" t="inlineStr">
        <is>
          <t>Estrutura Fase 1: sem impacto no VTA oficial</t>
        </is>
      </c>
    </row>
    <row r="1163" ht="25.5" customHeight="1" s="289">
      <c r="A1163" s="205" t="n"/>
      <c r="B1163" s="207" t="n"/>
      <c r="C1163" s="104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348" t="n"/>
      <c r="E1163" s="349">
        <f>IF(C1163="","",IFERROR(VLOOKUP(C1163,parametros!$A$11:$E$15,5,0),""))</f>
        <v/>
      </c>
      <c r="F1163" s="335">
        <f>IF(OR(D1163="",E1163=""),"",ROUND(D1163*E1163,2))</f>
        <v/>
      </c>
      <c r="G1163" s="106" t="n"/>
      <c r="H1163" s="350">
        <f>IF(G1163="Sim",IF(OR(F1163="",D1163="",L1163=""),"",IF(L1163="Sim",ROUND(F1163-D1163,2),0)),0)</f>
        <v/>
      </c>
      <c r="I1163" s="350">
        <f>IF(G1163="Sim",0,IF(OR(F1163="",L1163=""),"",F1163))</f>
        <v/>
      </c>
      <c r="J1163" s="350">
        <f>IF(G1163="Sim",0,IF(OR(F1163="",D1163="",L1163=""),"",IF(L1163="Sim",ROUND(F1163-D1163,2),0)))</f>
        <v/>
      </c>
      <c r="K1163" s="97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inlineStr">
        <is>
          <t>Nao</t>
        </is>
      </c>
      <c r="W1163" s="110" t="inlineStr">
        <is>
          <t>PC em analise</t>
        </is>
      </c>
      <c r="X1163" s="110" t="inlineStr">
        <is>
          <t>Pedido de Compra</t>
        </is>
      </c>
      <c r="Y1163" s="111" t="inlineStr">
        <is>
          <t>Impacto Potencial</t>
        </is>
      </c>
      <c r="Z1163" s="111" t="inlineStr">
        <is>
          <t>PC</t>
        </is>
      </c>
      <c r="AA1163" s="111" t="inlineStr">
        <is>
          <t>Nao</t>
        </is>
      </c>
      <c r="AB1163" s="111" t="inlineStr">
        <is>
          <t>NAO_COMPUTADO</t>
        </is>
      </c>
      <c r="AC1163" s="112" t="inlineStr">
        <is>
          <t>Estrutura Fase 1: sem impacto no VTA oficial</t>
        </is>
      </c>
    </row>
    <row r="1164" ht="25.5" customHeight="1" s="289">
      <c r="A1164" s="205" t="n"/>
      <c r="B1164" s="207" t="n"/>
      <c r="C1164" s="104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348" t="n"/>
      <c r="E1164" s="349">
        <f>IF(C1164="","",IFERROR(VLOOKUP(C1164,parametros!$A$11:$E$15,5,0),""))</f>
        <v/>
      </c>
      <c r="F1164" s="335">
        <f>IF(OR(D1164="",E1164=""),"",ROUND(D1164*E1164,2))</f>
        <v/>
      </c>
      <c r="G1164" s="106" t="n"/>
      <c r="H1164" s="350">
        <f>IF(G1164="Sim",IF(OR(F1164="",D1164="",L1164=""),"",IF(L1164="Sim",ROUND(F1164-D1164,2),0)),0)</f>
        <v/>
      </c>
      <c r="I1164" s="350">
        <f>IF(G1164="Sim",0,IF(OR(F1164="",L1164=""),"",F1164))</f>
        <v/>
      </c>
      <c r="J1164" s="350">
        <f>IF(G1164="Sim",0,IF(OR(F1164="",D1164="",L1164=""),"",IF(L1164="Sim",ROUND(F1164-D1164,2),0)))</f>
        <v/>
      </c>
      <c r="K1164" s="97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inlineStr">
        <is>
          <t>Nao</t>
        </is>
      </c>
      <c r="W1164" s="110" t="inlineStr">
        <is>
          <t>PC em analise</t>
        </is>
      </c>
      <c r="X1164" s="110" t="inlineStr">
        <is>
          <t>Pedido de Compra</t>
        </is>
      </c>
      <c r="Y1164" s="111" t="inlineStr">
        <is>
          <t>Impacto Potencial</t>
        </is>
      </c>
      <c r="Z1164" s="111" t="inlineStr">
        <is>
          <t>PC</t>
        </is>
      </c>
      <c r="AA1164" s="111" t="inlineStr">
        <is>
          <t>Nao</t>
        </is>
      </c>
      <c r="AB1164" s="111" t="inlineStr">
        <is>
          <t>NAO_COMPUTADO</t>
        </is>
      </c>
      <c r="AC1164" s="112" t="inlineStr">
        <is>
          <t>Estrutura Fase 1: sem impacto no VTA oficial</t>
        </is>
      </c>
    </row>
    <row r="1165" ht="25.5" customHeight="1" s="289">
      <c r="A1165" s="205" t="n"/>
      <c r="B1165" s="207" t="n"/>
      <c r="C1165" s="104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348" t="n"/>
      <c r="E1165" s="349">
        <f>IF(C1165="","",IFERROR(VLOOKUP(C1165,parametros!$A$11:$E$15,5,0),""))</f>
        <v/>
      </c>
      <c r="F1165" s="335">
        <f>IF(OR(D1165="",E1165=""),"",ROUND(D1165*E1165,2))</f>
        <v/>
      </c>
      <c r="G1165" s="106" t="n"/>
      <c r="H1165" s="350">
        <f>IF(G1165="Sim",IF(OR(F1165="",D1165="",L1165=""),"",IF(L1165="Sim",ROUND(F1165-D1165,2),0)),0)</f>
        <v/>
      </c>
      <c r="I1165" s="350">
        <f>IF(G1165="Sim",0,IF(OR(F1165="",L1165=""),"",F1165))</f>
        <v/>
      </c>
      <c r="J1165" s="350">
        <f>IF(G1165="Sim",0,IF(OR(F1165="",D1165="",L1165=""),"",IF(L1165="Sim",ROUND(F1165-D1165,2),0)))</f>
        <v/>
      </c>
      <c r="K1165" s="97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inlineStr">
        <is>
          <t>Nao</t>
        </is>
      </c>
      <c r="W1165" s="110" t="inlineStr">
        <is>
          <t>PC em analise</t>
        </is>
      </c>
      <c r="X1165" s="110" t="inlineStr">
        <is>
          <t>Pedido de Compra</t>
        </is>
      </c>
      <c r="Y1165" s="111" t="inlineStr">
        <is>
          <t>Impacto Potencial</t>
        </is>
      </c>
      <c r="Z1165" s="111" t="inlineStr">
        <is>
          <t>PC</t>
        </is>
      </c>
      <c r="AA1165" s="111" t="inlineStr">
        <is>
          <t>Nao</t>
        </is>
      </c>
      <c r="AB1165" s="111" t="inlineStr">
        <is>
          <t>NAO_COMPUTADO</t>
        </is>
      </c>
      <c r="AC1165" s="112" t="inlineStr">
        <is>
          <t>Estrutura Fase 1: sem impacto no VTA oficial</t>
        </is>
      </c>
    </row>
    <row r="1166" ht="25.5" customHeight="1" s="289">
      <c r="A1166" s="205" t="n"/>
      <c r="B1166" s="207" t="n"/>
      <c r="C1166" s="104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348" t="n"/>
      <c r="E1166" s="349">
        <f>IF(C1166="","",IFERROR(VLOOKUP(C1166,parametros!$A$11:$E$15,5,0),""))</f>
        <v/>
      </c>
      <c r="F1166" s="335">
        <f>IF(OR(D1166="",E1166=""),"",ROUND(D1166*E1166,2))</f>
        <v/>
      </c>
      <c r="G1166" s="106" t="n"/>
      <c r="H1166" s="350">
        <f>IF(G1166="Sim",IF(OR(F1166="",D1166="",L1166=""),"",IF(L1166="Sim",ROUND(F1166-D1166,2),0)),0)</f>
        <v/>
      </c>
      <c r="I1166" s="350">
        <f>IF(G1166="Sim",0,IF(OR(F1166="",L1166=""),"",F1166))</f>
        <v/>
      </c>
      <c r="J1166" s="350">
        <f>IF(G1166="Sim",0,IF(OR(F1166="",D1166="",L1166=""),"",IF(L1166="Sim",ROUND(F1166-D1166,2),0)))</f>
        <v/>
      </c>
      <c r="K1166" s="97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inlineStr">
        <is>
          <t>Nao</t>
        </is>
      </c>
      <c r="W1166" s="110" t="inlineStr">
        <is>
          <t>PC em analise</t>
        </is>
      </c>
      <c r="X1166" s="110" t="inlineStr">
        <is>
          <t>Pedido de Compra</t>
        </is>
      </c>
      <c r="Y1166" s="111" t="inlineStr">
        <is>
          <t>Impacto Potencial</t>
        </is>
      </c>
      <c r="Z1166" s="111" t="inlineStr">
        <is>
          <t>PC</t>
        </is>
      </c>
      <c r="AA1166" s="111" t="inlineStr">
        <is>
          <t>Nao</t>
        </is>
      </c>
      <c r="AB1166" s="111" t="inlineStr">
        <is>
          <t>NAO_COMPUTADO</t>
        </is>
      </c>
      <c r="AC1166" s="112" t="inlineStr">
        <is>
          <t>Estrutura Fase 1: sem impacto no VTA oficial</t>
        </is>
      </c>
    </row>
    <row r="1167" ht="25.5" customHeight="1" s="289">
      <c r="A1167" s="205" t="n"/>
      <c r="B1167" s="207" t="n"/>
      <c r="C1167" s="104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348" t="n"/>
      <c r="E1167" s="349">
        <f>IF(C1167="","",IFERROR(VLOOKUP(C1167,parametros!$A$11:$E$15,5,0),""))</f>
        <v/>
      </c>
      <c r="F1167" s="335">
        <f>IF(OR(D1167="",E1167=""),"",ROUND(D1167*E1167,2))</f>
        <v/>
      </c>
      <c r="G1167" s="106" t="n"/>
      <c r="H1167" s="350">
        <f>IF(G1167="Sim",IF(OR(F1167="",D1167="",L1167=""),"",IF(L1167="Sim",ROUND(F1167-D1167,2),0)),0)</f>
        <v/>
      </c>
      <c r="I1167" s="350">
        <f>IF(G1167="Sim",0,IF(OR(F1167="",L1167=""),"",F1167))</f>
        <v/>
      </c>
      <c r="J1167" s="350">
        <f>IF(G1167="Sim",0,IF(OR(F1167="",D1167="",L1167=""),"",IF(L1167="Sim",ROUND(F1167-D1167,2),0)))</f>
        <v/>
      </c>
      <c r="K1167" s="97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inlineStr">
        <is>
          <t>Nao</t>
        </is>
      </c>
      <c r="W1167" s="110" t="inlineStr">
        <is>
          <t>PC em analise</t>
        </is>
      </c>
      <c r="X1167" s="110" t="inlineStr">
        <is>
          <t>Pedido de Compra</t>
        </is>
      </c>
      <c r="Y1167" s="111" t="inlineStr">
        <is>
          <t>Impacto Potencial</t>
        </is>
      </c>
      <c r="Z1167" s="111" t="inlineStr">
        <is>
          <t>PC</t>
        </is>
      </c>
      <c r="AA1167" s="111" t="inlineStr">
        <is>
          <t>Nao</t>
        </is>
      </c>
      <c r="AB1167" s="111" t="inlineStr">
        <is>
          <t>NAO_COMPUTADO</t>
        </is>
      </c>
      <c r="AC1167" s="112" t="inlineStr">
        <is>
          <t>Estrutura Fase 1: sem impacto no VTA oficial</t>
        </is>
      </c>
    </row>
    <row r="1168" ht="25.5" customHeight="1" s="289">
      <c r="A1168" s="205" t="n"/>
      <c r="B1168" s="207" t="n"/>
      <c r="C1168" s="104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348" t="n"/>
      <c r="E1168" s="349">
        <f>IF(C1168="","",IFERROR(VLOOKUP(C1168,parametros!$A$11:$E$15,5,0),""))</f>
        <v/>
      </c>
      <c r="F1168" s="335">
        <f>IF(OR(D1168="",E1168=""),"",ROUND(D1168*E1168,2))</f>
        <v/>
      </c>
      <c r="G1168" s="106" t="n"/>
      <c r="H1168" s="350">
        <f>IF(G1168="Sim",IF(OR(F1168="",D1168="",L1168=""),"",IF(L1168="Sim",ROUND(F1168-D1168,2),0)),0)</f>
        <v/>
      </c>
      <c r="I1168" s="350">
        <f>IF(G1168="Sim",0,IF(OR(F1168="",L1168=""),"",F1168))</f>
        <v/>
      </c>
      <c r="J1168" s="350">
        <f>IF(G1168="Sim",0,IF(OR(F1168="",D1168="",L1168=""),"",IF(L1168="Sim",ROUND(F1168-D1168,2),0)))</f>
        <v/>
      </c>
      <c r="K1168" s="97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inlineStr">
        <is>
          <t>Nao</t>
        </is>
      </c>
      <c r="W1168" s="110" t="inlineStr">
        <is>
          <t>PC em analise</t>
        </is>
      </c>
      <c r="X1168" s="110" t="inlineStr">
        <is>
          <t>Pedido de Compra</t>
        </is>
      </c>
      <c r="Y1168" s="111" t="inlineStr">
        <is>
          <t>Impacto Potencial</t>
        </is>
      </c>
      <c r="Z1168" s="111" t="inlineStr">
        <is>
          <t>PC</t>
        </is>
      </c>
      <c r="AA1168" s="111" t="inlineStr">
        <is>
          <t>Nao</t>
        </is>
      </c>
      <c r="AB1168" s="111" t="inlineStr">
        <is>
          <t>NAO_COMPUTADO</t>
        </is>
      </c>
      <c r="AC1168" s="112" t="inlineStr">
        <is>
          <t>Estrutura Fase 1: sem impacto no VTA oficial</t>
        </is>
      </c>
    </row>
    <row r="1169" ht="25.5" customHeight="1" s="289">
      <c r="A1169" s="205" t="n"/>
      <c r="B1169" s="207" t="n"/>
      <c r="C1169" s="104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348" t="n"/>
      <c r="E1169" s="349">
        <f>IF(C1169="","",IFERROR(VLOOKUP(C1169,parametros!$A$11:$E$15,5,0),""))</f>
        <v/>
      </c>
      <c r="F1169" s="335">
        <f>IF(OR(D1169="",E1169=""),"",ROUND(D1169*E1169,2))</f>
        <v/>
      </c>
      <c r="G1169" s="106" t="n"/>
      <c r="H1169" s="350">
        <f>IF(G1169="Sim",IF(OR(F1169="",D1169="",L1169=""),"",IF(L1169="Sim",ROUND(F1169-D1169,2),0)),0)</f>
        <v/>
      </c>
      <c r="I1169" s="350">
        <f>IF(G1169="Sim",0,IF(OR(F1169="",L1169=""),"",F1169))</f>
        <v/>
      </c>
      <c r="J1169" s="350">
        <f>IF(G1169="Sim",0,IF(OR(F1169="",D1169="",L1169=""),"",IF(L1169="Sim",ROUND(F1169-D1169,2),0)))</f>
        <v/>
      </c>
      <c r="K1169" s="97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inlineStr">
        <is>
          <t>Nao</t>
        </is>
      </c>
      <c r="W1169" s="110" t="inlineStr">
        <is>
          <t>PC em analise</t>
        </is>
      </c>
      <c r="X1169" s="110" t="inlineStr">
        <is>
          <t>Pedido de Compra</t>
        </is>
      </c>
      <c r="Y1169" s="111" t="inlineStr">
        <is>
          <t>Impacto Potencial</t>
        </is>
      </c>
      <c r="Z1169" s="111" t="inlineStr">
        <is>
          <t>PC</t>
        </is>
      </c>
      <c r="AA1169" s="111" t="inlineStr">
        <is>
          <t>Nao</t>
        </is>
      </c>
      <c r="AB1169" s="111" t="inlineStr">
        <is>
          <t>NAO_COMPUTADO</t>
        </is>
      </c>
      <c r="AC1169" s="112" t="inlineStr">
        <is>
          <t>Estrutura Fase 1: sem impacto no VTA oficial</t>
        </is>
      </c>
    </row>
    <row r="1170" ht="25.5" customHeight="1" s="289">
      <c r="A1170" s="205" t="n"/>
      <c r="B1170" s="207" t="n"/>
      <c r="C1170" s="104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348" t="n"/>
      <c r="E1170" s="349">
        <f>IF(C1170="","",IFERROR(VLOOKUP(C1170,parametros!$A$11:$E$15,5,0),""))</f>
        <v/>
      </c>
      <c r="F1170" s="335">
        <f>IF(OR(D1170="",E1170=""),"",ROUND(D1170*E1170,2))</f>
        <v/>
      </c>
      <c r="G1170" s="106" t="n"/>
      <c r="H1170" s="350">
        <f>IF(G1170="Sim",IF(OR(F1170="",D1170="",L1170=""),"",IF(L1170="Sim",ROUND(F1170-D1170,2),0)),0)</f>
        <v/>
      </c>
      <c r="I1170" s="350">
        <f>IF(G1170="Sim",0,IF(OR(F1170="",L1170=""),"",F1170))</f>
        <v/>
      </c>
      <c r="J1170" s="350">
        <f>IF(G1170="Sim",0,IF(OR(F1170="",D1170="",L1170=""),"",IF(L1170="Sim",ROUND(F1170-D1170,2),0)))</f>
        <v/>
      </c>
      <c r="K1170" s="97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inlineStr">
        <is>
          <t>Nao</t>
        </is>
      </c>
      <c r="W1170" s="110" t="inlineStr">
        <is>
          <t>PC em analise</t>
        </is>
      </c>
      <c r="X1170" s="110" t="inlineStr">
        <is>
          <t>Pedido de Compra</t>
        </is>
      </c>
      <c r="Y1170" s="111" t="inlineStr">
        <is>
          <t>Impacto Potencial</t>
        </is>
      </c>
      <c r="Z1170" s="111" t="inlineStr">
        <is>
          <t>PC</t>
        </is>
      </c>
      <c r="AA1170" s="111" t="inlineStr">
        <is>
          <t>Nao</t>
        </is>
      </c>
      <c r="AB1170" s="111" t="inlineStr">
        <is>
          <t>NAO_COMPUTADO</t>
        </is>
      </c>
      <c r="AC1170" s="112" t="inlineStr">
        <is>
          <t>Estrutura Fase 1: sem impacto no VTA oficial</t>
        </is>
      </c>
    </row>
    <row r="1171" ht="25.5" customHeight="1" s="289">
      <c r="A1171" s="205" t="n"/>
      <c r="B1171" s="207" t="n"/>
      <c r="C1171" s="104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348" t="n"/>
      <c r="E1171" s="349">
        <f>IF(C1171="","",IFERROR(VLOOKUP(C1171,parametros!$A$11:$E$15,5,0),""))</f>
        <v/>
      </c>
      <c r="F1171" s="335">
        <f>IF(OR(D1171="",E1171=""),"",ROUND(D1171*E1171,2))</f>
        <v/>
      </c>
      <c r="G1171" s="106" t="n"/>
      <c r="H1171" s="350">
        <f>IF(G1171="Sim",IF(OR(F1171="",D1171="",L1171=""),"",IF(L1171="Sim",ROUND(F1171-D1171,2),0)),0)</f>
        <v/>
      </c>
      <c r="I1171" s="350">
        <f>IF(G1171="Sim",0,IF(OR(F1171="",L1171=""),"",F1171))</f>
        <v/>
      </c>
      <c r="J1171" s="350">
        <f>IF(G1171="Sim",0,IF(OR(F1171="",D1171="",L1171=""),"",IF(L1171="Sim",ROUND(F1171-D1171,2),0)))</f>
        <v/>
      </c>
      <c r="K1171" s="97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inlineStr">
        <is>
          <t>Nao</t>
        </is>
      </c>
      <c r="W1171" s="110" t="inlineStr">
        <is>
          <t>PC em analise</t>
        </is>
      </c>
      <c r="X1171" s="110" t="inlineStr">
        <is>
          <t>Pedido de Compra</t>
        </is>
      </c>
      <c r="Y1171" s="111" t="inlineStr">
        <is>
          <t>Impacto Potencial</t>
        </is>
      </c>
      <c r="Z1171" s="111" t="inlineStr">
        <is>
          <t>PC</t>
        </is>
      </c>
      <c r="AA1171" s="111" t="inlineStr">
        <is>
          <t>Nao</t>
        </is>
      </c>
      <c r="AB1171" s="111" t="inlineStr">
        <is>
          <t>NAO_COMPUTADO</t>
        </is>
      </c>
      <c r="AC1171" s="112" t="inlineStr">
        <is>
          <t>Estrutura Fase 1: sem impacto no VTA oficial</t>
        </is>
      </c>
    </row>
    <row r="1172" ht="25.5" customHeight="1" s="289">
      <c r="A1172" s="205" t="n"/>
      <c r="B1172" s="207" t="n"/>
      <c r="C1172" s="104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348" t="n"/>
      <c r="E1172" s="349">
        <f>IF(C1172="","",IFERROR(VLOOKUP(C1172,parametros!$A$11:$E$15,5,0),""))</f>
        <v/>
      </c>
      <c r="F1172" s="335">
        <f>IF(OR(D1172="",E1172=""),"",ROUND(D1172*E1172,2))</f>
        <v/>
      </c>
      <c r="G1172" s="106" t="n"/>
      <c r="H1172" s="350">
        <f>IF(G1172="Sim",IF(OR(F1172="",D1172="",L1172=""),"",IF(L1172="Sim",ROUND(F1172-D1172,2),0)),0)</f>
        <v/>
      </c>
      <c r="I1172" s="350">
        <f>IF(G1172="Sim",0,IF(OR(F1172="",L1172=""),"",F1172))</f>
        <v/>
      </c>
      <c r="J1172" s="350">
        <f>IF(G1172="Sim",0,IF(OR(F1172="",D1172="",L1172=""),"",IF(L1172="Sim",ROUND(F1172-D1172,2),0)))</f>
        <v/>
      </c>
      <c r="K1172" s="97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inlineStr">
        <is>
          <t>Nao</t>
        </is>
      </c>
      <c r="W1172" s="110" t="inlineStr">
        <is>
          <t>PC em analise</t>
        </is>
      </c>
      <c r="X1172" s="110" t="inlineStr">
        <is>
          <t>Pedido de Compra</t>
        </is>
      </c>
      <c r="Y1172" s="111" t="inlineStr">
        <is>
          <t>Impacto Potencial</t>
        </is>
      </c>
      <c r="Z1172" s="111" t="inlineStr">
        <is>
          <t>PC</t>
        </is>
      </c>
      <c r="AA1172" s="111" t="inlineStr">
        <is>
          <t>Nao</t>
        </is>
      </c>
      <c r="AB1172" s="111" t="inlineStr">
        <is>
          <t>NAO_COMPUTADO</t>
        </is>
      </c>
      <c r="AC1172" s="112" t="inlineStr">
        <is>
          <t>Estrutura Fase 1: sem impacto no VTA oficial</t>
        </is>
      </c>
    </row>
    <row r="1173" ht="25.5" customHeight="1" s="289">
      <c r="A1173" s="205" t="n"/>
      <c r="B1173" s="207" t="n"/>
      <c r="C1173" s="104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348" t="n"/>
      <c r="E1173" s="349">
        <f>IF(C1173="","",IFERROR(VLOOKUP(C1173,parametros!$A$11:$E$15,5,0),""))</f>
        <v/>
      </c>
      <c r="F1173" s="335">
        <f>IF(OR(D1173="",E1173=""),"",ROUND(D1173*E1173,2))</f>
        <v/>
      </c>
      <c r="G1173" s="106" t="n"/>
      <c r="H1173" s="350">
        <f>IF(G1173="Sim",IF(OR(F1173="",D1173="",L1173=""),"",IF(L1173="Sim",ROUND(F1173-D1173,2),0)),0)</f>
        <v/>
      </c>
      <c r="I1173" s="350">
        <f>IF(G1173="Sim",0,IF(OR(F1173="",L1173=""),"",F1173))</f>
        <v/>
      </c>
      <c r="J1173" s="350">
        <f>IF(G1173="Sim",0,IF(OR(F1173="",D1173="",L1173=""),"",IF(L1173="Sim",ROUND(F1173-D1173,2),0)))</f>
        <v/>
      </c>
      <c r="K1173" s="97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inlineStr">
        <is>
          <t>Nao</t>
        </is>
      </c>
      <c r="W1173" s="110" t="inlineStr">
        <is>
          <t>PC em analise</t>
        </is>
      </c>
      <c r="X1173" s="110" t="inlineStr">
        <is>
          <t>Pedido de Compra</t>
        </is>
      </c>
      <c r="Y1173" s="111" t="inlineStr">
        <is>
          <t>Impacto Potencial</t>
        </is>
      </c>
      <c r="Z1173" s="111" t="inlineStr">
        <is>
          <t>PC</t>
        </is>
      </c>
      <c r="AA1173" s="111" t="inlineStr">
        <is>
          <t>Nao</t>
        </is>
      </c>
      <c r="AB1173" s="111" t="inlineStr">
        <is>
          <t>NAO_COMPUTADO</t>
        </is>
      </c>
      <c r="AC1173" s="112" t="inlineStr">
        <is>
          <t>Estrutura Fase 1: sem impacto no VTA oficial</t>
        </is>
      </c>
    </row>
    <row r="1174" ht="25.5" customHeight="1" s="289">
      <c r="A1174" s="205" t="n"/>
      <c r="B1174" s="207" t="n"/>
      <c r="C1174" s="104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348" t="n"/>
      <c r="E1174" s="349">
        <f>IF(C1174="","",IFERROR(VLOOKUP(C1174,parametros!$A$11:$E$15,5,0),""))</f>
        <v/>
      </c>
      <c r="F1174" s="335">
        <f>IF(OR(D1174="",E1174=""),"",ROUND(D1174*E1174,2))</f>
        <v/>
      </c>
      <c r="G1174" s="106" t="n"/>
      <c r="H1174" s="350">
        <f>IF(G1174="Sim",IF(OR(F1174="",D1174="",L1174=""),"",IF(L1174="Sim",ROUND(F1174-D1174,2),0)),0)</f>
        <v/>
      </c>
      <c r="I1174" s="350">
        <f>IF(G1174="Sim",0,IF(OR(F1174="",L1174=""),"",F1174))</f>
        <v/>
      </c>
      <c r="J1174" s="350">
        <f>IF(G1174="Sim",0,IF(OR(F1174="",D1174="",L1174=""),"",IF(L1174="Sim",ROUND(F1174-D1174,2),0)))</f>
        <v/>
      </c>
      <c r="K1174" s="97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inlineStr">
        <is>
          <t>Nao</t>
        </is>
      </c>
      <c r="W1174" s="110" t="inlineStr">
        <is>
          <t>PC em analise</t>
        </is>
      </c>
      <c r="X1174" s="110" t="inlineStr">
        <is>
          <t>Pedido de Compra</t>
        </is>
      </c>
      <c r="Y1174" s="111" t="inlineStr">
        <is>
          <t>Impacto Potencial</t>
        </is>
      </c>
      <c r="Z1174" s="111" t="inlineStr">
        <is>
          <t>PC</t>
        </is>
      </c>
      <c r="AA1174" s="111" t="inlineStr">
        <is>
          <t>Nao</t>
        </is>
      </c>
      <c r="AB1174" s="111" t="inlineStr">
        <is>
          <t>NAO_COMPUTADO</t>
        </is>
      </c>
      <c r="AC1174" s="112" t="inlineStr">
        <is>
          <t>Estrutura Fase 1: sem impacto no VTA oficial</t>
        </is>
      </c>
    </row>
    <row r="1175" ht="25.5" customHeight="1" s="289">
      <c r="A1175" s="205" t="n"/>
      <c r="B1175" s="207" t="n"/>
      <c r="C1175" s="104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348" t="n"/>
      <c r="E1175" s="349">
        <f>IF(C1175="","",IFERROR(VLOOKUP(C1175,parametros!$A$11:$E$15,5,0),""))</f>
        <v/>
      </c>
      <c r="F1175" s="335">
        <f>IF(OR(D1175="",E1175=""),"",ROUND(D1175*E1175,2))</f>
        <v/>
      </c>
      <c r="G1175" s="106" t="n"/>
      <c r="H1175" s="350">
        <f>IF(G1175="Sim",IF(OR(F1175="",D1175="",L1175=""),"",IF(L1175="Sim",ROUND(F1175-D1175,2),0)),0)</f>
        <v/>
      </c>
      <c r="I1175" s="350">
        <f>IF(G1175="Sim",0,IF(OR(F1175="",L1175=""),"",F1175))</f>
        <v/>
      </c>
      <c r="J1175" s="350">
        <f>IF(G1175="Sim",0,IF(OR(F1175="",D1175="",L1175=""),"",IF(L1175="Sim",ROUND(F1175-D1175,2),0)))</f>
        <v/>
      </c>
      <c r="K1175" s="97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inlineStr">
        <is>
          <t>Nao</t>
        </is>
      </c>
      <c r="W1175" s="110" t="inlineStr">
        <is>
          <t>PC em analise</t>
        </is>
      </c>
      <c r="X1175" s="110" t="inlineStr">
        <is>
          <t>Pedido de Compra</t>
        </is>
      </c>
      <c r="Y1175" s="111" t="inlineStr">
        <is>
          <t>Impacto Potencial</t>
        </is>
      </c>
      <c r="Z1175" s="111" t="inlineStr">
        <is>
          <t>PC</t>
        </is>
      </c>
      <c r="AA1175" s="111" t="inlineStr">
        <is>
          <t>Nao</t>
        </is>
      </c>
      <c r="AB1175" s="111" t="inlineStr">
        <is>
          <t>NAO_COMPUTADO</t>
        </is>
      </c>
      <c r="AC1175" s="112" t="inlineStr">
        <is>
          <t>Estrutura Fase 1: sem impacto no VTA oficial</t>
        </is>
      </c>
    </row>
    <row r="1176" ht="25.5" customHeight="1" s="289">
      <c r="A1176" s="205" t="n"/>
      <c r="B1176" s="207" t="n"/>
      <c r="C1176" s="104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348" t="n"/>
      <c r="E1176" s="349">
        <f>IF(C1176="","",IFERROR(VLOOKUP(C1176,parametros!$A$11:$E$15,5,0),""))</f>
        <v/>
      </c>
      <c r="F1176" s="335">
        <f>IF(OR(D1176="",E1176=""),"",ROUND(D1176*E1176,2))</f>
        <v/>
      </c>
      <c r="G1176" s="106" t="n"/>
      <c r="H1176" s="350">
        <f>IF(G1176="Sim",IF(OR(F1176="",D1176="",L1176=""),"",IF(L1176="Sim",ROUND(F1176-D1176,2),0)),0)</f>
        <v/>
      </c>
      <c r="I1176" s="350">
        <f>IF(G1176="Sim",0,IF(OR(F1176="",L1176=""),"",F1176))</f>
        <v/>
      </c>
      <c r="J1176" s="350">
        <f>IF(G1176="Sim",0,IF(OR(F1176="",D1176="",L1176=""),"",IF(L1176="Sim",ROUND(F1176-D1176,2),0)))</f>
        <v/>
      </c>
      <c r="K1176" s="97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inlineStr">
        <is>
          <t>Nao</t>
        </is>
      </c>
      <c r="W1176" s="110" t="inlineStr">
        <is>
          <t>PC em analise</t>
        </is>
      </c>
      <c r="X1176" s="110" t="inlineStr">
        <is>
          <t>Pedido de Compra</t>
        </is>
      </c>
      <c r="Y1176" s="111" t="inlineStr">
        <is>
          <t>Impacto Potencial</t>
        </is>
      </c>
      <c r="Z1176" s="111" t="inlineStr">
        <is>
          <t>PC</t>
        </is>
      </c>
      <c r="AA1176" s="111" t="inlineStr">
        <is>
          <t>Nao</t>
        </is>
      </c>
      <c r="AB1176" s="111" t="inlineStr">
        <is>
          <t>NAO_COMPUTADO</t>
        </is>
      </c>
      <c r="AC1176" s="112" t="inlineStr">
        <is>
          <t>Estrutura Fase 1: sem impacto no VTA oficial</t>
        </is>
      </c>
    </row>
    <row r="1177" ht="25.5" customHeight="1" s="289">
      <c r="A1177" s="205" t="n"/>
      <c r="B1177" s="207" t="n"/>
      <c r="C1177" s="104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348" t="n"/>
      <c r="E1177" s="349">
        <f>IF(C1177="","",IFERROR(VLOOKUP(C1177,parametros!$A$11:$E$15,5,0),""))</f>
        <v/>
      </c>
      <c r="F1177" s="335">
        <f>IF(OR(D1177="",E1177=""),"",ROUND(D1177*E1177,2))</f>
        <v/>
      </c>
      <c r="G1177" s="106" t="n"/>
      <c r="H1177" s="350">
        <f>IF(G1177="Sim",IF(OR(F1177="",D1177="",L1177=""),"",IF(L1177="Sim",ROUND(F1177-D1177,2),0)),0)</f>
        <v/>
      </c>
      <c r="I1177" s="350">
        <f>IF(G1177="Sim",0,IF(OR(F1177="",L1177=""),"",F1177))</f>
        <v/>
      </c>
      <c r="J1177" s="350">
        <f>IF(G1177="Sim",0,IF(OR(F1177="",D1177="",L1177=""),"",IF(L1177="Sim",ROUND(F1177-D1177,2),0)))</f>
        <v/>
      </c>
      <c r="K1177" s="97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inlineStr">
        <is>
          <t>Nao</t>
        </is>
      </c>
      <c r="W1177" s="110" t="inlineStr">
        <is>
          <t>PC em analise</t>
        </is>
      </c>
      <c r="X1177" s="110" t="inlineStr">
        <is>
          <t>Pedido de Compra</t>
        </is>
      </c>
      <c r="Y1177" s="111" t="inlineStr">
        <is>
          <t>Impacto Potencial</t>
        </is>
      </c>
      <c r="Z1177" s="111" t="inlineStr">
        <is>
          <t>PC</t>
        </is>
      </c>
      <c r="AA1177" s="111" t="inlineStr">
        <is>
          <t>Nao</t>
        </is>
      </c>
      <c r="AB1177" s="111" t="inlineStr">
        <is>
          <t>NAO_COMPUTADO</t>
        </is>
      </c>
      <c r="AC1177" s="112" t="inlineStr">
        <is>
          <t>Estrutura Fase 1: sem impacto no VTA oficial</t>
        </is>
      </c>
    </row>
    <row r="1178" ht="25.5" customHeight="1" s="289">
      <c r="A1178" s="205" t="n"/>
      <c r="B1178" s="207" t="n"/>
      <c r="C1178" s="104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348" t="n"/>
      <c r="E1178" s="349">
        <f>IF(C1178="","",IFERROR(VLOOKUP(C1178,parametros!$A$11:$E$15,5,0),""))</f>
        <v/>
      </c>
      <c r="F1178" s="335">
        <f>IF(OR(D1178="",E1178=""),"",ROUND(D1178*E1178,2))</f>
        <v/>
      </c>
      <c r="G1178" s="106" t="n"/>
      <c r="H1178" s="350">
        <f>IF(G1178="Sim",IF(OR(F1178="",D1178="",L1178=""),"",IF(L1178="Sim",ROUND(F1178-D1178,2),0)),0)</f>
        <v/>
      </c>
      <c r="I1178" s="350">
        <f>IF(G1178="Sim",0,IF(OR(F1178="",L1178=""),"",F1178))</f>
        <v/>
      </c>
      <c r="J1178" s="350">
        <f>IF(G1178="Sim",0,IF(OR(F1178="",D1178="",L1178=""),"",IF(L1178="Sim",ROUND(F1178-D1178,2),0)))</f>
        <v/>
      </c>
      <c r="K1178" s="97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inlineStr">
        <is>
          <t>Nao</t>
        </is>
      </c>
      <c r="W1178" s="110" t="inlineStr">
        <is>
          <t>PC em analise</t>
        </is>
      </c>
      <c r="X1178" s="110" t="inlineStr">
        <is>
          <t>Pedido de Compra</t>
        </is>
      </c>
      <c r="Y1178" s="111" t="inlineStr">
        <is>
          <t>Impacto Potencial</t>
        </is>
      </c>
      <c r="Z1178" s="111" t="inlineStr">
        <is>
          <t>PC</t>
        </is>
      </c>
      <c r="AA1178" s="111" t="inlineStr">
        <is>
          <t>Nao</t>
        </is>
      </c>
      <c r="AB1178" s="111" t="inlineStr">
        <is>
          <t>NAO_COMPUTADO</t>
        </is>
      </c>
      <c r="AC1178" s="112" t="inlineStr">
        <is>
          <t>Estrutura Fase 1: sem impacto no VTA oficial</t>
        </is>
      </c>
    </row>
    <row r="1179" ht="25.5" customHeight="1" s="289">
      <c r="A1179" s="205" t="n"/>
      <c r="B1179" s="207" t="n"/>
      <c r="C1179" s="104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348" t="n"/>
      <c r="E1179" s="349">
        <f>IF(C1179="","",IFERROR(VLOOKUP(C1179,parametros!$A$11:$E$15,5,0),""))</f>
        <v/>
      </c>
      <c r="F1179" s="335">
        <f>IF(OR(D1179="",E1179=""),"",ROUND(D1179*E1179,2))</f>
        <v/>
      </c>
      <c r="G1179" s="106" t="n"/>
      <c r="H1179" s="350">
        <f>IF(G1179="Sim",IF(OR(F1179="",D1179="",L1179=""),"",IF(L1179="Sim",ROUND(F1179-D1179,2),0)),0)</f>
        <v/>
      </c>
      <c r="I1179" s="350">
        <f>IF(G1179="Sim",0,IF(OR(F1179="",L1179=""),"",F1179))</f>
        <v/>
      </c>
      <c r="J1179" s="350">
        <f>IF(G1179="Sim",0,IF(OR(F1179="",D1179="",L1179=""),"",IF(L1179="Sim",ROUND(F1179-D1179,2),0)))</f>
        <v/>
      </c>
      <c r="K1179" s="97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inlineStr">
        <is>
          <t>Nao</t>
        </is>
      </c>
      <c r="W1179" s="110" t="inlineStr">
        <is>
          <t>PC em analise</t>
        </is>
      </c>
      <c r="X1179" s="110" t="inlineStr">
        <is>
          <t>Pedido de Compra</t>
        </is>
      </c>
      <c r="Y1179" s="111" t="inlineStr">
        <is>
          <t>Impacto Potencial</t>
        </is>
      </c>
      <c r="Z1179" s="111" t="inlineStr">
        <is>
          <t>PC</t>
        </is>
      </c>
      <c r="AA1179" s="111" t="inlineStr">
        <is>
          <t>Nao</t>
        </is>
      </c>
      <c r="AB1179" s="111" t="inlineStr">
        <is>
          <t>NAO_COMPUTADO</t>
        </is>
      </c>
      <c r="AC1179" s="112" t="inlineStr">
        <is>
          <t>Estrutura Fase 1: sem impacto no VTA oficial</t>
        </is>
      </c>
    </row>
    <row r="1180" ht="25.5" customHeight="1" s="289">
      <c r="A1180" s="205" t="n"/>
      <c r="B1180" s="207" t="n"/>
      <c r="C1180" s="104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348" t="n"/>
      <c r="E1180" s="349">
        <f>IF(C1180="","",IFERROR(VLOOKUP(C1180,parametros!$A$11:$E$15,5,0),""))</f>
        <v/>
      </c>
      <c r="F1180" s="335">
        <f>IF(OR(D1180="",E1180=""),"",ROUND(D1180*E1180,2))</f>
        <v/>
      </c>
      <c r="G1180" s="106" t="n"/>
      <c r="H1180" s="350">
        <f>IF(G1180="Sim",IF(OR(F1180="",D1180="",L1180=""),"",IF(L1180="Sim",ROUND(F1180-D1180,2),0)),0)</f>
        <v/>
      </c>
      <c r="I1180" s="350">
        <f>IF(G1180="Sim",0,IF(OR(F1180="",L1180=""),"",F1180))</f>
        <v/>
      </c>
      <c r="J1180" s="350">
        <f>IF(G1180="Sim",0,IF(OR(F1180="",D1180="",L1180=""),"",IF(L1180="Sim",ROUND(F1180-D1180,2),0)))</f>
        <v/>
      </c>
      <c r="K1180" s="97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inlineStr">
        <is>
          <t>Nao</t>
        </is>
      </c>
      <c r="W1180" s="110" t="inlineStr">
        <is>
          <t>PC em analise</t>
        </is>
      </c>
      <c r="X1180" s="110" t="inlineStr">
        <is>
          <t>Pedido de Compra</t>
        </is>
      </c>
      <c r="Y1180" s="111" t="inlineStr">
        <is>
          <t>Impacto Potencial</t>
        </is>
      </c>
      <c r="Z1180" s="111" t="inlineStr">
        <is>
          <t>PC</t>
        </is>
      </c>
      <c r="AA1180" s="111" t="inlineStr">
        <is>
          <t>Nao</t>
        </is>
      </c>
      <c r="AB1180" s="111" t="inlineStr">
        <is>
          <t>NAO_COMPUTADO</t>
        </is>
      </c>
      <c r="AC1180" s="112" t="inlineStr">
        <is>
          <t>Estrutura Fase 1: sem impacto no VTA oficial</t>
        </is>
      </c>
    </row>
    <row r="1181" ht="25.5" customHeight="1" s="289">
      <c r="A1181" s="205" t="n"/>
      <c r="B1181" s="207" t="n"/>
      <c r="C1181" s="104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348" t="n"/>
      <c r="E1181" s="349">
        <f>IF(C1181="","",IFERROR(VLOOKUP(C1181,parametros!$A$11:$E$15,5,0),""))</f>
        <v/>
      </c>
      <c r="F1181" s="335">
        <f>IF(OR(D1181="",E1181=""),"",ROUND(D1181*E1181,2))</f>
        <v/>
      </c>
      <c r="G1181" s="106" t="n"/>
      <c r="H1181" s="350">
        <f>IF(G1181="Sim",IF(OR(F1181="",D1181="",L1181=""),"",IF(L1181="Sim",ROUND(F1181-D1181,2),0)),0)</f>
        <v/>
      </c>
      <c r="I1181" s="350">
        <f>IF(G1181="Sim",0,IF(OR(F1181="",L1181=""),"",F1181))</f>
        <v/>
      </c>
      <c r="J1181" s="350">
        <f>IF(G1181="Sim",0,IF(OR(F1181="",D1181="",L1181=""),"",IF(L1181="Sim",ROUND(F1181-D1181,2),0)))</f>
        <v/>
      </c>
      <c r="K1181" s="97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inlineStr">
        <is>
          <t>Nao</t>
        </is>
      </c>
      <c r="W1181" s="110" t="inlineStr">
        <is>
          <t>PC em analise</t>
        </is>
      </c>
      <c r="X1181" s="110" t="inlineStr">
        <is>
          <t>Pedido de Compra</t>
        </is>
      </c>
      <c r="Y1181" s="111" t="inlineStr">
        <is>
          <t>Impacto Potencial</t>
        </is>
      </c>
      <c r="Z1181" s="111" t="inlineStr">
        <is>
          <t>PC</t>
        </is>
      </c>
      <c r="AA1181" s="111" t="inlineStr">
        <is>
          <t>Nao</t>
        </is>
      </c>
      <c r="AB1181" s="111" t="inlineStr">
        <is>
          <t>NAO_COMPUTADO</t>
        </is>
      </c>
      <c r="AC1181" s="112" t="inlineStr">
        <is>
          <t>Estrutura Fase 1: sem impacto no VTA oficial</t>
        </is>
      </c>
    </row>
    <row r="1182" ht="25.5" customHeight="1" s="289">
      <c r="A1182" s="205" t="n"/>
      <c r="B1182" s="207" t="n"/>
      <c r="C1182" s="104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348" t="n"/>
      <c r="E1182" s="349">
        <f>IF(C1182="","",IFERROR(VLOOKUP(C1182,parametros!$A$11:$E$15,5,0),""))</f>
        <v/>
      </c>
      <c r="F1182" s="335">
        <f>IF(OR(D1182="",E1182=""),"",ROUND(D1182*E1182,2))</f>
        <v/>
      </c>
      <c r="G1182" s="106" t="n"/>
      <c r="H1182" s="350">
        <f>IF(G1182="Sim",IF(OR(F1182="",D1182="",L1182=""),"",IF(L1182="Sim",ROUND(F1182-D1182,2),0)),0)</f>
        <v/>
      </c>
      <c r="I1182" s="350">
        <f>IF(G1182="Sim",0,IF(OR(F1182="",L1182=""),"",F1182))</f>
        <v/>
      </c>
      <c r="J1182" s="350">
        <f>IF(G1182="Sim",0,IF(OR(F1182="",D1182="",L1182=""),"",IF(L1182="Sim",ROUND(F1182-D1182,2),0)))</f>
        <v/>
      </c>
      <c r="K1182" s="97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inlineStr">
        <is>
          <t>Nao</t>
        </is>
      </c>
      <c r="W1182" s="110" t="inlineStr">
        <is>
          <t>PC em analise</t>
        </is>
      </c>
      <c r="X1182" s="110" t="inlineStr">
        <is>
          <t>Pedido de Compra</t>
        </is>
      </c>
      <c r="Y1182" s="111" t="inlineStr">
        <is>
          <t>Impacto Potencial</t>
        </is>
      </c>
      <c r="Z1182" s="111" t="inlineStr">
        <is>
          <t>PC</t>
        </is>
      </c>
      <c r="AA1182" s="111" t="inlineStr">
        <is>
          <t>Nao</t>
        </is>
      </c>
      <c r="AB1182" s="111" t="inlineStr">
        <is>
          <t>NAO_COMPUTADO</t>
        </is>
      </c>
      <c r="AC1182" s="112" t="inlineStr">
        <is>
          <t>Estrutura Fase 1: sem impacto no VTA oficial</t>
        </is>
      </c>
    </row>
    <row r="1183" ht="25.5" customHeight="1" s="289">
      <c r="A1183" s="205" t="n"/>
      <c r="B1183" s="207" t="n"/>
      <c r="C1183" s="104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348" t="n"/>
      <c r="E1183" s="349">
        <f>IF(C1183="","",IFERROR(VLOOKUP(C1183,parametros!$A$11:$E$15,5,0),""))</f>
        <v/>
      </c>
      <c r="F1183" s="335">
        <f>IF(OR(D1183="",E1183=""),"",ROUND(D1183*E1183,2))</f>
        <v/>
      </c>
      <c r="G1183" s="106" t="n"/>
      <c r="H1183" s="350">
        <f>IF(G1183="Sim",IF(OR(F1183="",D1183="",L1183=""),"",IF(L1183="Sim",ROUND(F1183-D1183,2),0)),0)</f>
        <v/>
      </c>
      <c r="I1183" s="350">
        <f>IF(G1183="Sim",0,IF(OR(F1183="",L1183=""),"",F1183))</f>
        <v/>
      </c>
      <c r="J1183" s="350">
        <f>IF(G1183="Sim",0,IF(OR(F1183="",D1183="",L1183=""),"",IF(L1183="Sim",ROUND(F1183-D1183,2),0)))</f>
        <v/>
      </c>
      <c r="K1183" s="97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inlineStr">
        <is>
          <t>Nao</t>
        </is>
      </c>
      <c r="W1183" s="110" t="inlineStr">
        <is>
          <t>PC em analise</t>
        </is>
      </c>
      <c r="X1183" s="110" t="inlineStr">
        <is>
          <t>Pedido de Compra</t>
        </is>
      </c>
      <c r="Y1183" s="111" t="inlineStr">
        <is>
          <t>Impacto Potencial</t>
        </is>
      </c>
      <c r="Z1183" s="111" t="inlineStr">
        <is>
          <t>PC</t>
        </is>
      </c>
      <c r="AA1183" s="111" t="inlineStr">
        <is>
          <t>Nao</t>
        </is>
      </c>
      <c r="AB1183" s="111" t="inlineStr">
        <is>
          <t>NAO_COMPUTADO</t>
        </is>
      </c>
      <c r="AC1183" s="112" t="inlineStr">
        <is>
          <t>Estrutura Fase 1: sem impacto no VTA oficial</t>
        </is>
      </c>
    </row>
    <row r="1184" ht="25.5" customHeight="1" s="289">
      <c r="A1184" s="205" t="n"/>
      <c r="B1184" s="207" t="n"/>
      <c r="C1184" s="104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348" t="n"/>
      <c r="E1184" s="349">
        <f>IF(C1184="","",IFERROR(VLOOKUP(C1184,parametros!$A$11:$E$15,5,0),""))</f>
        <v/>
      </c>
      <c r="F1184" s="335">
        <f>IF(OR(D1184="",E1184=""),"",ROUND(D1184*E1184,2))</f>
        <v/>
      </c>
      <c r="G1184" s="106" t="n"/>
      <c r="H1184" s="350">
        <f>IF(G1184="Sim",IF(OR(F1184="",D1184="",L1184=""),"",IF(L1184="Sim",ROUND(F1184-D1184,2),0)),0)</f>
        <v/>
      </c>
      <c r="I1184" s="350">
        <f>IF(G1184="Sim",0,IF(OR(F1184="",L1184=""),"",F1184))</f>
        <v/>
      </c>
      <c r="J1184" s="350">
        <f>IF(G1184="Sim",0,IF(OR(F1184="",D1184="",L1184=""),"",IF(L1184="Sim",ROUND(F1184-D1184,2),0)))</f>
        <v/>
      </c>
      <c r="K1184" s="97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inlineStr">
        <is>
          <t>Nao</t>
        </is>
      </c>
      <c r="W1184" s="110" t="inlineStr">
        <is>
          <t>PC em analise</t>
        </is>
      </c>
      <c r="X1184" s="110" t="inlineStr">
        <is>
          <t>Pedido de Compra</t>
        </is>
      </c>
      <c r="Y1184" s="111" t="inlineStr">
        <is>
          <t>Impacto Potencial</t>
        </is>
      </c>
      <c r="Z1184" s="111" t="inlineStr">
        <is>
          <t>PC</t>
        </is>
      </c>
      <c r="AA1184" s="111" t="inlineStr">
        <is>
          <t>Nao</t>
        </is>
      </c>
      <c r="AB1184" s="111" t="inlineStr">
        <is>
          <t>NAO_COMPUTADO</t>
        </is>
      </c>
      <c r="AC1184" s="112" t="inlineStr">
        <is>
          <t>Estrutura Fase 1: sem impacto no VTA oficial</t>
        </is>
      </c>
    </row>
    <row r="1185" ht="25.5" customHeight="1" s="289">
      <c r="A1185" s="205" t="n"/>
      <c r="B1185" s="207" t="n"/>
      <c r="C1185" s="104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348" t="n"/>
      <c r="E1185" s="349">
        <f>IF(C1185="","",IFERROR(VLOOKUP(C1185,parametros!$A$11:$E$15,5,0),""))</f>
        <v/>
      </c>
      <c r="F1185" s="335">
        <f>IF(OR(D1185="",E1185=""),"",ROUND(D1185*E1185,2))</f>
        <v/>
      </c>
      <c r="G1185" s="106" t="n"/>
      <c r="H1185" s="350">
        <f>IF(G1185="Sim",IF(OR(F1185="",D1185="",L1185=""),"",IF(L1185="Sim",ROUND(F1185-D1185,2),0)),0)</f>
        <v/>
      </c>
      <c r="I1185" s="350">
        <f>IF(G1185="Sim",0,IF(OR(F1185="",L1185=""),"",F1185))</f>
        <v/>
      </c>
      <c r="J1185" s="350">
        <f>IF(G1185="Sim",0,IF(OR(F1185="",D1185="",L1185=""),"",IF(L1185="Sim",ROUND(F1185-D1185,2),0)))</f>
        <v/>
      </c>
      <c r="K1185" s="97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inlineStr">
        <is>
          <t>Nao</t>
        </is>
      </c>
      <c r="W1185" s="110" t="inlineStr">
        <is>
          <t>PC em analise</t>
        </is>
      </c>
      <c r="X1185" s="110" t="inlineStr">
        <is>
          <t>Pedido de Compra</t>
        </is>
      </c>
      <c r="Y1185" s="111" t="inlineStr">
        <is>
          <t>Impacto Potencial</t>
        </is>
      </c>
      <c r="Z1185" s="111" t="inlineStr">
        <is>
          <t>PC</t>
        </is>
      </c>
      <c r="AA1185" s="111" t="inlineStr">
        <is>
          <t>Nao</t>
        </is>
      </c>
      <c r="AB1185" s="111" t="inlineStr">
        <is>
          <t>NAO_COMPUTADO</t>
        </is>
      </c>
      <c r="AC1185" s="112" t="inlineStr">
        <is>
          <t>Estrutura Fase 1: sem impacto no VTA oficial</t>
        </is>
      </c>
    </row>
    <row r="1186" ht="25.5" customHeight="1" s="289">
      <c r="A1186" s="205" t="n"/>
      <c r="B1186" s="207" t="n"/>
      <c r="C1186" s="104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348" t="n"/>
      <c r="E1186" s="349">
        <f>IF(C1186="","",IFERROR(VLOOKUP(C1186,parametros!$A$11:$E$15,5,0),""))</f>
        <v/>
      </c>
      <c r="F1186" s="335">
        <f>IF(OR(D1186="",E1186=""),"",ROUND(D1186*E1186,2))</f>
        <v/>
      </c>
      <c r="G1186" s="106" t="n"/>
      <c r="H1186" s="350">
        <f>IF(G1186="Sim",IF(OR(F1186="",D1186="",L1186=""),"",IF(L1186="Sim",ROUND(F1186-D1186,2),0)),0)</f>
        <v/>
      </c>
      <c r="I1186" s="350">
        <f>IF(G1186="Sim",0,IF(OR(F1186="",L1186=""),"",F1186))</f>
        <v/>
      </c>
      <c r="J1186" s="350">
        <f>IF(G1186="Sim",0,IF(OR(F1186="",D1186="",L1186=""),"",IF(L1186="Sim",ROUND(F1186-D1186,2),0)))</f>
        <v/>
      </c>
      <c r="K1186" s="97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inlineStr">
        <is>
          <t>Nao</t>
        </is>
      </c>
      <c r="W1186" s="110" t="inlineStr">
        <is>
          <t>PC em analise</t>
        </is>
      </c>
      <c r="X1186" s="110" t="inlineStr">
        <is>
          <t>Pedido de Compra</t>
        </is>
      </c>
      <c r="Y1186" s="111" t="inlineStr">
        <is>
          <t>Impacto Potencial</t>
        </is>
      </c>
      <c r="Z1186" s="111" t="inlineStr">
        <is>
          <t>PC</t>
        </is>
      </c>
      <c r="AA1186" s="111" t="inlineStr">
        <is>
          <t>Nao</t>
        </is>
      </c>
      <c r="AB1186" s="111" t="inlineStr">
        <is>
          <t>NAO_COMPUTADO</t>
        </is>
      </c>
      <c r="AC1186" s="112" t="inlineStr">
        <is>
          <t>Estrutura Fase 1: sem impacto no VTA oficial</t>
        </is>
      </c>
    </row>
    <row r="1187" ht="25.5" customHeight="1" s="289">
      <c r="A1187" s="205" t="n"/>
      <c r="B1187" s="207" t="n"/>
      <c r="C1187" s="104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348" t="n"/>
      <c r="E1187" s="349">
        <f>IF(C1187="","",IFERROR(VLOOKUP(C1187,parametros!$A$11:$E$15,5,0),""))</f>
        <v/>
      </c>
      <c r="F1187" s="335">
        <f>IF(OR(D1187="",E1187=""),"",ROUND(D1187*E1187,2))</f>
        <v/>
      </c>
      <c r="G1187" s="106" t="n"/>
      <c r="H1187" s="350">
        <f>IF(G1187="Sim",IF(OR(F1187="",D1187="",L1187=""),"",IF(L1187="Sim",ROUND(F1187-D1187,2),0)),0)</f>
        <v/>
      </c>
      <c r="I1187" s="350">
        <f>IF(G1187="Sim",0,IF(OR(F1187="",L1187=""),"",F1187))</f>
        <v/>
      </c>
      <c r="J1187" s="350">
        <f>IF(G1187="Sim",0,IF(OR(F1187="",D1187="",L1187=""),"",IF(L1187="Sim",ROUND(F1187-D1187,2),0)))</f>
        <v/>
      </c>
      <c r="K1187" s="97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inlineStr">
        <is>
          <t>Nao</t>
        </is>
      </c>
      <c r="W1187" s="110" t="inlineStr">
        <is>
          <t>PC em analise</t>
        </is>
      </c>
      <c r="X1187" s="110" t="inlineStr">
        <is>
          <t>Pedido de Compra</t>
        </is>
      </c>
      <c r="Y1187" s="111" t="inlineStr">
        <is>
          <t>Impacto Potencial</t>
        </is>
      </c>
      <c r="Z1187" s="111" t="inlineStr">
        <is>
          <t>PC</t>
        </is>
      </c>
      <c r="AA1187" s="111" t="inlineStr">
        <is>
          <t>Nao</t>
        </is>
      </c>
      <c r="AB1187" s="111" t="inlineStr">
        <is>
          <t>NAO_COMPUTADO</t>
        </is>
      </c>
      <c r="AC1187" s="112" t="inlineStr">
        <is>
          <t>Estrutura Fase 1: sem impacto no VTA oficial</t>
        </is>
      </c>
    </row>
    <row r="1188" ht="25.5" customHeight="1" s="289">
      <c r="A1188" s="205" t="n"/>
      <c r="B1188" s="207" t="n"/>
      <c r="C1188" s="104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348" t="n"/>
      <c r="E1188" s="349">
        <f>IF(C1188="","",IFERROR(VLOOKUP(C1188,parametros!$A$11:$E$15,5,0),""))</f>
        <v/>
      </c>
      <c r="F1188" s="335">
        <f>IF(OR(D1188="",E1188=""),"",ROUND(D1188*E1188,2))</f>
        <v/>
      </c>
      <c r="G1188" s="106" t="n"/>
      <c r="H1188" s="350">
        <f>IF(G1188="Sim",IF(OR(F1188="",D1188="",L1188=""),"",IF(L1188="Sim",ROUND(F1188-D1188,2),0)),0)</f>
        <v/>
      </c>
      <c r="I1188" s="350">
        <f>IF(G1188="Sim",0,IF(OR(F1188="",L1188=""),"",F1188))</f>
        <v/>
      </c>
      <c r="J1188" s="350">
        <f>IF(G1188="Sim",0,IF(OR(F1188="",D1188="",L1188=""),"",IF(L1188="Sim",ROUND(F1188-D1188,2),0)))</f>
        <v/>
      </c>
      <c r="K1188" s="97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inlineStr">
        <is>
          <t>Nao</t>
        </is>
      </c>
      <c r="W1188" s="110" t="inlineStr">
        <is>
          <t>PC em analise</t>
        </is>
      </c>
      <c r="X1188" s="110" t="inlineStr">
        <is>
          <t>Pedido de Compra</t>
        </is>
      </c>
      <c r="Y1188" s="111" t="inlineStr">
        <is>
          <t>Impacto Potencial</t>
        </is>
      </c>
      <c r="Z1188" s="111" t="inlineStr">
        <is>
          <t>PC</t>
        </is>
      </c>
      <c r="AA1188" s="111" t="inlineStr">
        <is>
          <t>Nao</t>
        </is>
      </c>
      <c r="AB1188" s="111" t="inlineStr">
        <is>
          <t>NAO_COMPUTADO</t>
        </is>
      </c>
      <c r="AC1188" s="112" t="inlineStr">
        <is>
          <t>Estrutura Fase 1: sem impacto no VTA oficial</t>
        </is>
      </c>
    </row>
    <row r="1189" ht="25.5" customHeight="1" s="289">
      <c r="A1189" s="205" t="n"/>
      <c r="B1189" s="207" t="n"/>
      <c r="C1189" s="104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348" t="n"/>
      <c r="E1189" s="349">
        <f>IF(C1189="","",IFERROR(VLOOKUP(C1189,parametros!$A$11:$E$15,5,0),""))</f>
        <v/>
      </c>
      <c r="F1189" s="335">
        <f>IF(OR(D1189="",E1189=""),"",ROUND(D1189*E1189,2))</f>
        <v/>
      </c>
      <c r="G1189" s="106" t="n"/>
      <c r="H1189" s="350">
        <f>IF(G1189="Sim",IF(OR(F1189="",D1189="",L1189=""),"",IF(L1189="Sim",ROUND(F1189-D1189,2),0)),0)</f>
        <v/>
      </c>
      <c r="I1189" s="350">
        <f>IF(G1189="Sim",0,IF(OR(F1189="",L1189=""),"",F1189))</f>
        <v/>
      </c>
      <c r="J1189" s="350">
        <f>IF(G1189="Sim",0,IF(OR(F1189="",D1189="",L1189=""),"",IF(L1189="Sim",ROUND(F1189-D1189,2),0)))</f>
        <v/>
      </c>
      <c r="K1189" s="97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inlineStr">
        <is>
          <t>Nao</t>
        </is>
      </c>
      <c r="W1189" s="110" t="inlineStr">
        <is>
          <t>PC em analise</t>
        </is>
      </c>
      <c r="X1189" s="110" t="inlineStr">
        <is>
          <t>Pedido de Compra</t>
        </is>
      </c>
      <c r="Y1189" s="111" t="inlineStr">
        <is>
          <t>Impacto Potencial</t>
        </is>
      </c>
      <c r="Z1189" s="111" t="inlineStr">
        <is>
          <t>PC</t>
        </is>
      </c>
      <c r="AA1189" s="111" t="inlineStr">
        <is>
          <t>Nao</t>
        </is>
      </c>
      <c r="AB1189" s="111" t="inlineStr">
        <is>
          <t>NAO_COMPUTADO</t>
        </is>
      </c>
      <c r="AC1189" s="112" t="inlineStr">
        <is>
          <t>Estrutura Fase 1: sem impacto no VTA oficial</t>
        </is>
      </c>
    </row>
    <row r="1190" ht="25.5" customHeight="1" s="289">
      <c r="A1190" s="205" t="n"/>
      <c r="B1190" s="207" t="n"/>
      <c r="C1190" s="104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348" t="n"/>
      <c r="E1190" s="349">
        <f>IF(C1190="","",IFERROR(VLOOKUP(C1190,parametros!$A$11:$E$15,5,0),""))</f>
        <v/>
      </c>
      <c r="F1190" s="335">
        <f>IF(OR(D1190="",E1190=""),"",ROUND(D1190*E1190,2))</f>
        <v/>
      </c>
      <c r="G1190" s="106" t="n"/>
      <c r="H1190" s="350">
        <f>IF(G1190="Sim",IF(OR(F1190="",D1190="",L1190=""),"",IF(L1190="Sim",ROUND(F1190-D1190,2),0)),0)</f>
        <v/>
      </c>
      <c r="I1190" s="350">
        <f>IF(G1190="Sim",0,IF(OR(F1190="",L1190=""),"",F1190))</f>
        <v/>
      </c>
      <c r="J1190" s="350">
        <f>IF(G1190="Sim",0,IF(OR(F1190="",D1190="",L1190=""),"",IF(L1190="Sim",ROUND(F1190-D1190,2),0)))</f>
        <v/>
      </c>
      <c r="K1190" s="97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inlineStr">
        <is>
          <t>Nao</t>
        </is>
      </c>
      <c r="W1190" s="110" t="inlineStr">
        <is>
          <t>PC em analise</t>
        </is>
      </c>
      <c r="X1190" s="110" t="inlineStr">
        <is>
          <t>Pedido de Compra</t>
        </is>
      </c>
      <c r="Y1190" s="111" t="inlineStr">
        <is>
          <t>Impacto Potencial</t>
        </is>
      </c>
      <c r="Z1190" s="111" t="inlineStr">
        <is>
          <t>PC</t>
        </is>
      </c>
      <c r="AA1190" s="111" t="inlineStr">
        <is>
          <t>Nao</t>
        </is>
      </c>
      <c r="AB1190" s="111" t="inlineStr">
        <is>
          <t>NAO_COMPUTADO</t>
        </is>
      </c>
      <c r="AC1190" s="112" t="inlineStr">
        <is>
          <t>Estrutura Fase 1: sem impacto no VTA oficial</t>
        </is>
      </c>
    </row>
    <row r="1191" ht="25.5" customHeight="1" s="289">
      <c r="A1191" s="205" t="n"/>
      <c r="B1191" s="207" t="n"/>
      <c r="C1191" s="104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348" t="n"/>
      <c r="E1191" s="349">
        <f>IF(C1191="","",IFERROR(VLOOKUP(C1191,parametros!$A$11:$E$15,5,0),""))</f>
        <v/>
      </c>
      <c r="F1191" s="335">
        <f>IF(OR(D1191="",E1191=""),"",ROUND(D1191*E1191,2))</f>
        <v/>
      </c>
      <c r="G1191" s="106" t="n"/>
      <c r="H1191" s="350">
        <f>IF(G1191="Sim",IF(OR(F1191="",D1191="",L1191=""),"",IF(L1191="Sim",ROUND(F1191-D1191,2),0)),0)</f>
        <v/>
      </c>
      <c r="I1191" s="350">
        <f>IF(G1191="Sim",0,IF(OR(F1191="",L1191=""),"",F1191))</f>
        <v/>
      </c>
      <c r="J1191" s="350">
        <f>IF(G1191="Sim",0,IF(OR(F1191="",D1191="",L1191=""),"",IF(L1191="Sim",ROUND(F1191-D1191,2),0)))</f>
        <v/>
      </c>
      <c r="K1191" s="97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inlineStr">
        <is>
          <t>Nao</t>
        </is>
      </c>
      <c r="W1191" s="110" t="inlineStr">
        <is>
          <t>PC em analise</t>
        </is>
      </c>
      <c r="X1191" s="110" t="inlineStr">
        <is>
          <t>Pedido de Compra</t>
        </is>
      </c>
      <c r="Y1191" s="111" t="inlineStr">
        <is>
          <t>Impacto Potencial</t>
        </is>
      </c>
      <c r="Z1191" s="111" t="inlineStr">
        <is>
          <t>PC</t>
        </is>
      </c>
      <c r="AA1191" s="111" t="inlineStr">
        <is>
          <t>Nao</t>
        </is>
      </c>
      <c r="AB1191" s="111" t="inlineStr">
        <is>
          <t>NAO_COMPUTADO</t>
        </is>
      </c>
      <c r="AC1191" s="112" t="inlineStr">
        <is>
          <t>Estrutura Fase 1: sem impacto no VTA oficial</t>
        </is>
      </c>
    </row>
    <row r="1192" ht="25.5" customHeight="1" s="289">
      <c r="A1192" s="205" t="n"/>
      <c r="B1192" s="207" t="n"/>
      <c r="C1192" s="104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348" t="n"/>
      <c r="E1192" s="349">
        <f>IF(C1192="","",IFERROR(VLOOKUP(C1192,parametros!$A$11:$E$15,5,0),""))</f>
        <v/>
      </c>
      <c r="F1192" s="335">
        <f>IF(OR(D1192="",E1192=""),"",ROUND(D1192*E1192,2))</f>
        <v/>
      </c>
      <c r="G1192" s="106" t="n"/>
      <c r="H1192" s="350">
        <f>IF(G1192="Sim",IF(OR(F1192="",D1192="",L1192=""),"",IF(L1192="Sim",ROUND(F1192-D1192,2),0)),0)</f>
        <v/>
      </c>
      <c r="I1192" s="350">
        <f>IF(G1192="Sim",0,IF(OR(F1192="",L1192=""),"",F1192))</f>
        <v/>
      </c>
      <c r="J1192" s="350">
        <f>IF(G1192="Sim",0,IF(OR(F1192="",D1192="",L1192=""),"",IF(L1192="Sim",ROUND(F1192-D1192,2),0)))</f>
        <v/>
      </c>
      <c r="K1192" s="97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inlineStr">
        <is>
          <t>Nao</t>
        </is>
      </c>
      <c r="W1192" s="110" t="inlineStr">
        <is>
          <t>PC em analise</t>
        </is>
      </c>
      <c r="X1192" s="110" t="inlineStr">
        <is>
          <t>Pedido de Compra</t>
        </is>
      </c>
      <c r="Y1192" s="111" t="inlineStr">
        <is>
          <t>Impacto Potencial</t>
        </is>
      </c>
      <c r="Z1192" s="111" t="inlineStr">
        <is>
          <t>PC</t>
        </is>
      </c>
      <c r="AA1192" s="111" t="inlineStr">
        <is>
          <t>Nao</t>
        </is>
      </c>
      <c r="AB1192" s="111" t="inlineStr">
        <is>
          <t>NAO_COMPUTADO</t>
        </is>
      </c>
      <c r="AC1192" s="112" t="inlineStr">
        <is>
          <t>Estrutura Fase 1: sem impacto no VTA oficial</t>
        </is>
      </c>
    </row>
    <row r="1193" ht="25.5" customHeight="1" s="289">
      <c r="A1193" s="205" t="n"/>
      <c r="B1193" s="207" t="n"/>
      <c r="C1193" s="104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348" t="n"/>
      <c r="E1193" s="349">
        <f>IF(C1193="","",IFERROR(VLOOKUP(C1193,parametros!$A$11:$E$15,5,0),""))</f>
        <v/>
      </c>
      <c r="F1193" s="335">
        <f>IF(OR(D1193="",E1193=""),"",ROUND(D1193*E1193,2))</f>
        <v/>
      </c>
      <c r="G1193" s="106" t="n"/>
      <c r="H1193" s="350">
        <f>IF(G1193="Sim",IF(OR(F1193="",D1193="",L1193=""),"",IF(L1193="Sim",ROUND(F1193-D1193,2),0)),0)</f>
        <v/>
      </c>
      <c r="I1193" s="350">
        <f>IF(G1193="Sim",0,IF(OR(F1193="",L1193=""),"",F1193))</f>
        <v/>
      </c>
      <c r="J1193" s="350">
        <f>IF(G1193="Sim",0,IF(OR(F1193="",D1193="",L1193=""),"",IF(L1193="Sim",ROUND(F1193-D1193,2),0)))</f>
        <v/>
      </c>
      <c r="K1193" s="97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inlineStr">
        <is>
          <t>Nao</t>
        </is>
      </c>
      <c r="W1193" s="110" t="inlineStr">
        <is>
          <t>PC em analise</t>
        </is>
      </c>
      <c r="X1193" s="110" t="inlineStr">
        <is>
          <t>Pedido de Compra</t>
        </is>
      </c>
      <c r="Y1193" s="111" t="inlineStr">
        <is>
          <t>Impacto Potencial</t>
        </is>
      </c>
      <c r="Z1193" s="111" t="inlineStr">
        <is>
          <t>PC</t>
        </is>
      </c>
      <c r="AA1193" s="111" t="inlineStr">
        <is>
          <t>Nao</t>
        </is>
      </c>
      <c r="AB1193" s="111" t="inlineStr">
        <is>
          <t>NAO_COMPUTADO</t>
        </is>
      </c>
      <c r="AC1193" s="112" t="inlineStr">
        <is>
          <t>Estrutura Fase 1: sem impacto no VTA oficial</t>
        </is>
      </c>
    </row>
    <row r="1194" ht="25.5" customHeight="1" s="289">
      <c r="A1194" s="205" t="n"/>
      <c r="B1194" s="207" t="n"/>
      <c r="C1194" s="104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348" t="n"/>
      <c r="E1194" s="349">
        <f>IF(C1194="","",IFERROR(VLOOKUP(C1194,parametros!$A$11:$E$15,5,0),""))</f>
        <v/>
      </c>
      <c r="F1194" s="335">
        <f>IF(OR(D1194="",E1194=""),"",ROUND(D1194*E1194,2))</f>
        <v/>
      </c>
      <c r="G1194" s="106" t="n"/>
      <c r="H1194" s="350">
        <f>IF(G1194="Sim",IF(OR(F1194="",D1194="",L1194=""),"",IF(L1194="Sim",ROUND(F1194-D1194,2),0)),0)</f>
        <v/>
      </c>
      <c r="I1194" s="350">
        <f>IF(G1194="Sim",0,IF(OR(F1194="",L1194=""),"",F1194))</f>
        <v/>
      </c>
      <c r="J1194" s="350">
        <f>IF(G1194="Sim",0,IF(OR(F1194="",D1194="",L1194=""),"",IF(L1194="Sim",ROUND(F1194-D1194,2),0)))</f>
        <v/>
      </c>
      <c r="K1194" s="97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inlineStr">
        <is>
          <t>Nao</t>
        </is>
      </c>
      <c r="W1194" s="110" t="inlineStr">
        <is>
          <t>PC em analise</t>
        </is>
      </c>
      <c r="X1194" s="110" t="inlineStr">
        <is>
          <t>Pedido de Compra</t>
        </is>
      </c>
      <c r="Y1194" s="111" t="inlineStr">
        <is>
          <t>Impacto Potencial</t>
        </is>
      </c>
      <c r="Z1194" s="111" t="inlineStr">
        <is>
          <t>PC</t>
        </is>
      </c>
      <c r="AA1194" s="111" t="inlineStr">
        <is>
          <t>Nao</t>
        </is>
      </c>
      <c r="AB1194" s="111" t="inlineStr">
        <is>
          <t>NAO_COMPUTADO</t>
        </is>
      </c>
      <c r="AC1194" s="112" t="inlineStr">
        <is>
          <t>Estrutura Fase 1: sem impacto no VTA oficial</t>
        </is>
      </c>
    </row>
    <row r="1195" ht="25.5" customHeight="1" s="289">
      <c r="A1195" s="205" t="n"/>
      <c r="B1195" s="207" t="n"/>
      <c r="C1195" s="104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348" t="n"/>
      <c r="E1195" s="349">
        <f>IF(C1195="","",IFERROR(VLOOKUP(C1195,parametros!$A$11:$E$15,5,0),""))</f>
        <v/>
      </c>
      <c r="F1195" s="335">
        <f>IF(OR(D1195="",E1195=""),"",ROUND(D1195*E1195,2))</f>
        <v/>
      </c>
      <c r="G1195" s="106" t="n"/>
      <c r="H1195" s="350">
        <f>IF(G1195="Sim",IF(OR(F1195="",D1195="",L1195=""),"",IF(L1195="Sim",ROUND(F1195-D1195,2),0)),0)</f>
        <v/>
      </c>
      <c r="I1195" s="350">
        <f>IF(G1195="Sim",0,IF(OR(F1195="",L1195=""),"",F1195))</f>
        <v/>
      </c>
      <c r="J1195" s="350">
        <f>IF(G1195="Sim",0,IF(OR(F1195="",D1195="",L1195=""),"",IF(L1195="Sim",ROUND(F1195-D1195,2),0)))</f>
        <v/>
      </c>
      <c r="K1195" s="97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inlineStr">
        <is>
          <t>Nao</t>
        </is>
      </c>
      <c r="W1195" s="110" t="inlineStr">
        <is>
          <t>PC em analise</t>
        </is>
      </c>
      <c r="X1195" s="110" t="inlineStr">
        <is>
          <t>Pedido de Compra</t>
        </is>
      </c>
      <c r="Y1195" s="111" t="inlineStr">
        <is>
          <t>Impacto Potencial</t>
        </is>
      </c>
      <c r="Z1195" s="111" t="inlineStr">
        <is>
          <t>PC</t>
        </is>
      </c>
      <c r="AA1195" s="111" t="inlineStr">
        <is>
          <t>Nao</t>
        </is>
      </c>
      <c r="AB1195" s="111" t="inlineStr">
        <is>
          <t>NAO_COMPUTADO</t>
        </is>
      </c>
      <c r="AC1195" s="112" t="inlineStr">
        <is>
          <t>Estrutura Fase 1: sem impacto no VTA oficial</t>
        </is>
      </c>
    </row>
    <row r="1196" ht="25.5" customHeight="1" s="289">
      <c r="A1196" s="205" t="n"/>
      <c r="B1196" s="207" t="n"/>
      <c r="C1196" s="104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348" t="n"/>
      <c r="E1196" s="349">
        <f>IF(C1196="","",IFERROR(VLOOKUP(C1196,parametros!$A$11:$E$15,5,0),""))</f>
        <v/>
      </c>
      <c r="F1196" s="335">
        <f>IF(OR(D1196="",E1196=""),"",ROUND(D1196*E1196,2))</f>
        <v/>
      </c>
      <c r="G1196" s="106" t="n"/>
      <c r="H1196" s="350">
        <f>IF(G1196="Sim",IF(OR(F1196="",D1196="",L1196=""),"",IF(L1196="Sim",ROUND(F1196-D1196,2),0)),0)</f>
        <v/>
      </c>
      <c r="I1196" s="350">
        <f>IF(G1196="Sim",0,IF(OR(F1196="",L1196=""),"",F1196))</f>
        <v/>
      </c>
      <c r="J1196" s="350">
        <f>IF(G1196="Sim",0,IF(OR(F1196="",D1196="",L1196=""),"",IF(L1196="Sim",ROUND(F1196-D1196,2),0)))</f>
        <v/>
      </c>
      <c r="K1196" s="97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inlineStr">
        <is>
          <t>Nao</t>
        </is>
      </c>
      <c r="W1196" s="110" t="inlineStr">
        <is>
          <t>PC em analise</t>
        </is>
      </c>
      <c r="X1196" s="110" t="inlineStr">
        <is>
          <t>Pedido de Compra</t>
        </is>
      </c>
      <c r="Y1196" s="111" t="inlineStr">
        <is>
          <t>Impacto Potencial</t>
        </is>
      </c>
      <c r="Z1196" s="111" t="inlineStr">
        <is>
          <t>PC</t>
        </is>
      </c>
      <c r="AA1196" s="111" t="inlineStr">
        <is>
          <t>Nao</t>
        </is>
      </c>
      <c r="AB1196" s="111" t="inlineStr">
        <is>
          <t>NAO_COMPUTADO</t>
        </is>
      </c>
      <c r="AC1196" s="112" t="inlineStr">
        <is>
          <t>Estrutura Fase 1: sem impacto no VTA oficial</t>
        </is>
      </c>
    </row>
    <row r="1197" ht="25.5" customHeight="1" s="289">
      <c r="A1197" s="205" t="n"/>
      <c r="B1197" s="207" t="n"/>
      <c r="C1197" s="104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348" t="n"/>
      <c r="E1197" s="349">
        <f>IF(C1197="","",IFERROR(VLOOKUP(C1197,parametros!$A$11:$E$15,5,0),""))</f>
        <v/>
      </c>
      <c r="F1197" s="335">
        <f>IF(OR(D1197="",E1197=""),"",ROUND(D1197*E1197,2))</f>
        <v/>
      </c>
      <c r="G1197" s="106" t="n"/>
      <c r="H1197" s="350">
        <f>IF(G1197="Sim",IF(OR(F1197="",D1197="",L1197=""),"",IF(L1197="Sim",ROUND(F1197-D1197,2),0)),0)</f>
        <v/>
      </c>
      <c r="I1197" s="350">
        <f>IF(G1197="Sim",0,IF(OR(F1197="",L1197=""),"",F1197))</f>
        <v/>
      </c>
      <c r="J1197" s="350">
        <f>IF(G1197="Sim",0,IF(OR(F1197="",D1197="",L1197=""),"",IF(L1197="Sim",ROUND(F1197-D1197,2),0)))</f>
        <v/>
      </c>
      <c r="K1197" s="97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inlineStr">
        <is>
          <t>Nao</t>
        </is>
      </c>
      <c r="W1197" s="110" t="inlineStr">
        <is>
          <t>PC em analise</t>
        </is>
      </c>
      <c r="X1197" s="110" t="inlineStr">
        <is>
          <t>Pedido de Compra</t>
        </is>
      </c>
      <c r="Y1197" s="111" t="inlineStr">
        <is>
          <t>Impacto Potencial</t>
        </is>
      </c>
      <c r="Z1197" s="111" t="inlineStr">
        <is>
          <t>PC</t>
        </is>
      </c>
      <c r="AA1197" s="111" t="inlineStr">
        <is>
          <t>Nao</t>
        </is>
      </c>
      <c r="AB1197" s="111" t="inlineStr">
        <is>
          <t>NAO_COMPUTADO</t>
        </is>
      </c>
      <c r="AC1197" s="112" t="inlineStr">
        <is>
          <t>Estrutura Fase 1: sem impacto no VTA oficial</t>
        </is>
      </c>
    </row>
    <row r="1198" ht="25.5" customHeight="1" s="289">
      <c r="A1198" s="205" t="n"/>
      <c r="B1198" s="207" t="n"/>
      <c r="C1198" s="104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348" t="n"/>
      <c r="E1198" s="349">
        <f>IF(C1198="","",IFERROR(VLOOKUP(C1198,parametros!$A$11:$E$15,5,0),""))</f>
        <v/>
      </c>
      <c r="F1198" s="335">
        <f>IF(OR(D1198="",E1198=""),"",ROUND(D1198*E1198,2))</f>
        <v/>
      </c>
      <c r="G1198" s="106" t="n"/>
      <c r="H1198" s="350">
        <f>IF(G1198="Sim",IF(OR(F1198="",D1198="",L1198=""),"",IF(L1198="Sim",ROUND(F1198-D1198,2),0)),0)</f>
        <v/>
      </c>
      <c r="I1198" s="350">
        <f>IF(G1198="Sim",0,IF(OR(F1198="",L1198=""),"",F1198))</f>
        <v/>
      </c>
      <c r="J1198" s="350">
        <f>IF(G1198="Sim",0,IF(OR(F1198="",D1198="",L1198=""),"",IF(L1198="Sim",ROUND(F1198-D1198,2),0)))</f>
        <v/>
      </c>
      <c r="K1198" s="97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inlineStr">
        <is>
          <t>Nao</t>
        </is>
      </c>
      <c r="W1198" s="110" t="inlineStr">
        <is>
          <t>PC em analise</t>
        </is>
      </c>
      <c r="X1198" s="110" t="inlineStr">
        <is>
          <t>Pedido de Compra</t>
        </is>
      </c>
      <c r="Y1198" s="111" t="inlineStr">
        <is>
          <t>Impacto Potencial</t>
        </is>
      </c>
      <c r="Z1198" s="111" t="inlineStr">
        <is>
          <t>PC</t>
        </is>
      </c>
      <c r="AA1198" s="111" t="inlineStr">
        <is>
          <t>Nao</t>
        </is>
      </c>
      <c r="AB1198" s="111" t="inlineStr">
        <is>
          <t>NAO_COMPUTADO</t>
        </is>
      </c>
      <c r="AC1198" s="112" t="inlineStr">
        <is>
          <t>Estrutura Fase 1: sem impacto no VTA oficial</t>
        </is>
      </c>
    </row>
    <row r="1199" ht="25.5" customHeight="1" s="289">
      <c r="A1199" s="205" t="n"/>
      <c r="B1199" s="207" t="n"/>
      <c r="C1199" s="104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348" t="n"/>
      <c r="E1199" s="349">
        <f>IF(C1199="","",IFERROR(VLOOKUP(C1199,parametros!$A$11:$E$15,5,0),""))</f>
        <v/>
      </c>
      <c r="F1199" s="335">
        <f>IF(OR(D1199="",E1199=""),"",ROUND(D1199*E1199,2))</f>
        <v/>
      </c>
      <c r="G1199" s="106" t="n"/>
      <c r="H1199" s="350">
        <f>IF(G1199="Sim",IF(OR(F1199="",D1199="",L1199=""),"",IF(L1199="Sim",ROUND(F1199-D1199,2),0)),0)</f>
        <v/>
      </c>
      <c r="I1199" s="350">
        <f>IF(G1199="Sim",0,IF(OR(F1199="",L1199=""),"",F1199))</f>
        <v/>
      </c>
      <c r="J1199" s="350">
        <f>IF(G1199="Sim",0,IF(OR(F1199="",D1199="",L1199=""),"",IF(L1199="Sim",ROUND(F1199-D1199,2),0)))</f>
        <v/>
      </c>
      <c r="K1199" s="97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inlineStr">
        <is>
          <t>Nao</t>
        </is>
      </c>
      <c r="W1199" s="110" t="inlineStr">
        <is>
          <t>PC em analise</t>
        </is>
      </c>
      <c r="X1199" s="110" t="inlineStr">
        <is>
          <t>Pedido de Compra</t>
        </is>
      </c>
      <c r="Y1199" s="111" t="inlineStr">
        <is>
          <t>Impacto Potencial</t>
        </is>
      </c>
      <c r="Z1199" s="111" t="inlineStr">
        <is>
          <t>PC</t>
        </is>
      </c>
      <c r="AA1199" s="111" t="inlineStr">
        <is>
          <t>Nao</t>
        </is>
      </c>
      <c r="AB1199" s="111" t="inlineStr">
        <is>
          <t>NAO_COMPUTADO</t>
        </is>
      </c>
      <c r="AC1199" s="112" t="inlineStr">
        <is>
          <t>Estrutura Fase 1: sem impacto no VTA oficial</t>
        </is>
      </c>
    </row>
    <row r="1200" ht="25.5" customHeight="1" s="289">
      <c r="A1200" s="205" t="n"/>
      <c r="B1200" s="207" t="n"/>
      <c r="C1200" s="104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348" t="n"/>
      <c r="E1200" s="349">
        <f>IF(C1200="","",IFERROR(VLOOKUP(C1200,parametros!$A$11:$E$15,5,0),""))</f>
        <v/>
      </c>
      <c r="F1200" s="335">
        <f>IF(OR(D1200="",E1200=""),"",ROUND(D1200*E1200,2))</f>
        <v/>
      </c>
      <c r="G1200" s="106" t="n"/>
      <c r="H1200" s="350">
        <f>IF(G1200="Sim",IF(OR(F1200="",D1200="",L1200=""),"",IF(L1200="Sim",ROUND(F1200-D1200,2),0)),0)</f>
        <v/>
      </c>
      <c r="I1200" s="350">
        <f>IF(G1200="Sim",0,IF(OR(F1200="",L1200=""),"",F1200))</f>
        <v/>
      </c>
      <c r="J1200" s="350">
        <f>IF(G1200="Sim",0,IF(OR(F1200="",D1200="",L1200=""),"",IF(L1200="Sim",ROUND(F1200-D1200,2),0)))</f>
        <v/>
      </c>
      <c r="K1200" s="97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inlineStr">
        <is>
          <t>Nao</t>
        </is>
      </c>
      <c r="W1200" s="110" t="inlineStr">
        <is>
          <t>PC em analise</t>
        </is>
      </c>
      <c r="X1200" s="110" t="inlineStr">
        <is>
          <t>Pedido de Compra</t>
        </is>
      </c>
      <c r="Y1200" s="111" t="inlineStr">
        <is>
          <t>Impacto Potencial</t>
        </is>
      </c>
      <c r="Z1200" s="111" t="inlineStr">
        <is>
          <t>PC</t>
        </is>
      </c>
      <c r="AA1200" s="111" t="inlineStr">
        <is>
          <t>Nao</t>
        </is>
      </c>
      <c r="AB1200" s="111" t="inlineStr">
        <is>
          <t>NAO_COMPUTADO</t>
        </is>
      </c>
      <c r="AC1200" s="112" t="inlineStr">
        <is>
          <t>Estrutura Fase 1: sem impacto no VTA oficial</t>
        </is>
      </c>
    </row>
    <row r="1201" ht="25.5" customHeight="1" s="289">
      <c r="A1201" s="205" t="n"/>
      <c r="B1201" s="207" t="n"/>
      <c r="C1201" s="104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348" t="n"/>
      <c r="E1201" s="349">
        <f>IF(C1201="","",IFERROR(VLOOKUP(C1201,parametros!$A$11:$E$15,5,0),""))</f>
        <v/>
      </c>
      <c r="F1201" s="335">
        <f>IF(OR(D1201="",E1201=""),"",ROUND(D1201*E1201,2))</f>
        <v/>
      </c>
      <c r="G1201" s="106" t="n"/>
      <c r="H1201" s="350">
        <f>IF(G1201="Sim",IF(OR(F1201="",D1201="",L1201=""),"",IF(L1201="Sim",ROUND(F1201-D1201,2),0)),0)</f>
        <v/>
      </c>
      <c r="I1201" s="350">
        <f>IF(G1201="Sim",0,IF(OR(F1201="",L1201=""),"",F1201))</f>
        <v/>
      </c>
      <c r="J1201" s="350">
        <f>IF(G1201="Sim",0,IF(OR(F1201="",D1201="",L1201=""),"",IF(L1201="Sim",ROUND(F1201-D1201,2),0)))</f>
        <v/>
      </c>
      <c r="K1201" s="97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inlineStr">
        <is>
          <t>Nao</t>
        </is>
      </c>
      <c r="W1201" s="110" t="inlineStr">
        <is>
          <t>PC em analise</t>
        </is>
      </c>
      <c r="X1201" s="110" t="inlineStr">
        <is>
          <t>Pedido de Compra</t>
        </is>
      </c>
      <c r="Y1201" s="111" t="inlineStr">
        <is>
          <t>Impacto Potencial</t>
        </is>
      </c>
      <c r="Z1201" s="111" t="inlineStr">
        <is>
          <t>PC</t>
        </is>
      </c>
      <c r="AA1201" s="111" t="inlineStr">
        <is>
          <t>Nao</t>
        </is>
      </c>
      <c r="AB1201" s="111" t="inlineStr">
        <is>
          <t>NAO_COMPUTADO</t>
        </is>
      </c>
      <c r="AC1201" s="112" t="inlineStr">
        <is>
          <t>Estrutura Fase 1: sem impacto no VTA oficial</t>
        </is>
      </c>
    </row>
    <row r="1202" ht="25.5" customHeight="1" s="289">
      <c r="A1202" s="205" t="n"/>
      <c r="B1202" s="207" t="n"/>
      <c r="C1202" s="104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348" t="n"/>
      <c r="E1202" s="349">
        <f>IF(C1202="","",IFERROR(VLOOKUP(C1202,parametros!$A$11:$E$15,5,0),""))</f>
        <v/>
      </c>
      <c r="F1202" s="335">
        <f>IF(OR(D1202="",E1202=""),"",ROUND(D1202*E1202,2))</f>
        <v/>
      </c>
      <c r="G1202" s="106" t="n"/>
      <c r="H1202" s="350">
        <f>IF(G1202="Sim",IF(OR(F1202="",D1202="",L1202=""),"",IF(L1202="Sim",ROUND(F1202-D1202,2),0)),0)</f>
        <v/>
      </c>
      <c r="I1202" s="350">
        <f>IF(G1202="Sim",0,IF(OR(F1202="",L1202=""),"",F1202))</f>
        <v/>
      </c>
      <c r="J1202" s="350">
        <f>IF(G1202="Sim",0,IF(OR(F1202="",D1202="",L1202=""),"",IF(L1202="Sim",ROUND(F1202-D1202,2),0)))</f>
        <v/>
      </c>
      <c r="K1202" s="97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inlineStr">
        <is>
          <t>Nao</t>
        </is>
      </c>
      <c r="W1202" s="110" t="inlineStr">
        <is>
          <t>PC em analise</t>
        </is>
      </c>
      <c r="X1202" s="110" t="inlineStr">
        <is>
          <t>Pedido de Compra</t>
        </is>
      </c>
      <c r="Y1202" s="111" t="inlineStr">
        <is>
          <t>Impacto Potencial</t>
        </is>
      </c>
      <c r="Z1202" s="111" t="inlineStr">
        <is>
          <t>PC</t>
        </is>
      </c>
      <c r="AA1202" s="111" t="inlineStr">
        <is>
          <t>Nao</t>
        </is>
      </c>
      <c r="AB1202" s="111" t="inlineStr">
        <is>
          <t>NAO_COMPUTADO</t>
        </is>
      </c>
      <c r="AC1202" s="112" t="inlineStr">
        <is>
          <t>Estrutura Fase 1: sem impacto no VTA oficial</t>
        </is>
      </c>
    </row>
    <row r="1203" ht="25.5" customHeight="1" s="289">
      <c r="A1203" s="205" t="n"/>
      <c r="B1203" s="207" t="n"/>
      <c r="C1203" s="104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348" t="n"/>
      <c r="E1203" s="349">
        <f>IF(C1203="","",IFERROR(VLOOKUP(C1203,parametros!$A$11:$E$15,5,0),""))</f>
        <v/>
      </c>
      <c r="F1203" s="335">
        <f>IF(OR(D1203="",E1203=""),"",ROUND(D1203*E1203,2))</f>
        <v/>
      </c>
      <c r="G1203" s="106" t="n"/>
      <c r="H1203" s="350">
        <f>IF(G1203="Sim",IF(OR(F1203="",D1203="",L1203=""),"",IF(L1203="Sim",ROUND(F1203-D1203,2),0)),0)</f>
        <v/>
      </c>
      <c r="I1203" s="350">
        <f>IF(G1203="Sim",0,IF(OR(F1203="",L1203=""),"",F1203))</f>
        <v/>
      </c>
      <c r="J1203" s="350">
        <f>IF(G1203="Sim",0,IF(OR(F1203="",D1203="",L1203=""),"",IF(L1203="Sim",ROUND(F1203-D1203,2),0)))</f>
        <v/>
      </c>
      <c r="K1203" s="97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inlineStr">
        <is>
          <t>Nao</t>
        </is>
      </c>
      <c r="W1203" s="110" t="inlineStr">
        <is>
          <t>PC em analise</t>
        </is>
      </c>
      <c r="X1203" s="110" t="inlineStr">
        <is>
          <t>Pedido de Compra</t>
        </is>
      </c>
      <c r="Y1203" s="111" t="inlineStr">
        <is>
          <t>Impacto Potencial</t>
        </is>
      </c>
      <c r="Z1203" s="111" t="inlineStr">
        <is>
          <t>PC</t>
        </is>
      </c>
      <c r="AA1203" s="111" t="inlineStr">
        <is>
          <t>Nao</t>
        </is>
      </c>
      <c r="AB1203" s="111" t="inlineStr">
        <is>
          <t>NAO_COMPUTADO</t>
        </is>
      </c>
      <c r="AC1203" s="112" t="inlineStr">
        <is>
          <t>Estrutura Fase 1: sem impacto no VTA oficial</t>
        </is>
      </c>
    </row>
    <row r="1204" ht="25.5" customHeight="1" s="289">
      <c r="A1204" s="205" t="n"/>
      <c r="B1204" s="207" t="n"/>
      <c r="C1204" s="104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348" t="n"/>
      <c r="E1204" s="349">
        <f>IF(C1204="","",IFERROR(VLOOKUP(C1204,parametros!$A$11:$E$15,5,0),""))</f>
        <v/>
      </c>
      <c r="F1204" s="335">
        <f>IF(OR(D1204="",E1204=""),"",ROUND(D1204*E1204,2))</f>
        <v/>
      </c>
      <c r="G1204" s="106" t="n"/>
      <c r="H1204" s="350">
        <f>IF(G1204="Sim",IF(OR(F1204="",D1204="",L1204=""),"",IF(L1204="Sim",ROUND(F1204-D1204,2),0)),0)</f>
        <v/>
      </c>
      <c r="I1204" s="350">
        <f>IF(G1204="Sim",0,IF(OR(F1204="",L1204=""),"",F1204))</f>
        <v/>
      </c>
      <c r="J1204" s="350">
        <f>IF(G1204="Sim",0,IF(OR(F1204="",D1204="",L1204=""),"",IF(L1204="Sim",ROUND(F1204-D1204,2),0)))</f>
        <v/>
      </c>
      <c r="K1204" s="97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inlineStr">
        <is>
          <t>Nao</t>
        </is>
      </c>
      <c r="W1204" s="110" t="inlineStr">
        <is>
          <t>PC em analise</t>
        </is>
      </c>
      <c r="X1204" s="110" t="inlineStr">
        <is>
          <t>Pedido de Compra</t>
        </is>
      </c>
      <c r="Y1204" s="111" t="inlineStr">
        <is>
          <t>Impacto Potencial</t>
        </is>
      </c>
      <c r="Z1204" s="111" t="inlineStr">
        <is>
          <t>PC</t>
        </is>
      </c>
      <c r="AA1204" s="111" t="inlineStr">
        <is>
          <t>Nao</t>
        </is>
      </c>
      <c r="AB1204" s="111" t="inlineStr">
        <is>
          <t>NAO_COMPUTADO</t>
        </is>
      </c>
      <c r="AC1204" s="112" t="inlineStr">
        <is>
          <t>Estrutura Fase 1: sem impacto no VTA oficial</t>
        </is>
      </c>
    </row>
    <row r="1205" ht="25.5" customHeight="1" s="289">
      <c r="A1205" s="205" t="n"/>
      <c r="B1205" s="207" t="n"/>
      <c r="C1205" s="104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348" t="n"/>
      <c r="E1205" s="349">
        <f>IF(C1205="","",IFERROR(VLOOKUP(C1205,parametros!$A$11:$E$15,5,0),""))</f>
        <v/>
      </c>
      <c r="F1205" s="335">
        <f>IF(OR(D1205="",E1205=""),"",ROUND(D1205*E1205,2))</f>
        <v/>
      </c>
      <c r="G1205" s="106" t="n"/>
      <c r="H1205" s="350">
        <f>IF(G1205="Sim",IF(OR(F1205="",D1205="",L1205=""),"",IF(L1205="Sim",ROUND(F1205-D1205,2),0)),0)</f>
        <v/>
      </c>
      <c r="I1205" s="350">
        <f>IF(G1205="Sim",0,IF(OR(F1205="",L1205=""),"",F1205))</f>
        <v/>
      </c>
      <c r="J1205" s="350">
        <f>IF(G1205="Sim",0,IF(OR(F1205="",D1205="",L1205=""),"",IF(L1205="Sim",ROUND(F1205-D1205,2),0)))</f>
        <v/>
      </c>
      <c r="K1205" s="97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inlineStr">
        <is>
          <t>Nao</t>
        </is>
      </c>
      <c r="W1205" s="110" t="inlineStr">
        <is>
          <t>PC em analise</t>
        </is>
      </c>
      <c r="X1205" s="110" t="inlineStr">
        <is>
          <t>Pedido de Compra</t>
        </is>
      </c>
      <c r="Y1205" s="111" t="inlineStr">
        <is>
          <t>Impacto Potencial</t>
        </is>
      </c>
      <c r="Z1205" s="111" t="inlineStr">
        <is>
          <t>PC</t>
        </is>
      </c>
      <c r="AA1205" s="111" t="inlineStr">
        <is>
          <t>Nao</t>
        </is>
      </c>
      <c r="AB1205" s="111" t="inlineStr">
        <is>
          <t>NAO_COMPUTADO</t>
        </is>
      </c>
      <c r="AC1205" s="112" t="inlineStr">
        <is>
          <t>Estrutura Fase 1: sem impacto no VTA oficial</t>
        </is>
      </c>
    </row>
    <row r="1206" ht="25.5" customHeight="1" s="289">
      <c r="A1206" s="205" t="n"/>
      <c r="B1206" s="207" t="n"/>
      <c r="C1206" s="104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348" t="n"/>
      <c r="E1206" s="349">
        <f>IF(C1206="","",IFERROR(VLOOKUP(C1206,parametros!$A$11:$E$15,5,0),""))</f>
        <v/>
      </c>
      <c r="F1206" s="335">
        <f>IF(OR(D1206="",E1206=""),"",ROUND(D1206*E1206,2))</f>
        <v/>
      </c>
      <c r="G1206" s="106" t="n"/>
      <c r="H1206" s="350">
        <f>IF(G1206="Sim",IF(OR(F1206="",D1206="",L1206=""),"",IF(L1206="Sim",ROUND(F1206-D1206,2),0)),0)</f>
        <v/>
      </c>
      <c r="I1206" s="350">
        <f>IF(G1206="Sim",0,IF(OR(F1206="",L1206=""),"",F1206))</f>
        <v/>
      </c>
      <c r="J1206" s="350">
        <f>IF(G1206="Sim",0,IF(OR(F1206="",D1206="",L1206=""),"",IF(L1206="Sim",ROUND(F1206-D1206,2),0)))</f>
        <v/>
      </c>
      <c r="K1206" s="97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inlineStr">
        <is>
          <t>Nao</t>
        </is>
      </c>
      <c r="W1206" s="110" t="inlineStr">
        <is>
          <t>PC em analise</t>
        </is>
      </c>
      <c r="X1206" s="110" t="inlineStr">
        <is>
          <t>Pedido de Compra</t>
        </is>
      </c>
      <c r="Y1206" s="111" t="inlineStr">
        <is>
          <t>Impacto Potencial</t>
        </is>
      </c>
      <c r="Z1206" s="111" t="inlineStr">
        <is>
          <t>PC</t>
        </is>
      </c>
      <c r="AA1206" s="111" t="inlineStr">
        <is>
          <t>Nao</t>
        </is>
      </c>
      <c r="AB1206" s="111" t="inlineStr">
        <is>
          <t>NAO_COMPUTADO</t>
        </is>
      </c>
      <c r="AC1206" s="112" t="inlineStr">
        <is>
          <t>Estrutura Fase 1: sem impacto no VTA oficial</t>
        </is>
      </c>
    </row>
    <row r="1207" ht="25.5" customHeight="1" s="289">
      <c r="A1207" s="205" t="n"/>
      <c r="B1207" s="207" t="n"/>
      <c r="C1207" s="104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348" t="n"/>
      <c r="E1207" s="349">
        <f>IF(C1207="","",IFERROR(VLOOKUP(C1207,parametros!$A$11:$E$15,5,0),""))</f>
        <v/>
      </c>
      <c r="F1207" s="335">
        <f>IF(OR(D1207="",E1207=""),"",ROUND(D1207*E1207,2))</f>
        <v/>
      </c>
      <c r="G1207" s="106" t="n"/>
      <c r="H1207" s="350">
        <f>IF(G1207="Sim",IF(OR(F1207="",D1207="",L1207=""),"",IF(L1207="Sim",ROUND(F1207-D1207,2),0)),0)</f>
        <v/>
      </c>
      <c r="I1207" s="350">
        <f>IF(G1207="Sim",0,IF(OR(F1207="",L1207=""),"",F1207))</f>
        <v/>
      </c>
      <c r="J1207" s="350">
        <f>IF(G1207="Sim",0,IF(OR(F1207="",D1207="",L1207=""),"",IF(L1207="Sim",ROUND(F1207-D1207,2),0)))</f>
        <v/>
      </c>
      <c r="K1207" s="97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inlineStr">
        <is>
          <t>Nao</t>
        </is>
      </c>
      <c r="W1207" s="110" t="inlineStr">
        <is>
          <t>PC em analise</t>
        </is>
      </c>
      <c r="X1207" s="110" t="inlineStr">
        <is>
          <t>Pedido de Compra</t>
        </is>
      </c>
      <c r="Y1207" s="111" t="inlineStr">
        <is>
          <t>Impacto Potencial</t>
        </is>
      </c>
      <c r="Z1207" s="111" t="inlineStr">
        <is>
          <t>PC</t>
        </is>
      </c>
      <c r="AA1207" s="111" t="inlineStr">
        <is>
          <t>Nao</t>
        </is>
      </c>
      <c r="AB1207" s="111" t="inlineStr">
        <is>
          <t>NAO_COMPUTADO</t>
        </is>
      </c>
      <c r="AC1207" s="112" t="inlineStr">
        <is>
          <t>Estrutura Fase 1: sem impacto no VTA oficial</t>
        </is>
      </c>
    </row>
    <row r="1208" ht="25.5" customHeight="1" s="289">
      <c r="A1208" s="205" t="n"/>
      <c r="B1208" s="207" t="n"/>
      <c r="C1208" s="104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348" t="n"/>
      <c r="E1208" s="349">
        <f>IF(C1208="","",IFERROR(VLOOKUP(C1208,parametros!$A$11:$E$15,5,0),""))</f>
        <v/>
      </c>
      <c r="F1208" s="335">
        <f>IF(OR(D1208="",E1208=""),"",ROUND(D1208*E1208,2))</f>
        <v/>
      </c>
      <c r="G1208" s="106" t="n"/>
      <c r="H1208" s="350">
        <f>IF(G1208="Sim",IF(OR(F1208="",D1208="",L1208=""),"",IF(L1208="Sim",ROUND(F1208-D1208,2),0)),0)</f>
        <v/>
      </c>
      <c r="I1208" s="350">
        <f>IF(G1208="Sim",0,IF(OR(F1208="",L1208=""),"",F1208))</f>
        <v/>
      </c>
      <c r="J1208" s="350">
        <f>IF(G1208="Sim",0,IF(OR(F1208="",D1208="",L1208=""),"",IF(L1208="Sim",ROUND(F1208-D1208,2),0)))</f>
        <v/>
      </c>
      <c r="K1208" s="97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inlineStr">
        <is>
          <t>Nao</t>
        </is>
      </c>
      <c r="W1208" s="110" t="inlineStr">
        <is>
          <t>PC em analise</t>
        </is>
      </c>
      <c r="X1208" s="110" t="inlineStr">
        <is>
          <t>Pedido de Compra</t>
        </is>
      </c>
      <c r="Y1208" s="111" t="inlineStr">
        <is>
          <t>Impacto Potencial</t>
        </is>
      </c>
      <c r="Z1208" s="111" t="inlineStr">
        <is>
          <t>PC</t>
        </is>
      </c>
      <c r="AA1208" s="111" t="inlineStr">
        <is>
          <t>Nao</t>
        </is>
      </c>
      <c r="AB1208" s="111" t="inlineStr">
        <is>
          <t>NAO_COMPUTADO</t>
        </is>
      </c>
      <c r="AC1208" s="112" t="inlineStr">
        <is>
          <t>Estrutura Fase 1: sem impacto no VTA oficial</t>
        </is>
      </c>
    </row>
    <row r="1209" ht="25.5" customHeight="1" s="289">
      <c r="A1209" s="205" t="n"/>
      <c r="B1209" s="207" t="n"/>
      <c r="C1209" s="104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348" t="n"/>
      <c r="E1209" s="349">
        <f>IF(C1209="","",IFERROR(VLOOKUP(C1209,parametros!$A$11:$E$15,5,0),""))</f>
        <v/>
      </c>
      <c r="F1209" s="335">
        <f>IF(OR(D1209="",E1209=""),"",ROUND(D1209*E1209,2))</f>
        <v/>
      </c>
      <c r="G1209" s="106" t="n"/>
      <c r="H1209" s="350">
        <f>IF(G1209="Sim",IF(OR(F1209="",D1209="",L1209=""),"",IF(L1209="Sim",ROUND(F1209-D1209,2),0)),0)</f>
        <v/>
      </c>
      <c r="I1209" s="350">
        <f>IF(G1209="Sim",0,IF(OR(F1209="",L1209=""),"",F1209))</f>
        <v/>
      </c>
      <c r="J1209" s="350">
        <f>IF(G1209="Sim",0,IF(OR(F1209="",D1209="",L1209=""),"",IF(L1209="Sim",ROUND(F1209-D1209,2),0)))</f>
        <v/>
      </c>
      <c r="K1209" s="97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inlineStr">
        <is>
          <t>Nao</t>
        </is>
      </c>
      <c r="W1209" s="110" t="inlineStr">
        <is>
          <t>PC em analise</t>
        </is>
      </c>
      <c r="X1209" s="110" t="inlineStr">
        <is>
          <t>Pedido de Compra</t>
        </is>
      </c>
      <c r="Y1209" s="111" t="inlineStr">
        <is>
          <t>Impacto Potencial</t>
        </is>
      </c>
      <c r="Z1209" s="111" t="inlineStr">
        <is>
          <t>PC</t>
        </is>
      </c>
      <c r="AA1209" s="111" t="inlineStr">
        <is>
          <t>Nao</t>
        </is>
      </c>
      <c r="AB1209" s="111" t="inlineStr">
        <is>
          <t>NAO_COMPUTADO</t>
        </is>
      </c>
      <c r="AC1209" s="112" t="inlineStr">
        <is>
          <t>Estrutura Fase 1: sem impacto no VTA oficial</t>
        </is>
      </c>
    </row>
    <row r="1210" ht="25.5" customHeight="1" s="289">
      <c r="A1210" s="205" t="n"/>
      <c r="B1210" s="207" t="n"/>
      <c r="C1210" s="104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348" t="n"/>
      <c r="E1210" s="349">
        <f>IF(C1210="","",IFERROR(VLOOKUP(C1210,parametros!$A$11:$E$15,5,0),""))</f>
        <v/>
      </c>
      <c r="F1210" s="335">
        <f>IF(OR(D1210="",E1210=""),"",ROUND(D1210*E1210,2))</f>
        <v/>
      </c>
      <c r="G1210" s="106" t="n"/>
      <c r="H1210" s="350">
        <f>IF(G1210="Sim",IF(OR(F1210="",D1210="",L1210=""),"",IF(L1210="Sim",ROUND(F1210-D1210,2),0)),0)</f>
        <v/>
      </c>
      <c r="I1210" s="350">
        <f>IF(G1210="Sim",0,IF(OR(F1210="",L1210=""),"",F1210))</f>
        <v/>
      </c>
      <c r="J1210" s="350">
        <f>IF(G1210="Sim",0,IF(OR(F1210="",D1210="",L1210=""),"",IF(L1210="Sim",ROUND(F1210-D1210,2),0)))</f>
        <v/>
      </c>
      <c r="K1210" s="97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inlineStr">
        <is>
          <t>Nao</t>
        </is>
      </c>
      <c r="W1210" s="110" t="inlineStr">
        <is>
          <t>PC em analise</t>
        </is>
      </c>
      <c r="X1210" s="110" t="inlineStr">
        <is>
          <t>Pedido de Compra</t>
        </is>
      </c>
      <c r="Y1210" s="111" t="inlineStr">
        <is>
          <t>Impacto Potencial</t>
        </is>
      </c>
      <c r="Z1210" s="111" t="inlineStr">
        <is>
          <t>PC</t>
        </is>
      </c>
      <c r="AA1210" s="111" t="inlineStr">
        <is>
          <t>Nao</t>
        </is>
      </c>
      <c r="AB1210" s="111" t="inlineStr">
        <is>
          <t>NAO_COMPUTADO</t>
        </is>
      </c>
      <c r="AC1210" s="112" t="inlineStr">
        <is>
          <t>Estrutura Fase 1: sem impacto no VTA oficial</t>
        </is>
      </c>
    </row>
    <row r="1211" ht="25.5" customHeight="1" s="289">
      <c r="A1211" s="205" t="n"/>
      <c r="B1211" s="207" t="n"/>
      <c r="C1211" s="104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348" t="n"/>
      <c r="E1211" s="349">
        <f>IF(C1211="","",IFERROR(VLOOKUP(C1211,parametros!$A$11:$E$15,5,0),""))</f>
        <v/>
      </c>
      <c r="F1211" s="335">
        <f>IF(OR(D1211="",E1211=""),"",ROUND(D1211*E1211,2))</f>
        <v/>
      </c>
      <c r="G1211" s="106" t="n"/>
      <c r="H1211" s="350">
        <f>IF(G1211="Sim",IF(OR(F1211="",D1211="",L1211=""),"",IF(L1211="Sim",ROUND(F1211-D1211,2),0)),0)</f>
        <v/>
      </c>
      <c r="I1211" s="350">
        <f>IF(G1211="Sim",0,IF(OR(F1211="",L1211=""),"",F1211))</f>
        <v/>
      </c>
      <c r="J1211" s="350">
        <f>IF(G1211="Sim",0,IF(OR(F1211="",D1211="",L1211=""),"",IF(L1211="Sim",ROUND(F1211-D1211,2),0)))</f>
        <v/>
      </c>
      <c r="K1211" s="97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inlineStr">
        <is>
          <t>Nao</t>
        </is>
      </c>
      <c r="W1211" s="110" t="inlineStr">
        <is>
          <t>PC em analise</t>
        </is>
      </c>
      <c r="X1211" s="110" t="inlineStr">
        <is>
          <t>Pedido de Compra</t>
        </is>
      </c>
      <c r="Y1211" s="111" t="inlineStr">
        <is>
          <t>Impacto Potencial</t>
        </is>
      </c>
      <c r="Z1211" s="111" t="inlineStr">
        <is>
          <t>PC</t>
        </is>
      </c>
      <c r="AA1211" s="111" t="inlineStr">
        <is>
          <t>Nao</t>
        </is>
      </c>
      <c r="AB1211" s="111" t="inlineStr">
        <is>
          <t>NAO_COMPUTADO</t>
        </is>
      </c>
      <c r="AC1211" s="112" t="inlineStr">
        <is>
          <t>Estrutura Fase 1: sem impacto no VTA oficial</t>
        </is>
      </c>
    </row>
    <row r="1212" ht="25.5" customHeight="1" s="289">
      <c r="A1212" s="205" t="n"/>
      <c r="B1212" s="207" t="n"/>
      <c r="C1212" s="104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348" t="n"/>
      <c r="E1212" s="349">
        <f>IF(C1212="","",IFERROR(VLOOKUP(C1212,parametros!$A$11:$E$15,5,0),""))</f>
        <v/>
      </c>
      <c r="F1212" s="335">
        <f>IF(OR(D1212="",E1212=""),"",ROUND(D1212*E1212,2))</f>
        <v/>
      </c>
      <c r="G1212" s="106" t="n"/>
      <c r="H1212" s="350">
        <f>IF(G1212="Sim",IF(OR(F1212="",D1212="",L1212=""),"",IF(L1212="Sim",ROUND(F1212-D1212,2),0)),0)</f>
        <v/>
      </c>
      <c r="I1212" s="350">
        <f>IF(G1212="Sim",0,IF(OR(F1212="",L1212=""),"",F1212))</f>
        <v/>
      </c>
      <c r="J1212" s="350">
        <f>IF(G1212="Sim",0,IF(OR(F1212="",D1212="",L1212=""),"",IF(L1212="Sim",ROUND(F1212-D1212,2),0)))</f>
        <v/>
      </c>
      <c r="K1212" s="97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inlineStr">
        <is>
          <t>Nao</t>
        </is>
      </c>
      <c r="W1212" s="110" t="inlineStr">
        <is>
          <t>PC em analise</t>
        </is>
      </c>
      <c r="X1212" s="110" t="inlineStr">
        <is>
          <t>Pedido de Compra</t>
        </is>
      </c>
      <c r="Y1212" s="111" t="inlineStr">
        <is>
          <t>Impacto Potencial</t>
        </is>
      </c>
      <c r="Z1212" s="111" t="inlineStr">
        <is>
          <t>PC</t>
        </is>
      </c>
      <c r="AA1212" s="111" t="inlineStr">
        <is>
          <t>Nao</t>
        </is>
      </c>
      <c r="AB1212" s="111" t="inlineStr">
        <is>
          <t>NAO_COMPUTADO</t>
        </is>
      </c>
      <c r="AC1212" s="112" t="inlineStr">
        <is>
          <t>Estrutura Fase 1: sem impacto no VTA oficial</t>
        </is>
      </c>
    </row>
    <row r="1213" ht="25.5" customHeight="1" s="289">
      <c r="A1213" s="205" t="n"/>
      <c r="B1213" s="207" t="n"/>
      <c r="C1213" s="104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348" t="n"/>
      <c r="E1213" s="349">
        <f>IF(C1213="","",IFERROR(VLOOKUP(C1213,parametros!$A$11:$E$15,5,0),""))</f>
        <v/>
      </c>
      <c r="F1213" s="335">
        <f>IF(OR(D1213="",E1213=""),"",ROUND(D1213*E1213,2))</f>
        <v/>
      </c>
      <c r="G1213" s="106" t="n"/>
      <c r="H1213" s="350">
        <f>IF(G1213="Sim",IF(OR(F1213="",D1213="",L1213=""),"",IF(L1213="Sim",ROUND(F1213-D1213,2),0)),0)</f>
        <v/>
      </c>
      <c r="I1213" s="350">
        <f>IF(G1213="Sim",0,IF(OR(F1213="",L1213=""),"",F1213))</f>
        <v/>
      </c>
      <c r="J1213" s="350">
        <f>IF(G1213="Sim",0,IF(OR(F1213="",D1213="",L1213=""),"",IF(L1213="Sim",ROUND(F1213-D1213,2),0)))</f>
        <v/>
      </c>
      <c r="K1213" s="97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inlineStr">
        <is>
          <t>Nao</t>
        </is>
      </c>
      <c r="W1213" s="110" t="inlineStr">
        <is>
          <t>PC em analise</t>
        </is>
      </c>
      <c r="X1213" s="110" t="inlineStr">
        <is>
          <t>Pedido de Compra</t>
        </is>
      </c>
      <c r="Y1213" s="111" t="inlineStr">
        <is>
          <t>Impacto Potencial</t>
        </is>
      </c>
      <c r="Z1213" s="111" t="inlineStr">
        <is>
          <t>PC</t>
        </is>
      </c>
      <c r="AA1213" s="111" t="inlineStr">
        <is>
          <t>Nao</t>
        </is>
      </c>
      <c r="AB1213" s="111" t="inlineStr">
        <is>
          <t>NAO_COMPUTADO</t>
        </is>
      </c>
      <c r="AC1213" s="112" t="inlineStr">
        <is>
          <t>Estrutura Fase 1: sem impacto no VTA oficial</t>
        </is>
      </c>
    </row>
    <row r="1214" ht="25.5" customHeight="1" s="289">
      <c r="A1214" s="205" t="n"/>
      <c r="B1214" s="207" t="n"/>
      <c r="C1214" s="104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348" t="n"/>
      <c r="E1214" s="349">
        <f>IF(C1214="","",IFERROR(VLOOKUP(C1214,parametros!$A$11:$E$15,5,0),""))</f>
        <v/>
      </c>
      <c r="F1214" s="335">
        <f>IF(OR(D1214="",E1214=""),"",ROUND(D1214*E1214,2))</f>
        <v/>
      </c>
      <c r="G1214" s="106" t="n"/>
      <c r="H1214" s="350">
        <f>IF(G1214="Sim",IF(OR(F1214="",D1214="",L1214=""),"",IF(L1214="Sim",ROUND(F1214-D1214,2),0)),0)</f>
        <v/>
      </c>
      <c r="I1214" s="350">
        <f>IF(G1214="Sim",0,IF(OR(F1214="",L1214=""),"",F1214))</f>
        <v/>
      </c>
      <c r="J1214" s="350">
        <f>IF(G1214="Sim",0,IF(OR(F1214="",D1214="",L1214=""),"",IF(L1214="Sim",ROUND(F1214-D1214,2),0)))</f>
        <v/>
      </c>
      <c r="K1214" s="97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inlineStr">
        <is>
          <t>Nao</t>
        </is>
      </c>
      <c r="W1214" s="110" t="inlineStr">
        <is>
          <t>PC em analise</t>
        </is>
      </c>
      <c r="X1214" s="110" t="inlineStr">
        <is>
          <t>Pedido de Compra</t>
        </is>
      </c>
      <c r="Y1214" s="111" t="inlineStr">
        <is>
          <t>Impacto Potencial</t>
        </is>
      </c>
      <c r="Z1214" s="111" t="inlineStr">
        <is>
          <t>PC</t>
        </is>
      </c>
      <c r="AA1214" s="111" t="inlineStr">
        <is>
          <t>Nao</t>
        </is>
      </c>
      <c r="AB1214" s="111" t="inlineStr">
        <is>
          <t>NAO_COMPUTADO</t>
        </is>
      </c>
      <c r="AC1214" s="112" t="inlineStr">
        <is>
          <t>Estrutura Fase 1: sem impacto no VTA oficial</t>
        </is>
      </c>
    </row>
    <row r="1215" ht="25.5" customHeight="1" s="289">
      <c r="A1215" s="205" t="n"/>
      <c r="B1215" s="207" t="n"/>
      <c r="C1215" s="104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348" t="n"/>
      <c r="E1215" s="349">
        <f>IF(C1215="","",IFERROR(VLOOKUP(C1215,parametros!$A$11:$E$15,5,0),""))</f>
        <v/>
      </c>
      <c r="F1215" s="335">
        <f>IF(OR(D1215="",E1215=""),"",ROUND(D1215*E1215,2))</f>
        <v/>
      </c>
      <c r="G1215" s="106" t="n"/>
      <c r="H1215" s="350">
        <f>IF(G1215="Sim",IF(OR(F1215="",D1215="",L1215=""),"",IF(L1215="Sim",ROUND(F1215-D1215,2),0)),0)</f>
        <v/>
      </c>
      <c r="I1215" s="350">
        <f>IF(G1215="Sim",0,IF(OR(F1215="",L1215=""),"",F1215))</f>
        <v/>
      </c>
      <c r="J1215" s="350">
        <f>IF(G1215="Sim",0,IF(OR(F1215="",D1215="",L1215=""),"",IF(L1215="Sim",ROUND(F1215-D1215,2),0)))</f>
        <v/>
      </c>
      <c r="K1215" s="97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inlineStr">
        <is>
          <t>Nao</t>
        </is>
      </c>
      <c r="W1215" s="110" t="inlineStr">
        <is>
          <t>PC em analise</t>
        </is>
      </c>
      <c r="X1215" s="110" t="inlineStr">
        <is>
          <t>Pedido de Compra</t>
        </is>
      </c>
      <c r="Y1215" s="111" t="inlineStr">
        <is>
          <t>Impacto Potencial</t>
        </is>
      </c>
      <c r="Z1215" s="111" t="inlineStr">
        <is>
          <t>PC</t>
        </is>
      </c>
      <c r="AA1215" s="111" t="inlineStr">
        <is>
          <t>Nao</t>
        </is>
      </c>
      <c r="AB1215" s="111" t="inlineStr">
        <is>
          <t>NAO_COMPUTADO</t>
        </is>
      </c>
      <c r="AC1215" s="112" t="inlineStr">
        <is>
          <t>Estrutura Fase 1: sem impacto no VTA oficial</t>
        </is>
      </c>
    </row>
    <row r="1216" ht="25.5" customHeight="1" s="289">
      <c r="A1216" s="205" t="n"/>
      <c r="B1216" s="207" t="n"/>
      <c r="C1216" s="104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348" t="n"/>
      <c r="E1216" s="349">
        <f>IF(C1216="","",IFERROR(VLOOKUP(C1216,parametros!$A$11:$E$15,5,0),""))</f>
        <v/>
      </c>
      <c r="F1216" s="335">
        <f>IF(OR(D1216="",E1216=""),"",ROUND(D1216*E1216,2))</f>
        <v/>
      </c>
      <c r="G1216" s="106" t="n"/>
      <c r="H1216" s="350">
        <f>IF(G1216="Sim",IF(OR(F1216="",D1216="",L1216=""),"",IF(L1216="Sim",ROUND(F1216-D1216,2),0)),0)</f>
        <v/>
      </c>
      <c r="I1216" s="350">
        <f>IF(G1216="Sim",0,IF(OR(F1216="",L1216=""),"",F1216))</f>
        <v/>
      </c>
      <c r="J1216" s="350">
        <f>IF(G1216="Sim",0,IF(OR(F1216="",D1216="",L1216=""),"",IF(L1216="Sim",ROUND(F1216-D1216,2),0)))</f>
        <v/>
      </c>
      <c r="K1216" s="97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inlineStr">
        <is>
          <t>Nao</t>
        </is>
      </c>
      <c r="W1216" s="110" t="inlineStr">
        <is>
          <t>PC em analise</t>
        </is>
      </c>
      <c r="X1216" s="110" t="inlineStr">
        <is>
          <t>Pedido de Compra</t>
        </is>
      </c>
      <c r="Y1216" s="111" t="inlineStr">
        <is>
          <t>Impacto Potencial</t>
        </is>
      </c>
      <c r="Z1216" s="111" t="inlineStr">
        <is>
          <t>PC</t>
        </is>
      </c>
      <c r="AA1216" s="111" t="inlineStr">
        <is>
          <t>Nao</t>
        </is>
      </c>
      <c r="AB1216" s="111" t="inlineStr">
        <is>
          <t>NAO_COMPUTADO</t>
        </is>
      </c>
      <c r="AC1216" s="112" t="inlineStr">
        <is>
          <t>Estrutura Fase 1: sem impacto no VTA oficial</t>
        </is>
      </c>
    </row>
    <row r="1217" ht="25.5" customHeight="1" s="289">
      <c r="A1217" s="205" t="n"/>
      <c r="B1217" s="207" t="n"/>
      <c r="C1217" s="104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348" t="n"/>
      <c r="E1217" s="349">
        <f>IF(C1217="","",IFERROR(VLOOKUP(C1217,parametros!$A$11:$E$15,5,0),""))</f>
        <v/>
      </c>
      <c r="F1217" s="335">
        <f>IF(OR(D1217="",E1217=""),"",ROUND(D1217*E1217,2))</f>
        <v/>
      </c>
      <c r="G1217" s="106" t="n"/>
      <c r="H1217" s="350">
        <f>IF(G1217="Sim",IF(OR(F1217="",D1217="",L1217=""),"",IF(L1217="Sim",ROUND(F1217-D1217,2),0)),0)</f>
        <v/>
      </c>
      <c r="I1217" s="350">
        <f>IF(G1217="Sim",0,IF(OR(F1217="",L1217=""),"",F1217))</f>
        <v/>
      </c>
      <c r="J1217" s="350">
        <f>IF(G1217="Sim",0,IF(OR(F1217="",D1217="",L1217=""),"",IF(L1217="Sim",ROUND(F1217-D1217,2),0)))</f>
        <v/>
      </c>
      <c r="K1217" s="97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inlineStr">
        <is>
          <t>Nao</t>
        </is>
      </c>
      <c r="W1217" s="110" t="inlineStr">
        <is>
          <t>PC em analise</t>
        </is>
      </c>
      <c r="X1217" s="110" t="inlineStr">
        <is>
          <t>Pedido de Compra</t>
        </is>
      </c>
      <c r="Y1217" s="111" t="inlineStr">
        <is>
          <t>Impacto Potencial</t>
        </is>
      </c>
      <c r="Z1217" s="111" t="inlineStr">
        <is>
          <t>PC</t>
        </is>
      </c>
      <c r="AA1217" s="111" t="inlineStr">
        <is>
          <t>Nao</t>
        </is>
      </c>
      <c r="AB1217" s="111" t="inlineStr">
        <is>
          <t>NAO_COMPUTADO</t>
        </is>
      </c>
      <c r="AC1217" s="112" t="inlineStr">
        <is>
          <t>Estrutura Fase 1: sem impacto no VTA oficial</t>
        </is>
      </c>
    </row>
    <row r="1218" ht="25.5" customHeight="1" s="289">
      <c r="A1218" s="205" t="n"/>
      <c r="B1218" s="207" t="n"/>
      <c r="C1218" s="104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348" t="n"/>
      <c r="E1218" s="349">
        <f>IF(C1218="","",IFERROR(VLOOKUP(C1218,parametros!$A$11:$E$15,5,0),""))</f>
        <v/>
      </c>
      <c r="F1218" s="335">
        <f>IF(OR(D1218="",E1218=""),"",ROUND(D1218*E1218,2))</f>
        <v/>
      </c>
      <c r="G1218" s="106" t="n"/>
      <c r="H1218" s="350">
        <f>IF(G1218="Sim",IF(OR(F1218="",D1218="",L1218=""),"",IF(L1218="Sim",ROUND(F1218-D1218,2),0)),0)</f>
        <v/>
      </c>
      <c r="I1218" s="350">
        <f>IF(G1218="Sim",0,IF(OR(F1218="",L1218=""),"",F1218))</f>
        <v/>
      </c>
      <c r="J1218" s="350">
        <f>IF(G1218="Sim",0,IF(OR(F1218="",D1218="",L1218=""),"",IF(L1218="Sim",ROUND(F1218-D1218,2),0)))</f>
        <v/>
      </c>
      <c r="K1218" s="97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inlineStr">
        <is>
          <t>Nao</t>
        </is>
      </c>
      <c r="W1218" s="110" t="inlineStr">
        <is>
          <t>PC em analise</t>
        </is>
      </c>
      <c r="X1218" s="110" t="inlineStr">
        <is>
          <t>Pedido de Compra</t>
        </is>
      </c>
      <c r="Y1218" s="111" t="inlineStr">
        <is>
          <t>Impacto Potencial</t>
        </is>
      </c>
      <c r="Z1218" s="111" t="inlineStr">
        <is>
          <t>PC</t>
        </is>
      </c>
      <c r="AA1218" s="111" t="inlineStr">
        <is>
          <t>Nao</t>
        </is>
      </c>
      <c r="AB1218" s="111" t="inlineStr">
        <is>
          <t>NAO_COMPUTADO</t>
        </is>
      </c>
      <c r="AC1218" s="112" t="inlineStr">
        <is>
          <t>Estrutura Fase 1: sem impacto no VTA oficial</t>
        </is>
      </c>
    </row>
    <row r="1219" ht="25.5" customHeight="1" s="289">
      <c r="A1219" s="205" t="n"/>
      <c r="B1219" s="207" t="n"/>
      <c r="C1219" s="104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348" t="n"/>
      <c r="E1219" s="349">
        <f>IF(C1219="","",IFERROR(VLOOKUP(C1219,parametros!$A$11:$E$15,5,0),""))</f>
        <v/>
      </c>
      <c r="F1219" s="335">
        <f>IF(OR(D1219="",E1219=""),"",ROUND(D1219*E1219,2))</f>
        <v/>
      </c>
      <c r="G1219" s="106" t="n"/>
      <c r="H1219" s="350">
        <f>IF(G1219="Sim",IF(OR(F1219="",D1219="",L1219=""),"",IF(L1219="Sim",ROUND(F1219-D1219,2),0)),0)</f>
        <v/>
      </c>
      <c r="I1219" s="350">
        <f>IF(G1219="Sim",0,IF(OR(F1219="",L1219=""),"",F1219))</f>
        <v/>
      </c>
      <c r="J1219" s="350">
        <f>IF(G1219="Sim",0,IF(OR(F1219="",D1219="",L1219=""),"",IF(L1219="Sim",ROUND(F1219-D1219,2),0)))</f>
        <v/>
      </c>
      <c r="K1219" s="97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inlineStr">
        <is>
          <t>Nao</t>
        </is>
      </c>
      <c r="W1219" s="110" t="inlineStr">
        <is>
          <t>PC em analise</t>
        </is>
      </c>
      <c r="X1219" s="110" t="inlineStr">
        <is>
          <t>Pedido de Compra</t>
        </is>
      </c>
      <c r="Y1219" s="111" t="inlineStr">
        <is>
          <t>Impacto Potencial</t>
        </is>
      </c>
      <c r="Z1219" s="111" t="inlineStr">
        <is>
          <t>PC</t>
        </is>
      </c>
      <c r="AA1219" s="111" t="inlineStr">
        <is>
          <t>Nao</t>
        </is>
      </c>
      <c r="AB1219" s="111" t="inlineStr">
        <is>
          <t>NAO_COMPUTADO</t>
        </is>
      </c>
      <c r="AC1219" s="112" t="inlineStr">
        <is>
          <t>Estrutura Fase 1: sem impacto no VTA oficial</t>
        </is>
      </c>
    </row>
    <row r="1220" ht="25.5" customHeight="1" s="289">
      <c r="A1220" s="205" t="n"/>
      <c r="B1220" s="207" t="n"/>
      <c r="C1220" s="104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348" t="n"/>
      <c r="E1220" s="349">
        <f>IF(C1220="","",IFERROR(VLOOKUP(C1220,parametros!$A$11:$E$15,5,0),""))</f>
        <v/>
      </c>
      <c r="F1220" s="335">
        <f>IF(OR(D1220="",E1220=""),"",ROUND(D1220*E1220,2))</f>
        <v/>
      </c>
      <c r="G1220" s="106" t="n"/>
      <c r="H1220" s="350">
        <f>IF(G1220="Sim",IF(OR(F1220="",D1220="",L1220=""),"",IF(L1220="Sim",ROUND(F1220-D1220,2),0)),0)</f>
        <v/>
      </c>
      <c r="I1220" s="350">
        <f>IF(G1220="Sim",0,IF(OR(F1220="",L1220=""),"",F1220))</f>
        <v/>
      </c>
      <c r="J1220" s="350">
        <f>IF(G1220="Sim",0,IF(OR(F1220="",D1220="",L1220=""),"",IF(L1220="Sim",ROUND(F1220-D1220,2),0)))</f>
        <v/>
      </c>
      <c r="K1220" s="97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inlineStr">
        <is>
          <t>Nao</t>
        </is>
      </c>
      <c r="W1220" s="110" t="inlineStr">
        <is>
          <t>PC em analise</t>
        </is>
      </c>
      <c r="X1220" s="110" t="inlineStr">
        <is>
          <t>Pedido de Compra</t>
        </is>
      </c>
      <c r="Y1220" s="111" t="inlineStr">
        <is>
          <t>Impacto Potencial</t>
        </is>
      </c>
      <c r="Z1220" s="111" t="inlineStr">
        <is>
          <t>PC</t>
        </is>
      </c>
      <c r="AA1220" s="111" t="inlineStr">
        <is>
          <t>Nao</t>
        </is>
      </c>
      <c r="AB1220" s="111" t="inlineStr">
        <is>
          <t>NAO_COMPUTADO</t>
        </is>
      </c>
      <c r="AC1220" s="112" t="inlineStr">
        <is>
          <t>Estrutura Fase 1: sem impacto no VTA oficial</t>
        </is>
      </c>
    </row>
    <row r="1221" ht="25.5" customHeight="1" s="289">
      <c r="A1221" s="205" t="n"/>
      <c r="B1221" s="207" t="n"/>
      <c r="C1221" s="104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348" t="n"/>
      <c r="E1221" s="349">
        <f>IF(C1221="","",IFERROR(VLOOKUP(C1221,parametros!$A$11:$E$15,5,0),""))</f>
        <v/>
      </c>
      <c r="F1221" s="335">
        <f>IF(OR(D1221="",E1221=""),"",ROUND(D1221*E1221,2))</f>
        <v/>
      </c>
      <c r="G1221" s="106" t="n"/>
      <c r="H1221" s="350">
        <f>IF(G1221="Sim",IF(OR(F1221="",D1221="",L1221=""),"",IF(L1221="Sim",ROUND(F1221-D1221,2),0)),0)</f>
        <v/>
      </c>
      <c r="I1221" s="350">
        <f>IF(G1221="Sim",0,IF(OR(F1221="",L1221=""),"",F1221))</f>
        <v/>
      </c>
      <c r="J1221" s="350">
        <f>IF(G1221="Sim",0,IF(OR(F1221="",D1221="",L1221=""),"",IF(L1221="Sim",ROUND(F1221-D1221,2),0)))</f>
        <v/>
      </c>
      <c r="K1221" s="97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inlineStr">
        <is>
          <t>Nao</t>
        </is>
      </c>
      <c r="W1221" s="110" t="inlineStr">
        <is>
          <t>PC em analise</t>
        </is>
      </c>
      <c r="X1221" s="110" t="inlineStr">
        <is>
          <t>Pedido de Compra</t>
        </is>
      </c>
      <c r="Y1221" s="111" t="inlineStr">
        <is>
          <t>Impacto Potencial</t>
        </is>
      </c>
      <c r="Z1221" s="111" t="inlineStr">
        <is>
          <t>PC</t>
        </is>
      </c>
      <c r="AA1221" s="111" t="inlineStr">
        <is>
          <t>Nao</t>
        </is>
      </c>
      <c r="AB1221" s="111" t="inlineStr">
        <is>
          <t>NAO_COMPUTADO</t>
        </is>
      </c>
      <c r="AC1221" s="112" t="inlineStr">
        <is>
          <t>Estrutura Fase 1: sem impacto no VTA oficial</t>
        </is>
      </c>
    </row>
    <row r="1222" ht="25.5" customHeight="1" s="289">
      <c r="A1222" s="205" t="n"/>
      <c r="B1222" s="207" t="n"/>
      <c r="C1222" s="104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348" t="n"/>
      <c r="E1222" s="349">
        <f>IF(C1222="","",IFERROR(VLOOKUP(C1222,parametros!$A$11:$E$15,5,0),""))</f>
        <v/>
      </c>
      <c r="F1222" s="335">
        <f>IF(OR(D1222="",E1222=""),"",ROUND(D1222*E1222,2))</f>
        <v/>
      </c>
      <c r="G1222" s="106" t="n"/>
      <c r="H1222" s="350">
        <f>IF(G1222="Sim",IF(OR(F1222="",D1222="",L1222=""),"",IF(L1222="Sim",ROUND(F1222-D1222,2),0)),0)</f>
        <v/>
      </c>
      <c r="I1222" s="350">
        <f>IF(G1222="Sim",0,IF(OR(F1222="",L1222=""),"",F1222))</f>
        <v/>
      </c>
      <c r="J1222" s="350">
        <f>IF(G1222="Sim",0,IF(OR(F1222="",D1222="",L1222=""),"",IF(L1222="Sim",ROUND(F1222-D1222,2),0)))</f>
        <v/>
      </c>
      <c r="K1222" s="97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inlineStr">
        <is>
          <t>Nao</t>
        </is>
      </c>
      <c r="W1222" s="110" t="inlineStr">
        <is>
          <t>PC em analise</t>
        </is>
      </c>
      <c r="X1222" s="110" t="inlineStr">
        <is>
          <t>Pedido de Compra</t>
        </is>
      </c>
      <c r="Y1222" s="111" t="inlineStr">
        <is>
          <t>Impacto Potencial</t>
        </is>
      </c>
      <c r="Z1222" s="111" t="inlineStr">
        <is>
          <t>PC</t>
        </is>
      </c>
      <c r="AA1222" s="111" t="inlineStr">
        <is>
          <t>Nao</t>
        </is>
      </c>
      <c r="AB1222" s="111" t="inlineStr">
        <is>
          <t>NAO_COMPUTADO</t>
        </is>
      </c>
      <c r="AC1222" s="112" t="inlineStr">
        <is>
          <t>Estrutura Fase 1: sem impacto no VTA oficial</t>
        </is>
      </c>
    </row>
    <row r="1223" ht="25.5" customHeight="1" s="289">
      <c r="A1223" s="205" t="n"/>
      <c r="B1223" s="207" t="n"/>
      <c r="C1223" s="104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348" t="n"/>
      <c r="E1223" s="349">
        <f>IF(C1223="","",IFERROR(VLOOKUP(C1223,parametros!$A$11:$E$15,5,0),""))</f>
        <v/>
      </c>
      <c r="F1223" s="335">
        <f>IF(OR(D1223="",E1223=""),"",ROUND(D1223*E1223,2))</f>
        <v/>
      </c>
      <c r="G1223" s="106" t="n"/>
      <c r="H1223" s="350">
        <f>IF(G1223="Sim",IF(OR(F1223="",D1223="",L1223=""),"",IF(L1223="Sim",ROUND(F1223-D1223,2),0)),0)</f>
        <v/>
      </c>
      <c r="I1223" s="350">
        <f>IF(G1223="Sim",0,IF(OR(F1223="",L1223=""),"",F1223))</f>
        <v/>
      </c>
      <c r="J1223" s="350">
        <f>IF(G1223="Sim",0,IF(OR(F1223="",D1223="",L1223=""),"",IF(L1223="Sim",ROUND(F1223-D1223,2),0)))</f>
        <v/>
      </c>
      <c r="K1223" s="97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inlineStr">
        <is>
          <t>Nao</t>
        </is>
      </c>
      <c r="W1223" s="110" t="inlineStr">
        <is>
          <t>PC em analise</t>
        </is>
      </c>
      <c r="X1223" s="110" t="inlineStr">
        <is>
          <t>Pedido de Compra</t>
        </is>
      </c>
      <c r="Y1223" s="111" t="inlineStr">
        <is>
          <t>Impacto Potencial</t>
        </is>
      </c>
      <c r="Z1223" s="111" t="inlineStr">
        <is>
          <t>PC</t>
        </is>
      </c>
      <c r="AA1223" s="111" t="inlineStr">
        <is>
          <t>Nao</t>
        </is>
      </c>
      <c r="AB1223" s="111" t="inlineStr">
        <is>
          <t>NAO_COMPUTADO</t>
        </is>
      </c>
      <c r="AC1223" s="112" t="inlineStr">
        <is>
          <t>Estrutura Fase 1: sem impacto no VTA oficial</t>
        </is>
      </c>
    </row>
    <row r="1224" ht="25.5" customHeight="1" s="289">
      <c r="A1224" s="205" t="n"/>
      <c r="B1224" s="207" t="n"/>
      <c r="C1224" s="104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348" t="n"/>
      <c r="E1224" s="349">
        <f>IF(C1224="","",IFERROR(VLOOKUP(C1224,parametros!$A$11:$E$15,5,0),""))</f>
        <v/>
      </c>
      <c r="F1224" s="335">
        <f>IF(OR(D1224="",E1224=""),"",ROUND(D1224*E1224,2))</f>
        <v/>
      </c>
      <c r="G1224" s="106" t="n"/>
      <c r="H1224" s="350">
        <f>IF(G1224="Sim",IF(OR(F1224="",D1224="",L1224=""),"",IF(L1224="Sim",ROUND(F1224-D1224,2),0)),0)</f>
        <v/>
      </c>
      <c r="I1224" s="350">
        <f>IF(G1224="Sim",0,IF(OR(F1224="",L1224=""),"",F1224))</f>
        <v/>
      </c>
      <c r="J1224" s="350">
        <f>IF(G1224="Sim",0,IF(OR(F1224="",D1224="",L1224=""),"",IF(L1224="Sim",ROUND(F1224-D1224,2),0)))</f>
        <v/>
      </c>
      <c r="K1224" s="97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inlineStr">
        <is>
          <t>Nao</t>
        </is>
      </c>
      <c r="W1224" s="110" t="inlineStr">
        <is>
          <t>PC em analise</t>
        </is>
      </c>
      <c r="X1224" s="110" t="inlineStr">
        <is>
          <t>Pedido de Compra</t>
        </is>
      </c>
      <c r="Y1224" s="111" t="inlineStr">
        <is>
          <t>Impacto Potencial</t>
        </is>
      </c>
      <c r="Z1224" s="111" t="inlineStr">
        <is>
          <t>PC</t>
        </is>
      </c>
      <c r="AA1224" s="111" t="inlineStr">
        <is>
          <t>Nao</t>
        </is>
      </c>
      <c r="AB1224" s="111" t="inlineStr">
        <is>
          <t>NAO_COMPUTADO</t>
        </is>
      </c>
      <c r="AC1224" s="112" t="inlineStr">
        <is>
          <t>Estrutura Fase 1: sem impacto no VTA oficial</t>
        </is>
      </c>
    </row>
    <row r="1225" ht="25.5" customHeight="1" s="289">
      <c r="A1225" s="205" t="n"/>
      <c r="B1225" s="207" t="n"/>
      <c r="C1225" s="104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348" t="n"/>
      <c r="E1225" s="349">
        <f>IF(C1225="","",IFERROR(VLOOKUP(C1225,parametros!$A$11:$E$15,5,0),""))</f>
        <v/>
      </c>
      <c r="F1225" s="335">
        <f>IF(OR(D1225="",E1225=""),"",ROUND(D1225*E1225,2))</f>
        <v/>
      </c>
      <c r="G1225" s="106" t="n"/>
      <c r="H1225" s="350">
        <f>IF(G1225="Sim",IF(OR(F1225="",D1225="",L1225=""),"",IF(L1225="Sim",ROUND(F1225-D1225,2),0)),0)</f>
        <v/>
      </c>
      <c r="I1225" s="350">
        <f>IF(G1225="Sim",0,IF(OR(F1225="",L1225=""),"",F1225))</f>
        <v/>
      </c>
      <c r="J1225" s="350">
        <f>IF(G1225="Sim",0,IF(OR(F1225="",D1225="",L1225=""),"",IF(L1225="Sim",ROUND(F1225-D1225,2),0)))</f>
        <v/>
      </c>
      <c r="K1225" s="97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inlineStr">
        <is>
          <t>Nao</t>
        </is>
      </c>
      <c r="W1225" s="110" t="inlineStr">
        <is>
          <t>PC em analise</t>
        </is>
      </c>
      <c r="X1225" s="110" t="inlineStr">
        <is>
          <t>Pedido de Compra</t>
        </is>
      </c>
      <c r="Y1225" s="111" t="inlineStr">
        <is>
          <t>Impacto Potencial</t>
        </is>
      </c>
      <c r="Z1225" s="111" t="inlineStr">
        <is>
          <t>PC</t>
        </is>
      </c>
      <c r="AA1225" s="111" t="inlineStr">
        <is>
          <t>Nao</t>
        </is>
      </c>
      <c r="AB1225" s="111" t="inlineStr">
        <is>
          <t>NAO_COMPUTADO</t>
        </is>
      </c>
      <c r="AC1225" s="112" t="inlineStr">
        <is>
          <t>Estrutura Fase 1: sem impacto no VTA oficial</t>
        </is>
      </c>
    </row>
    <row r="1226" ht="25.5" customHeight="1" s="289">
      <c r="A1226" s="205" t="n"/>
      <c r="B1226" s="207" t="n"/>
      <c r="C1226" s="104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348" t="n"/>
      <c r="E1226" s="349">
        <f>IF(C1226="","",IFERROR(VLOOKUP(C1226,parametros!$A$11:$E$15,5,0),""))</f>
        <v/>
      </c>
      <c r="F1226" s="335">
        <f>IF(OR(D1226="",E1226=""),"",ROUND(D1226*E1226,2))</f>
        <v/>
      </c>
      <c r="G1226" s="106" t="n"/>
      <c r="H1226" s="350">
        <f>IF(G1226="Sim",IF(OR(F1226="",D1226="",L1226=""),"",IF(L1226="Sim",ROUND(F1226-D1226,2),0)),0)</f>
        <v/>
      </c>
      <c r="I1226" s="350">
        <f>IF(G1226="Sim",0,IF(OR(F1226="",L1226=""),"",F1226))</f>
        <v/>
      </c>
      <c r="J1226" s="350">
        <f>IF(G1226="Sim",0,IF(OR(F1226="",D1226="",L1226=""),"",IF(L1226="Sim",ROUND(F1226-D1226,2),0)))</f>
        <v/>
      </c>
      <c r="K1226" s="97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inlineStr">
        <is>
          <t>Nao</t>
        </is>
      </c>
      <c r="W1226" s="110" t="inlineStr">
        <is>
          <t>PC em analise</t>
        </is>
      </c>
      <c r="X1226" s="110" t="inlineStr">
        <is>
          <t>Pedido de Compra</t>
        </is>
      </c>
      <c r="Y1226" s="111" t="inlineStr">
        <is>
          <t>Impacto Potencial</t>
        </is>
      </c>
      <c r="Z1226" s="111" t="inlineStr">
        <is>
          <t>PC</t>
        </is>
      </c>
      <c r="AA1226" s="111" t="inlineStr">
        <is>
          <t>Nao</t>
        </is>
      </c>
      <c r="AB1226" s="111" t="inlineStr">
        <is>
          <t>NAO_COMPUTADO</t>
        </is>
      </c>
      <c r="AC1226" s="112" t="inlineStr">
        <is>
          <t>Estrutura Fase 1: sem impacto no VTA oficial</t>
        </is>
      </c>
    </row>
    <row r="1227" ht="25.5" customHeight="1" s="289">
      <c r="A1227" s="205" t="n"/>
      <c r="B1227" s="207" t="n"/>
      <c r="C1227" s="104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348" t="n"/>
      <c r="E1227" s="349">
        <f>IF(C1227="","",IFERROR(VLOOKUP(C1227,parametros!$A$11:$E$15,5,0),""))</f>
        <v/>
      </c>
      <c r="F1227" s="335">
        <f>IF(OR(D1227="",E1227=""),"",ROUND(D1227*E1227,2))</f>
        <v/>
      </c>
      <c r="G1227" s="106" t="n"/>
      <c r="H1227" s="350">
        <f>IF(G1227="Sim",IF(OR(F1227="",D1227="",L1227=""),"",IF(L1227="Sim",ROUND(F1227-D1227,2),0)),0)</f>
        <v/>
      </c>
      <c r="I1227" s="350">
        <f>IF(G1227="Sim",0,IF(OR(F1227="",L1227=""),"",F1227))</f>
        <v/>
      </c>
      <c r="J1227" s="350">
        <f>IF(G1227="Sim",0,IF(OR(F1227="",D1227="",L1227=""),"",IF(L1227="Sim",ROUND(F1227-D1227,2),0)))</f>
        <v/>
      </c>
      <c r="K1227" s="97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inlineStr">
        <is>
          <t>Nao</t>
        </is>
      </c>
      <c r="W1227" s="110" t="inlineStr">
        <is>
          <t>PC em analise</t>
        </is>
      </c>
      <c r="X1227" s="110" t="inlineStr">
        <is>
          <t>Pedido de Compra</t>
        </is>
      </c>
      <c r="Y1227" s="111" t="inlineStr">
        <is>
          <t>Impacto Potencial</t>
        </is>
      </c>
      <c r="Z1227" s="111" t="inlineStr">
        <is>
          <t>PC</t>
        </is>
      </c>
      <c r="AA1227" s="111" t="inlineStr">
        <is>
          <t>Nao</t>
        </is>
      </c>
      <c r="AB1227" s="111" t="inlineStr">
        <is>
          <t>NAO_COMPUTADO</t>
        </is>
      </c>
      <c r="AC1227" s="112" t="inlineStr">
        <is>
          <t>Estrutura Fase 1: sem impacto no VTA oficial</t>
        </is>
      </c>
    </row>
    <row r="1228" ht="25.5" customHeight="1" s="289">
      <c r="A1228" s="205" t="n"/>
      <c r="B1228" s="207" t="n"/>
      <c r="C1228" s="104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348" t="n"/>
      <c r="E1228" s="349">
        <f>IF(C1228="","",IFERROR(VLOOKUP(C1228,parametros!$A$11:$E$15,5,0),""))</f>
        <v/>
      </c>
      <c r="F1228" s="335">
        <f>IF(OR(D1228="",E1228=""),"",ROUND(D1228*E1228,2))</f>
        <v/>
      </c>
      <c r="G1228" s="106" t="n"/>
      <c r="H1228" s="350">
        <f>IF(G1228="Sim",IF(OR(F1228="",D1228="",L1228=""),"",IF(L1228="Sim",ROUND(F1228-D1228,2),0)),0)</f>
        <v/>
      </c>
      <c r="I1228" s="350">
        <f>IF(G1228="Sim",0,IF(OR(F1228="",L1228=""),"",F1228))</f>
        <v/>
      </c>
      <c r="J1228" s="350">
        <f>IF(G1228="Sim",0,IF(OR(F1228="",D1228="",L1228=""),"",IF(L1228="Sim",ROUND(F1228-D1228,2),0)))</f>
        <v/>
      </c>
      <c r="K1228" s="97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inlineStr">
        <is>
          <t>Nao</t>
        </is>
      </c>
      <c r="W1228" s="110" t="inlineStr">
        <is>
          <t>PC em analise</t>
        </is>
      </c>
      <c r="X1228" s="110" t="inlineStr">
        <is>
          <t>Pedido de Compra</t>
        </is>
      </c>
      <c r="Y1228" s="111" t="inlineStr">
        <is>
          <t>Impacto Potencial</t>
        </is>
      </c>
      <c r="Z1228" s="111" t="inlineStr">
        <is>
          <t>PC</t>
        </is>
      </c>
      <c r="AA1228" s="111" t="inlineStr">
        <is>
          <t>Nao</t>
        </is>
      </c>
      <c r="AB1228" s="111" t="inlineStr">
        <is>
          <t>NAO_COMPUTADO</t>
        </is>
      </c>
      <c r="AC1228" s="112" t="inlineStr">
        <is>
          <t>Estrutura Fase 1: sem impacto no VTA oficial</t>
        </is>
      </c>
    </row>
    <row r="1229" ht="25.5" customHeight="1" s="289">
      <c r="A1229" s="205" t="n"/>
      <c r="B1229" s="207" t="n"/>
      <c r="C1229" s="104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348" t="n"/>
      <c r="E1229" s="349">
        <f>IF(C1229="","",IFERROR(VLOOKUP(C1229,parametros!$A$11:$E$15,5,0),""))</f>
        <v/>
      </c>
      <c r="F1229" s="335">
        <f>IF(OR(D1229="",E1229=""),"",ROUND(D1229*E1229,2))</f>
        <v/>
      </c>
      <c r="G1229" s="106" t="n"/>
      <c r="H1229" s="350">
        <f>IF(G1229="Sim",IF(OR(F1229="",D1229="",L1229=""),"",IF(L1229="Sim",ROUND(F1229-D1229,2),0)),0)</f>
        <v/>
      </c>
      <c r="I1229" s="350">
        <f>IF(G1229="Sim",0,IF(OR(F1229="",L1229=""),"",F1229))</f>
        <v/>
      </c>
      <c r="J1229" s="350">
        <f>IF(G1229="Sim",0,IF(OR(F1229="",D1229="",L1229=""),"",IF(L1229="Sim",ROUND(F1229-D1229,2),0)))</f>
        <v/>
      </c>
      <c r="K1229" s="97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inlineStr">
        <is>
          <t>Nao</t>
        </is>
      </c>
      <c r="W1229" s="110" t="inlineStr">
        <is>
          <t>PC em analise</t>
        </is>
      </c>
      <c r="X1229" s="110" t="inlineStr">
        <is>
          <t>Pedido de Compra</t>
        </is>
      </c>
      <c r="Y1229" s="111" t="inlineStr">
        <is>
          <t>Impacto Potencial</t>
        </is>
      </c>
      <c r="Z1229" s="111" t="inlineStr">
        <is>
          <t>PC</t>
        </is>
      </c>
      <c r="AA1229" s="111" t="inlineStr">
        <is>
          <t>Nao</t>
        </is>
      </c>
      <c r="AB1229" s="111" t="inlineStr">
        <is>
          <t>NAO_COMPUTADO</t>
        </is>
      </c>
      <c r="AC1229" s="112" t="inlineStr">
        <is>
          <t>Estrutura Fase 1: sem impacto no VTA oficial</t>
        </is>
      </c>
    </row>
    <row r="1230" ht="25.5" customHeight="1" s="289">
      <c r="A1230" s="205" t="n"/>
      <c r="B1230" s="207" t="n"/>
      <c r="C1230" s="104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348" t="n"/>
      <c r="E1230" s="349">
        <f>IF(C1230="","",IFERROR(VLOOKUP(C1230,parametros!$A$11:$E$15,5,0),""))</f>
        <v/>
      </c>
      <c r="F1230" s="335">
        <f>IF(OR(D1230="",E1230=""),"",ROUND(D1230*E1230,2))</f>
        <v/>
      </c>
      <c r="G1230" s="106" t="n"/>
      <c r="H1230" s="350">
        <f>IF(G1230="Sim",IF(OR(F1230="",D1230="",L1230=""),"",IF(L1230="Sim",ROUND(F1230-D1230,2),0)),0)</f>
        <v/>
      </c>
      <c r="I1230" s="350">
        <f>IF(G1230="Sim",0,IF(OR(F1230="",L1230=""),"",F1230))</f>
        <v/>
      </c>
      <c r="J1230" s="350">
        <f>IF(G1230="Sim",0,IF(OR(F1230="",D1230="",L1230=""),"",IF(L1230="Sim",ROUND(F1230-D1230,2),0)))</f>
        <v/>
      </c>
      <c r="K1230" s="97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inlineStr">
        <is>
          <t>Nao</t>
        </is>
      </c>
      <c r="W1230" s="110" t="inlineStr">
        <is>
          <t>PC em analise</t>
        </is>
      </c>
      <c r="X1230" s="110" t="inlineStr">
        <is>
          <t>Pedido de Compra</t>
        </is>
      </c>
      <c r="Y1230" s="111" t="inlineStr">
        <is>
          <t>Impacto Potencial</t>
        </is>
      </c>
      <c r="Z1230" s="111" t="inlineStr">
        <is>
          <t>PC</t>
        </is>
      </c>
      <c r="AA1230" s="111" t="inlineStr">
        <is>
          <t>Nao</t>
        </is>
      </c>
      <c r="AB1230" s="111" t="inlineStr">
        <is>
          <t>NAO_COMPUTADO</t>
        </is>
      </c>
      <c r="AC1230" s="112" t="inlineStr">
        <is>
          <t>Estrutura Fase 1: sem impacto no VTA oficial</t>
        </is>
      </c>
    </row>
    <row r="1231" ht="25.5" customHeight="1" s="289">
      <c r="A1231" s="205" t="n"/>
      <c r="B1231" s="207" t="n"/>
      <c r="C1231" s="104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348" t="n"/>
      <c r="E1231" s="349">
        <f>IF(C1231="","",IFERROR(VLOOKUP(C1231,parametros!$A$11:$E$15,5,0),""))</f>
        <v/>
      </c>
      <c r="F1231" s="335">
        <f>IF(OR(D1231="",E1231=""),"",ROUND(D1231*E1231,2))</f>
        <v/>
      </c>
      <c r="G1231" s="106" t="n"/>
      <c r="H1231" s="350">
        <f>IF(G1231="Sim",IF(OR(F1231="",D1231="",L1231=""),"",IF(L1231="Sim",ROUND(F1231-D1231,2),0)),0)</f>
        <v/>
      </c>
      <c r="I1231" s="350">
        <f>IF(G1231="Sim",0,IF(OR(F1231="",L1231=""),"",F1231))</f>
        <v/>
      </c>
      <c r="J1231" s="350">
        <f>IF(G1231="Sim",0,IF(OR(F1231="",D1231="",L1231=""),"",IF(L1231="Sim",ROUND(F1231-D1231,2),0)))</f>
        <v/>
      </c>
      <c r="K1231" s="97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inlineStr">
        <is>
          <t>Nao</t>
        </is>
      </c>
      <c r="W1231" s="110" t="inlineStr">
        <is>
          <t>PC em analise</t>
        </is>
      </c>
      <c r="X1231" s="110" t="inlineStr">
        <is>
          <t>Pedido de Compra</t>
        </is>
      </c>
      <c r="Y1231" s="111" t="inlineStr">
        <is>
          <t>Impacto Potencial</t>
        </is>
      </c>
      <c r="Z1231" s="111" t="inlineStr">
        <is>
          <t>PC</t>
        </is>
      </c>
      <c r="AA1231" s="111" t="inlineStr">
        <is>
          <t>Nao</t>
        </is>
      </c>
      <c r="AB1231" s="111" t="inlineStr">
        <is>
          <t>NAO_COMPUTADO</t>
        </is>
      </c>
      <c r="AC1231" s="112" t="inlineStr">
        <is>
          <t>Estrutura Fase 1: sem impacto no VTA oficial</t>
        </is>
      </c>
    </row>
    <row r="1232" ht="25.5" customHeight="1" s="289">
      <c r="A1232" s="205" t="n"/>
      <c r="B1232" s="207" t="n"/>
      <c r="C1232" s="104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348" t="n"/>
      <c r="E1232" s="349">
        <f>IF(C1232="","",IFERROR(VLOOKUP(C1232,parametros!$A$11:$E$15,5,0),""))</f>
        <v/>
      </c>
      <c r="F1232" s="335">
        <f>IF(OR(D1232="",E1232=""),"",ROUND(D1232*E1232,2))</f>
        <v/>
      </c>
      <c r="G1232" s="106" t="n"/>
      <c r="H1232" s="350">
        <f>IF(G1232="Sim",IF(OR(F1232="",D1232="",L1232=""),"",IF(L1232="Sim",ROUND(F1232-D1232,2),0)),0)</f>
        <v/>
      </c>
      <c r="I1232" s="350">
        <f>IF(G1232="Sim",0,IF(OR(F1232="",L1232=""),"",F1232))</f>
        <v/>
      </c>
      <c r="J1232" s="350">
        <f>IF(G1232="Sim",0,IF(OR(F1232="",D1232="",L1232=""),"",IF(L1232="Sim",ROUND(F1232-D1232,2),0)))</f>
        <v/>
      </c>
      <c r="K1232" s="97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inlineStr">
        <is>
          <t>Nao</t>
        </is>
      </c>
      <c r="W1232" s="110" t="inlineStr">
        <is>
          <t>PC em analise</t>
        </is>
      </c>
      <c r="X1232" s="110" t="inlineStr">
        <is>
          <t>Pedido de Compra</t>
        </is>
      </c>
      <c r="Y1232" s="111" t="inlineStr">
        <is>
          <t>Impacto Potencial</t>
        </is>
      </c>
      <c r="Z1232" s="111" t="inlineStr">
        <is>
          <t>PC</t>
        </is>
      </c>
      <c r="AA1232" s="111" t="inlineStr">
        <is>
          <t>Nao</t>
        </is>
      </c>
      <c r="AB1232" s="111" t="inlineStr">
        <is>
          <t>NAO_COMPUTADO</t>
        </is>
      </c>
      <c r="AC1232" s="112" t="inlineStr">
        <is>
          <t>Estrutura Fase 1: sem impacto no VTA oficial</t>
        </is>
      </c>
    </row>
    <row r="1233" ht="25.5" customHeight="1" s="289">
      <c r="A1233" s="205" t="n"/>
      <c r="B1233" s="207" t="n"/>
      <c r="C1233" s="104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348" t="n"/>
      <c r="E1233" s="349">
        <f>IF(C1233="","",IFERROR(VLOOKUP(C1233,parametros!$A$11:$E$15,5,0),""))</f>
        <v/>
      </c>
      <c r="F1233" s="335">
        <f>IF(OR(D1233="",E1233=""),"",ROUND(D1233*E1233,2))</f>
        <v/>
      </c>
      <c r="G1233" s="106" t="n"/>
      <c r="H1233" s="350">
        <f>IF(G1233="Sim",IF(OR(F1233="",D1233="",L1233=""),"",IF(L1233="Sim",ROUND(F1233-D1233,2),0)),0)</f>
        <v/>
      </c>
      <c r="I1233" s="350">
        <f>IF(G1233="Sim",0,IF(OR(F1233="",L1233=""),"",F1233))</f>
        <v/>
      </c>
      <c r="J1233" s="350">
        <f>IF(G1233="Sim",0,IF(OR(F1233="",D1233="",L1233=""),"",IF(L1233="Sim",ROUND(F1233-D1233,2),0)))</f>
        <v/>
      </c>
      <c r="K1233" s="97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inlineStr">
        <is>
          <t>Nao</t>
        </is>
      </c>
      <c r="W1233" s="110" t="inlineStr">
        <is>
          <t>PC em analise</t>
        </is>
      </c>
      <c r="X1233" s="110" t="inlineStr">
        <is>
          <t>Pedido de Compra</t>
        </is>
      </c>
      <c r="Y1233" s="111" t="inlineStr">
        <is>
          <t>Impacto Potencial</t>
        </is>
      </c>
      <c r="Z1233" s="111" t="inlineStr">
        <is>
          <t>PC</t>
        </is>
      </c>
      <c r="AA1233" s="111" t="inlineStr">
        <is>
          <t>Nao</t>
        </is>
      </c>
      <c r="AB1233" s="111" t="inlineStr">
        <is>
          <t>NAO_COMPUTADO</t>
        </is>
      </c>
      <c r="AC1233" s="112" t="inlineStr">
        <is>
          <t>Estrutura Fase 1: sem impacto no VTA oficial</t>
        </is>
      </c>
    </row>
    <row r="1234" ht="25.5" customHeight="1" s="289">
      <c r="A1234" s="205" t="n"/>
      <c r="B1234" s="207" t="n"/>
      <c r="C1234" s="104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348" t="n"/>
      <c r="E1234" s="349">
        <f>IF(C1234="","",IFERROR(VLOOKUP(C1234,parametros!$A$11:$E$15,5,0),""))</f>
        <v/>
      </c>
      <c r="F1234" s="335">
        <f>IF(OR(D1234="",E1234=""),"",ROUND(D1234*E1234,2))</f>
        <v/>
      </c>
      <c r="G1234" s="106" t="n"/>
      <c r="H1234" s="350">
        <f>IF(G1234="Sim",IF(OR(F1234="",D1234="",L1234=""),"",IF(L1234="Sim",ROUND(F1234-D1234,2),0)),0)</f>
        <v/>
      </c>
      <c r="I1234" s="350">
        <f>IF(G1234="Sim",0,IF(OR(F1234="",L1234=""),"",F1234))</f>
        <v/>
      </c>
      <c r="J1234" s="350">
        <f>IF(G1234="Sim",0,IF(OR(F1234="",D1234="",L1234=""),"",IF(L1234="Sim",ROUND(F1234-D1234,2),0)))</f>
        <v/>
      </c>
      <c r="K1234" s="97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inlineStr">
        <is>
          <t>Nao</t>
        </is>
      </c>
      <c r="W1234" s="110" t="inlineStr">
        <is>
          <t>PC em analise</t>
        </is>
      </c>
      <c r="X1234" s="110" t="inlineStr">
        <is>
          <t>Pedido de Compra</t>
        </is>
      </c>
      <c r="Y1234" s="111" t="inlineStr">
        <is>
          <t>Impacto Potencial</t>
        </is>
      </c>
      <c r="Z1234" s="111" t="inlineStr">
        <is>
          <t>PC</t>
        </is>
      </c>
      <c r="AA1234" s="111" t="inlineStr">
        <is>
          <t>Nao</t>
        </is>
      </c>
      <c r="AB1234" s="111" t="inlineStr">
        <is>
          <t>NAO_COMPUTADO</t>
        </is>
      </c>
      <c r="AC1234" s="112" t="inlineStr">
        <is>
          <t>Estrutura Fase 1: sem impacto no VTA oficial</t>
        </is>
      </c>
    </row>
    <row r="1235" ht="25.5" customHeight="1" s="289">
      <c r="A1235" s="205" t="n"/>
      <c r="B1235" s="207" t="n"/>
      <c r="C1235" s="104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348" t="n"/>
      <c r="E1235" s="349">
        <f>IF(C1235="","",IFERROR(VLOOKUP(C1235,parametros!$A$11:$E$15,5,0),""))</f>
        <v/>
      </c>
      <c r="F1235" s="335">
        <f>IF(OR(D1235="",E1235=""),"",ROUND(D1235*E1235,2))</f>
        <v/>
      </c>
      <c r="G1235" s="106" t="n"/>
      <c r="H1235" s="350">
        <f>IF(G1235="Sim",IF(OR(F1235="",D1235="",L1235=""),"",IF(L1235="Sim",ROUND(F1235-D1235,2),0)),0)</f>
        <v/>
      </c>
      <c r="I1235" s="350">
        <f>IF(G1235="Sim",0,IF(OR(F1235="",L1235=""),"",F1235))</f>
        <v/>
      </c>
      <c r="J1235" s="350">
        <f>IF(G1235="Sim",0,IF(OR(F1235="",D1235="",L1235=""),"",IF(L1235="Sim",ROUND(F1235-D1235,2),0)))</f>
        <v/>
      </c>
      <c r="K1235" s="97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inlineStr">
        <is>
          <t>Nao</t>
        </is>
      </c>
      <c r="W1235" s="110" t="inlineStr">
        <is>
          <t>PC em analise</t>
        </is>
      </c>
      <c r="X1235" s="110" t="inlineStr">
        <is>
          <t>Pedido de Compra</t>
        </is>
      </c>
      <c r="Y1235" s="111" t="inlineStr">
        <is>
          <t>Impacto Potencial</t>
        </is>
      </c>
      <c r="Z1235" s="111" t="inlineStr">
        <is>
          <t>PC</t>
        </is>
      </c>
      <c r="AA1235" s="111" t="inlineStr">
        <is>
          <t>Nao</t>
        </is>
      </c>
      <c r="AB1235" s="111" t="inlineStr">
        <is>
          <t>NAO_COMPUTADO</t>
        </is>
      </c>
      <c r="AC1235" s="112" t="inlineStr">
        <is>
          <t>Estrutura Fase 1: sem impacto no VTA oficial</t>
        </is>
      </c>
    </row>
    <row r="1236" ht="25.5" customHeight="1" s="289">
      <c r="A1236" s="205" t="n"/>
      <c r="B1236" s="207" t="n"/>
      <c r="C1236" s="104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348" t="n"/>
      <c r="E1236" s="349">
        <f>IF(C1236="","",IFERROR(VLOOKUP(C1236,parametros!$A$11:$E$15,5,0),""))</f>
        <v/>
      </c>
      <c r="F1236" s="335">
        <f>IF(OR(D1236="",E1236=""),"",ROUND(D1236*E1236,2))</f>
        <v/>
      </c>
      <c r="G1236" s="106" t="n"/>
      <c r="H1236" s="350">
        <f>IF(G1236="Sim",IF(OR(F1236="",D1236="",L1236=""),"",IF(L1236="Sim",ROUND(F1236-D1236,2),0)),0)</f>
        <v/>
      </c>
      <c r="I1236" s="350">
        <f>IF(G1236="Sim",0,IF(OR(F1236="",L1236=""),"",F1236))</f>
        <v/>
      </c>
      <c r="J1236" s="350">
        <f>IF(G1236="Sim",0,IF(OR(F1236="",D1236="",L1236=""),"",IF(L1236="Sim",ROUND(F1236-D1236,2),0)))</f>
        <v/>
      </c>
      <c r="K1236" s="97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inlineStr">
        <is>
          <t>Nao</t>
        </is>
      </c>
      <c r="W1236" s="110" t="inlineStr">
        <is>
          <t>PC em analise</t>
        </is>
      </c>
      <c r="X1236" s="110" t="inlineStr">
        <is>
          <t>Pedido de Compra</t>
        </is>
      </c>
      <c r="Y1236" s="111" t="inlineStr">
        <is>
          <t>Impacto Potencial</t>
        </is>
      </c>
      <c r="Z1236" s="111" t="inlineStr">
        <is>
          <t>PC</t>
        </is>
      </c>
      <c r="AA1236" s="111" t="inlineStr">
        <is>
          <t>Nao</t>
        </is>
      </c>
      <c r="AB1236" s="111" t="inlineStr">
        <is>
          <t>NAO_COMPUTADO</t>
        </is>
      </c>
      <c r="AC1236" s="112" t="inlineStr">
        <is>
          <t>Estrutura Fase 1: sem impacto no VTA oficial</t>
        </is>
      </c>
    </row>
    <row r="1237" ht="25.5" customHeight="1" s="289">
      <c r="A1237" s="205" t="n"/>
      <c r="B1237" s="207" t="n"/>
      <c r="C1237" s="104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348" t="n"/>
      <c r="E1237" s="349">
        <f>IF(C1237="","",IFERROR(VLOOKUP(C1237,parametros!$A$11:$E$15,5,0),""))</f>
        <v/>
      </c>
      <c r="F1237" s="335">
        <f>IF(OR(D1237="",E1237=""),"",ROUND(D1237*E1237,2))</f>
        <v/>
      </c>
      <c r="G1237" s="106" t="n"/>
      <c r="H1237" s="350">
        <f>IF(G1237="Sim",IF(OR(F1237="",D1237="",L1237=""),"",IF(L1237="Sim",ROUND(F1237-D1237,2),0)),0)</f>
        <v/>
      </c>
      <c r="I1237" s="350">
        <f>IF(G1237="Sim",0,IF(OR(F1237="",L1237=""),"",F1237))</f>
        <v/>
      </c>
      <c r="J1237" s="350">
        <f>IF(G1237="Sim",0,IF(OR(F1237="",D1237="",L1237=""),"",IF(L1237="Sim",ROUND(F1237-D1237,2),0)))</f>
        <v/>
      </c>
      <c r="K1237" s="97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inlineStr">
        <is>
          <t>Nao</t>
        </is>
      </c>
      <c r="W1237" s="110" t="inlineStr">
        <is>
          <t>PC em analise</t>
        </is>
      </c>
      <c r="X1237" s="110" t="inlineStr">
        <is>
          <t>Pedido de Compra</t>
        </is>
      </c>
      <c r="Y1237" s="111" t="inlineStr">
        <is>
          <t>Impacto Potencial</t>
        </is>
      </c>
      <c r="Z1237" s="111" t="inlineStr">
        <is>
          <t>PC</t>
        </is>
      </c>
      <c r="AA1237" s="111" t="inlineStr">
        <is>
          <t>Nao</t>
        </is>
      </c>
      <c r="AB1237" s="111" t="inlineStr">
        <is>
          <t>NAO_COMPUTADO</t>
        </is>
      </c>
      <c r="AC1237" s="112" t="inlineStr">
        <is>
          <t>Estrutura Fase 1: sem impacto no VTA oficial</t>
        </is>
      </c>
    </row>
    <row r="1238" ht="25.5" customHeight="1" s="289">
      <c r="A1238" s="205" t="n"/>
      <c r="B1238" s="207" t="n"/>
      <c r="C1238" s="104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348" t="n"/>
      <c r="E1238" s="349">
        <f>IF(C1238="","",IFERROR(VLOOKUP(C1238,parametros!$A$11:$E$15,5,0),""))</f>
        <v/>
      </c>
      <c r="F1238" s="335">
        <f>IF(OR(D1238="",E1238=""),"",ROUND(D1238*E1238,2))</f>
        <v/>
      </c>
      <c r="G1238" s="106" t="n"/>
      <c r="H1238" s="350">
        <f>IF(G1238="Sim",IF(OR(F1238="",D1238="",L1238=""),"",IF(L1238="Sim",ROUND(F1238-D1238,2),0)),0)</f>
        <v/>
      </c>
      <c r="I1238" s="350">
        <f>IF(G1238="Sim",0,IF(OR(F1238="",L1238=""),"",F1238))</f>
        <v/>
      </c>
      <c r="J1238" s="350">
        <f>IF(G1238="Sim",0,IF(OR(F1238="",D1238="",L1238=""),"",IF(L1238="Sim",ROUND(F1238-D1238,2),0)))</f>
        <v/>
      </c>
      <c r="K1238" s="97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inlineStr">
        <is>
          <t>Nao</t>
        </is>
      </c>
      <c r="W1238" s="110" t="inlineStr">
        <is>
          <t>PC em analise</t>
        </is>
      </c>
      <c r="X1238" s="110" t="inlineStr">
        <is>
          <t>Pedido de Compra</t>
        </is>
      </c>
      <c r="Y1238" s="111" t="inlineStr">
        <is>
          <t>Impacto Potencial</t>
        </is>
      </c>
      <c r="Z1238" s="111" t="inlineStr">
        <is>
          <t>PC</t>
        </is>
      </c>
      <c r="AA1238" s="111" t="inlineStr">
        <is>
          <t>Nao</t>
        </is>
      </c>
      <c r="AB1238" s="111" t="inlineStr">
        <is>
          <t>NAO_COMPUTADO</t>
        </is>
      </c>
      <c r="AC1238" s="112" t="inlineStr">
        <is>
          <t>Estrutura Fase 1: sem impacto no VTA oficial</t>
        </is>
      </c>
    </row>
    <row r="1239" ht="25.5" customHeight="1" s="289">
      <c r="A1239" s="205" t="n"/>
      <c r="B1239" s="207" t="n"/>
      <c r="C1239" s="104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348" t="n"/>
      <c r="E1239" s="349">
        <f>IF(C1239="","",IFERROR(VLOOKUP(C1239,parametros!$A$11:$E$15,5,0),""))</f>
        <v/>
      </c>
      <c r="F1239" s="335">
        <f>IF(OR(D1239="",E1239=""),"",ROUND(D1239*E1239,2))</f>
        <v/>
      </c>
      <c r="G1239" s="106" t="n"/>
      <c r="H1239" s="350">
        <f>IF(G1239="Sim",IF(OR(F1239="",D1239="",L1239=""),"",IF(L1239="Sim",ROUND(F1239-D1239,2),0)),0)</f>
        <v/>
      </c>
      <c r="I1239" s="350">
        <f>IF(G1239="Sim",0,IF(OR(F1239="",L1239=""),"",F1239))</f>
        <v/>
      </c>
      <c r="J1239" s="350">
        <f>IF(G1239="Sim",0,IF(OR(F1239="",D1239="",L1239=""),"",IF(L1239="Sim",ROUND(F1239-D1239,2),0)))</f>
        <v/>
      </c>
      <c r="K1239" s="97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inlineStr">
        <is>
          <t>Nao</t>
        </is>
      </c>
      <c r="W1239" s="110" t="inlineStr">
        <is>
          <t>PC em analise</t>
        </is>
      </c>
      <c r="X1239" s="110" t="inlineStr">
        <is>
          <t>Pedido de Compra</t>
        </is>
      </c>
      <c r="Y1239" s="111" t="inlineStr">
        <is>
          <t>Impacto Potencial</t>
        </is>
      </c>
      <c r="Z1239" s="111" t="inlineStr">
        <is>
          <t>PC</t>
        </is>
      </c>
      <c r="AA1239" s="111" t="inlineStr">
        <is>
          <t>Nao</t>
        </is>
      </c>
      <c r="AB1239" s="111" t="inlineStr">
        <is>
          <t>NAO_COMPUTADO</t>
        </is>
      </c>
      <c r="AC1239" s="112" t="inlineStr">
        <is>
          <t>Estrutura Fase 1: sem impacto no VTA oficial</t>
        </is>
      </c>
    </row>
    <row r="1240" ht="25.5" customHeight="1" s="289">
      <c r="A1240" s="205" t="n"/>
      <c r="B1240" s="207" t="n"/>
      <c r="C1240" s="104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348" t="n"/>
      <c r="E1240" s="349">
        <f>IF(C1240="","",IFERROR(VLOOKUP(C1240,parametros!$A$11:$E$15,5,0),""))</f>
        <v/>
      </c>
      <c r="F1240" s="335">
        <f>IF(OR(D1240="",E1240=""),"",ROUND(D1240*E1240,2))</f>
        <v/>
      </c>
      <c r="G1240" s="106" t="n"/>
      <c r="H1240" s="350">
        <f>IF(G1240="Sim",IF(OR(F1240="",D1240="",L1240=""),"",IF(L1240="Sim",ROUND(F1240-D1240,2),0)),0)</f>
        <v/>
      </c>
      <c r="I1240" s="350">
        <f>IF(G1240="Sim",0,IF(OR(F1240="",L1240=""),"",F1240))</f>
        <v/>
      </c>
      <c r="J1240" s="350">
        <f>IF(G1240="Sim",0,IF(OR(F1240="",D1240="",L1240=""),"",IF(L1240="Sim",ROUND(F1240-D1240,2),0)))</f>
        <v/>
      </c>
      <c r="K1240" s="97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inlineStr">
        <is>
          <t>Nao</t>
        </is>
      </c>
      <c r="W1240" s="110" t="inlineStr">
        <is>
          <t>PC em analise</t>
        </is>
      </c>
      <c r="X1240" s="110" t="inlineStr">
        <is>
          <t>Pedido de Compra</t>
        </is>
      </c>
      <c r="Y1240" s="111" t="inlineStr">
        <is>
          <t>Impacto Potencial</t>
        </is>
      </c>
      <c r="Z1240" s="111" t="inlineStr">
        <is>
          <t>PC</t>
        </is>
      </c>
      <c r="AA1240" s="111" t="inlineStr">
        <is>
          <t>Nao</t>
        </is>
      </c>
      <c r="AB1240" s="111" t="inlineStr">
        <is>
          <t>NAO_COMPUTADO</t>
        </is>
      </c>
      <c r="AC1240" s="112" t="inlineStr">
        <is>
          <t>Estrutura Fase 1: sem impacto no VTA oficial</t>
        </is>
      </c>
    </row>
    <row r="1241" ht="25.5" customHeight="1" s="289">
      <c r="A1241" s="205" t="n"/>
      <c r="B1241" s="207" t="n"/>
      <c r="C1241" s="104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348" t="n"/>
      <c r="E1241" s="349">
        <f>IF(C1241="","",IFERROR(VLOOKUP(C1241,parametros!$A$11:$E$15,5,0),""))</f>
        <v/>
      </c>
      <c r="F1241" s="335">
        <f>IF(OR(D1241="",E1241=""),"",ROUND(D1241*E1241,2))</f>
        <v/>
      </c>
      <c r="G1241" s="106" t="n"/>
      <c r="H1241" s="350">
        <f>IF(G1241="Sim",IF(OR(F1241="",D1241="",L1241=""),"",IF(L1241="Sim",ROUND(F1241-D1241,2),0)),0)</f>
        <v/>
      </c>
      <c r="I1241" s="350">
        <f>IF(G1241="Sim",0,IF(OR(F1241="",L1241=""),"",F1241))</f>
        <v/>
      </c>
      <c r="J1241" s="350">
        <f>IF(G1241="Sim",0,IF(OR(F1241="",D1241="",L1241=""),"",IF(L1241="Sim",ROUND(F1241-D1241,2),0)))</f>
        <v/>
      </c>
      <c r="K1241" s="97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inlineStr">
        <is>
          <t>Nao</t>
        </is>
      </c>
      <c r="W1241" s="110" t="inlineStr">
        <is>
          <t>PC em analise</t>
        </is>
      </c>
      <c r="X1241" s="110" t="inlineStr">
        <is>
          <t>Pedido de Compra</t>
        </is>
      </c>
      <c r="Y1241" s="111" t="inlineStr">
        <is>
          <t>Impacto Potencial</t>
        </is>
      </c>
      <c r="Z1241" s="111" t="inlineStr">
        <is>
          <t>PC</t>
        </is>
      </c>
      <c r="AA1241" s="111" t="inlineStr">
        <is>
          <t>Nao</t>
        </is>
      </c>
      <c r="AB1241" s="111" t="inlineStr">
        <is>
          <t>NAO_COMPUTADO</t>
        </is>
      </c>
      <c r="AC1241" s="112" t="inlineStr">
        <is>
          <t>Estrutura Fase 1: sem impacto no VTA oficial</t>
        </is>
      </c>
    </row>
    <row r="1242" ht="25.5" customHeight="1" s="289">
      <c r="A1242" s="205" t="n"/>
      <c r="B1242" s="207" t="n"/>
      <c r="C1242" s="104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348" t="n"/>
      <c r="E1242" s="349">
        <f>IF(C1242="","",IFERROR(VLOOKUP(C1242,parametros!$A$11:$E$15,5,0),""))</f>
        <v/>
      </c>
      <c r="F1242" s="335">
        <f>IF(OR(D1242="",E1242=""),"",ROUND(D1242*E1242,2))</f>
        <v/>
      </c>
      <c r="G1242" s="106" t="n"/>
      <c r="H1242" s="350">
        <f>IF(G1242="Sim",IF(OR(F1242="",D1242="",L1242=""),"",IF(L1242="Sim",ROUND(F1242-D1242,2),0)),0)</f>
        <v/>
      </c>
      <c r="I1242" s="350">
        <f>IF(G1242="Sim",0,IF(OR(F1242="",L1242=""),"",F1242))</f>
        <v/>
      </c>
      <c r="J1242" s="350">
        <f>IF(G1242="Sim",0,IF(OR(F1242="",D1242="",L1242=""),"",IF(L1242="Sim",ROUND(F1242-D1242,2),0)))</f>
        <v/>
      </c>
      <c r="K1242" s="97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inlineStr">
        <is>
          <t>Nao</t>
        </is>
      </c>
      <c r="W1242" s="110" t="inlineStr">
        <is>
          <t>PC em analise</t>
        </is>
      </c>
      <c r="X1242" s="110" t="inlineStr">
        <is>
          <t>Pedido de Compra</t>
        </is>
      </c>
      <c r="Y1242" s="111" t="inlineStr">
        <is>
          <t>Impacto Potencial</t>
        </is>
      </c>
      <c r="Z1242" s="111" t="inlineStr">
        <is>
          <t>PC</t>
        </is>
      </c>
      <c r="AA1242" s="111" t="inlineStr">
        <is>
          <t>Nao</t>
        </is>
      </c>
      <c r="AB1242" s="111" t="inlineStr">
        <is>
          <t>NAO_COMPUTADO</t>
        </is>
      </c>
      <c r="AC1242" s="112" t="inlineStr">
        <is>
          <t>Estrutura Fase 1: sem impacto no VTA oficial</t>
        </is>
      </c>
    </row>
    <row r="1243" ht="25.5" customHeight="1" s="289">
      <c r="A1243" s="205" t="n"/>
      <c r="B1243" s="207" t="n"/>
      <c r="C1243" s="104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348" t="n"/>
      <c r="E1243" s="349">
        <f>IF(C1243="","",IFERROR(VLOOKUP(C1243,parametros!$A$11:$E$15,5,0),""))</f>
        <v/>
      </c>
      <c r="F1243" s="335">
        <f>IF(OR(D1243="",E1243=""),"",ROUND(D1243*E1243,2))</f>
        <v/>
      </c>
      <c r="G1243" s="106" t="n"/>
      <c r="H1243" s="350">
        <f>IF(G1243="Sim",IF(OR(F1243="",D1243="",L1243=""),"",IF(L1243="Sim",ROUND(F1243-D1243,2),0)),0)</f>
        <v/>
      </c>
      <c r="I1243" s="350">
        <f>IF(G1243="Sim",0,IF(OR(F1243="",L1243=""),"",F1243))</f>
        <v/>
      </c>
      <c r="J1243" s="350">
        <f>IF(G1243="Sim",0,IF(OR(F1243="",D1243="",L1243=""),"",IF(L1243="Sim",ROUND(F1243-D1243,2),0)))</f>
        <v/>
      </c>
      <c r="K1243" s="97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inlineStr">
        <is>
          <t>Nao</t>
        </is>
      </c>
      <c r="W1243" s="110" t="inlineStr">
        <is>
          <t>PC em analise</t>
        </is>
      </c>
      <c r="X1243" s="110" t="inlineStr">
        <is>
          <t>Pedido de Compra</t>
        </is>
      </c>
      <c r="Y1243" s="111" t="inlineStr">
        <is>
          <t>Impacto Potencial</t>
        </is>
      </c>
      <c r="Z1243" s="111" t="inlineStr">
        <is>
          <t>PC</t>
        </is>
      </c>
      <c r="AA1243" s="111" t="inlineStr">
        <is>
          <t>Nao</t>
        </is>
      </c>
      <c r="AB1243" s="111" t="inlineStr">
        <is>
          <t>NAO_COMPUTADO</t>
        </is>
      </c>
      <c r="AC1243" s="112" t="inlineStr">
        <is>
          <t>Estrutura Fase 1: sem impacto no VTA oficial</t>
        </is>
      </c>
    </row>
    <row r="1244" ht="25.5" customHeight="1" s="289">
      <c r="A1244" s="205" t="n"/>
      <c r="B1244" s="207" t="n"/>
      <c r="C1244" s="104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348" t="n"/>
      <c r="E1244" s="349">
        <f>IF(C1244="","",IFERROR(VLOOKUP(C1244,parametros!$A$11:$E$15,5,0),""))</f>
        <v/>
      </c>
      <c r="F1244" s="335">
        <f>IF(OR(D1244="",E1244=""),"",ROUND(D1244*E1244,2))</f>
        <v/>
      </c>
      <c r="G1244" s="106" t="n"/>
      <c r="H1244" s="350">
        <f>IF(G1244="Sim",IF(OR(F1244="",D1244="",L1244=""),"",IF(L1244="Sim",ROUND(F1244-D1244,2),0)),0)</f>
        <v/>
      </c>
      <c r="I1244" s="350">
        <f>IF(G1244="Sim",0,IF(OR(F1244="",L1244=""),"",F1244))</f>
        <v/>
      </c>
      <c r="J1244" s="350">
        <f>IF(G1244="Sim",0,IF(OR(F1244="",D1244="",L1244=""),"",IF(L1244="Sim",ROUND(F1244-D1244,2),0)))</f>
        <v/>
      </c>
      <c r="K1244" s="97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inlineStr">
        <is>
          <t>Nao</t>
        </is>
      </c>
      <c r="W1244" s="110" t="inlineStr">
        <is>
          <t>PC em analise</t>
        </is>
      </c>
      <c r="X1244" s="110" t="inlineStr">
        <is>
          <t>Pedido de Compra</t>
        </is>
      </c>
      <c r="Y1244" s="111" t="inlineStr">
        <is>
          <t>Impacto Potencial</t>
        </is>
      </c>
      <c r="Z1244" s="111" t="inlineStr">
        <is>
          <t>PC</t>
        </is>
      </c>
      <c r="AA1244" s="111" t="inlineStr">
        <is>
          <t>Nao</t>
        </is>
      </c>
      <c r="AB1244" s="111" t="inlineStr">
        <is>
          <t>NAO_COMPUTADO</t>
        </is>
      </c>
      <c r="AC1244" s="112" t="inlineStr">
        <is>
          <t>Estrutura Fase 1: sem impacto no VTA oficial</t>
        </is>
      </c>
    </row>
    <row r="1245" ht="25.5" customHeight="1" s="289">
      <c r="A1245" s="205" t="n"/>
      <c r="B1245" s="207" t="n"/>
      <c r="C1245" s="104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348" t="n"/>
      <c r="E1245" s="349">
        <f>IF(C1245="","",IFERROR(VLOOKUP(C1245,parametros!$A$11:$E$15,5,0),""))</f>
        <v/>
      </c>
      <c r="F1245" s="335">
        <f>IF(OR(D1245="",E1245=""),"",ROUND(D1245*E1245,2))</f>
        <v/>
      </c>
      <c r="G1245" s="106" t="n"/>
      <c r="H1245" s="350">
        <f>IF(G1245="Sim",IF(OR(F1245="",D1245="",L1245=""),"",IF(L1245="Sim",ROUND(F1245-D1245,2),0)),0)</f>
        <v/>
      </c>
      <c r="I1245" s="350">
        <f>IF(G1245="Sim",0,IF(OR(F1245="",L1245=""),"",F1245))</f>
        <v/>
      </c>
      <c r="J1245" s="350">
        <f>IF(G1245="Sim",0,IF(OR(F1245="",D1245="",L1245=""),"",IF(L1245="Sim",ROUND(F1245-D1245,2),0)))</f>
        <v/>
      </c>
      <c r="K1245" s="97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inlineStr">
        <is>
          <t>Nao</t>
        </is>
      </c>
      <c r="W1245" s="110" t="inlineStr">
        <is>
          <t>PC em analise</t>
        </is>
      </c>
      <c r="X1245" s="110" t="inlineStr">
        <is>
          <t>Pedido de Compra</t>
        </is>
      </c>
      <c r="Y1245" s="111" t="inlineStr">
        <is>
          <t>Impacto Potencial</t>
        </is>
      </c>
      <c r="Z1245" s="111" t="inlineStr">
        <is>
          <t>PC</t>
        </is>
      </c>
      <c r="AA1245" s="111" t="inlineStr">
        <is>
          <t>Nao</t>
        </is>
      </c>
      <c r="AB1245" s="111" t="inlineStr">
        <is>
          <t>NAO_COMPUTADO</t>
        </is>
      </c>
      <c r="AC1245" s="112" t="inlineStr">
        <is>
          <t>Estrutura Fase 1: sem impacto no VTA oficial</t>
        </is>
      </c>
    </row>
    <row r="1246" ht="25.5" customHeight="1" s="289">
      <c r="A1246" s="205" t="n"/>
      <c r="B1246" s="207" t="n"/>
      <c r="C1246" s="104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348" t="n"/>
      <c r="E1246" s="349">
        <f>IF(C1246="","",IFERROR(VLOOKUP(C1246,parametros!$A$11:$E$15,5,0),""))</f>
        <v/>
      </c>
      <c r="F1246" s="335">
        <f>IF(OR(D1246="",E1246=""),"",ROUND(D1246*E1246,2))</f>
        <v/>
      </c>
      <c r="G1246" s="106" t="n"/>
      <c r="H1246" s="350">
        <f>IF(G1246="Sim",IF(OR(F1246="",D1246="",L1246=""),"",IF(L1246="Sim",ROUND(F1246-D1246,2),0)),0)</f>
        <v/>
      </c>
      <c r="I1246" s="350">
        <f>IF(G1246="Sim",0,IF(OR(F1246="",L1246=""),"",F1246))</f>
        <v/>
      </c>
      <c r="J1246" s="350">
        <f>IF(G1246="Sim",0,IF(OR(F1246="",D1246="",L1246=""),"",IF(L1246="Sim",ROUND(F1246-D1246,2),0)))</f>
        <v/>
      </c>
      <c r="K1246" s="97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inlineStr">
        <is>
          <t>Nao</t>
        </is>
      </c>
      <c r="W1246" s="110" t="inlineStr">
        <is>
          <t>PC em analise</t>
        </is>
      </c>
      <c r="X1246" s="110" t="inlineStr">
        <is>
          <t>Pedido de Compra</t>
        </is>
      </c>
      <c r="Y1246" s="111" t="inlineStr">
        <is>
          <t>Impacto Potencial</t>
        </is>
      </c>
      <c r="Z1246" s="111" t="inlineStr">
        <is>
          <t>PC</t>
        </is>
      </c>
      <c r="AA1246" s="111" t="inlineStr">
        <is>
          <t>Nao</t>
        </is>
      </c>
      <c r="AB1246" s="111" t="inlineStr">
        <is>
          <t>NAO_COMPUTADO</t>
        </is>
      </c>
      <c r="AC1246" s="112" t="inlineStr">
        <is>
          <t>Estrutura Fase 1: sem impacto no VTA oficial</t>
        </is>
      </c>
    </row>
    <row r="1247" ht="25.5" customHeight="1" s="289">
      <c r="A1247" s="205" t="n"/>
      <c r="B1247" s="207" t="n"/>
      <c r="C1247" s="104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348" t="n"/>
      <c r="E1247" s="349">
        <f>IF(C1247="","",IFERROR(VLOOKUP(C1247,parametros!$A$11:$E$15,5,0),""))</f>
        <v/>
      </c>
      <c r="F1247" s="335">
        <f>IF(OR(D1247="",E1247=""),"",ROUND(D1247*E1247,2))</f>
        <v/>
      </c>
      <c r="G1247" s="106" t="n"/>
      <c r="H1247" s="350">
        <f>IF(G1247="Sim",IF(OR(F1247="",D1247="",L1247=""),"",IF(L1247="Sim",ROUND(F1247-D1247,2),0)),0)</f>
        <v/>
      </c>
      <c r="I1247" s="350">
        <f>IF(G1247="Sim",0,IF(OR(F1247="",L1247=""),"",F1247))</f>
        <v/>
      </c>
      <c r="J1247" s="350">
        <f>IF(G1247="Sim",0,IF(OR(F1247="",D1247="",L1247=""),"",IF(L1247="Sim",ROUND(F1247-D1247,2),0)))</f>
        <v/>
      </c>
      <c r="K1247" s="97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inlineStr">
        <is>
          <t>Nao</t>
        </is>
      </c>
      <c r="W1247" s="110" t="inlineStr">
        <is>
          <t>PC em analise</t>
        </is>
      </c>
      <c r="X1247" s="110" t="inlineStr">
        <is>
          <t>Pedido de Compra</t>
        </is>
      </c>
      <c r="Y1247" s="111" t="inlineStr">
        <is>
          <t>Impacto Potencial</t>
        </is>
      </c>
      <c r="Z1247" s="111" t="inlineStr">
        <is>
          <t>PC</t>
        </is>
      </c>
      <c r="AA1247" s="111" t="inlineStr">
        <is>
          <t>Nao</t>
        </is>
      </c>
      <c r="AB1247" s="111" t="inlineStr">
        <is>
          <t>NAO_COMPUTADO</t>
        </is>
      </c>
      <c r="AC1247" s="112" t="inlineStr">
        <is>
          <t>Estrutura Fase 1: sem impacto no VTA oficial</t>
        </is>
      </c>
    </row>
    <row r="1248" ht="25.5" customHeight="1" s="289">
      <c r="A1248" s="205" t="n"/>
      <c r="B1248" s="207" t="n"/>
      <c r="C1248" s="104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348" t="n"/>
      <c r="E1248" s="349">
        <f>IF(C1248="","",IFERROR(VLOOKUP(C1248,parametros!$A$11:$E$15,5,0),""))</f>
        <v/>
      </c>
      <c r="F1248" s="335">
        <f>IF(OR(D1248="",E1248=""),"",ROUND(D1248*E1248,2))</f>
        <v/>
      </c>
      <c r="G1248" s="106" t="n"/>
      <c r="H1248" s="350">
        <f>IF(G1248="Sim",IF(OR(F1248="",D1248="",L1248=""),"",IF(L1248="Sim",ROUND(F1248-D1248,2),0)),0)</f>
        <v/>
      </c>
      <c r="I1248" s="350">
        <f>IF(G1248="Sim",0,IF(OR(F1248="",L1248=""),"",F1248))</f>
        <v/>
      </c>
      <c r="J1248" s="350">
        <f>IF(G1248="Sim",0,IF(OR(F1248="",D1248="",L1248=""),"",IF(L1248="Sim",ROUND(F1248-D1248,2),0)))</f>
        <v/>
      </c>
      <c r="K1248" s="97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inlineStr">
        <is>
          <t>Nao</t>
        </is>
      </c>
      <c r="W1248" s="110" t="inlineStr">
        <is>
          <t>PC em analise</t>
        </is>
      </c>
      <c r="X1248" s="110" t="inlineStr">
        <is>
          <t>Pedido de Compra</t>
        </is>
      </c>
      <c r="Y1248" s="111" t="inlineStr">
        <is>
          <t>Impacto Potencial</t>
        </is>
      </c>
      <c r="Z1248" s="111" t="inlineStr">
        <is>
          <t>PC</t>
        </is>
      </c>
      <c r="AA1248" s="111" t="inlineStr">
        <is>
          <t>Nao</t>
        </is>
      </c>
      <c r="AB1248" s="111" t="inlineStr">
        <is>
          <t>NAO_COMPUTADO</t>
        </is>
      </c>
      <c r="AC1248" s="112" t="inlineStr">
        <is>
          <t>Estrutura Fase 1: sem impacto no VTA oficial</t>
        </is>
      </c>
    </row>
    <row r="1249" ht="25.5" customHeight="1" s="289">
      <c r="A1249" s="205" t="n"/>
      <c r="B1249" s="207" t="n"/>
      <c r="C1249" s="104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348" t="n"/>
      <c r="E1249" s="349">
        <f>IF(C1249="","",IFERROR(VLOOKUP(C1249,parametros!$A$11:$E$15,5,0),""))</f>
        <v/>
      </c>
      <c r="F1249" s="335">
        <f>IF(OR(D1249="",E1249=""),"",ROUND(D1249*E1249,2))</f>
        <v/>
      </c>
      <c r="G1249" s="106" t="n"/>
      <c r="H1249" s="350">
        <f>IF(G1249="Sim",IF(OR(F1249="",D1249="",L1249=""),"",IF(L1249="Sim",ROUND(F1249-D1249,2),0)),0)</f>
        <v/>
      </c>
      <c r="I1249" s="350">
        <f>IF(G1249="Sim",0,IF(OR(F1249="",L1249=""),"",F1249))</f>
        <v/>
      </c>
      <c r="J1249" s="350">
        <f>IF(G1249="Sim",0,IF(OR(F1249="",D1249="",L1249=""),"",IF(L1249="Sim",ROUND(F1249-D1249,2),0)))</f>
        <v/>
      </c>
      <c r="K1249" s="97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inlineStr">
        <is>
          <t>Nao</t>
        </is>
      </c>
      <c r="W1249" s="110" t="inlineStr">
        <is>
          <t>PC em analise</t>
        </is>
      </c>
      <c r="X1249" s="110" t="inlineStr">
        <is>
          <t>Pedido de Compra</t>
        </is>
      </c>
      <c r="Y1249" s="111" t="inlineStr">
        <is>
          <t>Impacto Potencial</t>
        </is>
      </c>
      <c r="Z1249" s="111" t="inlineStr">
        <is>
          <t>PC</t>
        </is>
      </c>
      <c r="AA1249" s="111" t="inlineStr">
        <is>
          <t>Nao</t>
        </is>
      </c>
      <c r="AB1249" s="111" t="inlineStr">
        <is>
          <t>NAO_COMPUTADO</t>
        </is>
      </c>
      <c r="AC1249" s="112" t="inlineStr">
        <is>
          <t>Estrutura Fase 1: sem impacto no VTA oficial</t>
        </is>
      </c>
    </row>
    <row r="1250" ht="25.5" customHeight="1" s="289">
      <c r="A1250" s="205" t="n"/>
      <c r="B1250" s="207" t="n"/>
      <c r="C1250" s="104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348" t="n"/>
      <c r="E1250" s="349">
        <f>IF(C1250="","",IFERROR(VLOOKUP(C1250,parametros!$A$11:$E$15,5,0),""))</f>
        <v/>
      </c>
      <c r="F1250" s="335">
        <f>IF(OR(D1250="",E1250=""),"",ROUND(D1250*E1250,2))</f>
        <v/>
      </c>
      <c r="G1250" s="106" t="n"/>
      <c r="H1250" s="350">
        <f>IF(G1250="Sim",IF(OR(F1250="",D1250="",L1250=""),"",IF(L1250="Sim",ROUND(F1250-D1250,2),0)),0)</f>
        <v/>
      </c>
      <c r="I1250" s="350">
        <f>IF(G1250="Sim",0,IF(OR(F1250="",L1250=""),"",F1250))</f>
        <v/>
      </c>
      <c r="J1250" s="350">
        <f>IF(G1250="Sim",0,IF(OR(F1250="",D1250="",L1250=""),"",IF(L1250="Sim",ROUND(F1250-D1250,2),0)))</f>
        <v/>
      </c>
      <c r="K1250" s="97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inlineStr">
        <is>
          <t>Nao</t>
        </is>
      </c>
      <c r="W1250" s="110" t="inlineStr">
        <is>
          <t>PC em analise</t>
        </is>
      </c>
      <c r="X1250" s="110" t="inlineStr">
        <is>
          <t>Pedido de Compra</t>
        </is>
      </c>
      <c r="Y1250" s="111" t="inlineStr">
        <is>
          <t>Impacto Potencial</t>
        </is>
      </c>
      <c r="Z1250" s="111" t="inlineStr">
        <is>
          <t>PC</t>
        </is>
      </c>
      <c r="AA1250" s="111" t="inlineStr">
        <is>
          <t>Nao</t>
        </is>
      </c>
      <c r="AB1250" s="111" t="inlineStr">
        <is>
          <t>NAO_COMPUTADO</t>
        </is>
      </c>
      <c r="AC1250" s="112" t="inlineStr">
        <is>
          <t>Estrutura Fase 1: sem impacto no VTA oficial</t>
        </is>
      </c>
    </row>
    <row r="1251" ht="25.5" customHeight="1" s="289">
      <c r="A1251" s="205" t="n"/>
      <c r="B1251" s="207" t="n"/>
      <c r="C1251" s="104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348" t="n"/>
      <c r="E1251" s="349">
        <f>IF(C1251="","",IFERROR(VLOOKUP(C1251,parametros!$A$11:$E$15,5,0),""))</f>
        <v/>
      </c>
      <c r="F1251" s="335">
        <f>IF(OR(D1251="",E1251=""),"",ROUND(D1251*E1251,2))</f>
        <v/>
      </c>
      <c r="G1251" s="106" t="n"/>
      <c r="H1251" s="350">
        <f>IF(G1251="Sim",IF(OR(F1251="",D1251="",L1251=""),"",IF(L1251="Sim",ROUND(F1251-D1251,2),0)),0)</f>
        <v/>
      </c>
      <c r="I1251" s="350">
        <f>IF(G1251="Sim",0,IF(OR(F1251="",L1251=""),"",F1251))</f>
        <v/>
      </c>
      <c r="J1251" s="350">
        <f>IF(G1251="Sim",0,IF(OR(F1251="",D1251="",L1251=""),"",IF(L1251="Sim",ROUND(F1251-D1251,2),0)))</f>
        <v/>
      </c>
      <c r="K1251" s="97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inlineStr">
        <is>
          <t>Nao</t>
        </is>
      </c>
      <c r="W1251" s="110" t="inlineStr">
        <is>
          <t>PC em analise</t>
        </is>
      </c>
      <c r="X1251" s="110" t="inlineStr">
        <is>
          <t>Pedido de Compra</t>
        </is>
      </c>
      <c r="Y1251" s="111" t="inlineStr">
        <is>
          <t>Impacto Potencial</t>
        </is>
      </c>
      <c r="Z1251" s="111" t="inlineStr">
        <is>
          <t>PC</t>
        </is>
      </c>
      <c r="AA1251" s="111" t="inlineStr">
        <is>
          <t>Nao</t>
        </is>
      </c>
      <c r="AB1251" s="111" t="inlineStr">
        <is>
          <t>NAO_COMPUTADO</t>
        </is>
      </c>
      <c r="AC1251" s="112" t="inlineStr">
        <is>
          <t>Estrutura Fase 1: sem impacto no VTA oficial</t>
        </is>
      </c>
    </row>
    <row r="1252" ht="25.5" customHeight="1" s="289">
      <c r="A1252" s="205" t="n"/>
      <c r="B1252" s="207" t="n"/>
      <c r="C1252" s="104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348" t="n"/>
      <c r="E1252" s="349">
        <f>IF(C1252="","",IFERROR(VLOOKUP(C1252,parametros!$A$11:$E$15,5,0),""))</f>
        <v/>
      </c>
      <c r="F1252" s="335">
        <f>IF(OR(D1252="",E1252=""),"",ROUND(D1252*E1252,2))</f>
        <v/>
      </c>
      <c r="G1252" s="106" t="n"/>
      <c r="H1252" s="350">
        <f>IF(G1252="Sim",IF(OR(F1252="",D1252="",L1252=""),"",IF(L1252="Sim",ROUND(F1252-D1252,2),0)),0)</f>
        <v/>
      </c>
      <c r="I1252" s="350">
        <f>IF(G1252="Sim",0,IF(OR(F1252="",L1252=""),"",F1252))</f>
        <v/>
      </c>
      <c r="J1252" s="350">
        <f>IF(G1252="Sim",0,IF(OR(F1252="",D1252="",L1252=""),"",IF(L1252="Sim",ROUND(F1252-D1252,2),0)))</f>
        <v/>
      </c>
      <c r="K1252" s="97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inlineStr">
        <is>
          <t>Nao</t>
        </is>
      </c>
      <c r="W1252" s="110" t="inlineStr">
        <is>
          <t>PC em analise</t>
        </is>
      </c>
      <c r="X1252" s="110" t="inlineStr">
        <is>
          <t>Pedido de Compra</t>
        </is>
      </c>
      <c r="Y1252" s="111" t="inlineStr">
        <is>
          <t>Impacto Potencial</t>
        </is>
      </c>
      <c r="Z1252" s="111" t="inlineStr">
        <is>
          <t>PC</t>
        </is>
      </c>
      <c r="AA1252" s="111" t="inlineStr">
        <is>
          <t>Nao</t>
        </is>
      </c>
      <c r="AB1252" s="111" t="inlineStr">
        <is>
          <t>NAO_COMPUTADO</t>
        </is>
      </c>
      <c r="AC1252" s="112" t="inlineStr">
        <is>
          <t>Estrutura Fase 1: sem impacto no VTA oficial</t>
        </is>
      </c>
    </row>
    <row r="1253" ht="25.5" customHeight="1" s="289">
      <c r="A1253" s="205" t="n"/>
      <c r="B1253" s="207" t="n"/>
      <c r="C1253" s="104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348" t="n"/>
      <c r="E1253" s="349">
        <f>IF(C1253="","",IFERROR(VLOOKUP(C1253,parametros!$A$11:$E$15,5,0),""))</f>
        <v/>
      </c>
      <c r="F1253" s="335">
        <f>IF(OR(D1253="",E1253=""),"",ROUND(D1253*E1253,2))</f>
        <v/>
      </c>
      <c r="G1253" s="106" t="n"/>
      <c r="H1253" s="350">
        <f>IF(G1253="Sim",IF(OR(F1253="",D1253="",L1253=""),"",IF(L1253="Sim",ROUND(F1253-D1253,2),0)),0)</f>
        <v/>
      </c>
      <c r="I1253" s="350">
        <f>IF(G1253="Sim",0,IF(OR(F1253="",L1253=""),"",F1253))</f>
        <v/>
      </c>
      <c r="J1253" s="350">
        <f>IF(G1253="Sim",0,IF(OR(F1253="",D1253="",L1253=""),"",IF(L1253="Sim",ROUND(F1253-D1253,2),0)))</f>
        <v/>
      </c>
      <c r="K1253" s="97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inlineStr">
        <is>
          <t>Nao</t>
        </is>
      </c>
      <c r="W1253" s="110" t="inlineStr">
        <is>
          <t>PC em analise</t>
        </is>
      </c>
      <c r="X1253" s="110" t="inlineStr">
        <is>
          <t>Pedido de Compra</t>
        </is>
      </c>
      <c r="Y1253" s="111" t="inlineStr">
        <is>
          <t>Impacto Potencial</t>
        </is>
      </c>
      <c r="Z1253" s="111" t="inlineStr">
        <is>
          <t>PC</t>
        </is>
      </c>
      <c r="AA1253" s="111" t="inlineStr">
        <is>
          <t>Nao</t>
        </is>
      </c>
      <c r="AB1253" s="111" t="inlineStr">
        <is>
          <t>NAO_COMPUTADO</t>
        </is>
      </c>
      <c r="AC1253" s="112" t="inlineStr">
        <is>
          <t>Estrutura Fase 1: sem impacto no VTA oficial</t>
        </is>
      </c>
    </row>
    <row r="1254" ht="25.5" customHeight="1" s="289">
      <c r="A1254" s="205" t="n"/>
      <c r="B1254" s="207" t="n"/>
      <c r="C1254" s="104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348" t="n"/>
      <c r="E1254" s="349">
        <f>IF(C1254="","",IFERROR(VLOOKUP(C1254,parametros!$A$11:$E$15,5,0),""))</f>
        <v/>
      </c>
      <c r="F1254" s="335">
        <f>IF(OR(D1254="",E1254=""),"",ROUND(D1254*E1254,2))</f>
        <v/>
      </c>
      <c r="G1254" s="106" t="n"/>
      <c r="H1254" s="350">
        <f>IF(G1254="Sim",IF(OR(F1254="",D1254="",L1254=""),"",IF(L1254="Sim",ROUND(F1254-D1254,2),0)),0)</f>
        <v/>
      </c>
      <c r="I1254" s="350">
        <f>IF(G1254="Sim",0,IF(OR(F1254="",L1254=""),"",F1254))</f>
        <v/>
      </c>
      <c r="J1254" s="350">
        <f>IF(G1254="Sim",0,IF(OR(F1254="",D1254="",L1254=""),"",IF(L1254="Sim",ROUND(F1254-D1254,2),0)))</f>
        <v/>
      </c>
      <c r="K1254" s="97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inlineStr">
        <is>
          <t>Nao</t>
        </is>
      </c>
      <c r="W1254" s="110" t="inlineStr">
        <is>
          <t>PC em analise</t>
        </is>
      </c>
      <c r="X1254" s="110" t="inlineStr">
        <is>
          <t>Pedido de Compra</t>
        </is>
      </c>
      <c r="Y1254" s="111" t="inlineStr">
        <is>
          <t>Impacto Potencial</t>
        </is>
      </c>
      <c r="Z1254" s="111" t="inlineStr">
        <is>
          <t>PC</t>
        </is>
      </c>
      <c r="AA1254" s="111" t="inlineStr">
        <is>
          <t>Nao</t>
        </is>
      </c>
      <c r="AB1254" s="111" t="inlineStr">
        <is>
          <t>NAO_COMPUTADO</t>
        </is>
      </c>
      <c r="AC1254" s="112" t="inlineStr">
        <is>
          <t>Estrutura Fase 1: sem impacto no VTA oficial</t>
        </is>
      </c>
    </row>
    <row r="1255" ht="25.5" customHeight="1" s="289">
      <c r="A1255" s="205" t="n"/>
      <c r="B1255" s="207" t="n"/>
      <c r="C1255" s="104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348" t="n"/>
      <c r="E1255" s="349">
        <f>IF(C1255="","",IFERROR(VLOOKUP(C1255,parametros!$A$11:$E$15,5,0),""))</f>
        <v/>
      </c>
      <c r="F1255" s="335">
        <f>IF(OR(D1255="",E1255=""),"",ROUND(D1255*E1255,2))</f>
        <v/>
      </c>
      <c r="G1255" s="106" t="n"/>
      <c r="H1255" s="350">
        <f>IF(G1255="Sim",IF(OR(F1255="",D1255="",L1255=""),"",IF(L1255="Sim",ROUND(F1255-D1255,2),0)),0)</f>
        <v/>
      </c>
      <c r="I1255" s="350">
        <f>IF(G1255="Sim",0,IF(OR(F1255="",L1255=""),"",F1255))</f>
        <v/>
      </c>
      <c r="J1255" s="350">
        <f>IF(G1255="Sim",0,IF(OR(F1255="",D1255="",L1255=""),"",IF(L1255="Sim",ROUND(F1255-D1255,2),0)))</f>
        <v/>
      </c>
      <c r="K1255" s="97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inlineStr">
        <is>
          <t>Nao</t>
        </is>
      </c>
      <c r="W1255" s="110" t="inlineStr">
        <is>
          <t>PC em analise</t>
        </is>
      </c>
      <c r="X1255" s="110" t="inlineStr">
        <is>
          <t>Pedido de Compra</t>
        </is>
      </c>
      <c r="Y1255" s="111" t="inlineStr">
        <is>
          <t>Impacto Potencial</t>
        </is>
      </c>
      <c r="Z1255" s="111" t="inlineStr">
        <is>
          <t>PC</t>
        </is>
      </c>
      <c r="AA1255" s="111" t="inlineStr">
        <is>
          <t>Nao</t>
        </is>
      </c>
      <c r="AB1255" s="111" t="inlineStr">
        <is>
          <t>NAO_COMPUTADO</t>
        </is>
      </c>
      <c r="AC1255" s="112" t="inlineStr">
        <is>
          <t>Estrutura Fase 1: sem impacto no VTA oficial</t>
        </is>
      </c>
    </row>
    <row r="1256" ht="25.5" customHeight="1" s="289">
      <c r="A1256" s="205" t="n"/>
      <c r="B1256" s="207" t="n"/>
      <c r="C1256" s="104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348" t="n"/>
      <c r="E1256" s="349">
        <f>IF(C1256="","",IFERROR(VLOOKUP(C1256,parametros!$A$11:$E$15,5,0),""))</f>
        <v/>
      </c>
      <c r="F1256" s="335">
        <f>IF(OR(D1256="",E1256=""),"",ROUND(D1256*E1256,2))</f>
        <v/>
      </c>
      <c r="G1256" s="106" t="n"/>
      <c r="H1256" s="350">
        <f>IF(G1256="Sim",IF(OR(F1256="",D1256="",L1256=""),"",IF(L1256="Sim",ROUND(F1256-D1256,2),0)),0)</f>
        <v/>
      </c>
      <c r="I1256" s="350">
        <f>IF(G1256="Sim",0,IF(OR(F1256="",L1256=""),"",F1256))</f>
        <v/>
      </c>
      <c r="J1256" s="350">
        <f>IF(G1256="Sim",0,IF(OR(F1256="",D1256="",L1256=""),"",IF(L1256="Sim",ROUND(F1256-D1256,2),0)))</f>
        <v/>
      </c>
      <c r="K1256" s="97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inlineStr">
        <is>
          <t>Nao</t>
        </is>
      </c>
      <c r="W1256" s="110" t="inlineStr">
        <is>
          <t>PC em analise</t>
        </is>
      </c>
      <c r="X1256" s="110" t="inlineStr">
        <is>
          <t>Pedido de Compra</t>
        </is>
      </c>
      <c r="Y1256" s="111" t="inlineStr">
        <is>
          <t>Impacto Potencial</t>
        </is>
      </c>
      <c r="Z1256" s="111" t="inlineStr">
        <is>
          <t>PC</t>
        </is>
      </c>
      <c r="AA1256" s="111" t="inlineStr">
        <is>
          <t>Nao</t>
        </is>
      </c>
      <c r="AB1256" s="111" t="inlineStr">
        <is>
          <t>NAO_COMPUTADO</t>
        </is>
      </c>
      <c r="AC1256" s="112" t="inlineStr">
        <is>
          <t>Estrutura Fase 1: sem impacto no VTA oficial</t>
        </is>
      </c>
    </row>
    <row r="1257" ht="25.5" customHeight="1" s="289">
      <c r="A1257" s="205" t="n"/>
      <c r="B1257" s="207" t="n"/>
      <c r="C1257" s="104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348" t="n"/>
      <c r="E1257" s="349">
        <f>IF(C1257="","",IFERROR(VLOOKUP(C1257,parametros!$A$11:$E$15,5,0),""))</f>
        <v/>
      </c>
      <c r="F1257" s="335">
        <f>IF(OR(D1257="",E1257=""),"",ROUND(D1257*E1257,2))</f>
        <v/>
      </c>
      <c r="G1257" s="106" t="n"/>
      <c r="H1257" s="350">
        <f>IF(G1257="Sim",IF(OR(F1257="",D1257="",L1257=""),"",IF(L1257="Sim",ROUND(F1257-D1257,2),0)),0)</f>
        <v/>
      </c>
      <c r="I1257" s="350">
        <f>IF(G1257="Sim",0,IF(OR(F1257="",L1257=""),"",F1257))</f>
        <v/>
      </c>
      <c r="J1257" s="350">
        <f>IF(G1257="Sim",0,IF(OR(F1257="",D1257="",L1257=""),"",IF(L1257="Sim",ROUND(F1257-D1257,2),0)))</f>
        <v/>
      </c>
      <c r="K1257" s="97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inlineStr">
        <is>
          <t>Nao</t>
        </is>
      </c>
      <c r="W1257" s="110" t="inlineStr">
        <is>
          <t>PC em analise</t>
        </is>
      </c>
      <c r="X1257" s="110" t="inlineStr">
        <is>
          <t>Pedido de Compra</t>
        </is>
      </c>
      <c r="Y1257" s="111" t="inlineStr">
        <is>
          <t>Impacto Potencial</t>
        </is>
      </c>
      <c r="Z1257" s="111" t="inlineStr">
        <is>
          <t>PC</t>
        </is>
      </c>
      <c r="AA1257" s="111" t="inlineStr">
        <is>
          <t>Nao</t>
        </is>
      </c>
      <c r="AB1257" s="111" t="inlineStr">
        <is>
          <t>NAO_COMPUTADO</t>
        </is>
      </c>
      <c r="AC1257" s="112" t="inlineStr">
        <is>
          <t>Estrutura Fase 1: sem impacto no VTA oficial</t>
        </is>
      </c>
    </row>
    <row r="1258" ht="25.5" customHeight="1" s="289">
      <c r="A1258" s="205" t="n"/>
      <c r="B1258" s="207" t="n"/>
      <c r="C1258" s="104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348" t="n"/>
      <c r="E1258" s="349">
        <f>IF(C1258="","",IFERROR(VLOOKUP(C1258,parametros!$A$11:$E$15,5,0),""))</f>
        <v/>
      </c>
      <c r="F1258" s="335">
        <f>IF(OR(D1258="",E1258=""),"",ROUND(D1258*E1258,2))</f>
        <v/>
      </c>
      <c r="G1258" s="106" t="n"/>
      <c r="H1258" s="350">
        <f>IF(G1258="Sim",IF(OR(F1258="",D1258="",L1258=""),"",IF(L1258="Sim",ROUND(F1258-D1258,2),0)),0)</f>
        <v/>
      </c>
      <c r="I1258" s="350">
        <f>IF(G1258="Sim",0,IF(OR(F1258="",L1258=""),"",F1258))</f>
        <v/>
      </c>
      <c r="J1258" s="350">
        <f>IF(G1258="Sim",0,IF(OR(F1258="",D1258="",L1258=""),"",IF(L1258="Sim",ROUND(F1258-D1258,2),0)))</f>
        <v/>
      </c>
      <c r="K1258" s="97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inlineStr">
        <is>
          <t>Nao</t>
        </is>
      </c>
      <c r="W1258" s="110" t="inlineStr">
        <is>
          <t>PC em analise</t>
        </is>
      </c>
      <c r="X1258" s="110" t="inlineStr">
        <is>
          <t>Pedido de Compra</t>
        </is>
      </c>
      <c r="Y1258" s="111" t="inlineStr">
        <is>
          <t>Impacto Potencial</t>
        </is>
      </c>
      <c r="Z1258" s="111" t="inlineStr">
        <is>
          <t>PC</t>
        </is>
      </c>
      <c r="AA1258" s="111" t="inlineStr">
        <is>
          <t>Nao</t>
        </is>
      </c>
      <c r="AB1258" s="111" t="inlineStr">
        <is>
          <t>NAO_COMPUTADO</t>
        </is>
      </c>
      <c r="AC1258" s="112" t="inlineStr">
        <is>
          <t>Estrutura Fase 1: sem impacto no VTA oficial</t>
        </is>
      </c>
    </row>
    <row r="1259" ht="25.5" customHeight="1" s="289">
      <c r="A1259" s="205" t="n"/>
      <c r="B1259" s="207" t="n"/>
      <c r="C1259" s="104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348" t="n"/>
      <c r="E1259" s="349">
        <f>IF(C1259="","",IFERROR(VLOOKUP(C1259,parametros!$A$11:$E$15,5,0),""))</f>
        <v/>
      </c>
      <c r="F1259" s="335">
        <f>IF(OR(D1259="",E1259=""),"",ROUND(D1259*E1259,2))</f>
        <v/>
      </c>
      <c r="G1259" s="106" t="n"/>
      <c r="H1259" s="350">
        <f>IF(G1259="Sim",IF(OR(F1259="",D1259="",L1259=""),"",IF(L1259="Sim",ROUND(F1259-D1259,2),0)),0)</f>
        <v/>
      </c>
      <c r="I1259" s="350">
        <f>IF(G1259="Sim",0,IF(OR(F1259="",L1259=""),"",F1259))</f>
        <v/>
      </c>
      <c r="J1259" s="350">
        <f>IF(G1259="Sim",0,IF(OR(F1259="",D1259="",L1259=""),"",IF(L1259="Sim",ROUND(F1259-D1259,2),0)))</f>
        <v/>
      </c>
      <c r="K1259" s="97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inlineStr">
        <is>
          <t>Nao</t>
        </is>
      </c>
      <c r="W1259" s="110" t="inlineStr">
        <is>
          <t>PC em analise</t>
        </is>
      </c>
      <c r="X1259" s="110" t="inlineStr">
        <is>
          <t>Pedido de Compra</t>
        </is>
      </c>
      <c r="Y1259" s="111" t="inlineStr">
        <is>
          <t>Impacto Potencial</t>
        </is>
      </c>
      <c r="Z1259" s="111" t="inlineStr">
        <is>
          <t>PC</t>
        </is>
      </c>
      <c r="AA1259" s="111" t="inlineStr">
        <is>
          <t>Nao</t>
        </is>
      </c>
      <c r="AB1259" s="111" t="inlineStr">
        <is>
          <t>NAO_COMPUTADO</t>
        </is>
      </c>
      <c r="AC1259" s="112" t="inlineStr">
        <is>
          <t>Estrutura Fase 1: sem impacto no VTA oficial</t>
        </is>
      </c>
    </row>
    <row r="1260" ht="25.5" customHeight="1" s="289">
      <c r="A1260" s="205" t="n"/>
      <c r="B1260" s="207" t="n"/>
      <c r="C1260" s="104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348" t="n"/>
      <c r="E1260" s="349">
        <f>IF(C1260="","",IFERROR(VLOOKUP(C1260,parametros!$A$11:$E$15,5,0),""))</f>
        <v/>
      </c>
      <c r="F1260" s="335">
        <f>IF(OR(D1260="",E1260=""),"",ROUND(D1260*E1260,2))</f>
        <v/>
      </c>
      <c r="G1260" s="106" t="n"/>
      <c r="H1260" s="350">
        <f>IF(G1260="Sim",IF(OR(F1260="",D1260="",L1260=""),"",IF(L1260="Sim",ROUND(F1260-D1260,2),0)),0)</f>
        <v/>
      </c>
      <c r="I1260" s="350">
        <f>IF(G1260="Sim",0,IF(OR(F1260="",L1260=""),"",F1260))</f>
        <v/>
      </c>
      <c r="J1260" s="350">
        <f>IF(G1260="Sim",0,IF(OR(F1260="",D1260="",L1260=""),"",IF(L1260="Sim",ROUND(F1260-D1260,2),0)))</f>
        <v/>
      </c>
      <c r="K1260" s="97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inlineStr">
        <is>
          <t>Nao</t>
        </is>
      </c>
      <c r="W1260" s="110" t="inlineStr">
        <is>
          <t>PC em analise</t>
        </is>
      </c>
      <c r="X1260" s="110" t="inlineStr">
        <is>
          <t>Pedido de Compra</t>
        </is>
      </c>
      <c r="Y1260" s="111" t="inlineStr">
        <is>
          <t>Impacto Potencial</t>
        </is>
      </c>
      <c r="Z1260" s="111" t="inlineStr">
        <is>
          <t>PC</t>
        </is>
      </c>
      <c r="AA1260" s="111" t="inlineStr">
        <is>
          <t>Nao</t>
        </is>
      </c>
      <c r="AB1260" s="111" t="inlineStr">
        <is>
          <t>NAO_COMPUTADO</t>
        </is>
      </c>
      <c r="AC1260" s="112" t="inlineStr">
        <is>
          <t>Estrutura Fase 1: sem impacto no VTA oficial</t>
        </is>
      </c>
    </row>
    <row r="1261" ht="25.5" customHeight="1" s="289">
      <c r="A1261" s="205" t="n"/>
      <c r="B1261" s="207" t="n"/>
      <c r="C1261" s="104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348" t="n"/>
      <c r="E1261" s="349">
        <f>IF(C1261="","",IFERROR(VLOOKUP(C1261,parametros!$A$11:$E$15,5,0),""))</f>
        <v/>
      </c>
      <c r="F1261" s="335">
        <f>IF(OR(D1261="",E1261=""),"",ROUND(D1261*E1261,2))</f>
        <v/>
      </c>
      <c r="G1261" s="106" t="n"/>
      <c r="H1261" s="350">
        <f>IF(G1261="Sim",IF(OR(F1261="",D1261="",L1261=""),"",IF(L1261="Sim",ROUND(F1261-D1261,2),0)),0)</f>
        <v/>
      </c>
      <c r="I1261" s="350">
        <f>IF(G1261="Sim",0,IF(OR(F1261="",L1261=""),"",F1261))</f>
        <v/>
      </c>
      <c r="J1261" s="350">
        <f>IF(G1261="Sim",0,IF(OR(F1261="",D1261="",L1261=""),"",IF(L1261="Sim",ROUND(F1261-D1261,2),0)))</f>
        <v/>
      </c>
      <c r="K1261" s="97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inlineStr">
        <is>
          <t>Nao</t>
        </is>
      </c>
      <c r="W1261" s="110" t="inlineStr">
        <is>
          <t>PC em analise</t>
        </is>
      </c>
      <c r="X1261" s="110" t="inlineStr">
        <is>
          <t>Pedido de Compra</t>
        </is>
      </c>
      <c r="Y1261" s="111" t="inlineStr">
        <is>
          <t>Impacto Potencial</t>
        </is>
      </c>
      <c r="Z1261" s="111" t="inlineStr">
        <is>
          <t>PC</t>
        </is>
      </c>
      <c r="AA1261" s="111" t="inlineStr">
        <is>
          <t>Nao</t>
        </is>
      </c>
      <c r="AB1261" s="111" t="inlineStr">
        <is>
          <t>NAO_COMPUTADO</t>
        </is>
      </c>
      <c r="AC1261" s="112" t="inlineStr">
        <is>
          <t>Estrutura Fase 1: sem impacto no VTA oficial</t>
        </is>
      </c>
    </row>
    <row r="1262" ht="25.5" customHeight="1" s="289">
      <c r="A1262" s="205" t="n"/>
      <c r="B1262" s="207" t="n"/>
      <c r="C1262" s="104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348" t="n"/>
      <c r="E1262" s="349">
        <f>IF(C1262="","",IFERROR(VLOOKUP(C1262,parametros!$A$11:$E$15,5,0),""))</f>
        <v/>
      </c>
      <c r="F1262" s="335">
        <f>IF(OR(D1262="",E1262=""),"",ROUND(D1262*E1262,2))</f>
        <v/>
      </c>
      <c r="G1262" s="106" t="n"/>
      <c r="H1262" s="350">
        <f>IF(G1262="Sim",IF(OR(F1262="",D1262="",L1262=""),"",IF(L1262="Sim",ROUND(F1262-D1262,2),0)),0)</f>
        <v/>
      </c>
      <c r="I1262" s="350">
        <f>IF(G1262="Sim",0,IF(OR(F1262="",L1262=""),"",F1262))</f>
        <v/>
      </c>
      <c r="J1262" s="350">
        <f>IF(G1262="Sim",0,IF(OR(F1262="",D1262="",L1262=""),"",IF(L1262="Sim",ROUND(F1262-D1262,2),0)))</f>
        <v/>
      </c>
      <c r="K1262" s="97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inlineStr">
        <is>
          <t>Nao</t>
        </is>
      </c>
      <c r="W1262" s="110" t="inlineStr">
        <is>
          <t>PC em analise</t>
        </is>
      </c>
      <c r="X1262" s="110" t="inlineStr">
        <is>
          <t>Pedido de Compra</t>
        </is>
      </c>
      <c r="Y1262" s="111" t="inlineStr">
        <is>
          <t>Impacto Potencial</t>
        </is>
      </c>
      <c r="Z1262" s="111" t="inlineStr">
        <is>
          <t>PC</t>
        </is>
      </c>
      <c r="AA1262" s="111" t="inlineStr">
        <is>
          <t>Nao</t>
        </is>
      </c>
      <c r="AB1262" s="111" t="inlineStr">
        <is>
          <t>NAO_COMPUTADO</t>
        </is>
      </c>
      <c r="AC1262" s="112" t="inlineStr">
        <is>
          <t>Estrutura Fase 1: sem impacto no VTA oficial</t>
        </is>
      </c>
    </row>
    <row r="1263" ht="25.5" customHeight="1" s="289">
      <c r="A1263" s="205" t="n"/>
      <c r="B1263" s="207" t="n"/>
      <c r="C1263" s="104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348" t="n"/>
      <c r="E1263" s="349">
        <f>IF(C1263="","",IFERROR(VLOOKUP(C1263,parametros!$A$11:$E$15,5,0),""))</f>
        <v/>
      </c>
      <c r="F1263" s="335">
        <f>IF(OR(D1263="",E1263=""),"",ROUND(D1263*E1263,2))</f>
        <v/>
      </c>
      <c r="G1263" s="106" t="n"/>
      <c r="H1263" s="350">
        <f>IF(G1263="Sim",IF(OR(F1263="",D1263="",L1263=""),"",IF(L1263="Sim",ROUND(F1263-D1263,2),0)),0)</f>
        <v/>
      </c>
      <c r="I1263" s="350">
        <f>IF(G1263="Sim",0,IF(OR(F1263="",L1263=""),"",F1263))</f>
        <v/>
      </c>
      <c r="J1263" s="350">
        <f>IF(G1263="Sim",0,IF(OR(F1263="",D1263="",L1263=""),"",IF(L1263="Sim",ROUND(F1263-D1263,2),0)))</f>
        <v/>
      </c>
      <c r="K1263" s="97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inlineStr">
        <is>
          <t>Nao</t>
        </is>
      </c>
      <c r="W1263" s="110" t="inlineStr">
        <is>
          <t>PC em analise</t>
        </is>
      </c>
      <c r="X1263" s="110" t="inlineStr">
        <is>
          <t>Pedido de Compra</t>
        </is>
      </c>
      <c r="Y1263" s="111" t="inlineStr">
        <is>
          <t>Impacto Potencial</t>
        </is>
      </c>
      <c r="Z1263" s="111" t="inlineStr">
        <is>
          <t>PC</t>
        </is>
      </c>
      <c r="AA1263" s="111" t="inlineStr">
        <is>
          <t>Nao</t>
        </is>
      </c>
      <c r="AB1263" s="111" t="inlineStr">
        <is>
          <t>NAO_COMPUTADO</t>
        </is>
      </c>
      <c r="AC1263" s="112" t="inlineStr">
        <is>
          <t>Estrutura Fase 1: sem impacto no VTA oficial</t>
        </is>
      </c>
    </row>
    <row r="1264" ht="25.5" customHeight="1" s="289">
      <c r="A1264" s="205" t="n"/>
      <c r="B1264" s="207" t="n"/>
      <c r="C1264" s="104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348" t="n"/>
      <c r="E1264" s="349">
        <f>IF(C1264="","",IFERROR(VLOOKUP(C1264,parametros!$A$11:$E$15,5,0),""))</f>
        <v/>
      </c>
      <c r="F1264" s="335">
        <f>IF(OR(D1264="",E1264=""),"",ROUND(D1264*E1264,2))</f>
        <v/>
      </c>
      <c r="G1264" s="106" t="n"/>
      <c r="H1264" s="350">
        <f>IF(G1264="Sim",IF(OR(F1264="",D1264="",L1264=""),"",IF(L1264="Sim",ROUND(F1264-D1264,2),0)),0)</f>
        <v/>
      </c>
      <c r="I1264" s="350">
        <f>IF(G1264="Sim",0,IF(OR(F1264="",L1264=""),"",F1264))</f>
        <v/>
      </c>
      <c r="J1264" s="350">
        <f>IF(G1264="Sim",0,IF(OR(F1264="",D1264="",L1264=""),"",IF(L1264="Sim",ROUND(F1264-D1264,2),0)))</f>
        <v/>
      </c>
      <c r="K1264" s="97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inlineStr">
        <is>
          <t>Nao</t>
        </is>
      </c>
      <c r="W1264" s="110" t="inlineStr">
        <is>
          <t>PC em analise</t>
        </is>
      </c>
      <c r="X1264" s="110" t="inlineStr">
        <is>
          <t>Pedido de Compra</t>
        </is>
      </c>
      <c r="Y1264" s="111" t="inlineStr">
        <is>
          <t>Impacto Potencial</t>
        </is>
      </c>
      <c r="Z1264" s="111" t="inlineStr">
        <is>
          <t>PC</t>
        </is>
      </c>
      <c r="AA1264" s="111" t="inlineStr">
        <is>
          <t>Nao</t>
        </is>
      </c>
      <c r="AB1264" s="111" t="inlineStr">
        <is>
          <t>NAO_COMPUTADO</t>
        </is>
      </c>
      <c r="AC1264" s="112" t="inlineStr">
        <is>
          <t>Estrutura Fase 1: sem impacto no VTA oficial</t>
        </is>
      </c>
    </row>
    <row r="1265" ht="25.5" customHeight="1" s="289">
      <c r="A1265" s="205" t="n"/>
      <c r="B1265" s="207" t="n"/>
      <c r="C1265" s="104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348" t="n"/>
      <c r="E1265" s="349">
        <f>IF(C1265="","",IFERROR(VLOOKUP(C1265,parametros!$A$11:$E$15,5,0),""))</f>
        <v/>
      </c>
      <c r="F1265" s="335">
        <f>IF(OR(D1265="",E1265=""),"",ROUND(D1265*E1265,2))</f>
        <v/>
      </c>
      <c r="G1265" s="106" t="n"/>
      <c r="H1265" s="350">
        <f>IF(G1265="Sim",IF(OR(F1265="",D1265="",L1265=""),"",IF(L1265="Sim",ROUND(F1265-D1265,2),0)),0)</f>
        <v/>
      </c>
      <c r="I1265" s="350">
        <f>IF(G1265="Sim",0,IF(OR(F1265="",L1265=""),"",F1265))</f>
        <v/>
      </c>
      <c r="J1265" s="350">
        <f>IF(G1265="Sim",0,IF(OR(F1265="",D1265="",L1265=""),"",IF(L1265="Sim",ROUND(F1265-D1265,2),0)))</f>
        <v/>
      </c>
      <c r="K1265" s="97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inlineStr">
        <is>
          <t>Nao</t>
        </is>
      </c>
      <c r="W1265" s="110" t="inlineStr">
        <is>
          <t>PC em analise</t>
        </is>
      </c>
      <c r="X1265" s="110" t="inlineStr">
        <is>
          <t>Pedido de Compra</t>
        </is>
      </c>
      <c r="Y1265" s="111" t="inlineStr">
        <is>
          <t>Impacto Potencial</t>
        </is>
      </c>
      <c r="Z1265" s="111" t="inlineStr">
        <is>
          <t>PC</t>
        </is>
      </c>
      <c r="AA1265" s="111" t="inlineStr">
        <is>
          <t>Nao</t>
        </is>
      </c>
      <c r="AB1265" s="111" t="inlineStr">
        <is>
          <t>NAO_COMPUTADO</t>
        </is>
      </c>
      <c r="AC1265" s="112" t="inlineStr">
        <is>
          <t>Estrutura Fase 1: sem impacto no VTA oficial</t>
        </is>
      </c>
    </row>
    <row r="1266" ht="25.5" customHeight="1" s="289">
      <c r="A1266" s="205" t="n"/>
      <c r="B1266" s="207" t="n"/>
      <c r="C1266" s="104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348" t="n"/>
      <c r="E1266" s="349">
        <f>IF(C1266="","",IFERROR(VLOOKUP(C1266,parametros!$A$11:$E$15,5,0),""))</f>
        <v/>
      </c>
      <c r="F1266" s="335">
        <f>IF(OR(D1266="",E1266=""),"",ROUND(D1266*E1266,2))</f>
        <v/>
      </c>
      <c r="G1266" s="106" t="n"/>
      <c r="H1266" s="350">
        <f>IF(G1266="Sim",IF(OR(F1266="",D1266="",L1266=""),"",IF(L1266="Sim",ROUND(F1266-D1266,2),0)),0)</f>
        <v/>
      </c>
      <c r="I1266" s="350">
        <f>IF(G1266="Sim",0,IF(OR(F1266="",L1266=""),"",F1266))</f>
        <v/>
      </c>
      <c r="J1266" s="350">
        <f>IF(G1266="Sim",0,IF(OR(F1266="",D1266="",L1266=""),"",IF(L1266="Sim",ROUND(F1266-D1266,2),0)))</f>
        <v/>
      </c>
      <c r="K1266" s="97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inlineStr">
        <is>
          <t>Nao</t>
        </is>
      </c>
      <c r="W1266" s="110" t="inlineStr">
        <is>
          <t>PC em analise</t>
        </is>
      </c>
      <c r="X1266" s="110" t="inlineStr">
        <is>
          <t>Pedido de Compra</t>
        </is>
      </c>
      <c r="Y1266" s="111" t="inlineStr">
        <is>
          <t>Impacto Potencial</t>
        </is>
      </c>
      <c r="Z1266" s="111" t="inlineStr">
        <is>
          <t>PC</t>
        </is>
      </c>
      <c r="AA1266" s="111" t="inlineStr">
        <is>
          <t>Nao</t>
        </is>
      </c>
      <c r="AB1266" s="111" t="inlineStr">
        <is>
          <t>NAO_COMPUTADO</t>
        </is>
      </c>
      <c r="AC1266" s="112" t="inlineStr">
        <is>
          <t>Estrutura Fase 1: sem impacto no VTA oficial</t>
        </is>
      </c>
    </row>
    <row r="1267" ht="25.5" customHeight="1" s="289">
      <c r="A1267" s="205" t="n"/>
      <c r="B1267" s="207" t="n"/>
      <c r="C1267" s="104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348" t="n"/>
      <c r="E1267" s="349">
        <f>IF(C1267="","",IFERROR(VLOOKUP(C1267,parametros!$A$11:$E$15,5,0),""))</f>
        <v/>
      </c>
      <c r="F1267" s="335">
        <f>IF(OR(D1267="",E1267=""),"",ROUND(D1267*E1267,2))</f>
        <v/>
      </c>
      <c r="G1267" s="106" t="n"/>
      <c r="H1267" s="350">
        <f>IF(G1267="Sim",IF(OR(F1267="",D1267="",L1267=""),"",IF(L1267="Sim",ROUND(F1267-D1267,2),0)),0)</f>
        <v/>
      </c>
      <c r="I1267" s="350">
        <f>IF(G1267="Sim",0,IF(OR(F1267="",L1267=""),"",F1267))</f>
        <v/>
      </c>
      <c r="J1267" s="350">
        <f>IF(G1267="Sim",0,IF(OR(F1267="",D1267="",L1267=""),"",IF(L1267="Sim",ROUND(F1267-D1267,2),0)))</f>
        <v/>
      </c>
      <c r="K1267" s="97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inlineStr">
        <is>
          <t>Nao</t>
        </is>
      </c>
      <c r="W1267" s="110" t="inlineStr">
        <is>
          <t>PC em analise</t>
        </is>
      </c>
      <c r="X1267" s="110" t="inlineStr">
        <is>
          <t>Pedido de Compra</t>
        </is>
      </c>
      <c r="Y1267" s="111" t="inlineStr">
        <is>
          <t>Impacto Potencial</t>
        </is>
      </c>
      <c r="Z1267" s="111" t="inlineStr">
        <is>
          <t>PC</t>
        </is>
      </c>
      <c r="AA1267" s="111" t="inlineStr">
        <is>
          <t>Nao</t>
        </is>
      </c>
      <c r="AB1267" s="111" t="inlineStr">
        <is>
          <t>NAO_COMPUTADO</t>
        </is>
      </c>
      <c r="AC1267" s="112" t="inlineStr">
        <is>
          <t>Estrutura Fase 1: sem impacto no VTA oficial</t>
        </is>
      </c>
    </row>
    <row r="1268" ht="25.5" customHeight="1" s="289">
      <c r="A1268" s="205" t="n"/>
      <c r="B1268" s="207" t="n"/>
      <c r="C1268" s="104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348" t="n"/>
      <c r="E1268" s="349">
        <f>IF(C1268="","",IFERROR(VLOOKUP(C1268,parametros!$A$11:$E$15,5,0),""))</f>
        <v/>
      </c>
      <c r="F1268" s="335">
        <f>IF(OR(D1268="",E1268=""),"",ROUND(D1268*E1268,2))</f>
        <v/>
      </c>
      <c r="G1268" s="106" t="n"/>
      <c r="H1268" s="350">
        <f>IF(G1268="Sim",IF(OR(F1268="",D1268="",L1268=""),"",IF(L1268="Sim",ROUND(F1268-D1268,2),0)),0)</f>
        <v/>
      </c>
      <c r="I1268" s="350">
        <f>IF(G1268="Sim",0,IF(OR(F1268="",L1268=""),"",F1268))</f>
        <v/>
      </c>
      <c r="J1268" s="350">
        <f>IF(G1268="Sim",0,IF(OR(F1268="",D1268="",L1268=""),"",IF(L1268="Sim",ROUND(F1268-D1268,2),0)))</f>
        <v/>
      </c>
      <c r="K1268" s="97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inlineStr">
        <is>
          <t>Nao</t>
        </is>
      </c>
      <c r="W1268" s="110" t="inlineStr">
        <is>
          <t>PC em analise</t>
        </is>
      </c>
      <c r="X1268" s="110" t="inlineStr">
        <is>
          <t>Pedido de Compra</t>
        </is>
      </c>
      <c r="Y1268" s="111" t="inlineStr">
        <is>
          <t>Impacto Potencial</t>
        </is>
      </c>
      <c r="Z1268" s="111" t="inlineStr">
        <is>
          <t>PC</t>
        </is>
      </c>
      <c r="AA1268" s="111" t="inlineStr">
        <is>
          <t>Nao</t>
        </is>
      </c>
      <c r="AB1268" s="111" t="inlineStr">
        <is>
          <t>NAO_COMPUTADO</t>
        </is>
      </c>
      <c r="AC1268" s="112" t="inlineStr">
        <is>
          <t>Estrutura Fase 1: sem impacto no VTA oficial</t>
        </is>
      </c>
    </row>
    <row r="1269" ht="25.5" customHeight="1" s="289">
      <c r="A1269" s="205" t="n"/>
      <c r="B1269" s="207" t="n"/>
      <c r="C1269" s="104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348" t="n"/>
      <c r="E1269" s="349">
        <f>IF(C1269="","",IFERROR(VLOOKUP(C1269,parametros!$A$11:$E$15,5,0),""))</f>
        <v/>
      </c>
      <c r="F1269" s="335">
        <f>IF(OR(D1269="",E1269=""),"",ROUND(D1269*E1269,2))</f>
        <v/>
      </c>
      <c r="G1269" s="106" t="n"/>
      <c r="H1269" s="350">
        <f>IF(G1269="Sim",IF(OR(F1269="",D1269="",L1269=""),"",IF(L1269="Sim",ROUND(F1269-D1269,2),0)),0)</f>
        <v/>
      </c>
      <c r="I1269" s="350">
        <f>IF(G1269="Sim",0,IF(OR(F1269="",L1269=""),"",F1269))</f>
        <v/>
      </c>
      <c r="J1269" s="350">
        <f>IF(G1269="Sim",0,IF(OR(F1269="",D1269="",L1269=""),"",IF(L1269="Sim",ROUND(F1269-D1269,2),0)))</f>
        <v/>
      </c>
      <c r="K1269" s="97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inlineStr">
        <is>
          <t>Nao</t>
        </is>
      </c>
      <c r="W1269" s="110" t="inlineStr">
        <is>
          <t>PC em analise</t>
        </is>
      </c>
      <c r="X1269" s="110" t="inlineStr">
        <is>
          <t>Pedido de Compra</t>
        </is>
      </c>
      <c r="Y1269" s="111" t="inlineStr">
        <is>
          <t>Impacto Potencial</t>
        </is>
      </c>
      <c r="Z1269" s="111" t="inlineStr">
        <is>
          <t>PC</t>
        </is>
      </c>
      <c r="AA1269" s="111" t="inlineStr">
        <is>
          <t>Nao</t>
        </is>
      </c>
      <c r="AB1269" s="111" t="inlineStr">
        <is>
          <t>NAO_COMPUTADO</t>
        </is>
      </c>
      <c r="AC1269" s="112" t="inlineStr">
        <is>
          <t>Estrutura Fase 1: sem impacto no VTA oficial</t>
        </is>
      </c>
    </row>
    <row r="1270" ht="25.5" customHeight="1" s="289">
      <c r="A1270" s="205" t="n"/>
      <c r="B1270" s="207" t="n"/>
      <c r="C1270" s="104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348" t="n"/>
      <c r="E1270" s="349">
        <f>IF(C1270="","",IFERROR(VLOOKUP(C1270,parametros!$A$11:$E$15,5,0),""))</f>
        <v/>
      </c>
      <c r="F1270" s="335">
        <f>IF(OR(D1270="",E1270=""),"",ROUND(D1270*E1270,2))</f>
        <v/>
      </c>
      <c r="G1270" s="106" t="n"/>
      <c r="H1270" s="350">
        <f>IF(G1270="Sim",IF(OR(F1270="",D1270="",L1270=""),"",IF(L1270="Sim",ROUND(F1270-D1270,2),0)),0)</f>
        <v/>
      </c>
      <c r="I1270" s="350">
        <f>IF(G1270="Sim",0,IF(OR(F1270="",L1270=""),"",F1270))</f>
        <v/>
      </c>
      <c r="J1270" s="350">
        <f>IF(G1270="Sim",0,IF(OR(F1270="",D1270="",L1270=""),"",IF(L1270="Sim",ROUND(F1270-D1270,2),0)))</f>
        <v/>
      </c>
      <c r="K1270" s="97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inlineStr">
        <is>
          <t>Nao</t>
        </is>
      </c>
      <c r="W1270" s="110" t="inlineStr">
        <is>
          <t>PC em analise</t>
        </is>
      </c>
      <c r="X1270" s="110" t="inlineStr">
        <is>
          <t>Pedido de Compra</t>
        </is>
      </c>
      <c r="Y1270" s="111" t="inlineStr">
        <is>
          <t>Impacto Potencial</t>
        </is>
      </c>
      <c r="Z1270" s="111" t="inlineStr">
        <is>
          <t>PC</t>
        </is>
      </c>
      <c r="AA1270" s="111" t="inlineStr">
        <is>
          <t>Nao</t>
        </is>
      </c>
      <c r="AB1270" s="111" t="inlineStr">
        <is>
          <t>NAO_COMPUTADO</t>
        </is>
      </c>
      <c r="AC1270" s="112" t="inlineStr">
        <is>
          <t>Estrutura Fase 1: sem impacto no VTA oficial</t>
        </is>
      </c>
    </row>
    <row r="1271" ht="25.5" customHeight="1" s="289">
      <c r="A1271" s="205" t="n"/>
      <c r="B1271" s="207" t="n"/>
      <c r="C1271" s="104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348" t="n"/>
      <c r="E1271" s="349">
        <f>IF(C1271="","",IFERROR(VLOOKUP(C1271,parametros!$A$11:$E$15,5,0),""))</f>
        <v/>
      </c>
      <c r="F1271" s="335">
        <f>IF(OR(D1271="",E1271=""),"",ROUND(D1271*E1271,2))</f>
        <v/>
      </c>
      <c r="G1271" s="106" t="n"/>
      <c r="H1271" s="350">
        <f>IF(G1271="Sim",IF(OR(F1271="",D1271="",L1271=""),"",IF(L1271="Sim",ROUND(F1271-D1271,2),0)),0)</f>
        <v/>
      </c>
      <c r="I1271" s="350">
        <f>IF(G1271="Sim",0,IF(OR(F1271="",L1271=""),"",F1271))</f>
        <v/>
      </c>
      <c r="J1271" s="350">
        <f>IF(G1271="Sim",0,IF(OR(F1271="",D1271="",L1271=""),"",IF(L1271="Sim",ROUND(F1271-D1271,2),0)))</f>
        <v/>
      </c>
      <c r="K1271" s="97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inlineStr">
        <is>
          <t>Nao</t>
        </is>
      </c>
      <c r="W1271" s="110" t="inlineStr">
        <is>
          <t>PC em analise</t>
        </is>
      </c>
      <c r="X1271" s="110" t="inlineStr">
        <is>
          <t>Pedido de Compra</t>
        </is>
      </c>
      <c r="Y1271" s="111" t="inlineStr">
        <is>
          <t>Impacto Potencial</t>
        </is>
      </c>
      <c r="Z1271" s="111" t="inlineStr">
        <is>
          <t>PC</t>
        </is>
      </c>
      <c r="AA1271" s="111" t="inlineStr">
        <is>
          <t>Nao</t>
        </is>
      </c>
      <c r="AB1271" s="111" t="inlineStr">
        <is>
          <t>NAO_COMPUTADO</t>
        </is>
      </c>
      <c r="AC1271" s="112" t="inlineStr">
        <is>
          <t>Estrutura Fase 1: sem impacto no VTA oficial</t>
        </is>
      </c>
    </row>
    <row r="1272" ht="25.5" customHeight="1" s="289">
      <c r="A1272" s="205" t="n"/>
      <c r="B1272" s="207" t="n"/>
      <c r="C1272" s="104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348" t="n"/>
      <c r="E1272" s="349">
        <f>IF(C1272="","",IFERROR(VLOOKUP(C1272,parametros!$A$11:$E$15,5,0),""))</f>
        <v/>
      </c>
      <c r="F1272" s="335">
        <f>IF(OR(D1272="",E1272=""),"",ROUND(D1272*E1272,2))</f>
        <v/>
      </c>
      <c r="G1272" s="106" t="n"/>
      <c r="H1272" s="350">
        <f>IF(G1272="Sim",IF(OR(F1272="",D1272="",L1272=""),"",IF(L1272="Sim",ROUND(F1272-D1272,2),0)),0)</f>
        <v/>
      </c>
      <c r="I1272" s="350">
        <f>IF(G1272="Sim",0,IF(OR(F1272="",L1272=""),"",F1272))</f>
        <v/>
      </c>
      <c r="J1272" s="350">
        <f>IF(G1272="Sim",0,IF(OR(F1272="",D1272="",L1272=""),"",IF(L1272="Sim",ROUND(F1272-D1272,2),0)))</f>
        <v/>
      </c>
      <c r="K1272" s="97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inlineStr">
        <is>
          <t>Nao</t>
        </is>
      </c>
      <c r="W1272" s="110" t="inlineStr">
        <is>
          <t>PC em analise</t>
        </is>
      </c>
      <c r="X1272" s="110" t="inlineStr">
        <is>
          <t>Pedido de Compra</t>
        </is>
      </c>
      <c r="Y1272" s="111" t="inlineStr">
        <is>
          <t>Impacto Potencial</t>
        </is>
      </c>
      <c r="Z1272" s="111" t="inlineStr">
        <is>
          <t>PC</t>
        </is>
      </c>
      <c r="AA1272" s="111" t="inlineStr">
        <is>
          <t>Nao</t>
        </is>
      </c>
      <c r="AB1272" s="111" t="inlineStr">
        <is>
          <t>NAO_COMPUTADO</t>
        </is>
      </c>
      <c r="AC1272" s="112" t="inlineStr">
        <is>
          <t>Estrutura Fase 1: sem impacto no VTA oficial</t>
        </is>
      </c>
    </row>
    <row r="1273" ht="25.5" customHeight="1" s="289">
      <c r="A1273" s="205" t="n"/>
      <c r="B1273" s="207" t="n"/>
      <c r="C1273" s="104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348" t="n"/>
      <c r="E1273" s="349">
        <f>IF(C1273="","",IFERROR(VLOOKUP(C1273,parametros!$A$11:$E$15,5,0),""))</f>
        <v/>
      </c>
      <c r="F1273" s="335">
        <f>IF(OR(D1273="",E1273=""),"",ROUND(D1273*E1273,2))</f>
        <v/>
      </c>
      <c r="G1273" s="106" t="n"/>
      <c r="H1273" s="350">
        <f>IF(G1273="Sim",IF(OR(F1273="",D1273="",L1273=""),"",IF(L1273="Sim",ROUND(F1273-D1273,2),0)),0)</f>
        <v/>
      </c>
      <c r="I1273" s="350">
        <f>IF(G1273="Sim",0,IF(OR(F1273="",L1273=""),"",F1273))</f>
        <v/>
      </c>
      <c r="J1273" s="350">
        <f>IF(G1273="Sim",0,IF(OR(F1273="",D1273="",L1273=""),"",IF(L1273="Sim",ROUND(F1273-D1273,2),0)))</f>
        <v/>
      </c>
      <c r="K1273" s="97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inlineStr">
        <is>
          <t>Nao</t>
        </is>
      </c>
      <c r="W1273" s="110" t="inlineStr">
        <is>
          <t>PC em analise</t>
        </is>
      </c>
      <c r="X1273" s="110" t="inlineStr">
        <is>
          <t>Pedido de Compra</t>
        </is>
      </c>
      <c r="Y1273" s="111" t="inlineStr">
        <is>
          <t>Impacto Potencial</t>
        </is>
      </c>
      <c r="Z1273" s="111" t="inlineStr">
        <is>
          <t>PC</t>
        </is>
      </c>
      <c r="AA1273" s="111" t="inlineStr">
        <is>
          <t>Nao</t>
        </is>
      </c>
      <c r="AB1273" s="111" t="inlineStr">
        <is>
          <t>NAO_COMPUTADO</t>
        </is>
      </c>
      <c r="AC1273" s="112" t="inlineStr">
        <is>
          <t>Estrutura Fase 1: sem impacto no VTA oficial</t>
        </is>
      </c>
    </row>
    <row r="1274" ht="25.5" customHeight="1" s="289">
      <c r="A1274" s="205" t="n"/>
      <c r="B1274" s="207" t="n"/>
      <c r="C1274" s="104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348" t="n"/>
      <c r="E1274" s="349">
        <f>IF(C1274="","",IFERROR(VLOOKUP(C1274,parametros!$A$11:$E$15,5,0),""))</f>
        <v/>
      </c>
      <c r="F1274" s="335">
        <f>IF(OR(D1274="",E1274=""),"",ROUND(D1274*E1274,2))</f>
        <v/>
      </c>
      <c r="G1274" s="106" t="n"/>
      <c r="H1274" s="350">
        <f>IF(G1274="Sim",IF(OR(F1274="",D1274="",L1274=""),"",IF(L1274="Sim",ROUND(F1274-D1274,2),0)),0)</f>
        <v/>
      </c>
      <c r="I1274" s="350">
        <f>IF(G1274="Sim",0,IF(OR(F1274="",L1274=""),"",F1274))</f>
        <v/>
      </c>
      <c r="J1274" s="350">
        <f>IF(G1274="Sim",0,IF(OR(F1274="",D1274="",L1274=""),"",IF(L1274="Sim",ROUND(F1274-D1274,2),0)))</f>
        <v/>
      </c>
      <c r="K1274" s="97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inlineStr">
        <is>
          <t>Nao</t>
        </is>
      </c>
      <c r="W1274" s="110" t="inlineStr">
        <is>
          <t>PC em analise</t>
        </is>
      </c>
      <c r="X1274" s="110" t="inlineStr">
        <is>
          <t>Pedido de Compra</t>
        </is>
      </c>
      <c r="Y1274" s="111" t="inlineStr">
        <is>
          <t>Impacto Potencial</t>
        </is>
      </c>
      <c r="Z1274" s="111" t="inlineStr">
        <is>
          <t>PC</t>
        </is>
      </c>
      <c r="AA1274" s="111" t="inlineStr">
        <is>
          <t>Nao</t>
        </is>
      </c>
      <c r="AB1274" s="111" t="inlineStr">
        <is>
          <t>NAO_COMPUTADO</t>
        </is>
      </c>
      <c r="AC1274" s="112" t="inlineStr">
        <is>
          <t>Estrutura Fase 1: sem impacto no VTA oficial</t>
        </is>
      </c>
    </row>
    <row r="1275" ht="25.5" customHeight="1" s="289">
      <c r="A1275" s="205" t="n"/>
      <c r="B1275" s="207" t="n"/>
      <c r="C1275" s="104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348" t="n"/>
      <c r="E1275" s="349">
        <f>IF(C1275="","",IFERROR(VLOOKUP(C1275,parametros!$A$11:$E$15,5,0),""))</f>
        <v/>
      </c>
      <c r="F1275" s="335">
        <f>IF(OR(D1275="",E1275=""),"",ROUND(D1275*E1275,2))</f>
        <v/>
      </c>
      <c r="G1275" s="106" t="n"/>
      <c r="H1275" s="350">
        <f>IF(G1275="Sim",IF(OR(F1275="",D1275="",L1275=""),"",IF(L1275="Sim",ROUND(F1275-D1275,2),0)),0)</f>
        <v/>
      </c>
      <c r="I1275" s="350">
        <f>IF(G1275="Sim",0,IF(OR(F1275="",L1275=""),"",F1275))</f>
        <v/>
      </c>
      <c r="J1275" s="350">
        <f>IF(G1275="Sim",0,IF(OR(F1275="",D1275="",L1275=""),"",IF(L1275="Sim",ROUND(F1275-D1275,2),0)))</f>
        <v/>
      </c>
      <c r="K1275" s="97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inlineStr">
        <is>
          <t>Nao</t>
        </is>
      </c>
      <c r="W1275" s="110" t="inlineStr">
        <is>
          <t>PC em analise</t>
        </is>
      </c>
      <c r="X1275" s="110" t="inlineStr">
        <is>
          <t>Pedido de Compra</t>
        </is>
      </c>
      <c r="Y1275" s="111" t="inlineStr">
        <is>
          <t>Impacto Potencial</t>
        </is>
      </c>
      <c r="Z1275" s="111" t="inlineStr">
        <is>
          <t>PC</t>
        </is>
      </c>
      <c r="AA1275" s="111" t="inlineStr">
        <is>
          <t>Nao</t>
        </is>
      </c>
      <c r="AB1275" s="111" t="inlineStr">
        <is>
          <t>NAO_COMPUTADO</t>
        </is>
      </c>
      <c r="AC1275" s="112" t="inlineStr">
        <is>
          <t>Estrutura Fase 1: sem impacto no VTA oficial</t>
        </is>
      </c>
    </row>
    <row r="1276" ht="25.5" customHeight="1" s="289">
      <c r="A1276" s="205" t="n"/>
      <c r="B1276" s="207" t="n"/>
      <c r="C1276" s="104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348" t="n"/>
      <c r="E1276" s="349">
        <f>IF(C1276="","",IFERROR(VLOOKUP(C1276,parametros!$A$11:$E$15,5,0),""))</f>
        <v/>
      </c>
      <c r="F1276" s="335">
        <f>IF(OR(D1276="",E1276=""),"",ROUND(D1276*E1276,2))</f>
        <v/>
      </c>
      <c r="G1276" s="106" t="n"/>
      <c r="H1276" s="350">
        <f>IF(G1276="Sim",IF(OR(F1276="",D1276="",L1276=""),"",IF(L1276="Sim",ROUND(F1276-D1276,2),0)),0)</f>
        <v/>
      </c>
      <c r="I1276" s="350">
        <f>IF(G1276="Sim",0,IF(OR(F1276="",L1276=""),"",F1276))</f>
        <v/>
      </c>
      <c r="J1276" s="350">
        <f>IF(G1276="Sim",0,IF(OR(F1276="",D1276="",L1276=""),"",IF(L1276="Sim",ROUND(F1276-D1276,2),0)))</f>
        <v/>
      </c>
      <c r="K1276" s="97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inlineStr">
        <is>
          <t>Nao</t>
        </is>
      </c>
      <c r="W1276" s="110" t="inlineStr">
        <is>
          <t>PC em analise</t>
        </is>
      </c>
      <c r="X1276" s="110" t="inlineStr">
        <is>
          <t>Pedido de Compra</t>
        </is>
      </c>
      <c r="Y1276" s="111" t="inlineStr">
        <is>
          <t>Impacto Potencial</t>
        </is>
      </c>
      <c r="Z1276" s="111" t="inlineStr">
        <is>
          <t>PC</t>
        </is>
      </c>
      <c r="AA1276" s="111" t="inlineStr">
        <is>
          <t>Nao</t>
        </is>
      </c>
      <c r="AB1276" s="111" t="inlineStr">
        <is>
          <t>NAO_COMPUTADO</t>
        </is>
      </c>
      <c r="AC1276" s="112" t="inlineStr">
        <is>
          <t>Estrutura Fase 1: sem impacto no VTA oficial</t>
        </is>
      </c>
    </row>
    <row r="1277" ht="25.5" customHeight="1" s="289">
      <c r="A1277" s="205" t="n"/>
      <c r="B1277" s="207" t="n"/>
      <c r="C1277" s="104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348" t="n"/>
      <c r="E1277" s="349">
        <f>IF(C1277="","",IFERROR(VLOOKUP(C1277,parametros!$A$11:$E$15,5,0),""))</f>
        <v/>
      </c>
      <c r="F1277" s="335">
        <f>IF(OR(D1277="",E1277=""),"",ROUND(D1277*E1277,2))</f>
        <v/>
      </c>
      <c r="G1277" s="106" t="n"/>
      <c r="H1277" s="350">
        <f>IF(G1277="Sim",IF(OR(F1277="",D1277="",L1277=""),"",IF(L1277="Sim",ROUND(F1277-D1277,2),0)),0)</f>
        <v/>
      </c>
      <c r="I1277" s="350">
        <f>IF(G1277="Sim",0,IF(OR(F1277="",L1277=""),"",F1277))</f>
        <v/>
      </c>
      <c r="J1277" s="350">
        <f>IF(G1277="Sim",0,IF(OR(F1277="",D1277="",L1277=""),"",IF(L1277="Sim",ROUND(F1277-D1277,2),0)))</f>
        <v/>
      </c>
      <c r="K1277" s="97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inlineStr">
        <is>
          <t>Nao</t>
        </is>
      </c>
      <c r="W1277" s="110" t="inlineStr">
        <is>
          <t>PC em analise</t>
        </is>
      </c>
      <c r="X1277" s="110" t="inlineStr">
        <is>
          <t>Pedido de Compra</t>
        </is>
      </c>
      <c r="Y1277" s="111" t="inlineStr">
        <is>
          <t>Impacto Potencial</t>
        </is>
      </c>
      <c r="Z1277" s="111" t="inlineStr">
        <is>
          <t>PC</t>
        </is>
      </c>
      <c r="AA1277" s="111" t="inlineStr">
        <is>
          <t>Nao</t>
        </is>
      </c>
      <c r="AB1277" s="111" t="inlineStr">
        <is>
          <t>NAO_COMPUTADO</t>
        </is>
      </c>
      <c r="AC1277" s="112" t="inlineStr">
        <is>
          <t>Estrutura Fase 1: sem impacto no VTA oficial</t>
        </is>
      </c>
    </row>
    <row r="1278" ht="25.5" customHeight="1" s="289">
      <c r="A1278" s="205" t="n"/>
      <c r="B1278" s="207" t="n"/>
      <c r="C1278" s="104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348" t="n"/>
      <c r="E1278" s="349">
        <f>IF(C1278="","",IFERROR(VLOOKUP(C1278,parametros!$A$11:$E$15,5,0),""))</f>
        <v/>
      </c>
      <c r="F1278" s="335">
        <f>IF(OR(D1278="",E1278=""),"",ROUND(D1278*E1278,2))</f>
        <v/>
      </c>
      <c r="G1278" s="106" t="n"/>
      <c r="H1278" s="350">
        <f>IF(G1278="Sim",IF(OR(F1278="",D1278="",L1278=""),"",IF(L1278="Sim",ROUND(F1278-D1278,2),0)),0)</f>
        <v/>
      </c>
      <c r="I1278" s="350">
        <f>IF(G1278="Sim",0,IF(OR(F1278="",L1278=""),"",F1278))</f>
        <v/>
      </c>
      <c r="J1278" s="350">
        <f>IF(G1278="Sim",0,IF(OR(F1278="",D1278="",L1278=""),"",IF(L1278="Sim",ROUND(F1278-D1278,2),0)))</f>
        <v/>
      </c>
      <c r="K1278" s="97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inlineStr">
        <is>
          <t>Nao</t>
        </is>
      </c>
      <c r="W1278" s="110" t="inlineStr">
        <is>
          <t>PC em analise</t>
        </is>
      </c>
      <c r="X1278" s="110" t="inlineStr">
        <is>
          <t>Pedido de Compra</t>
        </is>
      </c>
      <c r="Y1278" s="111" t="inlineStr">
        <is>
          <t>Impacto Potencial</t>
        </is>
      </c>
      <c r="Z1278" s="111" t="inlineStr">
        <is>
          <t>PC</t>
        </is>
      </c>
      <c r="AA1278" s="111" t="inlineStr">
        <is>
          <t>Nao</t>
        </is>
      </c>
      <c r="AB1278" s="111" t="inlineStr">
        <is>
          <t>NAO_COMPUTADO</t>
        </is>
      </c>
      <c r="AC1278" s="112" t="inlineStr">
        <is>
          <t>Estrutura Fase 1: sem impacto no VTA oficial</t>
        </is>
      </c>
    </row>
    <row r="1279" ht="25.5" customHeight="1" s="289">
      <c r="A1279" s="205" t="n"/>
      <c r="B1279" s="207" t="n"/>
      <c r="C1279" s="104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348" t="n"/>
      <c r="E1279" s="349">
        <f>IF(C1279="","",IFERROR(VLOOKUP(C1279,parametros!$A$11:$E$15,5,0),""))</f>
        <v/>
      </c>
      <c r="F1279" s="335">
        <f>IF(OR(D1279="",E1279=""),"",ROUND(D1279*E1279,2))</f>
        <v/>
      </c>
      <c r="G1279" s="106" t="n"/>
      <c r="H1279" s="350">
        <f>IF(G1279="Sim",IF(OR(F1279="",D1279="",L1279=""),"",IF(L1279="Sim",ROUND(F1279-D1279,2),0)),0)</f>
        <v/>
      </c>
      <c r="I1279" s="350">
        <f>IF(G1279="Sim",0,IF(OR(F1279="",L1279=""),"",F1279))</f>
        <v/>
      </c>
      <c r="J1279" s="350">
        <f>IF(G1279="Sim",0,IF(OR(F1279="",D1279="",L1279=""),"",IF(L1279="Sim",ROUND(F1279-D1279,2),0)))</f>
        <v/>
      </c>
      <c r="K1279" s="97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inlineStr">
        <is>
          <t>Nao</t>
        </is>
      </c>
      <c r="W1279" s="110" t="inlineStr">
        <is>
          <t>PC em analise</t>
        </is>
      </c>
      <c r="X1279" s="110" t="inlineStr">
        <is>
          <t>Pedido de Compra</t>
        </is>
      </c>
      <c r="Y1279" s="111" t="inlineStr">
        <is>
          <t>Impacto Potencial</t>
        </is>
      </c>
      <c r="Z1279" s="111" t="inlineStr">
        <is>
          <t>PC</t>
        </is>
      </c>
      <c r="AA1279" s="111" t="inlineStr">
        <is>
          <t>Nao</t>
        </is>
      </c>
      <c r="AB1279" s="111" t="inlineStr">
        <is>
          <t>NAO_COMPUTADO</t>
        </is>
      </c>
      <c r="AC1279" s="112" t="inlineStr">
        <is>
          <t>Estrutura Fase 1: sem impacto no VTA oficial</t>
        </is>
      </c>
    </row>
    <row r="1280" ht="25.5" customHeight="1" s="289">
      <c r="A1280" s="205" t="n"/>
      <c r="B1280" s="207" t="n"/>
      <c r="C1280" s="104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348" t="n"/>
      <c r="E1280" s="349">
        <f>IF(C1280="","",IFERROR(VLOOKUP(C1280,parametros!$A$11:$E$15,5,0),""))</f>
        <v/>
      </c>
      <c r="F1280" s="335">
        <f>IF(OR(D1280="",E1280=""),"",ROUND(D1280*E1280,2))</f>
        <v/>
      </c>
      <c r="G1280" s="106" t="n"/>
      <c r="H1280" s="350">
        <f>IF(G1280="Sim",IF(OR(F1280="",D1280="",L1280=""),"",IF(L1280="Sim",ROUND(F1280-D1280,2),0)),0)</f>
        <v/>
      </c>
      <c r="I1280" s="350">
        <f>IF(G1280="Sim",0,IF(OR(F1280="",L1280=""),"",F1280))</f>
        <v/>
      </c>
      <c r="J1280" s="350">
        <f>IF(G1280="Sim",0,IF(OR(F1280="",D1280="",L1280=""),"",IF(L1280="Sim",ROUND(F1280-D1280,2),0)))</f>
        <v/>
      </c>
      <c r="K1280" s="97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inlineStr">
        <is>
          <t>Nao</t>
        </is>
      </c>
      <c r="W1280" s="110" t="inlineStr">
        <is>
          <t>PC em analise</t>
        </is>
      </c>
      <c r="X1280" s="110" t="inlineStr">
        <is>
          <t>Pedido de Compra</t>
        </is>
      </c>
      <c r="Y1280" s="111" t="inlineStr">
        <is>
          <t>Impacto Potencial</t>
        </is>
      </c>
      <c r="Z1280" s="111" t="inlineStr">
        <is>
          <t>PC</t>
        </is>
      </c>
      <c r="AA1280" s="111" t="inlineStr">
        <is>
          <t>Nao</t>
        </is>
      </c>
      <c r="AB1280" s="111" t="inlineStr">
        <is>
          <t>NAO_COMPUTADO</t>
        </is>
      </c>
      <c r="AC1280" s="112" t="inlineStr">
        <is>
          <t>Estrutura Fase 1: sem impacto no VTA oficial</t>
        </is>
      </c>
    </row>
    <row r="1281" ht="25.5" customHeight="1" s="289">
      <c r="A1281" s="205" t="n"/>
      <c r="B1281" s="207" t="n"/>
      <c r="C1281" s="104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348" t="n"/>
      <c r="E1281" s="349">
        <f>IF(C1281="","",IFERROR(VLOOKUP(C1281,parametros!$A$11:$E$15,5,0),""))</f>
        <v/>
      </c>
      <c r="F1281" s="335">
        <f>IF(OR(D1281="",E1281=""),"",ROUND(D1281*E1281,2))</f>
        <v/>
      </c>
      <c r="G1281" s="106" t="n"/>
      <c r="H1281" s="350">
        <f>IF(G1281="Sim",IF(OR(F1281="",D1281="",L1281=""),"",IF(L1281="Sim",ROUND(F1281-D1281,2),0)),0)</f>
        <v/>
      </c>
      <c r="I1281" s="350">
        <f>IF(G1281="Sim",0,IF(OR(F1281="",L1281=""),"",F1281))</f>
        <v/>
      </c>
      <c r="J1281" s="350">
        <f>IF(G1281="Sim",0,IF(OR(F1281="",D1281="",L1281=""),"",IF(L1281="Sim",ROUND(F1281-D1281,2),0)))</f>
        <v/>
      </c>
      <c r="K1281" s="97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inlineStr">
        <is>
          <t>Nao</t>
        </is>
      </c>
      <c r="W1281" s="110" t="inlineStr">
        <is>
          <t>PC em analise</t>
        </is>
      </c>
      <c r="X1281" s="110" t="inlineStr">
        <is>
          <t>Pedido de Compra</t>
        </is>
      </c>
      <c r="Y1281" s="111" t="inlineStr">
        <is>
          <t>Impacto Potencial</t>
        </is>
      </c>
      <c r="Z1281" s="111" t="inlineStr">
        <is>
          <t>PC</t>
        </is>
      </c>
      <c r="AA1281" s="111" t="inlineStr">
        <is>
          <t>Nao</t>
        </is>
      </c>
      <c r="AB1281" s="111" t="inlineStr">
        <is>
          <t>NAO_COMPUTADO</t>
        </is>
      </c>
      <c r="AC1281" s="112" t="inlineStr">
        <is>
          <t>Estrutura Fase 1: sem impacto no VTA oficial</t>
        </is>
      </c>
    </row>
    <row r="1282" ht="25.5" customHeight="1" s="289">
      <c r="A1282" s="205" t="n"/>
      <c r="B1282" s="207" t="n"/>
      <c r="C1282" s="104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348" t="n"/>
      <c r="E1282" s="349">
        <f>IF(C1282="","",IFERROR(VLOOKUP(C1282,parametros!$A$11:$E$15,5,0),""))</f>
        <v/>
      </c>
      <c r="F1282" s="335">
        <f>IF(OR(D1282="",E1282=""),"",ROUND(D1282*E1282,2))</f>
        <v/>
      </c>
      <c r="G1282" s="106" t="n"/>
      <c r="H1282" s="350">
        <f>IF(G1282="Sim",IF(OR(F1282="",D1282="",L1282=""),"",IF(L1282="Sim",ROUND(F1282-D1282,2),0)),0)</f>
        <v/>
      </c>
      <c r="I1282" s="350">
        <f>IF(G1282="Sim",0,IF(OR(F1282="",L1282=""),"",F1282))</f>
        <v/>
      </c>
      <c r="J1282" s="350">
        <f>IF(G1282="Sim",0,IF(OR(F1282="",D1282="",L1282=""),"",IF(L1282="Sim",ROUND(F1282-D1282,2),0)))</f>
        <v/>
      </c>
      <c r="K1282" s="97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inlineStr">
        <is>
          <t>Nao</t>
        </is>
      </c>
      <c r="W1282" s="110" t="inlineStr">
        <is>
          <t>PC em analise</t>
        </is>
      </c>
      <c r="X1282" s="110" t="inlineStr">
        <is>
          <t>Pedido de Compra</t>
        </is>
      </c>
      <c r="Y1282" s="111" t="inlineStr">
        <is>
          <t>Impacto Potencial</t>
        </is>
      </c>
      <c r="Z1282" s="111" t="inlineStr">
        <is>
          <t>PC</t>
        </is>
      </c>
      <c r="AA1282" s="111" t="inlineStr">
        <is>
          <t>Nao</t>
        </is>
      </c>
      <c r="AB1282" s="111" t="inlineStr">
        <is>
          <t>NAO_COMPUTADO</t>
        </is>
      </c>
      <c r="AC1282" s="112" t="inlineStr">
        <is>
          <t>Estrutura Fase 1: sem impacto no VTA oficial</t>
        </is>
      </c>
    </row>
    <row r="1283" ht="25.5" customHeight="1" s="289">
      <c r="A1283" s="205" t="n"/>
      <c r="B1283" s="207" t="n"/>
      <c r="C1283" s="104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348" t="n"/>
      <c r="E1283" s="349">
        <f>IF(C1283="","",IFERROR(VLOOKUP(C1283,parametros!$A$11:$E$15,5,0),""))</f>
        <v/>
      </c>
      <c r="F1283" s="335">
        <f>IF(OR(D1283="",E1283=""),"",ROUND(D1283*E1283,2))</f>
        <v/>
      </c>
      <c r="G1283" s="106" t="n"/>
      <c r="H1283" s="350">
        <f>IF(G1283="Sim",IF(OR(F1283="",D1283="",L1283=""),"",IF(L1283="Sim",ROUND(F1283-D1283,2),0)),0)</f>
        <v/>
      </c>
      <c r="I1283" s="350">
        <f>IF(G1283="Sim",0,IF(OR(F1283="",L1283=""),"",F1283))</f>
        <v/>
      </c>
      <c r="J1283" s="350">
        <f>IF(G1283="Sim",0,IF(OR(F1283="",D1283="",L1283=""),"",IF(L1283="Sim",ROUND(F1283-D1283,2),0)))</f>
        <v/>
      </c>
      <c r="K1283" s="97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inlineStr">
        <is>
          <t>Nao</t>
        </is>
      </c>
      <c r="W1283" s="110" t="inlineStr">
        <is>
          <t>PC em analise</t>
        </is>
      </c>
      <c r="X1283" s="110" t="inlineStr">
        <is>
          <t>Pedido de Compra</t>
        </is>
      </c>
      <c r="Y1283" s="111" t="inlineStr">
        <is>
          <t>Impacto Potencial</t>
        </is>
      </c>
      <c r="Z1283" s="111" t="inlineStr">
        <is>
          <t>PC</t>
        </is>
      </c>
      <c r="AA1283" s="111" t="inlineStr">
        <is>
          <t>Nao</t>
        </is>
      </c>
      <c r="AB1283" s="111" t="inlineStr">
        <is>
          <t>NAO_COMPUTADO</t>
        </is>
      </c>
      <c r="AC1283" s="112" t="inlineStr">
        <is>
          <t>Estrutura Fase 1: sem impacto no VTA oficial</t>
        </is>
      </c>
    </row>
    <row r="1284" ht="25.5" customHeight="1" s="289">
      <c r="A1284" s="205" t="n"/>
      <c r="B1284" s="207" t="n"/>
      <c r="C1284" s="104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348" t="n"/>
      <c r="E1284" s="349">
        <f>IF(C1284="","",IFERROR(VLOOKUP(C1284,parametros!$A$11:$E$15,5,0),""))</f>
        <v/>
      </c>
      <c r="F1284" s="335">
        <f>IF(OR(D1284="",E1284=""),"",ROUND(D1284*E1284,2))</f>
        <v/>
      </c>
      <c r="G1284" s="106" t="n"/>
      <c r="H1284" s="350">
        <f>IF(G1284="Sim",IF(OR(F1284="",D1284="",L1284=""),"",IF(L1284="Sim",ROUND(F1284-D1284,2),0)),0)</f>
        <v/>
      </c>
      <c r="I1284" s="350">
        <f>IF(G1284="Sim",0,IF(OR(F1284="",L1284=""),"",F1284))</f>
        <v/>
      </c>
      <c r="J1284" s="350">
        <f>IF(G1284="Sim",0,IF(OR(F1284="",D1284="",L1284=""),"",IF(L1284="Sim",ROUND(F1284-D1284,2),0)))</f>
        <v/>
      </c>
      <c r="K1284" s="97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inlineStr">
        <is>
          <t>Nao</t>
        </is>
      </c>
      <c r="W1284" s="110" t="inlineStr">
        <is>
          <t>PC em analise</t>
        </is>
      </c>
      <c r="X1284" s="110" t="inlineStr">
        <is>
          <t>Pedido de Compra</t>
        </is>
      </c>
      <c r="Y1284" s="111" t="inlineStr">
        <is>
          <t>Impacto Potencial</t>
        </is>
      </c>
      <c r="Z1284" s="111" t="inlineStr">
        <is>
          <t>PC</t>
        </is>
      </c>
      <c r="AA1284" s="111" t="inlineStr">
        <is>
          <t>Nao</t>
        </is>
      </c>
      <c r="AB1284" s="111" t="inlineStr">
        <is>
          <t>NAO_COMPUTADO</t>
        </is>
      </c>
      <c r="AC1284" s="112" t="inlineStr">
        <is>
          <t>Estrutura Fase 1: sem impacto no VTA oficial</t>
        </is>
      </c>
    </row>
    <row r="1285" ht="25.5" customHeight="1" s="289">
      <c r="A1285" s="205" t="n"/>
      <c r="B1285" s="207" t="n"/>
      <c r="C1285" s="104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348" t="n"/>
      <c r="E1285" s="349">
        <f>IF(C1285="","",IFERROR(VLOOKUP(C1285,parametros!$A$11:$E$15,5,0),""))</f>
        <v/>
      </c>
      <c r="F1285" s="335">
        <f>IF(OR(D1285="",E1285=""),"",ROUND(D1285*E1285,2))</f>
        <v/>
      </c>
      <c r="G1285" s="106" t="n"/>
      <c r="H1285" s="350">
        <f>IF(G1285="Sim",IF(OR(F1285="",D1285="",L1285=""),"",IF(L1285="Sim",ROUND(F1285-D1285,2),0)),0)</f>
        <v/>
      </c>
      <c r="I1285" s="350">
        <f>IF(G1285="Sim",0,IF(OR(F1285="",L1285=""),"",F1285))</f>
        <v/>
      </c>
      <c r="J1285" s="350">
        <f>IF(G1285="Sim",0,IF(OR(F1285="",D1285="",L1285=""),"",IF(L1285="Sim",ROUND(F1285-D1285,2),0)))</f>
        <v/>
      </c>
      <c r="K1285" s="97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inlineStr">
        <is>
          <t>Nao</t>
        </is>
      </c>
      <c r="W1285" s="110" t="inlineStr">
        <is>
          <t>PC em analise</t>
        </is>
      </c>
      <c r="X1285" s="110" t="inlineStr">
        <is>
          <t>Pedido de Compra</t>
        </is>
      </c>
      <c r="Y1285" s="111" t="inlineStr">
        <is>
          <t>Impacto Potencial</t>
        </is>
      </c>
      <c r="Z1285" s="111" t="inlineStr">
        <is>
          <t>PC</t>
        </is>
      </c>
      <c r="AA1285" s="111" t="inlineStr">
        <is>
          <t>Nao</t>
        </is>
      </c>
      <c r="AB1285" s="111" t="inlineStr">
        <is>
          <t>NAO_COMPUTADO</t>
        </is>
      </c>
      <c r="AC1285" s="112" t="inlineStr">
        <is>
          <t>Estrutura Fase 1: sem impacto no VTA oficial</t>
        </is>
      </c>
    </row>
    <row r="1286" ht="25.5" customHeight="1" s="289">
      <c r="A1286" s="205" t="n"/>
      <c r="B1286" s="207" t="n"/>
      <c r="C1286" s="104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348" t="n"/>
      <c r="E1286" s="349">
        <f>IF(C1286="","",IFERROR(VLOOKUP(C1286,parametros!$A$11:$E$15,5,0),""))</f>
        <v/>
      </c>
      <c r="F1286" s="335">
        <f>IF(OR(D1286="",E1286=""),"",ROUND(D1286*E1286,2))</f>
        <v/>
      </c>
      <c r="G1286" s="106" t="n"/>
      <c r="H1286" s="350">
        <f>IF(G1286="Sim",IF(OR(F1286="",D1286="",L1286=""),"",IF(L1286="Sim",ROUND(F1286-D1286,2),0)),0)</f>
        <v/>
      </c>
      <c r="I1286" s="350">
        <f>IF(G1286="Sim",0,IF(OR(F1286="",L1286=""),"",F1286))</f>
        <v/>
      </c>
      <c r="J1286" s="350">
        <f>IF(G1286="Sim",0,IF(OR(F1286="",D1286="",L1286=""),"",IF(L1286="Sim",ROUND(F1286-D1286,2),0)))</f>
        <v/>
      </c>
      <c r="K1286" s="97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inlineStr">
        <is>
          <t>Nao</t>
        </is>
      </c>
      <c r="W1286" s="110" t="inlineStr">
        <is>
          <t>PC em analise</t>
        </is>
      </c>
      <c r="X1286" s="110" t="inlineStr">
        <is>
          <t>Pedido de Compra</t>
        </is>
      </c>
      <c r="Y1286" s="111" t="inlineStr">
        <is>
          <t>Impacto Potencial</t>
        </is>
      </c>
      <c r="Z1286" s="111" t="inlineStr">
        <is>
          <t>PC</t>
        </is>
      </c>
      <c r="AA1286" s="111" t="inlineStr">
        <is>
          <t>Nao</t>
        </is>
      </c>
      <c r="AB1286" s="111" t="inlineStr">
        <is>
          <t>NAO_COMPUTADO</t>
        </is>
      </c>
      <c r="AC1286" s="112" t="inlineStr">
        <is>
          <t>Estrutura Fase 1: sem impacto no VTA oficial</t>
        </is>
      </c>
    </row>
    <row r="1287" ht="25.5" customHeight="1" s="289">
      <c r="A1287" s="205" t="n"/>
      <c r="B1287" s="207" t="n"/>
      <c r="C1287" s="104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348" t="n"/>
      <c r="E1287" s="349">
        <f>IF(C1287="","",IFERROR(VLOOKUP(C1287,parametros!$A$11:$E$15,5,0),""))</f>
        <v/>
      </c>
      <c r="F1287" s="335">
        <f>IF(OR(D1287="",E1287=""),"",ROUND(D1287*E1287,2))</f>
        <v/>
      </c>
      <c r="G1287" s="106" t="n"/>
      <c r="H1287" s="350">
        <f>IF(G1287="Sim",IF(OR(F1287="",D1287="",L1287=""),"",IF(L1287="Sim",ROUND(F1287-D1287,2),0)),0)</f>
        <v/>
      </c>
      <c r="I1287" s="350">
        <f>IF(G1287="Sim",0,IF(OR(F1287="",L1287=""),"",F1287))</f>
        <v/>
      </c>
      <c r="J1287" s="350">
        <f>IF(G1287="Sim",0,IF(OR(F1287="",D1287="",L1287=""),"",IF(L1287="Sim",ROUND(F1287-D1287,2),0)))</f>
        <v/>
      </c>
      <c r="K1287" s="97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inlineStr">
        <is>
          <t>Nao</t>
        </is>
      </c>
      <c r="W1287" s="110" t="inlineStr">
        <is>
          <t>PC em analise</t>
        </is>
      </c>
      <c r="X1287" s="110" t="inlineStr">
        <is>
          <t>Pedido de Compra</t>
        </is>
      </c>
      <c r="Y1287" s="111" t="inlineStr">
        <is>
          <t>Impacto Potencial</t>
        </is>
      </c>
      <c r="Z1287" s="111" t="inlineStr">
        <is>
          <t>PC</t>
        </is>
      </c>
      <c r="AA1287" s="111" t="inlineStr">
        <is>
          <t>Nao</t>
        </is>
      </c>
      <c r="AB1287" s="111" t="inlineStr">
        <is>
          <t>NAO_COMPUTADO</t>
        </is>
      </c>
      <c r="AC1287" s="112" t="inlineStr">
        <is>
          <t>Estrutura Fase 1: sem impacto no VTA oficial</t>
        </is>
      </c>
    </row>
    <row r="1288" ht="25.5" customHeight="1" s="289">
      <c r="A1288" s="205" t="n"/>
      <c r="B1288" s="207" t="n"/>
      <c r="C1288" s="104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348" t="n"/>
      <c r="E1288" s="349">
        <f>IF(C1288="","",IFERROR(VLOOKUP(C1288,parametros!$A$11:$E$15,5,0),""))</f>
        <v/>
      </c>
      <c r="F1288" s="335">
        <f>IF(OR(D1288="",E1288=""),"",ROUND(D1288*E1288,2))</f>
        <v/>
      </c>
      <c r="G1288" s="106" t="n"/>
      <c r="H1288" s="350">
        <f>IF(G1288="Sim",IF(OR(F1288="",D1288="",L1288=""),"",IF(L1288="Sim",ROUND(F1288-D1288,2),0)),0)</f>
        <v/>
      </c>
      <c r="I1288" s="350">
        <f>IF(G1288="Sim",0,IF(OR(F1288="",L1288=""),"",F1288))</f>
        <v/>
      </c>
      <c r="J1288" s="350">
        <f>IF(G1288="Sim",0,IF(OR(F1288="",D1288="",L1288=""),"",IF(L1288="Sim",ROUND(F1288-D1288,2),0)))</f>
        <v/>
      </c>
      <c r="K1288" s="97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inlineStr">
        <is>
          <t>Nao</t>
        </is>
      </c>
      <c r="W1288" s="110" t="inlineStr">
        <is>
          <t>PC em analise</t>
        </is>
      </c>
      <c r="X1288" s="110" t="inlineStr">
        <is>
          <t>Pedido de Compra</t>
        </is>
      </c>
      <c r="Y1288" s="111" t="inlineStr">
        <is>
          <t>Impacto Potencial</t>
        </is>
      </c>
      <c r="Z1288" s="111" t="inlineStr">
        <is>
          <t>PC</t>
        </is>
      </c>
      <c r="AA1288" s="111" t="inlineStr">
        <is>
          <t>Nao</t>
        </is>
      </c>
      <c r="AB1288" s="111" t="inlineStr">
        <is>
          <t>NAO_COMPUTADO</t>
        </is>
      </c>
      <c r="AC1288" s="112" t="inlineStr">
        <is>
          <t>Estrutura Fase 1: sem impacto no VTA oficial</t>
        </is>
      </c>
    </row>
    <row r="1289" ht="25.5" customHeight="1" s="289">
      <c r="A1289" s="205" t="n"/>
      <c r="B1289" s="207" t="n"/>
      <c r="C1289" s="104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348" t="n"/>
      <c r="E1289" s="349">
        <f>IF(C1289="","",IFERROR(VLOOKUP(C1289,parametros!$A$11:$E$15,5,0),""))</f>
        <v/>
      </c>
      <c r="F1289" s="335">
        <f>IF(OR(D1289="",E1289=""),"",ROUND(D1289*E1289,2))</f>
        <v/>
      </c>
      <c r="G1289" s="106" t="n"/>
      <c r="H1289" s="350">
        <f>IF(G1289="Sim",IF(OR(F1289="",D1289="",L1289=""),"",IF(L1289="Sim",ROUND(F1289-D1289,2),0)),0)</f>
        <v/>
      </c>
      <c r="I1289" s="350">
        <f>IF(G1289="Sim",0,IF(OR(F1289="",L1289=""),"",F1289))</f>
        <v/>
      </c>
      <c r="J1289" s="350">
        <f>IF(G1289="Sim",0,IF(OR(F1289="",D1289="",L1289=""),"",IF(L1289="Sim",ROUND(F1289-D1289,2),0)))</f>
        <v/>
      </c>
      <c r="K1289" s="97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inlineStr">
        <is>
          <t>Nao</t>
        </is>
      </c>
      <c r="W1289" s="110" t="inlineStr">
        <is>
          <t>PC em analise</t>
        </is>
      </c>
      <c r="X1289" s="110" t="inlineStr">
        <is>
          <t>Pedido de Compra</t>
        </is>
      </c>
      <c r="Y1289" s="111" t="inlineStr">
        <is>
          <t>Impacto Potencial</t>
        </is>
      </c>
      <c r="Z1289" s="111" t="inlineStr">
        <is>
          <t>PC</t>
        </is>
      </c>
      <c r="AA1289" s="111" t="inlineStr">
        <is>
          <t>Nao</t>
        </is>
      </c>
      <c r="AB1289" s="111" t="inlineStr">
        <is>
          <t>NAO_COMPUTADO</t>
        </is>
      </c>
      <c r="AC1289" s="112" t="inlineStr">
        <is>
          <t>Estrutura Fase 1: sem impacto no VTA oficial</t>
        </is>
      </c>
    </row>
    <row r="1290" ht="25.5" customHeight="1" s="289">
      <c r="A1290" s="205" t="n"/>
      <c r="B1290" s="207" t="n"/>
      <c r="C1290" s="104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348" t="n"/>
      <c r="E1290" s="349">
        <f>IF(C1290="","",IFERROR(VLOOKUP(C1290,parametros!$A$11:$E$15,5,0),""))</f>
        <v/>
      </c>
      <c r="F1290" s="335">
        <f>IF(OR(D1290="",E1290=""),"",ROUND(D1290*E1290,2))</f>
        <v/>
      </c>
      <c r="G1290" s="106" t="n"/>
      <c r="H1290" s="350">
        <f>IF(G1290="Sim",IF(OR(F1290="",D1290="",L1290=""),"",IF(L1290="Sim",ROUND(F1290-D1290,2),0)),0)</f>
        <v/>
      </c>
      <c r="I1290" s="350">
        <f>IF(G1290="Sim",0,IF(OR(F1290="",L1290=""),"",F1290))</f>
        <v/>
      </c>
      <c r="J1290" s="350">
        <f>IF(G1290="Sim",0,IF(OR(F1290="",D1290="",L1290=""),"",IF(L1290="Sim",ROUND(F1290-D1290,2),0)))</f>
        <v/>
      </c>
      <c r="K1290" s="97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inlineStr">
        <is>
          <t>Nao</t>
        </is>
      </c>
      <c r="W1290" s="110" t="inlineStr">
        <is>
          <t>PC em analise</t>
        </is>
      </c>
      <c r="X1290" s="110" t="inlineStr">
        <is>
          <t>Pedido de Compra</t>
        </is>
      </c>
      <c r="Y1290" s="111" t="inlineStr">
        <is>
          <t>Impacto Potencial</t>
        </is>
      </c>
      <c r="Z1290" s="111" t="inlineStr">
        <is>
          <t>PC</t>
        </is>
      </c>
      <c r="AA1290" s="111" t="inlineStr">
        <is>
          <t>Nao</t>
        </is>
      </c>
      <c r="AB1290" s="111" t="inlineStr">
        <is>
          <t>NAO_COMPUTADO</t>
        </is>
      </c>
      <c r="AC1290" s="112" t="inlineStr">
        <is>
          <t>Estrutura Fase 1: sem impacto no VTA oficial</t>
        </is>
      </c>
    </row>
    <row r="1291" ht="25.5" customHeight="1" s="289">
      <c r="A1291" s="205" t="n"/>
      <c r="B1291" s="207" t="n"/>
      <c r="C1291" s="104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348" t="n"/>
      <c r="E1291" s="349">
        <f>IF(C1291="","",IFERROR(VLOOKUP(C1291,parametros!$A$11:$E$15,5,0),""))</f>
        <v/>
      </c>
      <c r="F1291" s="335">
        <f>IF(OR(D1291="",E1291=""),"",ROUND(D1291*E1291,2))</f>
        <v/>
      </c>
      <c r="G1291" s="106" t="n"/>
      <c r="H1291" s="350">
        <f>IF(G1291="Sim",IF(OR(F1291="",D1291="",L1291=""),"",IF(L1291="Sim",ROUND(F1291-D1291,2),0)),0)</f>
        <v/>
      </c>
      <c r="I1291" s="350">
        <f>IF(G1291="Sim",0,IF(OR(F1291="",L1291=""),"",F1291))</f>
        <v/>
      </c>
      <c r="J1291" s="350">
        <f>IF(G1291="Sim",0,IF(OR(F1291="",D1291="",L1291=""),"",IF(L1291="Sim",ROUND(F1291-D1291,2),0)))</f>
        <v/>
      </c>
      <c r="K1291" s="97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inlineStr">
        <is>
          <t>Nao</t>
        </is>
      </c>
      <c r="W1291" s="110" t="inlineStr">
        <is>
          <t>PC em analise</t>
        </is>
      </c>
      <c r="X1291" s="110" t="inlineStr">
        <is>
          <t>Pedido de Compra</t>
        </is>
      </c>
      <c r="Y1291" s="111" t="inlineStr">
        <is>
          <t>Impacto Potencial</t>
        </is>
      </c>
      <c r="Z1291" s="111" t="inlineStr">
        <is>
          <t>PC</t>
        </is>
      </c>
      <c r="AA1291" s="111" t="inlineStr">
        <is>
          <t>Nao</t>
        </is>
      </c>
      <c r="AB1291" s="111" t="inlineStr">
        <is>
          <t>NAO_COMPUTADO</t>
        </is>
      </c>
      <c r="AC1291" s="112" t="inlineStr">
        <is>
          <t>Estrutura Fase 1: sem impacto no VTA oficial</t>
        </is>
      </c>
    </row>
    <row r="1292" ht="25.5" customHeight="1" s="289">
      <c r="A1292" s="205" t="n"/>
      <c r="B1292" s="207" t="n"/>
      <c r="C1292" s="104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348" t="n"/>
      <c r="E1292" s="349">
        <f>IF(C1292="","",IFERROR(VLOOKUP(C1292,parametros!$A$11:$E$15,5,0),""))</f>
        <v/>
      </c>
      <c r="F1292" s="335">
        <f>IF(OR(D1292="",E1292=""),"",ROUND(D1292*E1292,2))</f>
        <v/>
      </c>
      <c r="G1292" s="106" t="n"/>
      <c r="H1292" s="350">
        <f>IF(G1292="Sim",IF(OR(F1292="",D1292="",L1292=""),"",IF(L1292="Sim",ROUND(F1292-D1292,2),0)),0)</f>
        <v/>
      </c>
      <c r="I1292" s="350">
        <f>IF(G1292="Sim",0,IF(OR(F1292="",L1292=""),"",F1292))</f>
        <v/>
      </c>
      <c r="J1292" s="350">
        <f>IF(G1292="Sim",0,IF(OR(F1292="",D1292="",L1292=""),"",IF(L1292="Sim",ROUND(F1292-D1292,2),0)))</f>
        <v/>
      </c>
      <c r="K1292" s="97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inlineStr">
        <is>
          <t>Nao</t>
        </is>
      </c>
      <c r="W1292" s="110" t="inlineStr">
        <is>
          <t>PC em analise</t>
        </is>
      </c>
      <c r="X1292" s="110" t="inlineStr">
        <is>
          <t>Pedido de Compra</t>
        </is>
      </c>
      <c r="Y1292" s="111" t="inlineStr">
        <is>
          <t>Impacto Potencial</t>
        </is>
      </c>
      <c r="Z1292" s="111" t="inlineStr">
        <is>
          <t>PC</t>
        </is>
      </c>
      <c r="AA1292" s="111" t="inlineStr">
        <is>
          <t>Nao</t>
        </is>
      </c>
      <c r="AB1292" s="111" t="inlineStr">
        <is>
          <t>NAO_COMPUTADO</t>
        </is>
      </c>
      <c r="AC1292" s="112" t="inlineStr">
        <is>
          <t>Estrutura Fase 1: sem impacto no VTA oficial</t>
        </is>
      </c>
    </row>
    <row r="1293" ht="25.5" customHeight="1" s="289">
      <c r="A1293" s="205" t="n"/>
      <c r="B1293" s="207" t="n"/>
      <c r="C1293" s="104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348" t="n"/>
      <c r="E1293" s="349">
        <f>IF(C1293="","",IFERROR(VLOOKUP(C1293,parametros!$A$11:$E$15,5,0),""))</f>
        <v/>
      </c>
      <c r="F1293" s="335">
        <f>IF(OR(D1293="",E1293=""),"",ROUND(D1293*E1293,2))</f>
        <v/>
      </c>
      <c r="G1293" s="106" t="n"/>
      <c r="H1293" s="350">
        <f>IF(G1293="Sim",IF(OR(F1293="",D1293="",L1293=""),"",IF(L1293="Sim",ROUND(F1293-D1293,2),0)),0)</f>
        <v/>
      </c>
      <c r="I1293" s="350">
        <f>IF(G1293="Sim",0,IF(OR(F1293="",L1293=""),"",F1293))</f>
        <v/>
      </c>
      <c r="J1293" s="350">
        <f>IF(G1293="Sim",0,IF(OR(F1293="",D1293="",L1293=""),"",IF(L1293="Sim",ROUND(F1293-D1293,2),0)))</f>
        <v/>
      </c>
      <c r="K1293" s="97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inlineStr">
        <is>
          <t>Nao</t>
        </is>
      </c>
      <c r="W1293" s="110" t="inlineStr">
        <is>
          <t>PC em analise</t>
        </is>
      </c>
      <c r="X1293" s="110" t="inlineStr">
        <is>
          <t>Pedido de Compra</t>
        </is>
      </c>
      <c r="Y1293" s="111" t="inlineStr">
        <is>
          <t>Impacto Potencial</t>
        </is>
      </c>
      <c r="Z1293" s="111" t="inlineStr">
        <is>
          <t>PC</t>
        </is>
      </c>
      <c r="AA1293" s="111" t="inlineStr">
        <is>
          <t>Nao</t>
        </is>
      </c>
      <c r="AB1293" s="111" t="inlineStr">
        <is>
          <t>NAO_COMPUTADO</t>
        </is>
      </c>
      <c r="AC1293" s="112" t="inlineStr">
        <is>
          <t>Estrutura Fase 1: sem impacto no VTA oficial</t>
        </is>
      </c>
    </row>
    <row r="1294" ht="25.5" customHeight="1" s="289">
      <c r="A1294" s="205" t="n"/>
      <c r="B1294" s="207" t="n"/>
      <c r="C1294" s="104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348" t="n"/>
      <c r="E1294" s="349">
        <f>IF(C1294="","",IFERROR(VLOOKUP(C1294,parametros!$A$11:$E$15,5,0),""))</f>
        <v/>
      </c>
      <c r="F1294" s="335">
        <f>IF(OR(D1294="",E1294=""),"",ROUND(D1294*E1294,2))</f>
        <v/>
      </c>
      <c r="G1294" s="106" t="n"/>
      <c r="H1294" s="350">
        <f>IF(G1294="Sim",IF(OR(F1294="",D1294="",L1294=""),"",IF(L1294="Sim",ROUND(F1294-D1294,2),0)),0)</f>
        <v/>
      </c>
      <c r="I1294" s="350">
        <f>IF(G1294="Sim",0,IF(OR(F1294="",L1294=""),"",F1294))</f>
        <v/>
      </c>
      <c r="J1294" s="350">
        <f>IF(G1294="Sim",0,IF(OR(F1294="",D1294="",L1294=""),"",IF(L1294="Sim",ROUND(F1294-D1294,2),0)))</f>
        <v/>
      </c>
      <c r="K1294" s="97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inlineStr">
        <is>
          <t>Nao</t>
        </is>
      </c>
      <c r="W1294" s="110" t="inlineStr">
        <is>
          <t>PC em analise</t>
        </is>
      </c>
      <c r="X1294" s="110" t="inlineStr">
        <is>
          <t>Pedido de Compra</t>
        </is>
      </c>
      <c r="Y1294" s="111" t="inlineStr">
        <is>
          <t>Impacto Potencial</t>
        </is>
      </c>
      <c r="Z1294" s="111" t="inlineStr">
        <is>
          <t>PC</t>
        </is>
      </c>
      <c r="AA1294" s="111" t="inlineStr">
        <is>
          <t>Nao</t>
        </is>
      </c>
      <c r="AB1294" s="111" t="inlineStr">
        <is>
          <t>NAO_COMPUTADO</t>
        </is>
      </c>
      <c r="AC1294" s="112" t="inlineStr">
        <is>
          <t>Estrutura Fase 1: sem impacto no VTA oficial</t>
        </is>
      </c>
    </row>
    <row r="1295" ht="25.5" customHeight="1" s="289">
      <c r="A1295" s="205" t="n"/>
      <c r="B1295" s="207" t="n"/>
      <c r="C1295" s="104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348" t="n"/>
      <c r="E1295" s="349">
        <f>IF(C1295="","",IFERROR(VLOOKUP(C1295,parametros!$A$11:$E$15,5,0),""))</f>
        <v/>
      </c>
      <c r="F1295" s="335">
        <f>IF(OR(D1295="",E1295=""),"",ROUND(D1295*E1295,2))</f>
        <v/>
      </c>
      <c r="G1295" s="106" t="n"/>
      <c r="H1295" s="350">
        <f>IF(G1295="Sim",IF(OR(F1295="",D1295="",L1295=""),"",IF(L1295="Sim",ROUND(F1295-D1295,2),0)),0)</f>
        <v/>
      </c>
      <c r="I1295" s="350">
        <f>IF(G1295="Sim",0,IF(OR(F1295="",L1295=""),"",F1295))</f>
        <v/>
      </c>
      <c r="J1295" s="350">
        <f>IF(G1295="Sim",0,IF(OR(F1295="",D1295="",L1295=""),"",IF(L1295="Sim",ROUND(F1295-D1295,2),0)))</f>
        <v/>
      </c>
      <c r="K1295" s="97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inlineStr">
        <is>
          <t>Nao</t>
        </is>
      </c>
      <c r="W1295" s="110" t="inlineStr">
        <is>
          <t>PC em analise</t>
        </is>
      </c>
      <c r="X1295" s="110" t="inlineStr">
        <is>
          <t>Pedido de Compra</t>
        </is>
      </c>
      <c r="Y1295" s="111" t="inlineStr">
        <is>
          <t>Impacto Potencial</t>
        </is>
      </c>
      <c r="Z1295" s="111" t="inlineStr">
        <is>
          <t>PC</t>
        </is>
      </c>
      <c r="AA1295" s="111" t="inlineStr">
        <is>
          <t>Nao</t>
        </is>
      </c>
      <c r="AB1295" s="111" t="inlineStr">
        <is>
          <t>NAO_COMPUTADO</t>
        </is>
      </c>
      <c r="AC1295" s="112" t="inlineStr">
        <is>
          <t>Estrutura Fase 1: sem impacto no VTA oficial</t>
        </is>
      </c>
    </row>
    <row r="1296" ht="25.5" customHeight="1" s="289">
      <c r="A1296" s="205" t="n"/>
      <c r="B1296" s="207" t="n"/>
      <c r="C1296" s="104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348" t="n"/>
      <c r="E1296" s="349">
        <f>IF(C1296="","",IFERROR(VLOOKUP(C1296,parametros!$A$11:$E$15,5,0),""))</f>
        <v/>
      </c>
      <c r="F1296" s="335">
        <f>IF(OR(D1296="",E1296=""),"",ROUND(D1296*E1296,2))</f>
        <v/>
      </c>
      <c r="G1296" s="106" t="n"/>
      <c r="H1296" s="350">
        <f>IF(G1296="Sim",IF(OR(F1296="",D1296="",L1296=""),"",IF(L1296="Sim",ROUND(F1296-D1296,2),0)),0)</f>
        <v/>
      </c>
      <c r="I1296" s="350">
        <f>IF(G1296="Sim",0,IF(OR(F1296="",L1296=""),"",F1296))</f>
        <v/>
      </c>
      <c r="J1296" s="350">
        <f>IF(G1296="Sim",0,IF(OR(F1296="",D1296="",L1296=""),"",IF(L1296="Sim",ROUND(F1296-D1296,2),0)))</f>
        <v/>
      </c>
      <c r="K1296" s="97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inlineStr">
        <is>
          <t>Nao</t>
        </is>
      </c>
      <c r="W1296" s="110" t="inlineStr">
        <is>
          <t>PC em analise</t>
        </is>
      </c>
      <c r="X1296" s="110" t="inlineStr">
        <is>
          <t>Pedido de Compra</t>
        </is>
      </c>
      <c r="Y1296" s="111" t="inlineStr">
        <is>
          <t>Impacto Potencial</t>
        </is>
      </c>
      <c r="Z1296" s="111" t="inlineStr">
        <is>
          <t>PC</t>
        </is>
      </c>
      <c r="AA1296" s="111" t="inlineStr">
        <is>
          <t>Nao</t>
        </is>
      </c>
      <c r="AB1296" s="111" t="inlineStr">
        <is>
          <t>NAO_COMPUTADO</t>
        </is>
      </c>
      <c r="AC1296" s="112" t="inlineStr">
        <is>
          <t>Estrutura Fase 1: sem impacto no VTA oficial</t>
        </is>
      </c>
    </row>
    <row r="1297" ht="25.5" customHeight="1" s="289">
      <c r="A1297" s="205" t="n"/>
      <c r="B1297" s="207" t="n"/>
      <c r="C1297" s="104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348" t="n"/>
      <c r="E1297" s="349">
        <f>IF(C1297="","",IFERROR(VLOOKUP(C1297,parametros!$A$11:$E$15,5,0),""))</f>
        <v/>
      </c>
      <c r="F1297" s="335">
        <f>IF(OR(D1297="",E1297=""),"",ROUND(D1297*E1297,2))</f>
        <v/>
      </c>
      <c r="G1297" s="106" t="n"/>
      <c r="H1297" s="350">
        <f>IF(G1297="Sim",IF(OR(F1297="",D1297="",L1297=""),"",IF(L1297="Sim",ROUND(F1297-D1297,2),0)),0)</f>
        <v/>
      </c>
      <c r="I1297" s="350">
        <f>IF(G1297="Sim",0,IF(OR(F1297="",L1297=""),"",F1297))</f>
        <v/>
      </c>
      <c r="J1297" s="350">
        <f>IF(G1297="Sim",0,IF(OR(F1297="",D1297="",L1297=""),"",IF(L1297="Sim",ROUND(F1297-D1297,2),0)))</f>
        <v/>
      </c>
      <c r="K1297" s="97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inlineStr">
        <is>
          <t>Nao</t>
        </is>
      </c>
      <c r="W1297" s="110" t="inlineStr">
        <is>
          <t>PC em analise</t>
        </is>
      </c>
      <c r="X1297" s="110" t="inlineStr">
        <is>
          <t>Pedido de Compra</t>
        </is>
      </c>
      <c r="Y1297" s="111" t="inlineStr">
        <is>
          <t>Impacto Potencial</t>
        </is>
      </c>
      <c r="Z1297" s="111" t="inlineStr">
        <is>
          <t>PC</t>
        </is>
      </c>
      <c r="AA1297" s="111" t="inlineStr">
        <is>
          <t>Nao</t>
        </is>
      </c>
      <c r="AB1297" s="111" t="inlineStr">
        <is>
          <t>NAO_COMPUTADO</t>
        </is>
      </c>
      <c r="AC1297" s="112" t="inlineStr">
        <is>
          <t>Estrutura Fase 1: sem impacto no VTA oficial</t>
        </is>
      </c>
    </row>
    <row r="1298" ht="25.5" customHeight="1" s="289">
      <c r="A1298" s="205" t="n"/>
      <c r="B1298" s="207" t="n"/>
      <c r="C1298" s="104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348" t="n"/>
      <c r="E1298" s="349">
        <f>IF(C1298="","",IFERROR(VLOOKUP(C1298,parametros!$A$11:$E$15,5,0),""))</f>
        <v/>
      </c>
      <c r="F1298" s="335">
        <f>IF(OR(D1298="",E1298=""),"",ROUND(D1298*E1298,2))</f>
        <v/>
      </c>
      <c r="G1298" s="106" t="n"/>
      <c r="H1298" s="350">
        <f>IF(G1298="Sim",IF(OR(F1298="",D1298="",L1298=""),"",IF(L1298="Sim",ROUND(F1298-D1298,2),0)),0)</f>
        <v/>
      </c>
      <c r="I1298" s="350">
        <f>IF(G1298="Sim",0,IF(OR(F1298="",L1298=""),"",F1298))</f>
        <v/>
      </c>
      <c r="J1298" s="350">
        <f>IF(G1298="Sim",0,IF(OR(F1298="",D1298="",L1298=""),"",IF(L1298="Sim",ROUND(F1298-D1298,2),0)))</f>
        <v/>
      </c>
      <c r="K1298" s="97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inlineStr">
        <is>
          <t>Nao</t>
        </is>
      </c>
      <c r="W1298" s="110" t="inlineStr">
        <is>
          <t>PC em analise</t>
        </is>
      </c>
      <c r="X1298" s="110" t="inlineStr">
        <is>
          <t>Pedido de Compra</t>
        </is>
      </c>
      <c r="Y1298" s="111" t="inlineStr">
        <is>
          <t>Impacto Potencial</t>
        </is>
      </c>
      <c r="Z1298" s="111" t="inlineStr">
        <is>
          <t>PC</t>
        </is>
      </c>
      <c r="AA1298" s="111" t="inlineStr">
        <is>
          <t>Nao</t>
        </is>
      </c>
      <c r="AB1298" s="111" t="inlineStr">
        <is>
          <t>NAO_COMPUTADO</t>
        </is>
      </c>
      <c r="AC1298" s="112" t="inlineStr">
        <is>
          <t>Estrutura Fase 1: sem impacto no VTA oficial</t>
        </is>
      </c>
    </row>
    <row r="1299" ht="25.5" customHeight="1" s="289">
      <c r="A1299" s="205" t="n"/>
      <c r="B1299" s="207" t="n"/>
      <c r="C1299" s="104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348" t="n"/>
      <c r="E1299" s="349">
        <f>IF(C1299="","",IFERROR(VLOOKUP(C1299,parametros!$A$11:$E$15,5,0),""))</f>
        <v/>
      </c>
      <c r="F1299" s="335">
        <f>IF(OR(D1299="",E1299=""),"",ROUND(D1299*E1299,2))</f>
        <v/>
      </c>
      <c r="G1299" s="106" t="n"/>
      <c r="H1299" s="350">
        <f>IF(G1299="Sim",IF(OR(F1299="",D1299="",L1299=""),"",IF(L1299="Sim",ROUND(F1299-D1299,2),0)),0)</f>
        <v/>
      </c>
      <c r="I1299" s="350">
        <f>IF(G1299="Sim",0,IF(OR(F1299="",L1299=""),"",F1299))</f>
        <v/>
      </c>
      <c r="J1299" s="350">
        <f>IF(G1299="Sim",0,IF(OR(F1299="",D1299="",L1299=""),"",IF(L1299="Sim",ROUND(F1299-D1299,2),0)))</f>
        <v/>
      </c>
      <c r="K1299" s="97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inlineStr">
        <is>
          <t>Nao</t>
        </is>
      </c>
      <c r="W1299" s="110" t="inlineStr">
        <is>
          <t>PC em analise</t>
        </is>
      </c>
      <c r="X1299" s="110" t="inlineStr">
        <is>
          <t>Pedido de Compra</t>
        </is>
      </c>
      <c r="Y1299" s="111" t="inlineStr">
        <is>
          <t>Impacto Potencial</t>
        </is>
      </c>
      <c r="Z1299" s="111" t="inlineStr">
        <is>
          <t>PC</t>
        </is>
      </c>
      <c r="AA1299" s="111" t="inlineStr">
        <is>
          <t>Nao</t>
        </is>
      </c>
      <c r="AB1299" s="111" t="inlineStr">
        <is>
          <t>NAO_COMPUTADO</t>
        </is>
      </c>
      <c r="AC1299" s="112" t="inlineStr">
        <is>
          <t>Estrutura Fase 1: sem impacto no VTA oficial</t>
        </is>
      </c>
    </row>
    <row r="1300" ht="25.5" customHeight="1" s="289">
      <c r="A1300" s="205" t="n"/>
      <c r="B1300" s="207" t="n"/>
      <c r="C1300" s="104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348" t="n"/>
      <c r="E1300" s="349">
        <f>IF(C1300="","",IFERROR(VLOOKUP(C1300,parametros!$A$11:$E$15,5,0),""))</f>
        <v/>
      </c>
      <c r="F1300" s="335">
        <f>IF(OR(D1300="",E1300=""),"",ROUND(D1300*E1300,2))</f>
        <v/>
      </c>
      <c r="G1300" s="106" t="n"/>
      <c r="H1300" s="350">
        <f>IF(G1300="Sim",IF(OR(F1300="",D1300="",L1300=""),"",IF(L1300="Sim",ROUND(F1300-D1300,2),0)),0)</f>
        <v/>
      </c>
      <c r="I1300" s="350">
        <f>IF(G1300="Sim",0,IF(OR(F1300="",L1300=""),"",F1300))</f>
        <v/>
      </c>
      <c r="J1300" s="350">
        <f>IF(G1300="Sim",0,IF(OR(F1300="",D1300="",L1300=""),"",IF(L1300="Sim",ROUND(F1300-D1300,2),0)))</f>
        <v/>
      </c>
      <c r="K1300" s="97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inlineStr">
        <is>
          <t>Nao</t>
        </is>
      </c>
      <c r="W1300" s="110" t="inlineStr">
        <is>
          <t>PC em analise</t>
        </is>
      </c>
      <c r="X1300" s="110" t="inlineStr">
        <is>
          <t>Pedido de Compra</t>
        </is>
      </c>
      <c r="Y1300" s="111" t="inlineStr">
        <is>
          <t>Impacto Potencial</t>
        </is>
      </c>
      <c r="Z1300" s="111" t="inlineStr">
        <is>
          <t>PC</t>
        </is>
      </c>
      <c r="AA1300" s="111" t="inlineStr">
        <is>
          <t>Nao</t>
        </is>
      </c>
      <c r="AB1300" s="111" t="inlineStr">
        <is>
          <t>NAO_COMPUTADO</t>
        </is>
      </c>
      <c r="AC1300" s="112" t="inlineStr">
        <is>
          <t>Estrutura Fase 1: sem impacto no VTA oficial</t>
        </is>
      </c>
    </row>
    <row r="1301" ht="25.5" customHeight="1" s="289">
      <c r="A1301" s="205" t="n"/>
      <c r="B1301" s="207" t="n"/>
      <c r="C1301" s="104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348" t="n"/>
      <c r="E1301" s="349">
        <f>IF(C1301="","",IFERROR(VLOOKUP(C1301,parametros!$A$11:$E$15,5,0),""))</f>
        <v/>
      </c>
      <c r="F1301" s="335">
        <f>IF(OR(D1301="",E1301=""),"",ROUND(D1301*E1301,2))</f>
        <v/>
      </c>
      <c r="G1301" s="106" t="n"/>
      <c r="H1301" s="350">
        <f>IF(G1301="Sim",IF(OR(F1301="",D1301="",L1301=""),"",IF(L1301="Sim",ROUND(F1301-D1301,2),0)),0)</f>
        <v/>
      </c>
      <c r="I1301" s="350">
        <f>IF(G1301="Sim",0,IF(OR(F1301="",L1301=""),"",F1301))</f>
        <v/>
      </c>
      <c r="J1301" s="350">
        <f>IF(G1301="Sim",0,IF(OR(F1301="",D1301="",L1301=""),"",IF(L1301="Sim",ROUND(F1301-D1301,2),0)))</f>
        <v/>
      </c>
      <c r="K1301" s="97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inlineStr">
        <is>
          <t>Nao</t>
        </is>
      </c>
      <c r="W1301" s="110" t="inlineStr">
        <is>
          <t>PC em analise</t>
        </is>
      </c>
      <c r="X1301" s="110" t="inlineStr">
        <is>
          <t>Pedido de Compra</t>
        </is>
      </c>
      <c r="Y1301" s="111" t="inlineStr">
        <is>
          <t>Impacto Potencial</t>
        </is>
      </c>
      <c r="Z1301" s="111" t="inlineStr">
        <is>
          <t>PC</t>
        </is>
      </c>
      <c r="AA1301" s="111" t="inlineStr">
        <is>
          <t>Nao</t>
        </is>
      </c>
      <c r="AB1301" s="111" t="inlineStr">
        <is>
          <t>NAO_COMPUTADO</t>
        </is>
      </c>
      <c r="AC1301" s="112" t="inlineStr">
        <is>
          <t>Estrutura Fase 1: sem impacto no VTA oficial</t>
        </is>
      </c>
    </row>
    <row r="1302" ht="25.5" customHeight="1" s="289">
      <c r="A1302" s="205" t="n"/>
      <c r="B1302" s="207" t="n"/>
      <c r="C1302" s="104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348" t="n"/>
      <c r="E1302" s="349">
        <f>IF(C1302="","",IFERROR(VLOOKUP(C1302,parametros!$A$11:$E$15,5,0),""))</f>
        <v/>
      </c>
      <c r="F1302" s="335">
        <f>IF(OR(D1302="",E1302=""),"",ROUND(D1302*E1302,2))</f>
        <v/>
      </c>
      <c r="G1302" s="106" t="n"/>
      <c r="H1302" s="350">
        <f>IF(G1302="Sim",IF(OR(F1302="",D1302="",L1302=""),"",IF(L1302="Sim",ROUND(F1302-D1302,2),0)),0)</f>
        <v/>
      </c>
      <c r="I1302" s="350">
        <f>IF(G1302="Sim",0,IF(OR(F1302="",L1302=""),"",F1302))</f>
        <v/>
      </c>
      <c r="J1302" s="350">
        <f>IF(G1302="Sim",0,IF(OR(F1302="",D1302="",L1302=""),"",IF(L1302="Sim",ROUND(F1302-D1302,2),0)))</f>
        <v/>
      </c>
      <c r="K1302" s="97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inlineStr">
        <is>
          <t>Nao</t>
        </is>
      </c>
      <c r="W1302" s="110" t="inlineStr">
        <is>
          <t>PC em analise</t>
        </is>
      </c>
      <c r="X1302" s="110" t="inlineStr">
        <is>
          <t>Pedido de Compra</t>
        </is>
      </c>
      <c r="Y1302" s="111" t="inlineStr">
        <is>
          <t>Impacto Potencial</t>
        </is>
      </c>
      <c r="Z1302" s="111" t="inlineStr">
        <is>
          <t>PC</t>
        </is>
      </c>
      <c r="AA1302" s="111" t="inlineStr">
        <is>
          <t>Nao</t>
        </is>
      </c>
      <c r="AB1302" s="111" t="inlineStr">
        <is>
          <t>NAO_COMPUTADO</t>
        </is>
      </c>
      <c r="AC1302" s="112" t="inlineStr">
        <is>
          <t>Estrutura Fase 1: sem impacto no VTA oficial</t>
        </is>
      </c>
    </row>
    <row r="1303" ht="25.5" customHeight="1" s="289">
      <c r="A1303" s="205" t="n"/>
      <c r="B1303" s="207" t="n"/>
      <c r="C1303" s="104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348" t="n"/>
      <c r="E1303" s="349">
        <f>IF(C1303="","",IFERROR(VLOOKUP(C1303,parametros!$A$11:$E$15,5,0),""))</f>
        <v/>
      </c>
      <c r="F1303" s="335">
        <f>IF(OR(D1303="",E1303=""),"",ROUND(D1303*E1303,2))</f>
        <v/>
      </c>
      <c r="G1303" s="106" t="n"/>
      <c r="H1303" s="350">
        <f>IF(G1303="Sim",IF(OR(F1303="",D1303="",L1303=""),"",IF(L1303="Sim",ROUND(F1303-D1303,2),0)),0)</f>
        <v/>
      </c>
      <c r="I1303" s="350">
        <f>IF(G1303="Sim",0,IF(OR(F1303="",L1303=""),"",F1303))</f>
        <v/>
      </c>
      <c r="J1303" s="350">
        <f>IF(G1303="Sim",0,IF(OR(F1303="",D1303="",L1303=""),"",IF(L1303="Sim",ROUND(F1303-D1303,2),0)))</f>
        <v/>
      </c>
      <c r="K1303" s="97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inlineStr">
        <is>
          <t>Nao</t>
        </is>
      </c>
      <c r="W1303" s="110" t="inlineStr">
        <is>
          <t>PC em analise</t>
        </is>
      </c>
      <c r="X1303" s="110" t="inlineStr">
        <is>
          <t>Pedido de Compra</t>
        </is>
      </c>
      <c r="Y1303" s="111" t="inlineStr">
        <is>
          <t>Impacto Potencial</t>
        </is>
      </c>
      <c r="Z1303" s="111" t="inlineStr">
        <is>
          <t>PC</t>
        </is>
      </c>
      <c r="AA1303" s="111" t="inlineStr">
        <is>
          <t>Nao</t>
        </is>
      </c>
      <c r="AB1303" s="111" t="inlineStr">
        <is>
          <t>NAO_COMPUTADO</t>
        </is>
      </c>
      <c r="AC1303" s="112" t="inlineStr">
        <is>
          <t>Estrutura Fase 1: sem impacto no VTA oficial</t>
        </is>
      </c>
    </row>
    <row r="1304" ht="25.5" customHeight="1" s="289">
      <c r="A1304" s="205" t="n"/>
      <c r="B1304" s="207" t="n"/>
      <c r="C1304" s="104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348" t="n"/>
      <c r="E1304" s="349">
        <f>IF(C1304="","",IFERROR(VLOOKUP(C1304,parametros!$A$11:$E$15,5,0),""))</f>
        <v/>
      </c>
      <c r="F1304" s="335">
        <f>IF(OR(D1304="",E1304=""),"",ROUND(D1304*E1304,2))</f>
        <v/>
      </c>
      <c r="G1304" s="106" t="n"/>
      <c r="H1304" s="350">
        <f>IF(G1304="Sim",IF(OR(F1304="",D1304="",L1304=""),"",IF(L1304="Sim",ROUND(F1304-D1304,2),0)),0)</f>
        <v/>
      </c>
      <c r="I1304" s="350">
        <f>IF(G1304="Sim",0,IF(OR(F1304="",L1304=""),"",F1304))</f>
        <v/>
      </c>
      <c r="J1304" s="350">
        <f>IF(G1304="Sim",0,IF(OR(F1304="",D1304="",L1304=""),"",IF(L1304="Sim",ROUND(F1304-D1304,2),0)))</f>
        <v/>
      </c>
      <c r="K1304" s="97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inlineStr">
        <is>
          <t>Nao</t>
        </is>
      </c>
      <c r="W1304" s="110" t="inlineStr">
        <is>
          <t>PC em analise</t>
        </is>
      </c>
      <c r="X1304" s="110" t="inlineStr">
        <is>
          <t>Pedido de Compra</t>
        </is>
      </c>
      <c r="Y1304" s="111" t="inlineStr">
        <is>
          <t>Impacto Potencial</t>
        </is>
      </c>
      <c r="Z1304" s="111" t="inlineStr">
        <is>
          <t>PC</t>
        </is>
      </c>
      <c r="AA1304" s="111" t="inlineStr">
        <is>
          <t>Nao</t>
        </is>
      </c>
      <c r="AB1304" s="111" t="inlineStr">
        <is>
          <t>NAO_COMPUTADO</t>
        </is>
      </c>
      <c r="AC1304" s="112" t="inlineStr">
        <is>
          <t>Estrutura Fase 1: sem impacto no VTA oficial</t>
        </is>
      </c>
    </row>
    <row r="1305" ht="25.5" customHeight="1" s="289">
      <c r="A1305" s="205" t="n"/>
      <c r="B1305" s="207" t="n"/>
      <c r="C1305" s="104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348" t="n"/>
      <c r="E1305" s="349">
        <f>IF(C1305="","",IFERROR(VLOOKUP(C1305,parametros!$A$11:$E$15,5,0),""))</f>
        <v/>
      </c>
      <c r="F1305" s="335">
        <f>IF(OR(D1305="",E1305=""),"",ROUND(D1305*E1305,2))</f>
        <v/>
      </c>
      <c r="G1305" s="106" t="n"/>
      <c r="H1305" s="350">
        <f>IF(G1305="Sim",IF(OR(F1305="",D1305="",L1305=""),"",IF(L1305="Sim",ROUND(F1305-D1305,2),0)),0)</f>
        <v/>
      </c>
      <c r="I1305" s="350">
        <f>IF(G1305="Sim",0,IF(OR(F1305="",L1305=""),"",F1305))</f>
        <v/>
      </c>
      <c r="J1305" s="350">
        <f>IF(G1305="Sim",0,IF(OR(F1305="",D1305="",L1305=""),"",IF(L1305="Sim",ROUND(F1305-D1305,2),0)))</f>
        <v/>
      </c>
      <c r="K1305" s="97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inlineStr">
        <is>
          <t>Nao</t>
        </is>
      </c>
      <c r="W1305" s="110" t="inlineStr">
        <is>
          <t>PC em analise</t>
        </is>
      </c>
      <c r="X1305" s="110" t="inlineStr">
        <is>
          <t>Pedido de Compra</t>
        </is>
      </c>
      <c r="Y1305" s="111" t="inlineStr">
        <is>
          <t>Impacto Potencial</t>
        </is>
      </c>
      <c r="Z1305" s="111" t="inlineStr">
        <is>
          <t>PC</t>
        </is>
      </c>
      <c r="AA1305" s="111" t="inlineStr">
        <is>
          <t>Nao</t>
        </is>
      </c>
      <c r="AB1305" s="111" t="inlineStr">
        <is>
          <t>NAO_COMPUTADO</t>
        </is>
      </c>
      <c r="AC1305" s="112" t="inlineStr">
        <is>
          <t>Estrutura Fase 1: sem impacto no VTA oficial</t>
        </is>
      </c>
    </row>
    <row r="1306" ht="25.5" customHeight="1" s="289">
      <c r="A1306" s="205" t="n"/>
      <c r="B1306" s="207" t="n"/>
      <c r="C1306" s="104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348" t="n"/>
      <c r="E1306" s="349">
        <f>IF(C1306="","",IFERROR(VLOOKUP(C1306,parametros!$A$11:$E$15,5,0),""))</f>
        <v/>
      </c>
      <c r="F1306" s="335">
        <f>IF(OR(D1306="",E1306=""),"",ROUND(D1306*E1306,2))</f>
        <v/>
      </c>
      <c r="G1306" s="106" t="n"/>
      <c r="H1306" s="350">
        <f>IF(G1306="Sim",IF(OR(F1306="",D1306="",L1306=""),"",IF(L1306="Sim",ROUND(F1306-D1306,2),0)),0)</f>
        <v/>
      </c>
      <c r="I1306" s="350">
        <f>IF(G1306="Sim",0,IF(OR(F1306="",L1306=""),"",F1306))</f>
        <v/>
      </c>
      <c r="J1306" s="350">
        <f>IF(G1306="Sim",0,IF(OR(F1306="",D1306="",L1306=""),"",IF(L1306="Sim",ROUND(F1306-D1306,2),0)))</f>
        <v/>
      </c>
      <c r="K1306" s="97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inlineStr">
        <is>
          <t>Nao</t>
        </is>
      </c>
      <c r="W1306" s="110" t="inlineStr">
        <is>
          <t>PC em analise</t>
        </is>
      </c>
      <c r="X1306" s="110" t="inlineStr">
        <is>
          <t>Pedido de Compra</t>
        </is>
      </c>
      <c r="Y1306" s="111" t="inlineStr">
        <is>
          <t>Impacto Potencial</t>
        </is>
      </c>
      <c r="Z1306" s="111" t="inlineStr">
        <is>
          <t>PC</t>
        </is>
      </c>
      <c r="AA1306" s="111" t="inlineStr">
        <is>
          <t>Nao</t>
        </is>
      </c>
      <c r="AB1306" s="111" t="inlineStr">
        <is>
          <t>NAO_COMPUTADO</t>
        </is>
      </c>
      <c r="AC1306" s="112" t="inlineStr">
        <is>
          <t>Estrutura Fase 1: sem impacto no VTA oficial</t>
        </is>
      </c>
    </row>
    <row r="1307" ht="25.5" customHeight="1" s="289">
      <c r="A1307" s="205" t="n"/>
      <c r="B1307" s="207" t="n"/>
      <c r="C1307" s="104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348" t="n"/>
      <c r="E1307" s="349">
        <f>IF(C1307="","",IFERROR(VLOOKUP(C1307,parametros!$A$11:$E$15,5,0),""))</f>
        <v/>
      </c>
      <c r="F1307" s="335">
        <f>IF(OR(D1307="",E1307=""),"",ROUND(D1307*E1307,2))</f>
        <v/>
      </c>
      <c r="G1307" s="106" t="n"/>
      <c r="H1307" s="350">
        <f>IF(G1307="Sim",IF(OR(F1307="",D1307="",L1307=""),"",IF(L1307="Sim",ROUND(F1307-D1307,2),0)),0)</f>
        <v/>
      </c>
      <c r="I1307" s="350">
        <f>IF(G1307="Sim",0,IF(OR(F1307="",L1307=""),"",F1307))</f>
        <v/>
      </c>
      <c r="J1307" s="350">
        <f>IF(G1307="Sim",0,IF(OR(F1307="",D1307="",L1307=""),"",IF(L1307="Sim",ROUND(F1307-D1307,2),0)))</f>
        <v/>
      </c>
      <c r="K1307" s="97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inlineStr">
        <is>
          <t>Nao</t>
        </is>
      </c>
      <c r="W1307" s="110" t="inlineStr">
        <is>
          <t>PC em analise</t>
        </is>
      </c>
      <c r="X1307" s="110" t="inlineStr">
        <is>
          <t>Pedido de Compra</t>
        </is>
      </c>
      <c r="Y1307" s="111" t="inlineStr">
        <is>
          <t>Impacto Potencial</t>
        </is>
      </c>
      <c r="Z1307" s="111" t="inlineStr">
        <is>
          <t>PC</t>
        </is>
      </c>
      <c r="AA1307" s="111" t="inlineStr">
        <is>
          <t>Nao</t>
        </is>
      </c>
      <c r="AB1307" s="111" t="inlineStr">
        <is>
          <t>NAO_COMPUTADO</t>
        </is>
      </c>
      <c r="AC1307" s="112" t="inlineStr">
        <is>
          <t>Estrutura Fase 1: sem impacto no VTA oficial</t>
        </is>
      </c>
    </row>
    <row r="1308" ht="25.5" customHeight="1" s="289">
      <c r="A1308" s="205" t="n"/>
      <c r="B1308" s="207" t="n"/>
      <c r="C1308" s="104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348" t="n"/>
      <c r="E1308" s="349">
        <f>IF(C1308="","",IFERROR(VLOOKUP(C1308,parametros!$A$11:$E$15,5,0),""))</f>
        <v/>
      </c>
      <c r="F1308" s="335">
        <f>IF(OR(D1308="",E1308=""),"",ROUND(D1308*E1308,2))</f>
        <v/>
      </c>
      <c r="G1308" s="106" t="n"/>
      <c r="H1308" s="350">
        <f>IF(G1308="Sim",IF(OR(F1308="",D1308="",L1308=""),"",IF(L1308="Sim",ROUND(F1308-D1308,2),0)),0)</f>
        <v/>
      </c>
      <c r="I1308" s="350">
        <f>IF(G1308="Sim",0,IF(OR(F1308="",L1308=""),"",F1308))</f>
        <v/>
      </c>
      <c r="J1308" s="350">
        <f>IF(G1308="Sim",0,IF(OR(F1308="",D1308="",L1308=""),"",IF(L1308="Sim",ROUND(F1308-D1308,2),0)))</f>
        <v/>
      </c>
      <c r="K1308" s="97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inlineStr">
        <is>
          <t>Nao</t>
        </is>
      </c>
      <c r="W1308" s="110" t="inlineStr">
        <is>
          <t>PC em analise</t>
        </is>
      </c>
      <c r="X1308" s="110" t="inlineStr">
        <is>
          <t>Pedido de Compra</t>
        </is>
      </c>
      <c r="Y1308" s="111" t="inlineStr">
        <is>
          <t>Impacto Potencial</t>
        </is>
      </c>
      <c r="Z1308" s="111" t="inlineStr">
        <is>
          <t>PC</t>
        </is>
      </c>
      <c r="AA1308" s="111" t="inlineStr">
        <is>
          <t>Nao</t>
        </is>
      </c>
      <c r="AB1308" s="111" t="inlineStr">
        <is>
          <t>NAO_COMPUTADO</t>
        </is>
      </c>
      <c r="AC1308" s="112" t="inlineStr">
        <is>
          <t>Estrutura Fase 1: sem impacto no VTA oficial</t>
        </is>
      </c>
    </row>
    <row r="1309" ht="25.5" customHeight="1" s="289">
      <c r="A1309" s="205" t="n"/>
      <c r="B1309" s="207" t="n"/>
      <c r="C1309" s="104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348" t="n"/>
      <c r="E1309" s="349">
        <f>IF(C1309="","",IFERROR(VLOOKUP(C1309,parametros!$A$11:$E$15,5,0),""))</f>
        <v/>
      </c>
      <c r="F1309" s="335">
        <f>IF(OR(D1309="",E1309=""),"",ROUND(D1309*E1309,2))</f>
        <v/>
      </c>
      <c r="G1309" s="106" t="n"/>
      <c r="H1309" s="350">
        <f>IF(G1309="Sim",IF(OR(F1309="",D1309="",L1309=""),"",IF(L1309="Sim",ROUND(F1309-D1309,2),0)),0)</f>
        <v/>
      </c>
      <c r="I1309" s="350">
        <f>IF(G1309="Sim",0,IF(OR(F1309="",L1309=""),"",F1309))</f>
        <v/>
      </c>
      <c r="J1309" s="350">
        <f>IF(G1309="Sim",0,IF(OR(F1309="",D1309="",L1309=""),"",IF(L1309="Sim",ROUND(F1309-D1309,2),0)))</f>
        <v/>
      </c>
      <c r="K1309" s="97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inlineStr">
        <is>
          <t>Nao</t>
        </is>
      </c>
      <c r="W1309" s="110" t="inlineStr">
        <is>
          <t>PC em analise</t>
        </is>
      </c>
      <c r="X1309" s="110" t="inlineStr">
        <is>
          <t>Pedido de Compra</t>
        </is>
      </c>
      <c r="Y1309" s="111" t="inlineStr">
        <is>
          <t>Impacto Potencial</t>
        </is>
      </c>
      <c r="Z1309" s="111" t="inlineStr">
        <is>
          <t>PC</t>
        </is>
      </c>
      <c r="AA1309" s="111" t="inlineStr">
        <is>
          <t>Nao</t>
        </is>
      </c>
      <c r="AB1309" s="111" t="inlineStr">
        <is>
          <t>NAO_COMPUTADO</t>
        </is>
      </c>
      <c r="AC1309" s="112" t="inlineStr">
        <is>
          <t>Estrutura Fase 1: sem impacto no VTA oficial</t>
        </is>
      </c>
    </row>
    <row r="1310" ht="25.5" customHeight="1" s="289">
      <c r="A1310" s="205" t="n"/>
      <c r="B1310" s="207" t="n"/>
      <c r="C1310" s="104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348" t="n"/>
      <c r="E1310" s="349">
        <f>IF(C1310="","",IFERROR(VLOOKUP(C1310,parametros!$A$11:$E$15,5,0),""))</f>
        <v/>
      </c>
      <c r="F1310" s="335">
        <f>IF(OR(D1310="",E1310=""),"",ROUND(D1310*E1310,2))</f>
        <v/>
      </c>
      <c r="G1310" s="106" t="n"/>
      <c r="H1310" s="350">
        <f>IF(G1310="Sim",IF(OR(F1310="",D1310="",L1310=""),"",IF(L1310="Sim",ROUND(F1310-D1310,2),0)),0)</f>
        <v/>
      </c>
      <c r="I1310" s="350">
        <f>IF(G1310="Sim",0,IF(OR(F1310="",L1310=""),"",F1310))</f>
        <v/>
      </c>
      <c r="J1310" s="350">
        <f>IF(G1310="Sim",0,IF(OR(F1310="",D1310="",L1310=""),"",IF(L1310="Sim",ROUND(F1310-D1310,2),0)))</f>
        <v/>
      </c>
      <c r="K1310" s="97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inlineStr">
        <is>
          <t>Nao</t>
        </is>
      </c>
      <c r="W1310" s="110" t="inlineStr">
        <is>
          <t>PC em analise</t>
        </is>
      </c>
      <c r="X1310" s="110" t="inlineStr">
        <is>
          <t>Pedido de Compra</t>
        </is>
      </c>
      <c r="Y1310" s="111" t="inlineStr">
        <is>
          <t>Impacto Potencial</t>
        </is>
      </c>
      <c r="Z1310" s="111" t="inlineStr">
        <is>
          <t>PC</t>
        </is>
      </c>
      <c r="AA1310" s="111" t="inlineStr">
        <is>
          <t>Nao</t>
        </is>
      </c>
      <c r="AB1310" s="111" t="inlineStr">
        <is>
          <t>NAO_COMPUTADO</t>
        </is>
      </c>
      <c r="AC1310" s="112" t="inlineStr">
        <is>
          <t>Estrutura Fase 1: sem impacto no VTA oficial</t>
        </is>
      </c>
    </row>
    <row r="1311" ht="25.5" customHeight="1" s="289">
      <c r="A1311" s="205" t="n"/>
      <c r="B1311" s="207" t="n"/>
      <c r="C1311" s="104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348" t="n"/>
      <c r="E1311" s="349">
        <f>IF(C1311="","",IFERROR(VLOOKUP(C1311,parametros!$A$11:$E$15,5,0),""))</f>
        <v/>
      </c>
      <c r="F1311" s="335">
        <f>IF(OR(D1311="",E1311=""),"",ROUND(D1311*E1311,2))</f>
        <v/>
      </c>
      <c r="G1311" s="106" t="n"/>
      <c r="H1311" s="350">
        <f>IF(G1311="Sim",IF(OR(F1311="",D1311="",L1311=""),"",IF(L1311="Sim",ROUND(F1311-D1311,2),0)),0)</f>
        <v/>
      </c>
      <c r="I1311" s="350">
        <f>IF(G1311="Sim",0,IF(OR(F1311="",L1311=""),"",F1311))</f>
        <v/>
      </c>
      <c r="J1311" s="350">
        <f>IF(G1311="Sim",0,IF(OR(F1311="",D1311="",L1311=""),"",IF(L1311="Sim",ROUND(F1311-D1311,2),0)))</f>
        <v/>
      </c>
      <c r="K1311" s="97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inlineStr">
        <is>
          <t>Nao</t>
        </is>
      </c>
      <c r="W1311" s="110" t="inlineStr">
        <is>
          <t>PC em analise</t>
        </is>
      </c>
      <c r="X1311" s="110" t="inlineStr">
        <is>
          <t>Pedido de Compra</t>
        </is>
      </c>
      <c r="Y1311" s="111" t="inlineStr">
        <is>
          <t>Impacto Potencial</t>
        </is>
      </c>
      <c r="Z1311" s="111" t="inlineStr">
        <is>
          <t>PC</t>
        </is>
      </c>
      <c r="AA1311" s="111" t="inlineStr">
        <is>
          <t>Nao</t>
        </is>
      </c>
      <c r="AB1311" s="111" t="inlineStr">
        <is>
          <t>NAO_COMPUTADO</t>
        </is>
      </c>
      <c r="AC1311" s="112" t="inlineStr">
        <is>
          <t>Estrutura Fase 1: sem impacto no VTA oficial</t>
        </is>
      </c>
    </row>
    <row r="1312" ht="25.5" customHeight="1" s="289">
      <c r="A1312" s="205" t="n"/>
      <c r="B1312" s="207" t="n"/>
      <c r="C1312" s="104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348" t="n"/>
      <c r="E1312" s="349">
        <f>IF(C1312="","",IFERROR(VLOOKUP(C1312,parametros!$A$11:$E$15,5,0),""))</f>
        <v/>
      </c>
      <c r="F1312" s="335">
        <f>IF(OR(D1312="",E1312=""),"",ROUND(D1312*E1312,2))</f>
        <v/>
      </c>
      <c r="G1312" s="106" t="n"/>
      <c r="H1312" s="350">
        <f>IF(G1312="Sim",IF(OR(F1312="",D1312="",L1312=""),"",IF(L1312="Sim",ROUND(F1312-D1312,2),0)),0)</f>
        <v/>
      </c>
      <c r="I1312" s="350">
        <f>IF(G1312="Sim",0,IF(OR(F1312="",L1312=""),"",F1312))</f>
        <v/>
      </c>
      <c r="J1312" s="350">
        <f>IF(G1312="Sim",0,IF(OR(F1312="",D1312="",L1312=""),"",IF(L1312="Sim",ROUND(F1312-D1312,2),0)))</f>
        <v/>
      </c>
      <c r="K1312" s="97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inlineStr">
        <is>
          <t>Nao</t>
        </is>
      </c>
      <c r="W1312" s="110" t="inlineStr">
        <is>
          <t>PC em analise</t>
        </is>
      </c>
      <c r="X1312" s="110" t="inlineStr">
        <is>
          <t>Pedido de Compra</t>
        </is>
      </c>
      <c r="Y1312" s="111" t="inlineStr">
        <is>
          <t>Impacto Potencial</t>
        </is>
      </c>
      <c r="Z1312" s="111" t="inlineStr">
        <is>
          <t>PC</t>
        </is>
      </c>
      <c r="AA1312" s="111" t="inlineStr">
        <is>
          <t>Nao</t>
        </is>
      </c>
      <c r="AB1312" s="111" t="inlineStr">
        <is>
          <t>NAO_COMPUTADO</t>
        </is>
      </c>
      <c r="AC1312" s="112" t="inlineStr">
        <is>
          <t>Estrutura Fase 1: sem impacto no VTA oficial</t>
        </is>
      </c>
    </row>
    <row r="1313" ht="25.5" customHeight="1" s="289">
      <c r="A1313" s="205" t="n"/>
      <c r="B1313" s="207" t="n"/>
      <c r="C1313" s="104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348" t="n"/>
      <c r="E1313" s="349">
        <f>IF(C1313="","",IFERROR(VLOOKUP(C1313,parametros!$A$11:$E$15,5,0),""))</f>
        <v/>
      </c>
      <c r="F1313" s="335">
        <f>IF(OR(D1313="",E1313=""),"",ROUND(D1313*E1313,2))</f>
        <v/>
      </c>
      <c r="G1313" s="106" t="n"/>
      <c r="H1313" s="350">
        <f>IF(G1313="Sim",IF(OR(F1313="",D1313="",L1313=""),"",IF(L1313="Sim",ROUND(F1313-D1313,2),0)),0)</f>
        <v/>
      </c>
      <c r="I1313" s="350">
        <f>IF(G1313="Sim",0,IF(OR(F1313="",L1313=""),"",F1313))</f>
        <v/>
      </c>
      <c r="J1313" s="350">
        <f>IF(G1313="Sim",0,IF(OR(F1313="",D1313="",L1313=""),"",IF(L1313="Sim",ROUND(F1313-D1313,2),0)))</f>
        <v/>
      </c>
      <c r="K1313" s="97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inlineStr">
        <is>
          <t>Nao</t>
        </is>
      </c>
      <c r="W1313" s="110" t="inlineStr">
        <is>
          <t>PC em analise</t>
        </is>
      </c>
      <c r="X1313" s="110" t="inlineStr">
        <is>
          <t>Pedido de Compra</t>
        </is>
      </c>
      <c r="Y1313" s="111" t="inlineStr">
        <is>
          <t>Impacto Potencial</t>
        </is>
      </c>
      <c r="Z1313" s="111" t="inlineStr">
        <is>
          <t>PC</t>
        </is>
      </c>
      <c r="AA1313" s="111" t="inlineStr">
        <is>
          <t>Nao</t>
        </is>
      </c>
      <c r="AB1313" s="111" t="inlineStr">
        <is>
          <t>NAO_COMPUTADO</t>
        </is>
      </c>
      <c r="AC1313" s="112" t="inlineStr">
        <is>
          <t>Estrutura Fase 1: sem impacto no VTA oficial</t>
        </is>
      </c>
    </row>
    <row r="1314" ht="25.5" customHeight="1" s="289">
      <c r="A1314" s="205" t="n"/>
      <c r="B1314" s="207" t="n"/>
      <c r="C1314" s="104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348" t="n"/>
      <c r="E1314" s="349">
        <f>IF(C1314="","",IFERROR(VLOOKUP(C1314,parametros!$A$11:$E$15,5,0),""))</f>
        <v/>
      </c>
      <c r="F1314" s="335">
        <f>IF(OR(D1314="",E1314=""),"",ROUND(D1314*E1314,2))</f>
        <v/>
      </c>
      <c r="G1314" s="106" t="n"/>
      <c r="H1314" s="350">
        <f>IF(G1314="Sim",IF(OR(F1314="",D1314="",L1314=""),"",IF(L1314="Sim",ROUND(F1314-D1314,2),0)),0)</f>
        <v/>
      </c>
      <c r="I1314" s="350">
        <f>IF(G1314="Sim",0,IF(OR(F1314="",L1314=""),"",F1314))</f>
        <v/>
      </c>
      <c r="J1314" s="350">
        <f>IF(G1314="Sim",0,IF(OR(F1314="",D1314="",L1314=""),"",IF(L1314="Sim",ROUND(F1314-D1314,2),0)))</f>
        <v/>
      </c>
      <c r="K1314" s="97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inlineStr">
        <is>
          <t>Nao</t>
        </is>
      </c>
      <c r="W1314" s="110" t="inlineStr">
        <is>
          <t>PC em analise</t>
        </is>
      </c>
      <c r="X1314" s="110" t="inlineStr">
        <is>
          <t>Pedido de Compra</t>
        </is>
      </c>
      <c r="Y1314" s="111" t="inlineStr">
        <is>
          <t>Impacto Potencial</t>
        </is>
      </c>
      <c r="Z1314" s="111" t="inlineStr">
        <is>
          <t>PC</t>
        </is>
      </c>
      <c r="AA1314" s="111" t="inlineStr">
        <is>
          <t>Nao</t>
        </is>
      </c>
      <c r="AB1314" s="111" t="inlineStr">
        <is>
          <t>NAO_COMPUTADO</t>
        </is>
      </c>
      <c r="AC1314" s="112" t="inlineStr">
        <is>
          <t>Estrutura Fase 1: sem impacto no VTA oficial</t>
        </is>
      </c>
    </row>
    <row r="1315" ht="25.5" customHeight="1" s="289">
      <c r="A1315" s="205" t="n"/>
      <c r="B1315" s="207" t="n"/>
      <c r="C1315" s="104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348" t="n"/>
      <c r="E1315" s="349">
        <f>IF(C1315="","",IFERROR(VLOOKUP(C1315,parametros!$A$11:$E$15,5,0),""))</f>
        <v/>
      </c>
      <c r="F1315" s="335">
        <f>IF(OR(D1315="",E1315=""),"",ROUND(D1315*E1315,2))</f>
        <v/>
      </c>
      <c r="G1315" s="106" t="n"/>
      <c r="H1315" s="350">
        <f>IF(G1315="Sim",IF(OR(F1315="",D1315="",L1315=""),"",IF(L1315="Sim",ROUND(F1315-D1315,2),0)),0)</f>
        <v/>
      </c>
      <c r="I1315" s="350">
        <f>IF(G1315="Sim",0,IF(OR(F1315="",L1315=""),"",F1315))</f>
        <v/>
      </c>
      <c r="J1315" s="350">
        <f>IF(G1315="Sim",0,IF(OR(F1315="",D1315="",L1315=""),"",IF(L1315="Sim",ROUND(F1315-D1315,2),0)))</f>
        <v/>
      </c>
      <c r="K1315" s="97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inlineStr">
        <is>
          <t>Nao</t>
        </is>
      </c>
      <c r="W1315" s="110" t="inlineStr">
        <is>
          <t>PC em analise</t>
        </is>
      </c>
      <c r="X1315" s="110" t="inlineStr">
        <is>
          <t>Pedido de Compra</t>
        </is>
      </c>
      <c r="Y1315" s="111" t="inlineStr">
        <is>
          <t>Impacto Potencial</t>
        </is>
      </c>
      <c r="Z1315" s="111" t="inlineStr">
        <is>
          <t>PC</t>
        </is>
      </c>
      <c r="AA1315" s="111" t="inlineStr">
        <is>
          <t>Nao</t>
        </is>
      </c>
      <c r="AB1315" s="111" t="inlineStr">
        <is>
          <t>NAO_COMPUTADO</t>
        </is>
      </c>
      <c r="AC1315" s="112" t="inlineStr">
        <is>
          <t>Estrutura Fase 1: sem impacto no VTA oficial</t>
        </is>
      </c>
    </row>
    <row r="1316" ht="25.5" customHeight="1" s="289">
      <c r="A1316" s="205" t="n"/>
      <c r="B1316" s="207" t="n"/>
      <c r="C1316" s="104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348" t="n"/>
      <c r="E1316" s="349">
        <f>IF(C1316="","",IFERROR(VLOOKUP(C1316,parametros!$A$11:$E$15,5,0),""))</f>
        <v/>
      </c>
      <c r="F1316" s="335">
        <f>IF(OR(D1316="",E1316=""),"",ROUND(D1316*E1316,2))</f>
        <v/>
      </c>
      <c r="G1316" s="106" t="n"/>
      <c r="H1316" s="350">
        <f>IF(G1316="Sim",IF(OR(F1316="",D1316="",L1316=""),"",IF(L1316="Sim",ROUND(F1316-D1316,2),0)),0)</f>
        <v/>
      </c>
      <c r="I1316" s="350">
        <f>IF(G1316="Sim",0,IF(OR(F1316="",L1316=""),"",F1316))</f>
        <v/>
      </c>
      <c r="J1316" s="350">
        <f>IF(G1316="Sim",0,IF(OR(F1316="",D1316="",L1316=""),"",IF(L1316="Sim",ROUND(F1316-D1316,2),0)))</f>
        <v/>
      </c>
      <c r="K1316" s="97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inlineStr">
        <is>
          <t>Nao</t>
        </is>
      </c>
      <c r="W1316" s="110" t="inlineStr">
        <is>
          <t>PC em analise</t>
        </is>
      </c>
      <c r="X1316" s="110" t="inlineStr">
        <is>
          <t>Pedido de Compra</t>
        </is>
      </c>
      <c r="Y1316" s="111" t="inlineStr">
        <is>
          <t>Impacto Potencial</t>
        </is>
      </c>
      <c r="Z1316" s="111" t="inlineStr">
        <is>
          <t>PC</t>
        </is>
      </c>
      <c r="AA1316" s="111" t="inlineStr">
        <is>
          <t>Nao</t>
        </is>
      </c>
      <c r="AB1316" s="111" t="inlineStr">
        <is>
          <t>NAO_COMPUTADO</t>
        </is>
      </c>
      <c r="AC1316" s="112" t="inlineStr">
        <is>
          <t>Estrutura Fase 1: sem impacto no VTA oficial</t>
        </is>
      </c>
    </row>
    <row r="1317" ht="25.5" customHeight="1" s="289">
      <c r="A1317" s="205" t="n"/>
      <c r="B1317" s="207" t="n"/>
      <c r="C1317" s="104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348" t="n"/>
      <c r="E1317" s="349">
        <f>IF(C1317="","",IFERROR(VLOOKUP(C1317,parametros!$A$11:$E$15,5,0),""))</f>
        <v/>
      </c>
      <c r="F1317" s="335">
        <f>IF(OR(D1317="",E1317=""),"",ROUND(D1317*E1317,2))</f>
        <v/>
      </c>
      <c r="G1317" s="106" t="n"/>
      <c r="H1317" s="350">
        <f>IF(G1317="Sim",IF(OR(F1317="",D1317="",L1317=""),"",IF(L1317="Sim",ROUND(F1317-D1317,2),0)),0)</f>
        <v/>
      </c>
      <c r="I1317" s="350">
        <f>IF(G1317="Sim",0,IF(OR(F1317="",L1317=""),"",F1317))</f>
        <v/>
      </c>
      <c r="J1317" s="350">
        <f>IF(G1317="Sim",0,IF(OR(F1317="",D1317="",L1317=""),"",IF(L1317="Sim",ROUND(F1317-D1317,2),0)))</f>
        <v/>
      </c>
      <c r="K1317" s="97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inlineStr">
        <is>
          <t>Nao</t>
        </is>
      </c>
      <c r="W1317" s="110" t="inlineStr">
        <is>
          <t>PC em analise</t>
        </is>
      </c>
      <c r="X1317" s="110" t="inlineStr">
        <is>
          <t>Pedido de Compra</t>
        </is>
      </c>
      <c r="Y1317" s="111" t="inlineStr">
        <is>
          <t>Impacto Potencial</t>
        </is>
      </c>
      <c r="Z1317" s="111" t="inlineStr">
        <is>
          <t>PC</t>
        </is>
      </c>
      <c r="AA1317" s="111" t="inlineStr">
        <is>
          <t>Nao</t>
        </is>
      </c>
      <c r="AB1317" s="111" t="inlineStr">
        <is>
          <t>NAO_COMPUTADO</t>
        </is>
      </c>
      <c r="AC1317" s="112" t="inlineStr">
        <is>
          <t>Estrutura Fase 1: sem impacto no VTA oficial</t>
        </is>
      </c>
    </row>
    <row r="1318" ht="25.5" customHeight="1" s="289">
      <c r="A1318" s="205" t="n"/>
      <c r="B1318" s="207" t="n"/>
      <c r="C1318" s="104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348" t="n"/>
      <c r="E1318" s="349">
        <f>IF(C1318="","",IFERROR(VLOOKUP(C1318,parametros!$A$11:$E$15,5,0),""))</f>
        <v/>
      </c>
      <c r="F1318" s="335">
        <f>IF(OR(D1318="",E1318=""),"",ROUND(D1318*E1318,2))</f>
        <v/>
      </c>
      <c r="G1318" s="106" t="n"/>
      <c r="H1318" s="350">
        <f>IF(G1318="Sim",IF(OR(F1318="",D1318="",L1318=""),"",IF(L1318="Sim",ROUND(F1318-D1318,2),0)),0)</f>
        <v/>
      </c>
      <c r="I1318" s="350">
        <f>IF(G1318="Sim",0,IF(OR(F1318="",L1318=""),"",F1318))</f>
        <v/>
      </c>
      <c r="J1318" s="350">
        <f>IF(G1318="Sim",0,IF(OR(F1318="",D1318="",L1318=""),"",IF(L1318="Sim",ROUND(F1318-D1318,2),0)))</f>
        <v/>
      </c>
      <c r="K1318" s="97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inlineStr">
        <is>
          <t>Nao</t>
        </is>
      </c>
      <c r="W1318" s="110" t="inlineStr">
        <is>
          <t>PC em analise</t>
        </is>
      </c>
      <c r="X1318" s="110" t="inlineStr">
        <is>
          <t>Pedido de Compra</t>
        </is>
      </c>
      <c r="Y1318" s="111" t="inlineStr">
        <is>
          <t>Impacto Potencial</t>
        </is>
      </c>
      <c r="Z1318" s="111" t="inlineStr">
        <is>
          <t>PC</t>
        </is>
      </c>
      <c r="AA1318" s="111" t="inlineStr">
        <is>
          <t>Nao</t>
        </is>
      </c>
      <c r="AB1318" s="111" t="inlineStr">
        <is>
          <t>NAO_COMPUTADO</t>
        </is>
      </c>
      <c r="AC1318" s="112" t="inlineStr">
        <is>
          <t>Estrutura Fase 1: sem impacto no VTA oficial</t>
        </is>
      </c>
    </row>
    <row r="1319" ht="25.5" customHeight="1" s="289">
      <c r="A1319" s="205" t="n"/>
      <c r="B1319" s="207" t="n"/>
      <c r="C1319" s="104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348" t="n"/>
      <c r="E1319" s="349">
        <f>IF(C1319="","",IFERROR(VLOOKUP(C1319,parametros!$A$11:$E$15,5,0),""))</f>
        <v/>
      </c>
      <c r="F1319" s="335">
        <f>IF(OR(D1319="",E1319=""),"",ROUND(D1319*E1319,2))</f>
        <v/>
      </c>
      <c r="G1319" s="106" t="n"/>
      <c r="H1319" s="350">
        <f>IF(G1319="Sim",IF(OR(F1319="",D1319="",L1319=""),"",IF(L1319="Sim",ROUND(F1319-D1319,2),0)),0)</f>
        <v/>
      </c>
      <c r="I1319" s="350">
        <f>IF(G1319="Sim",0,IF(OR(F1319="",L1319=""),"",F1319))</f>
        <v/>
      </c>
      <c r="J1319" s="350">
        <f>IF(G1319="Sim",0,IF(OR(F1319="",D1319="",L1319=""),"",IF(L1319="Sim",ROUND(F1319-D1319,2),0)))</f>
        <v/>
      </c>
      <c r="K1319" s="97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inlineStr">
        <is>
          <t>Nao</t>
        </is>
      </c>
      <c r="W1319" s="110" t="inlineStr">
        <is>
          <t>PC em analise</t>
        </is>
      </c>
      <c r="X1319" s="110" t="inlineStr">
        <is>
          <t>Pedido de Compra</t>
        </is>
      </c>
      <c r="Y1319" s="111" t="inlineStr">
        <is>
          <t>Impacto Potencial</t>
        </is>
      </c>
      <c r="Z1319" s="111" t="inlineStr">
        <is>
          <t>PC</t>
        </is>
      </c>
      <c r="AA1319" s="111" t="inlineStr">
        <is>
          <t>Nao</t>
        </is>
      </c>
      <c r="AB1319" s="111" t="inlineStr">
        <is>
          <t>NAO_COMPUTADO</t>
        </is>
      </c>
      <c r="AC1319" s="112" t="inlineStr">
        <is>
          <t>Estrutura Fase 1: sem impacto no VTA oficial</t>
        </is>
      </c>
    </row>
    <row r="1320" ht="25.5" customHeight="1" s="289">
      <c r="A1320" s="205" t="n"/>
      <c r="B1320" s="207" t="n"/>
      <c r="C1320" s="104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348" t="n"/>
      <c r="E1320" s="349">
        <f>IF(C1320="","",IFERROR(VLOOKUP(C1320,parametros!$A$11:$E$15,5,0),""))</f>
        <v/>
      </c>
      <c r="F1320" s="335">
        <f>IF(OR(D1320="",E1320=""),"",ROUND(D1320*E1320,2))</f>
        <v/>
      </c>
      <c r="G1320" s="106" t="n"/>
      <c r="H1320" s="350">
        <f>IF(G1320="Sim",IF(OR(F1320="",D1320="",L1320=""),"",IF(L1320="Sim",ROUND(F1320-D1320,2),0)),0)</f>
        <v/>
      </c>
      <c r="I1320" s="350">
        <f>IF(G1320="Sim",0,IF(OR(F1320="",L1320=""),"",F1320))</f>
        <v/>
      </c>
      <c r="J1320" s="350">
        <f>IF(G1320="Sim",0,IF(OR(F1320="",D1320="",L1320=""),"",IF(L1320="Sim",ROUND(F1320-D1320,2),0)))</f>
        <v/>
      </c>
      <c r="K1320" s="97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inlineStr">
        <is>
          <t>Nao</t>
        </is>
      </c>
      <c r="W1320" s="110" t="inlineStr">
        <is>
          <t>PC em analise</t>
        </is>
      </c>
      <c r="X1320" s="110" t="inlineStr">
        <is>
          <t>Pedido de Compra</t>
        </is>
      </c>
      <c r="Y1320" s="111" t="inlineStr">
        <is>
          <t>Impacto Potencial</t>
        </is>
      </c>
      <c r="Z1320" s="111" t="inlineStr">
        <is>
          <t>PC</t>
        </is>
      </c>
      <c r="AA1320" s="111" t="inlineStr">
        <is>
          <t>Nao</t>
        </is>
      </c>
      <c r="AB1320" s="111" t="inlineStr">
        <is>
          <t>NAO_COMPUTADO</t>
        </is>
      </c>
      <c r="AC1320" s="112" t="inlineStr">
        <is>
          <t>Estrutura Fase 1: sem impacto no VTA oficial</t>
        </is>
      </c>
    </row>
    <row r="1321" ht="25.5" customHeight="1" s="289">
      <c r="A1321" s="205" t="n"/>
      <c r="B1321" s="207" t="n"/>
      <c r="C1321" s="104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348" t="n"/>
      <c r="E1321" s="349">
        <f>IF(C1321="","",IFERROR(VLOOKUP(C1321,parametros!$A$11:$E$15,5,0),""))</f>
        <v/>
      </c>
      <c r="F1321" s="335">
        <f>IF(OR(D1321="",E1321=""),"",ROUND(D1321*E1321,2))</f>
        <v/>
      </c>
      <c r="G1321" s="106" t="n"/>
      <c r="H1321" s="350">
        <f>IF(G1321="Sim",IF(OR(F1321="",D1321="",L1321=""),"",IF(L1321="Sim",ROUND(F1321-D1321,2),0)),0)</f>
        <v/>
      </c>
      <c r="I1321" s="350">
        <f>IF(G1321="Sim",0,IF(OR(F1321="",L1321=""),"",F1321))</f>
        <v/>
      </c>
      <c r="J1321" s="350">
        <f>IF(G1321="Sim",0,IF(OR(F1321="",D1321="",L1321=""),"",IF(L1321="Sim",ROUND(F1321-D1321,2),0)))</f>
        <v/>
      </c>
      <c r="K1321" s="97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inlineStr">
        <is>
          <t>Nao</t>
        </is>
      </c>
      <c r="W1321" s="110" t="inlineStr">
        <is>
          <t>PC em analise</t>
        </is>
      </c>
      <c r="X1321" s="110" t="inlineStr">
        <is>
          <t>Pedido de Compra</t>
        </is>
      </c>
      <c r="Y1321" s="111" t="inlineStr">
        <is>
          <t>Impacto Potencial</t>
        </is>
      </c>
      <c r="Z1321" s="111" t="inlineStr">
        <is>
          <t>PC</t>
        </is>
      </c>
      <c r="AA1321" s="111" t="inlineStr">
        <is>
          <t>Nao</t>
        </is>
      </c>
      <c r="AB1321" s="111" t="inlineStr">
        <is>
          <t>NAO_COMPUTADO</t>
        </is>
      </c>
      <c r="AC1321" s="112" t="inlineStr">
        <is>
          <t>Estrutura Fase 1: sem impacto no VTA oficial</t>
        </is>
      </c>
    </row>
    <row r="1322" ht="25.5" customHeight="1" s="289">
      <c r="A1322" s="205" t="n"/>
      <c r="B1322" s="207" t="n"/>
      <c r="C1322" s="104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348" t="n"/>
      <c r="E1322" s="349">
        <f>IF(C1322="","",IFERROR(VLOOKUP(C1322,parametros!$A$11:$E$15,5,0),""))</f>
        <v/>
      </c>
      <c r="F1322" s="335">
        <f>IF(OR(D1322="",E1322=""),"",ROUND(D1322*E1322,2))</f>
        <v/>
      </c>
      <c r="G1322" s="106" t="n"/>
      <c r="H1322" s="350">
        <f>IF(G1322="Sim",IF(OR(F1322="",D1322="",L1322=""),"",IF(L1322="Sim",ROUND(F1322-D1322,2),0)),0)</f>
        <v/>
      </c>
      <c r="I1322" s="350">
        <f>IF(G1322="Sim",0,IF(OR(F1322="",L1322=""),"",F1322))</f>
        <v/>
      </c>
      <c r="J1322" s="350">
        <f>IF(G1322="Sim",0,IF(OR(F1322="",D1322="",L1322=""),"",IF(L1322="Sim",ROUND(F1322-D1322,2),0)))</f>
        <v/>
      </c>
      <c r="K1322" s="97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inlineStr">
        <is>
          <t>Nao</t>
        </is>
      </c>
      <c r="W1322" s="110" t="inlineStr">
        <is>
          <t>PC em analise</t>
        </is>
      </c>
      <c r="X1322" s="110" t="inlineStr">
        <is>
          <t>Pedido de Compra</t>
        </is>
      </c>
      <c r="Y1322" s="111" t="inlineStr">
        <is>
          <t>Impacto Potencial</t>
        </is>
      </c>
      <c r="Z1322" s="111" t="inlineStr">
        <is>
          <t>PC</t>
        </is>
      </c>
      <c r="AA1322" s="111" t="inlineStr">
        <is>
          <t>Nao</t>
        </is>
      </c>
      <c r="AB1322" s="111" t="inlineStr">
        <is>
          <t>NAO_COMPUTADO</t>
        </is>
      </c>
      <c r="AC1322" s="112" t="inlineStr">
        <is>
          <t>Estrutura Fase 1: sem impacto no VTA oficial</t>
        </is>
      </c>
    </row>
    <row r="1323" ht="25.5" customHeight="1" s="289">
      <c r="A1323" s="205" t="n"/>
      <c r="B1323" s="207" t="n"/>
      <c r="C1323" s="104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348" t="n"/>
      <c r="E1323" s="349">
        <f>IF(C1323="","",IFERROR(VLOOKUP(C1323,parametros!$A$11:$E$15,5,0),""))</f>
        <v/>
      </c>
      <c r="F1323" s="335">
        <f>IF(OR(D1323="",E1323=""),"",ROUND(D1323*E1323,2))</f>
        <v/>
      </c>
      <c r="G1323" s="106" t="n"/>
      <c r="H1323" s="350">
        <f>IF(G1323="Sim",IF(OR(F1323="",D1323="",L1323=""),"",IF(L1323="Sim",ROUND(F1323-D1323,2),0)),0)</f>
        <v/>
      </c>
      <c r="I1323" s="350">
        <f>IF(G1323="Sim",0,IF(OR(F1323="",L1323=""),"",F1323))</f>
        <v/>
      </c>
      <c r="J1323" s="350">
        <f>IF(G1323="Sim",0,IF(OR(F1323="",D1323="",L1323=""),"",IF(L1323="Sim",ROUND(F1323-D1323,2),0)))</f>
        <v/>
      </c>
      <c r="K1323" s="97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inlineStr">
        <is>
          <t>Nao</t>
        </is>
      </c>
      <c r="W1323" s="110" t="inlineStr">
        <is>
          <t>PC em analise</t>
        </is>
      </c>
      <c r="X1323" s="110" t="inlineStr">
        <is>
          <t>Pedido de Compra</t>
        </is>
      </c>
      <c r="Y1323" s="111" t="inlineStr">
        <is>
          <t>Impacto Potencial</t>
        </is>
      </c>
      <c r="Z1323" s="111" t="inlineStr">
        <is>
          <t>PC</t>
        </is>
      </c>
      <c r="AA1323" s="111" t="inlineStr">
        <is>
          <t>Nao</t>
        </is>
      </c>
      <c r="AB1323" s="111" t="inlineStr">
        <is>
          <t>NAO_COMPUTADO</t>
        </is>
      </c>
      <c r="AC1323" s="112" t="inlineStr">
        <is>
          <t>Estrutura Fase 1: sem impacto no VTA oficial</t>
        </is>
      </c>
    </row>
    <row r="1324" ht="25.5" customHeight="1" s="289">
      <c r="A1324" s="205" t="n"/>
      <c r="B1324" s="207" t="n"/>
      <c r="C1324" s="104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348" t="n"/>
      <c r="E1324" s="349">
        <f>IF(C1324="","",IFERROR(VLOOKUP(C1324,parametros!$A$11:$E$15,5,0),""))</f>
        <v/>
      </c>
      <c r="F1324" s="335">
        <f>IF(OR(D1324="",E1324=""),"",ROUND(D1324*E1324,2))</f>
        <v/>
      </c>
      <c r="G1324" s="106" t="n"/>
      <c r="H1324" s="350">
        <f>IF(G1324="Sim",IF(OR(F1324="",D1324="",L1324=""),"",IF(L1324="Sim",ROUND(F1324-D1324,2),0)),0)</f>
        <v/>
      </c>
      <c r="I1324" s="350">
        <f>IF(G1324="Sim",0,IF(OR(F1324="",L1324=""),"",F1324))</f>
        <v/>
      </c>
      <c r="J1324" s="350">
        <f>IF(G1324="Sim",0,IF(OR(F1324="",D1324="",L1324=""),"",IF(L1324="Sim",ROUND(F1324-D1324,2),0)))</f>
        <v/>
      </c>
      <c r="K1324" s="97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inlineStr">
        <is>
          <t>Nao</t>
        </is>
      </c>
      <c r="W1324" s="110" t="inlineStr">
        <is>
          <t>PC em analise</t>
        </is>
      </c>
      <c r="X1324" s="110" t="inlineStr">
        <is>
          <t>Pedido de Compra</t>
        </is>
      </c>
      <c r="Y1324" s="111" t="inlineStr">
        <is>
          <t>Impacto Potencial</t>
        </is>
      </c>
      <c r="Z1324" s="111" t="inlineStr">
        <is>
          <t>PC</t>
        </is>
      </c>
      <c r="AA1324" s="111" t="inlineStr">
        <is>
          <t>Nao</t>
        </is>
      </c>
      <c r="AB1324" s="111" t="inlineStr">
        <is>
          <t>NAO_COMPUTADO</t>
        </is>
      </c>
      <c r="AC1324" s="112" t="inlineStr">
        <is>
          <t>Estrutura Fase 1: sem impacto no VTA oficial</t>
        </is>
      </c>
    </row>
    <row r="1325" ht="25.5" customHeight="1" s="289">
      <c r="A1325" s="205" t="n"/>
      <c r="B1325" s="207" t="n"/>
      <c r="C1325" s="104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348" t="n"/>
      <c r="E1325" s="349">
        <f>IF(C1325="","",IFERROR(VLOOKUP(C1325,parametros!$A$11:$E$15,5,0),""))</f>
        <v/>
      </c>
      <c r="F1325" s="335">
        <f>IF(OR(D1325="",E1325=""),"",ROUND(D1325*E1325,2))</f>
        <v/>
      </c>
      <c r="G1325" s="106" t="n"/>
      <c r="H1325" s="350">
        <f>IF(G1325="Sim",IF(OR(F1325="",D1325="",L1325=""),"",IF(L1325="Sim",ROUND(F1325-D1325,2),0)),0)</f>
        <v/>
      </c>
      <c r="I1325" s="350">
        <f>IF(G1325="Sim",0,IF(OR(F1325="",L1325=""),"",F1325))</f>
        <v/>
      </c>
      <c r="J1325" s="350">
        <f>IF(G1325="Sim",0,IF(OR(F1325="",D1325="",L1325=""),"",IF(L1325="Sim",ROUND(F1325-D1325,2),0)))</f>
        <v/>
      </c>
      <c r="K1325" s="97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inlineStr">
        <is>
          <t>Nao</t>
        </is>
      </c>
      <c r="W1325" s="110" t="inlineStr">
        <is>
          <t>PC em analise</t>
        </is>
      </c>
      <c r="X1325" s="110" t="inlineStr">
        <is>
          <t>Pedido de Compra</t>
        </is>
      </c>
      <c r="Y1325" s="111" t="inlineStr">
        <is>
          <t>Impacto Potencial</t>
        </is>
      </c>
      <c r="Z1325" s="111" t="inlineStr">
        <is>
          <t>PC</t>
        </is>
      </c>
      <c r="AA1325" s="111" t="inlineStr">
        <is>
          <t>Nao</t>
        </is>
      </c>
      <c r="AB1325" s="111" t="inlineStr">
        <is>
          <t>NAO_COMPUTADO</t>
        </is>
      </c>
      <c r="AC1325" s="112" t="inlineStr">
        <is>
          <t>Estrutura Fase 1: sem impacto no VTA oficial</t>
        </is>
      </c>
    </row>
    <row r="1326" ht="25.5" customHeight="1" s="289">
      <c r="A1326" s="205" t="n"/>
      <c r="B1326" s="207" t="n"/>
      <c r="C1326" s="104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348" t="n"/>
      <c r="E1326" s="349">
        <f>IF(C1326="","",IFERROR(VLOOKUP(C1326,parametros!$A$11:$E$15,5,0),""))</f>
        <v/>
      </c>
      <c r="F1326" s="335">
        <f>IF(OR(D1326="",E1326=""),"",ROUND(D1326*E1326,2))</f>
        <v/>
      </c>
      <c r="G1326" s="106" t="n"/>
      <c r="H1326" s="350">
        <f>IF(G1326="Sim",IF(OR(F1326="",D1326="",L1326=""),"",IF(L1326="Sim",ROUND(F1326-D1326,2),0)),0)</f>
        <v/>
      </c>
      <c r="I1326" s="350">
        <f>IF(G1326="Sim",0,IF(OR(F1326="",L1326=""),"",F1326))</f>
        <v/>
      </c>
      <c r="J1326" s="350">
        <f>IF(G1326="Sim",0,IF(OR(F1326="",D1326="",L1326=""),"",IF(L1326="Sim",ROUND(F1326-D1326,2),0)))</f>
        <v/>
      </c>
      <c r="K1326" s="97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inlineStr">
        <is>
          <t>Nao</t>
        </is>
      </c>
      <c r="W1326" s="110" t="inlineStr">
        <is>
          <t>PC em analise</t>
        </is>
      </c>
      <c r="X1326" s="110" t="inlineStr">
        <is>
          <t>Pedido de Compra</t>
        </is>
      </c>
      <c r="Y1326" s="111" t="inlineStr">
        <is>
          <t>Impacto Potencial</t>
        </is>
      </c>
      <c r="Z1326" s="111" t="inlineStr">
        <is>
          <t>PC</t>
        </is>
      </c>
      <c r="AA1326" s="111" t="inlineStr">
        <is>
          <t>Nao</t>
        </is>
      </c>
      <c r="AB1326" s="111" t="inlineStr">
        <is>
          <t>NAO_COMPUTADO</t>
        </is>
      </c>
      <c r="AC1326" s="112" t="inlineStr">
        <is>
          <t>Estrutura Fase 1: sem impacto no VTA oficial</t>
        </is>
      </c>
    </row>
    <row r="1327" ht="25.5" customHeight="1" s="289">
      <c r="A1327" s="205" t="n"/>
      <c r="B1327" s="207" t="n"/>
      <c r="C1327" s="104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348" t="n"/>
      <c r="E1327" s="349">
        <f>IF(C1327="","",IFERROR(VLOOKUP(C1327,parametros!$A$11:$E$15,5,0),""))</f>
        <v/>
      </c>
      <c r="F1327" s="335">
        <f>IF(OR(D1327="",E1327=""),"",ROUND(D1327*E1327,2))</f>
        <v/>
      </c>
      <c r="G1327" s="106" t="n"/>
      <c r="H1327" s="350">
        <f>IF(G1327="Sim",IF(OR(F1327="",D1327="",L1327=""),"",IF(L1327="Sim",ROUND(F1327-D1327,2),0)),0)</f>
        <v/>
      </c>
      <c r="I1327" s="350">
        <f>IF(G1327="Sim",0,IF(OR(F1327="",L1327=""),"",F1327))</f>
        <v/>
      </c>
      <c r="J1327" s="350">
        <f>IF(G1327="Sim",0,IF(OR(F1327="",D1327="",L1327=""),"",IF(L1327="Sim",ROUND(F1327-D1327,2),0)))</f>
        <v/>
      </c>
      <c r="K1327" s="97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inlineStr">
        <is>
          <t>Nao</t>
        </is>
      </c>
      <c r="W1327" s="110" t="inlineStr">
        <is>
          <t>PC em analise</t>
        </is>
      </c>
      <c r="X1327" s="110" t="inlineStr">
        <is>
          <t>Pedido de Compra</t>
        </is>
      </c>
      <c r="Y1327" s="111" t="inlineStr">
        <is>
          <t>Impacto Potencial</t>
        </is>
      </c>
      <c r="Z1327" s="111" t="inlineStr">
        <is>
          <t>PC</t>
        </is>
      </c>
      <c r="AA1327" s="111" t="inlineStr">
        <is>
          <t>Nao</t>
        </is>
      </c>
      <c r="AB1327" s="111" t="inlineStr">
        <is>
          <t>NAO_COMPUTADO</t>
        </is>
      </c>
      <c r="AC1327" s="112" t="inlineStr">
        <is>
          <t>Estrutura Fase 1: sem impacto no VTA oficial</t>
        </is>
      </c>
    </row>
    <row r="1328" ht="25.5" customHeight="1" s="289">
      <c r="A1328" s="205" t="n"/>
      <c r="B1328" s="207" t="n"/>
      <c r="C1328" s="104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348" t="n"/>
      <c r="E1328" s="349">
        <f>IF(C1328="","",IFERROR(VLOOKUP(C1328,parametros!$A$11:$E$15,5,0),""))</f>
        <v/>
      </c>
      <c r="F1328" s="335">
        <f>IF(OR(D1328="",E1328=""),"",ROUND(D1328*E1328,2))</f>
        <v/>
      </c>
      <c r="G1328" s="106" t="n"/>
      <c r="H1328" s="350">
        <f>IF(G1328="Sim",IF(OR(F1328="",D1328="",L1328=""),"",IF(L1328="Sim",ROUND(F1328-D1328,2),0)),0)</f>
        <v/>
      </c>
      <c r="I1328" s="350">
        <f>IF(G1328="Sim",0,IF(OR(F1328="",L1328=""),"",F1328))</f>
        <v/>
      </c>
      <c r="J1328" s="350">
        <f>IF(G1328="Sim",0,IF(OR(F1328="",D1328="",L1328=""),"",IF(L1328="Sim",ROUND(F1328-D1328,2),0)))</f>
        <v/>
      </c>
      <c r="K1328" s="97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inlineStr">
        <is>
          <t>Nao</t>
        </is>
      </c>
      <c r="W1328" s="110" t="inlineStr">
        <is>
          <t>PC em analise</t>
        </is>
      </c>
      <c r="X1328" s="110" t="inlineStr">
        <is>
          <t>Pedido de Compra</t>
        </is>
      </c>
      <c r="Y1328" s="111" t="inlineStr">
        <is>
          <t>Impacto Potencial</t>
        </is>
      </c>
      <c r="Z1328" s="111" t="inlineStr">
        <is>
          <t>PC</t>
        </is>
      </c>
      <c r="AA1328" s="111" t="inlineStr">
        <is>
          <t>Nao</t>
        </is>
      </c>
      <c r="AB1328" s="111" t="inlineStr">
        <is>
          <t>NAO_COMPUTADO</t>
        </is>
      </c>
      <c r="AC1328" s="112" t="inlineStr">
        <is>
          <t>Estrutura Fase 1: sem impacto no VTA oficial</t>
        </is>
      </c>
    </row>
    <row r="1329" ht="25.5" customHeight="1" s="289">
      <c r="A1329" s="205" t="n"/>
      <c r="B1329" s="207" t="n"/>
      <c r="C1329" s="104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348" t="n"/>
      <c r="E1329" s="349">
        <f>IF(C1329="","",IFERROR(VLOOKUP(C1329,parametros!$A$11:$E$15,5,0),""))</f>
        <v/>
      </c>
      <c r="F1329" s="335">
        <f>IF(OR(D1329="",E1329=""),"",ROUND(D1329*E1329,2))</f>
        <v/>
      </c>
      <c r="G1329" s="106" t="n"/>
      <c r="H1329" s="350">
        <f>IF(G1329="Sim",IF(OR(F1329="",D1329="",L1329=""),"",IF(L1329="Sim",ROUND(F1329-D1329,2),0)),0)</f>
        <v/>
      </c>
      <c r="I1329" s="350">
        <f>IF(G1329="Sim",0,IF(OR(F1329="",L1329=""),"",F1329))</f>
        <v/>
      </c>
      <c r="J1329" s="350">
        <f>IF(G1329="Sim",0,IF(OR(F1329="",D1329="",L1329=""),"",IF(L1329="Sim",ROUND(F1329-D1329,2),0)))</f>
        <v/>
      </c>
      <c r="K1329" s="97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inlineStr">
        <is>
          <t>Nao</t>
        </is>
      </c>
      <c r="W1329" s="110" t="inlineStr">
        <is>
          <t>PC em analise</t>
        </is>
      </c>
      <c r="X1329" s="110" t="inlineStr">
        <is>
          <t>Pedido de Compra</t>
        </is>
      </c>
      <c r="Y1329" s="111" t="inlineStr">
        <is>
          <t>Impacto Potencial</t>
        </is>
      </c>
      <c r="Z1329" s="111" t="inlineStr">
        <is>
          <t>PC</t>
        </is>
      </c>
      <c r="AA1329" s="111" t="inlineStr">
        <is>
          <t>Nao</t>
        </is>
      </c>
      <c r="AB1329" s="111" t="inlineStr">
        <is>
          <t>NAO_COMPUTADO</t>
        </is>
      </c>
      <c r="AC1329" s="112" t="inlineStr">
        <is>
          <t>Estrutura Fase 1: sem impacto no VTA oficial</t>
        </is>
      </c>
    </row>
    <row r="1330" ht="25.5" customHeight="1" s="289">
      <c r="A1330" s="205" t="n"/>
      <c r="B1330" s="207" t="n"/>
      <c r="C1330" s="104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348" t="n"/>
      <c r="E1330" s="349">
        <f>IF(C1330="","",IFERROR(VLOOKUP(C1330,parametros!$A$11:$E$15,5,0),""))</f>
        <v/>
      </c>
      <c r="F1330" s="335">
        <f>IF(OR(D1330="",E1330=""),"",ROUND(D1330*E1330,2))</f>
        <v/>
      </c>
      <c r="G1330" s="106" t="n"/>
      <c r="H1330" s="350">
        <f>IF(G1330="Sim",IF(OR(F1330="",D1330="",L1330=""),"",IF(L1330="Sim",ROUND(F1330-D1330,2),0)),0)</f>
        <v/>
      </c>
      <c r="I1330" s="350">
        <f>IF(G1330="Sim",0,IF(OR(F1330="",L1330=""),"",F1330))</f>
        <v/>
      </c>
      <c r="J1330" s="350">
        <f>IF(G1330="Sim",0,IF(OR(F1330="",D1330="",L1330=""),"",IF(L1330="Sim",ROUND(F1330-D1330,2),0)))</f>
        <v/>
      </c>
      <c r="K1330" s="97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inlineStr">
        <is>
          <t>Nao</t>
        </is>
      </c>
      <c r="W1330" s="110" t="inlineStr">
        <is>
          <t>PC em analise</t>
        </is>
      </c>
      <c r="X1330" s="110" t="inlineStr">
        <is>
          <t>Pedido de Compra</t>
        </is>
      </c>
      <c r="Y1330" s="111" t="inlineStr">
        <is>
          <t>Impacto Potencial</t>
        </is>
      </c>
      <c r="Z1330" s="111" t="inlineStr">
        <is>
          <t>PC</t>
        </is>
      </c>
      <c r="AA1330" s="111" t="inlineStr">
        <is>
          <t>Nao</t>
        </is>
      </c>
      <c r="AB1330" s="111" t="inlineStr">
        <is>
          <t>NAO_COMPUTADO</t>
        </is>
      </c>
      <c r="AC1330" s="112" t="inlineStr">
        <is>
          <t>Estrutura Fase 1: sem impacto no VTA oficial</t>
        </is>
      </c>
    </row>
    <row r="1331" ht="25.5" customHeight="1" s="289">
      <c r="A1331" s="205" t="n"/>
      <c r="B1331" s="207" t="n"/>
      <c r="C1331" s="104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348" t="n"/>
      <c r="E1331" s="349">
        <f>IF(C1331="","",IFERROR(VLOOKUP(C1331,parametros!$A$11:$E$15,5,0),""))</f>
        <v/>
      </c>
      <c r="F1331" s="335">
        <f>IF(OR(D1331="",E1331=""),"",ROUND(D1331*E1331,2))</f>
        <v/>
      </c>
      <c r="G1331" s="106" t="n"/>
      <c r="H1331" s="350">
        <f>IF(G1331="Sim",IF(OR(F1331="",D1331="",L1331=""),"",IF(L1331="Sim",ROUND(F1331-D1331,2),0)),0)</f>
        <v/>
      </c>
      <c r="I1331" s="350">
        <f>IF(G1331="Sim",0,IF(OR(F1331="",L1331=""),"",F1331))</f>
        <v/>
      </c>
      <c r="J1331" s="350">
        <f>IF(G1331="Sim",0,IF(OR(F1331="",D1331="",L1331=""),"",IF(L1331="Sim",ROUND(F1331-D1331,2),0)))</f>
        <v/>
      </c>
      <c r="K1331" s="97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inlineStr">
        <is>
          <t>Nao</t>
        </is>
      </c>
      <c r="W1331" s="110" t="inlineStr">
        <is>
          <t>PC em analise</t>
        </is>
      </c>
      <c r="X1331" s="110" t="inlineStr">
        <is>
          <t>Pedido de Compra</t>
        </is>
      </c>
      <c r="Y1331" s="111" t="inlineStr">
        <is>
          <t>Impacto Potencial</t>
        </is>
      </c>
      <c r="Z1331" s="111" t="inlineStr">
        <is>
          <t>PC</t>
        </is>
      </c>
      <c r="AA1331" s="111" t="inlineStr">
        <is>
          <t>Nao</t>
        </is>
      </c>
      <c r="AB1331" s="111" t="inlineStr">
        <is>
          <t>NAO_COMPUTADO</t>
        </is>
      </c>
      <c r="AC1331" s="112" t="inlineStr">
        <is>
          <t>Estrutura Fase 1: sem impacto no VTA oficial</t>
        </is>
      </c>
    </row>
    <row r="1332" ht="25.5" customHeight="1" s="289">
      <c r="A1332" s="205" t="n"/>
      <c r="B1332" s="207" t="n"/>
      <c r="C1332" s="104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348" t="n"/>
      <c r="E1332" s="349">
        <f>IF(C1332="","",IFERROR(VLOOKUP(C1332,parametros!$A$11:$E$15,5,0),""))</f>
        <v/>
      </c>
      <c r="F1332" s="335">
        <f>IF(OR(D1332="",E1332=""),"",ROUND(D1332*E1332,2))</f>
        <v/>
      </c>
      <c r="G1332" s="106" t="n"/>
      <c r="H1332" s="350">
        <f>IF(G1332="Sim",IF(OR(F1332="",D1332="",L1332=""),"",IF(L1332="Sim",ROUND(F1332-D1332,2),0)),0)</f>
        <v/>
      </c>
      <c r="I1332" s="350">
        <f>IF(G1332="Sim",0,IF(OR(F1332="",L1332=""),"",F1332))</f>
        <v/>
      </c>
      <c r="J1332" s="350">
        <f>IF(G1332="Sim",0,IF(OR(F1332="",D1332="",L1332=""),"",IF(L1332="Sim",ROUND(F1332-D1332,2),0)))</f>
        <v/>
      </c>
      <c r="K1332" s="97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inlineStr">
        <is>
          <t>Nao</t>
        </is>
      </c>
      <c r="W1332" s="110" t="inlineStr">
        <is>
          <t>PC em analise</t>
        </is>
      </c>
      <c r="X1332" s="110" t="inlineStr">
        <is>
          <t>Pedido de Compra</t>
        </is>
      </c>
      <c r="Y1332" s="111" t="inlineStr">
        <is>
          <t>Impacto Potencial</t>
        </is>
      </c>
      <c r="Z1332" s="111" t="inlineStr">
        <is>
          <t>PC</t>
        </is>
      </c>
      <c r="AA1332" s="111" t="inlineStr">
        <is>
          <t>Nao</t>
        </is>
      </c>
      <c r="AB1332" s="111" t="inlineStr">
        <is>
          <t>NAO_COMPUTADO</t>
        </is>
      </c>
      <c r="AC1332" s="112" t="inlineStr">
        <is>
          <t>Estrutura Fase 1: sem impacto no VTA oficial</t>
        </is>
      </c>
    </row>
    <row r="1333" ht="25.5" customHeight="1" s="289">
      <c r="A1333" s="205" t="n"/>
      <c r="B1333" s="207" t="n"/>
      <c r="C1333" s="104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348" t="n"/>
      <c r="E1333" s="349">
        <f>IF(C1333="","",IFERROR(VLOOKUP(C1333,parametros!$A$11:$E$15,5,0),""))</f>
        <v/>
      </c>
      <c r="F1333" s="335">
        <f>IF(OR(D1333="",E1333=""),"",ROUND(D1333*E1333,2))</f>
        <v/>
      </c>
      <c r="G1333" s="106" t="n"/>
      <c r="H1333" s="350">
        <f>IF(G1333="Sim",IF(OR(F1333="",D1333="",L1333=""),"",IF(L1333="Sim",ROUND(F1333-D1333,2),0)),0)</f>
        <v/>
      </c>
      <c r="I1333" s="350">
        <f>IF(G1333="Sim",0,IF(OR(F1333="",L1333=""),"",F1333))</f>
        <v/>
      </c>
      <c r="J1333" s="350">
        <f>IF(G1333="Sim",0,IF(OR(F1333="",D1333="",L1333=""),"",IF(L1333="Sim",ROUND(F1333-D1333,2),0)))</f>
        <v/>
      </c>
      <c r="K1333" s="97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inlineStr">
        <is>
          <t>Nao</t>
        </is>
      </c>
      <c r="W1333" s="110" t="inlineStr">
        <is>
          <t>PC em analise</t>
        </is>
      </c>
      <c r="X1333" s="110" t="inlineStr">
        <is>
          <t>Pedido de Compra</t>
        </is>
      </c>
      <c r="Y1333" s="111" t="inlineStr">
        <is>
          <t>Impacto Potencial</t>
        </is>
      </c>
      <c r="Z1333" s="111" t="inlineStr">
        <is>
          <t>PC</t>
        </is>
      </c>
      <c r="AA1333" s="111" t="inlineStr">
        <is>
          <t>Nao</t>
        </is>
      </c>
      <c r="AB1333" s="111" t="inlineStr">
        <is>
          <t>NAO_COMPUTADO</t>
        </is>
      </c>
      <c r="AC1333" s="112" t="inlineStr">
        <is>
          <t>Estrutura Fase 1: sem impacto no VTA oficial</t>
        </is>
      </c>
    </row>
    <row r="1334" ht="25.5" customHeight="1" s="289">
      <c r="A1334" s="205" t="n"/>
      <c r="B1334" s="207" t="n"/>
      <c r="C1334" s="104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348" t="n"/>
      <c r="E1334" s="349">
        <f>IF(C1334="","",IFERROR(VLOOKUP(C1334,parametros!$A$11:$E$15,5,0),""))</f>
        <v/>
      </c>
      <c r="F1334" s="335">
        <f>IF(OR(D1334="",E1334=""),"",ROUND(D1334*E1334,2))</f>
        <v/>
      </c>
      <c r="G1334" s="106" t="n"/>
      <c r="H1334" s="350">
        <f>IF(G1334="Sim",IF(OR(F1334="",D1334="",L1334=""),"",IF(L1334="Sim",ROUND(F1334-D1334,2),0)),0)</f>
        <v/>
      </c>
      <c r="I1334" s="350">
        <f>IF(G1334="Sim",0,IF(OR(F1334="",L1334=""),"",F1334))</f>
        <v/>
      </c>
      <c r="J1334" s="350">
        <f>IF(G1334="Sim",0,IF(OR(F1334="",D1334="",L1334=""),"",IF(L1334="Sim",ROUND(F1334-D1334,2),0)))</f>
        <v/>
      </c>
      <c r="K1334" s="97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inlineStr">
        <is>
          <t>Nao</t>
        </is>
      </c>
      <c r="W1334" s="110" t="inlineStr">
        <is>
          <t>PC em analise</t>
        </is>
      </c>
      <c r="X1334" s="110" t="inlineStr">
        <is>
          <t>Pedido de Compra</t>
        </is>
      </c>
      <c r="Y1334" s="111" t="inlineStr">
        <is>
          <t>Impacto Potencial</t>
        </is>
      </c>
      <c r="Z1334" s="111" t="inlineStr">
        <is>
          <t>PC</t>
        </is>
      </c>
      <c r="AA1334" s="111" t="inlineStr">
        <is>
          <t>Nao</t>
        </is>
      </c>
      <c r="AB1334" s="111" t="inlineStr">
        <is>
          <t>NAO_COMPUTADO</t>
        </is>
      </c>
      <c r="AC1334" s="112" t="inlineStr">
        <is>
          <t>Estrutura Fase 1: sem impacto no VTA oficial</t>
        </is>
      </c>
    </row>
    <row r="1335" ht="25.5" customHeight="1" s="289">
      <c r="A1335" s="205" t="n"/>
      <c r="B1335" s="207" t="n"/>
      <c r="C1335" s="104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348" t="n"/>
      <c r="E1335" s="349">
        <f>IF(C1335="","",IFERROR(VLOOKUP(C1335,parametros!$A$11:$E$15,5,0),""))</f>
        <v/>
      </c>
      <c r="F1335" s="335">
        <f>IF(OR(D1335="",E1335=""),"",ROUND(D1335*E1335,2))</f>
        <v/>
      </c>
      <c r="G1335" s="106" t="n"/>
      <c r="H1335" s="350">
        <f>IF(G1335="Sim",IF(OR(F1335="",D1335="",L1335=""),"",IF(L1335="Sim",ROUND(F1335-D1335,2),0)),0)</f>
        <v/>
      </c>
      <c r="I1335" s="350">
        <f>IF(G1335="Sim",0,IF(OR(F1335="",L1335=""),"",F1335))</f>
        <v/>
      </c>
      <c r="J1335" s="350">
        <f>IF(G1335="Sim",0,IF(OR(F1335="",D1335="",L1335=""),"",IF(L1335="Sim",ROUND(F1335-D1335,2),0)))</f>
        <v/>
      </c>
      <c r="K1335" s="97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inlineStr">
        <is>
          <t>Nao</t>
        </is>
      </c>
      <c r="W1335" s="110" t="inlineStr">
        <is>
          <t>PC em analise</t>
        </is>
      </c>
      <c r="X1335" s="110" t="inlineStr">
        <is>
          <t>Pedido de Compra</t>
        </is>
      </c>
      <c r="Y1335" s="111" t="inlineStr">
        <is>
          <t>Impacto Potencial</t>
        </is>
      </c>
      <c r="Z1335" s="111" t="inlineStr">
        <is>
          <t>PC</t>
        </is>
      </c>
      <c r="AA1335" s="111" t="inlineStr">
        <is>
          <t>Nao</t>
        </is>
      </c>
      <c r="AB1335" s="111" t="inlineStr">
        <is>
          <t>NAO_COMPUTADO</t>
        </is>
      </c>
      <c r="AC1335" s="112" t="inlineStr">
        <is>
          <t>Estrutura Fase 1: sem impacto no VTA oficial</t>
        </is>
      </c>
    </row>
    <row r="1336" ht="25.5" customHeight="1" s="289">
      <c r="A1336" s="205" t="n"/>
      <c r="B1336" s="207" t="n"/>
      <c r="C1336" s="104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348" t="n"/>
      <c r="E1336" s="349">
        <f>IF(C1336="","",IFERROR(VLOOKUP(C1336,parametros!$A$11:$E$15,5,0),""))</f>
        <v/>
      </c>
      <c r="F1336" s="335">
        <f>IF(OR(D1336="",E1336=""),"",ROUND(D1336*E1336,2))</f>
        <v/>
      </c>
      <c r="G1336" s="106" t="n"/>
      <c r="H1336" s="350">
        <f>IF(G1336="Sim",IF(OR(F1336="",D1336="",L1336=""),"",IF(L1336="Sim",ROUND(F1336-D1336,2),0)),0)</f>
        <v/>
      </c>
      <c r="I1336" s="350">
        <f>IF(G1336="Sim",0,IF(OR(F1336="",L1336=""),"",F1336))</f>
        <v/>
      </c>
      <c r="J1336" s="350">
        <f>IF(G1336="Sim",0,IF(OR(F1336="",D1336="",L1336=""),"",IF(L1336="Sim",ROUND(F1336-D1336,2),0)))</f>
        <v/>
      </c>
      <c r="K1336" s="97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inlineStr">
        <is>
          <t>Nao</t>
        </is>
      </c>
      <c r="W1336" s="110" t="inlineStr">
        <is>
          <t>PC em analise</t>
        </is>
      </c>
      <c r="X1336" s="110" t="inlineStr">
        <is>
          <t>Pedido de Compra</t>
        </is>
      </c>
      <c r="Y1336" s="111" t="inlineStr">
        <is>
          <t>Impacto Potencial</t>
        </is>
      </c>
      <c r="Z1336" s="111" t="inlineStr">
        <is>
          <t>PC</t>
        </is>
      </c>
      <c r="AA1336" s="111" t="inlineStr">
        <is>
          <t>Nao</t>
        </is>
      </c>
      <c r="AB1336" s="111" t="inlineStr">
        <is>
          <t>NAO_COMPUTADO</t>
        </is>
      </c>
      <c r="AC1336" s="112" t="inlineStr">
        <is>
          <t>Estrutura Fase 1: sem impacto no VTA oficial</t>
        </is>
      </c>
    </row>
    <row r="1337" ht="25.5" customHeight="1" s="289">
      <c r="A1337" s="205" t="n"/>
      <c r="B1337" s="207" t="n"/>
      <c r="C1337" s="104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348" t="n"/>
      <c r="E1337" s="349">
        <f>IF(C1337="","",IFERROR(VLOOKUP(C1337,parametros!$A$11:$E$15,5,0),""))</f>
        <v/>
      </c>
      <c r="F1337" s="335">
        <f>IF(OR(D1337="",E1337=""),"",ROUND(D1337*E1337,2))</f>
        <v/>
      </c>
      <c r="G1337" s="106" t="n"/>
      <c r="H1337" s="350">
        <f>IF(G1337="Sim",IF(OR(F1337="",D1337="",L1337=""),"",IF(L1337="Sim",ROUND(F1337-D1337,2),0)),0)</f>
        <v/>
      </c>
      <c r="I1337" s="350">
        <f>IF(G1337="Sim",0,IF(OR(F1337="",L1337=""),"",F1337))</f>
        <v/>
      </c>
      <c r="J1337" s="350">
        <f>IF(G1337="Sim",0,IF(OR(F1337="",D1337="",L1337=""),"",IF(L1337="Sim",ROUND(F1337-D1337,2),0)))</f>
        <v/>
      </c>
      <c r="K1337" s="97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inlineStr">
        <is>
          <t>Nao</t>
        </is>
      </c>
      <c r="W1337" s="110" t="inlineStr">
        <is>
          <t>PC em analise</t>
        </is>
      </c>
      <c r="X1337" s="110" t="inlineStr">
        <is>
          <t>Pedido de Compra</t>
        </is>
      </c>
      <c r="Y1337" s="111" t="inlineStr">
        <is>
          <t>Impacto Potencial</t>
        </is>
      </c>
      <c r="Z1337" s="111" t="inlineStr">
        <is>
          <t>PC</t>
        </is>
      </c>
      <c r="AA1337" s="111" t="inlineStr">
        <is>
          <t>Nao</t>
        </is>
      </c>
      <c r="AB1337" s="111" t="inlineStr">
        <is>
          <t>NAO_COMPUTADO</t>
        </is>
      </c>
      <c r="AC1337" s="112" t="inlineStr">
        <is>
          <t>Estrutura Fase 1: sem impacto no VTA oficial</t>
        </is>
      </c>
    </row>
    <row r="1338" ht="25.5" customHeight="1" s="289">
      <c r="A1338" s="205" t="n"/>
      <c r="B1338" s="207" t="n"/>
      <c r="C1338" s="104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348" t="n"/>
      <c r="E1338" s="349">
        <f>IF(C1338="","",IFERROR(VLOOKUP(C1338,parametros!$A$11:$E$15,5,0),""))</f>
        <v/>
      </c>
      <c r="F1338" s="335">
        <f>IF(OR(D1338="",E1338=""),"",ROUND(D1338*E1338,2))</f>
        <v/>
      </c>
      <c r="G1338" s="106" t="n"/>
      <c r="H1338" s="350">
        <f>IF(G1338="Sim",IF(OR(F1338="",D1338="",L1338=""),"",IF(L1338="Sim",ROUND(F1338-D1338,2),0)),0)</f>
        <v/>
      </c>
      <c r="I1338" s="350">
        <f>IF(G1338="Sim",0,IF(OR(F1338="",L1338=""),"",F1338))</f>
        <v/>
      </c>
      <c r="J1338" s="350">
        <f>IF(G1338="Sim",0,IF(OR(F1338="",D1338="",L1338=""),"",IF(L1338="Sim",ROUND(F1338-D1338,2),0)))</f>
        <v/>
      </c>
      <c r="K1338" s="97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inlineStr">
        <is>
          <t>Nao</t>
        </is>
      </c>
      <c r="W1338" s="110" t="inlineStr">
        <is>
          <t>PC em analise</t>
        </is>
      </c>
      <c r="X1338" s="110" t="inlineStr">
        <is>
          <t>Pedido de Compra</t>
        </is>
      </c>
      <c r="Y1338" s="111" t="inlineStr">
        <is>
          <t>Impacto Potencial</t>
        </is>
      </c>
      <c r="Z1338" s="111" t="inlineStr">
        <is>
          <t>PC</t>
        </is>
      </c>
      <c r="AA1338" s="111" t="inlineStr">
        <is>
          <t>Nao</t>
        </is>
      </c>
      <c r="AB1338" s="111" t="inlineStr">
        <is>
          <t>NAO_COMPUTADO</t>
        </is>
      </c>
      <c r="AC1338" s="112" t="inlineStr">
        <is>
          <t>Estrutura Fase 1: sem impacto no VTA oficial</t>
        </is>
      </c>
    </row>
    <row r="1339" ht="25.5" customHeight="1" s="289">
      <c r="A1339" s="205" t="n"/>
      <c r="B1339" s="207" t="n"/>
      <c r="C1339" s="104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348" t="n"/>
      <c r="E1339" s="349">
        <f>IF(C1339="","",IFERROR(VLOOKUP(C1339,parametros!$A$11:$E$15,5,0),""))</f>
        <v/>
      </c>
      <c r="F1339" s="335">
        <f>IF(OR(D1339="",E1339=""),"",ROUND(D1339*E1339,2))</f>
        <v/>
      </c>
      <c r="G1339" s="106" t="n"/>
      <c r="H1339" s="350">
        <f>IF(G1339="Sim",IF(OR(F1339="",D1339="",L1339=""),"",IF(L1339="Sim",ROUND(F1339-D1339,2),0)),0)</f>
        <v/>
      </c>
      <c r="I1339" s="350">
        <f>IF(G1339="Sim",0,IF(OR(F1339="",L1339=""),"",F1339))</f>
        <v/>
      </c>
      <c r="J1339" s="350">
        <f>IF(G1339="Sim",0,IF(OR(F1339="",D1339="",L1339=""),"",IF(L1339="Sim",ROUND(F1339-D1339,2),0)))</f>
        <v/>
      </c>
      <c r="K1339" s="97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inlineStr">
        <is>
          <t>Nao</t>
        </is>
      </c>
      <c r="W1339" s="110" t="inlineStr">
        <is>
          <t>PC em analise</t>
        </is>
      </c>
      <c r="X1339" s="110" t="inlineStr">
        <is>
          <t>Pedido de Compra</t>
        </is>
      </c>
      <c r="Y1339" s="111" t="inlineStr">
        <is>
          <t>Impacto Potencial</t>
        </is>
      </c>
      <c r="Z1339" s="111" t="inlineStr">
        <is>
          <t>PC</t>
        </is>
      </c>
      <c r="AA1339" s="111" t="inlineStr">
        <is>
          <t>Nao</t>
        </is>
      </c>
      <c r="AB1339" s="111" t="inlineStr">
        <is>
          <t>NAO_COMPUTADO</t>
        </is>
      </c>
      <c r="AC1339" s="112" t="inlineStr">
        <is>
          <t>Estrutura Fase 1: sem impacto no VTA oficial</t>
        </is>
      </c>
    </row>
    <row r="1340" ht="25.5" customHeight="1" s="289">
      <c r="A1340" s="205" t="n"/>
      <c r="B1340" s="207" t="n"/>
      <c r="C1340" s="104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348" t="n"/>
      <c r="E1340" s="349">
        <f>IF(C1340="","",IFERROR(VLOOKUP(C1340,parametros!$A$11:$E$15,5,0),""))</f>
        <v/>
      </c>
      <c r="F1340" s="335">
        <f>IF(OR(D1340="",E1340=""),"",ROUND(D1340*E1340,2))</f>
        <v/>
      </c>
      <c r="G1340" s="106" t="n"/>
      <c r="H1340" s="350">
        <f>IF(G1340="Sim",IF(OR(F1340="",D1340="",L1340=""),"",IF(L1340="Sim",ROUND(F1340-D1340,2),0)),0)</f>
        <v/>
      </c>
      <c r="I1340" s="350">
        <f>IF(G1340="Sim",0,IF(OR(F1340="",L1340=""),"",F1340))</f>
        <v/>
      </c>
      <c r="J1340" s="350">
        <f>IF(G1340="Sim",0,IF(OR(F1340="",D1340="",L1340=""),"",IF(L1340="Sim",ROUND(F1340-D1340,2),0)))</f>
        <v/>
      </c>
      <c r="K1340" s="97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inlineStr">
        <is>
          <t>Nao</t>
        </is>
      </c>
      <c r="W1340" s="110" t="inlineStr">
        <is>
          <t>PC em analise</t>
        </is>
      </c>
      <c r="X1340" s="110" t="inlineStr">
        <is>
          <t>Pedido de Compra</t>
        </is>
      </c>
      <c r="Y1340" s="111" t="inlineStr">
        <is>
          <t>Impacto Potencial</t>
        </is>
      </c>
      <c r="Z1340" s="111" t="inlineStr">
        <is>
          <t>PC</t>
        </is>
      </c>
      <c r="AA1340" s="111" t="inlineStr">
        <is>
          <t>Nao</t>
        </is>
      </c>
      <c r="AB1340" s="111" t="inlineStr">
        <is>
          <t>NAO_COMPUTADO</t>
        </is>
      </c>
      <c r="AC1340" s="112" t="inlineStr">
        <is>
          <t>Estrutura Fase 1: sem impacto no VTA oficial</t>
        </is>
      </c>
    </row>
    <row r="1341" ht="25.5" customHeight="1" s="289">
      <c r="A1341" s="205" t="n"/>
      <c r="B1341" s="207" t="n"/>
      <c r="C1341" s="104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348" t="n"/>
      <c r="E1341" s="349">
        <f>IF(C1341="","",IFERROR(VLOOKUP(C1341,parametros!$A$11:$E$15,5,0),""))</f>
        <v/>
      </c>
      <c r="F1341" s="335">
        <f>IF(OR(D1341="",E1341=""),"",ROUND(D1341*E1341,2))</f>
        <v/>
      </c>
      <c r="G1341" s="106" t="n"/>
      <c r="H1341" s="350">
        <f>IF(G1341="Sim",IF(OR(F1341="",D1341="",L1341=""),"",IF(L1341="Sim",ROUND(F1341-D1341,2),0)),0)</f>
        <v/>
      </c>
      <c r="I1341" s="350">
        <f>IF(G1341="Sim",0,IF(OR(F1341="",L1341=""),"",F1341))</f>
        <v/>
      </c>
      <c r="J1341" s="350">
        <f>IF(G1341="Sim",0,IF(OR(F1341="",D1341="",L1341=""),"",IF(L1341="Sim",ROUND(F1341-D1341,2),0)))</f>
        <v/>
      </c>
      <c r="K1341" s="97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inlineStr">
        <is>
          <t>Nao</t>
        </is>
      </c>
      <c r="W1341" s="110" t="inlineStr">
        <is>
          <t>PC em analise</t>
        </is>
      </c>
      <c r="X1341" s="110" t="inlineStr">
        <is>
          <t>Pedido de Compra</t>
        </is>
      </c>
      <c r="Y1341" s="111" t="inlineStr">
        <is>
          <t>Impacto Potencial</t>
        </is>
      </c>
      <c r="Z1341" s="111" t="inlineStr">
        <is>
          <t>PC</t>
        </is>
      </c>
      <c r="AA1341" s="111" t="inlineStr">
        <is>
          <t>Nao</t>
        </is>
      </c>
      <c r="AB1341" s="111" t="inlineStr">
        <is>
          <t>NAO_COMPUTADO</t>
        </is>
      </c>
      <c r="AC1341" s="112" t="inlineStr">
        <is>
          <t>Estrutura Fase 1: sem impacto no VTA oficial</t>
        </is>
      </c>
    </row>
    <row r="1342" ht="25.5" customHeight="1" s="289">
      <c r="A1342" s="205" t="n"/>
      <c r="B1342" s="207" t="n"/>
      <c r="C1342" s="104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348" t="n"/>
      <c r="E1342" s="349">
        <f>IF(C1342="","",IFERROR(VLOOKUP(C1342,parametros!$A$11:$E$15,5,0),""))</f>
        <v/>
      </c>
      <c r="F1342" s="335">
        <f>IF(OR(D1342="",E1342=""),"",ROUND(D1342*E1342,2))</f>
        <v/>
      </c>
      <c r="G1342" s="106" t="n"/>
      <c r="H1342" s="350">
        <f>IF(G1342="Sim",IF(OR(F1342="",D1342="",L1342=""),"",IF(L1342="Sim",ROUND(F1342-D1342,2),0)),0)</f>
        <v/>
      </c>
      <c r="I1342" s="350">
        <f>IF(G1342="Sim",0,IF(OR(F1342="",L1342=""),"",F1342))</f>
        <v/>
      </c>
      <c r="J1342" s="350">
        <f>IF(G1342="Sim",0,IF(OR(F1342="",D1342="",L1342=""),"",IF(L1342="Sim",ROUND(F1342-D1342,2),0)))</f>
        <v/>
      </c>
      <c r="K1342" s="97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inlineStr">
        <is>
          <t>Nao</t>
        </is>
      </c>
      <c r="W1342" s="110" t="inlineStr">
        <is>
          <t>PC em analise</t>
        </is>
      </c>
      <c r="X1342" s="110" t="inlineStr">
        <is>
          <t>Pedido de Compra</t>
        </is>
      </c>
      <c r="Y1342" s="111" t="inlineStr">
        <is>
          <t>Impacto Potencial</t>
        </is>
      </c>
      <c r="Z1342" s="111" t="inlineStr">
        <is>
          <t>PC</t>
        </is>
      </c>
      <c r="AA1342" s="111" t="inlineStr">
        <is>
          <t>Nao</t>
        </is>
      </c>
      <c r="AB1342" s="111" t="inlineStr">
        <is>
          <t>NAO_COMPUTADO</t>
        </is>
      </c>
      <c r="AC1342" s="112" t="inlineStr">
        <is>
          <t>Estrutura Fase 1: sem impacto no VTA oficial</t>
        </is>
      </c>
    </row>
    <row r="1343" ht="25.5" customHeight="1" s="289">
      <c r="A1343" s="205" t="n"/>
      <c r="B1343" s="207" t="n"/>
      <c r="C1343" s="104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348" t="n"/>
      <c r="E1343" s="349">
        <f>IF(C1343="","",IFERROR(VLOOKUP(C1343,parametros!$A$11:$E$15,5,0),""))</f>
        <v/>
      </c>
      <c r="F1343" s="335">
        <f>IF(OR(D1343="",E1343=""),"",ROUND(D1343*E1343,2))</f>
        <v/>
      </c>
      <c r="G1343" s="106" t="n"/>
      <c r="H1343" s="350">
        <f>IF(G1343="Sim",IF(OR(F1343="",D1343="",L1343=""),"",IF(L1343="Sim",ROUND(F1343-D1343,2),0)),0)</f>
        <v/>
      </c>
      <c r="I1343" s="350">
        <f>IF(G1343="Sim",0,IF(OR(F1343="",L1343=""),"",F1343))</f>
        <v/>
      </c>
      <c r="J1343" s="350">
        <f>IF(G1343="Sim",0,IF(OR(F1343="",D1343="",L1343=""),"",IF(L1343="Sim",ROUND(F1343-D1343,2),0)))</f>
        <v/>
      </c>
      <c r="K1343" s="97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inlineStr">
        <is>
          <t>Nao</t>
        </is>
      </c>
      <c r="W1343" s="110" t="inlineStr">
        <is>
          <t>PC em analise</t>
        </is>
      </c>
      <c r="X1343" s="110" t="inlineStr">
        <is>
          <t>Pedido de Compra</t>
        </is>
      </c>
      <c r="Y1343" s="111" t="inlineStr">
        <is>
          <t>Impacto Potencial</t>
        </is>
      </c>
      <c r="Z1343" s="111" t="inlineStr">
        <is>
          <t>PC</t>
        </is>
      </c>
      <c r="AA1343" s="111" t="inlineStr">
        <is>
          <t>Nao</t>
        </is>
      </c>
      <c r="AB1343" s="111" t="inlineStr">
        <is>
          <t>NAO_COMPUTADO</t>
        </is>
      </c>
      <c r="AC1343" s="112" t="inlineStr">
        <is>
          <t>Estrutura Fase 1: sem impacto no VTA oficial</t>
        </is>
      </c>
    </row>
    <row r="1344" ht="25.5" customHeight="1" s="289">
      <c r="A1344" s="205" t="n"/>
      <c r="B1344" s="207" t="n"/>
      <c r="C1344" s="104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348" t="n"/>
      <c r="E1344" s="349">
        <f>IF(C1344="","",IFERROR(VLOOKUP(C1344,parametros!$A$11:$E$15,5,0),""))</f>
        <v/>
      </c>
      <c r="F1344" s="335">
        <f>IF(OR(D1344="",E1344=""),"",ROUND(D1344*E1344,2))</f>
        <v/>
      </c>
      <c r="G1344" s="106" t="n"/>
      <c r="H1344" s="350">
        <f>IF(G1344="Sim",IF(OR(F1344="",D1344="",L1344=""),"",IF(L1344="Sim",ROUND(F1344-D1344,2),0)),0)</f>
        <v/>
      </c>
      <c r="I1344" s="350">
        <f>IF(G1344="Sim",0,IF(OR(F1344="",L1344=""),"",F1344))</f>
        <v/>
      </c>
      <c r="J1344" s="350">
        <f>IF(G1344="Sim",0,IF(OR(F1344="",D1344="",L1344=""),"",IF(L1344="Sim",ROUND(F1344-D1344,2),0)))</f>
        <v/>
      </c>
      <c r="K1344" s="97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inlineStr">
        <is>
          <t>Nao</t>
        </is>
      </c>
      <c r="W1344" s="110" t="inlineStr">
        <is>
          <t>PC em analise</t>
        </is>
      </c>
      <c r="X1344" s="110" t="inlineStr">
        <is>
          <t>Pedido de Compra</t>
        </is>
      </c>
      <c r="Y1344" s="111" t="inlineStr">
        <is>
          <t>Impacto Potencial</t>
        </is>
      </c>
      <c r="Z1344" s="111" t="inlineStr">
        <is>
          <t>PC</t>
        </is>
      </c>
      <c r="AA1344" s="111" t="inlineStr">
        <is>
          <t>Nao</t>
        </is>
      </c>
      <c r="AB1344" s="111" t="inlineStr">
        <is>
          <t>NAO_COMPUTADO</t>
        </is>
      </c>
      <c r="AC1344" s="112" t="inlineStr">
        <is>
          <t>Estrutura Fase 1: sem impacto no VTA oficial</t>
        </is>
      </c>
    </row>
    <row r="1345" ht="25.5" customHeight="1" s="289">
      <c r="A1345" s="205" t="n"/>
      <c r="B1345" s="207" t="n"/>
      <c r="C1345" s="104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348" t="n"/>
      <c r="E1345" s="349">
        <f>IF(C1345="","",IFERROR(VLOOKUP(C1345,parametros!$A$11:$E$15,5,0),""))</f>
        <v/>
      </c>
      <c r="F1345" s="335">
        <f>IF(OR(D1345="",E1345=""),"",ROUND(D1345*E1345,2))</f>
        <v/>
      </c>
      <c r="G1345" s="106" t="n"/>
      <c r="H1345" s="350">
        <f>IF(G1345="Sim",IF(OR(F1345="",D1345="",L1345=""),"",IF(L1345="Sim",ROUND(F1345-D1345,2),0)),0)</f>
        <v/>
      </c>
      <c r="I1345" s="350">
        <f>IF(G1345="Sim",0,IF(OR(F1345="",L1345=""),"",F1345))</f>
        <v/>
      </c>
      <c r="J1345" s="350">
        <f>IF(G1345="Sim",0,IF(OR(F1345="",D1345="",L1345=""),"",IF(L1345="Sim",ROUND(F1345-D1345,2),0)))</f>
        <v/>
      </c>
      <c r="K1345" s="97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inlineStr">
        <is>
          <t>Nao</t>
        </is>
      </c>
      <c r="W1345" s="110" t="inlineStr">
        <is>
          <t>PC em analise</t>
        </is>
      </c>
      <c r="X1345" s="110" t="inlineStr">
        <is>
          <t>Pedido de Compra</t>
        </is>
      </c>
      <c r="Y1345" s="111" t="inlineStr">
        <is>
          <t>Impacto Potencial</t>
        </is>
      </c>
      <c r="Z1345" s="111" t="inlineStr">
        <is>
          <t>PC</t>
        </is>
      </c>
      <c r="AA1345" s="111" t="inlineStr">
        <is>
          <t>Nao</t>
        </is>
      </c>
      <c r="AB1345" s="111" t="inlineStr">
        <is>
          <t>NAO_COMPUTADO</t>
        </is>
      </c>
      <c r="AC1345" s="112" t="inlineStr">
        <is>
          <t>Estrutura Fase 1: sem impacto no VTA oficial</t>
        </is>
      </c>
    </row>
    <row r="1346" ht="25.5" customHeight="1" s="289">
      <c r="A1346" s="205" t="n"/>
      <c r="B1346" s="207" t="n"/>
      <c r="C1346" s="104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348" t="n"/>
      <c r="E1346" s="349">
        <f>IF(C1346="","",IFERROR(VLOOKUP(C1346,parametros!$A$11:$E$15,5,0),""))</f>
        <v/>
      </c>
      <c r="F1346" s="335">
        <f>IF(OR(D1346="",E1346=""),"",ROUND(D1346*E1346,2))</f>
        <v/>
      </c>
      <c r="G1346" s="106" t="n"/>
      <c r="H1346" s="350">
        <f>IF(G1346="Sim",IF(OR(F1346="",D1346="",L1346=""),"",IF(L1346="Sim",ROUND(F1346-D1346,2),0)),0)</f>
        <v/>
      </c>
      <c r="I1346" s="350">
        <f>IF(G1346="Sim",0,IF(OR(F1346="",L1346=""),"",F1346))</f>
        <v/>
      </c>
      <c r="J1346" s="350">
        <f>IF(G1346="Sim",0,IF(OR(F1346="",D1346="",L1346=""),"",IF(L1346="Sim",ROUND(F1346-D1346,2),0)))</f>
        <v/>
      </c>
      <c r="K1346" s="97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inlineStr">
        <is>
          <t>Nao</t>
        </is>
      </c>
      <c r="W1346" s="110" t="inlineStr">
        <is>
          <t>PC em analise</t>
        </is>
      </c>
      <c r="X1346" s="110" t="inlineStr">
        <is>
          <t>Pedido de Compra</t>
        </is>
      </c>
      <c r="Y1346" s="111" t="inlineStr">
        <is>
          <t>Impacto Potencial</t>
        </is>
      </c>
      <c r="Z1346" s="111" t="inlineStr">
        <is>
          <t>PC</t>
        </is>
      </c>
      <c r="AA1346" s="111" t="inlineStr">
        <is>
          <t>Nao</t>
        </is>
      </c>
      <c r="AB1346" s="111" t="inlineStr">
        <is>
          <t>NAO_COMPUTADO</t>
        </is>
      </c>
      <c r="AC1346" s="112" t="inlineStr">
        <is>
          <t>Estrutura Fase 1: sem impacto no VTA oficial</t>
        </is>
      </c>
    </row>
    <row r="1347" ht="25.5" customHeight="1" s="289">
      <c r="A1347" s="205" t="n"/>
      <c r="B1347" s="207" t="n"/>
      <c r="C1347" s="104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348" t="n"/>
      <c r="E1347" s="349">
        <f>IF(C1347="","",IFERROR(VLOOKUP(C1347,parametros!$A$11:$E$15,5,0),""))</f>
        <v/>
      </c>
      <c r="F1347" s="335">
        <f>IF(OR(D1347="",E1347=""),"",ROUND(D1347*E1347,2))</f>
        <v/>
      </c>
      <c r="G1347" s="106" t="n"/>
      <c r="H1347" s="350">
        <f>IF(G1347="Sim",IF(OR(F1347="",D1347="",L1347=""),"",IF(L1347="Sim",ROUND(F1347-D1347,2),0)),0)</f>
        <v/>
      </c>
      <c r="I1347" s="350">
        <f>IF(G1347="Sim",0,IF(OR(F1347="",L1347=""),"",F1347))</f>
        <v/>
      </c>
      <c r="J1347" s="350">
        <f>IF(G1347="Sim",0,IF(OR(F1347="",D1347="",L1347=""),"",IF(L1347="Sim",ROUND(F1347-D1347,2),0)))</f>
        <v/>
      </c>
      <c r="K1347" s="97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inlineStr">
        <is>
          <t>Nao</t>
        </is>
      </c>
      <c r="W1347" s="110" t="inlineStr">
        <is>
          <t>PC em analise</t>
        </is>
      </c>
      <c r="X1347" s="110" t="inlineStr">
        <is>
          <t>Pedido de Compra</t>
        </is>
      </c>
      <c r="Y1347" s="111" t="inlineStr">
        <is>
          <t>Impacto Potencial</t>
        </is>
      </c>
      <c r="Z1347" s="111" t="inlineStr">
        <is>
          <t>PC</t>
        </is>
      </c>
      <c r="AA1347" s="111" t="inlineStr">
        <is>
          <t>Nao</t>
        </is>
      </c>
      <c r="AB1347" s="111" t="inlineStr">
        <is>
          <t>NAO_COMPUTADO</t>
        </is>
      </c>
      <c r="AC1347" s="112" t="inlineStr">
        <is>
          <t>Estrutura Fase 1: sem impacto no VTA oficial</t>
        </is>
      </c>
    </row>
    <row r="1348" ht="25.5" customHeight="1" s="289">
      <c r="A1348" s="205" t="n"/>
      <c r="B1348" s="207" t="n"/>
      <c r="C1348" s="104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348" t="n"/>
      <c r="E1348" s="349">
        <f>IF(C1348="","",IFERROR(VLOOKUP(C1348,parametros!$A$11:$E$15,5,0),""))</f>
        <v/>
      </c>
      <c r="F1348" s="335">
        <f>IF(OR(D1348="",E1348=""),"",ROUND(D1348*E1348,2))</f>
        <v/>
      </c>
      <c r="G1348" s="106" t="n"/>
      <c r="H1348" s="350">
        <f>IF(G1348="Sim",IF(OR(F1348="",D1348="",L1348=""),"",IF(L1348="Sim",ROUND(F1348-D1348,2),0)),0)</f>
        <v/>
      </c>
      <c r="I1348" s="350">
        <f>IF(G1348="Sim",0,IF(OR(F1348="",L1348=""),"",F1348))</f>
        <v/>
      </c>
      <c r="J1348" s="350">
        <f>IF(G1348="Sim",0,IF(OR(F1348="",D1348="",L1348=""),"",IF(L1348="Sim",ROUND(F1348-D1348,2),0)))</f>
        <v/>
      </c>
      <c r="K1348" s="97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inlineStr">
        <is>
          <t>Nao</t>
        </is>
      </c>
      <c r="W1348" s="110" t="inlineStr">
        <is>
          <t>PC em analise</t>
        </is>
      </c>
      <c r="X1348" s="110" t="inlineStr">
        <is>
          <t>Pedido de Compra</t>
        </is>
      </c>
      <c r="Y1348" s="111" t="inlineStr">
        <is>
          <t>Impacto Potencial</t>
        </is>
      </c>
      <c r="Z1348" s="111" t="inlineStr">
        <is>
          <t>PC</t>
        </is>
      </c>
      <c r="AA1348" s="111" t="inlineStr">
        <is>
          <t>Nao</t>
        </is>
      </c>
      <c r="AB1348" s="111" t="inlineStr">
        <is>
          <t>NAO_COMPUTADO</t>
        </is>
      </c>
      <c r="AC1348" s="112" t="inlineStr">
        <is>
          <t>Estrutura Fase 1: sem impacto no VTA oficial</t>
        </is>
      </c>
    </row>
    <row r="1349" ht="25.5" customHeight="1" s="289">
      <c r="A1349" s="205" t="n"/>
      <c r="B1349" s="207" t="n"/>
      <c r="C1349" s="104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348" t="n"/>
      <c r="E1349" s="349">
        <f>IF(C1349="","",IFERROR(VLOOKUP(C1349,parametros!$A$11:$E$15,5,0),""))</f>
        <v/>
      </c>
      <c r="F1349" s="335">
        <f>IF(OR(D1349="",E1349=""),"",ROUND(D1349*E1349,2))</f>
        <v/>
      </c>
      <c r="G1349" s="106" t="n"/>
      <c r="H1349" s="350">
        <f>IF(G1349="Sim",IF(OR(F1349="",D1349="",L1349=""),"",IF(L1349="Sim",ROUND(F1349-D1349,2),0)),0)</f>
        <v/>
      </c>
      <c r="I1349" s="350">
        <f>IF(G1349="Sim",0,IF(OR(F1349="",L1349=""),"",F1349))</f>
        <v/>
      </c>
      <c r="J1349" s="350">
        <f>IF(G1349="Sim",0,IF(OR(F1349="",D1349="",L1349=""),"",IF(L1349="Sim",ROUND(F1349-D1349,2),0)))</f>
        <v/>
      </c>
      <c r="K1349" s="97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inlineStr">
        <is>
          <t>Nao</t>
        </is>
      </c>
      <c r="W1349" s="110" t="inlineStr">
        <is>
          <t>PC em analise</t>
        </is>
      </c>
      <c r="X1349" s="110" t="inlineStr">
        <is>
          <t>Pedido de Compra</t>
        </is>
      </c>
      <c r="Y1349" s="111" t="inlineStr">
        <is>
          <t>Impacto Potencial</t>
        </is>
      </c>
      <c r="Z1349" s="111" t="inlineStr">
        <is>
          <t>PC</t>
        </is>
      </c>
      <c r="AA1349" s="111" t="inlineStr">
        <is>
          <t>Nao</t>
        </is>
      </c>
      <c r="AB1349" s="111" t="inlineStr">
        <is>
          <t>NAO_COMPUTADO</t>
        </is>
      </c>
      <c r="AC1349" s="112" t="inlineStr">
        <is>
          <t>Estrutura Fase 1: sem impacto no VTA oficial</t>
        </is>
      </c>
    </row>
    <row r="1350" ht="25.5" customHeight="1" s="289">
      <c r="A1350" s="205" t="n"/>
      <c r="B1350" s="207" t="n"/>
      <c r="C1350" s="104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348" t="n"/>
      <c r="E1350" s="349">
        <f>IF(C1350="","",IFERROR(VLOOKUP(C1350,parametros!$A$11:$E$15,5,0),""))</f>
        <v/>
      </c>
      <c r="F1350" s="335">
        <f>IF(OR(D1350="",E1350=""),"",ROUND(D1350*E1350,2))</f>
        <v/>
      </c>
      <c r="G1350" s="106" t="n"/>
      <c r="H1350" s="350">
        <f>IF(G1350="Sim",IF(OR(F1350="",D1350="",L1350=""),"",IF(L1350="Sim",ROUND(F1350-D1350,2),0)),0)</f>
        <v/>
      </c>
      <c r="I1350" s="350">
        <f>IF(G1350="Sim",0,IF(OR(F1350="",L1350=""),"",F1350))</f>
        <v/>
      </c>
      <c r="J1350" s="350">
        <f>IF(G1350="Sim",0,IF(OR(F1350="",D1350="",L1350=""),"",IF(L1350="Sim",ROUND(F1350-D1350,2),0)))</f>
        <v/>
      </c>
      <c r="K1350" s="97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inlineStr">
        <is>
          <t>Nao</t>
        </is>
      </c>
      <c r="W1350" s="110" t="inlineStr">
        <is>
          <t>PC em analise</t>
        </is>
      </c>
      <c r="X1350" s="110" t="inlineStr">
        <is>
          <t>Pedido de Compra</t>
        </is>
      </c>
      <c r="Y1350" s="111" t="inlineStr">
        <is>
          <t>Impacto Potencial</t>
        </is>
      </c>
      <c r="Z1350" s="111" t="inlineStr">
        <is>
          <t>PC</t>
        </is>
      </c>
      <c r="AA1350" s="111" t="inlineStr">
        <is>
          <t>Nao</t>
        </is>
      </c>
      <c r="AB1350" s="111" t="inlineStr">
        <is>
          <t>NAO_COMPUTADO</t>
        </is>
      </c>
      <c r="AC1350" s="112" t="inlineStr">
        <is>
          <t>Estrutura Fase 1: sem impacto no VTA oficial</t>
        </is>
      </c>
    </row>
    <row r="1351" ht="25.5" customHeight="1" s="289">
      <c r="A1351" s="205" t="n"/>
      <c r="B1351" s="207" t="n"/>
      <c r="C1351" s="104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348" t="n"/>
      <c r="E1351" s="349">
        <f>IF(C1351="","",IFERROR(VLOOKUP(C1351,parametros!$A$11:$E$15,5,0),""))</f>
        <v/>
      </c>
      <c r="F1351" s="335">
        <f>IF(OR(D1351="",E1351=""),"",ROUND(D1351*E1351,2))</f>
        <v/>
      </c>
      <c r="G1351" s="106" t="n"/>
      <c r="H1351" s="350">
        <f>IF(G1351="Sim",IF(OR(F1351="",D1351="",L1351=""),"",IF(L1351="Sim",ROUND(F1351-D1351,2),0)),0)</f>
        <v/>
      </c>
      <c r="I1351" s="350">
        <f>IF(G1351="Sim",0,IF(OR(F1351="",L1351=""),"",F1351))</f>
        <v/>
      </c>
      <c r="J1351" s="350">
        <f>IF(G1351="Sim",0,IF(OR(F1351="",D1351="",L1351=""),"",IF(L1351="Sim",ROUND(F1351-D1351,2),0)))</f>
        <v/>
      </c>
      <c r="K1351" s="97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inlineStr">
        <is>
          <t>Nao</t>
        </is>
      </c>
      <c r="W1351" s="110" t="inlineStr">
        <is>
          <t>PC em analise</t>
        </is>
      </c>
      <c r="X1351" s="110" t="inlineStr">
        <is>
          <t>Pedido de Compra</t>
        </is>
      </c>
      <c r="Y1351" s="111" t="inlineStr">
        <is>
          <t>Impacto Potencial</t>
        </is>
      </c>
      <c r="Z1351" s="111" t="inlineStr">
        <is>
          <t>PC</t>
        </is>
      </c>
      <c r="AA1351" s="111" t="inlineStr">
        <is>
          <t>Nao</t>
        </is>
      </c>
      <c r="AB1351" s="111" t="inlineStr">
        <is>
          <t>NAO_COMPUTADO</t>
        </is>
      </c>
      <c r="AC1351" s="112" t="inlineStr">
        <is>
          <t>Estrutura Fase 1: sem impacto no VTA oficial</t>
        </is>
      </c>
    </row>
    <row r="1352" ht="25.5" customHeight="1" s="289">
      <c r="A1352" s="205" t="n"/>
      <c r="B1352" s="207" t="n"/>
      <c r="C1352" s="104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348" t="n"/>
      <c r="E1352" s="349">
        <f>IF(C1352="","",IFERROR(VLOOKUP(C1352,parametros!$A$11:$E$15,5,0),""))</f>
        <v/>
      </c>
      <c r="F1352" s="335">
        <f>IF(OR(D1352="",E1352=""),"",ROUND(D1352*E1352,2))</f>
        <v/>
      </c>
      <c r="G1352" s="106" t="n"/>
      <c r="H1352" s="350">
        <f>IF(G1352="Sim",IF(OR(F1352="",D1352="",L1352=""),"",IF(L1352="Sim",ROUND(F1352-D1352,2),0)),0)</f>
        <v/>
      </c>
      <c r="I1352" s="350">
        <f>IF(G1352="Sim",0,IF(OR(F1352="",L1352=""),"",F1352))</f>
        <v/>
      </c>
      <c r="J1352" s="350">
        <f>IF(G1352="Sim",0,IF(OR(F1352="",D1352="",L1352=""),"",IF(L1352="Sim",ROUND(F1352-D1352,2),0)))</f>
        <v/>
      </c>
      <c r="K1352" s="97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inlineStr">
        <is>
          <t>Nao</t>
        </is>
      </c>
      <c r="W1352" s="110" t="inlineStr">
        <is>
          <t>PC em analise</t>
        </is>
      </c>
      <c r="X1352" s="110" t="inlineStr">
        <is>
          <t>Pedido de Compra</t>
        </is>
      </c>
      <c r="Y1352" s="111" t="inlineStr">
        <is>
          <t>Impacto Potencial</t>
        </is>
      </c>
      <c r="Z1352" s="111" t="inlineStr">
        <is>
          <t>PC</t>
        </is>
      </c>
      <c r="AA1352" s="111" t="inlineStr">
        <is>
          <t>Nao</t>
        </is>
      </c>
      <c r="AB1352" s="111" t="inlineStr">
        <is>
          <t>NAO_COMPUTADO</t>
        </is>
      </c>
      <c r="AC1352" s="112" t="inlineStr">
        <is>
          <t>Estrutura Fase 1: sem impacto no VTA oficial</t>
        </is>
      </c>
    </row>
    <row r="1353" ht="25.5" customHeight="1" s="289">
      <c r="A1353" s="205" t="n"/>
      <c r="B1353" s="207" t="n"/>
      <c r="C1353" s="104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348" t="n"/>
      <c r="E1353" s="349">
        <f>IF(C1353="","",IFERROR(VLOOKUP(C1353,parametros!$A$11:$E$15,5,0),""))</f>
        <v/>
      </c>
      <c r="F1353" s="335">
        <f>IF(OR(D1353="",E1353=""),"",ROUND(D1353*E1353,2))</f>
        <v/>
      </c>
      <c r="G1353" s="106" t="n"/>
      <c r="H1353" s="350">
        <f>IF(G1353="Sim",IF(OR(F1353="",D1353="",L1353=""),"",IF(L1353="Sim",ROUND(F1353-D1353,2),0)),0)</f>
        <v/>
      </c>
      <c r="I1353" s="350">
        <f>IF(G1353="Sim",0,IF(OR(F1353="",L1353=""),"",F1353))</f>
        <v/>
      </c>
      <c r="J1353" s="350">
        <f>IF(G1353="Sim",0,IF(OR(F1353="",D1353="",L1353=""),"",IF(L1353="Sim",ROUND(F1353-D1353,2),0)))</f>
        <v/>
      </c>
      <c r="K1353" s="97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inlineStr">
        <is>
          <t>Nao</t>
        </is>
      </c>
      <c r="W1353" s="110" t="inlineStr">
        <is>
          <t>PC em analise</t>
        </is>
      </c>
      <c r="X1353" s="110" t="inlineStr">
        <is>
          <t>Pedido de Compra</t>
        </is>
      </c>
      <c r="Y1353" s="111" t="inlineStr">
        <is>
          <t>Impacto Potencial</t>
        </is>
      </c>
      <c r="Z1353" s="111" t="inlineStr">
        <is>
          <t>PC</t>
        </is>
      </c>
      <c r="AA1353" s="111" t="inlineStr">
        <is>
          <t>Nao</t>
        </is>
      </c>
      <c r="AB1353" s="111" t="inlineStr">
        <is>
          <t>NAO_COMPUTADO</t>
        </is>
      </c>
      <c r="AC1353" s="112" t="inlineStr">
        <is>
          <t>Estrutura Fase 1: sem impacto no VTA oficial</t>
        </is>
      </c>
    </row>
    <row r="1354" ht="25.5" customHeight="1" s="289">
      <c r="A1354" s="205" t="n"/>
      <c r="B1354" s="207" t="n"/>
      <c r="C1354" s="104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348" t="n"/>
      <c r="E1354" s="349">
        <f>IF(C1354="","",IFERROR(VLOOKUP(C1354,parametros!$A$11:$E$15,5,0),""))</f>
        <v/>
      </c>
      <c r="F1354" s="335">
        <f>IF(OR(D1354="",E1354=""),"",ROUND(D1354*E1354,2))</f>
        <v/>
      </c>
      <c r="G1354" s="106" t="n"/>
      <c r="H1354" s="350">
        <f>IF(G1354="Sim",IF(OR(F1354="",D1354="",L1354=""),"",IF(L1354="Sim",ROUND(F1354-D1354,2),0)),0)</f>
        <v/>
      </c>
      <c r="I1354" s="350">
        <f>IF(G1354="Sim",0,IF(OR(F1354="",L1354=""),"",F1354))</f>
        <v/>
      </c>
      <c r="J1354" s="350">
        <f>IF(G1354="Sim",0,IF(OR(F1354="",D1354="",L1354=""),"",IF(L1354="Sim",ROUND(F1354-D1354,2),0)))</f>
        <v/>
      </c>
      <c r="K1354" s="97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inlineStr">
        <is>
          <t>Nao</t>
        </is>
      </c>
      <c r="W1354" s="110" t="inlineStr">
        <is>
          <t>PC em analise</t>
        </is>
      </c>
      <c r="X1354" s="110" t="inlineStr">
        <is>
          <t>Pedido de Compra</t>
        </is>
      </c>
      <c r="Y1354" s="111" t="inlineStr">
        <is>
          <t>Impacto Potencial</t>
        </is>
      </c>
      <c r="Z1354" s="111" t="inlineStr">
        <is>
          <t>PC</t>
        </is>
      </c>
      <c r="AA1354" s="111" t="inlineStr">
        <is>
          <t>Nao</t>
        </is>
      </c>
      <c r="AB1354" s="111" t="inlineStr">
        <is>
          <t>NAO_COMPUTADO</t>
        </is>
      </c>
      <c r="AC1354" s="112" t="inlineStr">
        <is>
          <t>Estrutura Fase 1: sem impacto no VTA oficial</t>
        </is>
      </c>
    </row>
    <row r="1355" ht="25.5" customHeight="1" s="289">
      <c r="A1355" s="205" t="n"/>
      <c r="B1355" s="207" t="n"/>
      <c r="C1355" s="104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348" t="n"/>
      <c r="E1355" s="349">
        <f>IF(C1355="","",IFERROR(VLOOKUP(C1355,parametros!$A$11:$E$15,5,0),""))</f>
        <v/>
      </c>
      <c r="F1355" s="335">
        <f>IF(OR(D1355="",E1355=""),"",ROUND(D1355*E1355,2))</f>
        <v/>
      </c>
      <c r="G1355" s="106" t="n"/>
      <c r="H1355" s="350">
        <f>IF(G1355="Sim",IF(OR(F1355="",D1355="",L1355=""),"",IF(L1355="Sim",ROUND(F1355-D1355,2),0)),0)</f>
        <v/>
      </c>
      <c r="I1355" s="350">
        <f>IF(G1355="Sim",0,IF(OR(F1355="",L1355=""),"",F1355))</f>
        <v/>
      </c>
      <c r="J1355" s="350">
        <f>IF(G1355="Sim",0,IF(OR(F1355="",D1355="",L1355=""),"",IF(L1355="Sim",ROUND(F1355-D1355,2),0)))</f>
        <v/>
      </c>
      <c r="K1355" s="97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inlineStr">
        <is>
          <t>Nao</t>
        </is>
      </c>
      <c r="W1355" s="110" t="inlineStr">
        <is>
          <t>PC em analise</t>
        </is>
      </c>
      <c r="X1355" s="110" t="inlineStr">
        <is>
          <t>Pedido de Compra</t>
        </is>
      </c>
      <c r="Y1355" s="111" t="inlineStr">
        <is>
          <t>Impacto Potencial</t>
        </is>
      </c>
      <c r="Z1355" s="111" t="inlineStr">
        <is>
          <t>PC</t>
        </is>
      </c>
      <c r="AA1355" s="111" t="inlineStr">
        <is>
          <t>Nao</t>
        </is>
      </c>
      <c r="AB1355" s="111" t="inlineStr">
        <is>
          <t>NAO_COMPUTADO</t>
        </is>
      </c>
      <c r="AC1355" s="112" t="inlineStr">
        <is>
          <t>Estrutura Fase 1: sem impacto no VTA oficial</t>
        </is>
      </c>
    </row>
    <row r="1356" ht="25.5" customHeight="1" s="289">
      <c r="A1356" s="205" t="n"/>
      <c r="B1356" s="207" t="n"/>
      <c r="C1356" s="104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348" t="n"/>
      <c r="E1356" s="349">
        <f>IF(C1356="","",IFERROR(VLOOKUP(C1356,parametros!$A$11:$E$15,5,0),""))</f>
        <v/>
      </c>
      <c r="F1356" s="335">
        <f>IF(OR(D1356="",E1356=""),"",ROUND(D1356*E1356,2))</f>
        <v/>
      </c>
      <c r="G1356" s="106" t="n"/>
      <c r="H1356" s="350">
        <f>IF(G1356="Sim",IF(OR(F1356="",D1356="",L1356=""),"",IF(L1356="Sim",ROUND(F1356-D1356,2),0)),0)</f>
        <v/>
      </c>
      <c r="I1356" s="350">
        <f>IF(G1356="Sim",0,IF(OR(F1356="",L1356=""),"",F1356))</f>
        <v/>
      </c>
      <c r="J1356" s="350">
        <f>IF(G1356="Sim",0,IF(OR(F1356="",D1356="",L1356=""),"",IF(L1356="Sim",ROUND(F1356-D1356,2),0)))</f>
        <v/>
      </c>
      <c r="K1356" s="97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inlineStr">
        <is>
          <t>Nao</t>
        </is>
      </c>
      <c r="W1356" s="110" t="inlineStr">
        <is>
          <t>PC em analise</t>
        </is>
      </c>
      <c r="X1356" s="110" t="inlineStr">
        <is>
          <t>Pedido de Compra</t>
        </is>
      </c>
      <c r="Y1356" s="111" t="inlineStr">
        <is>
          <t>Impacto Potencial</t>
        </is>
      </c>
      <c r="Z1356" s="111" t="inlineStr">
        <is>
          <t>PC</t>
        </is>
      </c>
      <c r="AA1356" s="111" t="inlineStr">
        <is>
          <t>Nao</t>
        </is>
      </c>
      <c r="AB1356" s="111" t="inlineStr">
        <is>
          <t>NAO_COMPUTADO</t>
        </is>
      </c>
      <c r="AC1356" s="112" t="inlineStr">
        <is>
          <t>Estrutura Fase 1: sem impacto no VTA oficial</t>
        </is>
      </c>
    </row>
    <row r="1357" ht="25.5" customHeight="1" s="289">
      <c r="A1357" s="205" t="n"/>
      <c r="B1357" s="207" t="n"/>
      <c r="C1357" s="104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348" t="n"/>
      <c r="E1357" s="349">
        <f>IF(C1357="","",IFERROR(VLOOKUP(C1357,parametros!$A$11:$E$15,5,0),""))</f>
        <v/>
      </c>
      <c r="F1357" s="335">
        <f>IF(OR(D1357="",E1357=""),"",ROUND(D1357*E1357,2))</f>
        <v/>
      </c>
      <c r="G1357" s="106" t="n"/>
      <c r="H1357" s="350">
        <f>IF(G1357="Sim",IF(OR(F1357="",D1357="",L1357=""),"",IF(L1357="Sim",ROUND(F1357-D1357,2),0)),0)</f>
        <v/>
      </c>
      <c r="I1357" s="350">
        <f>IF(G1357="Sim",0,IF(OR(F1357="",L1357=""),"",F1357))</f>
        <v/>
      </c>
      <c r="J1357" s="350">
        <f>IF(G1357="Sim",0,IF(OR(F1357="",D1357="",L1357=""),"",IF(L1357="Sim",ROUND(F1357-D1357,2),0)))</f>
        <v/>
      </c>
      <c r="K1357" s="97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inlineStr">
        <is>
          <t>Nao</t>
        </is>
      </c>
      <c r="W1357" s="110" t="inlineStr">
        <is>
          <t>PC em analise</t>
        </is>
      </c>
      <c r="X1357" s="110" t="inlineStr">
        <is>
          <t>Pedido de Compra</t>
        </is>
      </c>
      <c r="Y1357" s="111" t="inlineStr">
        <is>
          <t>Impacto Potencial</t>
        </is>
      </c>
      <c r="Z1357" s="111" t="inlineStr">
        <is>
          <t>PC</t>
        </is>
      </c>
      <c r="AA1357" s="111" t="inlineStr">
        <is>
          <t>Nao</t>
        </is>
      </c>
      <c r="AB1357" s="111" t="inlineStr">
        <is>
          <t>NAO_COMPUTADO</t>
        </is>
      </c>
      <c r="AC1357" s="112" t="inlineStr">
        <is>
          <t>Estrutura Fase 1: sem impacto no VTA oficial</t>
        </is>
      </c>
    </row>
    <row r="1358" ht="25.5" customHeight="1" s="289">
      <c r="A1358" s="205" t="n"/>
      <c r="B1358" s="207" t="n"/>
      <c r="C1358" s="104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348" t="n"/>
      <c r="E1358" s="349">
        <f>IF(C1358="","",IFERROR(VLOOKUP(C1358,parametros!$A$11:$E$15,5,0),""))</f>
        <v/>
      </c>
      <c r="F1358" s="335">
        <f>IF(OR(D1358="",E1358=""),"",ROUND(D1358*E1358,2))</f>
        <v/>
      </c>
      <c r="G1358" s="106" t="n"/>
      <c r="H1358" s="350">
        <f>IF(G1358="Sim",IF(OR(F1358="",D1358="",L1358=""),"",IF(L1358="Sim",ROUND(F1358-D1358,2),0)),0)</f>
        <v/>
      </c>
      <c r="I1358" s="350">
        <f>IF(G1358="Sim",0,IF(OR(F1358="",L1358=""),"",F1358))</f>
        <v/>
      </c>
      <c r="J1358" s="350">
        <f>IF(G1358="Sim",0,IF(OR(F1358="",D1358="",L1358=""),"",IF(L1358="Sim",ROUND(F1358-D1358,2),0)))</f>
        <v/>
      </c>
      <c r="K1358" s="97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inlineStr">
        <is>
          <t>Nao</t>
        </is>
      </c>
      <c r="W1358" s="110" t="inlineStr">
        <is>
          <t>PC em analise</t>
        </is>
      </c>
      <c r="X1358" s="110" t="inlineStr">
        <is>
          <t>Pedido de Compra</t>
        </is>
      </c>
      <c r="Y1358" s="111" t="inlineStr">
        <is>
          <t>Impacto Potencial</t>
        </is>
      </c>
      <c r="Z1358" s="111" t="inlineStr">
        <is>
          <t>PC</t>
        </is>
      </c>
      <c r="AA1358" s="111" t="inlineStr">
        <is>
          <t>Nao</t>
        </is>
      </c>
      <c r="AB1358" s="111" t="inlineStr">
        <is>
          <t>NAO_COMPUTADO</t>
        </is>
      </c>
      <c r="AC1358" s="112" t="inlineStr">
        <is>
          <t>Estrutura Fase 1: sem impacto no VTA oficial</t>
        </is>
      </c>
    </row>
    <row r="1359" ht="25.5" customHeight="1" s="289">
      <c r="A1359" s="205" t="n"/>
      <c r="B1359" s="207" t="n"/>
      <c r="C1359" s="104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348" t="n"/>
      <c r="E1359" s="349">
        <f>IF(C1359="","",IFERROR(VLOOKUP(C1359,parametros!$A$11:$E$15,5,0),""))</f>
        <v/>
      </c>
      <c r="F1359" s="335">
        <f>IF(OR(D1359="",E1359=""),"",ROUND(D1359*E1359,2))</f>
        <v/>
      </c>
      <c r="G1359" s="106" t="n"/>
      <c r="H1359" s="350">
        <f>IF(G1359="Sim",IF(OR(F1359="",D1359="",L1359=""),"",IF(L1359="Sim",ROUND(F1359-D1359,2),0)),0)</f>
        <v/>
      </c>
      <c r="I1359" s="350">
        <f>IF(G1359="Sim",0,IF(OR(F1359="",L1359=""),"",F1359))</f>
        <v/>
      </c>
      <c r="J1359" s="350">
        <f>IF(G1359="Sim",0,IF(OR(F1359="",D1359="",L1359=""),"",IF(L1359="Sim",ROUND(F1359-D1359,2),0)))</f>
        <v/>
      </c>
      <c r="K1359" s="97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inlineStr">
        <is>
          <t>Nao</t>
        </is>
      </c>
      <c r="W1359" s="110" t="inlineStr">
        <is>
          <t>PC em analise</t>
        </is>
      </c>
      <c r="X1359" s="110" t="inlineStr">
        <is>
          <t>Pedido de Compra</t>
        </is>
      </c>
      <c r="Y1359" s="111" t="inlineStr">
        <is>
          <t>Impacto Potencial</t>
        </is>
      </c>
      <c r="Z1359" s="111" t="inlineStr">
        <is>
          <t>PC</t>
        </is>
      </c>
      <c r="AA1359" s="111" t="inlineStr">
        <is>
          <t>Nao</t>
        </is>
      </c>
      <c r="AB1359" s="111" t="inlineStr">
        <is>
          <t>NAO_COMPUTADO</t>
        </is>
      </c>
      <c r="AC1359" s="112" t="inlineStr">
        <is>
          <t>Estrutura Fase 1: sem impacto no VTA oficial</t>
        </is>
      </c>
    </row>
    <row r="1360" ht="25.5" customHeight="1" s="289">
      <c r="A1360" s="205" t="n"/>
      <c r="B1360" s="207" t="n"/>
      <c r="C1360" s="104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348" t="n"/>
      <c r="E1360" s="349">
        <f>IF(C1360="","",IFERROR(VLOOKUP(C1360,parametros!$A$11:$E$15,5,0),""))</f>
        <v/>
      </c>
      <c r="F1360" s="335">
        <f>IF(OR(D1360="",E1360=""),"",ROUND(D1360*E1360,2))</f>
        <v/>
      </c>
      <c r="G1360" s="106" t="n"/>
      <c r="H1360" s="350">
        <f>IF(G1360="Sim",IF(OR(F1360="",D1360="",L1360=""),"",IF(L1360="Sim",ROUND(F1360-D1360,2),0)),0)</f>
        <v/>
      </c>
      <c r="I1360" s="350">
        <f>IF(G1360="Sim",0,IF(OR(F1360="",L1360=""),"",F1360))</f>
        <v/>
      </c>
      <c r="J1360" s="350">
        <f>IF(G1360="Sim",0,IF(OR(F1360="",D1360="",L1360=""),"",IF(L1360="Sim",ROUND(F1360-D1360,2),0)))</f>
        <v/>
      </c>
      <c r="K1360" s="97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inlineStr">
        <is>
          <t>Nao</t>
        </is>
      </c>
      <c r="W1360" s="110" t="inlineStr">
        <is>
          <t>PC em analise</t>
        </is>
      </c>
      <c r="X1360" s="110" t="inlineStr">
        <is>
          <t>Pedido de Compra</t>
        </is>
      </c>
      <c r="Y1360" s="111" t="inlineStr">
        <is>
          <t>Impacto Potencial</t>
        </is>
      </c>
      <c r="Z1360" s="111" t="inlineStr">
        <is>
          <t>PC</t>
        </is>
      </c>
      <c r="AA1360" s="111" t="inlineStr">
        <is>
          <t>Nao</t>
        </is>
      </c>
      <c r="AB1360" s="111" t="inlineStr">
        <is>
          <t>NAO_COMPUTADO</t>
        </is>
      </c>
      <c r="AC1360" s="112" t="inlineStr">
        <is>
          <t>Estrutura Fase 1: sem impacto no VTA oficial</t>
        </is>
      </c>
    </row>
    <row r="1361" ht="25.5" customHeight="1" s="289">
      <c r="A1361" s="205" t="n"/>
      <c r="B1361" s="207" t="n"/>
      <c r="C1361" s="104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348" t="n"/>
      <c r="E1361" s="349">
        <f>IF(C1361="","",IFERROR(VLOOKUP(C1361,parametros!$A$11:$E$15,5,0),""))</f>
        <v/>
      </c>
      <c r="F1361" s="335">
        <f>IF(OR(D1361="",E1361=""),"",ROUND(D1361*E1361,2))</f>
        <v/>
      </c>
      <c r="G1361" s="106" t="n"/>
      <c r="H1361" s="350">
        <f>IF(G1361="Sim",IF(OR(F1361="",D1361="",L1361=""),"",IF(L1361="Sim",ROUND(F1361-D1361,2),0)),0)</f>
        <v/>
      </c>
      <c r="I1361" s="350">
        <f>IF(G1361="Sim",0,IF(OR(F1361="",L1361=""),"",F1361))</f>
        <v/>
      </c>
      <c r="J1361" s="350">
        <f>IF(G1361="Sim",0,IF(OR(F1361="",D1361="",L1361=""),"",IF(L1361="Sim",ROUND(F1361-D1361,2),0)))</f>
        <v/>
      </c>
      <c r="K1361" s="97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inlineStr">
        <is>
          <t>Nao</t>
        </is>
      </c>
      <c r="W1361" s="110" t="inlineStr">
        <is>
          <t>PC em analise</t>
        </is>
      </c>
      <c r="X1361" s="110" t="inlineStr">
        <is>
          <t>Pedido de Compra</t>
        </is>
      </c>
      <c r="Y1361" s="111" t="inlineStr">
        <is>
          <t>Impacto Potencial</t>
        </is>
      </c>
      <c r="Z1361" s="111" t="inlineStr">
        <is>
          <t>PC</t>
        </is>
      </c>
      <c r="AA1361" s="111" t="inlineStr">
        <is>
          <t>Nao</t>
        </is>
      </c>
      <c r="AB1361" s="111" t="inlineStr">
        <is>
          <t>NAO_COMPUTADO</t>
        </is>
      </c>
      <c r="AC1361" s="112" t="inlineStr">
        <is>
          <t>Estrutura Fase 1: sem impacto no VTA oficial</t>
        </is>
      </c>
    </row>
    <row r="1362" ht="25.5" customHeight="1" s="289">
      <c r="A1362" s="205" t="n"/>
      <c r="B1362" s="207" t="n"/>
      <c r="C1362" s="104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348" t="n"/>
      <c r="E1362" s="349">
        <f>IF(C1362="","",IFERROR(VLOOKUP(C1362,parametros!$A$11:$E$15,5,0),""))</f>
        <v/>
      </c>
      <c r="F1362" s="335">
        <f>IF(OR(D1362="",E1362=""),"",ROUND(D1362*E1362,2))</f>
        <v/>
      </c>
      <c r="G1362" s="106" t="n"/>
      <c r="H1362" s="350">
        <f>IF(G1362="Sim",IF(OR(F1362="",D1362="",L1362=""),"",IF(L1362="Sim",ROUND(F1362-D1362,2),0)),0)</f>
        <v/>
      </c>
      <c r="I1362" s="350">
        <f>IF(G1362="Sim",0,IF(OR(F1362="",L1362=""),"",F1362))</f>
        <v/>
      </c>
      <c r="J1362" s="350">
        <f>IF(G1362="Sim",0,IF(OR(F1362="",D1362="",L1362=""),"",IF(L1362="Sim",ROUND(F1362-D1362,2),0)))</f>
        <v/>
      </c>
      <c r="K1362" s="97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inlineStr">
        <is>
          <t>Nao</t>
        </is>
      </c>
      <c r="W1362" s="110" t="inlineStr">
        <is>
          <t>PC em analise</t>
        </is>
      </c>
      <c r="X1362" s="110" t="inlineStr">
        <is>
          <t>Pedido de Compra</t>
        </is>
      </c>
      <c r="Y1362" s="111" t="inlineStr">
        <is>
          <t>Impacto Potencial</t>
        </is>
      </c>
      <c r="Z1362" s="111" t="inlineStr">
        <is>
          <t>PC</t>
        </is>
      </c>
      <c r="AA1362" s="111" t="inlineStr">
        <is>
          <t>Nao</t>
        </is>
      </c>
      <c r="AB1362" s="111" t="inlineStr">
        <is>
          <t>NAO_COMPUTADO</t>
        </is>
      </c>
      <c r="AC1362" s="112" t="inlineStr">
        <is>
          <t>Estrutura Fase 1: sem impacto no VTA oficial</t>
        </is>
      </c>
    </row>
    <row r="1363" ht="25.5" customHeight="1" s="289">
      <c r="A1363" s="205" t="n"/>
      <c r="B1363" s="207" t="n"/>
      <c r="C1363" s="104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348" t="n"/>
      <c r="E1363" s="349">
        <f>IF(C1363="","",IFERROR(VLOOKUP(C1363,parametros!$A$11:$E$15,5,0),""))</f>
        <v/>
      </c>
      <c r="F1363" s="335">
        <f>IF(OR(D1363="",E1363=""),"",ROUND(D1363*E1363,2))</f>
        <v/>
      </c>
      <c r="G1363" s="106" t="n"/>
      <c r="H1363" s="350">
        <f>IF(G1363="Sim",IF(OR(F1363="",D1363="",L1363=""),"",IF(L1363="Sim",ROUND(F1363-D1363,2),0)),0)</f>
        <v/>
      </c>
      <c r="I1363" s="350">
        <f>IF(G1363="Sim",0,IF(OR(F1363="",L1363=""),"",F1363))</f>
        <v/>
      </c>
      <c r="J1363" s="350">
        <f>IF(G1363="Sim",0,IF(OR(F1363="",D1363="",L1363=""),"",IF(L1363="Sim",ROUND(F1363-D1363,2),0)))</f>
        <v/>
      </c>
      <c r="K1363" s="97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inlineStr">
        <is>
          <t>Nao</t>
        </is>
      </c>
      <c r="W1363" s="110" t="inlineStr">
        <is>
          <t>PC em analise</t>
        </is>
      </c>
      <c r="X1363" s="110" t="inlineStr">
        <is>
          <t>Pedido de Compra</t>
        </is>
      </c>
      <c r="Y1363" s="111" t="inlineStr">
        <is>
          <t>Impacto Potencial</t>
        </is>
      </c>
      <c r="Z1363" s="111" t="inlineStr">
        <is>
          <t>PC</t>
        </is>
      </c>
      <c r="AA1363" s="111" t="inlineStr">
        <is>
          <t>Nao</t>
        </is>
      </c>
      <c r="AB1363" s="111" t="inlineStr">
        <is>
          <t>NAO_COMPUTADO</t>
        </is>
      </c>
      <c r="AC1363" s="112" t="inlineStr">
        <is>
          <t>Estrutura Fase 1: sem impacto no VTA oficial</t>
        </is>
      </c>
    </row>
    <row r="1364" ht="25.5" customHeight="1" s="289">
      <c r="A1364" s="205" t="n"/>
      <c r="B1364" s="207" t="n"/>
      <c r="C1364" s="104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348" t="n"/>
      <c r="E1364" s="349">
        <f>IF(C1364="","",IFERROR(VLOOKUP(C1364,parametros!$A$11:$E$15,5,0),""))</f>
        <v/>
      </c>
      <c r="F1364" s="335">
        <f>IF(OR(D1364="",E1364=""),"",ROUND(D1364*E1364,2))</f>
        <v/>
      </c>
      <c r="G1364" s="106" t="n"/>
      <c r="H1364" s="350">
        <f>IF(G1364="Sim",IF(OR(F1364="",D1364="",L1364=""),"",IF(L1364="Sim",ROUND(F1364-D1364,2),0)),0)</f>
        <v/>
      </c>
      <c r="I1364" s="350">
        <f>IF(G1364="Sim",0,IF(OR(F1364="",L1364=""),"",F1364))</f>
        <v/>
      </c>
      <c r="J1364" s="350">
        <f>IF(G1364="Sim",0,IF(OR(F1364="",D1364="",L1364=""),"",IF(L1364="Sim",ROUND(F1364-D1364,2),0)))</f>
        <v/>
      </c>
      <c r="K1364" s="97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inlineStr">
        <is>
          <t>Nao</t>
        </is>
      </c>
      <c r="W1364" s="110" t="inlineStr">
        <is>
          <t>PC em analise</t>
        </is>
      </c>
      <c r="X1364" s="110" t="inlineStr">
        <is>
          <t>Pedido de Compra</t>
        </is>
      </c>
      <c r="Y1364" s="111" t="inlineStr">
        <is>
          <t>Impacto Potencial</t>
        </is>
      </c>
      <c r="Z1364" s="111" t="inlineStr">
        <is>
          <t>PC</t>
        </is>
      </c>
      <c r="AA1364" s="111" t="inlineStr">
        <is>
          <t>Nao</t>
        </is>
      </c>
      <c r="AB1364" s="111" t="inlineStr">
        <is>
          <t>NAO_COMPUTADO</t>
        </is>
      </c>
      <c r="AC1364" s="112" t="inlineStr">
        <is>
          <t>Estrutura Fase 1: sem impacto no VTA oficial</t>
        </is>
      </c>
    </row>
    <row r="1365" ht="25.5" customHeight="1" s="289">
      <c r="A1365" s="205" t="n"/>
      <c r="B1365" s="207" t="n"/>
      <c r="C1365" s="104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348" t="n"/>
      <c r="E1365" s="349">
        <f>IF(C1365="","",IFERROR(VLOOKUP(C1365,parametros!$A$11:$E$15,5,0),""))</f>
        <v/>
      </c>
      <c r="F1365" s="335">
        <f>IF(OR(D1365="",E1365=""),"",ROUND(D1365*E1365,2))</f>
        <v/>
      </c>
      <c r="G1365" s="106" t="n"/>
      <c r="H1365" s="350">
        <f>IF(G1365="Sim",IF(OR(F1365="",D1365="",L1365=""),"",IF(L1365="Sim",ROUND(F1365-D1365,2),0)),0)</f>
        <v/>
      </c>
      <c r="I1365" s="350">
        <f>IF(G1365="Sim",0,IF(OR(F1365="",L1365=""),"",F1365))</f>
        <v/>
      </c>
      <c r="J1365" s="350">
        <f>IF(G1365="Sim",0,IF(OR(F1365="",D1365="",L1365=""),"",IF(L1365="Sim",ROUND(F1365-D1365,2),0)))</f>
        <v/>
      </c>
      <c r="K1365" s="97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inlineStr">
        <is>
          <t>Nao</t>
        </is>
      </c>
      <c r="W1365" s="110" t="inlineStr">
        <is>
          <t>PC em analise</t>
        </is>
      </c>
      <c r="X1365" s="110" t="inlineStr">
        <is>
          <t>Pedido de Compra</t>
        </is>
      </c>
      <c r="Y1365" s="111" t="inlineStr">
        <is>
          <t>Impacto Potencial</t>
        </is>
      </c>
      <c r="Z1365" s="111" t="inlineStr">
        <is>
          <t>PC</t>
        </is>
      </c>
      <c r="AA1365" s="111" t="inlineStr">
        <is>
          <t>Nao</t>
        </is>
      </c>
      <c r="AB1365" s="111" t="inlineStr">
        <is>
          <t>NAO_COMPUTADO</t>
        </is>
      </c>
      <c r="AC1365" s="112" t="inlineStr">
        <is>
          <t>Estrutura Fase 1: sem impacto no VTA oficial</t>
        </is>
      </c>
    </row>
    <row r="1366" ht="25.5" customHeight="1" s="289">
      <c r="A1366" s="205" t="n"/>
      <c r="B1366" s="207" t="n"/>
      <c r="C1366" s="104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348" t="n"/>
      <c r="E1366" s="349">
        <f>IF(C1366="","",IFERROR(VLOOKUP(C1366,parametros!$A$11:$E$15,5,0),""))</f>
        <v/>
      </c>
      <c r="F1366" s="335">
        <f>IF(OR(D1366="",E1366=""),"",ROUND(D1366*E1366,2))</f>
        <v/>
      </c>
      <c r="G1366" s="106" t="n"/>
      <c r="H1366" s="350">
        <f>IF(G1366="Sim",IF(OR(F1366="",D1366="",L1366=""),"",IF(L1366="Sim",ROUND(F1366-D1366,2),0)),0)</f>
        <v/>
      </c>
      <c r="I1366" s="350">
        <f>IF(G1366="Sim",0,IF(OR(F1366="",L1366=""),"",F1366))</f>
        <v/>
      </c>
      <c r="J1366" s="350">
        <f>IF(G1366="Sim",0,IF(OR(F1366="",D1366="",L1366=""),"",IF(L1366="Sim",ROUND(F1366-D1366,2),0)))</f>
        <v/>
      </c>
      <c r="K1366" s="97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inlineStr">
        <is>
          <t>Nao</t>
        </is>
      </c>
      <c r="W1366" s="110" t="inlineStr">
        <is>
          <t>PC em analise</t>
        </is>
      </c>
      <c r="X1366" s="110" t="inlineStr">
        <is>
          <t>Pedido de Compra</t>
        </is>
      </c>
      <c r="Y1366" s="111" t="inlineStr">
        <is>
          <t>Impacto Potencial</t>
        </is>
      </c>
      <c r="Z1366" s="111" t="inlineStr">
        <is>
          <t>PC</t>
        </is>
      </c>
      <c r="AA1366" s="111" t="inlineStr">
        <is>
          <t>Nao</t>
        </is>
      </c>
      <c r="AB1366" s="111" t="inlineStr">
        <is>
          <t>NAO_COMPUTADO</t>
        </is>
      </c>
      <c r="AC1366" s="112" t="inlineStr">
        <is>
          <t>Estrutura Fase 1: sem impacto no VTA oficial</t>
        </is>
      </c>
    </row>
    <row r="1367" ht="25.5" customHeight="1" s="289">
      <c r="A1367" s="205" t="n"/>
      <c r="B1367" s="207" t="n"/>
      <c r="C1367" s="104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348" t="n"/>
      <c r="E1367" s="349">
        <f>IF(C1367="","",IFERROR(VLOOKUP(C1367,parametros!$A$11:$E$15,5,0),""))</f>
        <v/>
      </c>
      <c r="F1367" s="335">
        <f>IF(OR(D1367="",E1367=""),"",ROUND(D1367*E1367,2))</f>
        <v/>
      </c>
      <c r="G1367" s="106" t="n"/>
      <c r="H1367" s="350">
        <f>IF(G1367="Sim",IF(OR(F1367="",D1367="",L1367=""),"",IF(L1367="Sim",ROUND(F1367-D1367,2),0)),0)</f>
        <v/>
      </c>
      <c r="I1367" s="350">
        <f>IF(G1367="Sim",0,IF(OR(F1367="",L1367=""),"",F1367))</f>
        <v/>
      </c>
      <c r="J1367" s="350">
        <f>IF(G1367="Sim",0,IF(OR(F1367="",D1367="",L1367=""),"",IF(L1367="Sim",ROUND(F1367-D1367,2),0)))</f>
        <v/>
      </c>
      <c r="K1367" s="97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inlineStr">
        <is>
          <t>Nao</t>
        </is>
      </c>
      <c r="W1367" s="110" t="inlineStr">
        <is>
          <t>PC em analise</t>
        </is>
      </c>
      <c r="X1367" s="110" t="inlineStr">
        <is>
          <t>Pedido de Compra</t>
        </is>
      </c>
      <c r="Y1367" s="111" t="inlineStr">
        <is>
          <t>Impacto Potencial</t>
        </is>
      </c>
      <c r="Z1367" s="111" t="inlineStr">
        <is>
          <t>PC</t>
        </is>
      </c>
      <c r="AA1367" s="111" t="inlineStr">
        <is>
          <t>Nao</t>
        </is>
      </c>
      <c r="AB1367" s="111" t="inlineStr">
        <is>
          <t>NAO_COMPUTADO</t>
        </is>
      </c>
      <c r="AC1367" s="112" t="inlineStr">
        <is>
          <t>Estrutura Fase 1: sem impacto no VTA oficial</t>
        </is>
      </c>
    </row>
    <row r="1368" ht="25.5" customHeight="1" s="289">
      <c r="A1368" s="205" t="n"/>
      <c r="B1368" s="207" t="n"/>
      <c r="C1368" s="104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348" t="n"/>
      <c r="E1368" s="349">
        <f>IF(C1368="","",IFERROR(VLOOKUP(C1368,parametros!$A$11:$E$15,5,0),""))</f>
        <v/>
      </c>
      <c r="F1368" s="335">
        <f>IF(OR(D1368="",E1368=""),"",ROUND(D1368*E1368,2))</f>
        <v/>
      </c>
      <c r="G1368" s="106" t="n"/>
      <c r="H1368" s="350">
        <f>IF(G1368="Sim",IF(OR(F1368="",D1368="",L1368=""),"",IF(L1368="Sim",ROUND(F1368-D1368,2),0)),0)</f>
        <v/>
      </c>
      <c r="I1368" s="350">
        <f>IF(G1368="Sim",0,IF(OR(F1368="",L1368=""),"",F1368))</f>
        <v/>
      </c>
      <c r="J1368" s="350">
        <f>IF(G1368="Sim",0,IF(OR(F1368="",D1368="",L1368=""),"",IF(L1368="Sim",ROUND(F1368-D1368,2),0)))</f>
        <v/>
      </c>
      <c r="K1368" s="97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inlineStr">
        <is>
          <t>Nao</t>
        </is>
      </c>
      <c r="W1368" s="110" t="inlineStr">
        <is>
          <t>PC em analise</t>
        </is>
      </c>
      <c r="X1368" s="110" t="inlineStr">
        <is>
          <t>Pedido de Compra</t>
        </is>
      </c>
      <c r="Y1368" s="111" t="inlineStr">
        <is>
          <t>Impacto Potencial</t>
        </is>
      </c>
      <c r="Z1368" s="111" t="inlineStr">
        <is>
          <t>PC</t>
        </is>
      </c>
      <c r="AA1368" s="111" t="inlineStr">
        <is>
          <t>Nao</t>
        </is>
      </c>
      <c r="AB1368" s="111" t="inlineStr">
        <is>
          <t>NAO_COMPUTADO</t>
        </is>
      </c>
      <c r="AC1368" s="112" t="inlineStr">
        <is>
          <t>Estrutura Fase 1: sem impacto no VTA oficial</t>
        </is>
      </c>
    </row>
    <row r="1369" ht="25.5" customHeight="1" s="289">
      <c r="A1369" s="205" t="n"/>
      <c r="B1369" s="207" t="n"/>
      <c r="C1369" s="104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348" t="n"/>
      <c r="E1369" s="349">
        <f>IF(C1369="","",IFERROR(VLOOKUP(C1369,parametros!$A$11:$E$15,5,0),""))</f>
        <v/>
      </c>
      <c r="F1369" s="335">
        <f>IF(OR(D1369="",E1369=""),"",ROUND(D1369*E1369,2))</f>
        <v/>
      </c>
      <c r="G1369" s="106" t="n"/>
      <c r="H1369" s="350">
        <f>IF(G1369="Sim",IF(OR(F1369="",D1369="",L1369=""),"",IF(L1369="Sim",ROUND(F1369-D1369,2),0)),0)</f>
        <v/>
      </c>
      <c r="I1369" s="350">
        <f>IF(G1369="Sim",0,IF(OR(F1369="",L1369=""),"",F1369))</f>
        <v/>
      </c>
      <c r="J1369" s="350">
        <f>IF(G1369="Sim",0,IF(OR(F1369="",D1369="",L1369=""),"",IF(L1369="Sim",ROUND(F1369-D1369,2),0)))</f>
        <v/>
      </c>
      <c r="K1369" s="97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inlineStr">
        <is>
          <t>Nao</t>
        </is>
      </c>
      <c r="W1369" s="110" t="inlineStr">
        <is>
          <t>PC em analise</t>
        </is>
      </c>
      <c r="X1369" s="110" t="inlineStr">
        <is>
          <t>Pedido de Compra</t>
        </is>
      </c>
      <c r="Y1369" s="111" t="inlineStr">
        <is>
          <t>Impacto Potencial</t>
        </is>
      </c>
      <c r="Z1369" s="111" t="inlineStr">
        <is>
          <t>PC</t>
        </is>
      </c>
      <c r="AA1369" s="111" t="inlineStr">
        <is>
          <t>Nao</t>
        </is>
      </c>
      <c r="AB1369" s="111" t="inlineStr">
        <is>
          <t>NAO_COMPUTADO</t>
        </is>
      </c>
      <c r="AC1369" s="112" t="inlineStr">
        <is>
          <t>Estrutura Fase 1: sem impacto no VTA oficial</t>
        </is>
      </c>
    </row>
    <row r="1370" ht="25.5" customHeight="1" s="289">
      <c r="A1370" s="205" t="n"/>
      <c r="B1370" s="207" t="n"/>
      <c r="C1370" s="104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348" t="n"/>
      <c r="E1370" s="349">
        <f>IF(C1370="","",IFERROR(VLOOKUP(C1370,parametros!$A$11:$E$15,5,0),""))</f>
        <v/>
      </c>
      <c r="F1370" s="335">
        <f>IF(OR(D1370="",E1370=""),"",ROUND(D1370*E1370,2))</f>
        <v/>
      </c>
      <c r="G1370" s="106" t="n"/>
      <c r="H1370" s="350">
        <f>IF(G1370="Sim",IF(OR(F1370="",D1370="",L1370=""),"",IF(L1370="Sim",ROUND(F1370-D1370,2),0)),0)</f>
        <v/>
      </c>
      <c r="I1370" s="350">
        <f>IF(G1370="Sim",0,IF(OR(F1370="",L1370=""),"",F1370))</f>
        <v/>
      </c>
      <c r="J1370" s="350">
        <f>IF(G1370="Sim",0,IF(OR(F1370="",D1370="",L1370=""),"",IF(L1370="Sim",ROUND(F1370-D1370,2),0)))</f>
        <v/>
      </c>
      <c r="K1370" s="97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inlineStr">
        <is>
          <t>Nao</t>
        </is>
      </c>
      <c r="W1370" s="110" t="inlineStr">
        <is>
          <t>PC em analise</t>
        </is>
      </c>
      <c r="X1370" s="110" t="inlineStr">
        <is>
          <t>Pedido de Compra</t>
        </is>
      </c>
      <c r="Y1370" s="111" t="inlineStr">
        <is>
          <t>Impacto Potencial</t>
        </is>
      </c>
      <c r="Z1370" s="111" t="inlineStr">
        <is>
          <t>PC</t>
        </is>
      </c>
      <c r="AA1370" s="111" t="inlineStr">
        <is>
          <t>Nao</t>
        </is>
      </c>
      <c r="AB1370" s="111" t="inlineStr">
        <is>
          <t>NAO_COMPUTADO</t>
        </is>
      </c>
      <c r="AC1370" s="112" t="inlineStr">
        <is>
          <t>Estrutura Fase 1: sem impacto no VTA oficial</t>
        </is>
      </c>
    </row>
    <row r="1371" ht="25.5" customHeight="1" s="289">
      <c r="A1371" s="205" t="n"/>
      <c r="B1371" s="207" t="n"/>
      <c r="C1371" s="104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348" t="n"/>
      <c r="E1371" s="349">
        <f>IF(C1371="","",IFERROR(VLOOKUP(C1371,parametros!$A$11:$E$15,5,0),""))</f>
        <v/>
      </c>
      <c r="F1371" s="335">
        <f>IF(OR(D1371="",E1371=""),"",ROUND(D1371*E1371,2))</f>
        <v/>
      </c>
      <c r="G1371" s="106" t="n"/>
      <c r="H1371" s="350">
        <f>IF(G1371="Sim",IF(OR(F1371="",D1371="",L1371=""),"",IF(L1371="Sim",ROUND(F1371-D1371,2),0)),0)</f>
        <v/>
      </c>
      <c r="I1371" s="350">
        <f>IF(G1371="Sim",0,IF(OR(F1371="",L1371=""),"",F1371))</f>
        <v/>
      </c>
      <c r="J1371" s="350">
        <f>IF(G1371="Sim",0,IF(OR(F1371="",D1371="",L1371=""),"",IF(L1371="Sim",ROUND(F1371-D1371,2),0)))</f>
        <v/>
      </c>
      <c r="K1371" s="97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inlineStr">
        <is>
          <t>Nao</t>
        </is>
      </c>
      <c r="W1371" s="110" t="inlineStr">
        <is>
          <t>PC em analise</t>
        </is>
      </c>
      <c r="X1371" s="110" t="inlineStr">
        <is>
          <t>Pedido de Compra</t>
        </is>
      </c>
      <c r="Y1371" s="111" t="inlineStr">
        <is>
          <t>Impacto Potencial</t>
        </is>
      </c>
      <c r="Z1371" s="111" t="inlineStr">
        <is>
          <t>PC</t>
        </is>
      </c>
      <c r="AA1371" s="111" t="inlineStr">
        <is>
          <t>Nao</t>
        </is>
      </c>
      <c r="AB1371" s="111" t="inlineStr">
        <is>
          <t>NAO_COMPUTADO</t>
        </is>
      </c>
      <c r="AC1371" s="112" t="inlineStr">
        <is>
          <t>Estrutura Fase 1: sem impacto no VTA oficial</t>
        </is>
      </c>
    </row>
    <row r="1372" ht="25.5" customHeight="1" s="289">
      <c r="A1372" s="205" t="n"/>
      <c r="B1372" s="207" t="n"/>
      <c r="C1372" s="104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348" t="n"/>
      <c r="E1372" s="349">
        <f>IF(C1372="","",IFERROR(VLOOKUP(C1372,parametros!$A$11:$E$15,5,0),""))</f>
        <v/>
      </c>
      <c r="F1372" s="335">
        <f>IF(OR(D1372="",E1372=""),"",ROUND(D1372*E1372,2))</f>
        <v/>
      </c>
      <c r="G1372" s="106" t="n"/>
      <c r="H1372" s="350">
        <f>IF(G1372="Sim",IF(OR(F1372="",D1372="",L1372=""),"",IF(L1372="Sim",ROUND(F1372-D1372,2),0)),0)</f>
        <v/>
      </c>
      <c r="I1372" s="350">
        <f>IF(G1372="Sim",0,IF(OR(F1372="",L1372=""),"",F1372))</f>
        <v/>
      </c>
      <c r="J1372" s="350">
        <f>IF(G1372="Sim",0,IF(OR(F1372="",D1372="",L1372=""),"",IF(L1372="Sim",ROUND(F1372-D1372,2),0)))</f>
        <v/>
      </c>
      <c r="K1372" s="97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inlineStr">
        <is>
          <t>Nao</t>
        </is>
      </c>
      <c r="W1372" s="110" t="inlineStr">
        <is>
          <t>PC em analise</t>
        </is>
      </c>
      <c r="X1372" s="110" t="inlineStr">
        <is>
          <t>Pedido de Compra</t>
        </is>
      </c>
      <c r="Y1372" s="111" t="inlineStr">
        <is>
          <t>Impacto Potencial</t>
        </is>
      </c>
      <c r="Z1372" s="111" t="inlineStr">
        <is>
          <t>PC</t>
        </is>
      </c>
      <c r="AA1372" s="111" t="inlineStr">
        <is>
          <t>Nao</t>
        </is>
      </c>
      <c r="AB1372" s="111" t="inlineStr">
        <is>
          <t>NAO_COMPUTADO</t>
        </is>
      </c>
      <c r="AC1372" s="112" t="inlineStr">
        <is>
          <t>Estrutura Fase 1: sem impacto no VTA oficial</t>
        </is>
      </c>
    </row>
    <row r="1373" ht="25.5" customHeight="1" s="289">
      <c r="A1373" s="205" t="n"/>
      <c r="B1373" s="207" t="n"/>
      <c r="C1373" s="104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348" t="n"/>
      <c r="E1373" s="349">
        <f>IF(C1373="","",IFERROR(VLOOKUP(C1373,parametros!$A$11:$E$15,5,0),""))</f>
        <v/>
      </c>
      <c r="F1373" s="335">
        <f>IF(OR(D1373="",E1373=""),"",ROUND(D1373*E1373,2))</f>
        <v/>
      </c>
      <c r="G1373" s="106" t="n"/>
      <c r="H1373" s="350">
        <f>IF(G1373="Sim",IF(OR(F1373="",D1373="",L1373=""),"",IF(L1373="Sim",ROUND(F1373-D1373,2),0)),0)</f>
        <v/>
      </c>
      <c r="I1373" s="350">
        <f>IF(G1373="Sim",0,IF(OR(F1373="",L1373=""),"",F1373))</f>
        <v/>
      </c>
      <c r="J1373" s="350">
        <f>IF(G1373="Sim",0,IF(OR(F1373="",D1373="",L1373=""),"",IF(L1373="Sim",ROUND(F1373-D1373,2),0)))</f>
        <v/>
      </c>
      <c r="K1373" s="97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inlineStr">
        <is>
          <t>Nao</t>
        </is>
      </c>
      <c r="W1373" s="110" t="inlineStr">
        <is>
          <t>PC em analise</t>
        </is>
      </c>
      <c r="X1373" s="110" t="inlineStr">
        <is>
          <t>Pedido de Compra</t>
        </is>
      </c>
      <c r="Y1373" s="111" t="inlineStr">
        <is>
          <t>Impacto Potencial</t>
        </is>
      </c>
      <c r="Z1373" s="111" t="inlineStr">
        <is>
          <t>PC</t>
        </is>
      </c>
      <c r="AA1373" s="111" t="inlineStr">
        <is>
          <t>Nao</t>
        </is>
      </c>
      <c r="AB1373" s="111" t="inlineStr">
        <is>
          <t>NAO_COMPUTADO</t>
        </is>
      </c>
      <c r="AC1373" s="112" t="inlineStr">
        <is>
          <t>Estrutura Fase 1: sem impacto no VTA oficial</t>
        </is>
      </c>
    </row>
    <row r="1374" ht="25.5" customHeight="1" s="289">
      <c r="A1374" s="205" t="n"/>
      <c r="B1374" s="207" t="n"/>
      <c r="C1374" s="104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348" t="n"/>
      <c r="E1374" s="349">
        <f>IF(C1374="","",IFERROR(VLOOKUP(C1374,parametros!$A$11:$E$15,5,0),""))</f>
        <v/>
      </c>
      <c r="F1374" s="335">
        <f>IF(OR(D1374="",E1374=""),"",ROUND(D1374*E1374,2))</f>
        <v/>
      </c>
      <c r="G1374" s="106" t="n"/>
      <c r="H1374" s="350">
        <f>IF(G1374="Sim",IF(OR(F1374="",D1374="",L1374=""),"",IF(L1374="Sim",ROUND(F1374-D1374,2),0)),0)</f>
        <v/>
      </c>
      <c r="I1374" s="350">
        <f>IF(G1374="Sim",0,IF(OR(F1374="",L1374=""),"",F1374))</f>
        <v/>
      </c>
      <c r="J1374" s="350">
        <f>IF(G1374="Sim",0,IF(OR(F1374="",D1374="",L1374=""),"",IF(L1374="Sim",ROUND(F1374-D1374,2),0)))</f>
        <v/>
      </c>
      <c r="K1374" s="97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inlineStr">
        <is>
          <t>Nao</t>
        </is>
      </c>
      <c r="W1374" s="110" t="inlineStr">
        <is>
          <t>PC em analise</t>
        </is>
      </c>
      <c r="X1374" s="110" t="inlineStr">
        <is>
          <t>Pedido de Compra</t>
        </is>
      </c>
      <c r="Y1374" s="111" t="inlineStr">
        <is>
          <t>Impacto Potencial</t>
        </is>
      </c>
      <c r="Z1374" s="111" t="inlineStr">
        <is>
          <t>PC</t>
        </is>
      </c>
      <c r="AA1374" s="111" t="inlineStr">
        <is>
          <t>Nao</t>
        </is>
      </c>
      <c r="AB1374" s="111" t="inlineStr">
        <is>
          <t>NAO_COMPUTADO</t>
        </is>
      </c>
      <c r="AC1374" s="112" t="inlineStr">
        <is>
          <t>Estrutura Fase 1: sem impacto no VTA oficial</t>
        </is>
      </c>
    </row>
    <row r="1375" ht="25.5" customHeight="1" s="289">
      <c r="A1375" s="205" t="n"/>
      <c r="B1375" s="207" t="n"/>
      <c r="C1375" s="104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348" t="n"/>
      <c r="E1375" s="349">
        <f>IF(C1375="","",IFERROR(VLOOKUP(C1375,parametros!$A$11:$E$15,5,0),""))</f>
        <v/>
      </c>
      <c r="F1375" s="335">
        <f>IF(OR(D1375="",E1375=""),"",ROUND(D1375*E1375,2))</f>
        <v/>
      </c>
      <c r="G1375" s="106" t="n"/>
      <c r="H1375" s="350">
        <f>IF(G1375="Sim",IF(OR(F1375="",D1375="",L1375=""),"",IF(L1375="Sim",ROUND(F1375-D1375,2),0)),0)</f>
        <v/>
      </c>
      <c r="I1375" s="350">
        <f>IF(G1375="Sim",0,IF(OR(F1375="",L1375=""),"",F1375))</f>
        <v/>
      </c>
      <c r="J1375" s="350">
        <f>IF(G1375="Sim",0,IF(OR(F1375="",D1375="",L1375=""),"",IF(L1375="Sim",ROUND(F1375-D1375,2),0)))</f>
        <v/>
      </c>
      <c r="K1375" s="97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inlineStr">
        <is>
          <t>Nao</t>
        </is>
      </c>
      <c r="W1375" s="110" t="inlineStr">
        <is>
          <t>PC em analise</t>
        </is>
      </c>
      <c r="X1375" s="110" t="inlineStr">
        <is>
          <t>Pedido de Compra</t>
        </is>
      </c>
      <c r="Y1375" s="111" t="inlineStr">
        <is>
          <t>Impacto Potencial</t>
        </is>
      </c>
      <c r="Z1375" s="111" t="inlineStr">
        <is>
          <t>PC</t>
        </is>
      </c>
      <c r="AA1375" s="111" t="inlineStr">
        <is>
          <t>Nao</t>
        </is>
      </c>
      <c r="AB1375" s="111" t="inlineStr">
        <is>
          <t>NAO_COMPUTADO</t>
        </is>
      </c>
      <c r="AC1375" s="112" t="inlineStr">
        <is>
          <t>Estrutura Fase 1: sem impacto no VTA oficial</t>
        </is>
      </c>
    </row>
    <row r="1376" ht="25.5" customHeight="1" s="289">
      <c r="A1376" s="205" t="n"/>
      <c r="B1376" s="207" t="n"/>
      <c r="C1376" s="104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348" t="n"/>
      <c r="E1376" s="349">
        <f>IF(C1376="","",IFERROR(VLOOKUP(C1376,parametros!$A$11:$E$15,5,0),""))</f>
        <v/>
      </c>
      <c r="F1376" s="335">
        <f>IF(OR(D1376="",E1376=""),"",ROUND(D1376*E1376,2))</f>
        <v/>
      </c>
      <c r="G1376" s="106" t="n"/>
      <c r="H1376" s="350">
        <f>IF(G1376="Sim",IF(OR(F1376="",D1376="",L1376=""),"",IF(L1376="Sim",ROUND(F1376-D1376,2),0)),0)</f>
        <v/>
      </c>
      <c r="I1376" s="350">
        <f>IF(G1376="Sim",0,IF(OR(F1376="",L1376=""),"",F1376))</f>
        <v/>
      </c>
      <c r="J1376" s="350">
        <f>IF(G1376="Sim",0,IF(OR(F1376="",D1376="",L1376=""),"",IF(L1376="Sim",ROUND(F1376-D1376,2),0)))</f>
        <v/>
      </c>
      <c r="K1376" s="97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inlineStr">
        <is>
          <t>Nao</t>
        </is>
      </c>
      <c r="W1376" s="110" t="inlineStr">
        <is>
          <t>PC em analise</t>
        </is>
      </c>
      <c r="X1376" s="110" t="inlineStr">
        <is>
          <t>Pedido de Compra</t>
        </is>
      </c>
      <c r="Y1376" s="111" t="inlineStr">
        <is>
          <t>Impacto Potencial</t>
        </is>
      </c>
      <c r="Z1376" s="111" t="inlineStr">
        <is>
          <t>PC</t>
        </is>
      </c>
      <c r="AA1376" s="111" t="inlineStr">
        <is>
          <t>Nao</t>
        </is>
      </c>
      <c r="AB1376" s="111" t="inlineStr">
        <is>
          <t>NAO_COMPUTADO</t>
        </is>
      </c>
      <c r="AC1376" s="112" t="inlineStr">
        <is>
          <t>Estrutura Fase 1: sem impacto no VTA oficial</t>
        </is>
      </c>
    </row>
    <row r="1377" ht="25.5" customHeight="1" s="289">
      <c r="A1377" s="205" t="n"/>
      <c r="B1377" s="207" t="n"/>
      <c r="C1377" s="104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348" t="n"/>
      <c r="E1377" s="349">
        <f>IF(C1377="","",IFERROR(VLOOKUP(C1377,parametros!$A$11:$E$15,5,0),""))</f>
        <v/>
      </c>
      <c r="F1377" s="335">
        <f>IF(OR(D1377="",E1377=""),"",ROUND(D1377*E1377,2))</f>
        <v/>
      </c>
      <c r="G1377" s="106" t="n"/>
      <c r="H1377" s="350">
        <f>IF(G1377="Sim",IF(OR(F1377="",D1377="",L1377=""),"",IF(L1377="Sim",ROUND(F1377-D1377,2),0)),0)</f>
        <v/>
      </c>
      <c r="I1377" s="350">
        <f>IF(G1377="Sim",0,IF(OR(F1377="",L1377=""),"",F1377))</f>
        <v/>
      </c>
      <c r="J1377" s="350">
        <f>IF(G1377="Sim",0,IF(OR(F1377="",D1377="",L1377=""),"",IF(L1377="Sim",ROUND(F1377-D1377,2),0)))</f>
        <v/>
      </c>
      <c r="K1377" s="97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inlineStr">
        <is>
          <t>Nao</t>
        </is>
      </c>
      <c r="W1377" s="110" t="inlineStr">
        <is>
          <t>PC em analise</t>
        </is>
      </c>
      <c r="X1377" s="110" t="inlineStr">
        <is>
          <t>Pedido de Compra</t>
        </is>
      </c>
      <c r="Y1377" s="111" t="inlineStr">
        <is>
          <t>Impacto Potencial</t>
        </is>
      </c>
      <c r="Z1377" s="111" t="inlineStr">
        <is>
          <t>PC</t>
        </is>
      </c>
      <c r="AA1377" s="111" t="inlineStr">
        <is>
          <t>Nao</t>
        </is>
      </c>
      <c r="AB1377" s="111" t="inlineStr">
        <is>
          <t>NAO_COMPUTADO</t>
        </is>
      </c>
      <c r="AC1377" s="112" t="inlineStr">
        <is>
          <t>Estrutura Fase 1: sem impacto no VTA oficial</t>
        </is>
      </c>
    </row>
    <row r="1378" ht="25.5" customHeight="1" s="289">
      <c r="A1378" s="205" t="n"/>
      <c r="B1378" s="207" t="n"/>
      <c r="C1378" s="104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348" t="n"/>
      <c r="E1378" s="349">
        <f>IF(C1378="","",IFERROR(VLOOKUP(C1378,parametros!$A$11:$E$15,5,0),""))</f>
        <v/>
      </c>
      <c r="F1378" s="335">
        <f>IF(OR(D1378="",E1378=""),"",ROUND(D1378*E1378,2))</f>
        <v/>
      </c>
      <c r="G1378" s="106" t="n"/>
      <c r="H1378" s="350">
        <f>IF(G1378="Sim",IF(OR(F1378="",D1378="",L1378=""),"",IF(L1378="Sim",ROUND(F1378-D1378,2),0)),0)</f>
        <v/>
      </c>
      <c r="I1378" s="350">
        <f>IF(G1378="Sim",0,IF(OR(F1378="",L1378=""),"",F1378))</f>
        <v/>
      </c>
      <c r="J1378" s="350">
        <f>IF(G1378="Sim",0,IF(OR(F1378="",D1378="",L1378=""),"",IF(L1378="Sim",ROUND(F1378-D1378,2),0)))</f>
        <v/>
      </c>
      <c r="K1378" s="97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inlineStr">
        <is>
          <t>Nao</t>
        </is>
      </c>
      <c r="W1378" s="110" t="inlineStr">
        <is>
          <t>PC em analise</t>
        </is>
      </c>
      <c r="X1378" s="110" t="inlineStr">
        <is>
          <t>Pedido de Compra</t>
        </is>
      </c>
      <c r="Y1378" s="111" t="inlineStr">
        <is>
          <t>Impacto Potencial</t>
        </is>
      </c>
      <c r="Z1378" s="111" t="inlineStr">
        <is>
          <t>PC</t>
        </is>
      </c>
      <c r="AA1378" s="111" t="inlineStr">
        <is>
          <t>Nao</t>
        </is>
      </c>
      <c r="AB1378" s="111" t="inlineStr">
        <is>
          <t>NAO_COMPUTADO</t>
        </is>
      </c>
      <c r="AC1378" s="112" t="inlineStr">
        <is>
          <t>Estrutura Fase 1: sem impacto no VTA oficial</t>
        </is>
      </c>
    </row>
    <row r="1379" ht="25.5" customHeight="1" s="289">
      <c r="A1379" s="205" t="n"/>
      <c r="B1379" s="207" t="n"/>
      <c r="C1379" s="104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348" t="n"/>
      <c r="E1379" s="349">
        <f>IF(C1379="","",IFERROR(VLOOKUP(C1379,parametros!$A$11:$E$15,5,0),""))</f>
        <v/>
      </c>
      <c r="F1379" s="335">
        <f>IF(OR(D1379="",E1379=""),"",ROUND(D1379*E1379,2))</f>
        <v/>
      </c>
      <c r="G1379" s="106" t="n"/>
      <c r="H1379" s="350">
        <f>IF(G1379="Sim",IF(OR(F1379="",D1379="",L1379=""),"",IF(L1379="Sim",ROUND(F1379-D1379,2),0)),0)</f>
        <v/>
      </c>
      <c r="I1379" s="350">
        <f>IF(G1379="Sim",0,IF(OR(F1379="",L1379=""),"",F1379))</f>
        <v/>
      </c>
      <c r="J1379" s="350">
        <f>IF(G1379="Sim",0,IF(OR(F1379="",D1379="",L1379=""),"",IF(L1379="Sim",ROUND(F1379-D1379,2),0)))</f>
        <v/>
      </c>
      <c r="K1379" s="97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inlineStr">
        <is>
          <t>Nao</t>
        </is>
      </c>
      <c r="W1379" s="110" t="inlineStr">
        <is>
          <t>PC em analise</t>
        </is>
      </c>
      <c r="X1379" s="110" t="inlineStr">
        <is>
          <t>Pedido de Compra</t>
        </is>
      </c>
      <c r="Y1379" s="111" t="inlineStr">
        <is>
          <t>Impacto Potencial</t>
        </is>
      </c>
      <c r="Z1379" s="111" t="inlineStr">
        <is>
          <t>PC</t>
        </is>
      </c>
      <c r="AA1379" s="111" t="inlineStr">
        <is>
          <t>Nao</t>
        </is>
      </c>
      <c r="AB1379" s="111" t="inlineStr">
        <is>
          <t>NAO_COMPUTADO</t>
        </is>
      </c>
      <c r="AC1379" s="112" t="inlineStr">
        <is>
          <t>Estrutura Fase 1: sem impacto no VTA oficial</t>
        </is>
      </c>
    </row>
    <row r="1380" ht="25.5" customHeight="1" s="289">
      <c r="A1380" s="205" t="n"/>
      <c r="B1380" s="207" t="n"/>
      <c r="C1380" s="104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348" t="n"/>
      <c r="E1380" s="349">
        <f>IF(C1380="","",IFERROR(VLOOKUP(C1380,parametros!$A$11:$E$15,5,0),""))</f>
        <v/>
      </c>
      <c r="F1380" s="335">
        <f>IF(OR(D1380="",E1380=""),"",ROUND(D1380*E1380,2))</f>
        <v/>
      </c>
      <c r="G1380" s="106" t="n"/>
      <c r="H1380" s="350">
        <f>IF(G1380="Sim",IF(OR(F1380="",D1380="",L1380=""),"",IF(L1380="Sim",ROUND(F1380-D1380,2),0)),0)</f>
        <v/>
      </c>
      <c r="I1380" s="350">
        <f>IF(G1380="Sim",0,IF(OR(F1380="",L1380=""),"",F1380))</f>
        <v/>
      </c>
      <c r="J1380" s="350">
        <f>IF(G1380="Sim",0,IF(OR(F1380="",D1380="",L1380=""),"",IF(L1380="Sim",ROUND(F1380-D1380,2),0)))</f>
        <v/>
      </c>
      <c r="K1380" s="97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inlineStr">
        <is>
          <t>Nao</t>
        </is>
      </c>
      <c r="W1380" s="110" t="inlineStr">
        <is>
          <t>PC em analise</t>
        </is>
      </c>
      <c r="X1380" s="110" t="inlineStr">
        <is>
          <t>Pedido de Compra</t>
        </is>
      </c>
      <c r="Y1380" s="111" t="inlineStr">
        <is>
          <t>Impacto Potencial</t>
        </is>
      </c>
      <c r="Z1380" s="111" t="inlineStr">
        <is>
          <t>PC</t>
        </is>
      </c>
      <c r="AA1380" s="111" t="inlineStr">
        <is>
          <t>Nao</t>
        </is>
      </c>
      <c r="AB1380" s="111" t="inlineStr">
        <is>
          <t>NAO_COMPUTADO</t>
        </is>
      </c>
      <c r="AC1380" s="112" t="inlineStr">
        <is>
          <t>Estrutura Fase 1: sem impacto no VTA oficial</t>
        </is>
      </c>
    </row>
    <row r="1381" ht="25.5" customHeight="1" s="289">
      <c r="A1381" s="205" t="n"/>
      <c r="B1381" s="207" t="n"/>
      <c r="C1381" s="104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348" t="n"/>
      <c r="E1381" s="349">
        <f>IF(C1381="","",IFERROR(VLOOKUP(C1381,parametros!$A$11:$E$15,5,0),""))</f>
        <v/>
      </c>
      <c r="F1381" s="335">
        <f>IF(OR(D1381="",E1381=""),"",ROUND(D1381*E1381,2))</f>
        <v/>
      </c>
      <c r="G1381" s="106" t="n"/>
      <c r="H1381" s="350">
        <f>IF(G1381="Sim",IF(OR(F1381="",D1381="",L1381=""),"",IF(L1381="Sim",ROUND(F1381-D1381,2),0)),0)</f>
        <v/>
      </c>
      <c r="I1381" s="350">
        <f>IF(G1381="Sim",0,IF(OR(F1381="",L1381=""),"",F1381))</f>
        <v/>
      </c>
      <c r="J1381" s="350">
        <f>IF(G1381="Sim",0,IF(OR(F1381="",D1381="",L1381=""),"",IF(L1381="Sim",ROUND(F1381-D1381,2),0)))</f>
        <v/>
      </c>
      <c r="K1381" s="97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inlineStr">
        <is>
          <t>Nao</t>
        </is>
      </c>
      <c r="W1381" s="110" t="inlineStr">
        <is>
          <t>PC em analise</t>
        </is>
      </c>
      <c r="X1381" s="110" t="inlineStr">
        <is>
          <t>Pedido de Compra</t>
        </is>
      </c>
      <c r="Y1381" s="111" t="inlineStr">
        <is>
          <t>Impacto Potencial</t>
        </is>
      </c>
      <c r="Z1381" s="111" t="inlineStr">
        <is>
          <t>PC</t>
        </is>
      </c>
      <c r="AA1381" s="111" t="inlineStr">
        <is>
          <t>Nao</t>
        </is>
      </c>
      <c r="AB1381" s="111" t="inlineStr">
        <is>
          <t>NAO_COMPUTADO</t>
        </is>
      </c>
      <c r="AC1381" s="112" t="inlineStr">
        <is>
          <t>Estrutura Fase 1: sem impacto no VTA oficial</t>
        </is>
      </c>
    </row>
    <row r="1382" ht="25.5" customHeight="1" s="289">
      <c r="A1382" s="205" t="n"/>
      <c r="B1382" s="207" t="n"/>
      <c r="C1382" s="104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348" t="n"/>
      <c r="E1382" s="349">
        <f>IF(C1382="","",IFERROR(VLOOKUP(C1382,parametros!$A$11:$E$15,5,0),""))</f>
        <v/>
      </c>
      <c r="F1382" s="335">
        <f>IF(OR(D1382="",E1382=""),"",ROUND(D1382*E1382,2))</f>
        <v/>
      </c>
      <c r="G1382" s="106" t="n"/>
      <c r="H1382" s="350">
        <f>IF(G1382="Sim",IF(OR(F1382="",D1382="",L1382=""),"",IF(L1382="Sim",ROUND(F1382-D1382,2),0)),0)</f>
        <v/>
      </c>
      <c r="I1382" s="350">
        <f>IF(G1382="Sim",0,IF(OR(F1382="",L1382=""),"",F1382))</f>
        <v/>
      </c>
      <c r="J1382" s="350">
        <f>IF(G1382="Sim",0,IF(OR(F1382="",D1382="",L1382=""),"",IF(L1382="Sim",ROUND(F1382-D1382,2),0)))</f>
        <v/>
      </c>
      <c r="K1382" s="97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inlineStr">
        <is>
          <t>Nao</t>
        </is>
      </c>
      <c r="W1382" s="110" t="inlineStr">
        <is>
          <t>PC em analise</t>
        </is>
      </c>
      <c r="X1382" s="110" t="inlineStr">
        <is>
          <t>Pedido de Compra</t>
        </is>
      </c>
      <c r="Y1382" s="111" t="inlineStr">
        <is>
          <t>Impacto Potencial</t>
        </is>
      </c>
      <c r="Z1382" s="111" t="inlineStr">
        <is>
          <t>PC</t>
        </is>
      </c>
      <c r="AA1382" s="111" t="inlineStr">
        <is>
          <t>Nao</t>
        </is>
      </c>
      <c r="AB1382" s="111" t="inlineStr">
        <is>
          <t>NAO_COMPUTADO</t>
        </is>
      </c>
      <c r="AC1382" s="112" t="inlineStr">
        <is>
          <t>Estrutura Fase 1: sem impacto no VTA oficial</t>
        </is>
      </c>
    </row>
    <row r="1383" ht="25.5" customHeight="1" s="289">
      <c r="A1383" s="205" t="n"/>
      <c r="B1383" s="207" t="n"/>
      <c r="C1383" s="104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348" t="n"/>
      <c r="E1383" s="349">
        <f>IF(C1383="","",IFERROR(VLOOKUP(C1383,parametros!$A$11:$E$15,5,0),""))</f>
        <v/>
      </c>
      <c r="F1383" s="335">
        <f>IF(OR(D1383="",E1383=""),"",ROUND(D1383*E1383,2))</f>
        <v/>
      </c>
      <c r="G1383" s="106" t="n"/>
      <c r="H1383" s="350">
        <f>IF(G1383="Sim",IF(OR(F1383="",D1383="",L1383=""),"",IF(L1383="Sim",ROUND(F1383-D1383,2),0)),0)</f>
        <v/>
      </c>
      <c r="I1383" s="350">
        <f>IF(G1383="Sim",0,IF(OR(F1383="",L1383=""),"",F1383))</f>
        <v/>
      </c>
      <c r="J1383" s="350">
        <f>IF(G1383="Sim",0,IF(OR(F1383="",D1383="",L1383=""),"",IF(L1383="Sim",ROUND(F1383-D1383,2),0)))</f>
        <v/>
      </c>
      <c r="K1383" s="97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inlineStr">
        <is>
          <t>Nao</t>
        </is>
      </c>
      <c r="W1383" s="110" t="inlineStr">
        <is>
          <t>PC em analise</t>
        </is>
      </c>
      <c r="X1383" s="110" t="inlineStr">
        <is>
          <t>Pedido de Compra</t>
        </is>
      </c>
      <c r="Y1383" s="111" t="inlineStr">
        <is>
          <t>Impacto Potencial</t>
        </is>
      </c>
      <c r="Z1383" s="111" t="inlineStr">
        <is>
          <t>PC</t>
        </is>
      </c>
      <c r="AA1383" s="111" t="inlineStr">
        <is>
          <t>Nao</t>
        </is>
      </c>
      <c r="AB1383" s="111" t="inlineStr">
        <is>
          <t>NAO_COMPUTADO</t>
        </is>
      </c>
      <c r="AC1383" s="112" t="inlineStr">
        <is>
          <t>Estrutura Fase 1: sem impacto no VTA oficial</t>
        </is>
      </c>
    </row>
    <row r="1384" ht="25.5" customHeight="1" s="289">
      <c r="A1384" s="205" t="n"/>
      <c r="B1384" s="207" t="n"/>
      <c r="C1384" s="104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348" t="n"/>
      <c r="E1384" s="349">
        <f>IF(C1384="","",IFERROR(VLOOKUP(C1384,parametros!$A$11:$E$15,5,0),""))</f>
        <v/>
      </c>
      <c r="F1384" s="335">
        <f>IF(OR(D1384="",E1384=""),"",ROUND(D1384*E1384,2))</f>
        <v/>
      </c>
      <c r="G1384" s="106" t="n"/>
      <c r="H1384" s="350">
        <f>IF(G1384="Sim",IF(OR(F1384="",D1384="",L1384=""),"",IF(L1384="Sim",ROUND(F1384-D1384,2),0)),0)</f>
        <v/>
      </c>
      <c r="I1384" s="350">
        <f>IF(G1384="Sim",0,IF(OR(F1384="",L1384=""),"",F1384))</f>
        <v/>
      </c>
      <c r="J1384" s="350">
        <f>IF(G1384="Sim",0,IF(OR(F1384="",D1384="",L1384=""),"",IF(L1384="Sim",ROUND(F1384-D1384,2),0)))</f>
        <v/>
      </c>
      <c r="K1384" s="97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inlineStr">
        <is>
          <t>Nao</t>
        </is>
      </c>
      <c r="W1384" s="110" t="inlineStr">
        <is>
          <t>PC em analise</t>
        </is>
      </c>
      <c r="X1384" s="110" t="inlineStr">
        <is>
          <t>Pedido de Compra</t>
        </is>
      </c>
      <c r="Y1384" s="111" t="inlineStr">
        <is>
          <t>Impacto Potencial</t>
        </is>
      </c>
      <c r="Z1384" s="111" t="inlineStr">
        <is>
          <t>PC</t>
        </is>
      </c>
      <c r="AA1384" s="111" t="inlineStr">
        <is>
          <t>Nao</t>
        </is>
      </c>
      <c r="AB1384" s="111" t="inlineStr">
        <is>
          <t>NAO_COMPUTADO</t>
        </is>
      </c>
      <c r="AC1384" s="112" t="inlineStr">
        <is>
          <t>Estrutura Fase 1: sem impacto no VTA oficial</t>
        </is>
      </c>
    </row>
    <row r="1385" ht="25.5" customHeight="1" s="289">
      <c r="A1385" s="205" t="n"/>
      <c r="B1385" s="207" t="n"/>
      <c r="C1385" s="104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348" t="n"/>
      <c r="E1385" s="349">
        <f>IF(C1385="","",IFERROR(VLOOKUP(C1385,parametros!$A$11:$E$15,5,0),""))</f>
        <v/>
      </c>
      <c r="F1385" s="335">
        <f>IF(OR(D1385="",E1385=""),"",ROUND(D1385*E1385,2))</f>
        <v/>
      </c>
      <c r="G1385" s="106" t="n"/>
      <c r="H1385" s="350">
        <f>IF(G1385="Sim",IF(OR(F1385="",D1385="",L1385=""),"",IF(L1385="Sim",ROUND(F1385-D1385,2),0)),0)</f>
        <v/>
      </c>
      <c r="I1385" s="350">
        <f>IF(G1385="Sim",0,IF(OR(F1385="",L1385=""),"",F1385))</f>
        <v/>
      </c>
      <c r="J1385" s="350">
        <f>IF(G1385="Sim",0,IF(OR(F1385="",D1385="",L1385=""),"",IF(L1385="Sim",ROUND(F1385-D1385,2),0)))</f>
        <v/>
      </c>
      <c r="K1385" s="97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inlineStr">
        <is>
          <t>Nao</t>
        </is>
      </c>
      <c r="W1385" s="110" t="inlineStr">
        <is>
          <t>PC em analise</t>
        </is>
      </c>
      <c r="X1385" s="110" t="inlineStr">
        <is>
          <t>Pedido de Compra</t>
        </is>
      </c>
      <c r="Y1385" s="111" t="inlineStr">
        <is>
          <t>Impacto Potencial</t>
        </is>
      </c>
      <c r="Z1385" s="111" t="inlineStr">
        <is>
          <t>PC</t>
        </is>
      </c>
      <c r="AA1385" s="111" t="inlineStr">
        <is>
          <t>Nao</t>
        </is>
      </c>
      <c r="AB1385" s="111" t="inlineStr">
        <is>
          <t>NAO_COMPUTADO</t>
        </is>
      </c>
      <c r="AC1385" s="112" t="inlineStr">
        <is>
          <t>Estrutura Fase 1: sem impacto no VTA oficial</t>
        </is>
      </c>
    </row>
    <row r="1386" ht="25.5" customHeight="1" s="289">
      <c r="A1386" s="205" t="n"/>
      <c r="B1386" s="207" t="n"/>
      <c r="C1386" s="104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348" t="n"/>
      <c r="E1386" s="349">
        <f>IF(C1386="","",IFERROR(VLOOKUP(C1386,parametros!$A$11:$E$15,5,0),""))</f>
        <v/>
      </c>
      <c r="F1386" s="335">
        <f>IF(OR(D1386="",E1386=""),"",ROUND(D1386*E1386,2))</f>
        <v/>
      </c>
      <c r="G1386" s="106" t="n"/>
      <c r="H1386" s="350">
        <f>IF(G1386="Sim",IF(OR(F1386="",D1386="",L1386=""),"",IF(L1386="Sim",ROUND(F1386-D1386,2),0)),0)</f>
        <v/>
      </c>
      <c r="I1386" s="350">
        <f>IF(G1386="Sim",0,IF(OR(F1386="",L1386=""),"",F1386))</f>
        <v/>
      </c>
      <c r="J1386" s="350">
        <f>IF(G1386="Sim",0,IF(OR(F1386="",D1386="",L1386=""),"",IF(L1386="Sim",ROUND(F1386-D1386,2),0)))</f>
        <v/>
      </c>
      <c r="K1386" s="97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inlineStr">
        <is>
          <t>Nao</t>
        </is>
      </c>
      <c r="W1386" s="110" t="inlineStr">
        <is>
          <t>PC em analise</t>
        </is>
      </c>
      <c r="X1386" s="110" t="inlineStr">
        <is>
          <t>Pedido de Compra</t>
        </is>
      </c>
      <c r="Y1386" s="111" t="inlineStr">
        <is>
          <t>Impacto Potencial</t>
        </is>
      </c>
      <c r="Z1386" s="111" t="inlineStr">
        <is>
          <t>PC</t>
        </is>
      </c>
      <c r="AA1386" s="111" t="inlineStr">
        <is>
          <t>Nao</t>
        </is>
      </c>
      <c r="AB1386" s="111" t="inlineStr">
        <is>
          <t>NAO_COMPUTADO</t>
        </is>
      </c>
      <c r="AC1386" s="112" t="inlineStr">
        <is>
          <t>Estrutura Fase 1: sem impacto no VTA oficial</t>
        </is>
      </c>
    </row>
    <row r="1387" ht="25.5" customHeight="1" s="289">
      <c r="A1387" s="205" t="n"/>
      <c r="B1387" s="207" t="n"/>
      <c r="C1387" s="104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348" t="n"/>
      <c r="E1387" s="349">
        <f>IF(C1387="","",IFERROR(VLOOKUP(C1387,parametros!$A$11:$E$15,5,0),""))</f>
        <v/>
      </c>
      <c r="F1387" s="335">
        <f>IF(OR(D1387="",E1387=""),"",ROUND(D1387*E1387,2))</f>
        <v/>
      </c>
      <c r="G1387" s="106" t="n"/>
      <c r="H1387" s="350">
        <f>IF(G1387="Sim",IF(OR(F1387="",D1387="",L1387=""),"",IF(L1387="Sim",ROUND(F1387-D1387,2),0)),0)</f>
        <v/>
      </c>
      <c r="I1387" s="350">
        <f>IF(G1387="Sim",0,IF(OR(F1387="",L1387=""),"",F1387))</f>
        <v/>
      </c>
      <c r="J1387" s="350">
        <f>IF(G1387="Sim",0,IF(OR(F1387="",D1387="",L1387=""),"",IF(L1387="Sim",ROUND(F1387-D1387,2),0)))</f>
        <v/>
      </c>
      <c r="K1387" s="97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inlineStr">
        <is>
          <t>Nao</t>
        </is>
      </c>
      <c r="W1387" s="110" t="inlineStr">
        <is>
          <t>PC em analise</t>
        </is>
      </c>
      <c r="X1387" s="110" t="inlineStr">
        <is>
          <t>Pedido de Compra</t>
        </is>
      </c>
      <c r="Y1387" s="111" t="inlineStr">
        <is>
          <t>Impacto Potencial</t>
        </is>
      </c>
      <c r="Z1387" s="111" t="inlineStr">
        <is>
          <t>PC</t>
        </is>
      </c>
      <c r="AA1387" s="111" t="inlineStr">
        <is>
          <t>Nao</t>
        </is>
      </c>
      <c r="AB1387" s="111" t="inlineStr">
        <is>
          <t>NAO_COMPUTADO</t>
        </is>
      </c>
      <c r="AC1387" s="112" t="inlineStr">
        <is>
          <t>Estrutura Fase 1: sem impacto no VTA oficial</t>
        </is>
      </c>
    </row>
    <row r="1388" ht="25.5" customHeight="1" s="289">
      <c r="A1388" s="205" t="n"/>
      <c r="B1388" s="207" t="n"/>
      <c r="C1388" s="104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348" t="n"/>
      <c r="E1388" s="349">
        <f>IF(C1388="","",IFERROR(VLOOKUP(C1388,parametros!$A$11:$E$15,5,0),""))</f>
        <v/>
      </c>
      <c r="F1388" s="335">
        <f>IF(OR(D1388="",E1388=""),"",ROUND(D1388*E1388,2))</f>
        <v/>
      </c>
      <c r="G1388" s="106" t="n"/>
      <c r="H1388" s="350">
        <f>IF(G1388="Sim",IF(OR(F1388="",D1388="",L1388=""),"",IF(L1388="Sim",ROUND(F1388-D1388,2),0)),0)</f>
        <v/>
      </c>
      <c r="I1388" s="350">
        <f>IF(G1388="Sim",0,IF(OR(F1388="",L1388=""),"",F1388))</f>
        <v/>
      </c>
      <c r="J1388" s="350">
        <f>IF(G1388="Sim",0,IF(OR(F1388="",D1388="",L1388=""),"",IF(L1388="Sim",ROUND(F1388-D1388,2),0)))</f>
        <v/>
      </c>
      <c r="K1388" s="97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inlineStr">
        <is>
          <t>Nao</t>
        </is>
      </c>
      <c r="W1388" s="110" t="inlineStr">
        <is>
          <t>PC em analise</t>
        </is>
      </c>
      <c r="X1388" s="110" t="inlineStr">
        <is>
          <t>Pedido de Compra</t>
        </is>
      </c>
      <c r="Y1388" s="111" t="inlineStr">
        <is>
          <t>Impacto Potencial</t>
        </is>
      </c>
      <c r="Z1388" s="111" t="inlineStr">
        <is>
          <t>PC</t>
        </is>
      </c>
      <c r="AA1388" s="111" t="inlineStr">
        <is>
          <t>Nao</t>
        </is>
      </c>
      <c r="AB1388" s="111" t="inlineStr">
        <is>
          <t>NAO_COMPUTADO</t>
        </is>
      </c>
      <c r="AC1388" s="112" t="inlineStr">
        <is>
          <t>Estrutura Fase 1: sem impacto no VTA oficial</t>
        </is>
      </c>
    </row>
    <row r="1389" ht="25.5" customHeight="1" s="289">
      <c r="A1389" s="205" t="n"/>
      <c r="B1389" s="207" t="n"/>
      <c r="C1389" s="104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348" t="n"/>
      <c r="E1389" s="349">
        <f>IF(C1389="","",IFERROR(VLOOKUP(C1389,parametros!$A$11:$E$15,5,0),""))</f>
        <v/>
      </c>
      <c r="F1389" s="335">
        <f>IF(OR(D1389="",E1389=""),"",ROUND(D1389*E1389,2))</f>
        <v/>
      </c>
      <c r="G1389" s="106" t="n"/>
      <c r="H1389" s="350">
        <f>IF(G1389="Sim",IF(OR(F1389="",D1389="",L1389=""),"",IF(L1389="Sim",ROUND(F1389-D1389,2),0)),0)</f>
        <v/>
      </c>
      <c r="I1389" s="350">
        <f>IF(G1389="Sim",0,IF(OR(F1389="",L1389=""),"",F1389))</f>
        <v/>
      </c>
      <c r="J1389" s="350">
        <f>IF(G1389="Sim",0,IF(OR(F1389="",D1389="",L1389=""),"",IF(L1389="Sim",ROUND(F1389-D1389,2),0)))</f>
        <v/>
      </c>
      <c r="K1389" s="97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inlineStr">
        <is>
          <t>Nao</t>
        </is>
      </c>
      <c r="W1389" s="110" t="inlineStr">
        <is>
          <t>PC em analise</t>
        </is>
      </c>
      <c r="X1389" s="110" t="inlineStr">
        <is>
          <t>Pedido de Compra</t>
        </is>
      </c>
      <c r="Y1389" s="111" t="inlineStr">
        <is>
          <t>Impacto Potencial</t>
        </is>
      </c>
      <c r="Z1389" s="111" t="inlineStr">
        <is>
          <t>PC</t>
        </is>
      </c>
      <c r="AA1389" s="111" t="inlineStr">
        <is>
          <t>Nao</t>
        </is>
      </c>
      <c r="AB1389" s="111" t="inlineStr">
        <is>
          <t>NAO_COMPUTADO</t>
        </is>
      </c>
      <c r="AC1389" s="112" t="inlineStr">
        <is>
          <t>Estrutura Fase 1: sem impacto no VTA oficial</t>
        </is>
      </c>
    </row>
    <row r="1390" ht="25.5" customHeight="1" s="289">
      <c r="A1390" s="205" t="n"/>
      <c r="B1390" s="207" t="n"/>
      <c r="C1390" s="104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348" t="n"/>
      <c r="E1390" s="349">
        <f>IF(C1390="","",IFERROR(VLOOKUP(C1390,parametros!$A$11:$E$15,5,0),""))</f>
        <v/>
      </c>
      <c r="F1390" s="335">
        <f>IF(OR(D1390="",E1390=""),"",ROUND(D1390*E1390,2))</f>
        <v/>
      </c>
      <c r="G1390" s="106" t="n"/>
      <c r="H1390" s="350">
        <f>IF(G1390="Sim",IF(OR(F1390="",D1390="",L1390=""),"",IF(L1390="Sim",ROUND(F1390-D1390,2),0)),0)</f>
        <v/>
      </c>
      <c r="I1390" s="350">
        <f>IF(G1390="Sim",0,IF(OR(F1390="",L1390=""),"",F1390))</f>
        <v/>
      </c>
      <c r="J1390" s="350">
        <f>IF(G1390="Sim",0,IF(OR(F1390="",D1390="",L1390=""),"",IF(L1390="Sim",ROUND(F1390-D1390,2),0)))</f>
        <v/>
      </c>
      <c r="K1390" s="97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inlineStr">
        <is>
          <t>Nao</t>
        </is>
      </c>
      <c r="W1390" s="110" t="inlineStr">
        <is>
          <t>PC em analise</t>
        </is>
      </c>
      <c r="X1390" s="110" t="inlineStr">
        <is>
          <t>Pedido de Compra</t>
        </is>
      </c>
      <c r="Y1390" s="111" t="inlineStr">
        <is>
          <t>Impacto Potencial</t>
        </is>
      </c>
      <c r="Z1390" s="111" t="inlineStr">
        <is>
          <t>PC</t>
        </is>
      </c>
      <c r="AA1390" s="111" t="inlineStr">
        <is>
          <t>Nao</t>
        </is>
      </c>
      <c r="AB1390" s="111" t="inlineStr">
        <is>
          <t>NAO_COMPUTADO</t>
        </is>
      </c>
      <c r="AC1390" s="112" t="inlineStr">
        <is>
          <t>Estrutura Fase 1: sem impacto no VTA oficial</t>
        </is>
      </c>
    </row>
    <row r="1391" ht="25.5" customHeight="1" s="289">
      <c r="A1391" s="205" t="n"/>
      <c r="B1391" s="207" t="n"/>
      <c r="C1391" s="104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348" t="n"/>
      <c r="E1391" s="349">
        <f>IF(C1391="","",IFERROR(VLOOKUP(C1391,parametros!$A$11:$E$15,5,0),""))</f>
        <v/>
      </c>
      <c r="F1391" s="335">
        <f>IF(OR(D1391="",E1391=""),"",ROUND(D1391*E1391,2))</f>
        <v/>
      </c>
      <c r="G1391" s="106" t="n"/>
      <c r="H1391" s="350">
        <f>IF(G1391="Sim",IF(OR(F1391="",D1391="",L1391=""),"",IF(L1391="Sim",ROUND(F1391-D1391,2),0)),0)</f>
        <v/>
      </c>
      <c r="I1391" s="350">
        <f>IF(G1391="Sim",0,IF(OR(F1391="",L1391=""),"",F1391))</f>
        <v/>
      </c>
      <c r="J1391" s="350">
        <f>IF(G1391="Sim",0,IF(OR(F1391="",D1391="",L1391=""),"",IF(L1391="Sim",ROUND(F1391-D1391,2),0)))</f>
        <v/>
      </c>
      <c r="K1391" s="97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inlineStr">
        <is>
          <t>Nao</t>
        </is>
      </c>
      <c r="W1391" s="110" t="inlineStr">
        <is>
          <t>PC em analise</t>
        </is>
      </c>
      <c r="X1391" s="110" t="inlineStr">
        <is>
          <t>Pedido de Compra</t>
        </is>
      </c>
      <c r="Y1391" s="111" t="inlineStr">
        <is>
          <t>Impacto Potencial</t>
        </is>
      </c>
      <c r="Z1391" s="111" t="inlineStr">
        <is>
          <t>PC</t>
        </is>
      </c>
      <c r="AA1391" s="111" t="inlineStr">
        <is>
          <t>Nao</t>
        </is>
      </c>
      <c r="AB1391" s="111" t="inlineStr">
        <is>
          <t>NAO_COMPUTADO</t>
        </is>
      </c>
      <c r="AC1391" s="112" t="inlineStr">
        <is>
          <t>Estrutura Fase 1: sem impacto no VTA oficial</t>
        </is>
      </c>
    </row>
    <row r="1392" ht="25.5" customHeight="1" s="289">
      <c r="A1392" s="205" t="n"/>
      <c r="B1392" s="207" t="n"/>
      <c r="C1392" s="104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348" t="n"/>
      <c r="E1392" s="349">
        <f>IF(C1392="","",IFERROR(VLOOKUP(C1392,parametros!$A$11:$E$15,5,0),""))</f>
        <v/>
      </c>
      <c r="F1392" s="335">
        <f>IF(OR(D1392="",E1392=""),"",ROUND(D1392*E1392,2))</f>
        <v/>
      </c>
      <c r="G1392" s="106" t="n"/>
      <c r="H1392" s="350">
        <f>IF(G1392="Sim",IF(OR(F1392="",D1392="",L1392=""),"",IF(L1392="Sim",ROUND(F1392-D1392,2),0)),0)</f>
        <v/>
      </c>
      <c r="I1392" s="350">
        <f>IF(G1392="Sim",0,IF(OR(F1392="",L1392=""),"",F1392))</f>
        <v/>
      </c>
      <c r="J1392" s="350">
        <f>IF(G1392="Sim",0,IF(OR(F1392="",D1392="",L1392=""),"",IF(L1392="Sim",ROUND(F1392-D1392,2),0)))</f>
        <v/>
      </c>
      <c r="K1392" s="97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inlineStr">
        <is>
          <t>Nao</t>
        </is>
      </c>
      <c r="W1392" s="110" t="inlineStr">
        <is>
          <t>PC em analise</t>
        </is>
      </c>
      <c r="X1392" s="110" t="inlineStr">
        <is>
          <t>Pedido de Compra</t>
        </is>
      </c>
      <c r="Y1392" s="111" t="inlineStr">
        <is>
          <t>Impacto Potencial</t>
        </is>
      </c>
      <c r="Z1392" s="111" t="inlineStr">
        <is>
          <t>PC</t>
        </is>
      </c>
      <c r="AA1392" s="111" t="inlineStr">
        <is>
          <t>Nao</t>
        </is>
      </c>
      <c r="AB1392" s="111" t="inlineStr">
        <is>
          <t>NAO_COMPUTADO</t>
        </is>
      </c>
      <c r="AC1392" s="112" t="inlineStr">
        <is>
          <t>Estrutura Fase 1: sem impacto no VTA oficial</t>
        </is>
      </c>
    </row>
    <row r="1393" ht="25.5" customHeight="1" s="289">
      <c r="A1393" s="205" t="n"/>
      <c r="B1393" s="207" t="n"/>
      <c r="C1393" s="104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348" t="n"/>
      <c r="E1393" s="349">
        <f>IF(C1393="","",IFERROR(VLOOKUP(C1393,parametros!$A$11:$E$15,5,0),""))</f>
        <v/>
      </c>
      <c r="F1393" s="335">
        <f>IF(OR(D1393="",E1393=""),"",ROUND(D1393*E1393,2))</f>
        <v/>
      </c>
      <c r="G1393" s="106" t="n"/>
      <c r="H1393" s="350">
        <f>IF(G1393="Sim",IF(OR(F1393="",D1393="",L1393=""),"",IF(L1393="Sim",ROUND(F1393-D1393,2),0)),0)</f>
        <v/>
      </c>
      <c r="I1393" s="350">
        <f>IF(G1393="Sim",0,IF(OR(F1393="",L1393=""),"",F1393))</f>
        <v/>
      </c>
      <c r="J1393" s="350">
        <f>IF(G1393="Sim",0,IF(OR(F1393="",D1393="",L1393=""),"",IF(L1393="Sim",ROUND(F1393-D1393,2),0)))</f>
        <v/>
      </c>
      <c r="K1393" s="97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inlineStr">
        <is>
          <t>Nao</t>
        </is>
      </c>
      <c r="W1393" s="110" t="inlineStr">
        <is>
          <t>PC em analise</t>
        </is>
      </c>
      <c r="X1393" s="110" t="inlineStr">
        <is>
          <t>Pedido de Compra</t>
        </is>
      </c>
      <c r="Y1393" s="111" t="inlineStr">
        <is>
          <t>Impacto Potencial</t>
        </is>
      </c>
      <c r="Z1393" s="111" t="inlineStr">
        <is>
          <t>PC</t>
        </is>
      </c>
      <c r="AA1393" s="111" t="inlineStr">
        <is>
          <t>Nao</t>
        </is>
      </c>
      <c r="AB1393" s="111" t="inlineStr">
        <is>
          <t>NAO_COMPUTADO</t>
        </is>
      </c>
      <c r="AC1393" s="112" t="inlineStr">
        <is>
          <t>Estrutura Fase 1: sem impacto no VTA oficial</t>
        </is>
      </c>
    </row>
    <row r="1394" ht="25.5" customHeight="1" s="289">
      <c r="A1394" s="205" t="n"/>
      <c r="B1394" s="207" t="n"/>
      <c r="C1394" s="104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348" t="n"/>
      <c r="E1394" s="349">
        <f>IF(C1394="","",IFERROR(VLOOKUP(C1394,parametros!$A$11:$E$15,5,0),""))</f>
        <v/>
      </c>
      <c r="F1394" s="335">
        <f>IF(OR(D1394="",E1394=""),"",ROUND(D1394*E1394,2))</f>
        <v/>
      </c>
      <c r="G1394" s="106" t="n"/>
      <c r="H1394" s="350">
        <f>IF(G1394="Sim",IF(OR(F1394="",D1394="",L1394=""),"",IF(L1394="Sim",ROUND(F1394-D1394,2),0)),0)</f>
        <v/>
      </c>
      <c r="I1394" s="350">
        <f>IF(G1394="Sim",0,IF(OR(F1394="",L1394=""),"",F1394))</f>
        <v/>
      </c>
      <c r="J1394" s="350">
        <f>IF(G1394="Sim",0,IF(OR(F1394="",D1394="",L1394=""),"",IF(L1394="Sim",ROUND(F1394-D1394,2),0)))</f>
        <v/>
      </c>
      <c r="K1394" s="97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inlineStr">
        <is>
          <t>Nao</t>
        </is>
      </c>
      <c r="W1394" s="110" t="inlineStr">
        <is>
          <t>PC em analise</t>
        </is>
      </c>
      <c r="X1394" s="110" t="inlineStr">
        <is>
          <t>Pedido de Compra</t>
        </is>
      </c>
      <c r="Y1394" s="111" t="inlineStr">
        <is>
          <t>Impacto Potencial</t>
        </is>
      </c>
      <c r="Z1394" s="111" t="inlineStr">
        <is>
          <t>PC</t>
        </is>
      </c>
      <c r="AA1394" s="111" t="inlineStr">
        <is>
          <t>Nao</t>
        </is>
      </c>
      <c r="AB1394" s="111" t="inlineStr">
        <is>
          <t>NAO_COMPUTADO</t>
        </is>
      </c>
      <c r="AC1394" s="112" t="inlineStr">
        <is>
          <t>Estrutura Fase 1: sem impacto no VTA oficial</t>
        </is>
      </c>
    </row>
    <row r="1395" ht="25.5" customHeight="1" s="289">
      <c r="A1395" s="205" t="n"/>
      <c r="B1395" s="207" t="n"/>
      <c r="C1395" s="104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348" t="n"/>
      <c r="E1395" s="349">
        <f>IF(C1395="","",IFERROR(VLOOKUP(C1395,parametros!$A$11:$E$15,5,0),""))</f>
        <v/>
      </c>
      <c r="F1395" s="335">
        <f>IF(OR(D1395="",E1395=""),"",ROUND(D1395*E1395,2))</f>
        <v/>
      </c>
      <c r="G1395" s="106" t="n"/>
      <c r="H1395" s="350">
        <f>IF(G1395="Sim",IF(OR(F1395="",D1395="",L1395=""),"",IF(L1395="Sim",ROUND(F1395-D1395,2),0)),0)</f>
        <v/>
      </c>
      <c r="I1395" s="350">
        <f>IF(G1395="Sim",0,IF(OR(F1395="",L1395=""),"",F1395))</f>
        <v/>
      </c>
      <c r="J1395" s="350">
        <f>IF(G1395="Sim",0,IF(OR(F1395="",D1395="",L1395=""),"",IF(L1395="Sim",ROUND(F1395-D1395,2),0)))</f>
        <v/>
      </c>
      <c r="K1395" s="97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inlineStr">
        <is>
          <t>Nao</t>
        </is>
      </c>
      <c r="W1395" s="110" t="inlineStr">
        <is>
          <t>PC em analise</t>
        </is>
      </c>
      <c r="X1395" s="110" t="inlineStr">
        <is>
          <t>Pedido de Compra</t>
        </is>
      </c>
      <c r="Y1395" s="111" t="inlineStr">
        <is>
          <t>Impacto Potencial</t>
        </is>
      </c>
      <c r="Z1395" s="111" t="inlineStr">
        <is>
          <t>PC</t>
        </is>
      </c>
      <c r="AA1395" s="111" t="inlineStr">
        <is>
          <t>Nao</t>
        </is>
      </c>
      <c r="AB1395" s="111" t="inlineStr">
        <is>
          <t>NAO_COMPUTADO</t>
        </is>
      </c>
      <c r="AC1395" s="112" t="inlineStr">
        <is>
          <t>Estrutura Fase 1: sem impacto no VTA oficial</t>
        </is>
      </c>
    </row>
    <row r="1396" ht="25.5" customHeight="1" s="289">
      <c r="A1396" s="205" t="n"/>
      <c r="B1396" s="207" t="n"/>
      <c r="C1396" s="104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348" t="n"/>
      <c r="E1396" s="349">
        <f>IF(C1396="","",IFERROR(VLOOKUP(C1396,parametros!$A$11:$E$15,5,0),""))</f>
        <v/>
      </c>
      <c r="F1396" s="335">
        <f>IF(OR(D1396="",E1396=""),"",ROUND(D1396*E1396,2))</f>
        <v/>
      </c>
      <c r="G1396" s="106" t="n"/>
      <c r="H1396" s="350">
        <f>IF(G1396="Sim",IF(OR(F1396="",D1396="",L1396=""),"",IF(L1396="Sim",ROUND(F1396-D1396,2),0)),0)</f>
        <v/>
      </c>
      <c r="I1396" s="350">
        <f>IF(G1396="Sim",0,IF(OR(F1396="",L1396=""),"",F1396))</f>
        <v/>
      </c>
      <c r="J1396" s="350">
        <f>IF(G1396="Sim",0,IF(OR(F1396="",D1396="",L1396=""),"",IF(L1396="Sim",ROUND(F1396-D1396,2),0)))</f>
        <v/>
      </c>
      <c r="K1396" s="97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inlineStr">
        <is>
          <t>Nao</t>
        </is>
      </c>
      <c r="W1396" s="110" t="inlineStr">
        <is>
          <t>PC em analise</t>
        </is>
      </c>
      <c r="X1396" s="110" t="inlineStr">
        <is>
          <t>Pedido de Compra</t>
        </is>
      </c>
      <c r="Y1396" s="111" t="inlineStr">
        <is>
          <t>Impacto Potencial</t>
        </is>
      </c>
      <c r="Z1396" s="111" t="inlineStr">
        <is>
          <t>PC</t>
        </is>
      </c>
      <c r="AA1396" s="111" t="inlineStr">
        <is>
          <t>Nao</t>
        </is>
      </c>
      <c r="AB1396" s="111" t="inlineStr">
        <is>
          <t>NAO_COMPUTADO</t>
        </is>
      </c>
      <c r="AC1396" s="112" t="inlineStr">
        <is>
          <t>Estrutura Fase 1: sem impacto no VTA oficial</t>
        </is>
      </c>
    </row>
    <row r="1397" ht="25.5" customHeight="1" s="289">
      <c r="A1397" s="205" t="n"/>
      <c r="B1397" s="207" t="n"/>
      <c r="C1397" s="104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348" t="n"/>
      <c r="E1397" s="349">
        <f>IF(C1397="","",IFERROR(VLOOKUP(C1397,parametros!$A$11:$E$15,5,0),""))</f>
        <v/>
      </c>
      <c r="F1397" s="335">
        <f>IF(OR(D1397="",E1397=""),"",ROUND(D1397*E1397,2))</f>
        <v/>
      </c>
      <c r="G1397" s="106" t="n"/>
      <c r="H1397" s="350">
        <f>IF(G1397="Sim",IF(OR(F1397="",D1397="",L1397=""),"",IF(L1397="Sim",ROUND(F1397-D1397,2),0)),0)</f>
        <v/>
      </c>
      <c r="I1397" s="350">
        <f>IF(G1397="Sim",0,IF(OR(F1397="",L1397=""),"",F1397))</f>
        <v/>
      </c>
      <c r="J1397" s="350">
        <f>IF(G1397="Sim",0,IF(OR(F1397="",D1397="",L1397=""),"",IF(L1397="Sim",ROUND(F1397-D1397,2),0)))</f>
        <v/>
      </c>
      <c r="K1397" s="97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inlineStr">
        <is>
          <t>Nao</t>
        </is>
      </c>
      <c r="W1397" s="110" t="inlineStr">
        <is>
          <t>PC em analise</t>
        </is>
      </c>
      <c r="X1397" s="110" t="inlineStr">
        <is>
          <t>Pedido de Compra</t>
        </is>
      </c>
      <c r="Y1397" s="111" t="inlineStr">
        <is>
          <t>Impacto Potencial</t>
        </is>
      </c>
      <c r="Z1397" s="111" t="inlineStr">
        <is>
          <t>PC</t>
        </is>
      </c>
      <c r="AA1397" s="111" t="inlineStr">
        <is>
          <t>Nao</t>
        </is>
      </c>
      <c r="AB1397" s="111" t="inlineStr">
        <is>
          <t>NAO_COMPUTADO</t>
        </is>
      </c>
      <c r="AC1397" s="112" t="inlineStr">
        <is>
          <t>Estrutura Fase 1: sem impacto no VTA oficial</t>
        </is>
      </c>
    </row>
    <row r="1398" ht="25.5" customHeight="1" s="289">
      <c r="A1398" s="205" t="n"/>
      <c r="B1398" s="207" t="n"/>
      <c r="C1398" s="104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348" t="n"/>
      <c r="E1398" s="349">
        <f>IF(C1398="","",IFERROR(VLOOKUP(C1398,parametros!$A$11:$E$15,5,0),""))</f>
        <v/>
      </c>
      <c r="F1398" s="335">
        <f>IF(OR(D1398="",E1398=""),"",ROUND(D1398*E1398,2))</f>
        <v/>
      </c>
      <c r="G1398" s="106" t="n"/>
      <c r="H1398" s="350">
        <f>IF(G1398="Sim",IF(OR(F1398="",D1398="",L1398=""),"",IF(L1398="Sim",ROUND(F1398-D1398,2),0)),0)</f>
        <v/>
      </c>
      <c r="I1398" s="350">
        <f>IF(G1398="Sim",0,IF(OR(F1398="",L1398=""),"",F1398))</f>
        <v/>
      </c>
      <c r="J1398" s="350">
        <f>IF(G1398="Sim",0,IF(OR(F1398="",D1398="",L1398=""),"",IF(L1398="Sim",ROUND(F1398-D1398,2),0)))</f>
        <v/>
      </c>
      <c r="K1398" s="97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inlineStr">
        <is>
          <t>Nao</t>
        </is>
      </c>
      <c r="W1398" s="110" t="inlineStr">
        <is>
          <t>PC em analise</t>
        </is>
      </c>
      <c r="X1398" s="110" t="inlineStr">
        <is>
          <t>Pedido de Compra</t>
        </is>
      </c>
      <c r="Y1398" s="111" t="inlineStr">
        <is>
          <t>Impacto Potencial</t>
        </is>
      </c>
      <c r="Z1398" s="111" t="inlineStr">
        <is>
          <t>PC</t>
        </is>
      </c>
      <c r="AA1398" s="111" t="inlineStr">
        <is>
          <t>Nao</t>
        </is>
      </c>
      <c r="AB1398" s="111" t="inlineStr">
        <is>
          <t>NAO_COMPUTADO</t>
        </is>
      </c>
      <c r="AC1398" s="112" t="inlineStr">
        <is>
          <t>Estrutura Fase 1: sem impacto no VTA oficial</t>
        </is>
      </c>
    </row>
    <row r="1399" ht="25.5" customHeight="1" s="289">
      <c r="A1399" s="205" t="n"/>
      <c r="B1399" s="207" t="n"/>
      <c r="C1399" s="104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348" t="n"/>
      <c r="E1399" s="349">
        <f>IF(C1399="","",IFERROR(VLOOKUP(C1399,parametros!$A$11:$E$15,5,0),""))</f>
        <v/>
      </c>
      <c r="F1399" s="335">
        <f>IF(OR(D1399="",E1399=""),"",ROUND(D1399*E1399,2))</f>
        <v/>
      </c>
      <c r="G1399" s="106" t="n"/>
      <c r="H1399" s="350">
        <f>IF(G1399="Sim",IF(OR(F1399="",D1399="",L1399=""),"",IF(L1399="Sim",ROUND(F1399-D1399,2),0)),0)</f>
        <v/>
      </c>
      <c r="I1399" s="350">
        <f>IF(G1399="Sim",0,IF(OR(F1399="",L1399=""),"",F1399))</f>
        <v/>
      </c>
      <c r="J1399" s="350">
        <f>IF(G1399="Sim",0,IF(OR(F1399="",D1399="",L1399=""),"",IF(L1399="Sim",ROUND(F1399-D1399,2),0)))</f>
        <v/>
      </c>
      <c r="K1399" s="97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inlineStr">
        <is>
          <t>Nao</t>
        </is>
      </c>
      <c r="W1399" s="110" t="inlineStr">
        <is>
          <t>PC em analise</t>
        </is>
      </c>
      <c r="X1399" s="110" t="inlineStr">
        <is>
          <t>Pedido de Compra</t>
        </is>
      </c>
      <c r="Y1399" s="111" t="inlineStr">
        <is>
          <t>Impacto Potencial</t>
        </is>
      </c>
      <c r="Z1399" s="111" t="inlineStr">
        <is>
          <t>PC</t>
        </is>
      </c>
      <c r="AA1399" s="111" t="inlineStr">
        <is>
          <t>Nao</t>
        </is>
      </c>
      <c r="AB1399" s="111" t="inlineStr">
        <is>
          <t>NAO_COMPUTADO</t>
        </is>
      </c>
      <c r="AC1399" s="112" t="inlineStr">
        <is>
          <t>Estrutura Fase 1: sem impacto no VTA oficial</t>
        </is>
      </c>
    </row>
    <row r="1400" ht="25.5" customHeight="1" s="289">
      <c r="A1400" s="205" t="n"/>
      <c r="B1400" s="207" t="n"/>
      <c r="C1400" s="104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348" t="n"/>
      <c r="E1400" s="349">
        <f>IF(C1400="","",IFERROR(VLOOKUP(C1400,parametros!$A$11:$E$15,5,0),""))</f>
        <v/>
      </c>
      <c r="F1400" s="335">
        <f>IF(OR(D1400="",E1400=""),"",ROUND(D1400*E1400,2))</f>
        <v/>
      </c>
      <c r="G1400" s="106" t="n"/>
      <c r="H1400" s="350">
        <f>IF(G1400="Sim",IF(OR(F1400="",D1400="",L1400=""),"",IF(L1400="Sim",ROUND(F1400-D1400,2),0)),0)</f>
        <v/>
      </c>
      <c r="I1400" s="350">
        <f>IF(G1400="Sim",0,IF(OR(F1400="",L1400=""),"",F1400))</f>
        <v/>
      </c>
      <c r="J1400" s="350">
        <f>IF(G1400="Sim",0,IF(OR(F1400="",D1400="",L1400=""),"",IF(L1400="Sim",ROUND(F1400-D1400,2),0)))</f>
        <v/>
      </c>
      <c r="K1400" s="97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inlineStr">
        <is>
          <t>Nao</t>
        </is>
      </c>
      <c r="W1400" s="110" t="inlineStr">
        <is>
          <t>PC em analise</t>
        </is>
      </c>
      <c r="X1400" s="110" t="inlineStr">
        <is>
          <t>Pedido de Compra</t>
        </is>
      </c>
      <c r="Y1400" s="111" t="inlineStr">
        <is>
          <t>Impacto Potencial</t>
        </is>
      </c>
      <c r="Z1400" s="111" t="inlineStr">
        <is>
          <t>PC</t>
        </is>
      </c>
      <c r="AA1400" s="111" t="inlineStr">
        <is>
          <t>Nao</t>
        </is>
      </c>
      <c r="AB1400" s="111" t="inlineStr">
        <is>
          <t>NAO_COMPUTADO</t>
        </is>
      </c>
      <c r="AC1400" s="112" t="inlineStr">
        <is>
          <t>Estrutura Fase 1: sem impacto no VTA oficial</t>
        </is>
      </c>
    </row>
    <row r="1401" ht="25.5" customHeight="1" s="289">
      <c r="A1401" s="205" t="n"/>
      <c r="B1401" s="207" t="n"/>
      <c r="C1401" s="104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348" t="n"/>
      <c r="E1401" s="349">
        <f>IF(C1401="","",IFERROR(VLOOKUP(C1401,parametros!$A$11:$E$15,5,0),""))</f>
        <v/>
      </c>
      <c r="F1401" s="335">
        <f>IF(OR(D1401="",E1401=""),"",ROUND(D1401*E1401,2))</f>
        <v/>
      </c>
      <c r="G1401" s="106" t="n"/>
      <c r="H1401" s="350">
        <f>IF(G1401="Sim",IF(OR(F1401="",D1401="",L1401=""),"",IF(L1401="Sim",ROUND(F1401-D1401,2),0)),0)</f>
        <v/>
      </c>
      <c r="I1401" s="350">
        <f>IF(G1401="Sim",0,IF(OR(F1401="",L1401=""),"",F1401))</f>
        <v/>
      </c>
      <c r="J1401" s="350">
        <f>IF(G1401="Sim",0,IF(OR(F1401="",D1401="",L1401=""),"",IF(L1401="Sim",ROUND(F1401-D1401,2),0)))</f>
        <v/>
      </c>
      <c r="K1401" s="97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inlineStr">
        <is>
          <t>Nao</t>
        </is>
      </c>
      <c r="W1401" s="110" t="inlineStr">
        <is>
          <t>PC em analise</t>
        </is>
      </c>
      <c r="X1401" s="110" t="inlineStr">
        <is>
          <t>Pedido de Compra</t>
        </is>
      </c>
      <c r="Y1401" s="111" t="inlineStr">
        <is>
          <t>Impacto Potencial</t>
        </is>
      </c>
      <c r="Z1401" s="111" t="inlineStr">
        <is>
          <t>PC</t>
        </is>
      </c>
      <c r="AA1401" s="111" t="inlineStr">
        <is>
          <t>Nao</t>
        </is>
      </c>
      <c r="AB1401" s="111" t="inlineStr">
        <is>
          <t>NAO_COMPUTADO</t>
        </is>
      </c>
      <c r="AC1401" s="112" t="inlineStr">
        <is>
          <t>Estrutura Fase 1: sem impacto no VTA oficial</t>
        </is>
      </c>
    </row>
    <row r="1402" ht="25.5" customHeight="1" s="289">
      <c r="A1402" s="205" t="n"/>
      <c r="B1402" s="207" t="n"/>
      <c r="C1402" s="104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348" t="n"/>
      <c r="E1402" s="349">
        <f>IF(C1402="","",IFERROR(VLOOKUP(C1402,parametros!$A$11:$E$15,5,0),""))</f>
        <v/>
      </c>
      <c r="F1402" s="335">
        <f>IF(OR(D1402="",E1402=""),"",ROUND(D1402*E1402,2))</f>
        <v/>
      </c>
      <c r="G1402" s="106" t="n"/>
      <c r="H1402" s="350">
        <f>IF(G1402="Sim",IF(OR(F1402="",D1402="",L1402=""),"",IF(L1402="Sim",ROUND(F1402-D1402,2),0)),0)</f>
        <v/>
      </c>
      <c r="I1402" s="350">
        <f>IF(G1402="Sim",0,IF(OR(F1402="",L1402=""),"",F1402))</f>
        <v/>
      </c>
      <c r="J1402" s="350">
        <f>IF(G1402="Sim",0,IF(OR(F1402="",D1402="",L1402=""),"",IF(L1402="Sim",ROUND(F1402-D1402,2),0)))</f>
        <v/>
      </c>
      <c r="K1402" s="97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inlineStr">
        <is>
          <t>Nao</t>
        </is>
      </c>
      <c r="W1402" s="110" t="inlineStr">
        <is>
          <t>PC em analise</t>
        </is>
      </c>
      <c r="X1402" s="110" t="inlineStr">
        <is>
          <t>Pedido de Compra</t>
        </is>
      </c>
      <c r="Y1402" s="111" t="inlineStr">
        <is>
          <t>Impacto Potencial</t>
        </is>
      </c>
      <c r="Z1402" s="111" t="inlineStr">
        <is>
          <t>PC</t>
        </is>
      </c>
      <c r="AA1402" s="111" t="inlineStr">
        <is>
          <t>Nao</t>
        </is>
      </c>
      <c r="AB1402" s="111" t="inlineStr">
        <is>
          <t>NAO_COMPUTADO</t>
        </is>
      </c>
      <c r="AC1402" s="112" t="inlineStr">
        <is>
          <t>Estrutura Fase 1: sem impacto no VTA oficial</t>
        </is>
      </c>
    </row>
    <row r="1403" ht="25.5" customHeight="1" s="289">
      <c r="A1403" s="205" t="n"/>
      <c r="B1403" s="207" t="n"/>
      <c r="C1403" s="104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348" t="n"/>
      <c r="E1403" s="349">
        <f>IF(C1403="","",IFERROR(VLOOKUP(C1403,parametros!$A$11:$E$15,5,0),""))</f>
        <v/>
      </c>
      <c r="F1403" s="335">
        <f>IF(OR(D1403="",E1403=""),"",ROUND(D1403*E1403,2))</f>
        <v/>
      </c>
      <c r="G1403" s="106" t="n"/>
      <c r="H1403" s="350">
        <f>IF(G1403="Sim",IF(OR(F1403="",D1403="",L1403=""),"",IF(L1403="Sim",ROUND(F1403-D1403,2),0)),0)</f>
        <v/>
      </c>
      <c r="I1403" s="350">
        <f>IF(G1403="Sim",0,IF(OR(F1403="",L1403=""),"",F1403))</f>
        <v/>
      </c>
      <c r="J1403" s="350">
        <f>IF(G1403="Sim",0,IF(OR(F1403="",D1403="",L1403=""),"",IF(L1403="Sim",ROUND(F1403-D1403,2),0)))</f>
        <v/>
      </c>
      <c r="K1403" s="97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inlineStr">
        <is>
          <t>Nao</t>
        </is>
      </c>
      <c r="W1403" s="110" t="inlineStr">
        <is>
          <t>PC em analise</t>
        </is>
      </c>
      <c r="X1403" s="110" t="inlineStr">
        <is>
          <t>Pedido de Compra</t>
        </is>
      </c>
      <c r="Y1403" s="111" t="inlineStr">
        <is>
          <t>Impacto Potencial</t>
        </is>
      </c>
      <c r="Z1403" s="111" t="inlineStr">
        <is>
          <t>PC</t>
        </is>
      </c>
      <c r="AA1403" s="111" t="inlineStr">
        <is>
          <t>Nao</t>
        </is>
      </c>
      <c r="AB1403" s="111" t="inlineStr">
        <is>
          <t>NAO_COMPUTADO</t>
        </is>
      </c>
      <c r="AC1403" s="112" t="inlineStr">
        <is>
          <t>Estrutura Fase 1: sem impacto no VTA oficial</t>
        </is>
      </c>
    </row>
    <row r="1404" ht="25.5" customHeight="1" s="289">
      <c r="A1404" s="205" t="n"/>
      <c r="B1404" s="207" t="n"/>
      <c r="C1404" s="104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348" t="n"/>
      <c r="E1404" s="349">
        <f>IF(C1404="","",IFERROR(VLOOKUP(C1404,parametros!$A$11:$E$15,5,0),""))</f>
        <v/>
      </c>
      <c r="F1404" s="335">
        <f>IF(OR(D1404="",E1404=""),"",ROUND(D1404*E1404,2))</f>
        <v/>
      </c>
      <c r="G1404" s="106" t="n"/>
      <c r="H1404" s="350">
        <f>IF(G1404="Sim",IF(OR(F1404="",D1404="",L1404=""),"",IF(L1404="Sim",ROUND(F1404-D1404,2),0)),0)</f>
        <v/>
      </c>
      <c r="I1404" s="350">
        <f>IF(G1404="Sim",0,IF(OR(F1404="",L1404=""),"",F1404))</f>
        <v/>
      </c>
      <c r="J1404" s="350">
        <f>IF(G1404="Sim",0,IF(OR(F1404="",D1404="",L1404=""),"",IF(L1404="Sim",ROUND(F1404-D1404,2),0)))</f>
        <v/>
      </c>
      <c r="K1404" s="97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inlineStr">
        <is>
          <t>Nao</t>
        </is>
      </c>
      <c r="W1404" s="110" t="inlineStr">
        <is>
          <t>PC em analise</t>
        </is>
      </c>
      <c r="X1404" s="110" t="inlineStr">
        <is>
          <t>Pedido de Compra</t>
        </is>
      </c>
      <c r="Y1404" s="111" t="inlineStr">
        <is>
          <t>Impacto Potencial</t>
        </is>
      </c>
      <c r="Z1404" s="111" t="inlineStr">
        <is>
          <t>PC</t>
        </is>
      </c>
      <c r="AA1404" s="111" t="inlineStr">
        <is>
          <t>Nao</t>
        </is>
      </c>
      <c r="AB1404" s="111" t="inlineStr">
        <is>
          <t>NAO_COMPUTADO</t>
        </is>
      </c>
      <c r="AC1404" s="112" t="inlineStr">
        <is>
          <t>Estrutura Fase 1: sem impacto no VTA oficial</t>
        </is>
      </c>
    </row>
    <row r="1405" ht="25.5" customHeight="1" s="289">
      <c r="A1405" s="205" t="n"/>
      <c r="B1405" s="207" t="n"/>
      <c r="C1405" s="104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348" t="n"/>
      <c r="E1405" s="349">
        <f>IF(C1405="","",IFERROR(VLOOKUP(C1405,parametros!$A$11:$E$15,5,0),""))</f>
        <v/>
      </c>
      <c r="F1405" s="335">
        <f>IF(OR(D1405="",E1405=""),"",ROUND(D1405*E1405,2))</f>
        <v/>
      </c>
      <c r="G1405" s="106" t="n"/>
      <c r="H1405" s="350">
        <f>IF(G1405="Sim",IF(OR(F1405="",D1405="",L1405=""),"",IF(L1405="Sim",ROUND(F1405-D1405,2),0)),0)</f>
        <v/>
      </c>
      <c r="I1405" s="350">
        <f>IF(G1405="Sim",0,IF(OR(F1405="",L1405=""),"",F1405))</f>
        <v/>
      </c>
      <c r="J1405" s="350">
        <f>IF(G1405="Sim",0,IF(OR(F1405="",D1405="",L1405=""),"",IF(L1405="Sim",ROUND(F1405-D1405,2),0)))</f>
        <v/>
      </c>
      <c r="K1405" s="97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inlineStr">
        <is>
          <t>Nao</t>
        </is>
      </c>
      <c r="W1405" s="110" t="inlineStr">
        <is>
          <t>PC em analise</t>
        </is>
      </c>
      <c r="X1405" s="110" t="inlineStr">
        <is>
          <t>Pedido de Compra</t>
        </is>
      </c>
      <c r="Y1405" s="111" t="inlineStr">
        <is>
          <t>Impacto Potencial</t>
        </is>
      </c>
      <c r="Z1405" s="111" t="inlineStr">
        <is>
          <t>PC</t>
        </is>
      </c>
      <c r="AA1405" s="111" t="inlineStr">
        <is>
          <t>Nao</t>
        </is>
      </c>
      <c r="AB1405" s="111" t="inlineStr">
        <is>
          <t>NAO_COMPUTADO</t>
        </is>
      </c>
      <c r="AC1405" s="112" t="inlineStr">
        <is>
          <t>Estrutura Fase 1: sem impacto no VTA oficial</t>
        </is>
      </c>
    </row>
    <row r="1406" ht="25.5" customHeight="1" s="289">
      <c r="A1406" s="205" t="n"/>
      <c r="B1406" s="207" t="n"/>
      <c r="C1406" s="104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348" t="n"/>
      <c r="E1406" s="349">
        <f>IF(C1406="","",IFERROR(VLOOKUP(C1406,parametros!$A$11:$E$15,5,0),""))</f>
        <v/>
      </c>
      <c r="F1406" s="335">
        <f>IF(OR(D1406="",E1406=""),"",ROUND(D1406*E1406,2))</f>
        <v/>
      </c>
      <c r="G1406" s="106" t="n"/>
      <c r="H1406" s="350">
        <f>IF(G1406="Sim",IF(OR(F1406="",D1406="",L1406=""),"",IF(L1406="Sim",ROUND(F1406-D1406,2),0)),0)</f>
        <v/>
      </c>
      <c r="I1406" s="350">
        <f>IF(G1406="Sim",0,IF(OR(F1406="",L1406=""),"",F1406))</f>
        <v/>
      </c>
      <c r="J1406" s="350">
        <f>IF(G1406="Sim",0,IF(OR(F1406="",D1406="",L1406=""),"",IF(L1406="Sim",ROUND(F1406-D1406,2),0)))</f>
        <v/>
      </c>
      <c r="K1406" s="97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inlineStr">
        <is>
          <t>Nao</t>
        </is>
      </c>
      <c r="W1406" s="110" t="inlineStr">
        <is>
          <t>PC em analise</t>
        </is>
      </c>
      <c r="X1406" s="110" t="inlineStr">
        <is>
          <t>Pedido de Compra</t>
        </is>
      </c>
      <c r="Y1406" s="111" t="inlineStr">
        <is>
          <t>Impacto Potencial</t>
        </is>
      </c>
      <c r="Z1406" s="111" t="inlineStr">
        <is>
          <t>PC</t>
        </is>
      </c>
      <c r="AA1406" s="111" t="inlineStr">
        <is>
          <t>Nao</t>
        </is>
      </c>
      <c r="AB1406" s="111" t="inlineStr">
        <is>
          <t>NAO_COMPUTADO</t>
        </is>
      </c>
      <c r="AC1406" s="112" t="inlineStr">
        <is>
          <t>Estrutura Fase 1: sem impacto no VTA oficial</t>
        </is>
      </c>
    </row>
    <row r="1407" ht="25.5" customHeight="1" s="289">
      <c r="A1407" s="205" t="n"/>
      <c r="B1407" s="207" t="n"/>
      <c r="C1407" s="104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348" t="n"/>
      <c r="E1407" s="349">
        <f>IF(C1407="","",IFERROR(VLOOKUP(C1407,parametros!$A$11:$E$15,5,0),""))</f>
        <v/>
      </c>
      <c r="F1407" s="335">
        <f>IF(OR(D1407="",E1407=""),"",ROUND(D1407*E1407,2))</f>
        <v/>
      </c>
      <c r="G1407" s="106" t="n"/>
      <c r="H1407" s="350">
        <f>IF(G1407="Sim",IF(OR(F1407="",D1407="",L1407=""),"",IF(L1407="Sim",ROUND(F1407-D1407,2),0)),0)</f>
        <v/>
      </c>
      <c r="I1407" s="350">
        <f>IF(G1407="Sim",0,IF(OR(F1407="",L1407=""),"",F1407))</f>
        <v/>
      </c>
      <c r="J1407" s="350">
        <f>IF(G1407="Sim",0,IF(OR(F1407="",D1407="",L1407=""),"",IF(L1407="Sim",ROUND(F1407-D1407,2),0)))</f>
        <v/>
      </c>
      <c r="K1407" s="97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inlineStr">
        <is>
          <t>Nao</t>
        </is>
      </c>
      <c r="W1407" s="110" t="inlineStr">
        <is>
          <t>PC em analise</t>
        </is>
      </c>
      <c r="X1407" s="110" t="inlineStr">
        <is>
          <t>Pedido de Compra</t>
        </is>
      </c>
      <c r="Y1407" s="111" t="inlineStr">
        <is>
          <t>Impacto Potencial</t>
        </is>
      </c>
      <c r="Z1407" s="111" t="inlineStr">
        <is>
          <t>PC</t>
        </is>
      </c>
      <c r="AA1407" s="111" t="inlineStr">
        <is>
          <t>Nao</t>
        </is>
      </c>
      <c r="AB1407" s="111" t="inlineStr">
        <is>
          <t>NAO_COMPUTADO</t>
        </is>
      </c>
      <c r="AC1407" s="112" t="inlineStr">
        <is>
          <t>Estrutura Fase 1: sem impacto no VTA oficial</t>
        </is>
      </c>
    </row>
    <row r="1408" ht="25.5" customHeight="1" s="289">
      <c r="A1408" s="205" t="n"/>
      <c r="B1408" s="207" t="n"/>
      <c r="C1408" s="104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348" t="n"/>
      <c r="E1408" s="349">
        <f>IF(C1408="","",IFERROR(VLOOKUP(C1408,parametros!$A$11:$E$15,5,0),""))</f>
        <v/>
      </c>
      <c r="F1408" s="335">
        <f>IF(OR(D1408="",E1408=""),"",ROUND(D1408*E1408,2))</f>
        <v/>
      </c>
      <c r="G1408" s="106" t="n"/>
      <c r="H1408" s="350">
        <f>IF(G1408="Sim",IF(OR(F1408="",D1408="",L1408=""),"",IF(L1408="Sim",ROUND(F1408-D1408,2),0)),0)</f>
        <v/>
      </c>
      <c r="I1408" s="350">
        <f>IF(G1408="Sim",0,IF(OR(F1408="",L1408=""),"",F1408))</f>
        <v/>
      </c>
      <c r="J1408" s="350">
        <f>IF(G1408="Sim",0,IF(OR(F1408="",D1408="",L1408=""),"",IF(L1408="Sim",ROUND(F1408-D1408,2),0)))</f>
        <v/>
      </c>
      <c r="K1408" s="97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inlineStr">
        <is>
          <t>Nao</t>
        </is>
      </c>
      <c r="W1408" s="110" t="inlineStr">
        <is>
          <t>PC em analise</t>
        </is>
      </c>
      <c r="X1408" s="110" t="inlineStr">
        <is>
          <t>Pedido de Compra</t>
        </is>
      </c>
      <c r="Y1408" s="111" t="inlineStr">
        <is>
          <t>Impacto Potencial</t>
        </is>
      </c>
      <c r="Z1408" s="111" t="inlineStr">
        <is>
          <t>PC</t>
        </is>
      </c>
      <c r="AA1408" s="111" t="inlineStr">
        <is>
          <t>Nao</t>
        </is>
      </c>
      <c r="AB1408" s="111" t="inlineStr">
        <is>
          <t>NAO_COMPUTADO</t>
        </is>
      </c>
      <c r="AC1408" s="112" t="inlineStr">
        <is>
          <t>Estrutura Fase 1: sem impacto no VTA oficial</t>
        </is>
      </c>
    </row>
    <row r="1409" ht="25.5" customHeight="1" s="289">
      <c r="A1409" s="205" t="n"/>
      <c r="B1409" s="207" t="n"/>
      <c r="C1409" s="104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348" t="n"/>
      <c r="E1409" s="349">
        <f>IF(C1409="","",IFERROR(VLOOKUP(C1409,parametros!$A$11:$E$15,5,0),""))</f>
        <v/>
      </c>
      <c r="F1409" s="335">
        <f>IF(OR(D1409="",E1409=""),"",ROUND(D1409*E1409,2))</f>
        <v/>
      </c>
      <c r="G1409" s="106" t="n"/>
      <c r="H1409" s="350">
        <f>IF(G1409="Sim",IF(OR(F1409="",D1409="",L1409=""),"",IF(L1409="Sim",ROUND(F1409-D1409,2),0)),0)</f>
        <v/>
      </c>
      <c r="I1409" s="350">
        <f>IF(G1409="Sim",0,IF(OR(F1409="",L1409=""),"",F1409))</f>
        <v/>
      </c>
      <c r="J1409" s="350">
        <f>IF(G1409="Sim",0,IF(OR(F1409="",D1409="",L1409=""),"",IF(L1409="Sim",ROUND(F1409-D1409,2),0)))</f>
        <v/>
      </c>
      <c r="K1409" s="97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inlineStr">
        <is>
          <t>Nao</t>
        </is>
      </c>
      <c r="W1409" s="110" t="inlineStr">
        <is>
          <t>PC em analise</t>
        </is>
      </c>
      <c r="X1409" s="110" t="inlineStr">
        <is>
          <t>Pedido de Compra</t>
        </is>
      </c>
      <c r="Y1409" s="111" t="inlineStr">
        <is>
          <t>Impacto Potencial</t>
        </is>
      </c>
      <c r="Z1409" s="111" t="inlineStr">
        <is>
          <t>PC</t>
        </is>
      </c>
      <c r="AA1409" s="111" t="inlineStr">
        <is>
          <t>Nao</t>
        </is>
      </c>
      <c r="AB1409" s="111" t="inlineStr">
        <is>
          <t>NAO_COMPUTADO</t>
        </is>
      </c>
      <c r="AC1409" s="112" t="inlineStr">
        <is>
          <t>Estrutura Fase 1: sem impacto no VTA oficial</t>
        </is>
      </c>
    </row>
    <row r="1410" ht="25.5" customHeight="1" s="289">
      <c r="A1410" s="205" t="n"/>
      <c r="B1410" s="207" t="n"/>
      <c r="C1410" s="104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348" t="n"/>
      <c r="E1410" s="349">
        <f>IF(C1410="","",IFERROR(VLOOKUP(C1410,parametros!$A$11:$E$15,5,0),""))</f>
        <v/>
      </c>
      <c r="F1410" s="335">
        <f>IF(OR(D1410="",E1410=""),"",ROUND(D1410*E1410,2))</f>
        <v/>
      </c>
      <c r="G1410" s="106" t="n"/>
      <c r="H1410" s="350">
        <f>IF(G1410="Sim",IF(OR(F1410="",D1410="",L1410=""),"",IF(L1410="Sim",ROUND(F1410-D1410,2),0)),0)</f>
        <v/>
      </c>
      <c r="I1410" s="350">
        <f>IF(G1410="Sim",0,IF(OR(F1410="",L1410=""),"",F1410))</f>
        <v/>
      </c>
      <c r="J1410" s="350">
        <f>IF(G1410="Sim",0,IF(OR(F1410="",D1410="",L1410=""),"",IF(L1410="Sim",ROUND(F1410-D1410,2),0)))</f>
        <v/>
      </c>
      <c r="K1410" s="97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inlineStr">
        <is>
          <t>Nao</t>
        </is>
      </c>
      <c r="W1410" s="110" t="inlineStr">
        <is>
          <t>PC em analise</t>
        </is>
      </c>
      <c r="X1410" s="110" t="inlineStr">
        <is>
          <t>Pedido de Compra</t>
        </is>
      </c>
      <c r="Y1410" s="111" t="inlineStr">
        <is>
          <t>Impacto Potencial</t>
        </is>
      </c>
      <c r="Z1410" s="111" t="inlineStr">
        <is>
          <t>PC</t>
        </is>
      </c>
      <c r="AA1410" s="111" t="inlineStr">
        <is>
          <t>Nao</t>
        </is>
      </c>
      <c r="AB1410" s="111" t="inlineStr">
        <is>
          <t>NAO_COMPUTADO</t>
        </is>
      </c>
      <c r="AC1410" s="112" t="inlineStr">
        <is>
          <t>Estrutura Fase 1: sem impacto no VTA oficial</t>
        </is>
      </c>
    </row>
    <row r="1411" ht="25.5" customHeight="1" s="289">
      <c r="A1411" s="205" t="n"/>
      <c r="B1411" s="207" t="n"/>
      <c r="C1411" s="104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348" t="n"/>
      <c r="E1411" s="349">
        <f>IF(C1411="","",IFERROR(VLOOKUP(C1411,parametros!$A$11:$E$15,5,0),""))</f>
        <v/>
      </c>
      <c r="F1411" s="335">
        <f>IF(OR(D1411="",E1411=""),"",ROUND(D1411*E1411,2))</f>
        <v/>
      </c>
      <c r="G1411" s="106" t="n"/>
      <c r="H1411" s="350">
        <f>IF(G1411="Sim",IF(OR(F1411="",D1411="",L1411=""),"",IF(L1411="Sim",ROUND(F1411-D1411,2),0)),0)</f>
        <v/>
      </c>
      <c r="I1411" s="350">
        <f>IF(G1411="Sim",0,IF(OR(F1411="",L1411=""),"",F1411))</f>
        <v/>
      </c>
      <c r="J1411" s="350">
        <f>IF(G1411="Sim",0,IF(OR(F1411="",D1411="",L1411=""),"",IF(L1411="Sim",ROUND(F1411-D1411,2),0)))</f>
        <v/>
      </c>
      <c r="K1411" s="97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inlineStr">
        <is>
          <t>Nao</t>
        </is>
      </c>
      <c r="W1411" s="110" t="inlineStr">
        <is>
          <t>PC em analise</t>
        </is>
      </c>
      <c r="X1411" s="110" t="inlineStr">
        <is>
          <t>Pedido de Compra</t>
        </is>
      </c>
      <c r="Y1411" s="111" t="inlineStr">
        <is>
          <t>Impacto Potencial</t>
        </is>
      </c>
      <c r="Z1411" s="111" t="inlineStr">
        <is>
          <t>PC</t>
        </is>
      </c>
      <c r="AA1411" s="111" t="inlineStr">
        <is>
          <t>Nao</t>
        </is>
      </c>
      <c r="AB1411" s="111" t="inlineStr">
        <is>
          <t>NAO_COMPUTADO</t>
        </is>
      </c>
      <c r="AC1411" s="112" t="inlineStr">
        <is>
          <t>Estrutura Fase 1: sem impacto no VTA oficial</t>
        </is>
      </c>
    </row>
    <row r="1412" ht="25.5" customHeight="1" s="289">
      <c r="A1412" s="205" t="n"/>
      <c r="B1412" s="207" t="n"/>
      <c r="C1412" s="104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348" t="n"/>
      <c r="E1412" s="349">
        <f>IF(C1412="","",IFERROR(VLOOKUP(C1412,parametros!$A$11:$E$15,5,0),""))</f>
        <v/>
      </c>
      <c r="F1412" s="335">
        <f>IF(OR(D1412="",E1412=""),"",ROUND(D1412*E1412,2))</f>
        <v/>
      </c>
      <c r="G1412" s="106" t="n"/>
      <c r="H1412" s="350">
        <f>IF(G1412="Sim",IF(OR(F1412="",D1412="",L1412=""),"",IF(L1412="Sim",ROUND(F1412-D1412,2),0)),0)</f>
        <v/>
      </c>
      <c r="I1412" s="350">
        <f>IF(G1412="Sim",0,IF(OR(F1412="",L1412=""),"",F1412))</f>
        <v/>
      </c>
      <c r="J1412" s="350">
        <f>IF(G1412="Sim",0,IF(OR(F1412="",D1412="",L1412=""),"",IF(L1412="Sim",ROUND(F1412-D1412,2),0)))</f>
        <v/>
      </c>
      <c r="K1412" s="97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inlineStr">
        <is>
          <t>Nao</t>
        </is>
      </c>
      <c r="W1412" s="110" t="inlineStr">
        <is>
          <t>PC em analise</t>
        </is>
      </c>
      <c r="X1412" s="110" t="inlineStr">
        <is>
          <t>Pedido de Compra</t>
        </is>
      </c>
      <c r="Y1412" s="111" t="inlineStr">
        <is>
          <t>Impacto Potencial</t>
        </is>
      </c>
      <c r="Z1412" s="111" t="inlineStr">
        <is>
          <t>PC</t>
        </is>
      </c>
      <c r="AA1412" s="111" t="inlineStr">
        <is>
          <t>Nao</t>
        </is>
      </c>
      <c r="AB1412" s="111" t="inlineStr">
        <is>
          <t>NAO_COMPUTADO</t>
        </is>
      </c>
      <c r="AC1412" s="112" t="inlineStr">
        <is>
          <t>Estrutura Fase 1: sem impacto no VTA oficial</t>
        </is>
      </c>
    </row>
    <row r="1413" ht="25.5" customHeight="1" s="289">
      <c r="A1413" s="205" t="n"/>
      <c r="B1413" s="207" t="n"/>
      <c r="C1413" s="104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348" t="n"/>
      <c r="E1413" s="349">
        <f>IF(C1413="","",IFERROR(VLOOKUP(C1413,parametros!$A$11:$E$15,5,0),""))</f>
        <v/>
      </c>
      <c r="F1413" s="335">
        <f>IF(OR(D1413="",E1413=""),"",ROUND(D1413*E1413,2))</f>
        <v/>
      </c>
      <c r="G1413" s="106" t="n"/>
      <c r="H1413" s="350">
        <f>IF(G1413="Sim",IF(OR(F1413="",D1413="",L1413=""),"",IF(L1413="Sim",ROUND(F1413-D1413,2),0)),0)</f>
        <v/>
      </c>
      <c r="I1413" s="350">
        <f>IF(G1413="Sim",0,IF(OR(F1413="",L1413=""),"",F1413))</f>
        <v/>
      </c>
      <c r="J1413" s="350">
        <f>IF(G1413="Sim",0,IF(OR(F1413="",D1413="",L1413=""),"",IF(L1413="Sim",ROUND(F1413-D1413,2),0)))</f>
        <v/>
      </c>
      <c r="K1413" s="97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inlineStr">
        <is>
          <t>Nao</t>
        </is>
      </c>
      <c r="W1413" s="110" t="inlineStr">
        <is>
          <t>PC em analise</t>
        </is>
      </c>
      <c r="X1413" s="110" t="inlineStr">
        <is>
          <t>Pedido de Compra</t>
        </is>
      </c>
      <c r="Y1413" s="111" t="inlineStr">
        <is>
          <t>Impacto Potencial</t>
        </is>
      </c>
      <c r="Z1413" s="111" t="inlineStr">
        <is>
          <t>PC</t>
        </is>
      </c>
      <c r="AA1413" s="111" t="inlineStr">
        <is>
          <t>Nao</t>
        </is>
      </c>
      <c r="AB1413" s="111" t="inlineStr">
        <is>
          <t>NAO_COMPUTADO</t>
        </is>
      </c>
      <c r="AC1413" s="112" t="inlineStr">
        <is>
          <t>Estrutura Fase 1: sem impacto no VTA oficial</t>
        </is>
      </c>
    </row>
    <row r="1414" ht="25.5" customHeight="1" s="289">
      <c r="A1414" s="205" t="n"/>
      <c r="B1414" s="207" t="n"/>
      <c r="C1414" s="104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348" t="n"/>
      <c r="E1414" s="349">
        <f>IF(C1414="","",IFERROR(VLOOKUP(C1414,parametros!$A$11:$E$15,5,0),""))</f>
        <v/>
      </c>
      <c r="F1414" s="335">
        <f>IF(OR(D1414="",E1414=""),"",ROUND(D1414*E1414,2))</f>
        <v/>
      </c>
      <c r="G1414" s="106" t="n"/>
      <c r="H1414" s="350">
        <f>IF(G1414="Sim",IF(OR(F1414="",D1414="",L1414=""),"",IF(L1414="Sim",ROUND(F1414-D1414,2),0)),0)</f>
        <v/>
      </c>
      <c r="I1414" s="350">
        <f>IF(G1414="Sim",0,IF(OR(F1414="",L1414=""),"",F1414))</f>
        <v/>
      </c>
      <c r="J1414" s="350">
        <f>IF(G1414="Sim",0,IF(OR(F1414="",D1414="",L1414=""),"",IF(L1414="Sim",ROUND(F1414-D1414,2),0)))</f>
        <v/>
      </c>
      <c r="K1414" s="97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inlineStr">
        <is>
          <t>Nao</t>
        </is>
      </c>
      <c r="W1414" s="110" t="inlineStr">
        <is>
          <t>PC em analise</t>
        </is>
      </c>
      <c r="X1414" s="110" t="inlineStr">
        <is>
          <t>Pedido de Compra</t>
        </is>
      </c>
      <c r="Y1414" s="111" t="inlineStr">
        <is>
          <t>Impacto Potencial</t>
        </is>
      </c>
      <c r="Z1414" s="111" t="inlineStr">
        <is>
          <t>PC</t>
        </is>
      </c>
      <c r="AA1414" s="111" t="inlineStr">
        <is>
          <t>Nao</t>
        </is>
      </c>
      <c r="AB1414" s="111" t="inlineStr">
        <is>
          <t>NAO_COMPUTADO</t>
        </is>
      </c>
      <c r="AC1414" s="112" t="inlineStr">
        <is>
          <t>Estrutura Fase 1: sem impacto no VTA oficial</t>
        </is>
      </c>
    </row>
    <row r="1415" ht="25.5" customHeight="1" s="289">
      <c r="A1415" s="205" t="n"/>
      <c r="B1415" s="207" t="n"/>
      <c r="C1415" s="104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348" t="n"/>
      <c r="E1415" s="349">
        <f>IF(C1415="","",IFERROR(VLOOKUP(C1415,parametros!$A$11:$E$15,5,0),""))</f>
        <v/>
      </c>
      <c r="F1415" s="335">
        <f>IF(OR(D1415="",E1415=""),"",ROUND(D1415*E1415,2))</f>
        <v/>
      </c>
      <c r="G1415" s="106" t="n"/>
      <c r="H1415" s="350">
        <f>IF(G1415="Sim",IF(OR(F1415="",D1415="",L1415=""),"",IF(L1415="Sim",ROUND(F1415-D1415,2),0)),0)</f>
        <v/>
      </c>
      <c r="I1415" s="350">
        <f>IF(G1415="Sim",0,IF(OR(F1415="",L1415=""),"",F1415))</f>
        <v/>
      </c>
      <c r="J1415" s="350">
        <f>IF(G1415="Sim",0,IF(OR(F1415="",D1415="",L1415=""),"",IF(L1415="Sim",ROUND(F1415-D1415,2),0)))</f>
        <v/>
      </c>
      <c r="K1415" s="97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inlineStr">
        <is>
          <t>Nao</t>
        </is>
      </c>
      <c r="W1415" s="110" t="inlineStr">
        <is>
          <t>PC em analise</t>
        </is>
      </c>
      <c r="X1415" s="110" t="inlineStr">
        <is>
          <t>Pedido de Compra</t>
        </is>
      </c>
      <c r="Y1415" s="111" t="inlineStr">
        <is>
          <t>Impacto Potencial</t>
        </is>
      </c>
      <c r="Z1415" s="111" t="inlineStr">
        <is>
          <t>PC</t>
        </is>
      </c>
      <c r="AA1415" s="111" t="inlineStr">
        <is>
          <t>Nao</t>
        </is>
      </c>
      <c r="AB1415" s="111" t="inlineStr">
        <is>
          <t>NAO_COMPUTADO</t>
        </is>
      </c>
      <c r="AC1415" s="112" t="inlineStr">
        <is>
          <t>Estrutura Fase 1: sem impacto no VTA oficial</t>
        </is>
      </c>
    </row>
    <row r="1416" ht="25.5" customHeight="1" s="289">
      <c r="A1416" s="205" t="n"/>
      <c r="B1416" s="207" t="n"/>
      <c r="C1416" s="104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348" t="n"/>
      <c r="E1416" s="349">
        <f>IF(C1416="","",IFERROR(VLOOKUP(C1416,parametros!$A$11:$E$15,5,0),""))</f>
        <v/>
      </c>
      <c r="F1416" s="335">
        <f>IF(OR(D1416="",E1416=""),"",ROUND(D1416*E1416,2))</f>
        <v/>
      </c>
      <c r="G1416" s="106" t="n"/>
      <c r="H1416" s="350">
        <f>IF(G1416="Sim",IF(OR(F1416="",D1416="",L1416=""),"",IF(L1416="Sim",ROUND(F1416-D1416,2),0)),0)</f>
        <v/>
      </c>
      <c r="I1416" s="350">
        <f>IF(G1416="Sim",0,IF(OR(F1416="",L1416=""),"",F1416))</f>
        <v/>
      </c>
      <c r="J1416" s="350">
        <f>IF(G1416="Sim",0,IF(OR(F1416="",D1416="",L1416=""),"",IF(L1416="Sim",ROUND(F1416-D1416,2),0)))</f>
        <v/>
      </c>
      <c r="K1416" s="97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inlineStr">
        <is>
          <t>Nao</t>
        </is>
      </c>
      <c r="W1416" s="110" t="inlineStr">
        <is>
          <t>PC em analise</t>
        </is>
      </c>
      <c r="X1416" s="110" t="inlineStr">
        <is>
          <t>Pedido de Compra</t>
        </is>
      </c>
      <c r="Y1416" s="111" t="inlineStr">
        <is>
          <t>Impacto Potencial</t>
        </is>
      </c>
      <c r="Z1416" s="111" t="inlineStr">
        <is>
          <t>PC</t>
        </is>
      </c>
      <c r="AA1416" s="111" t="inlineStr">
        <is>
          <t>Nao</t>
        </is>
      </c>
      <c r="AB1416" s="111" t="inlineStr">
        <is>
          <t>NAO_COMPUTADO</t>
        </is>
      </c>
      <c r="AC1416" s="112" t="inlineStr">
        <is>
          <t>Estrutura Fase 1: sem impacto no VTA oficial</t>
        </is>
      </c>
    </row>
    <row r="1417" ht="25.5" customHeight="1" s="289">
      <c r="A1417" s="205" t="n"/>
      <c r="B1417" s="207" t="n"/>
      <c r="C1417" s="104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348" t="n"/>
      <c r="E1417" s="349">
        <f>IF(C1417="","",IFERROR(VLOOKUP(C1417,parametros!$A$11:$E$15,5,0),""))</f>
        <v/>
      </c>
      <c r="F1417" s="335">
        <f>IF(OR(D1417="",E1417=""),"",ROUND(D1417*E1417,2))</f>
        <v/>
      </c>
      <c r="G1417" s="106" t="n"/>
      <c r="H1417" s="350">
        <f>IF(G1417="Sim",IF(OR(F1417="",D1417="",L1417=""),"",IF(L1417="Sim",ROUND(F1417-D1417,2),0)),0)</f>
        <v/>
      </c>
      <c r="I1417" s="350">
        <f>IF(G1417="Sim",0,IF(OR(F1417="",L1417=""),"",F1417))</f>
        <v/>
      </c>
      <c r="J1417" s="350">
        <f>IF(G1417="Sim",0,IF(OR(F1417="",D1417="",L1417=""),"",IF(L1417="Sim",ROUND(F1417-D1417,2),0)))</f>
        <v/>
      </c>
      <c r="K1417" s="97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inlineStr">
        <is>
          <t>Nao</t>
        </is>
      </c>
      <c r="W1417" s="110" t="inlineStr">
        <is>
          <t>PC em analise</t>
        </is>
      </c>
      <c r="X1417" s="110" t="inlineStr">
        <is>
          <t>Pedido de Compra</t>
        </is>
      </c>
      <c r="Y1417" s="111" t="inlineStr">
        <is>
          <t>Impacto Potencial</t>
        </is>
      </c>
      <c r="Z1417" s="111" t="inlineStr">
        <is>
          <t>PC</t>
        </is>
      </c>
      <c r="AA1417" s="111" t="inlineStr">
        <is>
          <t>Nao</t>
        </is>
      </c>
      <c r="AB1417" s="111" t="inlineStr">
        <is>
          <t>NAO_COMPUTADO</t>
        </is>
      </c>
      <c r="AC1417" s="112" t="inlineStr">
        <is>
          <t>Estrutura Fase 1: sem impacto no VTA oficial</t>
        </is>
      </c>
    </row>
    <row r="1418" ht="25.5" customHeight="1" s="289">
      <c r="A1418" s="205" t="n"/>
      <c r="B1418" s="207" t="n"/>
      <c r="C1418" s="104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348" t="n"/>
      <c r="E1418" s="349">
        <f>IF(C1418="","",IFERROR(VLOOKUP(C1418,parametros!$A$11:$E$15,5,0),""))</f>
        <v/>
      </c>
      <c r="F1418" s="335">
        <f>IF(OR(D1418="",E1418=""),"",ROUND(D1418*E1418,2))</f>
        <v/>
      </c>
      <c r="G1418" s="106" t="n"/>
      <c r="H1418" s="350">
        <f>IF(G1418="Sim",IF(OR(F1418="",D1418="",L1418=""),"",IF(L1418="Sim",ROUND(F1418-D1418,2),0)),0)</f>
        <v/>
      </c>
      <c r="I1418" s="350">
        <f>IF(G1418="Sim",0,IF(OR(F1418="",L1418=""),"",F1418))</f>
        <v/>
      </c>
      <c r="J1418" s="350">
        <f>IF(G1418="Sim",0,IF(OR(F1418="",D1418="",L1418=""),"",IF(L1418="Sim",ROUND(F1418-D1418,2),0)))</f>
        <v/>
      </c>
      <c r="K1418" s="97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inlineStr">
        <is>
          <t>Nao</t>
        </is>
      </c>
      <c r="W1418" s="110" t="inlineStr">
        <is>
          <t>PC em analise</t>
        </is>
      </c>
      <c r="X1418" s="110" t="inlineStr">
        <is>
          <t>Pedido de Compra</t>
        </is>
      </c>
      <c r="Y1418" s="111" t="inlineStr">
        <is>
          <t>Impacto Potencial</t>
        </is>
      </c>
      <c r="Z1418" s="111" t="inlineStr">
        <is>
          <t>PC</t>
        </is>
      </c>
      <c r="AA1418" s="111" t="inlineStr">
        <is>
          <t>Nao</t>
        </is>
      </c>
      <c r="AB1418" s="111" t="inlineStr">
        <is>
          <t>NAO_COMPUTADO</t>
        </is>
      </c>
      <c r="AC1418" s="112" t="inlineStr">
        <is>
          <t>Estrutura Fase 1: sem impacto no VTA oficial</t>
        </is>
      </c>
    </row>
    <row r="1419" ht="25.5" customHeight="1" s="289">
      <c r="A1419" s="205" t="n"/>
      <c r="B1419" s="207" t="n"/>
      <c r="C1419" s="104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348" t="n"/>
      <c r="E1419" s="349">
        <f>IF(C1419="","",IFERROR(VLOOKUP(C1419,parametros!$A$11:$E$15,5,0),""))</f>
        <v/>
      </c>
      <c r="F1419" s="335">
        <f>IF(OR(D1419="",E1419=""),"",ROUND(D1419*E1419,2))</f>
        <v/>
      </c>
      <c r="G1419" s="106" t="n"/>
      <c r="H1419" s="350">
        <f>IF(G1419="Sim",IF(OR(F1419="",D1419="",L1419=""),"",IF(L1419="Sim",ROUND(F1419-D1419,2),0)),0)</f>
        <v/>
      </c>
      <c r="I1419" s="350">
        <f>IF(G1419="Sim",0,IF(OR(F1419="",L1419=""),"",F1419))</f>
        <v/>
      </c>
      <c r="J1419" s="350">
        <f>IF(G1419="Sim",0,IF(OR(F1419="",D1419="",L1419=""),"",IF(L1419="Sim",ROUND(F1419-D1419,2),0)))</f>
        <v/>
      </c>
      <c r="K1419" s="97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inlineStr">
        <is>
          <t>Nao</t>
        </is>
      </c>
      <c r="W1419" s="110" t="inlineStr">
        <is>
          <t>PC em analise</t>
        </is>
      </c>
      <c r="X1419" s="110" t="inlineStr">
        <is>
          <t>Pedido de Compra</t>
        </is>
      </c>
      <c r="Y1419" s="111" t="inlineStr">
        <is>
          <t>Impacto Potencial</t>
        </is>
      </c>
      <c r="Z1419" s="111" t="inlineStr">
        <is>
          <t>PC</t>
        </is>
      </c>
      <c r="AA1419" s="111" t="inlineStr">
        <is>
          <t>Nao</t>
        </is>
      </c>
      <c r="AB1419" s="111" t="inlineStr">
        <is>
          <t>NAO_COMPUTADO</t>
        </is>
      </c>
      <c r="AC1419" s="112" t="inlineStr">
        <is>
          <t>Estrutura Fase 1: sem impacto no VTA oficial</t>
        </is>
      </c>
    </row>
    <row r="1420" ht="25.5" customHeight="1" s="289">
      <c r="A1420" s="205" t="n"/>
      <c r="B1420" s="207" t="n"/>
      <c r="C1420" s="104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348" t="n"/>
      <c r="E1420" s="349">
        <f>IF(C1420="","",IFERROR(VLOOKUP(C1420,parametros!$A$11:$E$15,5,0),""))</f>
        <v/>
      </c>
      <c r="F1420" s="335">
        <f>IF(OR(D1420="",E1420=""),"",ROUND(D1420*E1420,2))</f>
        <v/>
      </c>
      <c r="G1420" s="106" t="n"/>
      <c r="H1420" s="350">
        <f>IF(G1420="Sim",IF(OR(F1420="",D1420="",L1420=""),"",IF(L1420="Sim",ROUND(F1420-D1420,2),0)),0)</f>
        <v/>
      </c>
      <c r="I1420" s="350">
        <f>IF(G1420="Sim",0,IF(OR(F1420="",L1420=""),"",F1420))</f>
        <v/>
      </c>
      <c r="J1420" s="350">
        <f>IF(G1420="Sim",0,IF(OR(F1420="",D1420="",L1420=""),"",IF(L1420="Sim",ROUND(F1420-D1420,2),0)))</f>
        <v/>
      </c>
      <c r="K1420" s="97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inlineStr">
        <is>
          <t>Nao</t>
        </is>
      </c>
      <c r="W1420" s="110" t="inlineStr">
        <is>
          <t>PC em analise</t>
        </is>
      </c>
      <c r="X1420" s="110" t="inlineStr">
        <is>
          <t>Pedido de Compra</t>
        </is>
      </c>
      <c r="Y1420" s="111" t="inlineStr">
        <is>
          <t>Impacto Potencial</t>
        </is>
      </c>
      <c r="Z1420" s="111" t="inlineStr">
        <is>
          <t>PC</t>
        </is>
      </c>
      <c r="AA1420" s="111" t="inlineStr">
        <is>
          <t>Nao</t>
        </is>
      </c>
      <c r="AB1420" s="111" t="inlineStr">
        <is>
          <t>NAO_COMPUTADO</t>
        </is>
      </c>
      <c r="AC1420" s="112" t="inlineStr">
        <is>
          <t>Estrutura Fase 1: sem impacto no VTA oficial</t>
        </is>
      </c>
    </row>
    <row r="1421" ht="25.5" customHeight="1" s="289">
      <c r="A1421" s="205" t="n"/>
      <c r="B1421" s="207" t="n"/>
      <c r="C1421" s="104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348" t="n"/>
      <c r="E1421" s="349">
        <f>IF(C1421="","",IFERROR(VLOOKUP(C1421,parametros!$A$11:$E$15,5,0),""))</f>
        <v/>
      </c>
      <c r="F1421" s="335">
        <f>IF(OR(D1421="",E1421=""),"",ROUND(D1421*E1421,2))</f>
        <v/>
      </c>
      <c r="G1421" s="106" t="n"/>
      <c r="H1421" s="350">
        <f>IF(G1421="Sim",IF(OR(F1421="",D1421="",L1421=""),"",IF(L1421="Sim",ROUND(F1421-D1421,2),0)),0)</f>
        <v/>
      </c>
      <c r="I1421" s="350">
        <f>IF(G1421="Sim",0,IF(OR(F1421="",L1421=""),"",F1421))</f>
        <v/>
      </c>
      <c r="J1421" s="350">
        <f>IF(G1421="Sim",0,IF(OR(F1421="",D1421="",L1421=""),"",IF(L1421="Sim",ROUND(F1421-D1421,2),0)))</f>
        <v/>
      </c>
      <c r="K1421" s="97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inlineStr">
        <is>
          <t>Nao</t>
        </is>
      </c>
      <c r="W1421" s="110" t="inlineStr">
        <is>
          <t>PC em analise</t>
        </is>
      </c>
      <c r="X1421" s="110" t="inlineStr">
        <is>
          <t>Pedido de Compra</t>
        </is>
      </c>
      <c r="Y1421" s="111" t="inlineStr">
        <is>
          <t>Impacto Potencial</t>
        </is>
      </c>
      <c r="Z1421" s="111" t="inlineStr">
        <is>
          <t>PC</t>
        </is>
      </c>
      <c r="AA1421" s="111" t="inlineStr">
        <is>
          <t>Nao</t>
        </is>
      </c>
      <c r="AB1421" s="111" t="inlineStr">
        <is>
          <t>NAO_COMPUTADO</t>
        </is>
      </c>
      <c r="AC1421" s="112" t="inlineStr">
        <is>
          <t>Estrutura Fase 1: sem impacto no VTA oficial</t>
        </is>
      </c>
    </row>
    <row r="1422" ht="25.5" customHeight="1" s="289">
      <c r="A1422" s="205" t="n"/>
      <c r="B1422" s="207" t="n"/>
      <c r="C1422" s="104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348" t="n"/>
      <c r="E1422" s="349">
        <f>IF(C1422="","",IFERROR(VLOOKUP(C1422,parametros!$A$11:$E$15,5,0),""))</f>
        <v/>
      </c>
      <c r="F1422" s="335">
        <f>IF(OR(D1422="",E1422=""),"",ROUND(D1422*E1422,2))</f>
        <v/>
      </c>
      <c r="G1422" s="106" t="n"/>
      <c r="H1422" s="350">
        <f>IF(G1422="Sim",IF(OR(F1422="",D1422="",L1422=""),"",IF(L1422="Sim",ROUND(F1422-D1422,2),0)),0)</f>
        <v/>
      </c>
      <c r="I1422" s="350">
        <f>IF(G1422="Sim",0,IF(OR(F1422="",L1422=""),"",F1422))</f>
        <v/>
      </c>
      <c r="J1422" s="350">
        <f>IF(G1422="Sim",0,IF(OR(F1422="",D1422="",L1422=""),"",IF(L1422="Sim",ROUND(F1422-D1422,2),0)))</f>
        <v/>
      </c>
      <c r="K1422" s="97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inlineStr">
        <is>
          <t>Nao</t>
        </is>
      </c>
      <c r="W1422" s="110" t="inlineStr">
        <is>
          <t>PC em analise</t>
        </is>
      </c>
      <c r="X1422" s="110" t="inlineStr">
        <is>
          <t>Pedido de Compra</t>
        </is>
      </c>
      <c r="Y1422" s="111" t="inlineStr">
        <is>
          <t>Impacto Potencial</t>
        </is>
      </c>
      <c r="Z1422" s="111" t="inlineStr">
        <is>
          <t>PC</t>
        </is>
      </c>
      <c r="AA1422" s="111" t="inlineStr">
        <is>
          <t>Nao</t>
        </is>
      </c>
      <c r="AB1422" s="111" t="inlineStr">
        <is>
          <t>NAO_COMPUTADO</t>
        </is>
      </c>
      <c r="AC1422" s="112" t="inlineStr">
        <is>
          <t>Estrutura Fase 1: sem impacto no VTA oficial</t>
        </is>
      </c>
    </row>
    <row r="1423" ht="25.5" customHeight="1" s="289">
      <c r="A1423" s="205" t="n"/>
      <c r="B1423" s="207" t="n"/>
      <c r="C1423" s="104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348" t="n"/>
      <c r="E1423" s="349">
        <f>IF(C1423="","",IFERROR(VLOOKUP(C1423,parametros!$A$11:$E$15,5,0),""))</f>
        <v/>
      </c>
      <c r="F1423" s="335">
        <f>IF(OR(D1423="",E1423=""),"",ROUND(D1423*E1423,2))</f>
        <v/>
      </c>
      <c r="G1423" s="106" t="n"/>
      <c r="H1423" s="350">
        <f>IF(G1423="Sim",IF(OR(F1423="",D1423="",L1423=""),"",IF(L1423="Sim",ROUND(F1423-D1423,2),0)),0)</f>
        <v/>
      </c>
      <c r="I1423" s="350">
        <f>IF(G1423="Sim",0,IF(OR(F1423="",L1423=""),"",F1423))</f>
        <v/>
      </c>
      <c r="J1423" s="350">
        <f>IF(G1423="Sim",0,IF(OR(F1423="",D1423="",L1423=""),"",IF(L1423="Sim",ROUND(F1423-D1423,2),0)))</f>
        <v/>
      </c>
      <c r="K1423" s="97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inlineStr">
        <is>
          <t>Nao</t>
        </is>
      </c>
      <c r="W1423" s="110" t="inlineStr">
        <is>
          <t>PC em analise</t>
        </is>
      </c>
      <c r="X1423" s="110" t="inlineStr">
        <is>
          <t>Pedido de Compra</t>
        </is>
      </c>
      <c r="Y1423" s="111" t="inlineStr">
        <is>
          <t>Impacto Potencial</t>
        </is>
      </c>
      <c r="Z1423" s="111" t="inlineStr">
        <is>
          <t>PC</t>
        </is>
      </c>
      <c r="AA1423" s="111" t="inlineStr">
        <is>
          <t>Nao</t>
        </is>
      </c>
      <c r="AB1423" s="111" t="inlineStr">
        <is>
          <t>NAO_COMPUTADO</t>
        </is>
      </c>
      <c r="AC1423" s="112" t="inlineStr">
        <is>
          <t>Estrutura Fase 1: sem impacto no VTA oficial</t>
        </is>
      </c>
    </row>
    <row r="1424" ht="25.5" customHeight="1" s="289">
      <c r="A1424" s="205" t="n"/>
      <c r="B1424" s="207" t="n"/>
      <c r="C1424" s="104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348" t="n"/>
      <c r="E1424" s="349">
        <f>IF(C1424="","",IFERROR(VLOOKUP(C1424,parametros!$A$11:$E$15,5,0),""))</f>
        <v/>
      </c>
      <c r="F1424" s="335">
        <f>IF(OR(D1424="",E1424=""),"",ROUND(D1424*E1424,2))</f>
        <v/>
      </c>
      <c r="G1424" s="106" t="n"/>
      <c r="H1424" s="350">
        <f>IF(G1424="Sim",IF(OR(F1424="",D1424="",L1424=""),"",IF(L1424="Sim",ROUND(F1424-D1424,2),0)),0)</f>
        <v/>
      </c>
      <c r="I1424" s="350">
        <f>IF(G1424="Sim",0,IF(OR(F1424="",L1424=""),"",F1424))</f>
        <v/>
      </c>
      <c r="J1424" s="350">
        <f>IF(G1424="Sim",0,IF(OR(F1424="",D1424="",L1424=""),"",IF(L1424="Sim",ROUND(F1424-D1424,2),0)))</f>
        <v/>
      </c>
      <c r="K1424" s="97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inlineStr">
        <is>
          <t>Nao</t>
        </is>
      </c>
      <c r="W1424" s="110" t="inlineStr">
        <is>
          <t>PC em analise</t>
        </is>
      </c>
      <c r="X1424" s="110" t="inlineStr">
        <is>
          <t>Pedido de Compra</t>
        </is>
      </c>
      <c r="Y1424" s="111" t="inlineStr">
        <is>
          <t>Impacto Potencial</t>
        </is>
      </c>
      <c r="Z1424" s="111" t="inlineStr">
        <is>
          <t>PC</t>
        </is>
      </c>
      <c r="AA1424" s="111" t="inlineStr">
        <is>
          <t>Nao</t>
        </is>
      </c>
      <c r="AB1424" s="111" t="inlineStr">
        <is>
          <t>NAO_COMPUTADO</t>
        </is>
      </c>
      <c r="AC1424" s="112" t="inlineStr">
        <is>
          <t>Estrutura Fase 1: sem impacto no VTA oficial</t>
        </is>
      </c>
    </row>
    <row r="1425" ht="25.5" customHeight="1" s="289">
      <c r="A1425" s="205" t="n"/>
      <c r="B1425" s="207" t="n"/>
      <c r="C1425" s="104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348" t="n"/>
      <c r="E1425" s="349">
        <f>IF(C1425="","",IFERROR(VLOOKUP(C1425,parametros!$A$11:$E$15,5,0),""))</f>
        <v/>
      </c>
      <c r="F1425" s="335">
        <f>IF(OR(D1425="",E1425=""),"",ROUND(D1425*E1425,2))</f>
        <v/>
      </c>
      <c r="G1425" s="106" t="n"/>
      <c r="H1425" s="350">
        <f>IF(G1425="Sim",IF(OR(F1425="",D1425="",L1425=""),"",IF(L1425="Sim",ROUND(F1425-D1425,2),0)),0)</f>
        <v/>
      </c>
      <c r="I1425" s="350">
        <f>IF(G1425="Sim",0,IF(OR(F1425="",L1425=""),"",F1425))</f>
        <v/>
      </c>
      <c r="J1425" s="350">
        <f>IF(G1425="Sim",0,IF(OR(F1425="",D1425="",L1425=""),"",IF(L1425="Sim",ROUND(F1425-D1425,2),0)))</f>
        <v/>
      </c>
      <c r="K1425" s="97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inlineStr">
        <is>
          <t>Nao</t>
        </is>
      </c>
      <c r="W1425" s="110" t="inlineStr">
        <is>
          <t>PC em analise</t>
        </is>
      </c>
      <c r="X1425" s="110" t="inlineStr">
        <is>
          <t>Pedido de Compra</t>
        </is>
      </c>
      <c r="Y1425" s="111" t="inlineStr">
        <is>
          <t>Impacto Potencial</t>
        </is>
      </c>
      <c r="Z1425" s="111" t="inlineStr">
        <is>
          <t>PC</t>
        </is>
      </c>
      <c r="AA1425" s="111" t="inlineStr">
        <is>
          <t>Nao</t>
        </is>
      </c>
      <c r="AB1425" s="111" t="inlineStr">
        <is>
          <t>NAO_COMPUTADO</t>
        </is>
      </c>
      <c r="AC1425" s="112" t="inlineStr">
        <is>
          <t>Estrutura Fase 1: sem impacto no VTA oficial</t>
        </is>
      </c>
    </row>
    <row r="1426" ht="25.5" customHeight="1" s="289">
      <c r="A1426" s="205" t="n"/>
      <c r="B1426" s="207" t="n"/>
      <c r="C1426" s="104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348" t="n"/>
      <c r="E1426" s="349">
        <f>IF(C1426="","",IFERROR(VLOOKUP(C1426,parametros!$A$11:$E$15,5,0),""))</f>
        <v/>
      </c>
      <c r="F1426" s="335">
        <f>IF(OR(D1426="",E1426=""),"",ROUND(D1426*E1426,2))</f>
        <v/>
      </c>
      <c r="G1426" s="106" t="n"/>
      <c r="H1426" s="350">
        <f>IF(G1426="Sim",IF(OR(F1426="",D1426="",L1426=""),"",IF(L1426="Sim",ROUND(F1426-D1426,2),0)),0)</f>
        <v/>
      </c>
      <c r="I1426" s="350">
        <f>IF(G1426="Sim",0,IF(OR(F1426="",L1426=""),"",F1426))</f>
        <v/>
      </c>
      <c r="J1426" s="350">
        <f>IF(G1426="Sim",0,IF(OR(F1426="",D1426="",L1426=""),"",IF(L1426="Sim",ROUND(F1426-D1426,2),0)))</f>
        <v/>
      </c>
      <c r="K1426" s="97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inlineStr">
        <is>
          <t>Nao</t>
        </is>
      </c>
      <c r="W1426" s="110" t="inlineStr">
        <is>
          <t>PC em analise</t>
        </is>
      </c>
      <c r="X1426" s="110" t="inlineStr">
        <is>
          <t>Pedido de Compra</t>
        </is>
      </c>
      <c r="Y1426" s="111" t="inlineStr">
        <is>
          <t>Impacto Potencial</t>
        </is>
      </c>
      <c r="Z1426" s="111" t="inlineStr">
        <is>
          <t>PC</t>
        </is>
      </c>
      <c r="AA1426" s="111" t="inlineStr">
        <is>
          <t>Nao</t>
        </is>
      </c>
      <c r="AB1426" s="111" t="inlineStr">
        <is>
          <t>NAO_COMPUTADO</t>
        </is>
      </c>
      <c r="AC1426" s="112" t="inlineStr">
        <is>
          <t>Estrutura Fase 1: sem impacto no VTA oficial</t>
        </is>
      </c>
    </row>
    <row r="1427" ht="25.5" customHeight="1" s="289">
      <c r="A1427" s="205" t="n"/>
      <c r="B1427" s="207" t="n"/>
      <c r="C1427" s="104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348" t="n"/>
      <c r="E1427" s="349">
        <f>IF(C1427="","",IFERROR(VLOOKUP(C1427,parametros!$A$11:$E$15,5,0),""))</f>
        <v/>
      </c>
      <c r="F1427" s="335">
        <f>IF(OR(D1427="",E1427=""),"",ROUND(D1427*E1427,2))</f>
        <v/>
      </c>
      <c r="G1427" s="106" t="n"/>
      <c r="H1427" s="350">
        <f>IF(G1427="Sim",IF(OR(F1427="",D1427="",L1427=""),"",IF(L1427="Sim",ROUND(F1427-D1427,2),0)),0)</f>
        <v/>
      </c>
      <c r="I1427" s="350">
        <f>IF(G1427="Sim",0,IF(OR(F1427="",L1427=""),"",F1427))</f>
        <v/>
      </c>
      <c r="J1427" s="350">
        <f>IF(G1427="Sim",0,IF(OR(F1427="",D1427="",L1427=""),"",IF(L1427="Sim",ROUND(F1427-D1427,2),0)))</f>
        <v/>
      </c>
      <c r="K1427" s="97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inlineStr">
        <is>
          <t>Nao</t>
        </is>
      </c>
      <c r="W1427" s="110" t="inlineStr">
        <is>
          <t>PC em analise</t>
        </is>
      </c>
      <c r="X1427" s="110" t="inlineStr">
        <is>
          <t>Pedido de Compra</t>
        </is>
      </c>
      <c r="Y1427" s="111" t="inlineStr">
        <is>
          <t>Impacto Potencial</t>
        </is>
      </c>
      <c r="Z1427" s="111" t="inlineStr">
        <is>
          <t>PC</t>
        </is>
      </c>
      <c r="AA1427" s="111" t="inlineStr">
        <is>
          <t>Nao</t>
        </is>
      </c>
      <c r="AB1427" s="111" t="inlineStr">
        <is>
          <t>NAO_COMPUTADO</t>
        </is>
      </c>
      <c r="AC1427" s="112" t="inlineStr">
        <is>
          <t>Estrutura Fase 1: sem impacto no VTA oficial</t>
        </is>
      </c>
    </row>
    <row r="1428" ht="25.5" customHeight="1" s="289">
      <c r="A1428" s="205" t="n"/>
      <c r="B1428" s="207" t="n"/>
      <c r="C1428" s="104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348" t="n"/>
      <c r="E1428" s="349">
        <f>IF(C1428="","",IFERROR(VLOOKUP(C1428,parametros!$A$11:$E$15,5,0),""))</f>
        <v/>
      </c>
      <c r="F1428" s="335">
        <f>IF(OR(D1428="",E1428=""),"",ROUND(D1428*E1428,2))</f>
        <v/>
      </c>
      <c r="G1428" s="106" t="n"/>
      <c r="H1428" s="350">
        <f>IF(G1428="Sim",IF(OR(F1428="",D1428="",L1428=""),"",IF(L1428="Sim",ROUND(F1428-D1428,2),0)),0)</f>
        <v/>
      </c>
      <c r="I1428" s="350">
        <f>IF(G1428="Sim",0,IF(OR(F1428="",L1428=""),"",F1428))</f>
        <v/>
      </c>
      <c r="J1428" s="350">
        <f>IF(G1428="Sim",0,IF(OR(F1428="",D1428="",L1428=""),"",IF(L1428="Sim",ROUND(F1428-D1428,2),0)))</f>
        <v/>
      </c>
      <c r="K1428" s="97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inlineStr">
        <is>
          <t>Nao</t>
        </is>
      </c>
      <c r="W1428" s="110" t="inlineStr">
        <is>
          <t>PC em analise</t>
        </is>
      </c>
      <c r="X1428" s="110" t="inlineStr">
        <is>
          <t>Pedido de Compra</t>
        </is>
      </c>
      <c r="Y1428" s="111" t="inlineStr">
        <is>
          <t>Impacto Potencial</t>
        </is>
      </c>
      <c r="Z1428" s="111" t="inlineStr">
        <is>
          <t>PC</t>
        </is>
      </c>
      <c r="AA1428" s="111" t="inlineStr">
        <is>
          <t>Nao</t>
        </is>
      </c>
      <c r="AB1428" s="111" t="inlineStr">
        <is>
          <t>NAO_COMPUTADO</t>
        </is>
      </c>
      <c r="AC1428" s="112" t="inlineStr">
        <is>
          <t>Estrutura Fase 1: sem impacto no VTA oficial</t>
        </is>
      </c>
    </row>
    <row r="1429" ht="25.5" customHeight="1" s="289">
      <c r="A1429" s="205" t="n"/>
      <c r="B1429" s="207" t="n"/>
      <c r="C1429" s="104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348" t="n"/>
      <c r="E1429" s="349">
        <f>IF(C1429="","",IFERROR(VLOOKUP(C1429,parametros!$A$11:$E$15,5,0),""))</f>
        <v/>
      </c>
      <c r="F1429" s="335">
        <f>IF(OR(D1429="",E1429=""),"",ROUND(D1429*E1429,2))</f>
        <v/>
      </c>
      <c r="G1429" s="106" t="n"/>
      <c r="H1429" s="350">
        <f>IF(G1429="Sim",IF(OR(F1429="",D1429="",L1429=""),"",IF(L1429="Sim",ROUND(F1429-D1429,2),0)),0)</f>
        <v/>
      </c>
      <c r="I1429" s="350">
        <f>IF(G1429="Sim",0,IF(OR(F1429="",L1429=""),"",F1429))</f>
        <v/>
      </c>
      <c r="J1429" s="350">
        <f>IF(G1429="Sim",0,IF(OR(F1429="",D1429="",L1429=""),"",IF(L1429="Sim",ROUND(F1429-D1429,2),0)))</f>
        <v/>
      </c>
      <c r="K1429" s="97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inlineStr">
        <is>
          <t>Nao</t>
        </is>
      </c>
      <c r="W1429" s="110" t="inlineStr">
        <is>
          <t>PC em analise</t>
        </is>
      </c>
      <c r="X1429" s="110" t="inlineStr">
        <is>
          <t>Pedido de Compra</t>
        </is>
      </c>
      <c r="Y1429" s="111" t="inlineStr">
        <is>
          <t>Impacto Potencial</t>
        </is>
      </c>
      <c r="Z1429" s="111" t="inlineStr">
        <is>
          <t>PC</t>
        </is>
      </c>
      <c r="AA1429" s="111" t="inlineStr">
        <is>
          <t>Nao</t>
        </is>
      </c>
      <c r="AB1429" s="111" t="inlineStr">
        <is>
          <t>NAO_COMPUTADO</t>
        </is>
      </c>
      <c r="AC1429" s="112" t="inlineStr">
        <is>
          <t>Estrutura Fase 1: sem impacto no VTA oficial</t>
        </is>
      </c>
    </row>
    <row r="1430" ht="25.5" customHeight="1" s="289">
      <c r="A1430" s="205" t="n"/>
      <c r="B1430" s="207" t="n"/>
      <c r="C1430" s="104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348" t="n"/>
      <c r="E1430" s="349">
        <f>IF(C1430="","",IFERROR(VLOOKUP(C1430,parametros!$A$11:$E$15,5,0),""))</f>
        <v/>
      </c>
      <c r="F1430" s="335">
        <f>IF(OR(D1430="",E1430=""),"",ROUND(D1430*E1430,2))</f>
        <v/>
      </c>
      <c r="G1430" s="106" t="n"/>
      <c r="H1430" s="350">
        <f>IF(G1430="Sim",IF(OR(F1430="",D1430="",L1430=""),"",IF(L1430="Sim",ROUND(F1430-D1430,2),0)),0)</f>
        <v/>
      </c>
      <c r="I1430" s="350">
        <f>IF(G1430="Sim",0,IF(OR(F1430="",L1430=""),"",F1430))</f>
        <v/>
      </c>
      <c r="J1430" s="350">
        <f>IF(G1430="Sim",0,IF(OR(F1430="",D1430="",L1430=""),"",IF(L1430="Sim",ROUND(F1430-D1430,2),0)))</f>
        <v/>
      </c>
      <c r="K1430" s="97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inlineStr">
        <is>
          <t>Nao</t>
        </is>
      </c>
      <c r="W1430" s="110" t="inlineStr">
        <is>
          <t>PC em analise</t>
        </is>
      </c>
      <c r="X1430" s="110" t="inlineStr">
        <is>
          <t>Pedido de Compra</t>
        </is>
      </c>
      <c r="Y1430" s="111" t="inlineStr">
        <is>
          <t>Impacto Potencial</t>
        </is>
      </c>
      <c r="Z1430" s="111" t="inlineStr">
        <is>
          <t>PC</t>
        </is>
      </c>
      <c r="AA1430" s="111" t="inlineStr">
        <is>
          <t>Nao</t>
        </is>
      </c>
      <c r="AB1430" s="111" t="inlineStr">
        <is>
          <t>NAO_COMPUTADO</t>
        </is>
      </c>
      <c r="AC1430" s="112" t="inlineStr">
        <is>
          <t>Estrutura Fase 1: sem impacto no VTA oficial</t>
        </is>
      </c>
    </row>
    <row r="1431" ht="25.5" customHeight="1" s="289">
      <c r="A1431" s="205" t="n"/>
      <c r="B1431" s="207" t="n"/>
      <c r="C1431" s="104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348" t="n"/>
      <c r="E1431" s="349">
        <f>IF(C1431="","",IFERROR(VLOOKUP(C1431,parametros!$A$11:$E$15,5,0),""))</f>
        <v/>
      </c>
      <c r="F1431" s="335">
        <f>IF(OR(D1431="",E1431=""),"",ROUND(D1431*E1431,2))</f>
        <v/>
      </c>
      <c r="G1431" s="106" t="n"/>
      <c r="H1431" s="350">
        <f>IF(G1431="Sim",IF(OR(F1431="",D1431="",L1431=""),"",IF(L1431="Sim",ROUND(F1431-D1431,2),0)),0)</f>
        <v/>
      </c>
      <c r="I1431" s="350">
        <f>IF(G1431="Sim",0,IF(OR(F1431="",L1431=""),"",F1431))</f>
        <v/>
      </c>
      <c r="J1431" s="350">
        <f>IF(G1431="Sim",0,IF(OR(F1431="",D1431="",L1431=""),"",IF(L1431="Sim",ROUND(F1431-D1431,2),0)))</f>
        <v/>
      </c>
      <c r="K1431" s="97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inlineStr">
        <is>
          <t>Nao</t>
        </is>
      </c>
      <c r="W1431" s="110" t="inlineStr">
        <is>
          <t>PC em analise</t>
        </is>
      </c>
      <c r="X1431" s="110" t="inlineStr">
        <is>
          <t>Pedido de Compra</t>
        </is>
      </c>
      <c r="Y1431" s="111" t="inlineStr">
        <is>
          <t>Impacto Potencial</t>
        </is>
      </c>
      <c r="Z1431" s="111" t="inlineStr">
        <is>
          <t>PC</t>
        </is>
      </c>
      <c r="AA1431" s="111" t="inlineStr">
        <is>
          <t>Nao</t>
        </is>
      </c>
      <c r="AB1431" s="111" t="inlineStr">
        <is>
          <t>NAO_COMPUTADO</t>
        </is>
      </c>
      <c r="AC1431" s="112" t="inlineStr">
        <is>
          <t>Estrutura Fase 1: sem impacto no VTA oficial</t>
        </is>
      </c>
    </row>
    <row r="1432" ht="25.5" customHeight="1" s="289">
      <c r="A1432" s="205" t="n"/>
      <c r="B1432" s="207" t="n"/>
      <c r="C1432" s="104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348" t="n"/>
      <c r="E1432" s="349">
        <f>IF(C1432="","",IFERROR(VLOOKUP(C1432,parametros!$A$11:$E$15,5,0),""))</f>
        <v/>
      </c>
      <c r="F1432" s="335">
        <f>IF(OR(D1432="",E1432=""),"",ROUND(D1432*E1432,2))</f>
        <v/>
      </c>
      <c r="G1432" s="106" t="n"/>
      <c r="H1432" s="350">
        <f>IF(G1432="Sim",IF(OR(F1432="",D1432="",L1432=""),"",IF(L1432="Sim",ROUND(F1432-D1432,2),0)),0)</f>
        <v/>
      </c>
      <c r="I1432" s="350">
        <f>IF(G1432="Sim",0,IF(OR(F1432="",L1432=""),"",F1432))</f>
        <v/>
      </c>
      <c r="J1432" s="350">
        <f>IF(G1432="Sim",0,IF(OR(F1432="",D1432="",L1432=""),"",IF(L1432="Sim",ROUND(F1432-D1432,2),0)))</f>
        <v/>
      </c>
      <c r="K1432" s="97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inlineStr">
        <is>
          <t>Nao</t>
        </is>
      </c>
      <c r="W1432" s="110" t="inlineStr">
        <is>
          <t>PC em analise</t>
        </is>
      </c>
      <c r="X1432" s="110" t="inlineStr">
        <is>
          <t>Pedido de Compra</t>
        </is>
      </c>
      <c r="Y1432" s="111" t="inlineStr">
        <is>
          <t>Impacto Potencial</t>
        </is>
      </c>
      <c r="Z1432" s="111" t="inlineStr">
        <is>
          <t>PC</t>
        </is>
      </c>
      <c r="AA1432" s="111" t="inlineStr">
        <is>
          <t>Nao</t>
        </is>
      </c>
      <c r="AB1432" s="111" t="inlineStr">
        <is>
          <t>NAO_COMPUTADO</t>
        </is>
      </c>
      <c r="AC1432" s="112" t="inlineStr">
        <is>
          <t>Estrutura Fase 1: sem impacto no VTA oficial</t>
        </is>
      </c>
    </row>
    <row r="1433" ht="25.5" customHeight="1" s="289">
      <c r="A1433" s="205" t="n"/>
      <c r="B1433" s="207" t="n"/>
      <c r="C1433" s="104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348" t="n"/>
      <c r="E1433" s="349">
        <f>IF(C1433="","",IFERROR(VLOOKUP(C1433,parametros!$A$11:$E$15,5,0),""))</f>
        <v/>
      </c>
      <c r="F1433" s="335">
        <f>IF(OR(D1433="",E1433=""),"",ROUND(D1433*E1433,2))</f>
        <v/>
      </c>
      <c r="G1433" s="106" t="n"/>
      <c r="H1433" s="350">
        <f>IF(G1433="Sim",IF(OR(F1433="",D1433="",L1433=""),"",IF(L1433="Sim",ROUND(F1433-D1433,2),0)),0)</f>
        <v/>
      </c>
      <c r="I1433" s="350">
        <f>IF(G1433="Sim",0,IF(OR(F1433="",L1433=""),"",F1433))</f>
        <v/>
      </c>
      <c r="J1433" s="350">
        <f>IF(G1433="Sim",0,IF(OR(F1433="",D1433="",L1433=""),"",IF(L1433="Sim",ROUND(F1433-D1433,2),0)))</f>
        <v/>
      </c>
      <c r="K1433" s="97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inlineStr">
        <is>
          <t>Nao</t>
        </is>
      </c>
      <c r="W1433" s="110" t="inlineStr">
        <is>
          <t>PC em analise</t>
        </is>
      </c>
      <c r="X1433" s="110" t="inlineStr">
        <is>
          <t>Pedido de Compra</t>
        </is>
      </c>
      <c r="Y1433" s="111" t="inlineStr">
        <is>
          <t>Impacto Potencial</t>
        </is>
      </c>
      <c r="Z1433" s="111" t="inlineStr">
        <is>
          <t>PC</t>
        </is>
      </c>
      <c r="AA1433" s="111" t="inlineStr">
        <is>
          <t>Nao</t>
        </is>
      </c>
      <c r="AB1433" s="111" t="inlineStr">
        <is>
          <t>NAO_COMPUTADO</t>
        </is>
      </c>
      <c r="AC1433" s="112" t="inlineStr">
        <is>
          <t>Estrutura Fase 1: sem impacto no VTA oficial</t>
        </is>
      </c>
    </row>
    <row r="1434" ht="25.5" customHeight="1" s="289">
      <c r="A1434" s="205" t="n"/>
      <c r="B1434" s="207" t="n"/>
      <c r="C1434" s="104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348" t="n"/>
      <c r="E1434" s="349">
        <f>IF(C1434="","",IFERROR(VLOOKUP(C1434,parametros!$A$11:$E$15,5,0),""))</f>
        <v/>
      </c>
      <c r="F1434" s="335">
        <f>IF(OR(D1434="",E1434=""),"",ROUND(D1434*E1434,2))</f>
        <v/>
      </c>
      <c r="G1434" s="106" t="n"/>
      <c r="H1434" s="350">
        <f>IF(G1434="Sim",IF(OR(F1434="",D1434="",L1434=""),"",IF(L1434="Sim",ROUND(F1434-D1434,2),0)),0)</f>
        <v/>
      </c>
      <c r="I1434" s="350">
        <f>IF(G1434="Sim",0,IF(OR(F1434="",L1434=""),"",F1434))</f>
        <v/>
      </c>
      <c r="J1434" s="350">
        <f>IF(G1434="Sim",0,IF(OR(F1434="",D1434="",L1434=""),"",IF(L1434="Sim",ROUND(F1434-D1434,2),0)))</f>
        <v/>
      </c>
      <c r="K1434" s="97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inlineStr">
        <is>
          <t>Nao</t>
        </is>
      </c>
      <c r="W1434" s="110" t="inlineStr">
        <is>
          <t>PC em analise</t>
        </is>
      </c>
      <c r="X1434" s="110" t="inlineStr">
        <is>
          <t>Pedido de Compra</t>
        </is>
      </c>
      <c r="Y1434" s="111" t="inlineStr">
        <is>
          <t>Impacto Potencial</t>
        </is>
      </c>
      <c r="Z1434" s="111" t="inlineStr">
        <is>
          <t>PC</t>
        </is>
      </c>
      <c r="AA1434" s="111" t="inlineStr">
        <is>
          <t>Nao</t>
        </is>
      </c>
      <c r="AB1434" s="111" t="inlineStr">
        <is>
          <t>NAO_COMPUTADO</t>
        </is>
      </c>
      <c r="AC1434" s="112" t="inlineStr">
        <is>
          <t>Estrutura Fase 1: sem impacto no VTA oficial</t>
        </is>
      </c>
    </row>
    <row r="1435" ht="25.5" customHeight="1" s="289">
      <c r="A1435" s="205" t="n"/>
      <c r="B1435" s="207" t="n"/>
      <c r="C1435" s="104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348" t="n"/>
      <c r="E1435" s="349">
        <f>IF(C1435="","",IFERROR(VLOOKUP(C1435,parametros!$A$11:$E$15,5,0),""))</f>
        <v/>
      </c>
      <c r="F1435" s="335">
        <f>IF(OR(D1435="",E1435=""),"",ROUND(D1435*E1435,2))</f>
        <v/>
      </c>
      <c r="G1435" s="106" t="n"/>
      <c r="H1435" s="350">
        <f>IF(G1435="Sim",IF(OR(F1435="",D1435="",L1435=""),"",IF(L1435="Sim",ROUND(F1435-D1435,2),0)),0)</f>
        <v/>
      </c>
      <c r="I1435" s="350">
        <f>IF(G1435="Sim",0,IF(OR(F1435="",L1435=""),"",F1435))</f>
        <v/>
      </c>
      <c r="J1435" s="350">
        <f>IF(G1435="Sim",0,IF(OR(F1435="",D1435="",L1435=""),"",IF(L1435="Sim",ROUND(F1435-D1435,2),0)))</f>
        <v/>
      </c>
      <c r="K1435" s="97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inlineStr">
        <is>
          <t>Nao</t>
        </is>
      </c>
      <c r="W1435" s="110" t="inlineStr">
        <is>
          <t>PC em analise</t>
        </is>
      </c>
      <c r="X1435" s="110" t="inlineStr">
        <is>
          <t>Pedido de Compra</t>
        </is>
      </c>
      <c r="Y1435" s="111" t="inlineStr">
        <is>
          <t>Impacto Potencial</t>
        </is>
      </c>
      <c r="Z1435" s="111" t="inlineStr">
        <is>
          <t>PC</t>
        </is>
      </c>
      <c r="AA1435" s="111" t="inlineStr">
        <is>
          <t>Nao</t>
        </is>
      </c>
      <c r="AB1435" s="111" t="inlineStr">
        <is>
          <t>NAO_COMPUTADO</t>
        </is>
      </c>
      <c r="AC1435" s="112" t="inlineStr">
        <is>
          <t>Estrutura Fase 1: sem impacto no VTA oficial</t>
        </is>
      </c>
    </row>
    <row r="1436" ht="25.5" customHeight="1" s="289">
      <c r="A1436" s="205" t="n"/>
      <c r="B1436" s="207" t="n"/>
      <c r="C1436" s="104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348" t="n"/>
      <c r="E1436" s="349">
        <f>IF(C1436="","",IFERROR(VLOOKUP(C1436,parametros!$A$11:$E$15,5,0),""))</f>
        <v/>
      </c>
      <c r="F1436" s="335">
        <f>IF(OR(D1436="",E1436=""),"",ROUND(D1436*E1436,2))</f>
        <v/>
      </c>
      <c r="G1436" s="106" t="n"/>
      <c r="H1436" s="350">
        <f>IF(G1436="Sim",IF(OR(F1436="",D1436="",L1436=""),"",IF(L1436="Sim",ROUND(F1436-D1436,2),0)),0)</f>
        <v/>
      </c>
      <c r="I1436" s="350">
        <f>IF(G1436="Sim",0,IF(OR(F1436="",L1436=""),"",F1436))</f>
        <v/>
      </c>
      <c r="J1436" s="350">
        <f>IF(G1436="Sim",0,IF(OR(F1436="",D1436="",L1436=""),"",IF(L1436="Sim",ROUND(F1436-D1436,2),0)))</f>
        <v/>
      </c>
      <c r="K1436" s="97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inlineStr">
        <is>
          <t>Nao</t>
        </is>
      </c>
      <c r="W1436" s="110" t="inlineStr">
        <is>
          <t>PC em analise</t>
        </is>
      </c>
      <c r="X1436" s="110" t="inlineStr">
        <is>
          <t>Pedido de Compra</t>
        </is>
      </c>
      <c r="Y1436" s="111" t="inlineStr">
        <is>
          <t>Impacto Potencial</t>
        </is>
      </c>
      <c r="Z1436" s="111" t="inlineStr">
        <is>
          <t>PC</t>
        </is>
      </c>
      <c r="AA1436" s="111" t="inlineStr">
        <is>
          <t>Nao</t>
        </is>
      </c>
      <c r="AB1436" s="111" t="inlineStr">
        <is>
          <t>NAO_COMPUTADO</t>
        </is>
      </c>
      <c r="AC1436" s="112" t="inlineStr">
        <is>
          <t>Estrutura Fase 1: sem impacto no VTA oficial</t>
        </is>
      </c>
    </row>
    <row r="1437" ht="25.5" customHeight="1" s="289">
      <c r="A1437" s="205" t="n"/>
      <c r="B1437" s="207" t="n"/>
      <c r="C1437" s="104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348" t="n"/>
      <c r="E1437" s="349">
        <f>IF(C1437="","",IFERROR(VLOOKUP(C1437,parametros!$A$11:$E$15,5,0),""))</f>
        <v/>
      </c>
      <c r="F1437" s="335">
        <f>IF(OR(D1437="",E1437=""),"",ROUND(D1437*E1437,2))</f>
        <v/>
      </c>
      <c r="G1437" s="106" t="n"/>
      <c r="H1437" s="350">
        <f>IF(G1437="Sim",IF(OR(F1437="",D1437="",L1437=""),"",IF(L1437="Sim",ROUND(F1437-D1437,2),0)),0)</f>
        <v/>
      </c>
      <c r="I1437" s="350">
        <f>IF(G1437="Sim",0,IF(OR(F1437="",L1437=""),"",F1437))</f>
        <v/>
      </c>
      <c r="J1437" s="350">
        <f>IF(G1437="Sim",0,IF(OR(F1437="",D1437="",L1437=""),"",IF(L1437="Sim",ROUND(F1437-D1437,2),0)))</f>
        <v/>
      </c>
      <c r="K1437" s="97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inlineStr">
        <is>
          <t>Nao</t>
        </is>
      </c>
      <c r="W1437" s="110" t="inlineStr">
        <is>
          <t>PC em analise</t>
        </is>
      </c>
      <c r="X1437" s="110" t="inlineStr">
        <is>
          <t>Pedido de Compra</t>
        </is>
      </c>
      <c r="Y1437" s="111" t="inlineStr">
        <is>
          <t>Impacto Potencial</t>
        </is>
      </c>
      <c r="Z1437" s="111" t="inlineStr">
        <is>
          <t>PC</t>
        </is>
      </c>
      <c r="AA1437" s="111" t="inlineStr">
        <is>
          <t>Nao</t>
        </is>
      </c>
      <c r="AB1437" s="111" t="inlineStr">
        <is>
          <t>NAO_COMPUTADO</t>
        </is>
      </c>
      <c r="AC1437" s="112" t="inlineStr">
        <is>
          <t>Estrutura Fase 1: sem impacto no VTA oficial</t>
        </is>
      </c>
    </row>
    <row r="1438" ht="25.5" customHeight="1" s="289">
      <c r="A1438" s="205" t="n"/>
      <c r="B1438" s="207" t="n"/>
      <c r="C1438" s="104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348" t="n"/>
      <c r="E1438" s="349">
        <f>IF(C1438="","",IFERROR(VLOOKUP(C1438,parametros!$A$11:$E$15,5,0),""))</f>
        <v/>
      </c>
      <c r="F1438" s="335">
        <f>IF(OR(D1438="",E1438=""),"",ROUND(D1438*E1438,2))</f>
        <v/>
      </c>
      <c r="G1438" s="106" t="n"/>
      <c r="H1438" s="350">
        <f>IF(G1438="Sim",IF(OR(F1438="",D1438="",L1438=""),"",IF(L1438="Sim",ROUND(F1438-D1438,2),0)),0)</f>
        <v/>
      </c>
      <c r="I1438" s="350">
        <f>IF(G1438="Sim",0,IF(OR(F1438="",L1438=""),"",F1438))</f>
        <v/>
      </c>
      <c r="J1438" s="350">
        <f>IF(G1438="Sim",0,IF(OR(F1438="",D1438="",L1438=""),"",IF(L1438="Sim",ROUND(F1438-D1438,2),0)))</f>
        <v/>
      </c>
      <c r="K1438" s="97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inlineStr">
        <is>
          <t>Nao</t>
        </is>
      </c>
      <c r="W1438" s="110" t="inlineStr">
        <is>
          <t>PC em analise</t>
        </is>
      </c>
      <c r="X1438" s="110" t="inlineStr">
        <is>
          <t>Pedido de Compra</t>
        </is>
      </c>
      <c r="Y1438" s="111" t="inlineStr">
        <is>
          <t>Impacto Potencial</t>
        </is>
      </c>
      <c r="Z1438" s="111" t="inlineStr">
        <is>
          <t>PC</t>
        </is>
      </c>
      <c r="AA1438" s="111" t="inlineStr">
        <is>
          <t>Nao</t>
        </is>
      </c>
      <c r="AB1438" s="111" t="inlineStr">
        <is>
          <t>NAO_COMPUTADO</t>
        </is>
      </c>
      <c r="AC1438" s="112" t="inlineStr">
        <is>
          <t>Estrutura Fase 1: sem impacto no VTA oficial</t>
        </is>
      </c>
    </row>
    <row r="1439" ht="25.5" customHeight="1" s="289">
      <c r="A1439" s="205" t="n"/>
      <c r="B1439" s="207" t="n"/>
      <c r="C1439" s="104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348" t="n"/>
      <c r="E1439" s="349">
        <f>IF(C1439="","",IFERROR(VLOOKUP(C1439,parametros!$A$11:$E$15,5,0),""))</f>
        <v/>
      </c>
      <c r="F1439" s="335">
        <f>IF(OR(D1439="",E1439=""),"",ROUND(D1439*E1439,2))</f>
        <v/>
      </c>
      <c r="G1439" s="106" t="n"/>
      <c r="H1439" s="350">
        <f>IF(G1439="Sim",IF(OR(F1439="",D1439="",L1439=""),"",IF(L1439="Sim",ROUND(F1439-D1439,2),0)),0)</f>
        <v/>
      </c>
      <c r="I1439" s="350">
        <f>IF(G1439="Sim",0,IF(OR(F1439="",L1439=""),"",F1439))</f>
        <v/>
      </c>
      <c r="J1439" s="350">
        <f>IF(G1439="Sim",0,IF(OR(F1439="",D1439="",L1439=""),"",IF(L1439="Sim",ROUND(F1439-D1439,2),0)))</f>
        <v/>
      </c>
      <c r="K1439" s="97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inlineStr">
        <is>
          <t>Nao</t>
        </is>
      </c>
      <c r="W1439" s="110" t="inlineStr">
        <is>
          <t>PC em analise</t>
        </is>
      </c>
      <c r="X1439" s="110" t="inlineStr">
        <is>
          <t>Pedido de Compra</t>
        </is>
      </c>
      <c r="Y1439" s="111" t="inlineStr">
        <is>
          <t>Impacto Potencial</t>
        </is>
      </c>
      <c r="Z1439" s="111" t="inlineStr">
        <is>
          <t>PC</t>
        </is>
      </c>
      <c r="AA1439" s="111" t="inlineStr">
        <is>
          <t>Nao</t>
        </is>
      </c>
      <c r="AB1439" s="111" t="inlineStr">
        <is>
          <t>NAO_COMPUTADO</t>
        </is>
      </c>
      <c r="AC1439" s="112" t="inlineStr">
        <is>
          <t>Estrutura Fase 1: sem impacto no VTA oficial</t>
        </is>
      </c>
    </row>
    <row r="1440" ht="25.5" customHeight="1" s="289">
      <c r="A1440" s="205" t="n"/>
      <c r="B1440" s="207" t="n"/>
      <c r="C1440" s="104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348" t="n"/>
      <c r="E1440" s="349">
        <f>IF(C1440="","",IFERROR(VLOOKUP(C1440,parametros!$A$11:$E$15,5,0),""))</f>
        <v/>
      </c>
      <c r="F1440" s="335">
        <f>IF(OR(D1440="",E1440=""),"",ROUND(D1440*E1440,2))</f>
        <v/>
      </c>
      <c r="G1440" s="106" t="n"/>
      <c r="H1440" s="350">
        <f>IF(G1440="Sim",IF(OR(F1440="",D1440="",L1440=""),"",IF(L1440="Sim",ROUND(F1440-D1440,2),0)),0)</f>
        <v/>
      </c>
      <c r="I1440" s="350">
        <f>IF(G1440="Sim",0,IF(OR(F1440="",L1440=""),"",F1440))</f>
        <v/>
      </c>
      <c r="J1440" s="350">
        <f>IF(G1440="Sim",0,IF(OR(F1440="",D1440="",L1440=""),"",IF(L1440="Sim",ROUND(F1440-D1440,2),0)))</f>
        <v/>
      </c>
      <c r="K1440" s="97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inlineStr">
        <is>
          <t>Nao</t>
        </is>
      </c>
      <c r="W1440" s="110" t="inlineStr">
        <is>
          <t>PC em analise</t>
        </is>
      </c>
      <c r="X1440" s="110" t="inlineStr">
        <is>
          <t>Pedido de Compra</t>
        </is>
      </c>
      <c r="Y1440" s="111" t="inlineStr">
        <is>
          <t>Impacto Potencial</t>
        </is>
      </c>
      <c r="Z1440" s="111" t="inlineStr">
        <is>
          <t>PC</t>
        </is>
      </c>
      <c r="AA1440" s="111" t="inlineStr">
        <is>
          <t>Nao</t>
        </is>
      </c>
      <c r="AB1440" s="111" t="inlineStr">
        <is>
          <t>NAO_COMPUTADO</t>
        </is>
      </c>
      <c r="AC1440" s="112" t="inlineStr">
        <is>
          <t>Estrutura Fase 1: sem impacto no VTA oficial</t>
        </is>
      </c>
    </row>
    <row r="1441" ht="25.5" customHeight="1" s="289">
      <c r="A1441" s="205" t="n"/>
      <c r="B1441" s="207" t="n"/>
      <c r="C1441" s="104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348" t="n"/>
      <c r="E1441" s="349">
        <f>IF(C1441="","",IFERROR(VLOOKUP(C1441,parametros!$A$11:$E$15,5,0),""))</f>
        <v/>
      </c>
      <c r="F1441" s="335">
        <f>IF(OR(D1441="",E1441=""),"",ROUND(D1441*E1441,2))</f>
        <v/>
      </c>
      <c r="G1441" s="106" t="n"/>
      <c r="H1441" s="350">
        <f>IF(G1441="Sim",IF(OR(F1441="",D1441="",L1441=""),"",IF(L1441="Sim",ROUND(F1441-D1441,2),0)),0)</f>
        <v/>
      </c>
      <c r="I1441" s="350">
        <f>IF(G1441="Sim",0,IF(OR(F1441="",L1441=""),"",F1441))</f>
        <v/>
      </c>
      <c r="J1441" s="350">
        <f>IF(G1441="Sim",0,IF(OR(F1441="",D1441="",L1441=""),"",IF(L1441="Sim",ROUND(F1441-D1441,2),0)))</f>
        <v/>
      </c>
      <c r="K1441" s="97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inlineStr">
        <is>
          <t>Nao</t>
        </is>
      </c>
      <c r="W1441" s="110" t="inlineStr">
        <is>
          <t>PC em analise</t>
        </is>
      </c>
      <c r="X1441" s="110" t="inlineStr">
        <is>
          <t>Pedido de Compra</t>
        </is>
      </c>
      <c r="Y1441" s="111" t="inlineStr">
        <is>
          <t>Impacto Potencial</t>
        </is>
      </c>
      <c r="Z1441" s="111" t="inlineStr">
        <is>
          <t>PC</t>
        </is>
      </c>
      <c r="AA1441" s="111" t="inlineStr">
        <is>
          <t>Nao</t>
        </is>
      </c>
      <c r="AB1441" s="111" t="inlineStr">
        <is>
          <t>NAO_COMPUTADO</t>
        </is>
      </c>
      <c r="AC1441" s="112" t="inlineStr">
        <is>
          <t>Estrutura Fase 1: sem impacto no VTA oficial</t>
        </is>
      </c>
    </row>
    <row r="1442" ht="25.5" customHeight="1" s="289">
      <c r="A1442" s="205" t="n"/>
      <c r="B1442" s="207" t="n"/>
      <c r="C1442" s="104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348" t="n"/>
      <c r="E1442" s="349">
        <f>IF(C1442="","",IFERROR(VLOOKUP(C1442,parametros!$A$11:$E$15,5,0),""))</f>
        <v/>
      </c>
      <c r="F1442" s="335">
        <f>IF(OR(D1442="",E1442=""),"",ROUND(D1442*E1442,2))</f>
        <v/>
      </c>
      <c r="G1442" s="106" t="n"/>
      <c r="H1442" s="350">
        <f>IF(G1442="Sim",IF(OR(F1442="",D1442="",L1442=""),"",IF(L1442="Sim",ROUND(F1442-D1442,2),0)),0)</f>
        <v/>
      </c>
      <c r="I1442" s="350">
        <f>IF(G1442="Sim",0,IF(OR(F1442="",L1442=""),"",F1442))</f>
        <v/>
      </c>
      <c r="J1442" s="350">
        <f>IF(G1442="Sim",0,IF(OR(F1442="",D1442="",L1442=""),"",IF(L1442="Sim",ROUND(F1442-D1442,2),0)))</f>
        <v/>
      </c>
      <c r="K1442" s="97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inlineStr">
        <is>
          <t>Nao</t>
        </is>
      </c>
      <c r="W1442" s="110" t="inlineStr">
        <is>
          <t>PC em analise</t>
        </is>
      </c>
      <c r="X1442" s="110" t="inlineStr">
        <is>
          <t>Pedido de Compra</t>
        </is>
      </c>
      <c r="Y1442" s="111" t="inlineStr">
        <is>
          <t>Impacto Potencial</t>
        </is>
      </c>
      <c r="Z1442" s="111" t="inlineStr">
        <is>
          <t>PC</t>
        </is>
      </c>
      <c r="AA1442" s="111" t="inlineStr">
        <is>
          <t>Nao</t>
        </is>
      </c>
      <c r="AB1442" s="111" t="inlineStr">
        <is>
          <t>NAO_COMPUTADO</t>
        </is>
      </c>
      <c r="AC1442" s="112" t="inlineStr">
        <is>
          <t>Estrutura Fase 1: sem impacto no VTA oficial</t>
        </is>
      </c>
    </row>
    <row r="1443" ht="25.5" customHeight="1" s="289">
      <c r="A1443" s="205" t="n"/>
      <c r="B1443" s="207" t="n"/>
      <c r="C1443" s="104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348" t="n"/>
      <c r="E1443" s="349">
        <f>IF(C1443="","",IFERROR(VLOOKUP(C1443,parametros!$A$11:$E$15,5,0),""))</f>
        <v/>
      </c>
      <c r="F1443" s="335">
        <f>IF(OR(D1443="",E1443=""),"",ROUND(D1443*E1443,2))</f>
        <v/>
      </c>
      <c r="G1443" s="106" t="n"/>
      <c r="H1443" s="350">
        <f>IF(G1443="Sim",IF(OR(F1443="",D1443="",L1443=""),"",IF(L1443="Sim",ROUND(F1443-D1443,2),0)),0)</f>
        <v/>
      </c>
      <c r="I1443" s="350">
        <f>IF(G1443="Sim",0,IF(OR(F1443="",L1443=""),"",F1443))</f>
        <v/>
      </c>
      <c r="J1443" s="350">
        <f>IF(G1443="Sim",0,IF(OR(F1443="",D1443="",L1443=""),"",IF(L1443="Sim",ROUND(F1443-D1443,2),0)))</f>
        <v/>
      </c>
      <c r="K1443" s="97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inlineStr">
        <is>
          <t>Nao</t>
        </is>
      </c>
      <c r="W1443" s="110" t="inlineStr">
        <is>
          <t>PC em analise</t>
        </is>
      </c>
      <c r="X1443" s="110" t="inlineStr">
        <is>
          <t>Pedido de Compra</t>
        </is>
      </c>
      <c r="Y1443" s="111" t="inlineStr">
        <is>
          <t>Impacto Potencial</t>
        </is>
      </c>
      <c r="Z1443" s="111" t="inlineStr">
        <is>
          <t>PC</t>
        </is>
      </c>
      <c r="AA1443" s="111" t="inlineStr">
        <is>
          <t>Nao</t>
        </is>
      </c>
      <c r="AB1443" s="111" t="inlineStr">
        <is>
          <t>NAO_COMPUTADO</t>
        </is>
      </c>
      <c r="AC1443" s="112" t="inlineStr">
        <is>
          <t>Estrutura Fase 1: sem impacto no VTA oficial</t>
        </is>
      </c>
    </row>
    <row r="1444" ht="25.5" customHeight="1" s="289">
      <c r="A1444" s="205" t="n"/>
      <c r="B1444" s="207" t="n"/>
      <c r="C1444" s="104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348" t="n"/>
      <c r="E1444" s="349">
        <f>IF(C1444="","",IFERROR(VLOOKUP(C1444,parametros!$A$11:$E$15,5,0),""))</f>
        <v/>
      </c>
      <c r="F1444" s="335">
        <f>IF(OR(D1444="",E1444=""),"",ROUND(D1444*E1444,2))</f>
        <v/>
      </c>
      <c r="G1444" s="106" t="n"/>
      <c r="H1444" s="350">
        <f>IF(G1444="Sim",IF(OR(F1444="",D1444="",L1444=""),"",IF(L1444="Sim",ROUND(F1444-D1444,2),0)),0)</f>
        <v/>
      </c>
      <c r="I1444" s="350">
        <f>IF(G1444="Sim",0,IF(OR(F1444="",L1444=""),"",F1444))</f>
        <v/>
      </c>
      <c r="J1444" s="350">
        <f>IF(G1444="Sim",0,IF(OR(F1444="",D1444="",L1444=""),"",IF(L1444="Sim",ROUND(F1444-D1444,2),0)))</f>
        <v/>
      </c>
      <c r="K1444" s="97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inlineStr">
        <is>
          <t>Nao</t>
        </is>
      </c>
      <c r="W1444" s="110" t="inlineStr">
        <is>
          <t>PC em analise</t>
        </is>
      </c>
      <c r="X1444" s="110" t="inlineStr">
        <is>
          <t>Pedido de Compra</t>
        </is>
      </c>
      <c r="Y1444" s="111" t="inlineStr">
        <is>
          <t>Impacto Potencial</t>
        </is>
      </c>
      <c r="Z1444" s="111" t="inlineStr">
        <is>
          <t>PC</t>
        </is>
      </c>
      <c r="AA1444" s="111" t="inlineStr">
        <is>
          <t>Nao</t>
        </is>
      </c>
      <c r="AB1444" s="111" t="inlineStr">
        <is>
          <t>NAO_COMPUTADO</t>
        </is>
      </c>
      <c r="AC1444" s="112" t="inlineStr">
        <is>
          <t>Estrutura Fase 1: sem impacto no VTA oficial</t>
        </is>
      </c>
    </row>
    <row r="1445" ht="25.5" customHeight="1" s="289">
      <c r="A1445" s="205" t="n"/>
      <c r="B1445" s="207" t="n"/>
      <c r="C1445" s="104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348" t="n"/>
      <c r="E1445" s="349">
        <f>IF(C1445="","",IFERROR(VLOOKUP(C1445,parametros!$A$11:$E$15,5,0),""))</f>
        <v/>
      </c>
      <c r="F1445" s="335">
        <f>IF(OR(D1445="",E1445=""),"",ROUND(D1445*E1445,2))</f>
        <v/>
      </c>
      <c r="G1445" s="106" t="n"/>
      <c r="H1445" s="350">
        <f>IF(G1445="Sim",IF(OR(F1445="",D1445="",L1445=""),"",IF(L1445="Sim",ROUND(F1445-D1445,2),0)),0)</f>
        <v/>
      </c>
      <c r="I1445" s="350">
        <f>IF(G1445="Sim",0,IF(OR(F1445="",L1445=""),"",F1445))</f>
        <v/>
      </c>
      <c r="J1445" s="350">
        <f>IF(G1445="Sim",0,IF(OR(F1445="",D1445="",L1445=""),"",IF(L1445="Sim",ROUND(F1445-D1445,2),0)))</f>
        <v/>
      </c>
      <c r="K1445" s="97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inlineStr">
        <is>
          <t>Nao</t>
        </is>
      </c>
      <c r="W1445" s="110" t="inlineStr">
        <is>
          <t>PC em analise</t>
        </is>
      </c>
      <c r="X1445" s="110" t="inlineStr">
        <is>
          <t>Pedido de Compra</t>
        </is>
      </c>
      <c r="Y1445" s="111" t="inlineStr">
        <is>
          <t>Impacto Potencial</t>
        </is>
      </c>
      <c r="Z1445" s="111" t="inlineStr">
        <is>
          <t>PC</t>
        </is>
      </c>
      <c r="AA1445" s="111" t="inlineStr">
        <is>
          <t>Nao</t>
        </is>
      </c>
      <c r="AB1445" s="111" t="inlineStr">
        <is>
          <t>NAO_COMPUTADO</t>
        </is>
      </c>
      <c r="AC1445" s="112" t="inlineStr">
        <is>
          <t>Estrutura Fase 1: sem impacto no VTA oficial</t>
        </is>
      </c>
    </row>
    <row r="1446" ht="25.5" customHeight="1" s="289">
      <c r="A1446" s="205" t="n"/>
      <c r="B1446" s="207" t="n"/>
      <c r="C1446" s="104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348" t="n"/>
      <c r="E1446" s="349">
        <f>IF(C1446="","",IFERROR(VLOOKUP(C1446,parametros!$A$11:$E$15,5,0),""))</f>
        <v/>
      </c>
      <c r="F1446" s="335">
        <f>IF(OR(D1446="",E1446=""),"",ROUND(D1446*E1446,2))</f>
        <v/>
      </c>
      <c r="G1446" s="106" t="n"/>
      <c r="H1446" s="350">
        <f>IF(G1446="Sim",IF(OR(F1446="",D1446="",L1446=""),"",IF(L1446="Sim",ROUND(F1446-D1446,2),0)),0)</f>
        <v/>
      </c>
      <c r="I1446" s="350">
        <f>IF(G1446="Sim",0,IF(OR(F1446="",L1446=""),"",F1446))</f>
        <v/>
      </c>
      <c r="J1446" s="350">
        <f>IF(G1446="Sim",0,IF(OR(F1446="",D1446="",L1446=""),"",IF(L1446="Sim",ROUND(F1446-D1446,2),0)))</f>
        <v/>
      </c>
      <c r="K1446" s="97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inlineStr">
        <is>
          <t>Nao</t>
        </is>
      </c>
      <c r="W1446" s="110" t="inlineStr">
        <is>
          <t>PC em analise</t>
        </is>
      </c>
      <c r="X1446" s="110" t="inlineStr">
        <is>
          <t>Pedido de Compra</t>
        </is>
      </c>
      <c r="Y1446" s="111" t="inlineStr">
        <is>
          <t>Impacto Potencial</t>
        </is>
      </c>
      <c r="Z1446" s="111" t="inlineStr">
        <is>
          <t>PC</t>
        </is>
      </c>
      <c r="AA1446" s="111" t="inlineStr">
        <is>
          <t>Nao</t>
        </is>
      </c>
      <c r="AB1446" s="111" t="inlineStr">
        <is>
          <t>NAO_COMPUTADO</t>
        </is>
      </c>
      <c r="AC1446" s="112" t="inlineStr">
        <is>
          <t>Estrutura Fase 1: sem impacto no VTA oficial</t>
        </is>
      </c>
    </row>
    <row r="1447" ht="25.5" customHeight="1" s="289">
      <c r="A1447" s="205" t="n"/>
      <c r="B1447" s="207" t="n"/>
      <c r="C1447" s="104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348" t="n"/>
      <c r="E1447" s="349">
        <f>IF(C1447="","",IFERROR(VLOOKUP(C1447,parametros!$A$11:$E$15,5,0),""))</f>
        <v/>
      </c>
      <c r="F1447" s="335">
        <f>IF(OR(D1447="",E1447=""),"",ROUND(D1447*E1447,2))</f>
        <v/>
      </c>
      <c r="G1447" s="106" t="n"/>
      <c r="H1447" s="350">
        <f>IF(G1447="Sim",IF(OR(F1447="",D1447="",L1447=""),"",IF(L1447="Sim",ROUND(F1447-D1447,2),0)),0)</f>
        <v/>
      </c>
      <c r="I1447" s="350">
        <f>IF(G1447="Sim",0,IF(OR(F1447="",L1447=""),"",F1447))</f>
        <v/>
      </c>
      <c r="J1447" s="350">
        <f>IF(G1447="Sim",0,IF(OR(F1447="",D1447="",L1447=""),"",IF(L1447="Sim",ROUND(F1447-D1447,2),0)))</f>
        <v/>
      </c>
      <c r="K1447" s="97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inlineStr">
        <is>
          <t>Nao</t>
        </is>
      </c>
      <c r="W1447" s="110" t="inlineStr">
        <is>
          <t>PC em analise</t>
        </is>
      </c>
      <c r="X1447" s="110" t="inlineStr">
        <is>
          <t>Pedido de Compra</t>
        </is>
      </c>
      <c r="Y1447" s="111" t="inlineStr">
        <is>
          <t>Impacto Potencial</t>
        </is>
      </c>
      <c r="Z1447" s="111" t="inlineStr">
        <is>
          <t>PC</t>
        </is>
      </c>
      <c r="AA1447" s="111" t="inlineStr">
        <is>
          <t>Nao</t>
        </is>
      </c>
      <c r="AB1447" s="111" t="inlineStr">
        <is>
          <t>NAO_COMPUTADO</t>
        </is>
      </c>
      <c r="AC1447" s="112" t="inlineStr">
        <is>
          <t>Estrutura Fase 1: sem impacto no VTA oficial</t>
        </is>
      </c>
    </row>
    <row r="1448" ht="25.5" customHeight="1" s="289">
      <c r="A1448" s="205" t="n"/>
      <c r="B1448" s="207" t="n"/>
      <c r="C1448" s="104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348" t="n"/>
      <c r="E1448" s="349">
        <f>IF(C1448="","",IFERROR(VLOOKUP(C1448,parametros!$A$11:$E$15,5,0),""))</f>
        <v/>
      </c>
      <c r="F1448" s="335">
        <f>IF(OR(D1448="",E1448=""),"",ROUND(D1448*E1448,2))</f>
        <v/>
      </c>
      <c r="G1448" s="106" t="n"/>
      <c r="H1448" s="350">
        <f>IF(G1448="Sim",IF(OR(F1448="",D1448="",L1448=""),"",IF(L1448="Sim",ROUND(F1448-D1448,2),0)),0)</f>
        <v/>
      </c>
      <c r="I1448" s="350">
        <f>IF(G1448="Sim",0,IF(OR(F1448="",L1448=""),"",F1448))</f>
        <v/>
      </c>
      <c r="J1448" s="350">
        <f>IF(G1448="Sim",0,IF(OR(F1448="",D1448="",L1448=""),"",IF(L1448="Sim",ROUND(F1448-D1448,2),0)))</f>
        <v/>
      </c>
      <c r="K1448" s="97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inlineStr">
        <is>
          <t>Nao</t>
        </is>
      </c>
      <c r="W1448" s="110" t="inlineStr">
        <is>
          <t>PC em analise</t>
        </is>
      </c>
      <c r="X1448" s="110" t="inlineStr">
        <is>
          <t>Pedido de Compra</t>
        </is>
      </c>
      <c r="Y1448" s="111" t="inlineStr">
        <is>
          <t>Impacto Potencial</t>
        </is>
      </c>
      <c r="Z1448" s="111" t="inlineStr">
        <is>
          <t>PC</t>
        </is>
      </c>
      <c r="AA1448" s="111" t="inlineStr">
        <is>
          <t>Nao</t>
        </is>
      </c>
      <c r="AB1448" s="111" t="inlineStr">
        <is>
          <t>NAO_COMPUTADO</t>
        </is>
      </c>
      <c r="AC1448" s="112" t="inlineStr">
        <is>
          <t>Estrutura Fase 1: sem impacto no VTA oficial</t>
        </is>
      </c>
    </row>
    <row r="1449" ht="25.5" customHeight="1" s="289">
      <c r="A1449" s="205" t="n"/>
      <c r="B1449" s="207" t="n"/>
      <c r="C1449" s="104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348" t="n"/>
      <c r="E1449" s="349">
        <f>IF(C1449="","",IFERROR(VLOOKUP(C1449,parametros!$A$11:$E$15,5,0),""))</f>
        <v/>
      </c>
      <c r="F1449" s="335">
        <f>IF(OR(D1449="",E1449=""),"",ROUND(D1449*E1449,2))</f>
        <v/>
      </c>
      <c r="G1449" s="106" t="n"/>
      <c r="H1449" s="350">
        <f>IF(G1449="Sim",IF(OR(F1449="",D1449="",L1449=""),"",IF(L1449="Sim",ROUND(F1449-D1449,2),0)),0)</f>
        <v/>
      </c>
      <c r="I1449" s="350">
        <f>IF(G1449="Sim",0,IF(OR(F1449="",L1449=""),"",F1449))</f>
        <v/>
      </c>
      <c r="J1449" s="350">
        <f>IF(G1449="Sim",0,IF(OR(F1449="",D1449="",L1449=""),"",IF(L1449="Sim",ROUND(F1449-D1449,2),0)))</f>
        <v/>
      </c>
      <c r="K1449" s="97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inlineStr">
        <is>
          <t>Nao</t>
        </is>
      </c>
      <c r="W1449" s="110" t="inlineStr">
        <is>
          <t>PC em analise</t>
        </is>
      </c>
      <c r="X1449" s="110" t="inlineStr">
        <is>
          <t>Pedido de Compra</t>
        </is>
      </c>
      <c r="Y1449" s="111" t="inlineStr">
        <is>
          <t>Impacto Potencial</t>
        </is>
      </c>
      <c r="Z1449" s="111" t="inlineStr">
        <is>
          <t>PC</t>
        </is>
      </c>
      <c r="AA1449" s="111" t="inlineStr">
        <is>
          <t>Nao</t>
        </is>
      </c>
      <c r="AB1449" s="111" t="inlineStr">
        <is>
          <t>NAO_COMPUTADO</t>
        </is>
      </c>
      <c r="AC1449" s="112" t="inlineStr">
        <is>
          <t>Estrutura Fase 1: sem impacto no VTA oficial</t>
        </is>
      </c>
    </row>
    <row r="1450" ht="25.5" customHeight="1" s="289">
      <c r="A1450" s="205" t="n"/>
      <c r="B1450" s="207" t="n"/>
      <c r="C1450" s="104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348" t="n"/>
      <c r="E1450" s="349">
        <f>IF(C1450="","",IFERROR(VLOOKUP(C1450,parametros!$A$11:$E$15,5,0),""))</f>
        <v/>
      </c>
      <c r="F1450" s="335">
        <f>IF(OR(D1450="",E1450=""),"",ROUND(D1450*E1450,2))</f>
        <v/>
      </c>
      <c r="G1450" s="106" t="n"/>
      <c r="H1450" s="350">
        <f>IF(G1450="Sim",IF(OR(F1450="",D1450="",L1450=""),"",IF(L1450="Sim",ROUND(F1450-D1450,2),0)),0)</f>
        <v/>
      </c>
      <c r="I1450" s="350">
        <f>IF(G1450="Sim",0,IF(OR(F1450="",L1450=""),"",F1450))</f>
        <v/>
      </c>
      <c r="J1450" s="350">
        <f>IF(G1450="Sim",0,IF(OR(F1450="",D1450="",L1450=""),"",IF(L1450="Sim",ROUND(F1450-D1450,2),0)))</f>
        <v/>
      </c>
      <c r="K1450" s="97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inlineStr">
        <is>
          <t>Nao</t>
        </is>
      </c>
      <c r="W1450" s="110" t="inlineStr">
        <is>
          <t>PC em analise</t>
        </is>
      </c>
      <c r="X1450" s="110" t="inlineStr">
        <is>
          <t>Pedido de Compra</t>
        </is>
      </c>
      <c r="Y1450" s="111" t="inlineStr">
        <is>
          <t>Impacto Potencial</t>
        </is>
      </c>
      <c r="Z1450" s="111" t="inlineStr">
        <is>
          <t>PC</t>
        </is>
      </c>
      <c r="AA1450" s="111" t="inlineStr">
        <is>
          <t>Nao</t>
        </is>
      </c>
      <c r="AB1450" s="111" t="inlineStr">
        <is>
          <t>NAO_COMPUTADO</t>
        </is>
      </c>
      <c r="AC1450" s="112" t="inlineStr">
        <is>
          <t>Estrutura Fase 1: sem impacto no VTA oficial</t>
        </is>
      </c>
    </row>
    <row r="1451" ht="25.5" customHeight="1" s="289">
      <c r="A1451" s="205" t="n"/>
      <c r="B1451" s="207" t="n"/>
      <c r="C1451" s="104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348" t="n"/>
      <c r="E1451" s="349">
        <f>IF(C1451="","",IFERROR(VLOOKUP(C1451,parametros!$A$11:$E$15,5,0),""))</f>
        <v/>
      </c>
      <c r="F1451" s="335">
        <f>IF(OR(D1451="",E1451=""),"",ROUND(D1451*E1451,2))</f>
        <v/>
      </c>
      <c r="G1451" s="106" t="n"/>
      <c r="H1451" s="350">
        <f>IF(G1451="Sim",IF(OR(F1451="",D1451="",L1451=""),"",IF(L1451="Sim",ROUND(F1451-D1451,2),0)),0)</f>
        <v/>
      </c>
      <c r="I1451" s="350">
        <f>IF(G1451="Sim",0,IF(OR(F1451="",L1451=""),"",F1451))</f>
        <v/>
      </c>
      <c r="J1451" s="350">
        <f>IF(G1451="Sim",0,IF(OR(F1451="",D1451="",L1451=""),"",IF(L1451="Sim",ROUND(F1451-D1451,2),0)))</f>
        <v/>
      </c>
      <c r="K1451" s="97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inlineStr">
        <is>
          <t>Nao</t>
        </is>
      </c>
      <c r="W1451" s="110" t="inlineStr">
        <is>
          <t>PC em analise</t>
        </is>
      </c>
      <c r="X1451" s="110" t="inlineStr">
        <is>
          <t>Pedido de Compra</t>
        </is>
      </c>
      <c r="Y1451" s="111" t="inlineStr">
        <is>
          <t>Impacto Potencial</t>
        </is>
      </c>
      <c r="Z1451" s="111" t="inlineStr">
        <is>
          <t>PC</t>
        </is>
      </c>
      <c r="AA1451" s="111" t="inlineStr">
        <is>
          <t>Nao</t>
        </is>
      </c>
      <c r="AB1451" s="111" t="inlineStr">
        <is>
          <t>NAO_COMPUTADO</t>
        </is>
      </c>
      <c r="AC1451" s="112" t="inlineStr">
        <is>
          <t>Estrutura Fase 1: sem impacto no VTA oficial</t>
        </is>
      </c>
    </row>
    <row r="1452" ht="25.5" customHeight="1" s="289">
      <c r="A1452" s="205" t="n"/>
      <c r="B1452" s="207" t="n"/>
      <c r="C1452" s="104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348" t="n"/>
      <c r="E1452" s="349">
        <f>IF(C1452="","",IFERROR(VLOOKUP(C1452,parametros!$A$11:$E$15,5,0),""))</f>
        <v/>
      </c>
      <c r="F1452" s="335">
        <f>IF(OR(D1452="",E1452=""),"",ROUND(D1452*E1452,2))</f>
        <v/>
      </c>
      <c r="G1452" s="106" t="n"/>
      <c r="H1452" s="350">
        <f>IF(G1452="Sim",IF(OR(F1452="",D1452="",L1452=""),"",IF(L1452="Sim",ROUND(F1452-D1452,2),0)),0)</f>
        <v/>
      </c>
      <c r="I1452" s="350">
        <f>IF(G1452="Sim",0,IF(OR(F1452="",L1452=""),"",F1452))</f>
        <v/>
      </c>
      <c r="J1452" s="350">
        <f>IF(G1452="Sim",0,IF(OR(F1452="",D1452="",L1452=""),"",IF(L1452="Sim",ROUND(F1452-D1452,2),0)))</f>
        <v/>
      </c>
      <c r="K1452" s="97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inlineStr">
        <is>
          <t>Nao</t>
        </is>
      </c>
      <c r="W1452" s="110" t="inlineStr">
        <is>
          <t>PC em analise</t>
        </is>
      </c>
      <c r="X1452" s="110" t="inlineStr">
        <is>
          <t>Pedido de Compra</t>
        </is>
      </c>
      <c r="Y1452" s="111" t="inlineStr">
        <is>
          <t>Impacto Potencial</t>
        </is>
      </c>
      <c r="Z1452" s="111" t="inlineStr">
        <is>
          <t>PC</t>
        </is>
      </c>
      <c r="AA1452" s="111" t="inlineStr">
        <is>
          <t>Nao</t>
        </is>
      </c>
      <c r="AB1452" s="111" t="inlineStr">
        <is>
          <t>NAO_COMPUTADO</t>
        </is>
      </c>
      <c r="AC1452" s="112" t="inlineStr">
        <is>
          <t>Estrutura Fase 1: sem impacto no VTA oficial</t>
        </is>
      </c>
    </row>
    <row r="1453" ht="25.5" customHeight="1" s="289">
      <c r="A1453" s="205" t="n"/>
      <c r="B1453" s="207" t="n"/>
      <c r="C1453" s="104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348" t="n"/>
      <c r="E1453" s="349">
        <f>IF(C1453="","",IFERROR(VLOOKUP(C1453,parametros!$A$11:$E$15,5,0),""))</f>
        <v/>
      </c>
      <c r="F1453" s="335">
        <f>IF(OR(D1453="",E1453=""),"",ROUND(D1453*E1453,2))</f>
        <v/>
      </c>
      <c r="G1453" s="106" t="n"/>
      <c r="H1453" s="350">
        <f>IF(G1453="Sim",IF(OR(F1453="",D1453="",L1453=""),"",IF(L1453="Sim",ROUND(F1453-D1453,2),0)),0)</f>
        <v/>
      </c>
      <c r="I1453" s="350">
        <f>IF(G1453="Sim",0,IF(OR(F1453="",L1453=""),"",F1453))</f>
        <v/>
      </c>
      <c r="J1453" s="350">
        <f>IF(G1453="Sim",0,IF(OR(F1453="",D1453="",L1453=""),"",IF(L1453="Sim",ROUND(F1453-D1453,2),0)))</f>
        <v/>
      </c>
      <c r="K1453" s="97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inlineStr">
        <is>
          <t>Nao</t>
        </is>
      </c>
      <c r="W1453" s="110" t="inlineStr">
        <is>
          <t>PC em analise</t>
        </is>
      </c>
      <c r="X1453" s="110" t="inlineStr">
        <is>
          <t>Pedido de Compra</t>
        </is>
      </c>
      <c r="Y1453" s="111" t="inlineStr">
        <is>
          <t>Impacto Potencial</t>
        </is>
      </c>
      <c r="Z1453" s="111" t="inlineStr">
        <is>
          <t>PC</t>
        </is>
      </c>
      <c r="AA1453" s="111" t="inlineStr">
        <is>
          <t>Nao</t>
        </is>
      </c>
      <c r="AB1453" s="111" t="inlineStr">
        <is>
          <t>NAO_COMPUTADO</t>
        </is>
      </c>
      <c r="AC1453" s="112" t="inlineStr">
        <is>
          <t>Estrutura Fase 1: sem impacto no VTA oficial</t>
        </is>
      </c>
    </row>
    <row r="1454" ht="25.5" customHeight="1" s="289">
      <c r="A1454" s="205" t="n"/>
      <c r="B1454" s="207" t="n"/>
      <c r="C1454" s="104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348" t="n"/>
      <c r="E1454" s="349">
        <f>IF(C1454="","",IFERROR(VLOOKUP(C1454,parametros!$A$11:$E$15,5,0),""))</f>
        <v/>
      </c>
      <c r="F1454" s="335">
        <f>IF(OR(D1454="",E1454=""),"",ROUND(D1454*E1454,2))</f>
        <v/>
      </c>
      <c r="G1454" s="106" t="n"/>
      <c r="H1454" s="350">
        <f>IF(G1454="Sim",IF(OR(F1454="",D1454="",L1454=""),"",IF(L1454="Sim",ROUND(F1454-D1454,2),0)),0)</f>
        <v/>
      </c>
      <c r="I1454" s="350">
        <f>IF(G1454="Sim",0,IF(OR(F1454="",L1454=""),"",F1454))</f>
        <v/>
      </c>
      <c r="J1454" s="350">
        <f>IF(G1454="Sim",0,IF(OR(F1454="",D1454="",L1454=""),"",IF(L1454="Sim",ROUND(F1454-D1454,2),0)))</f>
        <v/>
      </c>
      <c r="K1454" s="97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inlineStr">
        <is>
          <t>Nao</t>
        </is>
      </c>
      <c r="W1454" s="110" t="inlineStr">
        <is>
          <t>PC em analise</t>
        </is>
      </c>
      <c r="X1454" s="110" t="inlineStr">
        <is>
          <t>Pedido de Compra</t>
        </is>
      </c>
      <c r="Y1454" s="111" t="inlineStr">
        <is>
          <t>Impacto Potencial</t>
        </is>
      </c>
      <c r="Z1454" s="111" t="inlineStr">
        <is>
          <t>PC</t>
        </is>
      </c>
      <c r="AA1454" s="111" t="inlineStr">
        <is>
          <t>Nao</t>
        </is>
      </c>
      <c r="AB1454" s="111" t="inlineStr">
        <is>
          <t>NAO_COMPUTADO</t>
        </is>
      </c>
      <c r="AC1454" s="112" t="inlineStr">
        <is>
          <t>Estrutura Fase 1: sem impacto no VTA oficial</t>
        </is>
      </c>
    </row>
    <row r="1455" ht="25.5" customHeight="1" s="289">
      <c r="A1455" s="205" t="n"/>
      <c r="B1455" s="207" t="n"/>
      <c r="C1455" s="104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348" t="n"/>
      <c r="E1455" s="349">
        <f>IF(C1455="","",IFERROR(VLOOKUP(C1455,parametros!$A$11:$E$15,5,0),""))</f>
        <v/>
      </c>
      <c r="F1455" s="335">
        <f>IF(OR(D1455="",E1455=""),"",ROUND(D1455*E1455,2))</f>
        <v/>
      </c>
      <c r="G1455" s="106" t="n"/>
      <c r="H1455" s="350">
        <f>IF(G1455="Sim",IF(OR(F1455="",D1455="",L1455=""),"",IF(L1455="Sim",ROUND(F1455-D1455,2),0)),0)</f>
        <v/>
      </c>
      <c r="I1455" s="350">
        <f>IF(G1455="Sim",0,IF(OR(F1455="",L1455=""),"",F1455))</f>
        <v/>
      </c>
      <c r="J1455" s="350">
        <f>IF(G1455="Sim",0,IF(OR(F1455="",D1455="",L1455=""),"",IF(L1455="Sim",ROUND(F1455-D1455,2),0)))</f>
        <v/>
      </c>
      <c r="K1455" s="97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inlineStr">
        <is>
          <t>Nao</t>
        </is>
      </c>
      <c r="W1455" s="110" t="inlineStr">
        <is>
          <t>PC em analise</t>
        </is>
      </c>
      <c r="X1455" s="110" t="inlineStr">
        <is>
          <t>Pedido de Compra</t>
        </is>
      </c>
      <c r="Y1455" s="111" t="inlineStr">
        <is>
          <t>Impacto Potencial</t>
        </is>
      </c>
      <c r="Z1455" s="111" t="inlineStr">
        <is>
          <t>PC</t>
        </is>
      </c>
      <c r="AA1455" s="111" t="inlineStr">
        <is>
          <t>Nao</t>
        </is>
      </c>
      <c r="AB1455" s="111" t="inlineStr">
        <is>
          <t>NAO_COMPUTADO</t>
        </is>
      </c>
      <c r="AC1455" s="112" t="inlineStr">
        <is>
          <t>Estrutura Fase 1: sem impacto no VTA oficial</t>
        </is>
      </c>
    </row>
    <row r="1456" ht="25.5" customHeight="1" s="289">
      <c r="A1456" s="205" t="n"/>
      <c r="B1456" s="207" t="n"/>
      <c r="C1456" s="104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348" t="n"/>
      <c r="E1456" s="349">
        <f>IF(C1456="","",IFERROR(VLOOKUP(C1456,parametros!$A$11:$E$15,5,0),""))</f>
        <v/>
      </c>
      <c r="F1456" s="335">
        <f>IF(OR(D1456="",E1456=""),"",ROUND(D1456*E1456,2))</f>
        <v/>
      </c>
      <c r="G1456" s="106" t="n"/>
      <c r="H1456" s="350">
        <f>IF(G1456="Sim",IF(OR(F1456="",D1456="",L1456=""),"",IF(L1456="Sim",ROUND(F1456-D1456,2),0)),0)</f>
        <v/>
      </c>
      <c r="I1456" s="350">
        <f>IF(G1456="Sim",0,IF(OR(F1456="",L1456=""),"",F1456))</f>
        <v/>
      </c>
      <c r="J1456" s="350">
        <f>IF(G1456="Sim",0,IF(OR(F1456="",D1456="",L1456=""),"",IF(L1456="Sim",ROUND(F1456-D1456,2),0)))</f>
        <v/>
      </c>
      <c r="K1456" s="97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inlineStr">
        <is>
          <t>Nao</t>
        </is>
      </c>
      <c r="W1456" s="110" t="inlineStr">
        <is>
          <t>PC em analise</t>
        </is>
      </c>
      <c r="X1456" s="110" t="inlineStr">
        <is>
          <t>Pedido de Compra</t>
        </is>
      </c>
      <c r="Y1456" s="111" t="inlineStr">
        <is>
          <t>Impacto Potencial</t>
        </is>
      </c>
      <c r="Z1456" s="111" t="inlineStr">
        <is>
          <t>PC</t>
        </is>
      </c>
      <c r="AA1456" s="111" t="inlineStr">
        <is>
          <t>Nao</t>
        </is>
      </c>
      <c r="AB1456" s="111" t="inlineStr">
        <is>
          <t>NAO_COMPUTADO</t>
        </is>
      </c>
      <c r="AC1456" s="112" t="inlineStr">
        <is>
          <t>Estrutura Fase 1: sem impacto no VTA oficial</t>
        </is>
      </c>
    </row>
    <row r="1457" ht="25.5" customHeight="1" s="289">
      <c r="A1457" s="205" t="n"/>
      <c r="B1457" s="207" t="n"/>
      <c r="C1457" s="104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348" t="n"/>
      <c r="E1457" s="349">
        <f>IF(C1457="","",IFERROR(VLOOKUP(C1457,parametros!$A$11:$E$15,5,0),""))</f>
        <v/>
      </c>
      <c r="F1457" s="335">
        <f>IF(OR(D1457="",E1457=""),"",ROUND(D1457*E1457,2))</f>
        <v/>
      </c>
      <c r="G1457" s="106" t="n"/>
      <c r="H1457" s="350">
        <f>IF(G1457="Sim",IF(OR(F1457="",D1457="",L1457=""),"",IF(L1457="Sim",ROUND(F1457-D1457,2),0)),0)</f>
        <v/>
      </c>
      <c r="I1457" s="350">
        <f>IF(G1457="Sim",0,IF(OR(F1457="",L1457=""),"",F1457))</f>
        <v/>
      </c>
      <c r="J1457" s="350">
        <f>IF(G1457="Sim",0,IF(OR(F1457="",D1457="",L1457=""),"",IF(L1457="Sim",ROUND(F1457-D1457,2),0)))</f>
        <v/>
      </c>
      <c r="K1457" s="97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inlineStr">
        <is>
          <t>Nao</t>
        </is>
      </c>
      <c r="W1457" s="110" t="inlineStr">
        <is>
          <t>PC em analise</t>
        </is>
      </c>
      <c r="X1457" s="110" t="inlineStr">
        <is>
          <t>Pedido de Compra</t>
        </is>
      </c>
      <c r="Y1457" s="111" t="inlineStr">
        <is>
          <t>Impacto Potencial</t>
        </is>
      </c>
      <c r="Z1457" s="111" t="inlineStr">
        <is>
          <t>PC</t>
        </is>
      </c>
      <c r="AA1457" s="111" t="inlineStr">
        <is>
          <t>Nao</t>
        </is>
      </c>
      <c r="AB1457" s="111" t="inlineStr">
        <is>
          <t>NAO_COMPUTADO</t>
        </is>
      </c>
      <c r="AC1457" s="112" t="inlineStr">
        <is>
          <t>Estrutura Fase 1: sem impacto no VTA oficial</t>
        </is>
      </c>
    </row>
    <row r="1458" ht="25.5" customHeight="1" s="289">
      <c r="A1458" s="205" t="n"/>
      <c r="B1458" s="207" t="n"/>
      <c r="C1458" s="104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348" t="n"/>
      <c r="E1458" s="349">
        <f>IF(C1458="","",IFERROR(VLOOKUP(C1458,parametros!$A$11:$E$15,5,0),""))</f>
        <v/>
      </c>
      <c r="F1458" s="335">
        <f>IF(OR(D1458="",E1458=""),"",ROUND(D1458*E1458,2))</f>
        <v/>
      </c>
      <c r="G1458" s="106" t="n"/>
      <c r="H1458" s="350">
        <f>IF(G1458="Sim",IF(OR(F1458="",D1458="",L1458=""),"",IF(L1458="Sim",ROUND(F1458-D1458,2),0)),0)</f>
        <v/>
      </c>
      <c r="I1458" s="350">
        <f>IF(G1458="Sim",0,IF(OR(F1458="",L1458=""),"",F1458))</f>
        <v/>
      </c>
      <c r="J1458" s="350">
        <f>IF(G1458="Sim",0,IF(OR(F1458="",D1458="",L1458=""),"",IF(L1458="Sim",ROUND(F1458-D1458,2),0)))</f>
        <v/>
      </c>
      <c r="K1458" s="97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inlineStr">
        <is>
          <t>Nao</t>
        </is>
      </c>
      <c r="W1458" s="110" t="inlineStr">
        <is>
          <t>PC em analise</t>
        </is>
      </c>
      <c r="X1458" s="110" t="inlineStr">
        <is>
          <t>Pedido de Compra</t>
        </is>
      </c>
      <c r="Y1458" s="111" t="inlineStr">
        <is>
          <t>Impacto Potencial</t>
        </is>
      </c>
      <c r="Z1458" s="111" t="inlineStr">
        <is>
          <t>PC</t>
        </is>
      </c>
      <c r="AA1458" s="111" t="inlineStr">
        <is>
          <t>Nao</t>
        </is>
      </c>
      <c r="AB1458" s="111" t="inlineStr">
        <is>
          <t>NAO_COMPUTADO</t>
        </is>
      </c>
      <c r="AC1458" s="112" t="inlineStr">
        <is>
          <t>Estrutura Fase 1: sem impacto no VTA oficial</t>
        </is>
      </c>
    </row>
    <row r="1459" ht="25.5" customHeight="1" s="289">
      <c r="A1459" s="205" t="n"/>
      <c r="B1459" s="207" t="n"/>
      <c r="C1459" s="104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348" t="n"/>
      <c r="E1459" s="349">
        <f>IF(C1459="","",IFERROR(VLOOKUP(C1459,parametros!$A$11:$E$15,5,0),""))</f>
        <v/>
      </c>
      <c r="F1459" s="335">
        <f>IF(OR(D1459="",E1459=""),"",ROUND(D1459*E1459,2))</f>
        <v/>
      </c>
      <c r="G1459" s="106" t="n"/>
      <c r="H1459" s="350">
        <f>IF(G1459="Sim",IF(OR(F1459="",D1459="",L1459=""),"",IF(L1459="Sim",ROUND(F1459-D1459,2),0)),0)</f>
        <v/>
      </c>
      <c r="I1459" s="350">
        <f>IF(G1459="Sim",0,IF(OR(F1459="",L1459=""),"",F1459))</f>
        <v/>
      </c>
      <c r="J1459" s="350">
        <f>IF(G1459="Sim",0,IF(OR(F1459="",D1459="",L1459=""),"",IF(L1459="Sim",ROUND(F1459-D1459,2),0)))</f>
        <v/>
      </c>
      <c r="K1459" s="97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inlineStr">
        <is>
          <t>Nao</t>
        </is>
      </c>
      <c r="W1459" s="110" t="inlineStr">
        <is>
          <t>PC em analise</t>
        </is>
      </c>
      <c r="X1459" s="110" t="inlineStr">
        <is>
          <t>Pedido de Compra</t>
        </is>
      </c>
      <c r="Y1459" s="111" t="inlineStr">
        <is>
          <t>Impacto Potencial</t>
        </is>
      </c>
      <c r="Z1459" s="111" t="inlineStr">
        <is>
          <t>PC</t>
        </is>
      </c>
      <c r="AA1459" s="111" t="inlineStr">
        <is>
          <t>Nao</t>
        </is>
      </c>
      <c r="AB1459" s="111" t="inlineStr">
        <is>
          <t>NAO_COMPUTADO</t>
        </is>
      </c>
      <c r="AC1459" s="112" t="inlineStr">
        <is>
          <t>Estrutura Fase 1: sem impacto no VTA oficial</t>
        </is>
      </c>
    </row>
    <row r="1460" ht="25.5" customHeight="1" s="289">
      <c r="A1460" s="205" t="n"/>
      <c r="B1460" s="207" t="n"/>
      <c r="C1460" s="104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348" t="n"/>
      <c r="E1460" s="349">
        <f>IF(C1460="","",IFERROR(VLOOKUP(C1460,parametros!$A$11:$E$15,5,0),""))</f>
        <v/>
      </c>
      <c r="F1460" s="335">
        <f>IF(OR(D1460="",E1460=""),"",ROUND(D1460*E1460,2))</f>
        <v/>
      </c>
      <c r="G1460" s="106" t="n"/>
      <c r="H1460" s="350">
        <f>IF(G1460="Sim",IF(OR(F1460="",D1460="",L1460=""),"",IF(L1460="Sim",ROUND(F1460-D1460,2),0)),0)</f>
        <v/>
      </c>
      <c r="I1460" s="350">
        <f>IF(G1460="Sim",0,IF(OR(F1460="",L1460=""),"",F1460))</f>
        <v/>
      </c>
      <c r="J1460" s="350">
        <f>IF(G1460="Sim",0,IF(OR(F1460="",D1460="",L1460=""),"",IF(L1460="Sim",ROUND(F1460-D1460,2),0)))</f>
        <v/>
      </c>
      <c r="K1460" s="97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inlineStr">
        <is>
          <t>Nao</t>
        </is>
      </c>
      <c r="W1460" s="110" t="inlineStr">
        <is>
          <t>PC em analise</t>
        </is>
      </c>
      <c r="X1460" s="110" t="inlineStr">
        <is>
          <t>Pedido de Compra</t>
        </is>
      </c>
      <c r="Y1460" s="111" t="inlineStr">
        <is>
          <t>Impacto Potencial</t>
        </is>
      </c>
      <c r="Z1460" s="111" t="inlineStr">
        <is>
          <t>PC</t>
        </is>
      </c>
      <c r="AA1460" s="111" t="inlineStr">
        <is>
          <t>Nao</t>
        </is>
      </c>
      <c r="AB1460" s="111" t="inlineStr">
        <is>
          <t>NAO_COMPUTADO</t>
        </is>
      </c>
      <c r="AC1460" s="112" t="inlineStr">
        <is>
          <t>Estrutura Fase 1: sem impacto no VTA oficial</t>
        </is>
      </c>
    </row>
    <row r="1461" ht="25.5" customHeight="1" s="289">
      <c r="A1461" s="205" t="n"/>
      <c r="B1461" s="207" t="n"/>
      <c r="C1461" s="104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348" t="n"/>
      <c r="E1461" s="349">
        <f>IF(C1461="","",IFERROR(VLOOKUP(C1461,parametros!$A$11:$E$15,5,0),""))</f>
        <v/>
      </c>
      <c r="F1461" s="335">
        <f>IF(OR(D1461="",E1461=""),"",ROUND(D1461*E1461,2))</f>
        <v/>
      </c>
      <c r="G1461" s="106" t="n"/>
      <c r="H1461" s="350">
        <f>IF(G1461="Sim",IF(OR(F1461="",D1461="",L1461=""),"",IF(L1461="Sim",ROUND(F1461-D1461,2),0)),0)</f>
        <v/>
      </c>
      <c r="I1461" s="350">
        <f>IF(G1461="Sim",0,IF(OR(F1461="",L1461=""),"",F1461))</f>
        <v/>
      </c>
      <c r="J1461" s="350">
        <f>IF(G1461="Sim",0,IF(OR(F1461="",D1461="",L1461=""),"",IF(L1461="Sim",ROUND(F1461-D1461,2),0)))</f>
        <v/>
      </c>
      <c r="K1461" s="97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inlineStr">
        <is>
          <t>Nao</t>
        </is>
      </c>
      <c r="W1461" s="110" t="inlineStr">
        <is>
          <t>PC em analise</t>
        </is>
      </c>
      <c r="X1461" s="110" t="inlineStr">
        <is>
          <t>Pedido de Compra</t>
        </is>
      </c>
      <c r="Y1461" s="111" t="inlineStr">
        <is>
          <t>Impacto Potencial</t>
        </is>
      </c>
      <c r="Z1461" s="111" t="inlineStr">
        <is>
          <t>PC</t>
        </is>
      </c>
      <c r="AA1461" s="111" t="inlineStr">
        <is>
          <t>Nao</t>
        </is>
      </c>
      <c r="AB1461" s="111" t="inlineStr">
        <is>
          <t>NAO_COMPUTADO</t>
        </is>
      </c>
      <c r="AC1461" s="112" t="inlineStr">
        <is>
          <t>Estrutura Fase 1: sem impacto no VTA oficial</t>
        </is>
      </c>
    </row>
    <row r="1462" ht="25.5" customHeight="1" s="289">
      <c r="A1462" s="205" t="n"/>
      <c r="B1462" s="207" t="n"/>
      <c r="C1462" s="104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348" t="n"/>
      <c r="E1462" s="349">
        <f>IF(C1462="","",IFERROR(VLOOKUP(C1462,parametros!$A$11:$E$15,5,0),""))</f>
        <v/>
      </c>
      <c r="F1462" s="335">
        <f>IF(OR(D1462="",E1462=""),"",ROUND(D1462*E1462,2))</f>
        <v/>
      </c>
      <c r="G1462" s="106" t="n"/>
      <c r="H1462" s="350">
        <f>IF(G1462="Sim",IF(OR(F1462="",D1462="",L1462=""),"",IF(L1462="Sim",ROUND(F1462-D1462,2),0)),0)</f>
        <v/>
      </c>
      <c r="I1462" s="350">
        <f>IF(G1462="Sim",0,IF(OR(F1462="",L1462=""),"",F1462))</f>
        <v/>
      </c>
      <c r="J1462" s="350">
        <f>IF(G1462="Sim",0,IF(OR(F1462="",D1462="",L1462=""),"",IF(L1462="Sim",ROUND(F1462-D1462,2),0)))</f>
        <v/>
      </c>
      <c r="K1462" s="97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inlineStr">
        <is>
          <t>Nao</t>
        </is>
      </c>
      <c r="W1462" s="110" t="inlineStr">
        <is>
          <t>PC em analise</t>
        </is>
      </c>
      <c r="X1462" s="110" t="inlineStr">
        <is>
          <t>Pedido de Compra</t>
        </is>
      </c>
      <c r="Y1462" s="111" t="inlineStr">
        <is>
          <t>Impacto Potencial</t>
        </is>
      </c>
      <c r="Z1462" s="111" t="inlineStr">
        <is>
          <t>PC</t>
        </is>
      </c>
      <c r="AA1462" s="111" t="inlineStr">
        <is>
          <t>Nao</t>
        </is>
      </c>
      <c r="AB1462" s="111" t="inlineStr">
        <is>
          <t>NAO_COMPUTADO</t>
        </is>
      </c>
      <c r="AC1462" s="112" t="inlineStr">
        <is>
          <t>Estrutura Fase 1: sem impacto no VTA oficial</t>
        </is>
      </c>
    </row>
    <row r="1463" ht="25.5" customHeight="1" s="289">
      <c r="A1463" s="205" t="n"/>
      <c r="B1463" s="207" t="n"/>
      <c r="C1463" s="104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348" t="n"/>
      <c r="E1463" s="349">
        <f>IF(C1463="","",IFERROR(VLOOKUP(C1463,parametros!$A$11:$E$15,5,0),""))</f>
        <v/>
      </c>
      <c r="F1463" s="335">
        <f>IF(OR(D1463="",E1463=""),"",ROUND(D1463*E1463,2))</f>
        <v/>
      </c>
      <c r="G1463" s="106" t="n"/>
      <c r="H1463" s="350">
        <f>IF(G1463="Sim",IF(OR(F1463="",D1463="",L1463=""),"",IF(L1463="Sim",ROUND(F1463-D1463,2),0)),0)</f>
        <v/>
      </c>
      <c r="I1463" s="350">
        <f>IF(G1463="Sim",0,IF(OR(F1463="",L1463=""),"",F1463))</f>
        <v/>
      </c>
      <c r="J1463" s="350">
        <f>IF(G1463="Sim",0,IF(OR(F1463="",D1463="",L1463=""),"",IF(L1463="Sim",ROUND(F1463-D1463,2),0)))</f>
        <v/>
      </c>
      <c r="K1463" s="97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inlineStr">
        <is>
          <t>Nao</t>
        </is>
      </c>
      <c r="W1463" s="110" t="inlineStr">
        <is>
          <t>PC em analise</t>
        </is>
      </c>
      <c r="X1463" s="110" t="inlineStr">
        <is>
          <t>Pedido de Compra</t>
        </is>
      </c>
      <c r="Y1463" s="111" t="inlineStr">
        <is>
          <t>Impacto Potencial</t>
        </is>
      </c>
      <c r="Z1463" s="111" t="inlineStr">
        <is>
          <t>PC</t>
        </is>
      </c>
      <c r="AA1463" s="111" t="inlineStr">
        <is>
          <t>Nao</t>
        </is>
      </c>
      <c r="AB1463" s="111" t="inlineStr">
        <is>
          <t>NAO_COMPUTADO</t>
        </is>
      </c>
      <c r="AC1463" s="112" t="inlineStr">
        <is>
          <t>Estrutura Fase 1: sem impacto no VTA oficial</t>
        </is>
      </c>
    </row>
    <row r="1464" ht="25.5" customHeight="1" s="289">
      <c r="A1464" s="205" t="n"/>
      <c r="B1464" s="207" t="n"/>
      <c r="C1464" s="104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348" t="n"/>
      <c r="E1464" s="349">
        <f>IF(C1464="","",IFERROR(VLOOKUP(C1464,parametros!$A$11:$E$15,5,0),""))</f>
        <v/>
      </c>
      <c r="F1464" s="335">
        <f>IF(OR(D1464="",E1464=""),"",ROUND(D1464*E1464,2))</f>
        <v/>
      </c>
      <c r="G1464" s="106" t="n"/>
      <c r="H1464" s="350">
        <f>IF(G1464="Sim",IF(OR(F1464="",D1464="",L1464=""),"",IF(L1464="Sim",ROUND(F1464-D1464,2),0)),0)</f>
        <v/>
      </c>
      <c r="I1464" s="350">
        <f>IF(G1464="Sim",0,IF(OR(F1464="",L1464=""),"",F1464))</f>
        <v/>
      </c>
      <c r="J1464" s="350">
        <f>IF(G1464="Sim",0,IF(OR(F1464="",D1464="",L1464=""),"",IF(L1464="Sim",ROUND(F1464-D1464,2),0)))</f>
        <v/>
      </c>
      <c r="K1464" s="97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inlineStr">
        <is>
          <t>Nao</t>
        </is>
      </c>
      <c r="W1464" s="110" t="inlineStr">
        <is>
          <t>PC em analise</t>
        </is>
      </c>
      <c r="X1464" s="110" t="inlineStr">
        <is>
          <t>Pedido de Compra</t>
        </is>
      </c>
      <c r="Y1464" s="111" t="inlineStr">
        <is>
          <t>Impacto Potencial</t>
        </is>
      </c>
      <c r="Z1464" s="111" t="inlineStr">
        <is>
          <t>PC</t>
        </is>
      </c>
      <c r="AA1464" s="111" t="inlineStr">
        <is>
          <t>Nao</t>
        </is>
      </c>
      <c r="AB1464" s="111" t="inlineStr">
        <is>
          <t>NAO_COMPUTADO</t>
        </is>
      </c>
      <c r="AC1464" s="112" t="inlineStr">
        <is>
          <t>Estrutura Fase 1: sem impacto no VTA oficial</t>
        </is>
      </c>
    </row>
    <row r="1465" ht="25.5" customHeight="1" s="289">
      <c r="A1465" s="205" t="n"/>
      <c r="B1465" s="207" t="n"/>
      <c r="C1465" s="104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348" t="n"/>
      <c r="E1465" s="349">
        <f>IF(C1465="","",IFERROR(VLOOKUP(C1465,parametros!$A$11:$E$15,5,0),""))</f>
        <v/>
      </c>
      <c r="F1465" s="335">
        <f>IF(OR(D1465="",E1465=""),"",ROUND(D1465*E1465,2))</f>
        <v/>
      </c>
      <c r="G1465" s="106" t="n"/>
      <c r="H1465" s="350">
        <f>IF(G1465="Sim",IF(OR(F1465="",D1465="",L1465=""),"",IF(L1465="Sim",ROUND(F1465-D1465,2),0)),0)</f>
        <v/>
      </c>
      <c r="I1465" s="350">
        <f>IF(G1465="Sim",0,IF(OR(F1465="",L1465=""),"",F1465))</f>
        <v/>
      </c>
      <c r="J1465" s="350">
        <f>IF(G1465="Sim",0,IF(OR(F1465="",D1465="",L1465=""),"",IF(L1465="Sim",ROUND(F1465-D1465,2),0)))</f>
        <v/>
      </c>
      <c r="K1465" s="97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inlineStr">
        <is>
          <t>Nao</t>
        </is>
      </c>
      <c r="W1465" s="110" t="inlineStr">
        <is>
          <t>PC em analise</t>
        </is>
      </c>
      <c r="X1465" s="110" t="inlineStr">
        <is>
          <t>Pedido de Compra</t>
        </is>
      </c>
      <c r="Y1465" s="111" t="inlineStr">
        <is>
          <t>Impacto Potencial</t>
        </is>
      </c>
      <c r="Z1465" s="111" t="inlineStr">
        <is>
          <t>PC</t>
        </is>
      </c>
      <c r="AA1465" s="111" t="inlineStr">
        <is>
          <t>Nao</t>
        </is>
      </c>
      <c r="AB1465" s="111" t="inlineStr">
        <is>
          <t>NAO_COMPUTADO</t>
        </is>
      </c>
      <c r="AC1465" s="112" t="inlineStr">
        <is>
          <t>Estrutura Fase 1: sem impacto no VTA oficial</t>
        </is>
      </c>
    </row>
    <row r="1466" ht="25.5" customHeight="1" s="289">
      <c r="A1466" s="205" t="n"/>
      <c r="B1466" s="207" t="n"/>
      <c r="C1466" s="104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348" t="n"/>
      <c r="E1466" s="349">
        <f>IF(C1466="","",IFERROR(VLOOKUP(C1466,parametros!$A$11:$E$15,5,0),""))</f>
        <v/>
      </c>
      <c r="F1466" s="335">
        <f>IF(OR(D1466="",E1466=""),"",ROUND(D1466*E1466,2))</f>
        <v/>
      </c>
      <c r="G1466" s="106" t="n"/>
      <c r="H1466" s="350">
        <f>IF(G1466="Sim",IF(OR(F1466="",D1466="",L1466=""),"",IF(L1466="Sim",ROUND(F1466-D1466,2),0)),0)</f>
        <v/>
      </c>
      <c r="I1466" s="350">
        <f>IF(G1466="Sim",0,IF(OR(F1466="",L1466=""),"",F1466))</f>
        <v/>
      </c>
      <c r="J1466" s="350">
        <f>IF(G1466="Sim",0,IF(OR(F1466="",D1466="",L1466=""),"",IF(L1466="Sim",ROUND(F1466-D1466,2),0)))</f>
        <v/>
      </c>
      <c r="K1466" s="97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inlineStr">
        <is>
          <t>Nao</t>
        </is>
      </c>
      <c r="W1466" s="110" t="inlineStr">
        <is>
          <t>PC em analise</t>
        </is>
      </c>
      <c r="X1466" s="110" t="inlineStr">
        <is>
          <t>Pedido de Compra</t>
        </is>
      </c>
      <c r="Y1466" s="111" t="inlineStr">
        <is>
          <t>Impacto Potencial</t>
        </is>
      </c>
      <c r="Z1466" s="111" t="inlineStr">
        <is>
          <t>PC</t>
        </is>
      </c>
      <c r="AA1466" s="111" t="inlineStr">
        <is>
          <t>Nao</t>
        </is>
      </c>
      <c r="AB1466" s="111" t="inlineStr">
        <is>
          <t>NAO_COMPUTADO</t>
        </is>
      </c>
      <c r="AC1466" s="112" t="inlineStr">
        <is>
          <t>Estrutura Fase 1: sem impacto no VTA oficial</t>
        </is>
      </c>
    </row>
    <row r="1467" ht="25.5" customHeight="1" s="289">
      <c r="A1467" s="205" t="n"/>
      <c r="B1467" s="207" t="n"/>
      <c r="C1467" s="104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348" t="n"/>
      <c r="E1467" s="349">
        <f>IF(C1467="","",IFERROR(VLOOKUP(C1467,parametros!$A$11:$E$15,5,0),""))</f>
        <v/>
      </c>
      <c r="F1467" s="335">
        <f>IF(OR(D1467="",E1467=""),"",ROUND(D1467*E1467,2))</f>
        <v/>
      </c>
      <c r="G1467" s="106" t="n"/>
      <c r="H1467" s="350">
        <f>IF(G1467="Sim",IF(OR(F1467="",D1467="",L1467=""),"",IF(L1467="Sim",ROUND(F1467-D1467,2),0)),0)</f>
        <v/>
      </c>
      <c r="I1467" s="350">
        <f>IF(G1467="Sim",0,IF(OR(F1467="",L1467=""),"",F1467))</f>
        <v/>
      </c>
      <c r="J1467" s="350">
        <f>IF(G1467="Sim",0,IF(OR(F1467="",D1467="",L1467=""),"",IF(L1467="Sim",ROUND(F1467-D1467,2),0)))</f>
        <v/>
      </c>
      <c r="K1467" s="97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inlineStr">
        <is>
          <t>Nao</t>
        </is>
      </c>
      <c r="W1467" s="110" t="inlineStr">
        <is>
          <t>PC em analise</t>
        </is>
      </c>
      <c r="X1467" s="110" t="inlineStr">
        <is>
          <t>Pedido de Compra</t>
        </is>
      </c>
      <c r="Y1467" s="111" t="inlineStr">
        <is>
          <t>Impacto Potencial</t>
        </is>
      </c>
      <c r="Z1467" s="111" t="inlineStr">
        <is>
          <t>PC</t>
        </is>
      </c>
      <c r="AA1467" s="111" t="inlineStr">
        <is>
          <t>Nao</t>
        </is>
      </c>
      <c r="AB1467" s="111" t="inlineStr">
        <is>
          <t>NAO_COMPUTADO</t>
        </is>
      </c>
      <c r="AC1467" s="112" t="inlineStr">
        <is>
          <t>Estrutura Fase 1: sem impacto no VTA oficial</t>
        </is>
      </c>
    </row>
    <row r="1468" ht="25.5" customHeight="1" s="289">
      <c r="A1468" s="205" t="n"/>
      <c r="B1468" s="207" t="n"/>
      <c r="C1468" s="104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348" t="n"/>
      <c r="E1468" s="349">
        <f>IF(C1468="","",IFERROR(VLOOKUP(C1468,parametros!$A$11:$E$15,5,0),""))</f>
        <v/>
      </c>
      <c r="F1468" s="335">
        <f>IF(OR(D1468="",E1468=""),"",ROUND(D1468*E1468,2))</f>
        <v/>
      </c>
      <c r="G1468" s="106" t="n"/>
      <c r="H1468" s="350">
        <f>IF(G1468="Sim",IF(OR(F1468="",D1468="",L1468=""),"",IF(L1468="Sim",ROUND(F1468-D1468,2),0)),0)</f>
        <v/>
      </c>
      <c r="I1468" s="350">
        <f>IF(G1468="Sim",0,IF(OR(F1468="",L1468=""),"",F1468))</f>
        <v/>
      </c>
      <c r="J1468" s="350">
        <f>IF(G1468="Sim",0,IF(OR(F1468="",D1468="",L1468=""),"",IF(L1468="Sim",ROUND(F1468-D1468,2),0)))</f>
        <v/>
      </c>
      <c r="K1468" s="97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inlineStr">
        <is>
          <t>Nao</t>
        </is>
      </c>
      <c r="W1468" s="110" t="inlineStr">
        <is>
          <t>PC em analise</t>
        </is>
      </c>
      <c r="X1468" s="110" t="inlineStr">
        <is>
          <t>Pedido de Compra</t>
        </is>
      </c>
      <c r="Y1468" s="111" t="inlineStr">
        <is>
          <t>Impacto Potencial</t>
        </is>
      </c>
      <c r="Z1468" s="111" t="inlineStr">
        <is>
          <t>PC</t>
        </is>
      </c>
      <c r="AA1468" s="111" t="inlineStr">
        <is>
          <t>Nao</t>
        </is>
      </c>
      <c r="AB1468" s="111" t="inlineStr">
        <is>
          <t>NAO_COMPUTADO</t>
        </is>
      </c>
      <c r="AC1468" s="112" t="inlineStr">
        <is>
          <t>Estrutura Fase 1: sem impacto no VTA oficial</t>
        </is>
      </c>
    </row>
    <row r="1469" ht="25.5" customHeight="1" s="289">
      <c r="A1469" s="205" t="n"/>
      <c r="B1469" s="207" t="n"/>
      <c r="C1469" s="104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348" t="n"/>
      <c r="E1469" s="349">
        <f>IF(C1469="","",IFERROR(VLOOKUP(C1469,parametros!$A$11:$E$15,5,0),""))</f>
        <v/>
      </c>
      <c r="F1469" s="335">
        <f>IF(OR(D1469="",E1469=""),"",ROUND(D1469*E1469,2))</f>
        <v/>
      </c>
      <c r="G1469" s="106" t="n"/>
      <c r="H1469" s="350">
        <f>IF(G1469="Sim",IF(OR(F1469="",D1469="",L1469=""),"",IF(L1469="Sim",ROUND(F1469-D1469,2),0)),0)</f>
        <v/>
      </c>
      <c r="I1469" s="350">
        <f>IF(G1469="Sim",0,IF(OR(F1469="",L1469=""),"",F1469))</f>
        <v/>
      </c>
      <c r="J1469" s="350">
        <f>IF(G1469="Sim",0,IF(OR(F1469="",D1469="",L1469=""),"",IF(L1469="Sim",ROUND(F1469-D1469,2),0)))</f>
        <v/>
      </c>
      <c r="K1469" s="97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inlineStr">
        <is>
          <t>Nao</t>
        </is>
      </c>
      <c r="W1469" s="110" t="inlineStr">
        <is>
          <t>PC em analise</t>
        </is>
      </c>
      <c r="X1469" s="110" t="inlineStr">
        <is>
          <t>Pedido de Compra</t>
        </is>
      </c>
      <c r="Y1469" s="111" t="inlineStr">
        <is>
          <t>Impacto Potencial</t>
        </is>
      </c>
      <c r="Z1469" s="111" t="inlineStr">
        <is>
          <t>PC</t>
        </is>
      </c>
      <c r="AA1469" s="111" t="inlineStr">
        <is>
          <t>Nao</t>
        </is>
      </c>
      <c r="AB1469" s="111" t="inlineStr">
        <is>
          <t>NAO_COMPUTADO</t>
        </is>
      </c>
      <c r="AC1469" s="112" t="inlineStr">
        <is>
          <t>Estrutura Fase 1: sem impacto no VTA oficial</t>
        </is>
      </c>
    </row>
    <row r="1470" ht="25.5" customHeight="1" s="289">
      <c r="A1470" s="205" t="n"/>
      <c r="B1470" s="207" t="n"/>
      <c r="C1470" s="104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348" t="n"/>
      <c r="E1470" s="349">
        <f>IF(C1470="","",IFERROR(VLOOKUP(C1470,parametros!$A$11:$E$15,5,0),""))</f>
        <v/>
      </c>
      <c r="F1470" s="335">
        <f>IF(OR(D1470="",E1470=""),"",ROUND(D1470*E1470,2))</f>
        <v/>
      </c>
      <c r="G1470" s="106" t="n"/>
      <c r="H1470" s="350">
        <f>IF(G1470="Sim",IF(OR(F1470="",D1470="",L1470=""),"",IF(L1470="Sim",ROUND(F1470-D1470,2),0)),0)</f>
        <v/>
      </c>
      <c r="I1470" s="350">
        <f>IF(G1470="Sim",0,IF(OR(F1470="",L1470=""),"",F1470))</f>
        <v/>
      </c>
      <c r="J1470" s="350">
        <f>IF(G1470="Sim",0,IF(OR(F1470="",D1470="",L1470=""),"",IF(L1470="Sim",ROUND(F1470-D1470,2),0)))</f>
        <v/>
      </c>
      <c r="K1470" s="97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inlineStr">
        <is>
          <t>Nao</t>
        </is>
      </c>
      <c r="W1470" s="110" t="inlineStr">
        <is>
          <t>PC em analise</t>
        </is>
      </c>
      <c r="X1470" s="110" t="inlineStr">
        <is>
          <t>Pedido de Compra</t>
        </is>
      </c>
      <c r="Y1470" s="111" t="inlineStr">
        <is>
          <t>Impacto Potencial</t>
        </is>
      </c>
      <c r="Z1470" s="111" t="inlineStr">
        <is>
          <t>PC</t>
        </is>
      </c>
      <c r="AA1470" s="111" t="inlineStr">
        <is>
          <t>Nao</t>
        </is>
      </c>
      <c r="AB1470" s="111" t="inlineStr">
        <is>
          <t>NAO_COMPUTADO</t>
        </is>
      </c>
      <c r="AC1470" s="112" t="inlineStr">
        <is>
          <t>Estrutura Fase 1: sem impacto no VTA oficial</t>
        </is>
      </c>
    </row>
    <row r="1471" ht="25.5" customHeight="1" s="289">
      <c r="A1471" s="205" t="n"/>
      <c r="B1471" s="207" t="n"/>
      <c r="C1471" s="104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348" t="n"/>
      <c r="E1471" s="349">
        <f>IF(C1471="","",IFERROR(VLOOKUP(C1471,parametros!$A$11:$E$15,5,0),""))</f>
        <v/>
      </c>
      <c r="F1471" s="335">
        <f>IF(OR(D1471="",E1471=""),"",ROUND(D1471*E1471,2))</f>
        <v/>
      </c>
      <c r="G1471" s="106" t="n"/>
      <c r="H1471" s="350">
        <f>IF(G1471="Sim",IF(OR(F1471="",D1471="",L1471=""),"",IF(L1471="Sim",ROUND(F1471-D1471,2),0)),0)</f>
        <v/>
      </c>
      <c r="I1471" s="350">
        <f>IF(G1471="Sim",0,IF(OR(F1471="",L1471=""),"",F1471))</f>
        <v/>
      </c>
      <c r="J1471" s="350">
        <f>IF(G1471="Sim",0,IF(OR(F1471="",D1471="",L1471=""),"",IF(L1471="Sim",ROUND(F1471-D1471,2),0)))</f>
        <v/>
      </c>
      <c r="K1471" s="97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inlineStr">
        <is>
          <t>Nao</t>
        </is>
      </c>
      <c r="W1471" s="110" t="inlineStr">
        <is>
          <t>PC em analise</t>
        </is>
      </c>
      <c r="X1471" s="110" t="inlineStr">
        <is>
          <t>Pedido de Compra</t>
        </is>
      </c>
      <c r="Y1471" s="111" t="inlineStr">
        <is>
          <t>Impacto Potencial</t>
        </is>
      </c>
      <c r="Z1471" s="111" t="inlineStr">
        <is>
          <t>PC</t>
        </is>
      </c>
      <c r="AA1471" s="111" t="inlineStr">
        <is>
          <t>Nao</t>
        </is>
      </c>
      <c r="AB1471" s="111" t="inlineStr">
        <is>
          <t>NAO_COMPUTADO</t>
        </is>
      </c>
      <c r="AC1471" s="112" t="inlineStr">
        <is>
          <t>Estrutura Fase 1: sem impacto no VTA oficial</t>
        </is>
      </c>
    </row>
    <row r="1472" ht="25.5" customHeight="1" s="289">
      <c r="A1472" s="205" t="n"/>
      <c r="B1472" s="207" t="n"/>
      <c r="C1472" s="104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348" t="n"/>
      <c r="E1472" s="349">
        <f>IF(C1472="","",IFERROR(VLOOKUP(C1472,parametros!$A$11:$E$15,5,0),""))</f>
        <v/>
      </c>
      <c r="F1472" s="335">
        <f>IF(OR(D1472="",E1472=""),"",ROUND(D1472*E1472,2))</f>
        <v/>
      </c>
      <c r="G1472" s="106" t="n"/>
      <c r="H1472" s="350">
        <f>IF(G1472="Sim",IF(OR(F1472="",D1472="",L1472=""),"",IF(L1472="Sim",ROUND(F1472-D1472,2),0)),0)</f>
        <v/>
      </c>
      <c r="I1472" s="350">
        <f>IF(G1472="Sim",0,IF(OR(F1472="",L1472=""),"",F1472))</f>
        <v/>
      </c>
      <c r="J1472" s="350">
        <f>IF(G1472="Sim",0,IF(OR(F1472="",D1472="",L1472=""),"",IF(L1472="Sim",ROUND(F1472-D1472,2),0)))</f>
        <v/>
      </c>
      <c r="K1472" s="97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inlineStr">
        <is>
          <t>Nao</t>
        </is>
      </c>
      <c r="W1472" s="110" t="inlineStr">
        <is>
          <t>PC em analise</t>
        </is>
      </c>
      <c r="X1472" s="110" t="inlineStr">
        <is>
          <t>Pedido de Compra</t>
        </is>
      </c>
      <c r="Y1472" s="111" t="inlineStr">
        <is>
          <t>Impacto Potencial</t>
        </is>
      </c>
      <c r="Z1472" s="111" t="inlineStr">
        <is>
          <t>PC</t>
        </is>
      </c>
      <c r="AA1472" s="111" t="inlineStr">
        <is>
          <t>Nao</t>
        </is>
      </c>
      <c r="AB1472" s="111" t="inlineStr">
        <is>
          <t>NAO_COMPUTADO</t>
        </is>
      </c>
      <c r="AC1472" s="112" t="inlineStr">
        <is>
          <t>Estrutura Fase 1: sem impacto no VTA oficial</t>
        </is>
      </c>
    </row>
    <row r="1473" ht="25.5" customHeight="1" s="289">
      <c r="A1473" s="205" t="n"/>
      <c r="B1473" s="207" t="n"/>
      <c r="C1473" s="104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348" t="n"/>
      <c r="E1473" s="349">
        <f>IF(C1473="","",IFERROR(VLOOKUP(C1473,parametros!$A$11:$E$15,5,0),""))</f>
        <v/>
      </c>
      <c r="F1473" s="335">
        <f>IF(OR(D1473="",E1473=""),"",ROUND(D1473*E1473,2))</f>
        <v/>
      </c>
      <c r="G1473" s="106" t="n"/>
      <c r="H1473" s="350">
        <f>IF(G1473="Sim",IF(OR(F1473="",D1473="",L1473=""),"",IF(L1473="Sim",ROUND(F1473-D1473,2),0)),0)</f>
        <v/>
      </c>
      <c r="I1473" s="350">
        <f>IF(G1473="Sim",0,IF(OR(F1473="",L1473=""),"",F1473))</f>
        <v/>
      </c>
      <c r="J1473" s="350">
        <f>IF(G1473="Sim",0,IF(OR(F1473="",D1473="",L1473=""),"",IF(L1473="Sim",ROUND(F1473-D1473,2),0)))</f>
        <v/>
      </c>
      <c r="K1473" s="97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inlineStr">
        <is>
          <t>Nao</t>
        </is>
      </c>
      <c r="W1473" s="110" t="inlineStr">
        <is>
          <t>PC em analise</t>
        </is>
      </c>
      <c r="X1473" s="110" t="inlineStr">
        <is>
          <t>Pedido de Compra</t>
        </is>
      </c>
      <c r="Y1473" s="111" t="inlineStr">
        <is>
          <t>Impacto Potencial</t>
        </is>
      </c>
      <c r="Z1473" s="111" t="inlineStr">
        <is>
          <t>PC</t>
        </is>
      </c>
      <c r="AA1473" s="111" t="inlineStr">
        <is>
          <t>Nao</t>
        </is>
      </c>
      <c r="AB1473" s="111" t="inlineStr">
        <is>
          <t>NAO_COMPUTADO</t>
        </is>
      </c>
      <c r="AC1473" s="112" t="inlineStr">
        <is>
          <t>Estrutura Fase 1: sem impacto no VTA oficial</t>
        </is>
      </c>
    </row>
    <row r="1474" ht="25.5" customHeight="1" s="289">
      <c r="A1474" s="205" t="n"/>
      <c r="B1474" s="207" t="n"/>
      <c r="C1474" s="104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348" t="n"/>
      <c r="E1474" s="349">
        <f>IF(C1474="","",IFERROR(VLOOKUP(C1474,parametros!$A$11:$E$15,5,0),""))</f>
        <v/>
      </c>
      <c r="F1474" s="335">
        <f>IF(OR(D1474="",E1474=""),"",ROUND(D1474*E1474,2))</f>
        <v/>
      </c>
      <c r="G1474" s="106" t="n"/>
      <c r="H1474" s="350">
        <f>IF(G1474="Sim",IF(OR(F1474="",D1474="",L1474=""),"",IF(L1474="Sim",ROUND(F1474-D1474,2),0)),0)</f>
        <v/>
      </c>
      <c r="I1474" s="350">
        <f>IF(G1474="Sim",0,IF(OR(F1474="",L1474=""),"",F1474))</f>
        <v/>
      </c>
      <c r="J1474" s="350">
        <f>IF(G1474="Sim",0,IF(OR(F1474="",D1474="",L1474=""),"",IF(L1474="Sim",ROUND(F1474-D1474,2),0)))</f>
        <v/>
      </c>
      <c r="K1474" s="97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inlineStr">
        <is>
          <t>Nao</t>
        </is>
      </c>
      <c r="W1474" s="110" t="inlineStr">
        <is>
          <t>PC em analise</t>
        </is>
      </c>
      <c r="X1474" s="110" t="inlineStr">
        <is>
          <t>Pedido de Compra</t>
        </is>
      </c>
      <c r="Y1474" s="111" t="inlineStr">
        <is>
          <t>Impacto Potencial</t>
        </is>
      </c>
      <c r="Z1474" s="111" t="inlineStr">
        <is>
          <t>PC</t>
        </is>
      </c>
      <c r="AA1474" s="111" t="inlineStr">
        <is>
          <t>Nao</t>
        </is>
      </c>
      <c r="AB1474" s="111" t="inlineStr">
        <is>
          <t>NAO_COMPUTADO</t>
        </is>
      </c>
      <c r="AC1474" s="112" t="inlineStr">
        <is>
          <t>Estrutura Fase 1: sem impacto no VTA oficial</t>
        </is>
      </c>
    </row>
    <row r="1475" ht="25.5" customHeight="1" s="289">
      <c r="A1475" s="205" t="n"/>
      <c r="B1475" s="207" t="n"/>
      <c r="C1475" s="104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348" t="n"/>
      <c r="E1475" s="349">
        <f>IF(C1475="","",IFERROR(VLOOKUP(C1475,parametros!$A$11:$E$15,5,0),""))</f>
        <v/>
      </c>
      <c r="F1475" s="335">
        <f>IF(OR(D1475="",E1475=""),"",ROUND(D1475*E1475,2))</f>
        <v/>
      </c>
      <c r="G1475" s="106" t="n"/>
      <c r="H1475" s="350">
        <f>IF(G1475="Sim",IF(OR(F1475="",D1475="",L1475=""),"",IF(L1475="Sim",ROUND(F1475-D1475,2),0)),0)</f>
        <v/>
      </c>
      <c r="I1475" s="350">
        <f>IF(G1475="Sim",0,IF(OR(F1475="",L1475=""),"",F1475))</f>
        <v/>
      </c>
      <c r="J1475" s="350">
        <f>IF(G1475="Sim",0,IF(OR(F1475="",D1475="",L1475=""),"",IF(L1475="Sim",ROUND(F1475-D1475,2),0)))</f>
        <v/>
      </c>
      <c r="K1475" s="97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inlineStr">
        <is>
          <t>Nao</t>
        </is>
      </c>
      <c r="W1475" s="110" t="inlineStr">
        <is>
          <t>PC em analise</t>
        </is>
      </c>
      <c r="X1475" s="110" t="inlineStr">
        <is>
          <t>Pedido de Compra</t>
        </is>
      </c>
      <c r="Y1475" s="111" t="inlineStr">
        <is>
          <t>Impacto Potencial</t>
        </is>
      </c>
      <c r="Z1475" s="111" t="inlineStr">
        <is>
          <t>PC</t>
        </is>
      </c>
      <c r="AA1475" s="111" t="inlineStr">
        <is>
          <t>Nao</t>
        </is>
      </c>
      <c r="AB1475" s="111" t="inlineStr">
        <is>
          <t>NAO_COMPUTADO</t>
        </is>
      </c>
      <c r="AC1475" s="112" t="inlineStr">
        <is>
          <t>Estrutura Fase 1: sem impacto no VTA oficial</t>
        </is>
      </c>
    </row>
    <row r="1476" ht="25.5" customHeight="1" s="289">
      <c r="A1476" s="205" t="n"/>
      <c r="B1476" s="207" t="n"/>
      <c r="C1476" s="104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348" t="n"/>
      <c r="E1476" s="349">
        <f>IF(C1476="","",IFERROR(VLOOKUP(C1476,parametros!$A$11:$E$15,5,0),""))</f>
        <v/>
      </c>
      <c r="F1476" s="335">
        <f>IF(OR(D1476="",E1476=""),"",ROUND(D1476*E1476,2))</f>
        <v/>
      </c>
      <c r="G1476" s="106" t="n"/>
      <c r="H1476" s="350">
        <f>IF(G1476="Sim",IF(OR(F1476="",D1476="",L1476=""),"",IF(L1476="Sim",ROUND(F1476-D1476,2),0)),0)</f>
        <v/>
      </c>
      <c r="I1476" s="350">
        <f>IF(G1476="Sim",0,IF(OR(F1476="",L1476=""),"",F1476))</f>
        <v/>
      </c>
      <c r="J1476" s="350">
        <f>IF(G1476="Sim",0,IF(OR(F1476="",D1476="",L1476=""),"",IF(L1476="Sim",ROUND(F1476-D1476,2),0)))</f>
        <v/>
      </c>
      <c r="K1476" s="97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inlineStr">
        <is>
          <t>Nao</t>
        </is>
      </c>
      <c r="W1476" s="110" t="inlineStr">
        <is>
          <t>PC em analise</t>
        </is>
      </c>
      <c r="X1476" s="110" t="inlineStr">
        <is>
          <t>Pedido de Compra</t>
        </is>
      </c>
      <c r="Y1476" s="111" t="inlineStr">
        <is>
          <t>Impacto Potencial</t>
        </is>
      </c>
      <c r="Z1476" s="111" t="inlineStr">
        <is>
          <t>PC</t>
        </is>
      </c>
      <c r="AA1476" s="111" t="inlineStr">
        <is>
          <t>Nao</t>
        </is>
      </c>
      <c r="AB1476" s="111" t="inlineStr">
        <is>
          <t>NAO_COMPUTADO</t>
        </is>
      </c>
      <c r="AC1476" s="112" t="inlineStr">
        <is>
          <t>Estrutura Fase 1: sem impacto no VTA oficial</t>
        </is>
      </c>
    </row>
    <row r="1477" ht="25.5" customHeight="1" s="289">
      <c r="A1477" s="205" t="n"/>
      <c r="B1477" s="207" t="n"/>
      <c r="C1477" s="104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348" t="n"/>
      <c r="E1477" s="349">
        <f>IF(C1477="","",IFERROR(VLOOKUP(C1477,parametros!$A$11:$E$15,5,0),""))</f>
        <v/>
      </c>
      <c r="F1477" s="335">
        <f>IF(OR(D1477="",E1477=""),"",ROUND(D1477*E1477,2))</f>
        <v/>
      </c>
      <c r="G1477" s="106" t="n"/>
      <c r="H1477" s="350">
        <f>IF(G1477="Sim",IF(OR(F1477="",D1477="",L1477=""),"",IF(L1477="Sim",ROUND(F1477-D1477,2),0)),0)</f>
        <v/>
      </c>
      <c r="I1477" s="350">
        <f>IF(G1477="Sim",0,IF(OR(F1477="",L1477=""),"",F1477))</f>
        <v/>
      </c>
      <c r="J1477" s="350">
        <f>IF(G1477="Sim",0,IF(OR(F1477="",D1477="",L1477=""),"",IF(L1477="Sim",ROUND(F1477-D1477,2),0)))</f>
        <v/>
      </c>
      <c r="K1477" s="97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inlineStr">
        <is>
          <t>Nao</t>
        </is>
      </c>
      <c r="W1477" s="110" t="inlineStr">
        <is>
          <t>PC em analise</t>
        </is>
      </c>
      <c r="X1477" s="110" t="inlineStr">
        <is>
          <t>Pedido de Compra</t>
        </is>
      </c>
      <c r="Y1477" s="111" t="inlineStr">
        <is>
          <t>Impacto Potencial</t>
        </is>
      </c>
      <c r="Z1477" s="111" t="inlineStr">
        <is>
          <t>PC</t>
        </is>
      </c>
      <c r="AA1477" s="111" t="inlineStr">
        <is>
          <t>Nao</t>
        </is>
      </c>
      <c r="AB1477" s="111" t="inlineStr">
        <is>
          <t>NAO_COMPUTADO</t>
        </is>
      </c>
      <c r="AC1477" s="112" t="inlineStr">
        <is>
          <t>Estrutura Fase 1: sem impacto no VTA oficial</t>
        </is>
      </c>
    </row>
    <row r="1478" ht="25.5" customHeight="1" s="289">
      <c r="A1478" s="205" t="n"/>
      <c r="B1478" s="207" t="n"/>
      <c r="C1478" s="104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348" t="n"/>
      <c r="E1478" s="349">
        <f>IF(C1478="","",IFERROR(VLOOKUP(C1478,parametros!$A$11:$E$15,5,0),""))</f>
        <v/>
      </c>
      <c r="F1478" s="335">
        <f>IF(OR(D1478="",E1478=""),"",ROUND(D1478*E1478,2))</f>
        <v/>
      </c>
      <c r="G1478" s="106" t="n"/>
      <c r="H1478" s="350">
        <f>IF(G1478="Sim",IF(OR(F1478="",D1478="",L1478=""),"",IF(L1478="Sim",ROUND(F1478-D1478,2),0)),0)</f>
        <v/>
      </c>
      <c r="I1478" s="350">
        <f>IF(G1478="Sim",0,IF(OR(F1478="",L1478=""),"",F1478))</f>
        <v/>
      </c>
      <c r="J1478" s="350">
        <f>IF(G1478="Sim",0,IF(OR(F1478="",D1478="",L1478=""),"",IF(L1478="Sim",ROUND(F1478-D1478,2),0)))</f>
        <v/>
      </c>
      <c r="K1478" s="97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inlineStr">
        <is>
          <t>Nao</t>
        </is>
      </c>
      <c r="W1478" s="110" t="inlineStr">
        <is>
          <t>PC em analise</t>
        </is>
      </c>
      <c r="X1478" s="110" t="inlineStr">
        <is>
          <t>Pedido de Compra</t>
        </is>
      </c>
      <c r="Y1478" s="111" t="inlineStr">
        <is>
          <t>Impacto Potencial</t>
        </is>
      </c>
      <c r="Z1478" s="111" t="inlineStr">
        <is>
          <t>PC</t>
        </is>
      </c>
      <c r="AA1478" s="111" t="inlineStr">
        <is>
          <t>Nao</t>
        </is>
      </c>
      <c r="AB1478" s="111" t="inlineStr">
        <is>
          <t>NAO_COMPUTADO</t>
        </is>
      </c>
      <c r="AC1478" s="112" t="inlineStr">
        <is>
          <t>Estrutura Fase 1: sem impacto no VTA oficial</t>
        </is>
      </c>
    </row>
    <row r="1479" ht="25.5" customHeight="1" s="289">
      <c r="A1479" s="205" t="n"/>
      <c r="B1479" s="207" t="n"/>
      <c r="C1479" s="104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348" t="n"/>
      <c r="E1479" s="349">
        <f>IF(C1479="","",IFERROR(VLOOKUP(C1479,parametros!$A$11:$E$15,5,0),""))</f>
        <v/>
      </c>
      <c r="F1479" s="335">
        <f>IF(OR(D1479="",E1479=""),"",ROUND(D1479*E1479,2))</f>
        <v/>
      </c>
      <c r="G1479" s="106" t="n"/>
      <c r="H1479" s="350">
        <f>IF(G1479="Sim",IF(OR(F1479="",D1479="",L1479=""),"",IF(L1479="Sim",ROUND(F1479-D1479,2),0)),0)</f>
        <v/>
      </c>
      <c r="I1479" s="350">
        <f>IF(G1479="Sim",0,IF(OR(F1479="",L1479=""),"",F1479))</f>
        <v/>
      </c>
      <c r="J1479" s="350">
        <f>IF(G1479="Sim",0,IF(OR(F1479="",D1479="",L1479=""),"",IF(L1479="Sim",ROUND(F1479-D1479,2),0)))</f>
        <v/>
      </c>
      <c r="K1479" s="97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inlineStr">
        <is>
          <t>Nao</t>
        </is>
      </c>
      <c r="W1479" s="110" t="inlineStr">
        <is>
          <t>PC em analise</t>
        </is>
      </c>
      <c r="X1479" s="110" t="inlineStr">
        <is>
          <t>Pedido de Compra</t>
        </is>
      </c>
      <c r="Y1479" s="111" t="inlineStr">
        <is>
          <t>Impacto Potencial</t>
        </is>
      </c>
      <c r="Z1479" s="111" t="inlineStr">
        <is>
          <t>PC</t>
        </is>
      </c>
      <c r="AA1479" s="111" t="inlineStr">
        <is>
          <t>Nao</t>
        </is>
      </c>
      <c r="AB1479" s="111" t="inlineStr">
        <is>
          <t>NAO_COMPUTADO</t>
        </is>
      </c>
      <c r="AC1479" s="112" t="inlineStr">
        <is>
          <t>Estrutura Fase 1: sem impacto no VTA oficial</t>
        </is>
      </c>
    </row>
    <row r="1480" ht="25.5" customHeight="1" s="289">
      <c r="A1480" s="205" t="n"/>
      <c r="B1480" s="207" t="n"/>
      <c r="C1480" s="104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348" t="n"/>
      <c r="E1480" s="349">
        <f>IF(C1480="","",IFERROR(VLOOKUP(C1480,parametros!$A$11:$E$15,5,0),""))</f>
        <v/>
      </c>
      <c r="F1480" s="335">
        <f>IF(OR(D1480="",E1480=""),"",ROUND(D1480*E1480,2))</f>
        <v/>
      </c>
      <c r="G1480" s="106" t="n"/>
      <c r="H1480" s="350">
        <f>IF(G1480="Sim",IF(OR(F1480="",D1480="",L1480=""),"",IF(L1480="Sim",ROUND(F1480-D1480,2),0)),0)</f>
        <v/>
      </c>
      <c r="I1480" s="350">
        <f>IF(G1480="Sim",0,IF(OR(F1480="",L1480=""),"",F1480))</f>
        <v/>
      </c>
      <c r="J1480" s="350">
        <f>IF(G1480="Sim",0,IF(OR(F1480="",D1480="",L1480=""),"",IF(L1480="Sim",ROUND(F1480-D1480,2),0)))</f>
        <v/>
      </c>
      <c r="K1480" s="97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inlineStr">
        <is>
          <t>Nao</t>
        </is>
      </c>
      <c r="W1480" s="110" t="inlineStr">
        <is>
          <t>PC em analise</t>
        </is>
      </c>
      <c r="X1480" s="110" t="inlineStr">
        <is>
          <t>Pedido de Compra</t>
        </is>
      </c>
      <c r="Y1480" s="111" t="inlineStr">
        <is>
          <t>Impacto Potencial</t>
        </is>
      </c>
      <c r="Z1480" s="111" t="inlineStr">
        <is>
          <t>PC</t>
        </is>
      </c>
      <c r="AA1480" s="111" t="inlineStr">
        <is>
          <t>Nao</t>
        </is>
      </c>
      <c r="AB1480" s="111" t="inlineStr">
        <is>
          <t>NAO_COMPUTADO</t>
        </is>
      </c>
      <c r="AC1480" s="112" t="inlineStr">
        <is>
          <t>Estrutura Fase 1: sem impacto no VTA oficial</t>
        </is>
      </c>
    </row>
    <row r="1481" ht="25.5" customHeight="1" s="289">
      <c r="A1481" s="205" t="n"/>
      <c r="B1481" s="207" t="n"/>
      <c r="C1481" s="104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348" t="n"/>
      <c r="E1481" s="349">
        <f>IF(C1481="","",IFERROR(VLOOKUP(C1481,parametros!$A$11:$E$15,5,0),""))</f>
        <v/>
      </c>
      <c r="F1481" s="335">
        <f>IF(OR(D1481="",E1481=""),"",ROUND(D1481*E1481,2))</f>
        <v/>
      </c>
      <c r="G1481" s="106" t="n"/>
      <c r="H1481" s="350">
        <f>IF(G1481="Sim",IF(OR(F1481="",D1481="",L1481=""),"",IF(L1481="Sim",ROUND(F1481-D1481,2),0)),0)</f>
        <v/>
      </c>
      <c r="I1481" s="350">
        <f>IF(G1481="Sim",0,IF(OR(F1481="",L1481=""),"",F1481))</f>
        <v/>
      </c>
      <c r="J1481" s="350">
        <f>IF(G1481="Sim",0,IF(OR(F1481="",D1481="",L1481=""),"",IF(L1481="Sim",ROUND(F1481-D1481,2),0)))</f>
        <v/>
      </c>
      <c r="K1481" s="97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inlineStr">
        <is>
          <t>Nao</t>
        </is>
      </c>
      <c r="W1481" s="110" t="inlineStr">
        <is>
          <t>PC em analise</t>
        </is>
      </c>
      <c r="X1481" s="110" t="inlineStr">
        <is>
          <t>Pedido de Compra</t>
        </is>
      </c>
      <c r="Y1481" s="111" t="inlineStr">
        <is>
          <t>Impacto Potencial</t>
        </is>
      </c>
      <c r="Z1481" s="111" t="inlineStr">
        <is>
          <t>PC</t>
        </is>
      </c>
      <c r="AA1481" s="111" t="inlineStr">
        <is>
          <t>Nao</t>
        </is>
      </c>
      <c r="AB1481" s="111" t="inlineStr">
        <is>
          <t>NAO_COMPUTADO</t>
        </is>
      </c>
      <c r="AC1481" s="112" t="inlineStr">
        <is>
          <t>Estrutura Fase 1: sem impacto no VTA oficial</t>
        </is>
      </c>
    </row>
    <row r="1482" ht="25.5" customHeight="1" s="289">
      <c r="A1482" s="205" t="n"/>
      <c r="B1482" s="207" t="n"/>
      <c r="C1482" s="104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348" t="n"/>
      <c r="E1482" s="349">
        <f>IF(C1482="","",IFERROR(VLOOKUP(C1482,parametros!$A$11:$E$15,5,0),""))</f>
        <v/>
      </c>
      <c r="F1482" s="335">
        <f>IF(OR(D1482="",E1482=""),"",ROUND(D1482*E1482,2))</f>
        <v/>
      </c>
      <c r="G1482" s="106" t="n"/>
      <c r="H1482" s="350">
        <f>IF(G1482="Sim",IF(OR(F1482="",D1482="",L1482=""),"",IF(L1482="Sim",ROUND(F1482-D1482,2),0)),0)</f>
        <v/>
      </c>
      <c r="I1482" s="350">
        <f>IF(G1482="Sim",0,IF(OR(F1482="",L1482=""),"",F1482))</f>
        <v/>
      </c>
      <c r="J1482" s="350">
        <f>IF(G1482="Sim",0,IF(OR(F1482="",D1482="",L1482=""),"",IF(L1482="Sim",ROUND(F1482-D1482,2),0)))</f>
        <v/>
      </c>
      <c r="K1482" s="97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inlineStr">
        <is>
          <t>Nao</t>
        </is>
      </c>
      <c r="W1482" s="110" t="inlineStr">
        <is>
          <t>PC em analise</t>
        </is>
      </c>
      <c r="X1482" s="110" t="inlineStr">
        <is>
          <t>Pedido de Compra</t>
        </is>
      </c>
      <c r="Y1482" s="111" t="inlineStr">
        <is>
          <t>Impacto Potencial</t>
        </is>
      </c>
      <c r="Z1482" s="111" t="inlineStr">
        <is>
          <t>PC</t>
        </is>
      </c>
      <c r="AA1482" s="111" t="inlineStr">
        <is>
          <t>Nao</t>
        </is>
      </c>
      <c r="AB1482" s="111" t="inlineStr">
        <is>
          <t>NAO_COMPUTADO</t>
        </is>
      </c>
      <c r="AC1482" s="112" t="inlineStr">
        <is>
          <t>Estrutura Fase 1: sem impacto no VTA oficial</t>
        </is>
      </c>
    </row>
    <row r="1483" ht="25.5" customHeight="1" s="289">
      <c r="A1483" s="205" t="n"/>
      <c r="B1483" s="207" t="n"/>
      <c r="C1483" s="104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348" t="n"/>
      <c r="E1483" s="349">
        <f>IF(C1483="","",IFERROR(VLOOKUP(C1483,parametros!$A$11:$E$15,5,0),""))</f>
        <v/>
      </c>
      <c r="F1483" s="335">
        <f>IF(OR(D1483="",E1483=""),"",ROUND(D1483*E1483,2))</f>
        <v/>
      </c>
      <c r="G1483" s="106" t="n"/>
      <c r="H1483" s="350">
        <f>IF(G1483="Sim",IF(OR(F1483="",D1483="",L1483=""),"",IF(L1483="Sim",ROUND(F1483-D1483,2),0)),0)</f>
        <v/>
      </c>
      <c r="I1483" s="350">
        <f>IF(G1483="Sim",0,IF(OR(F1483="",L1483=""),"",F1483))</f>
        <v/>
      </c>
      <c r="J1483" s="350">
        <f>IF(G1483="Sim",0,IF(OR(F1483="",D1483="",L1483=""),"",IF(L1483="Sim",ROUND(F1483-D1483,2),0)))</f>
        <v/>
      </c>
      <c r="K1483" s="97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inlineStr">
        <is>
          <t>Nao</t>
        </is>
      </c>
      <c r="W1483" s="110" t="inlineStr">
        <is>
          <t>PC em analise</t>
        </is>
      </c>
      <c r="X1483" s="110" t="inlineStr">
        <is>
          <t>Pedido de Compra</t>
        </is>
      </c>
      <c r="Y1483" s="111" t="inlineStr">
        <is>
          <t>Impacto Potencial</t>
        </is>
      </c>
      <c r="Z1483" s="111" t="inlineStr">
        <is>
          <t>PC</t>
        </is>
      </c>
      <c r="AA1483" s="111" t="inlineStr">
        <is>
          <t>Nao</t>
        </is>
      </c>
      <c r="AB1483" s="111" t="inlineStr">
        <is>
          <t>NAO_COMPUTADO</t>
        </is>
      </c>
      <c r="AC1483" s="112" t="inlineStr">
        <is>
          <t>Estrutura Fase 1: sem impacto no VTA oficial</t>
        </is>
      </c>
    </row>
    <row r="1484" ht="25.5" customHeight="1" s="289">
      <c r="A1484" s="205" t="n"/>
      <c r="B1484" s="207" t="n"/>
      <c r="C1484" s="104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348" t="n"/>
      <c r="E1484" s="349">
        <f>IF(C1484="","",IFERROR(VLOOKUP(C1484,parametros!$A$11:$E$15,5,0),""))</f>
        <v/>
      </c>
      <c r="F1484" s="335">
        <f>IF(OR(D1484="",E1484=""),"",ROUND(D1484*E1484,2))</f>
        <v/>
      </c>
      <c r="G1484" s="106" t="n"/>
      <c r="H1484" s="350">
        <f>IF(G1484="Sim",IF(OR(F1484="",D1484="",L1484=""),"",IF(L1484="Sim",ROUND(F1484-D1484,2),0)),0)</f>
        <v/>
      </c>
      <c r="I1484" s="350">
        <f>IF(G1484="Sim",0,IF(OR(F1484="",L1484=""),"",F1484))</f>
        <v/>
      </c>
      <c r="J1484" s="350">
        <f>IF(G1484="Sim",0,IF(OR(F1484="",D1484="",L1484=""),"",IF(L1484="Sim",ROUND(F1484-D1484,2),0)))</f>
        <v/>
      </c>
      <c r="K1484" s="97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inlineStr">
        <is>
          <t>Nao</t>
        </is>
      </c>
      <c r="W1484" s="110" t="inlineStr">
        <is>
          <t>PC em analise</t>
        </is>
      </c>
      <c r="X1484" s="110" t="inlineStr">
        <is>
          <t>Pedido de Compra</t>
        </is>
      </c>
      <c r="Y1484" s="111" t="inlineStr">
        <is>
          <t>Impacto Potencial</t>
        </is>
      </c>
      <c r="Z1484" s="111" t="inlineStr">
        <is>
          <t>PC</t>
        </is>
      </c>
      <c r="AA1484" s="111" t="inlineStr">
        <is>
          <t>Nao</t>
        </is>
      </c>
      <c r="AB1484" s="111" t="inlineStr">
        <is>
          <t>NAO_COMPUTADO</t>
        </is>
      </c>
      <c r="AC1484" s="112" t="inlineStr">
        <is>
          <t>Estrutura Fase 1: sem impacto no VTA oficial</t>
        </is>
      </c>
    </row>
    <row r="1485" ht="25.5" customHeight="1" s="289">
      <c r="A1485" s="205" t="n"/>
      <c r="B1485" s="207" t="n"/>
      <c r="C1485" s="104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348" t="n"/>
      <c r="E1485" s="349">
        <f>IF(C1485="","",IFERROR(VLOOKUP(C1485,parametros!$A$11:$E$15,5,0),""))</f>
        <v/>
      </c>
      <c r="F1485" s="335">
        <f>IF(OR(D1485="",E1485=""),"",ROUND(D1485*E1485,2))</f>
        <v/>
      </c>
      <c r="G1485" s="106" t="n"/>
      <c r="H1485" s="350">
        <f>IF(G1485="Sim",IF(OR(F1485="",D1485="",L1485=""),"",IF(L1485="Sim",ROUND(F1485-D1485,2),0)),0)</f>
        <v/>
      </c>
      <c r="I1485" s="350">
        <f>IF(G1485="Sim",0,IF(OR(F1485="",L1485=""),"",F1485))</f>
        <v/>
      </c>
      <c r="J1485" s="350">
        <f>IF(G1485="Sim",0,IF(OR(F1485="",D1485="",L1485=""),"",IF(L1485="Sim",ROUND(F1485-D1485,2),0)))</f>
        <v/>
      </c>
      <c r="K1485" s="97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inlineStr">
        <is>
          <t>Nao</t>
        </is>
      </c>
      <c r="W1485" s="110" t="inlineStr">
        <is>
          <t>PC em analise</t>
        </is>
      </c>
      <c r="X1485" s="110" t="inlineStr">
        <is>
          <t>Pedido de Compra</t>
        </is>
      </c>
      <c r="Y1485" s="111" t="inlineStr">
        <is>
          <t>Impacto Potencial</t>
        </is>
      </c>
      <c r="Z1485" s="111" t="inlineStr">
        <is>
          <t>PC</t>
        </is>
      </c>
      <c r="AA1485" s="111" t="inlineStr">
        <is>
          <t>Nao</t>
        </is>
      </c>
      <c r="AB1485" s="111" t="inlineStr">
        <is>
          <t>NAO_COMPUTADO</t>
        </is>
      </c>
      <c r="AC1485" s="112" t="inlineStr">
        <is>
          <t>Estrutura Fase 1: sem impacto no VTA oficial</t>
        </is>
      </c>
    </row>
    <row r="1486" ht="25.5" customHeight="1" s="289">
      <c r="A1486" s="205" t="n"/>
      <c r="B1486" s="207" t="n"/>
      <c r="C1486" s="104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348" t="n"/>
      <c r="E1486" s="349">
        <f>IF(C1486="","",IFERROR(VLOOKUP(C1486,parametros!$A$11:$E$15,5,0),""))</f>
        <v/>
      </c>
      <c r="F1486" s="335">
        <f>IF(OR(D1486="",E1486=""),"",ROUND(D1486*E1486,2))</f>
        <v/>
      </c>
      <c r="G1486" s="106" t="n"/>
      <c r="H1486" s="350">
        <f>IF(G1486="Sim",IF(OR(F1486="",D1486="",L1486=""),"",IF(L1486="Sim",ROUND(F1486-D1486,2),0)),0)</f>
        <v/>
      </c>
      <c r="I1486" s="350">
        <f>IF(G1486="Sim",0,IF(OR(F1486="",L1486=""),"",F1486))</f>
        <v/>
      </c>
      <c r="J1486" s="350">
        <f>IF(G1486="Sim",0,IF(OR(F1486="",D1486="",L1486=""),"",IF(L1486="Sim",ROUND(F1486-D1486,2),0)))</f>
        <v/>
      </c>
      <c r="K1486" s="97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inlineStr">
        <is>
          <t>Nao</t>
        </is>
      </c>
      <c r="W1486" s="110" t="inlineStr">
        <is>
          <t>PC em analise</t>
        </is>
      </c>
      <c r="X1486" s="110" t="inlineStr">
        <is>
          <t>Pedido de Compra</t>
        </is>
      </c>
      <c r="Y1486" s="111" t="inlineStr">
        <is>
          <t>Impacto Potencial</t>
        </is>
      </c>
      <c r="Z1486" s="111" t="inlineStr">
        <is>
          <t>PC</t>
        </is>
      </c>
      <c r="AA1486" s="111" t="inlineStr">
        <is>
          <t>Nao</t>
        </is>
      </c>
      <c r="AB1486" s="111" t="inlineStr">
        <is>
          <t>NAO_COMPUTADO</t>
        </is>
      </c>
      <c r="AC1486" s="112" t="inlineStr">
        <is>
          <t>Estrutura Fase 1: sem impacto no VTA oficial</t>
        </is>
      </c>
    </row>
    <row r="1487" ht="25.5" customHeight="1" s="289">
      <c r="A1487" s="205" t="n"/>
      <c r="B1487" s="207" t="n"/>
      <c r="C1487" s="104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348" t="n"/>
      <c r="E1487" s="349">
        <f>IF(C1487="","",IFERROR(VLOOKUP(C1487,parametros!$A$11:$E$15,5,0),""))</f>
        <v/>
      </c>
      <c r="F1487" s="335">
        <f>IF(OR(D1487="",E1487=""),"",ROUND(D1487*E1487,2))</f>
        <v/>
      </c>
      <c r="G1487" s="106" t="n"/>
      <c r="H1487" s="350">
        <f>IF(G1487="Sim",IF(OR(F1487="",D1487="",L1487=""),"",IF(L1487="Sim",ROUND(F1487-D1487,2),0)),0)</f>
        <v/>
      </c>
      <c r="I1487" s="350">
        <f>IF(G1487="Sim",0,IF(OR(F1487="",L1487=""),"",F1487))</f>
        <v/>
      </c>
      <c r="J1487" s="350">
        <f>IF(G1487="Sim",0,IF(OR(F1487="",D1487="",L1487=""),"",IF(L1487="Sim",ROUND(F1487-D1487,2),0)))</f>
        <v/>
      </c>
      <c r="K1487" s="97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inlineStr">
        <is>
          <t>Nao</t>
        </is>
      </c>
      <c r="W1487" s="110" t="inlineStr">
        <is>
          <t>PC em analise</t>
        </is>
      </c>
      <c r="X1487" s="110" t="inlineStr">
        <is>
          <t>Pedido de Compra</t>
        </is>
      </c>
      <c r="Y1487" s="111" t="inlineStr">
        <is>
          <t>Impacto Potencial</t>
        </is>
      </c>
      <c r="Z1487" s="111" t="inlineStr">
        <is>
          <t>PC</t>
        </is>
      </c>
      <c r="AA1487" s="111" t="inlineStr">
        <is>
          <t>Nao</t>
        </is>
      </c>
      <c r="AB1487" s="111" t="inlineStr">
        <is>
          <t>NAO_COMPUTADO</t>
        </is>
      </c>
      <c r="AC1487" s="112" t="inlineStr">
        <is>
          <t>Estrutura Fase 1: sem impacto no VTA oficial</t>
        </is>
      </c>
    </row>
    <row r="1488" ht="25.5" customHeight="1" s="289">
      <c r="A1488" s="205" t="n"/>
      <c r="B1488" s="207" t="n"/>
      <c r="C1488" s="104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348" t="n"/>
      <c r="E1488" s="349">
        <f>IF(C1488="","",IFERROR(VLOOKUP(C1488,parametros!$A$11:$E$15,5,0),""))</f>
        <v/>
      </c>
      <c r="F1488" s="335">
        <f>IF(OR(D1488="",E1488=""),"",ROUND(D1488*E1488,2))</f>
        <v/>
      </c>
      <c r="G1488" s="106" t="n"/>
      <c r="H1488" s="350">
        <f>IF(G1488="Sim",IF(OR(F1488="",D1488="",L1488=""),"",IF(L1488="Sim",ROUND(F1488-D1488,2),0)),0)</f>
        <v/>
      </c>
      <c r="I1488" s="350">
        <f>IF(G1488="Sim",0,IF(OR(F1488="",L1488=""),"",F1488))</f>
        <v/>
      </c>
      <c r="J1488" s="350">
        <f>IF(G1488="Sim",0,IF(OR(F1488="",D1488="",L1488=""),"",IF(L1488="Sim",ROUND(F1488-D1488,2),0)))</f>
        <v/>
      </c>
      <c r="K1488" s="97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inlineStr">
        <is>
          <t>Nao</t>
        </is>
      </c>
      <c r="W1488" s="110" t="inlineStr">
        <is>
          <t>PC em analise</t>
        </is>
      </c>
      <c r="X1488" s="110" t="inlineStr">
        <is>
          <t>Pedido de Compra</t>
        </is>
      </c>
      <c r="Y1488" s="111" t="inlineStr">
        <is>
          <t>Impacto Potencial</t>
        </is>
      </c>
      <c r="Z1488" s="111" t="inlineStr">
        <is>
          <t>PC</t>
        </is>
      </c>
      <c r="AA1488" s="111" t="inlineStr">
        <is>
          <t>Nao</t>
        </is>
      </c>
      <c r="AB1488" s="111" t="inlineStr">
        <is>
          <t>NAO_COMPUTADO</t>
        </is>
      </c>
      <c r="AC1488" s="112" t="inlineStr">
        <is>
          <t>Estrutura Fase 1: sem impacto no VTA oficial</t>
        </is>
      </c>
    </row>
    <row r="1489" ht="25.5" customHeight="1" s="289">
      <c r="A1489" s="205" t="n"/>
      <c r="B1489" s="207" t="n"/>
      <c r="C1489" s="104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348" t="n"/>
      <c r="E1489" s="349">
        <f>IF(C1489="","",IFERROR(VLOOKUP(C1489,parametros!$A$11:$E$15,5,0),""))</f>
        <v/>
      </c>
      <c r="F1489" s="335">
        <f>IF(OR(D1489="",E1489=""),"",ROUND(D1489*E1489,2))</f>
        <v/>
      </c>
      <c r="G1489" s="106" t="n"/>
      <c r="H1489" s="350">
        <f>IF(G1489="Sim",IF(OR(F1489="",D1489="",L1489=""),"",IF(L1489="Sim",ROUND(F1489-D1489,2),0)),0)</f>
        <v/>
      </c>
      <c r="I1489" s="350">
        <f>IF(G1489="Sim",0,IF(OR(F1489="",L1489=""),"",F1489))</f>
        <v/>
      </c>
      <c r="J1489" s="350">
        <f>IF(G1489="Sim",0,IF(OR(F1489="",D1489="",L1489=""),"",IF(L1489="Sim",ROUND(F1489-D1489,2),0)))</f>
        <v/>
      </c>
      <c r="K1489" s="97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inlineStr">
        <is>
          <t>Nao</t>
        </is>
      </c>
      <c r="W1489" s="110" t="inlineStr">
        <is>
          <t>PC em analise</t>
        </is>
      </c>
      <c r="X1489" s="110" t="inlineStr">
        <is>
          <t>Pedido de Compra</t>
        </is>
      </c>
      <c r="Y1489" s="111" t="inlineStr">
        <is>
          <t>Impacto Potencial</t>
        </is>
      </c>
      <c r="Z1489" s="111" t="inlineStr">
        <is>
          <t>PC</t>
        </is>
      </c>
      <c r="AA1489" s="111" t="inlineStr">
        <is>
          <t>Nao</t>
        </is>
      </c>
      <c r="AB1489" s="111" t="inlineStr">
        <is>
          <t>NAO_COMPUTADO</t>
        </is>
      </c>
      <c r="AC1489" s="112" t="inlineStr">
        <is>
          <t>Estrutura Fase 1: sem impacto no VTA oficial</t>
        </is>
      </c>
    </row>
    <row r="1490" ht="25.5" customHeight="1" s="289">
      <c r="A1490" s="205" t="n"/>
      <c r="B1490" s="207" t="n"/>
      <c r="C1490" s="104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348" t="n"/>
      <c r="E1490" s="349">
        <f>IF(C1490="","",IFERROR(VLOOKUP(C1490,parametros!$A$11:$E$15,5,0),""))</f>
        <v/>
      </c>
      <c r="F1490" s="335">
        <f>IF(OR(D1490="",E1490=""),"",ROUND(D1490*E1490,2))</f>
        <v/>
      </c>
      <c r="G1490" s="106" t="n"/>
      <c r="H1490" s="350">
        <f>IF(G1490="Sim",IF(OR(F1490="",D1490="",L1490=""),"",IF(L1490="Sim",ROUND(F1490-D1490,2),0)),0)</f>
        <v/>
      </c>
      <c r="I1490" s="350">
        <f>IF(G1490="Sim",0,IF(OR(F1490="",L1490=""),"",F1490))</f>
        <v/>
      </c>
      <c r="J1490" s="350">
        <f>IF(G1490="Sim",0,IF(OR(F1490="",D1490="",L1490=""),"",IF(L1490="Sim",ROUND(F1490-D1490,2),0)))</f>
        <v/>
      </c>
      <c r="K1490" s="97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inlineStr">
        <is>
          <t>Nao</t>
        </is>
      </c>
      <c r="W1490" s="110" t="inlineStr">
        <is>
          <t>PC em analise</t>
        </is>
      </c>
      <c r="X1490" s="110" t="inlineStr">
        <is>
          <t>Pedido de Compra</t>
        </is>
      </c>
      <c r="Y1490" s="111" t="inlineStr">
        <is>
          <t>Impacto Potencial</t>
        </is>
      </c>
      <c r="Z1490" s="111" t="inlineStr">
        <is>
          <t>PC</t>
        </is>
      </c>
      <c r="AA1490" s="111" t="inlineStr">
        <is>
          <t>Nao</t>
        </is>
      </c>
      <c r="AB1490" s="111" t="inlineStr">
        <is>
          <t>NAO_COMPUTADO</t>
        </is>
      </c>
      <c r="AC1490" s="112" t="inlineStr">
        <is>
          <t>Estrutura Fase 1: sem impacto no VTA oficial</t>
        </is>
      </c>
    </row>
    <row r="1491" ht="25.5" customHeight="1" s="289">
      <c r="A1491" s="205" t="n"/>
      <c r="B1491" s="207" t="n"/>
      <c r="C1491" s="104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348" t="n"/>
      <c r="E1491" s="349">
        <f>IF(C1491="","",IFERROR(VLOOKUP(C1491,parametros!$A$11:$E$15,5,0),""))</f>
        <v/>
      </c>
      <c r="F1491" s="335">
        <f>IF(OR(D1491="",E1491=""),"",ROUND(D1491*E1491,2))</f>
        <v/>
      </c>
      <c r="G1491" s="106" t="n"/>
      <c r="H1491" s="350">
        <f>IF(G1491="Sim",IF(OR(F1491="",D1491="",L1491=""),"",IF(L1491="Sim",ROUND(F1491-D1491,2),0)),0)</f>
        <v/>
      </c>
      <c r="I1491" s="350">
        <f>IF(G1491="Sim",0,IF(OR(F1491="",L1491=""),"",F1491))</f>
        <v/>
      </c>
      <c r="J1491" s="350">
        <f>IF(G1491="Sim",0,IF(OR(F1491="",D1491="",L1491=""),"",IF(L1491="Sim",ROUND(F1491-D1491,2),0)))</f>
        <v/>
      </c>
      <c r="K1491" s="97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inlineStr">
        <is>
          <t>Nao</t>
        </is>
      </c>
      <c r="W1491" s="110" t="inlineStr">
        <is>
          <t>PC em analise</t>
        </is>
      </c>
      <c r="X1491" s="110" t="inlineStr">
        <is>
          <t>Pedido de Compra</t>
        </is>
      </c>
      <c r="Y1491" s="111" t="inlineStr">
        <is>
          <t>Impacto Potencial</t>
        </is>
      </c>
      <c r="Z1491" s="111" t="inlineStr">
        <is>
          <t>PC</t>
        </is>
      </c>
      <c r="AA1491" s="111" t="inlineStr">
        <is>
          <t>Nao</t>
        </is>
      </c>
      <c r="AB1491" s="111" t="inlineStr">
        <is>
          <t>NAO_COMPUTADO</t>
        </is>
      </c>
      <c r="AC1491" s="112" t="inlineStr">
        <is>
          <t>Estrutura Fase 1: sem impacto no VTA oficial</t>
        </is>
      </c>
    </row>
    <row r="1492" ht="25.5" customHeight="1" s="289">
      <c r="A1492" s="205" t="n"/>
      <c r="B1492" s="207" t="n"/>
      <c r="C1492" s="104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348" t="n"/>
      <c r="E1492" s="349">
        <f>IF(C1492="","",IFERROR(VLOOKUP(C1492,parametros!$A$11:$E$15,5,0),""))</f>
        <v/>
      </c>
      <c r="F1492" s="335">
        <f>IF(OR(D1492="",E1492=""),"",ROUND(D1492*E1492,2))</f>
        <v/>
      </c>
      <c r="G1492" s="106" t="n"/>
      <c r="H1492" s="350">
        <f>IF(G1492="Sim",IF(OR(F1492="",D1492="",L1492=""),"",IF(L1492="Sim",ROUND(F1492-D1492,2),0)),0)</f>
        <v/>
      </c>
      <c r="I1492" s="350">
        <f>IF(G1492="Sim",0,IF(OR(F1492="",L1492=""),"",F1492))</f>
        <v/>
      </c>
      <c r="J1492" s="350">
        <f>IF(G1492="Sim",0,IF(OR(F1492="",D1492="",L1492=""),"",IF(L1492="Sim",ROUND(F1492-D1492,2),0)))</f>
        <v/>
      </c>
      <c r="K1492" s="97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inlineStr">
        <is>
          <t>Nao</t>
        </is>
      </c>
      <c r="W1492" s="110" t="inlineStr">
        <is>
          <t>PC em analise</t>
        </is>
      </c>
      <c r="X1492" s="110" t="inlineStr">
        <is>
          <t>Pedido de Compra</t>
        </is>
      </c>
      <c r="Y1492" s="111" t="inlineStr">
        <is>
          <t>Impacto Potencial</t>
        </is>
      </c>
      <c r="Z1492" s="111" t="inlineStr">
        <is>
          <t>PC</t>
        </is>
      </c>
      <c r="AA1492" s="111" t="inlineStr">
        <is>
          <t>Nao</t>
        </is>
      </c>
      <c r="AB1492" s="111" t="inlineStr">
        <is>
          <t>NAO_COMPUTADO</t>
        </is>
      </c>
      <c r="AC1492" s="112" t="inlineStr">
        <is>
          <t>Estrutura Fase 1: sem impacto no VTA oficial</t>
        </is>
      </c>
    </row>
    <row r="1493" ht="25.5" customHeight="1" s="289">
      <c r="A1493" s="205" t="n"/>
      <c r="B1493" s="207" t="n"/>
      <c r="C1493" s="104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348" t="n"/>
      <c r="E1493" s="349">
        <f>IF(C1493="","",IFERROR(VLOOKUP(C1493,parametros!$A$11:$E$15,5,0),""))</f>
        <v/>
      </c>
      <c r="F1493" s="335">
        <f>IF(OR(D1493="",E1493=""),"",ROUND(D1493*E1493,2))</f>
        <v/>
      </c>
      <c r="G1493" s="106" t="n"/>
      <c r="H1493" s="350">
        <f>IF(G1493="Sim",IF(OR(F1493="",D1493="",L1493=""),"",IF(L1493="Sim",ROUND(F1493-D1493,2),0)),0)</f>
        <v/>
      </c>
      <c r="I1493" s="350">
        <f>IF(G1493="Sim",0,IF(OR(F1493="",L1493=""),"",F1493))</f>
        <v/>
      </c>
      <c r="J1493" s="350">
        <f>IF(G1493="Sim",0,IF(OR(F1493="",D1493="",L1493=""),"",IF(L1493="Sim",ROUND(F1493-D1493,2),0)))</f>
        <v/>
      </c>
      <c r="K1493" s="97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inlineStr">
        <is>
          <t>Nao</t>
        </is>
      </c>
      <c r="W1493" s="110" t="inlineStr">
        <is>
          <t>PC em analise</t>
        </is>
      </c>
      <c r="X1493" s="110" t="inlineStr">
        <is>
          <t>Pedido de Compra</t>
        </is>
      </c>
      <c r="Y1493" s="111" t="inlineStr">
        <is>
          <t>Impacto Potencial</t>
        </is>
      </c>
      <c r="Z1493" s="111" t="inlineStr">
        <is>
          <t>PC</t>
        </is>
      </c>
      <c r="AA1493" s="111" t="inlineStr">
        <is>
          <t>Nao</t>
        </is>
      </c>
      <c r="AB1493" s="111" t="inlineStr">
        <is>
          <t>NAO_COMPUTADO</t>
        </is>
      </c>
      <c r="AC1493" s="112" t="inlineStr">
        <is>
          <t>Estrutura Fase 1: sem impacto no VTA oficial</t>
        </is>
      </c>
    </row>
    <row r="1494" ht="25.5" customHeight="1" s="289">
      <c r="A1494" s="205" t="n"/>
      <c r="B1494" s="207" t="n"/>
      <c r="C1494" s="104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348" t="n"/>
      <c r="E1494" s="349">
        <f>IF(C1494="","",IFERROR(VLOOKUP(C1494,parametros!$A$11:$E$15,5,0),""))</f>
        <v/>
      </c>
      <c r="F1494" s="335">
        <f>IF(OR(D1494="",E1494=""),"",ROUND(D1494*E1494,2))</f>
        <v/>
      </c>
      <c r="G1494" s="106" t="n"/>
      <c r="H1494" s="350">
        <f>IF(G1494="Sim",IF(OR(F1494="",D1494="",L1494=""),"",IF(L1494="Sim",ROUND(F1494-D1494,2),0)),0)</f>
        <v/>
      </c>
      <c r="I1494" s="350">
        <f>IF(G1494="Sim",0,IF(OR(F1494="",L1494=""),"",F1494))</f>
        <v/>
      </c>
      <c r="J1494" s="350">
        <f>IF(G1494="Sim",0,IF(OR(F1494="",D1494="",L1494=""),"",IF(L1494="Sim",ROUND(F1494-D1494,2),0)))</f>
        <v/>
      </c>
      <c r="K1494" s="97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inlineStr">
        <is>
          <t>Nao</t>
        </is>
      </c>
      <c r="W1494" s="110" t="inlineStr">
        <is>
          <t>PC em analise</t>
        </is>
      </c>
      <c r="X1494" s="110" t="inlineStr">
        <is>
          <t>Pedido de Compra</t>
        </is>
      </c>
      <c r="Y1494" s="111" t="inlineStr">
        <is>
          <t>Impacto Potencial</t>
        </is>
      </c>
      <c r="Z1494" s="111" t="inlineStr">
        <is>
          <t>PC</t>
        </is>
      </c>
      <c r="AA1494" s="111" t="inlineStr">
        <is>
          <t>Nao</t>
        </is>
      </c>
      <c r="AB1494" s="111" t="inlineStr">
        <is>
          <t>NAO_COMPUTADO</t>
        </is>
      </c>
      <c r="AC1494" s="112" t="inlineStr">
        <is>
          <t>Estrutura Fase 1: sem impacto no VTA oficial</t>
        </is>
      </c>
    </row>
    <row r="1495" ht="25.5" customHeight="1" s="289">
      <c r="A1495" s="205" t="n"/>
      <c r="B1495" s="207" t="n"/>
      <c r="C1495" s="104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348" t="n"/>
      <c r="E1495" s="349">
        <f>IF(C1495="","",IFERROR(VLOOKUP(C1495,parametros!$A$11:$E$15,5,0),""))</f>
        <v/>
      </c>
      <c r="F1495" s="335">
        <f>IF(OR(D1495="",E1495=""),"",ROUND(D1495*E1495,2))</f>
        <v/>
      </c>
      <c r="G1495" s="106" t="n"/>
      <c r="H1495" s="350">
        <f>IF(G1495="Sim",IF(OR(F1495="",D1495="",L1495=""),"",IF(L1495="Sim",ROUND(F1495-D1495,2),0)),0)</f>
        <v/>
      </c>
      <c r="I1495" s="350">
        <f>IF(G1495="Sim",0,IF(OR(F1495="",L1495=""),"",F1495))</f>
        <v/>
      </c>
      <c r="J1495" s="350">
        <f>IF(G1495="Sim",0,IF(OR(F1495="",D1495="",L1495=""),"",IF(L1495="Sim",ROUND(F1495-D1495,2),0)))</f>
        <v/>
      </c>
      <c r="K1495" s="97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inlineStr">
        <is>
          <t>Nao</t>
        </is>
      </c>
      <c r="W1495" s="110" t="inlineStr">
        <is>
          <t>PC em analise</t>
        </is>
      </c>
      <c r="X1495" s="110" t="inlineStr">
        <is>
          <t>Pedido de Compra</t>
        </is>
      </c>
      <c r="Y1495" s="111" t="inlineStr">
        <is>
          <t>Impacto Potencial</t>
        </is>
      </c>
      <c r="Z1495" s="111" t="inlineStr">
        <is>
          <t>PC</t>
        </is>
      </c>
      <c r="AA1495" s="111" t="inlineStr">
        <is>
          <t>Nao</t>
        </is>
      </c>
      <c r="AB1495" s="111" t="inlineStr">
        <is>
          <t>NAO_COMPUTADO</t>
        </is>
      </c>
      <c r="AC1495" s="112" t="inlineStr">
        <is>
          <t>Estrutura Fase 1: sem impacto no VTA oficial</t>
        </is>
      </c>
    </row>
    <row r="1496" ht="25.5" customHeight="1" s="289">
      <c r="A1496" s="205" t="n"/>
      <c r="B1496" s="207" t="n"/>
      <c r="C1496" s="104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348" t="n"/>
      <c r="E1496" s="349">
        <f>IF(C1496="","",IFERROR(VLOOKUP(C1496,parametros!$A$11:$E$15,5,0),""))</f>
        <v/>
      </c>
      <c r="F1496" s="335">
        <f>IF(OR(D1496="",E1496=""),"",ROUND(D1496*E1496,2))</f>
        <v/>
      </c>
      <c r="G1496" s="106" t="n"/>
      <c r="H1496" s="350">
        <f>IF(G1496="Sim",IF(OR(F1496="",D1496="",L1496=""),"",IF(L1496="Sim",ROUND(F1496-D1496,2),0)),0)</f>
        <v/>
      </c>
      <c r="I1496" s="350">
        <f>IF(G1496="Sim",0,IF(OR(F1496="",L1496=""),"",F1496))</f>
        <v/>
      </c>
      <c r="J1496" s="350">
        <f>IF(G1496="Sim",0,IF(OR(F1496="",D1496="",L1496=""),"",IF(L1496="Sim",ROUND(F1496-D1496,2),0)))</f>
        <v/>
      </c>
      <c r="K1496" s="97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inlineStr">
        <is>
          <t>Nao</t>
        </is>
      </c>
      <c r="W1496" s="110" t="inlineStr">
        <is>
          <t>PC em analise</t>
        </is>
      </c>
      <c r="X1496" s="110" t="inlineStr">
        <is>
          <t>Pedido de Compra</t>
        </is>
      </c>
      <c r="Y1496" s="111" t="inlineStr">
        <is>
          <t>Impacto Potencial</t>
        </is>
      </c>
      <c r="Z1496" s="111" t="inlineStr">
        <is>
          <t>PC</t>
        </is>
      </c>
      <c r="AA1496" s="111" t="inlineStr">
        <is>
          <t>Nao</t>
        </is>
      </c>
      <c r="AB1496" s="111" t="inlineStr">
        <is>
          <t>NAO_COMPUTADO</t>
        </is>
      </c>
      <c r="AC1496" s="112" t="inlineStr">
        <is>
          <t>Estrutura Fase 1: sem impacto no VTA oficial</t>
        </is>
      </c>
    </row>
    <row r="1497" ht="25.5" customHeight="1" s="289">
      <c r="A1497" s="205" t="n"/>
      <c r="B1497" s="207" t="n"/>
      <c r="C1497" s="104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348" t="n"/>
      <c r="E1497" s="349">
        <f>IF(C1497="","",IFERROR(VLOOKUP(C1497,parametros!$A$11:$E$15,5,0),""))</f>
        <v/>
      </c>
      <c r="F1497" s="335">
        <f>IF(OR(D1497="",E1497=""),"",ROUND(D1497*E1497,2))</f>
        <v/>
      </c>
      <c r="G1497" s="106" t="n"/>
      <c r="H1497" s="350">
        <f>IF(G1497="Sim",IF(OR(F1497="",D1497="",L1497=""),"",IF(L1497="Sim",ROUND(F1497-D1497,2),0)),0)</f>
        <v/>
      </c>
      <c r="I1497" s="350">
        <f>IF(G1497="Sim",0,IF(OR(F1497="",L1497=""),"",F1497))</f>
        <v/>
      </c>
      <c r="J1497" s="350">
        <f>IF(G1497="Sim",0,IF(OR(F1497="",D1497="",L1497=""),"",IF(L1497="Sim",ROUND(F1497-D1497,2),0)))</f>
        <v/>
      </c>
      <c r="K1497" s="97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inlineStr">
        <is>
          <t>Nao</t>
        </is>
      </c>
      <c r="W1497" s="110" t="inlineStr">
        <is>
          <t>PC em analise</t>
        </is>
      </c>
      <c r="X1497" s="110" t="inlineStr">
        <is>
          <t>Pedido de Compra</t>
        </is>
      </c>
      <c r="Y1497" s="111" t="inlineStr">
        <is>
          <t>Impacto Potencial</t>
        </is>
      </c>
      <c r="Z1497" s="111" t="inlineStr">
        <is>
          <t>PC</t>
        </is>
      </c>
      <c r="AA1497" s="111" t="inlineStr">
        <is>
          <t>Nao</t>
        </is>
      </c>
      <c r="AB1497" s="111" t="inlineStr">
        <is>
          <t>NAO_COMPUTADO</t>
        </is>
      </c>
      <c r="AC1497" s="112" t="inlineStr">
        <is>
          <t>Estrutura Fase 1: sem impacto no VTA oficial</t>
        </is>
      </c>
    </row>
    <row r="1498" ht="25.5" customHeight="1" s="289">
      <c r="A1498" s="205" t="n"/>
      <c r="B1498" s="207" t="n"/>
      <c r="C1498" s="104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348" t="n"/>
      <c r="E1498" s="349">
        <f>IF(C1498="","",IFERROR(VLOOKUP(C1498,parametros!$A$11:$E$15,5,0),""))</f>
        <v/>
      </c>
      <c r="F1498" s="335">
        <f>IF(OR(D1498="",E1498=""),"",ROUND(D1498*E1498,2))</f>
        <v/>
      </c>
      <c r="G1498" s="106" t="n"/>
      <c r="H1498" s="350">
        <f>IF(G1498="Sim",IF(OR(F1498="",D1498="",L1498=""),"",IF(L1498="Sim",ROUND(F1498-D1498,2),0)),0)</f>
        <v/>
      </c>
      <c r="I1498" s="350">
        <f>IF(G1498="Sim",0,IF(OR(F1498="",L1498=""),"",F1498))</f>
        <v/>
      </c>
      <c r="J1498" s="350">
        <f>IF(G1498="Sim",0,IF(OR(F1498="",D1498="",L1498=""),"",IF(L1498="Sim",ROUND(F1498-D1498,2),0)))</f>
        <v/>
      </c>
      <c r="K1498" s="97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inlineStr">
        <is>
          <t>Nao</t>
        </is>
      </c>
      <c r="W1498" s="110" t="inlineStr">
        <is>
          <t>PC em analise</t>
        </is>
      </c>
      <c r="X1498" s="110" t="inlineStr">
        <is>
          <t>Pedido de Compra</t>
        </is>
      </c>
      <c r="Y1498" s="111" t="inlineStr">
        <is>
          <t>Impacto Potencial</t>
        </is>
      </c>
      <c r="Z1498" s="111" t="inlineStr">
        <is>
          <t>PC</t>
        </is>
      </c>
      <c r="AA1498" s="111" t="inlineStr">
        <is>
          <t>Nao</t>
        </is>
      </c>
      <c r="AB1498" s="111" t="inlineStr">
        <is>
          <t>NAO_COMPUTADO</t>
        </is>
      </c>
      <c r="AC1498" s="112" t="inlineStr">
        <is>
          <t>Estrutura Fase 1: sem impacto no VTA oficial</t>
        </is>
      </c>
    </row>
    <row r="1499" ht="25.5" customHeight="1" s="289">
      <c r="A1499" s="205" t="n"/>
      <c r="B1499" s="207" t="n"/>
      <c r="C1499" s="104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348" t="n"/>
      <c r="E1499" s="349">
        <f>IF(C1499="","",IFERROR(VLOOKUP(C1499,parametros!$A$11:$E$15,5,0),""))</f>
        <v/>
      </c>
      <c r="F1499" s="335">
        <f>IF(OR(D1499="",E1499=""),"",ROUND(D1499*E1499,2))</f>
        <v/>
      </c>
      <c r="G1499" s="106" t="n"/>
      <c r="H1499" s="350">
        <f>IF(G1499="Sim",IF(OR(F1499="",D1499="",L1499=""),"",IF(L1499="Sim",ROUND(F1499-D1499,2),0)),0)</f>
        <v/>
      </c>
      <c r="I1499" s="350">
        <f>IF(G1499="Sim",0,IF(OR(F1499="",L1499=""),"",F1499))</f>
        <v/>
      </c>
      <c r="J1499" s="350">
        <f>IF(G1499="Sim",0,IF(OR(F1499="",D1499="",L1499=""),"",IF(L1499="Sim",ROUND(F1499-D1499,2),0)))</f>
        <v/>
      </c>
      <c r="K1499" s="97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inlineStr">
        <is>
          <t>Nao</t>
        </is>
      </c>
      <c r="W1499" s="110" t="inlineStr">
        <is>
          <t>PC em analise</t>
        </is>
      </c>
      <c r="X1499" s="110" t="inlineStr">
        <is>
          <t>Pedido de Compra</t>
        </is>
      </c>
      <c r="Y1499" s="111" t="inlineStr">
        <is>
          <t>Impacto Potencial</t>
        </is>
      </c>
      <c r="Z1499" s="111" t="inlineStr">
        <is>
          <t>PC</t>
        </is>
      </c>
      <c r="AA1499" s="111" t="inlineStr">
        <is>
          <t>Nao</t>
        </is>
      </c>
      <c r="AB1499" s="111" t="inlineStr">
        <is>
          <t>NAO_COMPUTADO</t>
        </is>
      </c>
      <c r="AC1499" s="112" t="inlineStr">
        <is>
          <t>Estrutura Fase 1: sem impacto no VTA oficial</t>
        </is>
      </c>
    </row>
    <row r="1500" ht="25.5" customHeight="1" s="289">
      <c r="A1500" s="205" t="n"/>
      <c r="B1500" s="207" t="n"/>
      <c r="C1500" s="104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348" t="n"/>
      <c r="E1500" s="349">
        <f>IF(C1500="","",IFERROR(VLOOKUP(C1500,parametros!$A$11:$E$15,5,0),""))</f>
        <v/>
      </c>
      <c r="F1500" s="335">
        <f>IF(OR(D1500="",E1500=""),"",ROUND(D1500*E1500,2))</f>
        <v/>
      </c>
      <c r="G1500" s="106" t="n"/>
      <c r="H1500" s="350">
        <f>IF(G1500="Sim",IF(OR(F1500="",D1500="",L1500=""),"",IF(L1500="Sim",ROUND(F1500-D1500,2),0)),0)</f>
        <v/>
      </c>
      <c r="I1500" s="350">
        <f>IF(G1500="Sim",0,IF(OR(F1500="",L1500=""),"",F1500))</f>
        <v/>
      </c>
      <c r="J1500" s="350">
        <f>IF(G1500="Sim",0,IF(OR(F1500="",D1500="",L1500=""),"",IF(L1500="Sim",ROUND(F1500-D1500,2),0)))</f>
        <v/>
      </c>
      <c r="K1500" s="97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inlineStr">
        <is>
          <t>Nao</t>
        </is>
      </c>
      <c r="W1500" s="110" t="inlineStr">
        <is>
          <t>PC em analise</t>
        </is>
      </c>
      <c r="X1500" s="110" t="inlineStr">
        <is>
          <t>Pedido de Compra</t>
        </is>
      </c>
      <c r="Y1500" s="111" t="inlineStr">
        <is>
          <t>Impacto Potencial</t>
        </is>
      </c>
      <c r="Z1500" s="111" t="inlineStr">
        <is>
          <t>PC</t>
        </is>
      </c>
      <c r="AA1500" s="111" t="inlineStr">
        <is>
          <t>Nao</t>
        </is>
      </c>
      <c r="AB1500" s="111" t="inlineStr">
        <is>
          <t>NAO_COMPUTADO</t>
        </is>
      </c>
      <c r="AC1500" s="112" t="inlineStr">
        <is>
          <t>Estrutura Fase 1: sem impacto no VTA oficial</t>
        </is>
      </c>
    </row>
    <row r="1501" ht="25.5" customHeight="1" s="289">
      <c r="A1501" s="205" t="n"/>
      <c r="B1501" s="207" t="n"/>
      <c r="C1501" s="104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348" t="n"/>
      <c r="E1501" s="349">
        <f>IF(C1501="","",IFERROR(VLOOKUP(C1501,parametros!$A$11:$E$15,5,0),""))</f>
        <v/>
      </c>
      <c r="F1501" s="335">
        <f>IF(OR(D1501="",E1501=""),"",ROUND(D1501*E1501,2))</f>
        <v/>
      </c>
      <c r="G1501" s="106" t="n"/>
      <c r="H1501" s="350">
        <f>IF(G1501="Sim",IF(OR(F1501="",D1501="",L1501=""),"",IF(L1501="Sim",ROUND(F1501-D1501,2),0)),0)</f>
        <v/>
      </c>
      <c r="I1501" s="350">
        <f>IF(G1501="Sim",0,IF(OR(F1501="",L1501=""),"",F1501))</f>
        <v/>
      </c>
      <c r="J1501" s="350">
        <f>IF(G1501="Sim",0,IF(OR(F1501="",D1501="",L1501=""),"",IF(L1501="Sim",ROUND(F1501-D1501,2),0)))</f>
        <v/>
      </c>
      <c r="K1501" s="97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inlineStr">
        <is>
          <t>Nao</t>
        </is>
      </c>
      <c r="W1501" s="110" t="inlineStr">
        <is>
          <t>PC em analise</t>
        </is>
      </c>
      <c r="X1501" s="110" t="inlineStr">
        <is>
          <t>Pedido de Compra</t>
        </is>
      </c>
      <c r="Y1501" s="111" t="inlineStr">
        <is>
          <t>Impacto Potencial</t>
        </is>
      </c>
      <c r="Z1501" s="111" t="inlineStr">
        <is>
          <t>PC</t>
        </is>
      </c>
      <c r="AA1501" s="111" t="inlineStr">
        <is>
          <t>Nao</t>
        </is>
      </c>
      <c r="AB1501" s="111" t="inlineStr">
        <is>
          <t>NAO_COMPUTADO</t>
        </is>
      </c>
      <c r="AC1501" s="112" t="inlineStr">
        <is>
          <t>Estrutura Fase 1: sem impacto no VTA oficial</t>
        </is>
      </c>
    </row>
    <row r="1502" ht="25.5" customHeight="1" s="289">
      <c r="A1502" s="205" t="n"/>
      <c r="B1502" s="207" t="n"/>
      <c r="C1502" s="104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348" t="n"/>
      <c r="E1502" s="349">
        <f>IF(C1502="","",IFERROR(VLOOKUP(C1502,parametros!$A$11:$E$15,5,0),""))</f>
        <v/>
      </c>
      <c r="F1502" s="335">
        <f>IF(OR(D1502="",E1502=""),"",ROUND(D1502*E1502,2))</f>
        <v/>
      </c>
      <c r="G1502" s="106" t="n"/>
      <c r="H1502" s="350">
        <f>IF(G1502="Sim",IF(OR(F1502="",D1502="",L1502=""),"",IF(L1502="Sim",ROUND(F1502-D1502,2),0)),0)</f>
        <v/>
      </c>
      <c r="I1502" s="350">
        <f>IF(G1502="Sim",0,IF(OR(F1502="",L1502=""),"",F1502))</f>
        <v/>
      </c>
      <c r="J1502" s="350">
        <f>IF(G1502="Sim",0,IF(OR(F1502="",D1502="",L1502=""),"",IF(L1502="Sim",ROUND(F1502-D1502,2),0)))</f>
        <v/>
      </c>
      <c r="K1502" s="97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inlineStr">
        <is>
          <t>Nao</t>
        </is>
      </c>
      <c r="W1502" s="110" t="inlineStr">
        <is>
          <t>PC em analise</t>
        </is>
      </c>
      <c r="X1502" s="110" t="inlineStr">
        <is>
          <t>Pedido de Compra</t>
        </is>
      </c>
      <c r="Y1502" s="111" t="inlineStr">
        <is>
          <t>Impacto Potencial</t>
        </is>
      </c>
      <c r="Z1502" s="111" t="inlineStr">
        <is>
          <t>PC</t>
        </is>
      </c>
      <c r="AA1502" s="111" t="inlineStr">
        <is>
          <t>Nao</t>
        </is>
      </c>
      <c r="AB1502" s="111" t="inlineStr">
        <is>
          <t>NAO_COMPUTADO</t>
        </is>
      </c>
      <c r="AC1502" s="112" t="inlineStr">
        <is>
          <t>Estrutura Fase 1: sem impacto no VTA oficial</t>
        </is>
      </c>
    </row>
    <row r="1503" ht="25.5" customHeight="1" s="289">
      <c r="A1503" s="205" t="n"/>
      <c r="B1503" s="207" t="n"/>
      <c r="C1503" s="104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348" t="n"/>
      <c r="E1503" s="349">
        <f>IF(C1503="","",IFERROR(VLOOKUP(C1503,parametros!$A$11:$E$15,5,0),""))</f>
        <v/>
      </c>
      <c r="F1503" s="335">
        <f>IF(OR(D1503="",E1503=""),"",ROUND(D1503*E1503,2))</f>
        <v/>
      </c>
      <c r="G1503" s="106" t="n"/>
      <c r="H1503" s="350">
        <f>IF(G1503="Sim",IF(OR(F1503="",D1503="",L1503=""),"",IF(L1503="Sim",ROUND(F1503-D1503,2),0)),0)</f>
        <v/>
      </c>
      <c r="I1503" s="350">
        <f>IF(G1503="Sim",0,IF(OR(F1503="",L1503=""),"",F1503))</f>
        <v/>
      </c>
      <c r="J1503" s="350">
        <f>IF(G1503="Sim",0,IF(OR(F1503="",D1503="",L1503=""),"",IF(L1503="Sim",ROUND(F1503-D1503,2),0)))</f>
        <v/>
      </c>
      <c r="K1503" s="97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inlineStr">
        <is>
          <t>Nao</t>
        </is>
      </c>
      <c r="W1503" s="110" t="inlineStr">
        <is>
          <t>PC em analise</t>
        </is>
      </c>
      <c r="X1503" s="110" t="inlineStr">
        <is>
          <t>Pedido de Compra</t>
        </is>
      </c>
      <c r="Y1503" s="111" t="inlineStr">
        <is>
          <t>Impacto Potencial</t>
        </is>
      </c>
      <c r="Z1503" s="111" t="inlineStr">
        <is>
          <t>PC</t>
        </is>
      </c>
      <c r="AA1503" s="111" t="inlineStr">
        <is>
          <t>Nao</t>
        </is>
      </c>
      <c r="AB1503" s="111" t="inlineStr">
        <is>
          <t>NAO_COMPUTADO</t>
        </is>
      </c>
      <c r="AC1503" s="112" t="inlineStr">
        <is>
          <t>Estrutura Fase 1: sem impacto no VTA oficial</t>
        </is>
      </c>
    </row>
    <row r="1504" ht="25.5" customHeight="1" s="289">
      <c r="A1504" s="205" t="n"/>
      <c r="B1504" s="207" t="n"/>
      <c r="C1504" s="104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348" t="n"/>
      <c r="E1504" s="349">
        <f>IF(C1504="","",IFERROR(VLOOKUP(C1504,parametros!$A$11:$E$15,5,0),""))</f>
        <v/>
      </c>
      <c r="F1504" s="335">
        <f>IF(OR(D1504="",E1504=""),"",ROUND(D1504*E1504,2))</f>
        <v/>
      </c>
      <c r="G1504" s="106" t="n"/>
      <c r="H1504" s="350">
        <f>IF(G1504="Sim",IF(OR(F1504="",D1504="",L1504=""),"",IF(L1504="Sim",ROUND(F1504-D1504,2),0)),0)</f>
        <v/>
      </c>
      <c r="I1504" s="350">
        <f>IF(G1504="Sim",0,IF(OR(F1504="",L1504=""),"",F1504))</f>
        <v/>
      </c>
      <c r="J1504" s="350">
        <f>IF(G1504="Sim",0,IF(OR(F1504="",D1504="",L1504=""),"",IF(L1504="Sim",ROUND(F1504-D1504,2),0)))</f>
        <v/>
      </c>
      <c r="K1504" s="97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inlineStr">
        <is>
          <t>Nao</t>
        </is>
      </c>
      <c r="W1504" s="110" t="inlineStr">
        <is>
          <t>PC em analise</t>
        </is>
      </c>
      <c r="X1504" s="110" t="inlineStr">
        <is>
          <t>Pedido de Compra</t>
        </is>
      </c>
      <c r="Y1504" s="111" t="inlineStr">
        <is>
          <t>Impacto Potencial</t>
        </is>
      </c>
      <c r="Z1504" s="111" t="inlineStr">
        <is>
          <t>PC</t>
        </is>
      </c>
      <c r="AA1504" s="111" t="inlineStr">
        <is>
          <t>Nao</t>
        </is>
      </c>
      <c r="AB1504" s="111" t="inlineStr">
        <is>
          <t>NAO_COMPUTADO</t>
        </is>
      </c>
      <c r="AC1504" s="112" t="inlineStr">
        <is>
          <t>Estrutura Fase 1: sem impacto no VTA oficial</t>
        </is>
      </c>
    </row>
    <row r="1505" ht="25.5" customHeight="1" s="289">
      <c r="A1505" s="205" t="n"/>
      <c r="B1505" s="207" t="n"/>
      <c r="C1505" s="104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348" t="n"/>
      <c r="E1505" s="349">
        <f>IF(C1505="","",IFERROR(VLOOKUP(C1505,parametros!$A$11:$E$15,5,0),""))</f>
        <v/>
      </c>
      <c r="F1505" s="335">
        <f>IF(OR(D1505="",E1505=""),"",ROUND(D1505*E1505,2))</f>
        <v/>
      </c>
      <c r="G1505" s="106" t="n"/>
      <c r="H1505" s="350">
        <f>IF(G1505="Sim",IF(OR(F1505="",D1505="",L1505=""),"",IF(L1505="Sim",ROUND(F1505-D1505,2),0)),0)</f>
        <v/>
      </c>
      <c r="I1505" s="350">
        <f>IF(G1505="Sim",0,IF(OR(F1505="",L1505=""),"",F1505))</f>
        <v/>
      </c>
      <c r="J1505" s="350">
        <f>IF(G1505="Sim",0,IF(OR(F1505="",D1505="",L1505=""),"",IF(L1505="Sim",ROUND(F1505-D1505,2),0)))</f>
        <v/>
      </c>
      <c r="K1505" s="97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inlineStr">
        <is>
          <t>Nao</t>
        </is>
      </c>
      <c r="W1505" s="110" t="inlineStr">
        <is>
          <t>PC em analise</t>
        </is>
      </c>
      <c r="X1505" s="110" t="inlineStr">
        <is>
          <t>Pedido de Compra</t>
        </is>
      </c>
      <c r="Y1505" s="111" t="inlineStr">
        <is>
          <t>Impacto Potencial</t>
        </is>
      </c>
      <c r="Z1505" s="111" t="inlineStr">
        <is>
          <t>PC</t>
        </is>
      </c>
      <c r="AA1505" s="111" t="inlineStr">
        <is>
          <t>Nao</t>
        </is>
      </c>
      <c r="AB1505" s="111" t="inlineStr">
        <is>
          <t>NAO_COMPUTADO</t>
        </is>
      </c>
      <c r="AC1505" s="112" t="inlineStr">
        <is>
          <t>Estrutura Fase 1: sem impacto no VTA oficial</t>
        </is>
      </c>
    </row>
    <row r="1506" ht="25.5" customHeight="1" s="289">
      <c r="A1506" s="205" t="n"/>
      <c r="B1506" s="207" t="n"/>
      <c r="C1506" s="104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348" t="n"/>
      <c r="E1506" s="349">
        <f>IF(C1506="","",IFERROR(VLOOKUP(C1506,parametros!$A$11:$E$15,5,0),""))</f>
        <v/>
      </c>
      <c r="F1506" s="335">
        <f>IF(OR(D1506="",E1506=""),"",ROUND(D1506*E1506,2))</f>
        <v/>
      </c>
      <c r="G1506" s="106" t="n"/>
      <c r="H1506" s="350">
        <f>IF(G1506="Sim",IF(OR(F1506="",D1506="",L1506=""),"",IF(L1506="Sim",ROUND(F1506-D1506,2),0)),0)</f>
        <v/>
      </c>
      <c r="I1506" s="350">
        <f>IF(G1506="Sim",0,IF(OR(F1506="",L1506=""),"",F1506))</f>
        <v/>
      </c>
      <c r="J1506" s="350">
        <f>IF(G1506="Sim",0,IF(OR(F1506="",D1506="",L1506=""),"",IF(L1506="Sim",ROUND(F1506-D1506,2),0)))</f>
        <v/>
      </c>
      <c r="K1506" s="97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inlineStr">
        <is>
          <t>Nao</t>
        </is>
      </c>
      <c r="W1506" s="110" t="inlineStr">
        <is>
          <t>PC em analise</t>
        </is>
      </c>
      <c r="X1506" s="110" t="inlineStr">
        <is>
          <t>Pedido de Compra</t>
        </is>
      </c>
      <c r="Y1506" s="111" t="inlineStr">
        <is>
          <t>Impacto Potencial</t>
        </is>
      </c>
      <c r="Z1506" s="111" t="inlineStr">
        <is>
          <t>PC</t>
        </is>
      </c>
      <c r="AA1506" s="111" t="inlineStr">
        <is>
          <t>Nao</t>
        </is>
      </c>
      <c r="AB1506" s="111" t="inlineStr">
        <is>
          <t>NAO_COMPUTADO</t>
        </is>
      </c>
      <c r="AC1506" s="112" t="inlineStr">
        <is>
          <t>Estrutura Fase 1: sem impacto no VTA oficial</t>
        </is>
      </c>
    </row>
    <row r="1507" ht="25.5" customHeight="1" s="289">
      <c r="A1507" s="205" t="n"/>
      <c r="B1507" s="207" t="n"/>
      <c r="C1507" s="104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348" t="n"/>
      <c r="E1507" s="349">
        <f>IF(C1507="","",IFERROR(VLOOKUP(C1507,parametros!$A$11:$E$15,5,0),""))</f>
        <v/>
      </c>
      <c r="F1507" s="335">
        <f>IF(OR(D1507="",E1507=""),"",ROUND(D1507*E1507,2))</f>
        <v/>
      </c>
      <c r="G1507" s="106" t="n"/>
      <c r="H1507" s="350">
        <f>IF(G1507="Sim",IF(OR(F1507="",D1507="",L1507=""),"",IF(L1507="Sim",ROUND(F1507-D1507,2),0)),0)</f>
        <v/>
      </c>
      <c r="I1507" s="350">
        <f>IF(G1507="Sim",0,IF(OR(F1507="",L1507=""),"",F1507))</f>
        <v/>
      </c>
      <c r="J1507" s="350">
        <f>IF(G1507="Sim",0,IF(OR(F1507="",D1507="",L1507=""),"",IF(L1507="Sim",ROUND(F1507-D1507,2),0)))</f>
        <v/>
      </c>
      <c r="K1507" s="97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inlineStr">
        <is>
          <t>Nao</t>
        </is>
      </c>
      <c r="W1507" s="110" t="inlineStr">
        <is>
          <t>PC em analise</t>
        </is>
      </c>
      <c r="X1507" s="110" t="inlineStr">
        <is>
          <t>Pedido de Compra</t>
        </is>
      </c>
      <c r="Y1507" s="111" t="inlineStr">
        <is>
          <t>Impacto Potencial</t>
        </is>
      </c>
      <c r="Z1507" s="111" t="inlineStr">
        <is>
          <t>PC</t>
        </is>
      </c>
      <c r="AA1507" s="111" t="inlineStr">
        <is>
          <t>Nao</t>
        </is>
      </c>
      <c r="AB1507" s="111" t="inlineStr">
        <is>
          <t>NAO_COMPUTADO</t>
        </is>
      </c>
      <c r="AC1507" s="112" t="inlineStr">
        <is>
          <t>Estrutura Fase 1: sem impacto no VTA oficial</t>
        </is>
      </c>
    </row>
    <row r="1508" ht="25.5" customHeight="1" s="289">
      <c r="A1508" s="205" t="n"/>
      <c r="B1508" s="207" t="n"/>
      <c r="C1508" s="104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348" t="n"/>
      <c r="E1508" s="349">
        <f>IF(C1508="","",IFERROR(VLOOKUP(C1508,parametros!$A$11:$E$15,5,0),""))</f>
        <v/>
      </c>
      <c r="F1508" s="335">
        <f>IF(OR(D1508="",E1508=""),"",ROUND(D1508*E1508,2))</f>
        <v/>
      </c>
      <c r="G1508" s="106" t="n"/>
      <c r="H1508" s="350">
        <f>IF(G1508="Sim",IF(OR(F1508="",D1508="",L1508=""),"",IF(L1508="Sim",ROUND(F1508-D1508,2),0)),0)</f>
        <v/>
      </c>
      <c r="I1508" s="350">
        <f>IF(G1508="Sim",0,IF(OR(F1508="",L1508=""),"",F1508))</f>
        <v/>
      </c>
      <c r="J1508" s="350">
        <f>IF(G1508="Sim",0,IF(OR(F1508="",D1508="",L1508=""),"",IF(L1508="Sim",ROUND(F1508-D1508,2),0)))</f>
        <v/>
      </c>
      <c r="K1508" s="97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inlineStr">
        <is>
          <t>Nao</t>
        </is>
      </c>
      <c r="W1508" s="110" t="inlineStr">
        <is>
          <t>PC em analise</t>
        </is>
      </c>
      <c r="X1508" s="110" t="inlineStr">
        <is>
          <t>Pedido de Compra</t>
        </is>
      </c>
      <c r="Y1508" s="111" t="inlineStr">
        <is>
          <t>Impacto Potencial</t>
        </is>
      </c>
      <c r="Z1508" s="111" t="inlineStr">
        <is>
          <t>PC</t>
        </is>
      </c>
      <c r="AA1508" s="111" t="inlineStr">
        <is>
          <t>Nao</t>
        </is>
      </c>
      <c r="AB1508" s="111" t="inlineStr">
        <is>
          <t>NAO_COMPUTADO</t>
        </is>
      </c>
      <c r="AC1508" s="112" t="inlineStr">
        <is>
          <t>Estrutura Fase 1: sem impacto no VTA oficial</t>
        </is>
      </c>
    </row>
    <row r="1509" ht="25.5" customHeight="1" s="289">
      <c r="A1509" s="205" t="n"/>
      <c r="B1509" s="207" t="n"/>
      <c r="C1509" s="104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348" t="n"/>
      <c r="E1509" s="349">
        <f>IF(C1509="","",IFERROR(VLOOKUP(C1509,parametros!$A$11:$E$15,5,0),""))</f>
        <v/>
      </c>
      <c r="F1509" s="335">
        <f>IF(OR(D1509="",E1509=""),"",ROUND(D1509*E1509,2))</f>
        <v/>
      </c>
      <c r="G1509" s="106" t="n"/>
      <c r="H1509" s="350">
        <f>IF(G1509="Sim",IF(OR(F1509="",D1509="",L1509=""),"",IF(L1509="Sim",ROUND(F1509-D1509,2),0)),0)</f>
        <v/>
      </c>
      <c r="I1509" s="350">
        <f>IF(G1509="Sim",0,IF(OR(F1509="",L1509=""),"",F1509))</f>
        <v/>
      </c>
      <c r="J1509" s="350">
        <f>IF(G1509="Sim",0,IF(OR(F1509="",D1509="",L1509=""),"",IF(L1509="Sim",ROUND(F1509-D1509,2),0)))</f>
        <v/>
      </c>
      <c r="K1509" s="97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inlineStr">
        <is>
          <t>Nao</t>
        </is>
      </c>
      <c r="W1509" s="110" t="inlineStr">
        <is>
          <t>PC em analise</t>
        </is>
      </c>
      <c r="X1509" s="110" t="inlineStr">
        <is>
          <t>Pedido de Compra</t>
        </is>
      </c>
      <c r="Y1509" s="111" t="inlineStr">
        <is>
          <t>Impacto Potencial</t>
        </is>
      </c>
      <c r="Z1509" s="111" t="inlineStr">
        <is>
          <t>PC</t>
        </is>
      </c>
      <c r="AA1509" s="111" t="inlineStr">
        <is>
          <t>Nao</t>
        </is>
      </c>
      <c r="AB1509" s="111" t="inlineStr">
        <is>
          <t>NAO_COMPUTADO</t>
        </is>
      </c>
      <c r="AC1509" s="112" t="inlineStr">
        <is>
          <t>Estrutura Fase 1: sem impacto no VTA oficial</t>
        </is>
      </c>
    </row>
    <row r="1510" ht="25.5" customHeight="1" s="289">
      <c r="A1510" s="205" t="n"/>
      <c r="B1510" s="207" t="n"/>
      <c r="C1510" s="104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348" t="n"/>
      <c r="E1510" s="349">
        <f>IF(C1510="","",IFERROR(VLOOKUP(C1510,parametros!$A$11:$E$15,5,0),""))</f>
        <v/>
      </c>
      <c r="F1510" s="335">
        <f>IF(OR(D1510="",E1510=""),"",ROUND(D1510*E1510,2))</f>
        <v/>
      </c>
      <c r="G1510" s="106" t="n"/>
      <c r="H1510" s="350">
        <f>IF(G1510="Sim",IF(OR(F1510="",D1510="",L1510=""),"",IF(L1510="Sim",ROUND(F1510-D1510,2),0)),0)</f>
        <v/>
      </c>
      <c r="I1510" s="350">
        <f>IF(G1510="Sim",0,IF(OR(F1510="",L1510=""),"",F1510))</f>
        <v/>
      </c>
      <c r="J1510" s="350">
        <f>IF(G1510="Sim",0,IF(OR(F1510="",D1510="",L1510=""),"",IF(L1510="Sim",ROUND(F1510-D1510,2),0)))</f>
        <v/>
      </c>
      <c r="K1510" s="97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inlineStr">
        <is>
          <t>Nao</t>
        </is>
      </c>
      <c r="W1510" s="110" t="inlineStr">
        <is>
          <t>PC em analise</t>
        </is>
      </c>
      <c r="X1510" s="110" t="inlineStr">
        <is>
          <t>Pedido de Compra</t>
        </is>
      </c>
      <c r="Y1510" s="111" t="inlineStr">
        <is>
          <t>Impacto Potencial</t>
        </is>
      </c>
      <c r="Z1510" s="111" t="inlineStr">
        <is>
          <t>PC</t>
        </is>
      </c>
      <c r="AA1510" s="111" t="inlineStr">
        <is>
          <t>Nao</t>
        </is>
      </c>
      <c r="AB1510" s="111" t="inlineStr">
        <is>
          <t>NAO_COMPUTADO</t>
        </is>
      </c>
      <c r="AC1510" s="112" t="inlineStr">
        <is>
          <t>Estrutura Fase 1: sem impacto no VTA oficial</t>
        </is>
      </c>
    </row>
    <row r="1511" ht="25.5" customHeight="1" s="289">
      <c r="A1511" s="205" t="n"/>
      <c r="B1511" s="207" t="n"/>
      <c r="C1511" s="104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348" t="n"/>
      <c r="E1511" s="349">
        <f>IF(C1511="","",IFERROR(VLOOKUP(C1511,parametros!$A$11:$E$15,5,0),""))</f>
        <v/>
      </c>
      <c r="F1511" s="335">
        <f>IF(OR(D1511="",E1511=""),"",ROUND(D1511*E1511,2))</f>
        <v/>
      </c>
      <c r="G1511" s="106" t="n"/>
      <c r="H1511" s="350">
        <f>IF(G1511="Sim",IF(OR(F1511="",D1511="",L1511=""),"",IF(L1511="Sim",ROUND(F1511-D1511,2),0)),0)</f>
        <v/>
      </c>
      <c r="I1511" s="350">
        <f>IF(G1511="Sim",0,IF(OR(F1511="",L1511=""),"",F1511))</f>
        <v/>
      </c>
      <c r="J1511" s="350">
        <f>IF(G1511="Sim",0,IF(OR(F1511="",D1511="",L1511=""),"",IF(L1511="Sim",ROUND(F1511-D1511,2),0)))</f>
        <v/>
      </c>
      <c r="K1511" s="97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inlineStr">
        <is>
          <t>Nao</t>
        </is>
      </c>
      <c r="W1511" s="110" t="inlineStr">
        <is>
          <t>PC em analise</t>
        </is>
      </c>
      <c r="X1511" s="110" t="inlineStr">
        <is>
          <t>Pedido de Compra</t>
        </is>
      </c>
      <c r="Y1511" s="111" t="inlineStr">
        <is>
          <t>Impacto Potencial</t>
        </is>
      </c>
      <c r="Z1511" s="111" t="inlineStr">
        <is>
          <t>PC</t>
        </is>
      </c>
      <c r="AA1511" s="111" t="inlineStr">
        <is>
          <t>Nao</t>
        </is>
      </c>
      <c r="AB1511" s="111" t="inlineStr">
        <is>
          <t>NAO_COMPUTADO</t>
        </is>
      </c>
      <c r="AC1511" s="112" t="inlineStr">
        <is>
          <t>Estrutura Fase 1: sem impacto no VTA oficial</t>
        </is>
      </c>
    </row>
    <row r="1512" ht="25.5" customHeight="1" s="289">
      <c r="A1512" s="205" t="n"/>
      <c r="B1512" s="207" t="n"/>
      <c r="C1512" s="104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348" t="n"/>
      <c r="E1512" s="349">
        <f>IF(C1512="","",IFERROR(VLOOKUP(C1512,parametros!$A$11:$E$15,5,0),""))</f>
        <v/>
      </c>
      <c r="F1512" s="335">
        <f>IF(OR(D1512="",E1512=""),"",ROUND(D1512*E1512,2))</f>
        <v/>
      </c>
      <c r="G1512" s="106" t="n"/>
      <c r="H1512" s="350">
        <f>IF(G1512="Sim",IF(OR(F1512="",D1512="",L1512=""),"",IF(L1512="Sim",ROUND(F1512-D1512,2),0)),0)</f>
        <v/>
      </c>
      <c r="I1512" s="350">
        <f>IF(G1512="Sim",0,IF(OR(F1512="",L1512=""),"",F1512))</f>
        <v/>
      </c>
      <c r="J1512" s="350">
        <f>IF(G1512="Sim",0,IF(OR(F1512="",D1512="",L1512=""),"",IF(L1512="Sim",ROUND(F1512-D1512,2),0)))</f>
        <v/>
      </c>
      <c r="K1512" s="97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inlineStr">
        <is>
          <t>Nao</t>
        </is>
      </c>
      <c r="W1512" s="110" t="inlineStr">
        <is>
          <t>PC em analise</t>
        </is>
      </c>
      <c r="X1512" s="110" t="inlineStr">
        <is>
          <t>Pedido de Compra</t>
        </is>
      </c>
      <c r="Y1512" s="111" t="inlineStr">
        <is>
          <t>Impacto Potencial</t>
        </is>
      </c>
      <c r="Z1512" s="111" t="inlineStr">
        <is>
          <t>PC</t>
        </is>
      </c>
      <c r="AA1512" s="111" t="inlineStr">
        <is>
          <t>Nao</t>
        </is>
      </c>
      <c r="AB1512" s="111" t="inlineStr">
        <is>
          <t>NAO_COMPUTADO</t>
        </is>
      </c>
      <c r="AC1512" s="112" t="inlineStr">
        <is>
          <t>Estrutura Fase 1: sem impacto no VTA oficial</t>
        </is>
      </c>
    </row>
    <row r="1513" ht="25.5" customHeight="1" s="289">
      <c r="A1513" s="205" t="n"/>
      <c r="B1513" s="207" t="n"/>
      <c r="C1513" s="104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348" t="n"/>
      <c r="E1513" s="349">
        <f>IF(C1513="","",IFERROR(VLOOKUP(C1513,parametros!$A$11:$E$15,5,0),""))</f>
        <v/>
      </c>
      <c r="F1513" s="335">
        <f>IF(OR(D1513="",E1513=""),"",ROUND(D1513*E1513,2))</f>
        <v/>
      </c>
      <c r="G1513" s="106" t="n"/>
      <c r="H1513" s="350">
        <f>IF(G1513="Sim",IF(OR(F1513="",D1513="",L1513=""),"",IF(L1513="Sim",ROUND(F1513-D1513,2),0)),0)</f>
        <v/>
      </c>
      <c r="I1513" s="350">
        <f>IF(G1513="Sim",0,IF(OR(F1513="",L1513=""),"",F1513))</f>
        <v/>
      </c>
      <c r="J1513" s="350">
        <f>IF(G1513="Sim",0,IF(OR(F1513="",D1513="",L1513=""),"",IF(L1513="Sim",ROUND(F1513-D1513,2),0)))</f>
        <v/>
      </c>
      <c r="K1513" s="97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inlineStr">
        <is>
          <t>Nao</t>
        </is>
      </c>
      <c r="W1513" s="110" t="inlineStr">
        <is>
          <t>PC em analise</t>
        </is>
      </c>
      <c r="X1513" s="110" t="inlineStr">
        <is>
          <t>Pedido de Compra</t>
        </is>
      </c>
      <c r="Y1513" s="111" t="inlineStr">
        <is>
          <t>Impacto Potencial</t>
        </is>
      </c>
      <c r="Z1513" s="111" t="inlineStr">
        <is>
          <t>PC</t>
        </is>
      </c>
      <c r="AA1513" s="111" t="inlineStr">
        <is>
          <t>Nao</t>
        </is>
      </c>
      <c r="AB1513" s="111" t="inlineStr">
        <is>
          <t>NAO_COMPUTADO</t>
        </is>
      </c>
      <c r="AC1513" s="112" t="inlineStr">
        <is>
          <t>Estrutura Fase 1: sem impacto no VTA oficial</t>
        </is>
      </c>
    </row>
    <row r="1514" ht="25.5" customHeight="1" s="289">
      <c r="A1514" s="205" t="n"/>
      <c r="B1514" s="207" t="n"/>
      <c r="C1514" s="104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348" t="n"/>
      <c r="E1514" s="349">
        <f>IF(C1514="","",IFERROR(VLOOKUP(C1514,parametros!$A$11:$E$15,5,0),""))</f>
        <v/>
      </c>
      <c r="F1514" s="335">
        <f>IF(OR(D1514="",E1514=""),"",ROUND(D1514*E1514,2))</f>
        <v/>
      </c>
      <c r="G1514" s="106" t="n"/>
      <c r="H1514" s="350">
        <f>IF(G1514="Sim",IF(OR(F1514="",D1514="",L1514=""),"",IF(L1514="Sim",ROUND(F1514-D1514,2),0)),0)</f>
        <v/>
      </c>
      <c r="I1514" s="350">
        <f>IF(G1514="Sim",0,IF(OR(F1514="",L1514=""),"",F1514))</f>
        <v/>
      </c>
      <c r="J1514" s="350">
        <f>IF(G1514="Sim",0,IF(OR(F1514="",D1514="",L1514=""),"",IF(L1514="Sim",ROUND(F1514-D1514,2),0)))</f>
        <v/>
      </c>
      <c r="K1514" s="97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inlineStr">
        <is>
          <t>Nao</t>
        </is>
      </c>
      <c r="W1514" s="110" t="inlineStr">
        <is>
          <t>PC em analise</t>
        </is>
      </c>
      <c r="X1514" s="110" t="inlineStr">
        <is>
          <t>Pedido de Compra</t>
        </is>
      </c>
      <c r="Y1514" s="111" t="inlineStr">
        <is>
          <t>Impacto Potencial</t>
        </is>
      </c>
      <c r="Z1514" s="111" t="inlineStr">
        <is>
          <t>PC</t>
        </is>
      </c>
      <c r="AA1514" s="111" t="inlineStr">
        <is>
          <t>Nao</t>
        </is>
      </c>
      <c r="AB1514" s="111" t="inlineStr">
        <is>
          <t>NAO_COMPUTADO</t>
        </is>
      </c>
      <c r="AC1514" s="112" t="inlineStr">
        <is>
          <t>Estrutura Fase 1: sem impacto no VTA oficial</t>
        </is>
      </c>
    </row>
    <row r="1515" ht="25.5" customHeight="1" s="289">
      <c r="A1515" s="205" t="n"/>
      <c r="B1515" s="207" t="n"/>
      <c r="C1515" s="104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348" t="n"/>
      <c r="E1515" s="349">
        <f>IF(C1515="","",IFERROR(VLOOKUP(C1515,parametros!$A$11:$E$15,5,0),""))</f>
        <v/>
      </c>
      <c r="F1515" s="335">
        <f>IF(OR(D1515="",E1515=""),"",ROUND(D1515*E1515,2))</f>
        <v/>
      </c>
      <c r="G1515" s="106" t="n"/>
      <c r="H1515" s="350">
        <f>IF(G1515="Sim",IF(OR(F1515="",D1515="",L1515=""),"",IF(L1515="Sim",ROUND(F1515-D1515,2),0)),0)</f>
        <v/>
      </c>
      <c r="I1515" s="350">
        <f>IF(G1515="Sim",0,IF(OR(F1515="",L1515=""),"",F1515))</f>
        <v/>
      </c>
      <c r="J1515" s="350">
        <f>IF(G1515="Sim",0,IF(OR(F1515="",D1515="",L1515=""),"",IF(L1515="Sim",ROUND(F1515-D1515,2),0)))</f>
        <v/>
      </c>
      <c r="K1515" s="97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inlineStr">
        <is>
          <t>Nao</t>
        </is>
      </c>
      <c r="W1515" s="110" t="inlineStr">
        <is>
          <t>PC em analise</t>
        </is>
      </c>
      <c r="X1515" s="110" t="inlineStr">
        <is>
          <t>Pedido de Compra</t>
        </is>
      </c>
      <c r="Y1515" s="111" t="inlineStr">
        <is>
          <t>Impacto Potencial</t>
        </is>
      </c>
      <c r="Z1515" s="111" t="inlineStr">
        <is>
          <t>PC</t>
        </is>
      </c>
      <c r="AA1515" s="111" t="inlineStr">
        <is>
          <t>Nao</t>
        </is>
      </c>
      <c r="AB1515" s="111" t="inlineStr">
        <is>
          <t>NAO_COMPUTADO</t>
        </is>
      </c>
      <c r="AC1515" s="112" t="inlineStr">
        <is>
          <t>Estrutura Fase 1: sem impacto no VTA oficial</t>
        </is>
      </c>
    </row>
    <row r="1516" ht="25.5" customHeight="1" s="289">
      <c r="A1516" s="205" t="n"/>
      <c r="B1516" s="207" t="n"/>
      <c r="C1516" s="104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348" t="n"/>
      <c r="E1516" s="349">
        <f>IF(C1516="","",IFERROR(VLOOKUP(C1516,parametros!$A$11:$E$15,5,0),""))</f>
        <v/>
      </c>
      <c r="F1516" s="335">
        <f>IF(OR(D1516="",E1516=""),"",ROUND(D1516*E1516,2))</f>
        <v/>
      </c>
      <c r="G1516" s="106" t="n"/>
      <c r="H1516" s="350">
        <f>IF(G1516="Sim",IF(OR(F1516="",D1516="",L1516=""),"",IF(L1516="Sim",ROUND(F1516-D1516,2),0)),0)</f>
        <v/>
      </c>
      <c r="I1516" s="350">
        <f>IF(G1516="Sim",0,IF(OR(F1516="",L1516=""),"",F1516))</f>
        <v/>
      </c>
      <c r="J1516" s="350">
        <f>IF(G1516="Sim",0,IF(OR(F1516="",D1516="",L1516=""),"",IF(L1516="Sim",ROUND(F1516-D1516,2),0)))</f>
        <v/>
      </c>
      <c r="K1516" s="97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inlineStr">
        <is>
          <t>Nao</t>
        </is>
      </c>
      <c r="W1516" s="110" t="inlineStr">
        <is>
          <t>PC em analise</t>
        </is>
      </c>
      <c r="X1516" s="110" t="inlineStr">
        <is>
          <t>Pedido de Compra</t>
        </is>
      </c>
      <c r="Y1516" s="111" t="inlineStr">
        <is>
          <t>Impacto Potencial</t>
        </is>
      </c>
      <c r="Z1516" s="111" t="inlineStr">
        <is>
          <t>PC</t>
        </is>
      </c>
      <c r="AA1516" s="111" t="inlineStr">
        <is>
          <t>Nao</t>
        </is>
      </c>
      <c r="AB1516" s="111" t="inlineStr">
        <is>
          <t>NAO_COMPUTADO</t>
        </is>
      </c>
      <c r="AC1516" s="112" t="inlineStr">
        <is>
          <t>Estrutura Fase 1: sem impacto no VTA oficial</t>
        </is>
      </c>
    </row>
    <row r="1517" ht="25.5" customHeight="1" s="289">
      <c r="A1517" s="205" t="n"/>
      <c r="B1517" s="207" t="n"/>
      <c r="C1517" s="104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348" t="n"/>
      <c r="E1517" s="349">
        <f>IF(C1517="","",IFERROR(VLOOKUP(C1517,parametros!$A$11:$E$15,5,0),""))</f>
        <v/>
      </c>
      <c r="F1517" s="335">
        <f>IF(OR(D1517="",E1517=""),"",ROUND(D1517*E1517,2))</f>
        <v/>
      </c>
      <c r="G1517" s="106" t="n"/>
      <c r="H1517" s="350">
        <f>IF(G1517="Sim",IF(OR(F1517="",D1517="",L1517=""),"",IF(L1517="Sim",ROUND(F1517-D1517,2),0)),0)</f>
        <v/>
      </c>
      <c r="I1517" s="350">
        <f>IF(G1517="Sim",0,IF(OR(F1517="",L1517=""),"",F1517))</f>
        <v/>
      </c>
      <c r="J1517" s="350">
        <f>IF(G1517="Sim",0,IF(OR(F1517="",D1517="",L1517=""),"",IF(L1517="Sim",ROUND(F1517-D1517,2),0)))</f>
        <v/>
      </c>
      <c r="K1517" s="97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inlineStr">
        <is>
          <t>Nao</t>
        </is>
      </c>
      <c r="W1517" s="110" t="inlineStr">
        <is>
          <t>PC em analise</t>
        </is>
      </c>
      <c r="X1517" s="110" t="inlineStr">
        <is>
          <t>Pedido de Compra</t>
        </is>
      </c>
      <c r="Y1517" s="111" t="inlineStr">
        <is>
          <t>Impacto Potencial</t>
        </is>
      </c>
      <c r="Z1517" s="111" t="inlineStr">
        <is>
          <t>PC</t>
        </is>
      </c>
      <c r="AA1517" s="111" t="inlineStr">
        <is>
          <t>Nao</t>
        </is>
      </c>
      <c r="AB1517" s="111" t="inlineStr">
        <is>
          <t>NAO_COMPUTADO</t>
        </is>
      </c>
      <c r="AC1517" s="112" t="inlineStr">
        <is>
          <t>Estrutura Fase 1: sem impacto no VTA oficial</t>
        </is>
      </c>
    </row>
    <row r="1518" ht="25.5" customHeight="1" s="289">
      <c r="A1518" s="205" t="n"/>
      <c r="B1518" s="207" t="n"/>
      <c r="C1518" s="104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348" t="n"/>
      <c r="E1518" s="349">
        <f>IF(C1518="","",IFERROR(VLOOKUP(C1518,parametros!$A$11:$E$15,5,0),""))</f>
        <v/>
      </c>
      <c r="F1518" s="335">
        <f>IF(OR(D1518="",E1518=""),"",ROUND(D1518*E1518,2))</f>
        <v/>
      </c>
      <c r="G1518" s="106" t="n"/>
      <c r="H1518" s="350">
        <f>IF(G1518="Sim",IF(OR(F1518="",D1518="",L1518=""),"",IF(L1518="Sim",ROUND(F1518-D1518,2),0)),0)</f>
        <v/>
      </c>
      <c r="I1518" s="350">
        <f>IF(G1518="Sim",0,IF(OR(F1518="",L1518=""),"",F1518))</f>
        <v/>
      </c>
      <c r="J1518" s="350">
        <f>IF(G1518="Sim",0,IF(OR(F1518="",D1518="",L1518=""),"",IF(L1518="Sim",ROUND(F1518-D1518,2),0)))</f>
        <v/>
      </c>
      <c r="K1518" s="97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inlineStr">
        <is>
          <t>Nao</t>
        </is>
      </c>
      <c r="W1518" s="110" t="inlineStr">
        <is>
          <t>PC em analise</t>
        </is>
      </c>
      <c r="X1518" s="110" t="inlineStr">
        <is>
          <t>Pedido de Compra</t>
        </is>
      </c>
      <c r="Y1518" s="111" t="inlineStr">
        <is>
          <t>Impacto Potencial</t>
        </is>
      </c>
      <c r="Z1518" s="111" t="inlineStr">
        <is>
          <t>PC</t>
        </is>
      </c>
      <c r="AA1518" s="111" t="inlineStr">
        <is>
          <t>Nao</t>
        </is>
      </c>
      <c r="AB1518" s="111" t="inlineStr">
        <is>
          <t>NAO_COMPUTADO</t>
        </is>
      </c>
      <c r="AC1518" s="112" t="inlineStr">
        <is>
          <t>Estrutura Fase 1: sem impacto no VTA oficial</t>
        </is>
      </c>
    </row>
    <row r="1519" ht="25.5" customHeight="1" s="289">
      <c r="A1519" s="205" t="n"/>
      <c r="B1519" s="207" t="n"/>
      <c r="C1519" s="104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348" t="n"/>
      <c r="E1519" s="349">
        <f>IF(C1519="","",IFERROR(VLOOKUP(C1519,parametros!$A$11:$E$15,5,0),""))</f>
        <v/>
      </c>
      <c r="F1519" s="335">
        <f>IF(OR(D1519="",E1519=""),"",ROUND(D1519*E1519,2))</f>
        <v/>
      </c>
      <c r="G1519" s="106" t="n"/>
      <c r="H1519" s="350">
        <f>IF(G1519="Sim",IF(OR(F1519="",D1519="",L1519=""),"",IF(L1519="Sim",ROUND(F1519-D1519,2),0)),0)</f>
        <v/>
      </c>
      <c r="I1519" s="350">
        <f>IF(G1519="Sim",0,IF(OR(F1519="",L1519=""),"",F1519))</f>
        <v/>
      </c>
      <c r="J1519" s="350">
        <f>IF(G1519="Sim",0,IF(OR(F1519="",D1519="",L1519=""),"",IF(L1519="Sim",ROUND(F1519-D1519,2),0)))</f>
        <v/>
      </c>
      <c r="K1519" s="97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inlineStr">
        <is>
          <t>Nao</t>
        </is>
      </c>
      <c r="W1519" s="110" t="inlineStr">
        <is>
          <t>PC em analise</t>
        </is>
      </c>
      <c r="X1519" s="110" t="inlineStr">
        <is>
          <t>Pedido de Compra</t>
        </is>
      </c>
      <c r="Y1519" s="111" t="inlineStr">
        <is>
          <t>Impacto Potencial</t>
        </is>
      </c>
      <c r="Z1519" s="111" t="inlineStr">
        <is>
          <t>PC</t>
        </is>
      </c>
      <c r="AA1519" s="111" t="inlineStr">
        <is>
          <t>Nao</t>
        </is>
      </c>
      <c r="AB1519" s="111" t="inlineStr">
        <is>
          <t>NAO_COMPUTADO</t>
        </is>
      </c>
      <c r="AC1519" s="112" t="inlineStr">
        <is>
          <t>Estrutura Fase 1: sem impacto no VTA oficial</t>
        </is>
      </c>
    </row>
    <row r="1520" ht="25.5" customHeight="1" s="289">
      <c r="A1520" s="205" t="n"/>
      <c r="B1520" s="207" t="n"/>
      <c r="C1520" s="104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348" t="n"/>
      <c r="E1520" s="349">
        <f>IF(C1520="","",IFERROR(VLOOKUP(C1520,parametros!$A$11:$E$15,5,0),""))</f>
        <v/>
      </c>
      <c r="F1520" s="335">
        <f>IF(OR(D1520="",E1520=""),"",ROUND(D1520*E1520,2))</f>
        <v/>
      </c>
      <c r="G1520" s="106" t="n"/>
      <c r="H1520" s="350">
        <f>IF(G1520="Sim",IF(OR(F1520="",D1520="",L1520=""),"",IF(L1520="Sim",ROUND(F1520-D1520,2),0)),0)</f>
        <v/>
      </c>
      <c r="I1520" s="350">
        <f>IF(G1520="Sim",0,IF(OR(F1520="",L1520=""),"",F1520))</f>
        <v/>
      </c>
      <c r="J1520" s="350">
        <f>IF(G1520="Sim",0,IF(OR(F1520="",D1520="",L1520=""),"",IF(L1520="Sim",ROUND(F1520-D1520,2),0)))</f>
        <v/>
      </c>
      <c r="K1520" s="97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inlineStr">
        <is>
          <t>Nao</t>
        </is>
      </c>
      <c r="W1520" s="110" t="inlineStr">
        <is>
          <t>PC em analise</t>
        </is>
      </c>
      <c r="X1520" s="110" t="inlineStr">
        <is>
          <t>Pedido de Compra</t>
        </is>
      </c>
      <c r="Y1520" s="111" t="inlineStr">
        <is>
          <t>Impacto Potencial</t>
        </is>
      </c>
      <c r="Z1520" s="111" t="inlineStr">
        <is>
          <t>PC</t>
        </is>
      </c>
      <c r="AA1520" s="111" t="inlineStr">
        <is>
          <t>Nao</t>
        </is>
      </c>
      <c r="AB1520" s="111" t="inlineStr">
        <is>
          <t>NAO_COMPUTADO</t>
        </is>
      </c>
      <c r="AC1520" s="112" t="inlineStr">
        <is>
          <t>Estrutura Fase 1: sem impacto no VTA oficial</t>
        </is>
      </c>
    </row>
    <row r="1521" ht="25.5" customHeight="1" s="289">
      <c r="A1521" s="205" t="n"/>
      <c r="B1521" s="207" t="n"/>
      <c r="C1521" s="104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348" t="n"/>
      <c r="E1521" s="349">
        <f>IF(C1521="","",IFERROR(VLOOKUP(C1521,parametros!$A$11:$E$15,5,0),""))</f>
        <v/>
      </c>
      <c r="F1521" s="335">
        <f>IF(OR(D1521="",E1521=""),"",ROUND(D1521*E1521,2))</f>
        <v/>
      </c>
      <c r="G1521" s="106" t="n"/>
      <c r="H1521" s="350">
        <f>IF(G1521="Sim",IF(OR(F1521="",D1521="",L1521=""),"",IF(L1521="Sim",ROUND(F1521-D1521,2),0)),0)</f>
        <v/>
      </c>
      <c r="I1521" s="350">
        <f>IF(G1521="Sim",0,IF(OR(F1521="",L1521=""),"",F1521))</f>
        <v/>
      </c>
      <c r="J1521" s="350">
        <f>IF(G1521="Sim",0,IF(OR(F1521="",D1521="",L1521=""),"",IF(L1521="Sim",ROUND(F1521-D1521,2),0)))</f>
        <v/>
      </c>
      <c r="K1521" s="97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inlineStr">
        <is>
          <t>Nao</t>
        </is>
      </c>
      <c r="W1521" s="110" t="inlineStr">
        <is>
          <t>PC em analise</t>
        </is>
      </c>
      <c r="X1521" s="110" t="inlineStr">
        <is>
          <t>Pedido de Compra</t>
        </is>
      </c>
      <c r="Y1521" s="111" t="inlineStr">
        <is>
          <t>Impacto Potencial</t>
        </is>
      </c>
      <c r="Z1521" s="111" t="inlineStr">
        <is>
          <t>PC</t>
        </is>
      </c>
      <c r="AA1521" s="111" t="inlineStr">
        <is>
          <t>Nao</t>
        </is>
      </c>
      <c r="AB1521" s="111" t="inlineStr">
        <is>
          <t>NAO_COMPUTADO</t>
        </is>
      </c>
      <c r="AC1521" s="112" t="inlineStr">
        <is>
          <t>Estrutura Fase 1: sem impacto no VTA oficial</t>
        </is>
      </c>
    </row>
    <row r="1522" ht="25.5" customHeight="1" s="289">
      <c r="A1522" s="205" t="n"/>
      <c r="B1522" s="207" t="n"/>
      <c r="C1522" s="104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348" t="n"/>
      <c r="E1522" s="349">
        <f>IF(C1522="","",IFERROR(VLOOKUP(C1522,parametros!$A$11:$E$15,5,0),""))</f>
        <v/>
      </c>
      <c r="F1522" s="335">
        <f>IF(OR(D1522="",E1522=""),"",ROUND(D1522*E1522,2))</f>
        <v/>
      </c>
      <c r="G1522" s="106" t="n"/>
      <c r="H1522" s="350">
        <f>IF(G1522="Sim",IF(OR(F1522="",D1522="",L1522=""),"",IF(L1522="Sim",ROUND(F1522-D1522,2),0)),0)</f>
        <v/>
      </c>
      <c r="I1522" s="350">
        <f>IF(G1522="Sim",0,IF(OR(F1522="",L1522=""),"",F1522))</f>
        <v/>
      </c>
      <c r="J1522" s="350">
        <f>IF(G1522="Sim",0,IF(OR(F1522="",D1522="",L1522=""),"",IF(L1522="Sim",ROUND(F1522-D1522,2),0)))</f>
        <v/>
      </c>
      <c r="K1522" s="97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inlineStr">
        <is>
          <t>Nao</t>
        </is>
      </c>
      <c r="W1522" s="110" t="inlineStr">
        <is>
          <t>PC em analise</t>
        </is>
      </c>
      <c r="X1522" s="110" t="inlineStr">
        <is>
          <t>Pedido de Compra</t>
        </is>
      </c>
      <c r="Y1522" s="111" t="inlineStr">
        <is>
          <t>Impacto Potencial</t>
        </is>
      </c>
      <c r="Z1522" s="111" t="inlineStr">
        <is>
          <t>PC</t>
        </is>
      </c>
      <c r="AA1522" s="111" t="inlineStr">
        <is>
          <t>Nao</t>
        </is>
      </c>
      <c r="AB1522" s="111" t="inlineStr">
        <is>
          <t>NAO_COMPUTADO</t>
        </is>
      </c>
      <c r="AC1522" s="112" t="inlineStr">
        <is>
          <t>Estrutura Fase 1: sem impacto no VTA oficial</t>
        </is>
      </c>
    </row>
    <row r="1523" ht="25.5" customHeight="1" s="289">
      <c r="A1523" s="205" t="n"/>
      <c r="B1523" s="207" t="n"/>
      <c r="C1523" s="104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348" t="n"/>
      <c r="E1523" s="349">
        <f>IF(C1523="","",IFERROR(VLOOKUP(C1523,parametros!$A$11:$E$15,5,0),""))</f>
        <v/>
      </c>
      <c r="F1523" s="335">
        <f>IF(OR(D1523="",E1523=""),"",ROUND(D1523*E1523,2))</f>
        <v/>
      </c>
      <c r="G1523" s="106" t="n"/>
      <c r="H1523" s="350">
        <f>IF(G1523="Sim",IF(OR(F1523="",D1523="",L1523=""),"",IF(L1523="Sim",ROUND(F1523-D1523,2),0)),0)</f>
        <v/>
      </c>
      <c r="I1523" s="350">
        <f>IF(G1523="Sim",0,IF(OR(F1523="",L1523=""),"",F1523))</f>
        <v/>
      </c>
      <c r="J1523" s="350">
        <f>IF(G1523="Sim",0,IF(OR(F1523="",D1523="",L1523=""),"",IF(L1523="Sim",ROUND(F1523-D1523,2),0)))</f>
        <v/>
      </c>
      <c r="K1523" s="97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inlineStr">
        <is>
          <t>Nao</t>
        </is>
      </c>
      <c r="W1523" s="110" t="inlineStr">
        <is>
          <t>PC em analise</t>
        </is>
      </c>
      <c r="X1523" s="110" t="inlineStr">
        <is>
          <t>Pedido de Compra</t>
        </is>
      </c>
      <c r="Y1523" s="111" t="inlineStr">
        <is>
          <t>Impacto Potencial</t>
        </is>
      </c>
      <c r="Z1523" s="111" t="inlineStr">
        <is>
          <t>PC</t>
        </is>
      </c>
      <c r="AA1523" s="111" t="inlineStr">
        <is>
          <t>Nao</t>
        </is>
      </c>
      <c r="AB1523" s="111" t="inlineStr">
        <is>
          <t>NAO_COMPUTADO</t>
        </is>
      </c>
      <c r="AC1523" s="112" t="inlineStr">
        <is>
          <t>Estrutura Fase 1: sem impacto no VTA oficial</t>
        </is>
      </c>
    </row>
    <row r="1524" ht="25.5" customHeight="1" s="289">
      <c r="A1524" s="205" t="n"/>
      <c r="B1524" s="207" t="n"/>
      <c r="C1524" s="104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348" t="n"/>
      <c r="E1524" s="349">
        <f>IF(C1524="","",IFERROR(VLOOKUP(C1524,parametros!$A$11:$E$15,5,0),""))</f>
        <v/>
      </c>
      <c r="F1524" s="335">
        <f>IF(OR(D1524="",E1524=""),"",ROUND(D1524*E1524,2))</f>
        <v/>
      </c>
      <c r="G1524" s="106" t="n"/>
      <c r="H1524" s="350">
        <f>IF(G1524="Sim",IF(OR(F1524="",D1524="",L1524=""),"",IF(L1524="Sim",ROUND(F1524-D1524,2),0)),0)</f>
        <v/>
      </c>
      <c r="I1524" s="350">
        <f>IF(G1524="Sim",0,IF(OR(F1524="",L1524=""),"",F1524))</f>
        <v/>
      </c>
      <c r="J1524" s="350">
        <f>IF(G1524="Sim",0,IF(OR(F1524="",D1524="",L1524=""),"",IF(L1524="Sim",ROUND(F1524-D1524,2),0)))</f>
        <v/>
      </c>
      <c r="K1524" s="97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inlineStr">
        <is>
          <t>Nao</t>
        </is>
      </c>
      <c r="W1524" s="110" t="inlineStr">
        <is>
          <t>PC em analise</t>
        </is>
      </c>
      <c r="X1524" s="110" t="inlineStr">
        <is>
          <t>Pedido de Compra</t>
        </is>
      </c>
      <c r="Y1524" s="111" t="inlineStr">
        <is>
          <t>Impacto Potencial</t>
        </is>
      </c>
      <c r="Z1524" s="111" t="inlineStr">
        <is>
          <t>PC</t>
        </is>
      </c>
      <c r="AA1524" s="111" t="inlineStr">
        <is>
          <t>Nao</t>
        </is>
      </c>
      <c r="AB1524" s="111" t="inlineStr">
        <is>
          <t>NAO_COMPUTADO</t>
        </is>
      </c>
      <c r="AC1524" s="112" t="inlineStr">
        <is>
          <t>Estrutura Fase 1: sem impacto no VTA oficial</t>
        </is>
      </c>
    </row>
    <row r="1525" ht="25.5" customHeight="1" s="289">
      <c r="A1525" s="205" t="n"/>
      <c r="B1525" s="207" t="n"/>
      <c r="C1525" s="104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348" t="n"/>
      <c r="E1525" s="349">
        <f>IF(C1525="","",IFERROR(VLOOKUP(C1525,parametros!$A$11:$E$15,5,0),""))</f>
        <v/>
      </c>
      <c r="F1525" s="335">
        <f>IF(OR(D1525="",E1525=""),"",ROUND(D1525*E1525,2))</f>
        <v/>
      </c>
      <c r="G1525" s="106" t="n"/>
      <c r="H1525" s="350">
        <f>IF(G1525="Sim",IF(OR(F1525="",D1525="",L1525=""),"",IF(L1525="Sim",ROUND(F1525-D1525,2),0)),0)</f>
        <v/>
      </c>
      <c r="I1525" s="350">
        <f>IF(G1525="Sim",0,IF(OR(F1525="",L1525=""),"",F1525))</f>
        <v/>
      </c>
      <c r="J1525" s="350">
        <f>IF(G1525="Sim",0,IF(OR(F1525="",D1525="",L1525=""),"",IF(L1525="Sim",ROUND(F1525-D1525,2),0)))</f>
        <v/>
      </c>
      <c r="K1525" s="97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inlineStr">
        <is>
          <t>Nao</t>
        </is>
      </c>
      <c r="W1525" s="110" t="inlineStr">
        <is>
          <t>PC em analise</t>
        </is>
      </c>
      <c r="X1525" s="110" t="inlineStr">
        <is>
          <t>Pedido de Compra</t>
        </is>
      </c>
      <c r="Y1525" s="111" t="inlineStr">
        <is>
          <t>Impacto Potencial</t>
        </is>
      </c>
      <c r="Z1525" s="111" t="inlineStr">
        <is>
          <t>PC</t>
        </is>
      </c>
      <c r="AA1525" s="111" t="inlineStr">
        <is>
          <t>Nao</t>
        </is>
      </c>
      <c r="AB1525" s="111" t="inlineStr">
        <is>
          <t>NAO_COMPUTADO</t>
        </is>
      </c>
      <c r="AC1525" s="112" t="inlineStr">
        <is>
          <t>Estrutura Fase 1: sem impacto no VTA oficial</t>
        </is>
      </c>
    </row>
    <row r="1526" ht="25.5" customHeight="1" s="289">
      <c r="A1526" s="205" t="n"/>
      <c r="B1526" s="207" t="n"/>
      <c r="C1526" s="104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348" t="n"/>
      <c r="E1526" s="349">
        <f>IF(C1526="","",IFERROR(VLOOKUP(C1526,parametros!$A$11:$E$15,5,0),""))</f>
        <v/>
      </c>
      <c r="F1526" s="335">
        <f>IF(OR(D1526="",E1526=""),"",ROUND(D1526*E1526,2))</f>
        <v/>
      </c>
      <c r="G1526" s="106" t="n"/>
      <c r="H1526" s="350">
        <f>IF(G1526="Sim",IF(OR(F1526="",D1526="",L1526=""),"",IF(L1526="Sim",ROUND(F1526-D1526,2),0)),0)</f>
        <v/>
      </c>
      <c r="I1526" s="350">
        <f>IF(G1526="Sim",0,IF(OR(F1526="",L1526=""),"",F1526))</f>
        <v/>
      </c>
      <c r="J1526" s="350">
        <f>IF(G1526="Sim",0,IF(OR(F1526="",D1526="",L1526=""),"",IF(L1526="Sim",ROUND(F1526-D1526,2),0)))</f>
        <v/>
      </c>
      <c r="K1526" s="97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inlineStr">
        <is>
          <t>Nao</t>
        </is>
      </c>
      <c r="W1526" s="110" t="inlineStr">
        <is>
          <t>PC em analise</t>
        </is>
      </c>
      <c r="X1526" s="110" t="inlineStr">
        <is>
          <t>Pedido de Compra</t>
        </is>
      </c>
      <c r="Y1526" s="111" t="inlineStr">
        <is>
          <t>Impacto Potencial</t>
        </is>
      </c>
      <c r="Z1526" s="111" t="inlineStr">
        <is>
          <t>PC</t>
        </is>
      </c>
      <c r="AA1526" s="111" t="inlineStr">
        <is>
          <t>Nao</t>
        </is>
      </c>
      <c r="AB1526" s="111" t="inlineStr">
        <is>
          <t>NAO_COMPUTADO</t>
        </is>
      </c>
      <c r="AC1526" s="112" t="inlineStr">
        <is>
          <t>Estrutura Fase 1: sem impacto no VTA oficial</t>
        </is>
      </c>
    </row>
    <row r="1527" ht="25.5" customHeight="1" s="289">
      <c r="A1527" s="205" t="n"/>
      <c r="B1527" s="207" t="n"/>
      <c r="C1527" s="104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348" t="n"/>
      <c r="E1527" s="349">
        <f>IF(C1527="","",IFERROR(VLOOKUP(C1527,parametros!$A$11:$E$15,5,0),""))</f>
        <v/>
      </c>
      <c r="F1527" s="335">
        <f>IF(OR(D1527="",E1527=""),"",ROUND(D1527*E1527,2))</f>
        <v/>
      </c>
      <c r="G1527" s="106" t="n"/>
      <c r="H1527" s="350">
        <f>IF(G1527="Sim",IF(OR(F1527="",D1527="",L1527=""),"",IF(L1527="Sim",ROUND(F1527-D1527,2),0)),0)</f>
        <v/>
      </c>
      <c r="I1527" s="350">
        <f>IF(G1527="Sim",0,IF(OR(F1527="",L1527=""),"",F1527))</f>
        <v/>
      </c>
      <c r="J1527" s="350">
        <f>IF(G1527="Sim",0,IF(OR(F1527="",D1527="",L1527=""),"",IF(L1527="Sim",ROUND(F1527-D1527,2),0)))</f>
        <v/>
      </c>
      <c r="K1527" s="97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inlineStr">
        <is>
          <t>Nao</t>
        </is>
      </c>
      <c r="W1527" s="110" t="inlineStr">
        <is>
          <t>PC em analise</t>
        </is>
      </c>
      <c r="X1527" s="110" t="inlineStr">
        <is>
          <t>Pedido de Compra</t>
        </is>
      </c>
      <c r="Y1527" s="111" t="inlineStr">
        <is>
          <t>Impacto Potencial</t>
        </is>
      </c>
      <c r="Z1527" s="111" t="inlineStr">
        <is>
          <t>PC</t>
        </is>
      </c>
      <c r="AA1527" s="111" t="inlineStr">
        <is>
          <t>Nao</t>
        </is>
      </c>
      <c r="AB1527" s="111" t="inlineStr">
        <is>
          <t>NAO_COMPUTADO</t>
        </is>
      </c>
      <c r="AC1527" s="112" t="inlineStr">
        <is>
          <t>Estrutura Fase 1: sem impacto no VTA oficial</t>
        </is>
      </c>
    </row>
    <row r="1528" ht="25.5" customHeight="1" s="289">
      <c r="A1528" s="205" t="n"/>
      <c r="B1528" s="207" t="n"/>
      <c r="C1528" s="104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348" t="n"/>
      <c r="E1528" s="349">
        <f>IF(C1528="","",IFERROR(VLOOKUP(C1528,parametros!$A$11:$E$15,5,0),""))</f>
        <v/>
      </c>
      <c r="F1528" s="335">
        <f>IF(OR(D1528="",E1528=""),"",ROUND(D1528*E1528,2))</f>
        <v/>
      </c>
      <c r="G1528" s="106" t="n"/>
      <c r="H1528" s="350">
        <f>IF(G1528="Sim",IF(OR(F1528="",D1528="",L1528=""),"",IF(L1528="Sim",ROUND(F1528-D1528,2),0)),0)</f>
        <v/>
      </c>
      <c r="I1528" s="350">
        <f>IF(G1528="Sim",0,IF(OR(F1528="",L1528=""),"",F1528))</f>
        <v/>
      </c>
      <c r="J1528" s="350">
        <f>IF(G1528="Sim",0,IF(OR(F1528="",D1528="",L1528=""),"",IF(L1528="Sim",ROUND(F1528-D1528,2),0)))</f>
        <v/>
      </c>
      <c r="K1528" s="97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inlineStr">
        <is>
          <t>Nao</t>
        </is>
      </c>
      <c r="W1528" s="110" t="inlineStr">
        <is>
          <t>PC em analise</t>
        </is>
      </c>
      <c r="X1528" s="110" t="inlineStr">
        <is>
          <t>Pedido de Compra</t>
        </is>
      </c>
      <c r="Y1528" s="111" t="inlineStr">
        <is>
          <t>Impacto Potencial</t>
        </is>
      </c>
      <c r="Z1528" s="111" t="inlineStr">
        <is>
          <t>PC</t>
        </is>
      </c>
      <c r="AA1528" s="111" t="inlineStr">
        <is>
          <t>Nao</t>
        </is>
      </c>
      <c r="AB1528" s="111" t="inlineStr">
        <is>
          <t>NAO_COMPUTADO</t>
        </is>
      </c>
      <c r="AC1528" s="112" t="inlineStr">
        <is>
          <t>Estrutura Fase 1: sem impacto no VTA oficial</t>
        </is>
      </c>
    </row>
    <row r="1529" ht="25.5" customHeight="1" s="289">
      <c r="A1529" s="205" t="n"/>
      <c r="B1529" s="207" t="n"/>
      <c r="C1529" s="104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348" t="n"/>
      <c r="E1529" s="349">
        <f>IF(C1529="","",IFERROR(VLOOKUP(C1529,parametros!$A$11:$E$15,5,0),""))</f>
        <v/>
      </c>
      <c r="F1529" s="335">
        <f>IF(OR(D1529="",E1529=""),"",ROUND(D1529*E1529,2))</f>
        <v/>
      </c>
      <c r="G1529" s="106" t="n"/>
      <c r="H1529" s="350">
        <f>IF(G1529="Sim",IF(OR(F1529="",D1529="",L1529=""),"",IF(L1529="Sim",ROUND(F1529-D1529,2),0)),0)</f>
        <v/>
      </c>
      <c r="I1529" s="350">
        <f>IF(G1529="Sim",0,IF(OR(F1529="",L1529=""),"",F1529))</f>
        <v/>
      </c>
      <c r="J1529" s="350">
        <f>IF(G1529="Sim",0,IF(OR(F1529="",D1529="",L1529=""),"",IF(L1529="Sim",ROUND(F1529-D1529,2),0)))</f>
        <v/>
      </c>
      <c r="K1529" s="97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inlineStr">
        <is>
          <t>Nao</t>
        </is>
      </c>
      <c r="W1529" s="110" t="inlineStr">
        <is>
          <t>PC em analise</t>
        </is>
      </c>
      <c r="X1529" s="110" t="inlineStr">
        <is>
          <t>Pedido de Compra</t>
        </is>
      </c>
      <c r="Y1529" s="111" t="inlineStr">
        <is>
          <t>Impacto Potencial</t>
        </is>
      </c>
      <c r="Z1529" s="111" t="inlineStr">
        <is>
          <t>PC</t>
        </is>
      </c>
      <c r="AA1529" s="111" t="inlineStr">
        <is>
          <t>Nao</t>
        </is>
      </c>
      <c r="AB1529" s="111" t="inlineStr">
        <is>
          <t>NAO_COMPUTADO</t>
        </is>
      </c>
      <c r="AC1529" s="112" t="inlineStr">
        <is>
          <t>Estrutura Fase 1: sem impacto no VTA oficial</t>
        </is>
      </c>
    </row>
    <row r="1530" ht="25.5" customHeight="1" s="289">
      <c r="A1530" s="205" t="n"/>
      <c r="B1530" s="207" t="n"/>
      <c r="C1530" s="104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348" t="n"/>
      <c r="E1530" s="349">
        <f>IF(C1530="","",IFERROR(VLOOKUP(C1530,parametros!$A$11:$E$15,5,0),""))</f>
        <v/>
      </c>
      <c r="F1530" s="335">
        <f>IF(OR(D1530="",E1530=""),"",ROUND(D1530*E1530,2))</f>
        <v/>
      </c>
      <c r="G1530" s="106" t="n"/>
      <c r="H1530" s="350">
        <f>IF(G1530="Sim",IF(OR(F1530="",D1530="",L1530=""),"",IF(L1530="Sim",ROUND(F1530-D1530,2),0)),0)</f>
        <v/>
      </c>
      <c r="I1530" s="350">
        <f>IF(G1530="Sim",0,IF(OR(F1530="",L1530=""),"",F1530))</f>
        <v/>
      </c>
      <c r="J1530" s="350">
        <f>IF(G1530="Sim",0,IF(OR(F1530="",D1530="",L1530=""),"",IF(L1530="Sim",ROUND(F1530-D1530,2),0)))</f>
        <v/>
      </c>
      <c r="K1530" s="97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inlineStr">
        <is>
          <t>Nao</t>
        </is>
      </c>
      <c r="W1530" s="110" t="inlineStr">
        <is>
          <t>PC em analise</t>
        </is>
      </c>
      <c r="X1530" s="110" t="inlineStr">
        <is>
          <t>Pedido de Compra</t>
        </is>
      </c>
      <c r="Y1530" s="111" t="inlineStr">
        <is>
          <t>Impacto Potencial</t>
        </is>
      </c>
      <c r="Z1530" s="111" t="inlineStr">
        <is>
          <t>PC</t>
        </is>
      </c>
      <c r="AA1530" s="111" t="inlineStr">
        <is>
          <t>Nao</t>
        </is>
      </c>
      <c r="AB1530" s="111" t="inlineStr">
        <is>
          <t>NAO_COMPUTADO</t>
        </is>
      </c>
      <c r="AC1530" s="112" t="inlineStr">
        <is>
          <t>Estrutura Fase 1: sem impacto no VTA oficial</t>
        </is>
      </c>
    </row>
    <row r="1531" ht="25.5" customHeight="1" s="289">
      <c r="A1531" s="205" t="n"/>
      <c r="B1531" s="207" t="n"/>
      <c r="C1531" s="104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348" t="n"/>
      <c r="E1531" s="349">
        <f>IF(C1531="","",IFERROR(VLOOKUP(C1531,parametros!$A$11:$E$15,5,0),""))</f>
        <v/>
      </c>
      <c r="F1531" s="335">
        <f>IF(OR(D1531="",E1531=""),"",ROUND(D1531*E1531,2))</f>
        <v/>
      </c>
      <c r="G1531" s="106" t="n"/>
      <c r="H1531" s="350">
        <f>IF(G1531="Sim",IF(OR(F1531="",D1531="",L1531=""),"",IF(L1531="Sim",ROUND(F1531-D1531,2),0)),0)</f>
        <v/>
      </c>
      <c r="I1531" s="350">
        <f>IF(G1531="Sim",0,IF(OR(F1531="",L1531=""),"",F1531))</f>
        <v/>
      </c>
      <c r="J1531" s="350">
        <f>IF(G1531="Sim",0,IF(OR(F1531="",D1531="",L1531=""),"",IF(L1531="Sim",ROUND(F1531-D1531,2),0)))</f>
        <v/>
      </c>
      <c r="K1531" s="97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inlineStr">
        <is>
          <t>Nao</t>
        </is>
      </c>
      <c r="W1531" s="110" t="inlineStr">
        <is>
          <t>PC em analise</t>
        </is>
      </c>
      <c r="X1531" s="110" t="inlineStr">
        <is>
          <t>Pedido de Compra</t>
        </is>
      </c>
      <c r="Y1531" s="111" t="inlineStr">
        <is>
          <t>Impacto Potencial</t>
        </is>
      </c>
      <c r="Z1531" s="111" t="inlineStr">
        <is>
          <t>PC</t>
        </is>
      </c>
      <c r="AA1531" s="111" t="inlineStr">
        <is>
          <t>Nao</t>
        </is>
      </c>
      <c r="AB1531" s="111" t="inlineStr">
        <is>
          <t>NAO_COMPUTADO</t>
        </is>
      </c>
      <c r="AC1531" s="112" t="inlineStr">
        <is>
          <t>Estrutura Fase 1: sem impacto no VTA oficial</t>
        </is>
      </c>
    </row>
    <row r="1532" ht="25.5" customHeight="1" s="289">
      <c r="A1532" s="205" t="n"/>
      <c r="B1532" s="207" t="n"/>
      <c r="C1532" s="104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348" t="n"/>
      <c r="E1532" s="349">
        <f>IF(C1532="","",IFERROR(VLOOKUP(C1532,parametros!$A$11:$E$15,5,0),""))</f>
        <v/>
      </c>
      <c r="F1532" s="335">
        <f>IF(OR(D1532="",E1532=""),"",ROUND(D1532*E1532,2))</f>
        <v/>
      </c>
      <c r="G1532" s="106" t="n"/>
      <c r="H1532" s="350">
        <f>IF(G1532="Sim",IF(OR(F1532="",D1532="",L1532=""),"",IF(L1532="Sim",ROUND(F1532-D1532,2),0)),0)</f>
        <v/>
      </c>
      <c r="I1532" s="350">
        <f>IF(G1532="Sim",0,IF(OR(F1532="",L1532=""),"",F1532))</f>
        <v/>
      </c>
      <c r="J1532" s="350">
        <f>IF(G1532="Sim",0,IF(OR(F1532="",D1532="",L1532=""),"",IF(L1532="Sim",ROUND(F1532-D1532,2),0)))</f>
        <v/>
      </c>
      <c r="K1532" s="97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inlineStr">
        <is>
          <t>Nao</t>
        </is>
      </c>
      <c r="W1532" s="110" t="inlineStr">
        <is>
          <t>PC em analise</t>
        </is>
      </c>
      <c r="X1532" s="110" t="inlineStr">
        <is>
          <t>Pedido de Compra</t>
        </is>
      </c>
      <c r="Y1532" s="111" t="inlineStr">
        <is>
          <t>Impacto Potencial</t>
        </is>
      </c>
      <c r="Z1532" s="111" t="inlineStr">
        <is>
          <t>PC</t>
        </is>
      </c>
      <c r="AA1532" s="111" t="inlineStr">
        <is>
          <t>Nao</t>
        </is>
      </c>
      <c r="AB1532" s="111" t="inlineStr">
        <is>
          <t>NAO_COMPUTADO</t>
        </is>
      </c>
      <c r="AC1532" s="112" t="inlineStr">
        <is>
          <t>Estrutura Fase 1: sem impacto no VTA oficial</t>
        </is>
      </c>
    </row>
    <row r="1533" ht="25.5" customHeight="1" s="289">
      <c r="A1533" s="205" t="n"/>
      <c r="B1533" s="207" t="n"/>
      <c r="C1533" s="104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348" t="n"/>
      <c r="E1533" s="349">
        <f>IF(C1533="","",IFERROR(VLOOKUP(C1533,parametros!$A$11:$E$15,5,0),""))</f>
        <v/>
      </c>
      <c r="F1533" s="335">
        <f>IF(OR(D1533="",E1533=""),"",ROUND(D1533*E1533,2))</f>
        <v/>
      </c>
      <c r="G1533" s="106" t="n"/>
      <c r="H1533" s="350">
        <f>IF(G1533="Sim",IF(OR(F1533="",D1533="",L1533=""),"",IF(L1533="Sim",ROUND(F1533-D1533,2),0)),0)</f>
        <v/>
      </c>
      <c r="I1533" s="350">
        <f>IF(G1533="Sim",0,IF(OR(F1533="",L1533=""),"",F1533))</f>
        <v/>
      </c>
      <c r="J1533" s="350">
        <f>IF(G1533="Sim",0,IF(OR(F1533="",D1533="",L1533=""),"",IF(L1533="Sim",ROUND(F1533-D1533,2),0)))</f>
        <v/>
      </c>
      <c r="K1533" s="97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inlineStr">
        <is>
          <t>Nao</t>
        </is>
      </c>
      <c r="W1533" s="110" t="inlineStr">
        <is>
          <t>PC em analise</t>
        </is>
      </c>
      <c r="X1533" s="110" t="inlineStr">
        <is>
          <t>Pedido de Compra</t>
        </is>
      </c>
      <c r="Y1533" s="111" t="inlineStr">
        <is>
          <t>Impacto Potencial</t>
        </is>
      </c>
      <c r="Z1533" s="111" t="inlineStr">
        <is>
          <t>PC</t>
        </is>
      </c>
      <c r="AA1533" s="111" t="inlineStr">
        <is>
          <t>Nao</t>
        </is>
      </c>
      <c r="AB1533" s="111" t="inlineStr">
        <is>
          <t>NAO_COMPUTADO</t>
        </is>
      </c>
      <c r="AC1533" s="112" t="inlineStr">
        <is>
          <t>Estrutura Fase 1: sem impacto no VTA oficial</t>
        </is>
      </c>
    </row>
    <row r="1534" ht="25.5" customHeight="1" s="289">
      <c r="A1534" s="205" t="n"/>
      <c r="B1534" s="207" t="n"/>
      <c r="C1534" s="104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348" t="n"/>
      <c r="E1534" s="349">
        <f>IF(C1534="","",IFERROR(VLOOKUP(C1534,parametros!$A$11:$E$15,5,0),""))</f>
        <v/>
      </c>
      <c r="F1534" s="335">
        <f>IF(OR(D1534="",E1534=""),"",ROUND(D1534*E1534,2))</f>
        <v/>
      </c>
      <c r="G1534" s="106" t="n"/>
      <c r="H1534" s="350">
        <f>IF(G1534="Sim",IF(OR(F1534="",D1534="",L1534=""),"",IF(L1534="Sim",ROUND(F1534-D1534,2),0)),0)</f>
        <v/>
      </c>
      <c r="I1534" s="350">
        <f>IF(G1534="Sim",0,IF(OR(F1534="",L1534=""),"",F1534))</f>
        <v/>
      </c>
      <c r="J1534" s="350">
        <f>IF(G1534="Sim",0,IF(OR(F1534="",D1534="",L1534=""),"",IF(L1534="Sim",ROUND(F1534-D1534,2),0)))</f>
        <v/>
      </c>
      <c r="K1534" s="97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inlineStr">
        <is>
          <t>Nao</t>
        </is>
      </c>
      <c r="W1534" s="110" t="inlineStr">
        <is>
          <t>PC em analise</t>
        </is>
      </c>
      <c r="X1534" s="110" t="inlineStr">
        <is>
          <t>Pedido de Compra</t>
        </is>
      </c>
      <c r="Y1534" s="111" t="inlineStr">
        <is>
          <t>Impacto Potencial</t>
        </is>
      </c>
      <c r="Z1534" s="111" t="inlineStr">
        <is>
          <t>PC</t>
        </is>
      </c>
      <c r="AA1534" s="111" t="inlineStr">
        <is>
          <t>Nao</t>
        </is>
      </c>
      <c r="AB1534" s="111" t="inlineStr">
        <is>
          <t>NAO_COMPUTADO</t>
        </is>
      </c>
      <c r="AC1534" s="112" t="inlineStr">
        <is>
          <t>Estrutura Fase 1: sem impacto no VTA oficial</t>
        </is>
      </c>
    </row>
    <row r="1535" ht="25.5" customHeight="1" s="289">
      <c r="A1535" s="205" t="n"/>
      <c r="B1535" s="207" t="n"/>
      <c r="C1535" s="104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348" t="n"/>
      <c r="E1535" s="349">
        <f>IF(C1535="","",IFERROR(VLOOKUP(C1535,parametros!$A$11:$E$15,5,0),""))</f>
        <v/>
      </c>
      <c r="F1535" s="335">
        <f>IF(OR(D1535="",E1535=""),"",ROUND(D1535*E1535,2))</f>
        <v/>
      </c>
      <c r="G1535" s="106" t="n"/>
      <c r="H1535" s="350">
        <f>IF(G1535="Sim",IF(OR(F1535="",D1535="",L1535=""),"",IF(L1535="Sim",ROUND(F1535-D1535,2),0)),0)</f>
        <v/>
      </c>
      <c r="I1535" s="350">
        <f>IF(G1535="Sim",0,IF(OR(F1535="",L1535=""),"",F1535))</f>
        <v/>
      </c>
      <c r="J1535" s="350">
        <f>IF(G1535="Sim",0,IF(OR(F1535="",D1535="",L1535=""),"",IF(L1535="Sim",ROUND(F1535-D1535,2),0)))</f>
        <v/>
      </c>
      <c r="K1535" s="97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inlineStr">
        <is>
          <t>Nao</t>
        </is>
      </c>
      <c r="W1535" s="110" t="inlineStr">
        <is>
          <t>PC em analise</t>
        </is>
      </c>
      <c r="X1535" s="110" t="inlineStr">
        <is>
          <t>Pedido de Compra</t>
        </is>
      </c>
      <c r="Y1535" s="111" t="inlineStr">
        <is>
          <t>Impacto Potencial</t>
        </is>
      </c>
      <c r="Z1535" s="111" t="inlineStr">
        <is>
          <t>PC</t>
        </is>
      </c>
      <c r="AA1535" s="111" t="inlineStr">
        <is>
          <t>Nao</t>
        </is>
      </c>
      <c r="AB1535" s="111" t="inlineStr">
        <is>
          <t>NAO_COMPUTADO</t>
        </is>
      </c>
      <c r="AC1535" s="112" t="inlineStr">
        <is>
          <t>Estrutura Fase 1: sem impacto no VTA oficial</t>
        </is>
      </c>
    </row>
    <row r="1536" ht="25.5" customHeight="1" s="289">
      <c r="A1536" s="205" t="n"/>
      <c r="B1536" s="207" t="n"/>
      <c r="C1536" s="104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348" t="n"/>
      <c r="E1536" s="349">
        <f>IF(C1536="","",IFERROR(VLOOKUP(C1536,parametros!$A$11:$E$15,5,0),""))</f>
        <v/>
      </c>
      <c r="F1536" s="335">
        <f>IF(OR(D1536="",E1536=""),"",ROUND(D1536*E1536,2))</f>
        <v/>
      </c>
      <c r="G1536" s="106" t="n"/>
      <c r="H1536" s="350">
        <f>IF(G1536="Sim",IF(OR(F1536="",D1536="",L1536=""),"",IF(L1536="Sim",ROUND(F1536-D1536,2),0)),0)</f>
        <v/>
      </c>
      <c r="I1536" s="350">
        <f>IF(G1536="Sim",0,IF(OR(F1536="",L1536=""),"",F1536))</f>
        <v/>
      </c>
      <c r="J1536" s="350">
        <f>IF(G1536="Sim",0,IF(OR(F1536="",D1536="",L1536=""),"",IF(L1536="Sim",ROUND(F1536-D1536,2),0)))</f>
        <v/>
      </c>
      <c r="K1536" s="97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inlineStr">
        <is>
          <t>Nao</t>
        </is>
      </c>
      <c r="W1536" s="110" t="inlineStr">
        <is>
          <t>PC em analise</t>
        </is>
      </c>
      <c r="X1536" s="110" t="inlineStr">
        <is>
          <t>Pedido de Compra</t>
        </is>
      </c>
      <c r="Y1536" s="111" t="inlineStr">
        <is>
          <t>Impacto Potencial</t>
        </is>
      </c>
      <c r="Z1536" s="111" t="inlineStr">
        <is>
          <t>PC</t>
        </is>
      </c>
      <c r="AA1536" s="111" t="inlineStr">
        <is>
          <t>Nao</t>
        </is>
      </c>
      <c r="AB1536" s="111" t="inlineStr">
        <is>
          <t>NAO_COMPUTADO</t>
        </is>
      </c>
      <c r="AC1536" s="112" t="inlineStr">
        <is>
          <t>Estrutura Fase 1: sem impacto no VTA oficial</t>
        </is>
      </c>
    </row>
    <row r="1537" ht="25.5" customHeight="1" s="289">
      <c r="A1537" s="205" t="n"/>
      <c r="B1537" s="207" t="n"/>
      <c r="C1537" s="104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348" t="n"/>
      <c r="E1537" s="349">
        <f>IF(C1537="","",IFERROR(VLOOKUP(C1537,parametros!$A$11:$E$15,5,0),""))</f>
        <v/>
      </c>
      <c r="F1537" s="335">
        <f>IF(OR(D1537="",E1537=""),"",ROUND(D1537*E1537,2))</f>
        <v/>
      </c>
      <c r="G1537" s="106" t="n"/>
      <c r="H1537" s="350">
        <f>IF(G1537="Sim",IF(OR(F1537="",D1537="",L1537=""),"",IF(L1537="Sim",ROUND(F1537-D1537,2),0)),0)</f>
        <v/>
      </c>
      <c r="I1537" s="350">
        <f>IF(G1537="Sim",0,IF(OR(F1537="",L1537=""),"",F1537))</f>
        <v/>
      </c>
      <c r="J1537" s="350">
        <f>IF(G1537="Sim",0,IF(OR(F1537="",D1537="",L1537=""),"",IF(L1537="Sim",ROUND(F1537-D1537,2),0)))</f>
        <v/>
      </c>
      <c r="K1537" s="97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inlineStr">
        <is>
          <t>Nao</t>
        </is>
      </c>
      <c r="W1537" s="110" t="inlineStr">
        <is>
          <t>PC em analise</t>
        </is>
      </c>
      <c r="X1537" s="110" t="inlineStr">
        <is>
          <t>Pedido de Compra</t>
        </is>
      </c>
      <c r="Y1537" s="111" t="inlineStr">
        <is>
          <t>Impacto Potencial</t>
        </is>
      </c>
      <c r="Z1537" s="111" t="inlineStr">
        <is>
          <t>PC</t>
        </is>
      </c>
      <c r="AA1537" s="111" t="inlineStr">
        <is>
          <t>Nao</t>
        </is>
      </c>
      <c r="AB1537" s="111" t="inlineStr">
        <is>
          <t>NAO_COMPUTADO</t>
        </is>
      </c>
      <c r="AC1537" s="112" t="inlineStr">
        <is>
          <t>Estrutura Fase 1: sem impacto no VTA oficial</t>
        </is>
      </c>
    </row>
    <row r="1538" ht="25.5" customHeight="1" s="289">
      <c r="A1538" s="205" t="n"/>
      <c r="B1538" s="207" t="n"/>
      <c r="C1538" s="104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348" t="n"/>
      <c r="E1538" s="349">
        <f>IF(C1538="","",IFERROR(VLOOKUP(C1538,parametros!$A$11:$E$15,5,0),""))</f>
        <v/>
      </c>
      <c r="F1538" s="335">
        <f>IF(OR(D1538="",E1538=""),"",ROUND(D1538*E1538,2))</f>
        <v/>
      </c>
      <c r="G1538" s="106" t="n"/>
      <c r="H1538" s="350">
        <f>IF(G1538="Sim",IF(OR(F1538="",D1538="",L1538=""),"",IF(L1538="Sim",ROUND(F1538-D1538,2),0)),0)</f>
        <v/>
      </c>
      <c r="I1538" s="350">
        <f>IF(G1538="Sim",0,IF(OR(F1538="",L1538=""),"",F1538))</f>
        <v/>
      </c>
      <c r="J1538" s="350">
        <f>IF(G1538="Sim",0,IF(OR(F1538="",D1538="",L1538=""),"",IF(L1538="Sim",ROUND(F1538-D1538,2),0)))</f>
        <v/>
      </c>
      <c r="K1538" s="97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inlineStr">
        <is>
          <t>Nao</t>
        </is>
      </c>
      <c r="W1538" s="110" t="inlineStr">
        <is>
          <t>PC em analise</t>
        </is>
      </c>
      <c r="X1538" s="110" t="inlineStr">
        <is>
          <t>Pedido de Compra</t>
        </is>
      </c>
      <c r="Y1538" s="111" t="inlineStr">
        <is>
          <t>Impacto Potencial</t>
        </is>
      </c>
      <c r="Z1538" s="111" t="inlineStr">
        <is>
          <t>PC</t>
        </is>
      </c>
      <c r="AA1538" s="111" t="inlineStr">
        <is>
          <t>Nao</t>
        </is>
      </c>
      <c r="AB1538" s="111" t="inlineStr">
        <is>
          <t>NAO_COMPUTADO</t>
        </is>
      </c>
      <c r="AC1538" s="112" t="inlineStr">
        <is>
          <t>Estrutura Fase 1: sem impacto no VTA oficial</t>
        </is>
      </c>
    </row>
    <row r="1539" ht="25.5" customHeight="1" s="289">
      <c r="A1539" s="205" t="n"/>
      <c r="B1539" s="207" t="n"/>
      <c r="C1539" s="104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348" t="n"/>
      <c r="E1539" s="349">
        <f>IF(C1539="","",IFERROR(VLOOKUP(C1539,parametros!$A$11:$E$15,5,0),""))</f>
        <v/>
      </c>
      <c r="F1539" s="335">
        <f>IF(OR(D1539="",E1539=""),"",ROUND(D1539*E1539,2))</f>
        <v/>
      </c>
      <c r="G1539" s="106" t="n"/>
      <c r="H1539" s="350">
        <f>IF(G1539="Sim",IF(OR(F1539="",D1539="",L1539=""),"",IF(L1539="Sim",ROUND(F1539-D1539,2),0)),0)</f>
        <v/>
      </c>
      <c r="I1539" s="350">
        <f>IF(G1539="Sim",0,IF(OR(F1539="",L1539=""),"",F1539))</f>
        <v/>
      </c>
      <c r="J1539" s="350">
        <f>IF(G1539="Sim",0,IF(OR(F1539="",D1539="",L1539=""),"",IF(L1539="Sim",ROUND(F1539-D1539,2),0)))</f>
        <v/>
      </c>
      <c r="K1539" s="97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inlineStr">
        <is>
          <t>Nao</t>
        </is>
      </c>
      <c r="W1539" s="110" t="inlineStr">
        <is>
          <t>PC em analise</t>
        </is>
      </c>
      <c r="X1539" s="110" t="inlineStr">
        <is>
          <t>Pedido de Compra</t>
        </is>
      </c>
      <c r="Y1539" s="111" t="inlineStr">
        <is>
          <t>Impacto Potencial</t>
        </is>
      </c>
      <c r="Z1539" s="111" t="inlineStr">
        <is>
          <t>PC</t>
        </is>
      </c>
      <c r="AA1539" s="111" t="inlineStr">
        <is>
          <t>Nao</t>
        </is>
      </c>
      <c r="AB1539" s="111" t="inlineStr">
        <is>
          <t>NAO_COMPUTADO</t>
        </is>
      </c>
      <c r="AC1539" s="112" t="inlineStr">
        <is>
          <t>Estrutura Fase 1: sem impacto no VTA oficial</t>
        </is>
      </c>
    </row>
    <row r="1540" ht="25.5" customHeight="1" s="289">
      <c r="A1540" s="205" t="n"/>
      <c r="B1540" s="207" t="n"/>
      <c r="C1540" s="104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348" t="n"/>
      <c r="E1540" s="349">
        <f>IF(C1540="","",IFERROR(VLOOKUP(C1540,parametros!$A$11:$E$15,5,0),""))</f>
        <v/>
      </c>
      <c r="F1540" s="335">
        <f>IF(OR(D1540="",E1540=""),"",ROUND(D1540*E1540,2))</f>
        <v/>
      </c>
      <c r="G1540" s="106" t="n"/>
      <c r="H1540" s="350">
        <f>IF(G1540="Sim",IF(OR(F1540="",D1540="",L1540=""),"",IF(L1540="Sim",ROUND(F1540-D1540,2),0)),0)</f>
        <v/>
      </c>
      <c r="I1540" s="350">
        <f>IF(G1540="Sim",0,IF(OR(F1540="",L1540=""),"",F1540))</f>
        <v/>
      </c>
      <c r="J1540" s="350">
        <f>IF(G1540="Sim",0,IF(OR(F1540="",D1540="",L1540=""),"",IF(L1540="Sim",ROUND(F1540-D1540,2),0)))</f>
        <v/>
      </c>
      <c r="K1540" s="97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inlineStr">
        <is>
          <t>Nao</t>
        </is>
      </c>
      <c r="W1540" s="110" t="inlineStr">
        <is>
          <t>PC em analise</t>
        </is>
      </c>
      <c r="X1540" s="110" t="inlineStr">
        <is>
          <t>Pedido de Compra</t>
        </is>
      </c>
      <c r="Y1540" s="111" t="inlineStr">
        <is>
          <t>Impacto Potencial</t>
        </is>
      </c>
      <c r="Z1540" s="111" t="inlineStr">
        <is>
          <t>PC</t>
        </is>
      </c>
      <c r="AA1540" s="111" t="inlineStr">
        <is>
          <t>Nao</t>
        </is>
      </c>
      <c r="AB1540" s="111" t="inlineStr">
        <is>
          <t>NAO_COMPUTADO</t>
        </is>
      </c>
      <c r="AC1540" s="112" t="inlineStr">
        <is>
          <t>Estrutura Fase 1: sem impacto no VTA oficial</t>
        </is>
      </c>
    </row>
    <row r="1541" ht="25.5" customHeight="1" s="289">
      <c r="A1541" s="205" t="n"/>
      <c r="B1541" s="207" t="n"/>
      <c r="C1541" s="104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348" t="n"/>
      <c r="E1541" s="349">
        <f>IF(C1541="","",IFERROR(VLOOKUP(C1541,parametros!$A$11:$E$15,5,0),""))</f>
        <v/>
      </c>
      <c r="F1541" s="335">
        <f>IF(OR(D1541="",E1541=""),"",ROUND(D1541*E1541,2))</f>
        <v/>
      </c>
      <c r="G1541" s="106" t="n"/>
      <c r="H1541" s="350">
        <f>IF(G1541="Sim",IF(OR(F1541="",D1541="",L1541=""),"",IF(L1541="Sim",ROUND(F1541-D1541,2),0)),0)</f>
        <v/>
      </c>
      <c r="I1541" s="350">
        <f>IF(G1541="Sim",0,IF(OR(F1541="",L1541=""),"",F1541))</f>
        <v/>
      </c>
      <c r="J1541" s="350">
        <f>IF(G1541="Sim",0,IF(OR(F1541="",D1541="",L1541=""),"",IF(L1541="Sim",ROUND(F1541-D1541,2),0)))</f>
        <v/>
      </c>
      <c r="K1541" s="97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inlineStr">
        <is>
          <t>Nao</t>
        </is>
      </c>
      <c r="W1541" s="110" t="inlineStr">
        <is>
          <t>PC em analise</t>
        </is>
      </c>
      <c r="X1541" s="110" t="inlineStr">
        <is>
          <t>Pedido de Compra</t>
        </is>
      </c>
      <c r="Y1541" s="111" t="inlineStr">
        <is>
          <t>Impacto Potencial</t>
        </is>
      </c>
      <c r="Z1541" s="111" t="inlineStr">
        <is>
          <t>PC</t>
        </is>
      </c>
      <c r="AA1541" s="111" t="inlineStr">
        <is>
          <t>Nao</t>
        </is>
      </c>
      <c r="AB1541" s="111" t="inlineStr">
        <is>
          <t>NAO_COMPUTADO</t>
        </is>
      </c>
      <c r="AC1541" s="112" t="inlineStr">
        <is>
          <t>Estrutura Fase 1: sem impacto no VTA oficial</t>
        </is>
      </c>
    </row>
    <row r="1542" ht="25.5" customHeight="1" s="289">
      <c r="A1542" s="205" t="n"/>
      <c r="B1542" s="207" t="n"/>
      <c r="C1542" s="104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348" t="n"/>
      <c r="E1542" s="349">
        <f>IF(C1542="","",IFERROR(VLOOKUP(C1542,parametros!$A$11:$E$15,5,0),""))</f>
        <v/>
      </c>
      <c r="F1542" s="335">
        <f>IF(OR(D1542="",E1542=""),"",ROUND(D1542*E1542,2))</f>
        <v/>
      </c>
      <c r="G1542" s="106" t="n"/>
      <c r="H1542" s="350">
        <f>IF(G1542="Sim",IF(OR(F1542="",D1542="",L1542=""),"",IF(L1542="Sim",ROUND(F1542-D1542,2),0)),0)</f>
        <v/>
      </c>
      <c r="I1542" s="350">
        <f>IF(G1542="Sim",0,IF(OR(F1542="",L1542=""),"",F1542))</f>
        <v/>
      </c>
      <c r="J1542" s="350">
        <f>IF(G1542="Sim",0,IF(OR(F1542="",D1542="",L1542=""),"",IF(L1542="Sim",ROUND(F1542-D1542,2),0)))</f>
        <v/>
      </c>
      <c r="K1542" s="97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inlineStr">
        <is>
          <t>Nao</t>
        </is>
      </c>
      <c r="W1542" s="110" t="inlineStr">
        <is>
          <t>PC em analise</t>
        </is>
      </c>
      <c r="X1542" s="110" t="inlineStr">
        <is>
          <t>Pedido de Compra</t>
        </is>
      </c>
      <c r="Y1542" s="111" t="inlineStr">
        <is>
          <t>Impacto Potencial</t>
        </is>
      </c>
      <c r="Z1542" s="111" t="inlineStr">
        <is>
          <t>PC</t>
        </is>
      </c>
      <c r="AA1542" s="111" t="inlineStr">
        <is>
          <t>Nao</t>
        </is>
      </c>
      <c r="AB1542" s="111" t="inlineStr">
        <is>
          <t>NAO_COMPUTADO</t>
        </is>
      </c>
      <c r="AC1542" s="112" t="inlineStr">
        <is>
          <t>Estrutura Fase 1: sem impacto no VTA oficial</t>
        </is>
      </c>
    </row>
    <row r="1543" ht="25.5" customHeight="1" s="289">
      <c r="A1543" s="205" t="n"/>
      <c r="B1543" s="207" t="n"/>
      <c r="C1543" s="104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348" t="n"/>
      <c r="E1543" s="349">
        <f>IF(C1543="","",IFERROR(VLOOKUP(C1543,parametros!$A$11:$E$15,5,0),""))</f>
        <v/>
      </c>
      <c r="F1543" s="335">
        <f>IF(OR(D1543="",E1543=""),"",ROUND(D1543*E1543,2))</f>
        <v/>
      </c>
      <c r="G1543" s="106" t="n"/>
      <c r="H1543" s="350">
        <f>IF(G1543="Sim",IF(OR(F1543="",D1543="",L1543=""),"",IF(L1543="Sim",ROUND(F1543-D1543,2),0)),0)</f>
        <v/>
      </c>
      <c r="I1543" s="350">
        <f>IF(G1543="Sim",0,IF(OR(F1543="",L1543=""),"",F1543))</f>
        <v/>
      </c>
      <c r="J1543" s="350">
        <f>IF(G1543="Sim",0,IF(OR(F1543="",D1543="",L1543=""),"",IF(L1543="Sim",ROUND(F1543-D1543,2),0)))</f>
        <v/>
      </c>
      <c r="K1543" s="97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inlineStr">
        <is>
          <t>Nao</t>
        </is>
      </c>
      <c r="W1543" s="110" t="inlineStr">
        <is>
          <t>PC em analise</t>
        </is>
      </c>
      <c r="X1543" s="110" t="inlineStr">
        <is>
          <t>Pedido de Compra</t>
        </is>
      </c>
      <c r="Y1543" s="111" t="inlineStr">
        <is>
          <t>Impacto Potencial</t>
        </is>
      </c>
      <c r="Z1543" s="111" t="inlineStr">
        <is>
          <t>PC</t>
        </is>
      </c>
      <c r="AA1543" s="111" t="inlineStr">
        <is>
          <t>Nao</t>
        </is>
      </c>
      <c r="AB1543" s="111" t="inlineStr">
        <is>
          <t>NAO_COMPUTADO</t>
        </is>
      </c>
      <c r="AC1543" s="112" t="inlineStr">
        <is>
          <t>Estrutura Fase 1: sem impacto no VTA oficial</t>
        </is>
      </c>
    </row>
    <row r="1544" ht="25.5" customHeight="1" s="289">
      <c r="A1544" s="205" t="n"/>
      <c r="B1544" s="207" t="n"/>
      <c r="C1544" s="104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348" t="n"/>
      <c r="E1544" s="349">
        <f>IF(C1544="","",IFERROR(VLOOKUP(C1544,parametros!$A$11:$E$15,5,0),""))</f>
        <v/>
      </c>
      <c r="F1544" s="335">
        <f>IF(OR(D1544="",E1544=""),"",ROUND(D1544*E1544,2))</f>
        <v/>
      </c>
      <c r="G1544" s="106" t="n"/>
      <c r="H1544" s="350">
        <f>IF(G1544="Sim",IF(OR(F1544="",D1544="",L1544=""),"",IF(L1544="Sim",ROUND(F1544-D1544,2),0)),0)</f>
        <v/>
      </c>
      <c r="I1544" s="350">
        <f>IF(G1544="Sim",0,IF(OR(F1544="",L1544=""),"",F1544))</f>
        <v/>
      </c>
      <c r="J1544" s="350">
        <f>IF(G1544="Sim",0,IF(OR(F1544="",D1544="",L1544=""),"",IF(L1544="Sim",ROUND(F1544-D1544,2),0)))</f>
        <v/>
      </c>
      <c r="K1544" s="97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inlineStr">
        <is>
          <t>Nao</t>
        </is>
      </c>
      <c r="W1544" s="110" t="inlineStr">
        <is>
          <t>PC em analise</t>
        </is>
      </c>
      <c r="X1544" s="110" t="inlineStr">
        <is>
          <t>Pedido de Compra</t>
        </is>
      </c>
      <c r="Y1544" s="111" t="inlineStr">
        <is>
          <t>Impacto Potencial</t>
        </is>
      </c>
      <c r="Z1544" s="111" t="inlineStr">
        <is>
          <t>PC</t>
        </is>
      </c>
      <c r="AA1544" s="111" t="inlineStr">
        <is>
          <t>Nao</t>
        </is>
      </c>
      <c r="AB1544" s="111" t="inlineStr">
        <is>
          <t>NAO_COMPUTADO</t>
        </is>
      </c>
      <c r="AC1544" s="112" t="inlineStr">
        <is>
          <t>Estrutura Fase 1: sem impacto no VTA oficial</t>
        </is>
      </c>
    </row>
    <row r="1545" ht="25.5" customHeight="1" s="289">
      <c r="A1545" s="205" t="n"/>
      <c r="B1545" s="207" t="n"/>
      <c r="C1545" s="104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348" t="n"/>
      <c r="E1545" s="349">
        <f>IF(C1545="","",IFERROR(VLOOKUP(C1545,parametros!$A$11:$E$15,5,0),""))</f>
        <v/>
      </c>
      <c r="F1545" s="335">
        <f>IF(OR(D1545="",E1545=""),"",ROUND(D1545*E1545,2))</f>
        <v/>
      </c>
      <c r="G1545" s="106" t="n"/>
      <c r="H1545" s="350">
        <f>IF(G1545="Sim",IF(OR(F1545="",D1545="",L1545=""),"",IF(L1545="Sim",ROUND(F1545-D1545,2),0)),0)</f>
        <v/>
      </c>
      <c r="I1545" s="350">
        <f>IF(G1545="Sim",0,IF(OR(F1545="",L1545=""),"",F1545))</f>
        <v/>
      </c>
      <c r="J1545" s="350">
        <f>IF(G1545="Sim",0,IF(OR(F1545="",D1545="",L1545=""),"",IF(L1545="Sim",ROUND(F1545-D1545,2),0)))</f>
        <v/>
      </c>
      <c r="K1545" s="97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inlineStr">
        <is>
          <t>Nao</t>
        </is>
      </c>
      <c r="W1545" s="110" t="inlineStr">
        <is>
          <t>PC em analise</t>
        </is>
      </c>
      <c r="X1545" s="110" t="inlineStr">
        <is>
          <t>Pedido de Compra</t>
        </is>
      </c>
      <c r="Y1545" s="111" t="inlineStr">
        <is>
          <t>Impacto Potencial</t>
        </is>
      </c>
      <c r="Z1545" s="111" t="inlineStr">
        <is>
          <t>PC</t>
        </is>
      </c>
      <c r="AA1545" s="111" t="inlineStr">
        <is>
          <t>Nao</t>
        </is>
      </c>
      <c r="AB1545" s="111" t="inlineStr">
        <is>
          <t>NAO_COMPUTADO</t>
        </is>
      </c>
      <c r="AC1545" s="112" t="inlineStr">
        <is>
          <t>Estrutura Fase 1: sem impacto no VTA oficial</t>
        </is>
      </c>
    </row>
    <row r="1546" ht="25.5" customHeight="1" s="289">
      <c r="A1546" s="205" t="n"/>
      <c r="B1546" s="207" t="n"/>
      <c r="C1546" s="104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348" t="n"/>
      <c r="E1546" s="349">
        <f>IF(C1546="","",IFERROR(VLOOKUP(C1546,parametros!$A$11:$E$15,5,0),""))</f>
        <v/>
      </c>
      <c r="F1546" s="335">
        <f>IF(OR(D1546="",E1546=""),"",ROUND(D1546*E1546,2))</f>
        <v/>
      </c>
      <c r="G1546" s="106" t="n"/>
      <c r="H1546" s="350">
        <f>IF(G1546="Sim",IF(OR(F1546="",D1546="",L1546=""),"",IF(L1546="Sim",ROUND(F1546-D1546,2),0)),0)</f>
        <v/>
      </c>
      <c r="I1546" s="350">
        <f>IF(G1546="Sim",0,IF(OR(F1546="",L1546=""),"",F1546))</f>
        <v/>
      </c>
      <c r="J1546" s="350">
        <f>IF(G1546="Sim",0,IF(OR(F1546="",D1546="",L1546=""),"",IF(L1546="Sim",ROUND(F1546-D1546,2),0)))</f>
        <v/>
      </c>
      <c r="K1546" s="97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inlineStr">
        <is>
          <t>Nao</t>
        </is>
      </c>
      <c r="W1546" s="110" t="inlineStr">
        <is>
          <t>PC em analise</t>
        </is>
      </c>
      <c r="X1546" s="110" t="inlineStr">
        <is>
          <t>Pedido de Compra</t>
        </is>
      </c>
      <c r="Y1546" s="111" t="inlineStr">
        <is>
          <t>Impacto Potencial</t>
        </is>
      </c>
      <c r="Z1546" s="111" t="inlineStr">
        <is>
          <t>PC</t>
        </is>
      </c>
      <c r="AA1546" s="111" t="inlineStr">
        <is>
          <t>Nao</t>
        </is>
      </c>
      <c r="AB1546" s="111" t="inlineStr">
        <is>
          <t>NAO_COMPUTADO</t>
        </is>
      </c>
      <c r="AC1546" s="112" t="inlineStr">
        <is>
          <t>Estrutura Fase 1: sem impacto no VTA oficial</t>
        </is>
      </c>
    </row>
    <row r="1547" ht="25.5" customHeight="1" s="289">
      <c r="A1547" s="205" t="n"/>
      <c r="B1547" s="207" t="n"/>
      <c r="C1547" s="104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348" t="n"/>
      <c r="E1547" s="349">
        <f>IF(C1547="","",IFERROR(VLOOKUP(C1547,parametros!$A$11:$E$15,5,0),""))</f>
        <v/>
      </c>
      <c r="F1547" s="335">
        <f>IF(OR(D1547="",E1547=""),"",ROUND(D1547*E1547,2))</f>
        <v/>
      </c>
      <c r="G1547" s="106" t="n"/>
      <c r="H1547" s="350">
        <f>IF(G1547="Sim",IF(OR(F1547="",D1547="",L1547=""),"",IF(L1547="Sim",ROUND(F1547-D1547,2),0)),0)</f>
        <v/>
      </c>
      <c r="I1547" s="350">
        <f>IF(G1547="Sim",0,IF(OR(F1547="",L1547=""),"",F1547))</f>
        <v/>
      </c>
      <c r="J1547" s="350">
        <f>IF(G1547="Sim",0,IF(OR(F1547="",D1547="",L1547=""),"",IF(L1547="Sim",ROUND(F1547-D1547,2),0)))</f>
        <v/>
      </c>
      <c r="K1547" s="97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inlineStr">
        <is>
          <t>Nao</t>
        </is>
      </c>
      <c r="W1547" s="110" t="inlineStr">
        <is>
          <t>PC em analise</t>
        </is>
      </c>
      <c r="X1547" s="110" t="inlineStr">
        <is>
          <t>Pedido de Compra</t>
        </is>
      </c>
      <c r="Y1547" s="111" t="inlineStr">
        <is>
          <t>Impacto Potencial</t>
        </is>
      </c>
      <c r="Z1547" s="111" t="inlineStr">
        <is>
          <t>PC</t>
        </is>
      </c>
      <c r="AA1547" s="111" t="inlineStr">
        <is>
          <t>Nao</t>
        </is>
      </c>
      <c r="AB1547" s="111" t="inlineStr">
        <is>
          <t>NAO_COMPUTADO</t>
        </is>
      </c>
      <c r="AC1547" s="112" t="inlineStr">
        <is>
          <t>Estrutura Fase 1: sem impacto no VTA oficial</t>
        </is>
      </c>
    </row>
    <row r="1548" ht="25.5" customHeight="1" s="289">
      <c r="A1548" s="205" t="n"/>
      <c r="B1548" s="207" t="n"/>
      <c r="C1548" s="104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348" t="n"/>
      <c r="E1548" s="349">
        <f>IF(C1548="","",IFERROR(VLOOKUP(C1548,parametros!$A$11:$E$15,5,0),""))</f>
        <v/>
      </c>
      <c r="F1548" s="335">
        <f>IF(OR(D1548="",E1548=""),"",ROUND(D1548*E1548,2))</f>
        <v/>
      </c>
      <c r="G1548" s="106" t="n"/>
      <c r="H1548" s="350">
        <f>IF(G1548="Sim",IF(OR(F1548="",D1548="",L1548=""),"",IF(L1548="Sim",ROUND(F1548-D1548,2),0)),0)</f>
        <v/>
      </c>
      <c r="I1548" s="350">
        <f>IF(G1548="Sim",0,IF(OR(F1548="",L1548=""),"",F1548))</f>
        <v/>
      </c>
      <c r="J1548" s="350">
        <f>IF(G1548="Sim",0,IF(OR(F1548="",D1548="",L1548=""),"",IF(L1548="Sim",ROUND(F1548-D1548,2),0)))</f>
        <v/>
      </c>
      <c r="K1548" s="97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inlineStr">
        <is>
          <t>Nao</t>
        </is>
      </c>
      <c r="W1548" s="110" t="inlineStr">
        <is>
          <t>PC em analise</t>
        </is>
      </c>
      <c r="X1548" s="110" t="inlineStr">
        <is>
          <t>Pedido de Compra</t>
        </is>
      </c>
      <c r="Y1548" s="111" t="inlineStr">
        <is>
          <t>Impacto Potencial</t>
        </is>
      </c>
      <c r="Z1548" s="111" t="inlineStr">
        <is>
          <t>PC</t>
        </is>
      </c>
      <c r="AA1548" s="111" t="inlineStr">
        <is>
          <t>Nao</t>
        </is>
      </c>
      <c r="AB1548" s="111" t="inlineStr">
        <is>
          <t>NAO_COMPUTADO</t>
        </is>
      </c>
      <c r="AC1548" s="112" t="inlineStr">
        <is>
          <t>Estrutura Fase 1: sem impacto no VTA oficial</t>
        </is>
      </c>
    </row>
    <row r="1549" ht="25.5" customHeight="1" s="289">
      <c r="A1549" s="205" t="n"/>
      <c r="B1549" s="207" t="n"/>
      <c r="C1549" s="104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348" t="n"/>
      <c r="E1549" s="349">
        <f>IF(C1549="","",IFERROR(VLOOKUP(C1549,parametros!$A$11:$E$15,5,0),""))</f>
        <v/>
      </c>
      <c r="F1549" s="335">
        <f>IF(OR(D1549="",E1549=""),"",ROUND(D1549*E1549,2))</f>
        <v/>
      </c>
      <c r="G1549" s="106" t="n"/>
      <c r="H1549" s="350">
        <f>IF(G1549="Sim",IF(OR(F1549="",D1549="",L1549=""),"",IF(L1549="Sim",ROUND(F1549-D1549,2),0)),0)</f>
        <v/>
      </c>
      <c r="I1549" s="350">
        <f>IF(G1549="Sim",0,IF(OR(F1549="",L1549=""),"",F1549))</f>
        <v/>
      </c>
      <c r="J1549" s="350">
        <f>IF(G1549="Sim",0,IF(OR(F1549="",D1549="",L1549=""),"",IF(L1549="Sim",ROUND(F1549-D1549,2),0)))</f>
        <v/>
      </c>
      <c r="K1549" s="97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inlineStr">
        <is>
          <t>Nao</t>
        </is>
      </c>
      <c r="W1549" s="110" t="inlineStr">
        <is>
          <t>PC em analise</t>
        </is>
      </c>
      <c r="X1549" s="110" t="inlineStr">
        <is>
          <t>Pedido de Compra</t>
        </is>
      </c>
      <c r="Y1549" s="111" t="inlineStr">
        <is>
          <t>Impacto Potencial</t>
        </is>
      </c>
      <c r="Z1549" s="111" t="inlineStr">
        <is>
          <t>PC</t>
        </is>
      </c>
      <c r="AA1549" s="111" t="inlineStr">
        <is>
          <t>Nao</t>
        </is>
      </c>
      <c r="AB1549" s="111" t="inlineStr">
        <is>
          <t>NAO_COMPUTADO</t>
        </is>
      </c>
      <c r="AC1549" s="112" t="inlineStr">
        <is>
          <t>Estrutura Fase 1: sem impacto no VTA oficial</t>
        </is>
      </c>
    </row>
    <row r="1550" ht="25.5" customHeight="1" s="289">
      <c r="A1550" s="205" t="n"/>
      <c r="B1550" s="207" t="n"/>
      <c r="C1550" s="104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348" t="n"/>
      <c r="E1550" s="349">
        <f>IF(C1550="","",IFERROR(VLOOKUP(C1550,parametros!$A$11:$E$15,5,0),""))</f>
        <v/>
      </c>
      <c r="F1550" s="335">
        <f>IF(OR(D1550="",E1550=""),"",ROUND(D1550*E1550,2))</f>
        <v/>
      </c>
      <c r="G1550" s="106" t="n"/>
      <c r="H1550" s="350">
        <f>IF(G1550="Sim",IF(OR(F1550="",D1550="",L1550=""),"",IF(L1550="Sim",ROUND(F1550-D1550,2),0)),0)</f>
        <v/>
      </c>
      <c r="I1550" s="350">
        <f>IF(G1550="Sim",0,IF(OR(F1550="",L1550=""),"",F1550))</f>
        <v/>
      </c>
      <c r="J1550" s="350">
        <f>IF(G1550="Sim",0,IF(OR(F1550="",D1550="",L1550=""),"",IF(L1550="Sim",ROUND(F1550-D1550,2),0)))</f>
        <v/>
      </c>
      <c r="K1550" s="97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inlineStr">
        <is>
          <t>Nao</t>
        </is>
      </c>
      <c r="W1550" s="110" t="inlineStr">
        <is>
          <t>PC em analise</t>
        </is>
      </c>
      <c r="X1550" s="110" t="inlineStr">
        <is>
          <t>Pedido de Compra</t>
        </is>
      </c>
      <c r="Y1550" s="111" t="inlineStr">
        <is>
          <t>Impacto Potencial</t>
        </is>
      </c>
      <c r="Z1550" s="111" t="inlineStr">
        <is>
          <t>PC</t>
        </is>
      </c>
      <c r="AA1550" s="111" t="inlineStr">
        <is>
          <t>Nao</t>
        </is>
      </c>
      <c r="AB1550" s="111" t="inlineStr">
        <is>
          <t>NAO_COMPUTADO</t>
        </is>
      </c>
      <c r="AC1550" s="112" t="inlineStr">
        <is>
          <t>Estrutura Fase 1: sem impacto no VTA oficial</t>
        </is>
      </c>
    </row>
    <row r="1551" ht="25.5" customHeight="1" s="289">
      <c r="A1551" s="205" t="n"/>
      <c r="B1551" s="207" t="n"/>
      <c r="C1551" s="104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348" t="n"/>
      <c r="E1551" s="349">
        <f>IF(C1551="","",IFERROR(VLOOKUP(C1551,parametros!$A$11:$E$15,5,0),""))</f>
        <v/>
      </c>
      <c r="F1551" s="335">
        <f>IF(OR(D1551="",E1551=""),"",ROUND(D1551*E1551,2))</f>
        <v/>
      </c>
      <c r="G1551" s="106" t="n"/>
      <c r="H1551" s="350">
        <f>IF(G1551="Sim",IF(OR(F1551="",D1551="",L1551=""),"",IF(L1551="Sim",ROUND(F1551-D1551,2),0)),0)</f>
        <v/>
      </c>
      <c r="I1551" s="350">
        <f>IF(G1551="Sim",0,IF(OR(F1551="",L1551=""),"",F1551))</f>
        <v/>
      </c>
      <c r="J1551" s="350">
        <f>IF(G1551="Sim",0,IF(OR(F1551="",D1551="",L1551=""),"",IF(L1551="Sim",ROUND(F1551-D1551,2),0)))</f>
        <v/>
      </c>
      <c r="K1551" s="97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inlineStr">
        <is>
          <t>Nao</t>
        </is>
      </c>
      <c r="W1551" s="110" t="inlineStr">
        <is>
          <t>PC em analise</t>
        </is>
      </c>
      <c r="X1551" s="110" t="inlineStr">
        <is>
          <t>Pedido de Compra</t>
        </is>
      </c>
      <c r="Y1551" s="111" t="inlineStr">
        <is>
          <t>Impacto Potencial</t>
        </is>
      </c>
      <c r="Z1551" s="111" t="inlineStr">
        <is>
          <t>PC</t>
        </is>
      </c>
      <c r="AA1551" s="111" t="inlineStr">
        <is>
          <t>Nao</t>
        </is>
      </c>
      <c r="AB1551" s="111" t="inlineStr">
        <is>
          <t>NAO_COMPUTADO</t>
        </is>
      </c>
      <c r="AC1551" s="112" t="inlineStr">
        <is>
          <t>Estrutura Fase 1: sem impacto no VTA oficial</t>
        </is>
      </c>
    </row>
    <row r="1552" ht="25.5" customHeight="1" s="289">
      <c r="A1552" s="205" t="n"/>
      <c r="B1552" s="207" t="n"/>
      <c r="C1552" s="104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348" t="n"/>
      <c r="E1552" s="349">
        <f>IF(C1552="","",IFERROR(VLOOKUP(C1552,parametros!$A$11:$E$15,5,0),""))</f>
        <v/>
      </c>
      <c r="F1552" s="335">
        <f>IF(OR(D1552="",E1552=""),"",ROUND(D1552*E1552,2))</f>
        <v/>
      </c>
      <c r="G1552" s="106" t="n"/>
      <c r="H1552" s="350">
        <f>IF(G1552="Sim",IF(OR(F1552="",D1552="",L1552=""),"",IF(L1552="Sim",ROUND(F1552-D1552,2),0)),0)</f>
        <v/>
      </c>
      <c r="I1552" s="350">
        <f>IF(G1552="Sim",0,IF(OR(F1552="",L1552=""),"",F1552))</f>
        <v/>
      </c>
      <c r="J1552" s="350">
        <f>IF(G1552="Sim",0,IF(OR(F1552="",D1552="",L1552=""),"",IF(L1552="Sim",ROUND(F1552-D1552,2),0)))</f>
        <v/>
      </c>
      <c r="K1552" s="97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inlineStr">
        <is>
          <t>Nao</t>
        </is>
      </c>
      <c r="W1552" s="110" t="inlineStr">
        <is>
          <t>PC em analise</t>
        </is>
      </c>
      <c r="X1552" s="110" t="inlineStr">
        <is>
          <t>Pedido de Compra</t>
        </is>
      </c>
      <c r="Y1552" s="111" t="inlineStr">
        <is>
          <t>Impacto Potencial</t>
        </is>
      </c>
      <c r="Z1552" s="111" t="inlineStr">
        <is>
          <t>PC</t>
        </is>
      </c>
      <c r="AA1552" s="111" t="inlineStr">
        <is>
          <t>Nao</t>
        </is>
      </c>
      <c r="AB1552" s="111" t="inlineStr">
        <is>
          <t>NAO_COMPUTADO</t>
        </is>
      </c>
      <c r="AC1552" s="112" t="inlineStr">
        <is>
          <t>Estrutura Fase 1: sem impacto no VTA oficial</t>
        </is>
      </c>
    </row>
    <row r="1553" ht="25.5" customHeight="1" s="289">
      <c r="A1553" s="205" t="n"/>
      <c r="B1553" s="207" t="n"/>
      <c r="C1553" s="104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348" t="n"/>
      <c r="E1553" s="349">
        <f>IF(C1553="","",IFERROR(VLOOKUP(C1553,parametros!$A$11:$E$15,5,0),""))</f>
        <v/>
      </c>
      <c r="F1553" s="335">
        <f>IF(OR(D1553="",E1553=""),"",ROUND(D1553*E1553,2))</f>
        <v/>
      </c>
      <c r="G1553" s="106" t="n"/>
      <c r="H1553" s="350">
        <f>IF(G1553="Sim",IF(OR(F1553="",D1553="",L1553=""),"",IF(L1553="Sim",ROUND(F1553-D1553,2),0)),0)</f>
        <v/>
      </c>
      <c r="I1553" s="350">
        <f>IF(G1553="Sim",0,IF(OR(F1553="",L1553=""),"",F1553))</f>
        <v/>
      </c>
      <c r="J1553" s="350">
        <f>IF(G1553="Sim",0,IF(OR(F1553="",D1553="",L1553=""),"",IF(L1553="Sim",ROUND(F1553-D1553,2),0)))</f>
        <v/>
      </c>
      <c r="K1553" s="97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inlineStr">
        <is>
          <t>Nao</t>
        </is>
      </c>
      <c r="W1553" s="110" t="inlineStr">
        <is>
          <t>PC em analise</t>
        </is>
      </c>
      <c r="X1553" s="110" t="inlineStr">
        <is>
          <t>Pedido de Compra</t>
        </is>
      </c>
      <c r="Y1553" s="111" t="inlineStr">
        <is>
          <t>Impacto Potencial</t>
        </is>
      </c>
      <c r="Z1553" s="111" t="inlineStr">
        <is>
          <t>PC</t>
        </is>
      </c>
      <c r="AA1553" s="111" t="inlineStr">
        <is>
          <t>Nao</t>
        </is>
      </c>
      <c r="AB1553" s="111" t="inlineStr">
        <is>
          <t>NAO_COMPUTADO</t>
        </is>
      </c>
      <c r="AC1553" s="112" t="inlineStr">
        <is>
          <t>Estrutura Fase 1: sem impacto no VTA oficial</t>
        </is>
      </c>
    </row>
    <row r="1554" ht="25.5" customHeight="1" s="289">
      <c r="A1554" s="205" t="n"/>
      <c r="B1554" s="207" t="n"/>
      <c r="C1554" s="104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348" t="n"/>
      <c r="E1554" s="349">
        <f>IF(C1554="","",IFERROR(VLOOKUP(C1554,parametros!$A$11:$E$15,5,0),""))</f>
        <v/>
      </c>
      <c r="F1554" s="335">
        <f>IF(OR(D1554="",E1554=""),"",ROUND(D1554*E1554,2))</f>
        <v/>
      </c>
      <c r="G1554" s="106" t="n"/>
      <c r="H1554" s="350">
        <f>IF(G1554="Sim",IF(OR(F1554="",D1554="",L1554=""),"",IF(L1554="Sim",ROUND(F1554-D1554,2),0)),0)</f>
        <v/>
      </c>
      <c r="I1554" s="350">
        <f>IF(G1554="Sim",0,IF(OR(F1554="",L1554=""),"",F1554))</f>
        <v/>
      </c>
      <c r="J1554" s="350">
        <f>IF(G1554="Sim",0,IF(OR(F1554="",D1554="",L1554=""),"",IF(L1554="Sim",ROUND(F1554-D1554,2),0)))</f>
        <v/>
      </c>
      <c r="K1554" s="97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inlineStr">
        <is>
          <t>Nao</t>
        </is>
      </c>
      <c r="W1554" s="110" t="inlineStr">
        <is>
          <t>PC em analise</t>
        </is>
      </c>
      <c r="X1554" s="110" t="inlineStr">
        <is>
          <t>Pedido de Compra</t>
        </is>
      </c>
      <c r="Y1554" s="111" t="inlineStr">
        <is>
          <t>Impacto Potencial</t>
        </is>
      </c>
      <c r="Z1554" s="111" t="inlineStr">
        <is>
          <t>PC</t>
        </is>
      </c>
      <c r="AA1554" s="111" t="inlineStr">
        <is>
          <t>Nao</t>
        </is>
      </c>
      <c r="AB1554" s="111" t="inlineStr">
        <is>
          <t>NAO_COMPUTADO</t>
        </is>
      </c>
      <c r="AC1554" s="112" t="inlineStr">
        <is>
          <t>Estrutura Fase 1: sem impacto no VTA oficial</t>
        </is>
      </c>
    </row>
    <row r="1555" ht="25.5" customHeight="1" s="289">
      <c r="A1555" s="205" t="n"/>
      <c r="B1555" s="207" t="n"/>
      <c r="C1555" s="104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348" t="n"/>
      <c r="E1555" s="349">
        <f>IF(C1555="","",IFERROR(VLOOKUP(C1555,parametros!$A$11:$E$15,5,0),""))</f>
        <v/>
      </c>
      <c r="F1555" s="335">
        <f>IF(OR(D1555="",E1555=""),"",ROUND(D1555*E1555,2))</f>
        <v/>
      </c>
      <c r="G1555" s="106" t="n"/>
      <c r="H1555" s="350">
        <f>IF(G1555="Sim",IF(OR(F1555="",D1555="",L1555=""),"",IF(L1555="Sim",ROUND(F1555-D1555,2),0)),0)</f>
        <v/>
      </c>
      <c r="I1555" s="350">
        <f>IF(G1555="Sim",0,IF(OR(F1555="",L1555=""),"",F1555))</f>
        <v/>
      </c>
      <c r="J1555" s="350">
        <f>IF(G1555="Sim",0,IF(OR(F1555="",D1555="",L1555=""),"",IF(L1555="Sim",ROUND(F1555-D1555,2),0)))</f>
        <v/>
      </c>
      <c r="K1555" s="97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inlineStr">
        <is>
          <t>Nao</t>
        </is>
      </c>
      <c r="W1555" s="110" t="inlineStr">
        <is>
          <t>PC em analise</t>
        </is>
      </c>
      <c r="X1555" s="110" t="inlineStr">
        <is>
          <t>Pedido de Compra</t>
        </is>
      </c>
      <c r="Y1555" s="111" t="inlineStr">
        <is>
          <t>Impacto Potencial</t>
        </is>
      </c>
      <c r="Z1555" s="111" t="inlineStr">
        <is>
          <t>PC</t>
        </is>
      </c>
      <c r="AA1555" s="111" t="inlineStr">
        <is>
          <t>Nao</t>
        </is>
      </c>
      <c r="AB1555" s="111" t="inlineStr">
        <is>
          <t>NAO_COMPUTADO</t>
        </is>
      </c>
      <c r="AC1555" s="112" t="inlineStr">
        <is>
          <t>Estrutura Fase 1: sem impacto no VTA oficial</t>
        </is>
      </c>
    </row>
    <row r="1556" ht="25.5" customHeight="1" s="289">
      <c r="A1556" s="205" t="n"/>
      <c r="B1556" s="207" t="n"/>
      <c r="C1556" s="104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348" t="n"/>
      <c r="E1556" s="349">
        <f>IF(C1556="","",IFERROR(VLOOKUP(C1556,parametros!$A$11:$E$15,5,0),""))</f>
        <v/>
      </c>
      <c r="F1556" s="335">
        <f>IF(OR(D1556="",E1556=""),"",ROUND(D1556*E1556,2))</f>
        <v/>
      </c>
      <c r="G1556" s="106" t="n"/>
      <c r="H1556" s="350">
        <f>IF(G1556="Sim",IF(OR(F1556="",D1556="",L1556=""),"",IF(L1556="Sim",ROUND(F1556-D1556,2),0)),0)</f>
        <v/>
      </c>
      <c r="I1556" s="350">
        <f>IF(G1556="Sim",0,IF(OR(F1556="",L1556=""),"",F1556))</f>
        <v/>
      </c>
      <c r="J1556" s="350">
        <f>IF(G1556="Sim",0,IF(OR(F1556="",D1556="",L1556=""),"",IF(L1556="Sim",ROUND(F1556-D1556,2),0)))</f>
        <v/>
      </c>
      <c r="K1556" s="97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inlineStr">
        <is>
          <t>Nao</t>
        </is>
      </c>
      <c r="W1556" s="110" t="inlineStr">
        <is>
          <t>PC em analise</t>
        </is>
      </c>
      <c r="X1556" s="110" t="inlineStr">
        <is>
          <t>Pedido de Compra</t>
        </is>
      </c>
      <c r="Y1556" s="111" t="inlineStr">
        <is>
          <t>Impacto Potencial</t>
        </is>
      </c>
      <c r="Z1556" s="111" t="inlineStr">
        <is>
          <t>PC</t>
        </is>
      </c>
      <c r="AA1556" s="111" t="inlineStr">
        <is>
          <t>Nao</t>
        </is>
      </c>
      <c r="AB1556" s="111" t="inlineStr">
        <is>
          <t>NAO_COMPUTADO</t>
        </is>
      </c>
      <c r="AC1556" s="112" t="inlineStr">
        <is>
          <t>Estrutura Fase 1: sem impacto no VTA oficial</t>
        </is>
      </c>
    </row>
    <row r="1557" ht="25.5" customHeight="1" s="289">
      <c r="A1557" s="205" t="n"/>
      <c r="B1557" s="207" t="n"/>
      <c r="C1557" s="104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348" t="n"/>
      <c r="E1557" s="349">
        <f>IF(C1557="","",IFERROR(VLOOKUP(C1557,parametros!$A$11:$E$15,5,0),""))</f>
        <v/>
      </c>
      <c r="F1557" s="335">
        <f>IF(OR(D1557="",E1557=""),"",ROUND(D1557*E1557,2))</f>
        <v/>
      </c>
      <c r="G1557" s="106" t="n"/>
      <c r="H1557" s="350">
        <f>IF(G1557="Sim",IF(OR(F1557="",D1557="",L1557=""),"",IF(L1557="Sim",ROUND(F1557-D1557,2),0)),0)</f>
        <v/>
      </c>
      <c r="I1557" s="350">
        <f>IF(G1557="Sim",0,IF(OR(F1557="",L1557=""),"",F1557))</f>
        <v/>
      </c>
      <c r="J1557" s="350">
        <f>IF(G1557="Sim",0,IF(OR(F1557="",D1557="",L1557=""),"",IF(L1557="Sim",ROUND(F1557-D1557,2),0)))</f>
        <v/>
      </c>
      <c r="K1557" s="97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inlineStr">
        <is>
          <t>Nao</t>
        </is>
      </c>
      <c r="W1557" s="110" t="inlineStr">
        <is>
          <t>PC em analise</t>
        </is>
      </c>
      <c r="X1557" s="110" t="inlineStr">
        <is>
          <t>Pedido de Compra</t>
        </is>
      </c>
      <c r="Y1557" s="111" t="inlineStr">
        <is>
          <t>Impacto Potencial</t>
        </is>
      </c>
      <c r="Z1557" s="111" t="inlineStr">
        <is>
          <t>PC</t>
        </is>
      </c>
      <c r="AA1557" s="111" t="inlineStr">
        <is>
          <t>Nao</t>
        </is>
      </c>
      <c r="AB1557" s="111" t="inlineStr">
        <is>
          <t>NAO_COMPUTADO</t>
        </is>
      </c>
      <c r="AC1557" s="112" t="inlineStr">
        <is>
          <t>Estrutura Fase 1: sem impacto no VTA oficial</t>
        </is>
      </c>
    </row>
    <row r="1558" ht="25.5" customHeight="1" s="289">
      <c r="A1558" s="205" t="n"/>
      <c r="B1558" s="207" t="n"/>
      <c r="C1558" s="104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348" t="n"/>
      <c r="E1558" s="349">
        <f>IF(C1558="","",IFERROR(VLOOKUP(C1558,parametros!$A$11:$E$15,5,0),""))</f>
        <v/>
      </c>
      <c r="F1558" s="335">
        <f>IF(OR(D1558="",E1558=""),"",ROUND(D1558*E1558,2))</f>
        <v/>
      </c>
      <c r="G1558" s="106" t="n"/>
      <c r="H1558" s="350">
        <f>IF(G1558="Sim",IF(OR(F1558="",D1558="",L1558=""),"",IF(L1558="Sim",ROUND(F1558-D1558,2),0)),0)</f>
        <v/>
      </c>
      <c r="I1558" s="350">
        <f>IF(G1558="Sim",0,IF(OR(F1558="",L1558=""),"",F1558))</f>
        <v/>
      </c>
      <c r="J1558" s="350">
        <f>IF(G1558="Sim",0,IF(OR(F1558="",D1558="",L1558=""),"",IF(L1558="Sim",ROUND(F1558-D1558,2),0)))</f>
        <v/>
      </c>
      <c r="K1558" s="97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inlineStr">
        <is>
          <t>Nao</t>
        </is>
      </c>
      <c r="W1558" s="110" t="inlineStr">
        <is>
          <t>PC em analise</t>
        </is>
      </c>
      <c r="X1558" s="110" t="inlineStr">
        <is>
          <t>Pedido de Compra</t>
        </is>
      </c>
      <c r="Y1558" s="111" t="inlineStr">
        <is>
          <t>Impacto Potencial</t>
        </is>
      </c>
      <c r="Z1558" s="111" t="inlineStr">
        <is>
          <t>PC</t>
        </is>
      </c>
      <c r="AA1558" s="111" t="inlineStr">
        <is>
          <t>Nao</t>
        </is>
      </c>
      <c r="AB1558" s="111" t="inlineStr">
        <is>
          <t>NAO_COMPUTADO</t>
        </is>
      </c>
      <c r="AC1558" s="112" t="inlineStr">
        <is>
          <t>Estrutura Fase 1: sem impacto no VTA oficial</t>
        </is>
      </c>
    </row>
    <row r="1559" ht="25.5" customHeight="1" s="289">
      <c r="A1559" s="205" t="n"/>
      <c r="B1559" s="207" t="n"/>
      <c r="C1559" s="104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348" t="n"/>
      <c r="E1559" s="349">
        <f>IF(C1559="","",IFERROR(VLOOKUP(C1559,parametros!$A$11:$E$15,5,0),""))</f>
        <v/>
      </c>
      <c r="F1559" s="335">
        <f>IF(OR(D1559="",E1559=""),"",ROUND(D1559*E1559,2))</f>
        <v/>
      </c>
      <c r="G1559" s="106" t="n"/>
      <c r="H1559" s="350">
        <f>IF(G1559="Sim",IF(OR(F1559="",D1559="",L1559=""),"",IF(L1559="Sim",ROUND(F1559-D1559,2),0)),0)</f>
        <v/>
      </c>
      <c r="I1559" s="350">
        <f>IF(G1559="Sim",0,IF(OR(F1559="",L1559=""),"",F1559))</f>
        <v/>
      </c>
      <c r="J1559" s="350">
        <f>IF(G1559="Sim",0,IF(OR(F1559="",D1559="",L1559=""),"",IF(L1559="Sim",ROUND(F1559-D1559,2),0)))</f>
        <v/>
      </c>
      <c r="K1559" s="97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inlineStr">
        <is>
          <t>Nao</t>
        </is>
      </c>
      <c r="W1559" s="110" t="inlineStr">
        <is>
          <t>PC em analise</t>
        </is>
      </c>
      <c r="X1559" s="110" t="inlineStr">
        <is>
          <t>Pedido de Compra</t>
        </is>
      </c>
      <c r="Y1559" s="111" t="inlineStr">
        <is>
          <t>Impacto Potencial</t>
        </is>
      </c>
      <c r="Z1559" s="111" t="inlineStr">
        <is>
          <t>PC</t>
        </is>
      </c>
      <c r="AA1559" s="111" t="inlineStr">
        <is>
          <t>Nao</t>
        </is>
      </c>
      <c r="AB1559" s="111" t="inlineStr">
        <is>
          <t>NAO_COMPUTADO</t>
        </is>
      </c>
      <c r="AC1559" s="112" t="inlineStr">
        <is>
          <t>Estrutura Fase 1: sem impacto no VTA oficial</t>
        </is>
      </c>
    </row>
    <row r="1560" ht="25.5" customHeight="1" s="289">
      <c r="A1560" s="205" t="n"/>
      <c r="B1560" s="207" t="n"/>
      <c r="C1560" s="104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348" t="n"/>
      <c r="E1560" s="349">
        <f>IF(C1560="","",IFERROR(VLOOKUP(C1560,parametros!$A$11:$E$15,5,0),""))</f>
        <v/>
      </c>
      <c r="F1560" s="335">
        <f>IF(OR(D1560="",E1560=""),"",ROUND(D1560*E1560,2))</f>
        <v/>
      </c>
      <c r="G1560" s="106" t="n"/>
      <c r="H1560" s="350">
        <f>IF(G1560="Sim",IF(OR(F1560="",D1560="",L1560=""),"",IF(L1560="Sim",ROUND(F1560-D1560,2),0)),0)</f>
        <v/>
      </c>
      <c r="I1560" s="350">
        <f>IF(G1560="Sim",0,IF(OR(F1560="",L1560=""),"",F1560))</f>
        <v/>
      </c>
      <c r="J1560" s="350">
        <f>IF(G1560="Sim",0,IF(OR(F1560="",D1560="",L1560=""),"",IF(L1560="Sim",ROUND(F1560-D1560,2),0)))</f>
        <v/>
      </c>
      <c r="K1560" s="97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inlineStr">
        <is>
          <t>Nao</t>
        </is>
      </c>
      <c r="W1560" s="110" t="inlineStr">
        <is>
          <t>PC em analise</t>
        </is>
      </c>
      <c r="X1560" s="110" t="inlineStr">
        <is>
          <t>Pedido de Compra</t>
        </is>
      </c>
      <c r="Y1560" s="111" t="inlineStr">
        <is>
          <t>Impacto Potencial</t>
        </is>
      </c>
      <c r="Z1560" s="111" t="inlineStr">
        <is>
          <t>PC</t>
        </is>
      </c>
      <c r="AA1560" s="111" t="inlineStr">
        <is>
          <t>Nao</t>
        </is>
      </c>
      <c r="AB1560" s="111" t="inlineStr">
        <is>
          <t>NAO_COMPUTADO</t>
        </is>
      </c>
      <c r="AC1560" s="112" t="inlineStr">
        <is>
          <t>Estrutura Fase 1: sem impacto no VTA oficial</t>
        </is>
      </c>
    </row>
    <row r="1561" ht="25.5" customHeight="1" s="289">
      <c r="A1561" s="205" t="n"/>
      <c r="B1561" s="207" t="n"/>
      <c r="C1561" s="104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348" t="n"/>
      <c r="E1561" s="349">
        <f>IF(C1561="","",IFERROR(VLOOKUP(C1561,parametros!$A$11:$E$15,5,0),""))</f>
        <v/>
      </c>
      <c r="F1561" s="335">
        <f>IF(OR(D1561="",E1561=""),"",ROUND(D1561*E1561,2))</f>
        <v/>
      </c>
      <c r="G1561" s="106" t="n"/>
      <c r="H1561" s="350">
        <f>IF(G1561="Sim",IF(OR(F1561="",D1561="",L1561=""),"",IF(L1561="Sim",ROUND(F1561-D1561,2),0)),0)</f>
        <v/>
      </c>
      <c r="I1561" s="350">
        <f>IF(G1561="Sim",0,IF(OR(F1561="",L1561=""),"",F1561))</f>
        <v/>
      </c>
      <c r="J1561" s="350">
        <f>IF(G1561="Sim",0,IF(OR(F1561="",D1561="",L1561=""),"",IF(L1561="Sim",ROUND(F1561-D1561,2),0)))</f>
        <v/>
      </c>
      <c r="K1561" s="97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inlineStr">
        <is>
          <t>Nao</t>
        </is>
      </c>
      <c r="W1561" s="110" t="inlineStr">
        <is>
          <t>PC em analise</t>
        </is>
      </c>
      <c r="X1561" s="110" t="inlineStr">
        <is>
          <t>Pedido de Compra</t>
        </is>
      </c>
      <c r="Y1561" s="111" t="inlineStr">
        <is>
          <t>Impacto Potencial</t>
        </is>
      </c>
      <c r="Z1561" s="111" t="inlineStr">
        <is>
          <t>PC</t>
        </is>
      </c>
      <c r="AA1561" s="111" t="inlineStr">
        <is>
          <t>Nao</t>
        </is>
      </c>
      <c r="AB1561" s="111" t="inlineStr">
        <is>
          <t>NAO_COMPUTADO</t>
        </is>
      </c>
      <c r="AC1561" s="112" t="inlineStr">
        <is>
          <t>Estrutura Fase 1: sem impacto no VTA oficial</t>
        </is>
      </c>
    </row>
    <row r="1562" ht="25.5" customHeight="1" s="289">
      <c r="A1562" s="205" t="n"/>
      <c r="B1562" s="207" t="n"/>
      <c r="C1562" s="104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348" t="n"/>
      <c r="E1562" s="349">
        <f>IF(C1562="","",IFERROR(VLOOKUP(C1562,parametros!$A$11:$E$15,5,0),""))</f>
        <v/>
      </c>
      <c r="F1562" s="335">
        <f>IF(OR(D1562="",E1562=""),"",ROUND(D1562*E1562,2))</f>
        <v/>
      </c>
      <c r="G1562" s="106" t="n"/>
      <c r="H1562" s="350">
        <f>IF(G1562="Sim",IF(OR(F1562="",D1562="",L1562=""),"",IF(L1562="Sim",ROUND(F1562-D1562,2),0)),0)</f>
        <v/>
      </c>
      <c r="I1562" s="350">
        <f>IF(G1562="Sim",0,IF(OR(F1562="",L1562=""),"",F1562))</f>
        <v/>
      </c>
      <c r="J1562" s="350">
        <f>IF(G1562="Sim",0,IF(OR(F1562="",D1562="",L1562=""),"",IF(L1562="Sim",ROUND(F1562-D1562,2),0)))</f>
        <v/>
      </c>
      <c r="K1562" s="97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inlineStr">
        <is>
          <t>Nao</t>
        </is>
      </c>
      <c r="W1562" s="110" t="inlineStr">
        <is>
          <t>PC em analise</t>
        </is>
      </c>
      <c r="X1562" s="110" t="inlineStr">
        <is>
          <t>Pedido de Compra</t>
        </is>
      </c>
      <c r="Y1562" s="111" t="inlineStr">
        <is>
          <t>Impacto Potencial</t>
        </is>
      </c>
      <c r="Z1562" s="111" t="inlineStr">
        <is>
          <t>PC</t>
        </is>
      </c>
      <c r="AA1562" s="111" t="inlineStr">
        <is>
          <t>Nao</t>
        </is>
      </c>
      <c r="AB1562" s="111" t="inlineStr">
        <is>
          <t>NAO_COMPUTADO</t>
        </is>
      </c>
      <c r="AC1562" s="112" t="inlineStr">
        <is>
          <t>Estrutura Fase 1: sem impacto no VTA oficial</t>
        </is>
      </c>
    </row>
    <row r="1563" ht="25.5" customHeight="1" s="289">
      <c r="A1563" s="205" t="n"/>
      <c r="B1563" s="207" t="n"/>
      <c r="C1563" s="104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348" t="n"/>
      <c r="E1563" s="349">
        <f>IF(C1563="","",IFERROR(VLOOKUP(C1563,parametros!$A$11:$E$15,5,0),""))</f>
        <v/>
      </c>
      <c r="F1563" s="335">
        <f>IF(OR(D1563="",E1563=""),"",ROUND(D1563*E1563,2))</f>
        <v/>
      </c>
      <c r="G1563" s="106" t="n"/>
      <c r="H1563" s="350">
        <f>IF(G1563="Sim",IF(OR(F1563="",D1563="",L1563=""),"",IF(L1563="Sim",ROUND(F1563-D1563,2),0)),0)</f>
        <v/>
      </c>
      <c r="I1563" s="350">
        <f>IF(G1563="Sim",0,IF(OR(F1563="",L1563=""),"",F1563))</f>
        <v/>
      </c>
      <c r="J1563" s="350">
        <f>IF(G1563="Sim",0,IF(OR(F1563="",D1563="",L1563=""),"",IF(L1563="Sim",ROUND(F1563-D1563,2),0)))</f>
        <v/>
      </c>
      <c r="K1563" s="97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inlineStr">
        <is>
          <t>Nao</t>
        </is>
      </c>
      <c r="W1563" s="110" t="inlineStr">
        <is>
          <t>PC em analise</t>
        </is>
      </c>
      <c r="X1563" s="110" t="inlineStr">
        <is>
          <t>Pedido de Compra</t>
        </is>
      </c>
      <c r="Y1563" s="111" t="inlineStr">
        <is>
          <t>Impacto Potencial</t>
        </is>
      </c>
      <c r="Z1563" s="111" t="inlineStr">
        <is>
          <t>PC</t>
        </is>
      </c>
      <c r="AA1563" s="111" t="inlineStr">
        <is>
          <t>Nao</t>
        </is>
      </c>
      <c r="AB1563" s="111" t="inlineStr">
        <is>
          <t>NAO_COMPUTADO</t>
        </is>
      </c>
      <c r="AC1563" s="112" t="inlineStr">
        <is>
          <t>Estrutura Fase 1: sem impacto no VTA oficial</t>
        </is>
      </c>
    </row>
    <row r="1564" ht="25.5" customHeight="1" s="289">
      <c r="A1564" s="205" t="n"/>
      <c r="B1564" s="207" t="n"/>
      <c r="C1564" s="104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348" t="n"/>
      <c r="E1564" s="349">
        <f>IF(C1564="","",IFERROR(VLOOKUP(C1564,parametros!$A$11:$E$15,5,0),""))</f>
        <v/>
      </c>
      <c r="F1564" s="335">
        <f>IF(OR(D1564="",E1564=""),"",ROUND(D1564*E1564,2))</f>
        <v/>
      </c>
      <c r="G1564" s="106" t="n"/>
      <c r="H1564" s="350">
        <f>IF(G1564="Sim",IF(OR(F1564="",D1564="",L1564=""),"",IF(L1564="Sim",ROUND(F1564-D1564,2),0)),0)</f>
        <v/>
      </c>
      <c r="I1564" s="350">
        <f>IF(G1564="Sim",0,IF(OR(F1564="",L1564=""),"",F1564))</f>
        <v/>
      </c>
      <c r="J1564" s="350">
        <f>IF(G1564="Sim",0,IF(OR(F1564="",D1564="",L1564=""),"",IF(L1564="Sim",ROUND(F1564-D1564,2),0)))</f>
        <v/>
      </c>
      <c r="K1564" s="97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inlineStr">
        <is>
          <t>Nao</t>
        </is>
      </c>
      <c r="W1564" s="110" t="inlineStr">
        <is>
          <t>PC em analise</t>
        </is>
      </c>
      <c r="X1564" s="110" t="inlineStr">
        <is>
          <t>Pedido de Compra</t>
        </is>
      </c>
      <c r="Y1564" s="111" t="inlineStr">
        <is>
          <t>Impacto Potencial</t>
        </is>
      </c>
      <c r="Z1564" s="111" t="inlineStr">
        <is>
          <t>PC</t>
        </is>
      </c>
      <c r="AA1564" s="111" t="inlineStr">
        <is>
          <t>Nao</t>
        </is>
      </c>
      <c r="AB1564" s="111" t="inlineStr">
        <is>
          <t>NAO_COMPUTADO</t>
        </is>
      </c>
      <c r="AC1564" s="112" t="inlineStr">
        <is>
          <t>Estrutura Fase 1: sem impacto no VTA oficial</t>
        </is>
      </c>
    </row>
    <row r="1565" ht="25.5" customHeight="1" s="289">
      <c r="A1565" s="205" t="n"/>
      <c r="B1565" s="207" t="n"/>
      <c r="C1565" s="104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348" t="n"/>
      <c r="E1565" s="349">
        <f>IF(C1565="","",IFERROR(VLOOKUP(C1565,parametros!$A$11:$E$15,5,0),""))</f>
        <v/>
      </c>
      <c r="F1565" s="335">
        <f>IF(OR(D1565="",E1565=""),"",ROUND(D1565*E1565,2))</f>
        <v/>
      </c>
      <c r="G1565" s="106" t="n"/>
      <c r="H1565" s="350">
        <f>IF(G1565="Sim",IF(OR(F1565="",D1565="",L1565=""),"",IF(L1565="Sim",ROUND(F1565-D1565,2),0)),0)</f>
        <v/>
      </c>
      <c r="I1565" s="350">
        <f>IF(G1565="Sim",0,IF(OR(F1565="",L1565=""),"",F1565))</f>
        <v/>
      </c>
      <c r="J1565" s="350">
        <f>IF(G1565="Sim",0,IF(OR(F1565="",D1565="",L1565=""),"",IF(L1565="Sim",ROUND(F1565-D1565,2),0)))</f>
        <v/>
      </c>
      <c r="K1565" s="97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inlineStr">
        <is>
          <t>Nao</t>
        </is>
      </c>
      <c r="W1565" s="110" t="inlineStr">
        <is>
          <t>PC em analise</t>
        </is>
      </c>
      <c r="X1565" s="110" t="inlineStr">
        <is>
          <t>Pedido de Compra</t>
        </is>
      </c>
      <c r="Y1565" s="111" t="inlineStr">
        <is>
          <t>Impacto Potencial</t>
        </is>
      </c>
      <c r="Z1565" s="111" t="inlineStr">
        <is>
          <t>PC</t>
        </is>
      </c>
      <c r="AA1565" s="111" t="inlineStr">
        <is>
          <t>Nao</t>
        </is>
      </c>
      <c r="AB1565" s="111" t="inlineStr">
        <is>
          <t>NAO_COMPUTADO</t>
        </is>
      </c>
      <c r="AC1565" s="112" t="inlineStr">
        <is>
          <t>Estrutura Fase 1: sem impacto no VTA oficial</t>
        </is>
      </c>
    </row>
    <row r="1566" ht="25.5" customHeight="1" s="289">
      <c r="A1566" s="205" t="n"/>
      <c r="B1566" s="207" t="n"/>
      <c r="C1566" s="104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348" t="n"/>
      <c r="E1566" s="349">
        <f>IF(C1566="","",IFERROR(VLOOKUP(C1566,parametros!$A$11:$E$15,5,0),""))</f>
        <v/>
      </c>
      <c r="F1566" s="335">
        <f>IF(OR(D1566="",E1566=""),"",ROUND(D1566*E1566,2))</f>
        <v/>
      </c>
      <c r="G1566" s="106" t="n"/>
      <c r="H1566" s="350">
        <f>IF(G1566="Sim",IF(OR(F1566="",D1566="",L1566=""),"",IF(L1566="Sim",ROUND(F1566-D1566,2),0)),0)</f>
        <v/>
      </c>
      <c r="I1566" s="350">
        <f>IF(G1566="Sim",0,IF(OR(F1566="",L1566=""),"",F1566))</f>
        <v/>
      </c>
      <c r="J1566" s="350">
        <f>IF(G1566="Sim",0,IF(OR(F1566="",D1566="",L1566=""),"",IF(L1566="Sim",ROUND(F1566-D1566,2),0)))</f>
        <v/>
      </c>
      <c r="K1566" s="97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inlineStr">
        <is>
          <t>Nao</t>
        </is>
      </c>
      <c r="W1566" s="110" t="inlineStr">
        <is>
          <t>PC em analise</t>
        </is>
      </c>
      <c r="X1566" s="110" t="inlineStr">
        <is>
          <t>Pedido de Compra</t>
        </is>
      </c>
      <c r="Y1566" s="111" t="inlineStr">
        <is>
          <t>Impacto Potencial</t>
        </is>
      </c>
      <c r="Z1566" s="111" t="inlineStr">
        <is>
          <t>PC</t>
        </is>
      </c>
      <c r="AA1566" s="111" t="inlineStr">
        <is>
          <t>Nao</t>
        </is>
      </c>
      <c r="AB1566" s="111" t="inlineStr">
        <is>
          <t>NAO_COMPUTADO</t>
        </is>
      </c>
      <c r="AC1566" s="112" t="inlineStr">
        <is>
          <t>Estrutura Fase 1: sem impacto no VTA oficial</t>
        </is>
      </c>
    </row>
    <row r="1567" ht="25.5" customHeight="1" s="289">
      <c r="A1567" s="205" t="n"/>
      <c r="B1567" s="207" t="n"/>
      <c r="C1567" s="104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348" t="n"/>
      <c r="E1567" s="349">
        <f>IF(C1567="","",IFERROR(VLOOKUP(C1567,parametros!$A$11:$E$15,5,0),""))</f>
        <v/>
      </c>
      <c r="F1567" s="335">
        <f>IF(OR(D1567="",E1567=""),"",ROUND(D1567*E1567,2))</f>
        <v/>
      </c>
      <c r="G1567" s="106" t="n"/>
      <c r="H1567" s="350">
        <f>IF(G1567="Sim",IF(OR(F1567="",D1567="",L1567=""),"",IF(L1567="Sim",ROUND(F1567-D1567,2),0)),0)</f>
        <v/>
      </c>
      <c r="I1567" s="350">
        <f>IF(G1567="Sim",0,IF(OR(F1567="",L1567=""),"",F1567))</f>
        <v/>
      </c>
      <c r="J1567" s="350">
        <f>IF(G1567="Sim",0,IF(OR(F1567="",D1567="",L1567=""),"",IF(L1567="Sim",ROUND(F1567-D1567,2),0)))</f>
        <v/>
      </c>
      <c r="K1567" s="97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inlineStr">
        <is>
          <t>Nao</t>
        </is>
      </c>
      <c r="W1567" s="110" t="inlineStr">
        <is>
          <t>PC em analise</t>
        </is>
      </c>
      <c r="X1567" s="110" t="inlineStr">
        <is>
          <t>Pedido de Compra</t>
        </is>
      </c>
      <c r="Y1567" s="111" t="inlineStr">
        <is>
          <t>Impacto Potencial</t>
        </is>
      </c>
      <c r="Z1567" s="111" t="inlineStr">
        <is>
          <t>PC</t>
        </is>
      </c>
      <c r="AA1567" s="111" t="inlineStr">
        <is>
          <t>Nao</t>
        </is>
      </c>
      <c r="AB1567" s="111" t="inlineStr">
        <is>
          <t>NAO_COMPUTADO</t>
        </is>
      </c>
      <c r="AC1567" s="112" t="inlineStr">
        <is>
          <t>Estrutura Fase 1: sem impacto no VTA oficial</t>
        </is>
      </c>
    </row>
    <row r="1568" ht="25.5" customHeight="1" s="289">
      <c r="A1568" s="205" t="n"/>
      <c r="B1568" s="207" t="n"/>
      <c r="C1568" s="104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348" t="n"/>
      <c r="E1568" s="349">
        <f>IF(C1568="","",IFERROR(VLOOKUP(C1568,parametros!$A$11:$E$15,5,0),""))</f>
        <v/>
      </c>
      <c r="F1568" s="335">
        <f>IF(OR(D1568="",E1568=""),"",ROUND(D1568*E1568,2))</f>
        <v/>
      </c>
      <c r="G1568" s="106" t="n"/>
      <c r="H1568" s="350">
        <f>IF(G1568="Sim",IF(OR(F1568="",D1568="",L1568=""),"",IF(L1568="Sim",ROUND(F1568-D1568,2),0)),0)</f>
        <v/>
      </c>
      <c r="I1568" s="350">
        <f>IF(G1568="Sim",0,IF(OR(F1568="",L1568=""),"",F1568))</f>
        <v/>
      </c>
      <c r="J1568" s="350">
        <f>IF(G1568="Sim",0,IF(OR(F1568="",D1568="",L1568=""),"",IF(L1568="Sim",ROUND(F1568-D1568,2),0)))</f>
        <v/>
      </c>
      <c r="K1568" s="97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inlineStr">
        <is>
          <t>Nao</t>
        </is>
      </c>
      <c r="W1568" s="110" t="inlineStr">
        <is>
          <t>PC em analise</t>
        </is>
      </c>
      <c r="X1568" s="110" t="inlineStr">
        <is>
          <t>Pedido de Compra</t>
        </is>
      </c>
      <c r="Y1568" s="111" t="inlineStr">
        <is>
          <t>Impacto Potencial</t>
        </is>
      </c>
      <c r="Z1568" s="111" t="inlineStr">
        <is>
          <t>PC</t>
        </is>
      </c>
      <c r="AA1568" s="111" t="inlineStr">
        <is>
          <t>Nao</t>
        </is>
      </c>
      <c r="AB1568" s="111" t="inlineStr">
        <is>
          <t>NAO_COMPUTADO</t>
        </is>
      </c>
      <c r="AC1568" s="112" t="inlineStr">
        <is>
          <t>Estrutura Fase 1: sem impacto no VTA oficial</t>
        </is>
      </c>
    </row>
    <row r="1569" ht="25.5" customHeight="1" s="289">
      <c r="A1569" s="205" t="n"/>
      <c r="B1569" s="207" t="n"/>
      <c r="C1569" s="104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348" t="n"/>
      <c r="E1569" s="349">
        <f>IF(C1569="","",IFERROR(VLOOKUP(C1569,parametros!$A$11:$E$15,5,0),""))</f>
        <v/>
      </c>
      <c r="F1569" s="335">
        <f>IF(OR(D1569="",E1569=""),"",ROUND(D1569*E1569,2))</f>
        <v/>
      </c>
      <c r="G1569" s="106" t="n"/>
      <c r="H1569" s="350">
        <f>IF(G1569="Sim",IF(OR(F1569="",D1569="",L1569=""),"",IF(L1569="Sim",ROUND(F1569-D1569,2),0)),0)</f>
        <v/>
      </c>
      <c r="I1569" s="350">
        <f>IF(G1569="Sim",0,IF(OR(F1569="",L1569=""),"",F1569))</f>
        <v/>
      </c>
      <c r="J1569" s="350">
        <f>IF(G1569="Sim",0,IF(OR(F1569="",D1569="",L1569=""),"",IF(L1569="Sim",ROUND(F1569-D1569,2),0)))</f>
        <v/>
      </c>
      <c r="K1569" s="97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inlineStr">
        <is>
          <t>Nao</t>
        </is>
      </c>
      <c r="W1569" s="110" t="inlineStr">
        <is>
          <t>PC em analise</t>
        </is>
      </c>
      <c r="X1569" s="110" t="inlineStr">
        <is>
          <t>Pedido de Compra</t>
        </is>
      </c>
      <c r="Y1569" s="111" t="inlineStr">
        <is>
          <t>Impacto Potencial</t>
        </is>
      </c>
      <c r="Z1569" s="111" t="inlineStr">
        <is>
          <t>PC</t>
        </is>
      </c>
      <c r="AA1569" s="111" t="inlineStr">
        <is>
          <t>Nao</t>
        </is>
      </c>
      <c r="AB1569" s="111" t="inlineStr">
        <is>
          <t>NAO_COMPUTADO</t>
        </is>
      </c>
      <c r="AC1569" s="112" t="inlineStr">
        <is>
          <t>Estrutura Fase 1: sem impacto no VTA oficial</t>
        </is>
      </c>
    </row>
    <row r="1570" ht="25.5" customHeight="1" s="289">
      <c r="A1570" s="205" t="n"/>
      <c r="B1570" s="207" t="n"/>
      <c r="C1570" s="104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348" t="n"/>
      <c r="E1570" s="349">
        <f>IF(C1570="","",IFERROR(VLOOKUP(C1570,parametros!$A$11:$E$15,5,0),""))</f>
        <v/>
      </c>
      <c r="F1570" s="335">
        <f>IF(OR(D1570="",E1570=""),"",ROUND(D1570*E1570,2))</f>
        <v/>
      </c>
      <c r="G1570" s="106" t="n"/>
      <c r="H1570" s="350">
        <f>IF(G1570="Sim",IF(OR(F1570="",D1570="",L1570=""),"",IF(L1570="Sim",ROUND(F1570-D1570,2),0)),0)</f>
        <v/>
      </c>
      <c r="I1570" s="350">
        <f>IF(G1570="Sim",0,IF(OR(F1570="",L1570=""),"",F1570))</f>
        <v/>
      </c>
      <c r="J1570" s="350">
        <f>IF(G1570="Sim",0,IF(OR(F1570="",D1570="",L1570=""),"",IF(L1570="Sim",ROUND(F1570-D1570,2),0)))</f>
        <v/>
      </c>
      <c r="K1570" s="97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inlineStr">
        <is>
          <t>Nao</t>
        </is>
      </c>
      <c r="W1570" s="110" t="inlineStr">
        <is>
          <t>PC em analise</t>
        </is>
      </c>
      <c r="X1570" s="110" t="inlineStr">
        <is>
          <t>Pedido de Compra</t>
        </is>
      </c>
      <c r="Y1570" s="111" t="inlineStr">
        <is>
          <t>Impacto Potencial</t>
        </is>
      </c>
      <c r="Z1570" s="111" t="inlineStr">
        <is>
          <t>PC</t>
        </is>
      </c>
      <c r="AA1570" s="111" t="inlineStr">
        <is>
          <t>Nao</t>
        </is>
      </c>
      <c r="AB1570" s="111" t="inlineStr">
        <is>
          <t>NAO_COMPUTADO</t>
        </is>
      </c>
      <c r="AC1570" s="112" t="inlineStr">
        <is>
          <t>Estrutura Fase 1: sem impacto no VTA oficial</t>
        </is>
      </c>
    </row>
    <row r="1571" ht="25.5" customHeight="1" s="289">
      <c r="A1571" s="205" t="n"/>
      <c r="B1571" s="207" t="n"/>
      <c r="C1571" s="104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348" t="n"/>
      <c r="E1571" s="349">
        <f>IF(C1571="","",IFERROR(VLOOKUP(C1571,parametros!$A$11:$E$15,5,0),""))</f>
        <v/>
      </c>
      <c r="F1571" s="335">
        <f>IF(OR(D1571="",E1571=""),"",ROUND(D1571*E1571,2))</f>
        <v/>
      </c>
      <c r="G1571" s="106" t="n"/>
      <c r="H1571" s="350">
        <f>IF(G1571="Sim",IF(OR(F1571="",D1571="",L1571=""),"",IF(L1571="Sim",ROUND(F1571-D1571,2),0)),0)</f>
        <v/>
      </c>
      <c r="I1571" s="350">
        <f>IF(G1571="Sim",0,IF(OR(F1571="",L1571=""),"",F1571))</f>
        <v/>
      </c>
      <c r="J1571" s="350">
        <f>IF(G1571="Sim",0,IF(OR(F1571="",D1571="",L1571=""),"",IF(L1571="Sim",ROUND(F1571-D1571,2),0)))</f>
        <v/>
      </c>
      <c r="K1571" s="97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inlineStr">
        <is>
          <t>Nao</t>
        </is>
      </c>
      <c r="W1571" s="110" t="inlineStr">
        <is>
          <t>PC em analise</t>
        </is>
      </c>
      <c r="X1571" s="110" t="inlineStr">
        <is>
          <t>Pedido de Compra</t>
        </is>
      </c>
      <c r="Y1571" s="111" t="inlineStr">
        <is>
          <t>Impacto Potencial</t>
        </is>
      </c>
      <c r="Z1571" s="111" t="inlineStr">
        <is>
          <t>PC</t>
        </is>
      </c>
      <c r="AA1571" s="111" t="inlineStr">
        <is>
          <t>Nao</t>
        </is>
      </c>
      <c r="AB1571" s="111" t="inlineStr">
        <is>
          <t>NAO_COMPUTADO</t>
        </is>
      </c>
      <c r="AC1571" s="112" t="inlineStr">
        <is>
          <t>Estrutura Fase 1: sem impacto no VTA oficial</t>
        </is>
      </c>
    </row>
    <row r="1572" ht="25.5" customHeight="1" s="289">
      <c r="A1572" s="205" t="n"/>
      <c r="B1572" s="207" t="n"/>
      <c r="C1572" s="104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348" t="n"/>
      <c r="E1572" s="349">
        <f>IF(C1572="","",IFERROR(VLOOKUP(C1572,parametros!$A$11:$E$15,5,0),""))</f>
        <v/>
      </c>
      <c r="F1572" s="335">
        <f>IF(OR(D1572="",E1572=""),"",ROUND(D1572*E1572,2))</f>
        <v/>
      </c>
      <c r="G1572" s="106" t="n"/>
      <c r="H1572" s="350">
        <f>IF(G1572="Sim",IF(OR(F1572="",D1572="",L1572=""),"",IF(L1572="Sim",ROUND(F1572-D1572,2),0)),0)</f>
        <v/>
      </c>
      <c r="I1572" s="350">
        <f>IF(G1572="Sim",0,IF(OR(F1572="",L1572=""),"",F1572))</f>
        <v/>
      </c>
      <c r="J1572" s="350">
        <f>IF(G1572="Sim",0,IF(OR(F1572="",D1572="",L1572=""),"",IF(L1572="Sim",ROUND(F1572-D1572,2),0)))</f>
        <v/>
      </c>
      <c r="K1572" s="97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inlineStr">
        <is>
          <t>Nao</t>
        </is>
      </c>
      <c r="W1572" s="110" t="inlineStr">
        <is>
          <t>PC em analise</t>
        </is>
      </c>
      <c r="X1572" s="110" t="inlineStr">
        <is>
          <t>Pedido de Compra</t>
        </is>
      </c>
      <c r="Y1572" s="111" t="inlineStr">
        <is>
          <t>Impacto Potencial</t>
        </is>
      </c>
      <c r="Z1572" s="111" t="inlineStr">
        <is>
          <t>PC</t>
        </is>
      </c>
      <c r="AA1572" s="111" t="inlineStr">
        <is>
          <t>Nao</t>
        </is>
      </c>
      <c r="AB1572" s="111" t="inlineStr">
        <is>
          <t>NAO_COMPUTADO</t>
        </is>
      </c>
      <c r="AC1572" s="112" t="inlineStr">
        <is>
          <t>Estrutura Fase 1: sem impacto no VTA oficial</t>
        </is>
      </c>
    </row>
    <row r="1573" ht="25.5" customHeight="1" s="289">
      <c r="A1573" s="205" t="n"/>
      <c r="B1573" s="207" t="n"/>
      <c r="C1573" s="104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348" t="n"/>
      <c r="E1573" s="349">
        <f>IF(C1573="","",IFERROR(VLOOKUP(C1573,parametros!$A$11:$E$15,5,0),""))</f>
        <v/>
      </c>
      <c r="F1573" s="335">
        <f>IF(OR(D1573="",E1573=""),"",ROUND(D1573*E1573,2))</f>
        <v/>
      </c>
      <c r="G1573" s="106" t="n"/>
      <c r="H1573" s="350">
        <f>IF(G1573="Sim",IF(OR(F1573="",D1573="",L1573=""),"",IF(L1573="Sim",ROUND(F1573-D1573,2),0)),0)</f>
        <v/>
      </c>
      <c r="I1573" s="350">
        <f>IF(G1573="Sim",0,IF(OR(F1573="",L1573=""),"",F1573))</f>
        <v/>
      </c>
      <c r="J1573" s="350">
        <f>IF(G1573="Sim",0,IF(OR(F1573="",D1573="",L1573=""),"",IF(L1573="Sim",ROUND(F1573-D1573,2),0)))</f>
        <v/>
      </c>
      <c r="K1573" s="97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inlineStr">
        <is>
          <t>Nao</t>
        </is>
      </c>
      <c r="W1573" s="110" t="inlineStr">
        <is>
          <t>PC em analise</t>
        </is>
      </c>
      <c r="X1573" s="110" t="inlineStr">
        <is>
          <t>Pedido de Compra</t>
        </is>
      </c>
      <c r="Y1573" s="111" t="inlineStr">
        <is>
          <t>Impacto Potencial</t>
        </is>
      </c>
      <c r="Z1573" s="111" t="inlineStr">
        <is>
          <t>PC</t>
        </is>
      </c>
      <c r="AA1573" s="111" t="inlineStr">
        <is>
          <t>Nao</t>
        </is>
      </c>
      <c r="AB1573" s="111" t="inlineStr">
        <is>
          <t>NAO_COMPUTADO</t>
        </is>
      </c>
      <c r="AC1573" s="112" t="inlineStr">
        <is>
          <t>Estrutura Fase 1: sem impacto no VTA oficial</t>
        </is>
      </c>
    </row>
    <row r="1574" ht="25.5" customHeight="1" s="289">
      <c r="A1574" s="205" t="n"/>
      <c r="B1574" s="207" t="n"/>
      <c r="C1574" s="104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348" t="n"/>
      <c r="E1574" s="349">
        <f>IF(C1574="","",IFERROR(VLOOKUP(C1574,parametros!$A$11:$E$15,5,0),""))</f>
        <v/>
      </c>
      <c r="F1574" s="335">
        <f>IF(OR(D1574="",E1574=""),"",ROUND(D1574*E1574,2))</f>
        <v/>
      </c>
      <c r="G1574" s="106" t="n"/>
      <c r="H1574" s="350">
        <f>IF(G1574="Sim",IF(OR(F1574="",D1574="",L1574=""),"",IF(L1574="Sim",ROUND(F1574-D1574,2),0)),0)</f>
        <v/>
      </c>
      <c r="I1574" s="350">
        <f>IF(G1574="Sim",0,IF(OR(F1574="",L1574=""),"",F1574))</f>
        <v/>
      </c>
      <c r="J1574" s="350">
        <f>IF(G1574="Sim",0,IF(OR(F1574="",D1574="",L1574=""),"",IF(L1574="Sim",ROUND(F1574-D1574,2),0)))</f>
        <v/>
      </c>
      <c r="K1574" s="97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inlineStr">
        <is>
          <t>Nao</t>
        </is>
      </c>
      <c r="W1574" s="110" t="inlineStr">
        <is>
          <t>PC em analise</t>
        </is>
      </c>
      <c r="X1574" s="110" t="inlineStr">
        <is>
          <t>Pedido de Compra</t>
        </is>
      </c>
      <c r="Y1574" s="111" t="inlineStr">
        <is>
          <t>Impacto Potencial</t>
        </is>
      </c>
      <c r="Z1574" s="111" t="inlineStr">
        <is>
          <t>PC</t>
        </is>
      </c>
      <c r="AA1574" s="111" t="inlineStr">
        <is>
          <t>Nao</t>
        </is>
      </c>
      <c r="AB1574" s="111" t="inlineStr">
        <is>
          <t>NAO_COMPUTADO</t>
        </is>
      </c>
      <c r="AC1574" s="112" t="inlineStr">
        <is>
          <t>Estrutura Fase 1: sem impacto no VTA oficial</t>
        </is>
      </c>
    </row>
    <row r="1575" ht="25.5" customHeight="1" s="289">
      <c r="A1575" s="205" t="n"/>
      <c r="B1575" s="207" t="n"/>
      <c r="C1575" s="104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348" t="n"/>
      <c r="E1575" s="349">
        <f>IF(C1575="","",IFERROR(VLOOKUP(C1575,parametros!$A$11:$E$15,5,0),""))</f>
        <v/>
      </c>
      <c r="F1575" s="335">
        <f>IF(OR(D1575="",E1575=""),"",ROUND(D1575*E1575,2))</f>
        <v/>
      </c>
      <c r="G1575" s="106" t="n"/>
      <c r="H1575" s="350">
        <f>IF(G1575="Sim",IF(OR(F1575="",D1575="",L1575=""),"",IF(L1575="Sim",ROUND(F1575-D1575,2),0)),0)</f>
        <v/>
      </c>
      <c r="I1575" s="350">
        <f>IF(G1575="Sim",0,IF(OR(F1575="",L1575=""),"",F1575))</f>
        <v/>
      </c>
      <c r="J1575" s="350">
        <f>IF(G1575="Sim",0,IF(OR(F1575="",D1575="",L1575=""),"",IF(L1575="Sim",ROUND(F1575-D1575,2),0)))</f>
        <v/>
      </c>
      <c r="K1575" s="97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inlineStr">
        <is>
          <t>Nao</t>
        </is>
      </c>
      <c r="W1575" s="110" t="inlineStr">
        <is>
          <t>PC em analise</t>
        </is>
      </c>
      <c r="X1575" s="110" t="inlineStr">
        <is>
          <t>Pedido de Compra</t>
        </is>
      </c>
      <c r="Y1575" s="111" t="inlineStr">
        <is>
          <t>Impacto Potencial</t>
        </is>
      </c>
      <c r="Z1575" s="111" t="inlineStr">
        <is>
          <t>PC</t>
        </is>
      </c>
      <c r="AA1575" s="111" t="inlineStr">
        <is>
          <t>Nao</t>
        </is>
      </c>
      <c r="AB1575" s="111" t="inlineStr">
        <is>
          <t>NAO_COMPUTADO</t>
        </is>
      </c>
      <c r="AC1575" s="112" t="inlineStr">
        <is>
          <t>Estrutura Fase 1: sem impacto no VTA oficial</t>
        </is>
      </c>
    </row>
    <row r="1576" ht="25.5" customHeight="1" s="289">
      <c r="A1576" s="205" t="n"/>
      <c r="B1576" s="207" t="n"/>
      <c r="C1576" s="104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348" t="n"/>
      <c r="E1576" s="349">
        <f>IF(C1576="","",IFERROR(VLOOKUP(C1576,parametros!$A$11:$E$15,5,0),""))</f>
        <v/>
      </c>
      <c r="F1576" s="335">
        <f>IF(OR(D1576="",E1576=""),"",ROUND(D1576*E1576,2))</f>
        <v/>
      </c>
      <c r="G1576" s="106" t="n"/>
      <c r="H1576" s="350">
        <f>IF(G1576="Sim",IF(OR(F1576="",D1576="",L1576=""),"",IF(L1576="Sim",ROUND(F1576-D1576,2),0)),0)</f>
        <v/>
      </c>
      <c r="I1576" s="350">
        <f>IF(G1576="Sim",0,IF(OR(F1576="",L1576=""),"",F1576))</f>
        <v/>
      </c>
      <c r="J1576" s="350">
        <f>IF(G1576="Sim",0,IF(OR(F1576="",D1576="",L1576=""),"",IF(L1576="Sim",ROUND(F1576-D1576,2),0)))</f>
        <v/>
      </c>
      <c r="K1576" s="97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inlineStr">
        <is>
          <t>Nao</t>
        </is>
      </c>
      <c r="W1576" s="110" t="inlineStr">
        <is>
          <t>PC em analise</t>
        </is>
      </c>
      <c r="X1576" s="110" t="inlineStr">
        <is>
          <t>Pedido de Compra</t>
        </is>
      </c>
      <c r="Y1576" s="111" t="inlineStr">
        <is>
          <t>Impacto Potencial</t>
        </is>
      </c>
      <c r="Z1576" s="111" t="inlineStr">
        <is>
          <t>PC</t>
        </is>
      </c>
      <c r="AA1576" s="111" t="inlineStr">
        <is>
          <t>Nao</t>
        </is>
      </c>
      <c r="AB1576" s="111" t="inlineStr">
        <is>
          <t>NAO_COMPUTADO</t>
        </is>
      </c>
      <c r="AC1576" s="112" t="inlineStr">
        <is>
          <t>Estrutura Fase 1: sem impacto no VTA oficial</t>
        </is>
      </c>
    </row>
    <row r="1577" ht="25.5" customHeight="1" s="289">
      <c r="A1577" s="205" t="n"/>
      <c r="B1577" s="207" t="n"/>
      <c r="C1577" s="104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348" t="n"/>
      <c r="E1577" s="349">
        <f>IF(C1577="","",IFERROR(VLOOKUP(C1577,parametros!$A$11:$E$15,5,0),""))</f>
        <v/>
      </c>
      <c r="F1577" s="335">
        <f>IF(OR(D1577="",E1577=""),"",ROUND(D1577*E1577,2))</f>
        <v/>
      </c>
      <c r="G1577" s="106" t="n"/>
      <c r="H1577" s="350">
        <f>IF(G1577="Sim",IF(OR(F1577="",D1577="",L1577=""),"",IF(L1577="Sim",ROUND(F1577-D1577,2),0)),0)</f>
        <v/>
      </c>
      <c r="I1577" s="350">
        <f>IF(G1577="Sim",0,IF(OR(F1577="",L1577=""),"",F1577))</f>
        <v/>
      </c>
      <c r="J1577" s="350">
        <f>IF(G1577="Sim",0,IF(OR(F1577="",D1577="",L1577=""),"",IF(L1577="Sim",ROUND(F1577-D1577,2),0)))</f>
        <v/>
      </c>
      <c r="K1577" s="97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inlineStr">
        <is>
          <t>Nao</t>
        </is>
      </c>
      <c r="W1577" s="110" t="inlineStr">
        <is>
          <t>PC em analise</t>
        </is>
      </c>
      <c r="X1577" s="110" t="inlineStr">
        <is>
          <t>Pedido de Compra</t>
        </is>
      </c>
      <c r="Y1577" s="111" t="inlineStr">
        <is>
          <t>Impacto Potencial</t>
        </is>
      </c>
      <c r="Z1577" s="111" t="inlineStr">
        <is>
          <t>PC</t>
        </is>
      </c>
      <c r="AA1577" s="111" t="inlineStr">
        <is>
          <t>Nao</t>
        </is>
      </c>
      <c r="AB1577" s="111" t="inlineStr">
        <is>
          <t>NAO_COMPUTADO</t>
        </is>
      </c>
      <c r="AC1577" s="112" t="inlineStr">
        <is>
          <t>Estrutura Fase 1: sem impacto no VTA oficial</t>
        </is>
      </c>
    </row>
    <row r="1578" ht="25.5" customHeight="1" s="289">
      <c r="A1578" s="205" t="n"/>
      <c r="B1578" s="207" t="n"/>
      <c r="C1578" s="104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348" t="n"/>
      <c r="E1578" s="349">
        <f>IF(C1578="","",IFERROR(VLOOKUP(C1578,parametros!$A$11:$E$15,5,0),""))</f>
        <v/>
      </c>
      <c r="F1578" s="335">
        <f>IF(OR(D1578="",E1578=""),"",ROUND(D1578*E1578,2))</f>
        <v/>
      </c>
      <c r="G1578" s="106" t="n"/>
      <c r="H1578" s="350">
        <f>IF(G1578="Sim",IF(OR(F1578="",D1578="",L1578=""),"",IF(L1578="Sim",ROUND(F1578-D1578,2),0)),0)</f>
        <v/>
      </c>
      <c r="I1578" s="350">
        <f>IF(G1578="Sim",0,IF(OR(F1578="",L1578=""),"",F1578))</f>
        <v/>
      </c>
      <c r="J1578" s="350">
        <f>IF(G1578="Sim",0,IF(OR(F1578="",D1578="",L1578=""),"",IF(L1578="Sim",ROUND(F1578-D1578,2),0)))</f>
        <v/>
      </c>
      <c r="K1578" s="97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inlineStr">
        <is>
          <t>Nao</t>
        </is>
      </c>
      <c r="W1578" s="110" t="inlineStr">
        <is>
          <t>PC em analise</t>
        </is>
      </c>
      <c r="X1578" s="110" t="inlineStr">
        <is>
          <t>Pedido de Compra</t>
        </is>
      </c>
      <c r="Y1578" s="111" t="inlineStr">
        <is>
          <t>Impacto Potencial</t>
        </is>
      </c>
      <c r="Z1578" s="111" t="inlineStr">
        <is>
          <t>PC</t>
        </is>
      </c>
      <c r="AA1578" s="111" t="inlineStr">
        <is>
          <t>Nao</t>
        </is>
      </c>
      <c r="AB1578" s="111" t="inlineStr">
        <is>
          <t>NAO_COMPUTADO</t>
        </is>
      </c>
      <c r="AC1578" s="112" t="inlineStr">
        <is>
          <t>Estrutura Fase 1: sem impacto no VTA oficial</t>
        </is>
      </c>
    </row>
    <row r="1579" ht="25.5" customHeight="1" s="289">
      <c r="A1579" s="205" t="n"/>
      <c r="B1579" s="207" t="n"/>
      <c r="C1579" s="104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348" t="n"/>
      <c r="E1579" s="349">
        <f>IF(C1579="","",IFERROR(VLOOKUP(C1579,parametros!$A$11:$E$15,5,0),""))</f>
        <v/>
      </c>
      <c r="F1579" s="335">
        <f>IF(OR(D1579="",E1579=""),"",ROUND(D1579*E1579,2))</f>
        <v/>
      </c>
      <c r="G1579" s="106" t="n"/>
      <c r="H1579" s="350">
        <f>IF(G1579="Sim",IF(OR(F1579="",D1579="",L1579=""),"",IF(L1579="Sim",ROUND(F1579-D1579,2),0)),0)</f>
        <v/>
      </c>
      <c r="I1579" s="350">
        <f>IF(G1579="Sim",0,IF(OR(F1579="",L1579=""),"",F1579))</f>
        <v/>
      </c>
      <c r="J1579" s="350">
        <f>IF(G1579="Sim",0,IF(OR(F1579="",D1579="",L1579=""),"",IF(L1579="Sim",ROUND(F1579-D1579,2),0)))</f>
        <v/>
      </c>
      <c r="K1579" s="97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inlineStr">
        <is>
          <t>Nao</t>
        </is>
      </c>
      <c r="W1579" s="110" t="inlineStr">
        <is>
          <t>PC em analise</t>
        </is>
      </c>
      <c r="X1579" s="110" t="inlineStr">
        <is>
          <t>Pedido de Compra</t>
        </is>
      </c>
      <c r="Y1579" s="111" t="inlineStr">
        <is>
          <t>Impacto Potencial</t>
        </is>
      </c>
      <c r="Z1579" s="111" t="inlineStr">
        <is>
          <t>PC</t>
        </is>
      </c>
      <c r="AA1579" s="111" t="inlineStr">
        <is>
          <t>Nao</t>
        </is>
      </c>
      <c r="AB1579" s="111" t="inlineStr">
        <is>
          <t>NAO_COMPUTADO</t>
        </is>
      </c>
      <c r="AC1579" s="112" t="inlineStr">
        <is>
          <t>Estrutura Fase 1: sem impacto no VTA oficial</t>
        </is>
      </c>
    </row>
    <row r="1580" ht="25.5" customHeight="1" s="289">
      <c r="A1580" s="205" t="n"/>
      <c r="B1580" s="207" t="n"/>
      <c r="C1580" s="104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348" t="n"/>
      <c r="E1580" s="349">
        <f>IF(C1580="","",IFERROR(VLOOKUP(C1580,parametros!$A$11:$E$15,5,0),""))</f>
        <v/>
      </c>
      <c r="F1580" s="335">
        <f>IF(OR(D1580="",E1580=""),"",ROUND(D1580*E1580,2))</f>
        <v/>
      </c>
      <c r="G1580" s="106" t="n"/>
      <c r="H1580" s="350">
        <f>IF(G1580="Sim",IF(OR(F1580="",D1580="",L1580=""),"",IF(L1580="Sim",ROUND(F1580-D1580,2),0)),0)</f>
        <v/>
      </c>
      <c r="I1580" s="350">
        <f>IF(G1580="Sim",0,IF(OR(F1580="",L1580=""),"",F1580))</f>
        <v/>
      </c>
      <c r="J1580" s="350">
        <f>IF(G1580="Sim",0,IF(OR(F1580="",D1580="",L1580=""),"",IF(L1580="Sim",ROUND(F1580-D1580,2),0)))</f>
        <v/>
      </c>
      <c r="K1580" s="97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inlineStr">
        <is>
          <t>Nao</t>
        </is>
      </c>
      <c r="W1580" s="110" t="inlineStr">
        <is>
          <t>PC em analise</t>
        </is>
      </c>
      <c r="X1580" s="110" t="inlineStr">
        <is>
          <t>Pedido de Compra</t>
        </is>
      </c>
      <c r="Y1580" s="111" t="inlineStr">
        <is>
          <t>Impacto Potencial</t>
        </is>
      </c>
      <c r="Z1580" s="111" t="inlineStr">
        <is>
          <t>PC</t>
        </is>
      </c>
      <c r="AA1580" s="111" t="inlineStr">
        <is>
          <t>Nao</t>
        </is>
      </c>
      <c r="AB1580" s="111" t="inlineStr">
        <is>
          <t>NAO_COMPUTADO</t>
        </is>
      </c>
      <c r="AC1580" s="112" t="inlineStr">
        <is>
          <t>Estrutura Fase 1: sem impacto no VTA oficial</t>
        </is>
      </c>
    </row>
    <row r="1581" ht="25.5" customHeight="1" s="289">
      <c r="A1581" s="205" t="n"/>
      <c r="B1581" s="207" t="n"/>
      <c r="C1581" s="104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348" t="n"/>
      <c r="E1581" s="349">
        <f>IF(C1581="","",IFERROR(VLOOKUP(C1581,parametros!$A$11:$E$15,5,0),""))</f>
        <v/>
      </c>
      <c r="F1581" s="335">
        <f>IF(OR(D1581="",E1581=""),"",ROUND(D1581*E1581,2))</f>
        <v/>
      </c>
      <c r="G1581" s="106" t="n"/>
      <c r="H1581" s="350">
        <f>IF(G1581="Sim",IF(OR(F1581="",D1581="",L1581=""),"",IF(L1581="Sim",ROUND(F1581-D1581,2),0)),0)</f>
        <v/>
      </c>
      <c r="I1581" s="350">
        <f>IF(G1581="Sim",0,IF(OR(F1581="",L1581=""),"",F1581))</f>
        <v/>
      </c>
      <c r="J1581" s="350">
        <f>IF(G1581="Sim",0,IF(OR(F1581="",D1581="",L1581=""),"",IF(L1581="Sim",ROUND(F1581-D1581,2),0)))</f>
        <v/>
      </c>
      <c r="K1581" s="97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inlineStr">
        <is>
          <t>Nao</t>
        </is>
      </c>
      <c r="W1581" s="110" t="inlineStr">
        <is>
          <t>PC em analise</t>
        </is>
      </c>
      <c r="X1581" s="110" t="inlineStr">
        <is>
          <t>Pedido de Compra</t>
        </is>
      </c>
      <c r="Y1581" s="111" t="inlineStr">
        <is>
          <t>Impacto Potencial</t>
        </is>
      </c>
      <c r="Z1581" s="111" t="inlineStr">
        <is>
          <t>PC</t>
        </is>
      </c>
      <c r="AA1581" s="111" t="inlineStr">
        <is>
          <t>Nao</t>
        </is>
      </c>
      <c r="AB1581" s="111" t="inlineStr">
        <is>
          <t>NAO_COMPUTADO</t>
        </is>
      </c>
      <c r="AC1581" s="112" t="inlineStr">
        <is>
          <t>Estrutura Fase 1: sem impacto no VTA oficial</t>
        </is>
      </c>
    </row>
    <row r="1582" ht="25.5" customHeight="1" s="289">
      <c r="A1582" s="205" t="n"/>
      <c r="B1582" s="207" t="n"/>
      <c r="C1582" s="104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348" t="n"/>
      <c r="E1582" s="349">
        <f>IF(C1582="","",IFERROR(VLOOKUP(C1582,parametros!$A$11:$E$15,5,0),""))</f>
        <v/>
      </c>
      <c r="F1582" s="335">
        <f>IF(OR(D1582="",E1582=""),"",ROUND(D1582*E1582,2))</f>
        <v/>
      </c>
      <c r="G1582" s="106" t="n"/>
      <c r="H1582" s="350">
        <f>IF(G1582="Sim",IF(OR(F1582="",D1582="",L1582=""),"",IF(L1582="Sim",ROUND(F1582-D1582,2),0)),0)</f>
        <v/>
      </c>
      <c r="I1582" s="350">
        <f>IF(G1582="Sim",0,IF(OR(F1582="",L1582=""),"",F1582))</f>
        <v/>
      </c>
      <c r="J1582" s="350">
        <f>IF(G1582="Sim",0,IF(OR(F1582="",D1582="",L1582=""),"",IF(L1582="Sim",ROUND(F1582-D1582,2),0)))</f>
        <v/>
      </c>
      <c r="K1582" s="97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inlineStr">
        <is>
          <t>Nao</t>
        </is>
      </c>
      <c r="W1582" s="110" t="inlineStr">
        <is>
          <t>PC em analise</t>
        </is>
      </c>
      <c r="X1582" s="110" t="inlineStr">
        <is>
          <t>Pedido de Compra</t>
        </is>
      </c>
      <c r="Y1582" s="111" t="inlineStr">
        <is>
          <t>Impacto Potencial</t>
        </is>
      </c>
      <c r="Z1582" s="111" t="inlineStr">
        <is>
          <t>PC</t>
        </is>
      </c>
      <c r="AA1582" s="111" t="inlineStr">
        <is>
          <t>Nao</t>
        </is>
      </c>
      <c r="AB1582" s="111" t="inlineStr">
        <is>
          <t>NAO_COMPUTADO</t>
        </is>
      </c>
      <c r="AC1582" s="112" t="inlineStr">
        <is>
          <t>Estrutura Fase 1: sem impacto no VTA oficial</t>
        </is>
      </c>
    </row>
    <row r="1583" ht="25.5" customHeight="1" s="289">
      <c r="A1583" s="205" t="n"/>
      <c r="B1583" s="207" t="n"/>
      <c r="C1583" s="104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348" t="n"/>
      <c r="E1583" s="349">
        <f>IF(C1583="","",IFERROR(VLOOKUP(C1583,parametros!$A$11:$E$15,5,0),""))</f>
        <v/>
      </c>
      <c r="F1583" s="335">
        <f>IF(OR(D1583="",E1583=""),"",ROUND(D1583*E1583,2))</f>
        <v/>
      </c>
      <c r="G1583" s="106" t="n"/>
      <c r="H1583" s="350">
        <f>IF(G1583="Sim",IF(OR(F1583="",D1583="",L1583=""),"",IF(L1583="Sim",ROUND(F1583-D1583,2),0)),0)</f>
        <v/>
      </c>
      <c r="I1583" s="350">
        <f>IF(G1583="Sim",0,IF(OR(F1583="",L1583=""),"",F1583))</f>
        <v/>
      </c>
      <c r="J1583" s="350">
        <f>IF(G1583="Sim",0,IF(OR(F1583="",D1583="",L1583=""),"",IF(L1583="Sim",ROUND(F1583-D1583,2),0)))</f>
        <v/>
      </c>
      <c r="K1583" s="97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inlineStr">
        <is>
          <t>Nao</t>
        </is>
      </c>
      <c r="W1583" s="110" t="inlineStr">
        <is>
          <t>PC em analise</t>
        </is>
      </c>
      <c r="X1583" s="110" t="inlineStr">
        <is>
          <t>Pedido de Compra</t>
        </is>
      </c>
      <c r="Y1583" s="111" t="inlineStr">
        <is>
          <t>Impacto Potencial</t>
        </is>
      </c>
      <c r="Z1583" s="111" t="inlineStr">
        <is>
          <t>PC</t>
        </is>
      </c>
      <c r="AA1583" s="111" t="inlineStr">
        <is>
          <t>Nao</t>
        </is>
      </c>
      <c r="AB1583" s="111" t="inlineStr">
        <is>
          <t>NAO_COMPUTADO</t>
        </is>
      </c>
      <c r="AC1583" s="112" t="inlineStr">
        <is>
          <t>Estrutura Fase 1: sem impacto no VTA oficial</t>
        </is>
      </c>
    </row>
    <row r="1584" ht="25.5" customHeight="1" s="289">
      <c r="A1584" s="205" t="n"/>
      <c r="B1584" s="207" t="n"/>
      <c r="C1584" s="104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348" t="n"/>
      <c r="E1584" s="349">
        <f>IF(C1584="","",IFERROR(VLOOKUP(C1584,parametros!$A$11:$E$15,5,0),""))</f>
        <v/>
      </c>
      <c r="F1584" s="335">
        <f>IF(OR(D1584="",E1584=""),"",ROUND(D1584*E1584,2))</f>
        <v/>
      </c>
      <c r="G1584" s="106" t="n"/>
      <c r="H1584" s="350">
        <f>IF(G1584="Sim",IF(OR(F1584="",D1584="",L1584=""),"",IF(L1584="Sim",ROUND(F1584-D1584,2),0)),0)</f>
        <v/>
      </c>
      <c r="I1584" s="350">
        <f>IF(G1584="Sim",0,IF(OR(F1584="",L1584=""),"",F1584))</f>
        <v/>
      </c>
      <c r="J1584" s="350">
        <f>IF(G1584="Sim",0,IF(OR(F1584="",D1584="",L1584=""),"",IF(L1584="Sim",ROUND(F1584-D1584,2),0)))</f>
        <v/>
      </c>
      <c r="K1584" s="97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inlineStr">
        <is>
          <t>Nao</t>
        </is>
      </c>
      <c r="W1584" s="110" t="inlineStr">
        <is>
          <t>PC em analise</t>
        </is>
      </c>
      <c r="X1584" s="110" t="inlineStr">
        <is>
          <t>Pedido de Compra</t>
        </is>
      </c>
      <c r="Y1584" s="111" t="inlineStr">
        <is>
          <t>Impacto Potencial</t>
        </is>
      </c>
      <c r="Z1584" s="111" t="inlineStr">
        <is>
          <t>PC</t>
        </is>
      </c>
      <c r="AA1584" s="111" t="inlineStr">
        <is>
          <t>Nao</t>
        </is>
      </c>
      <c r="AB1584" s="111" t="inlineStr">
        <is>
          <t>NAO_COMPUTADO</t>
        </is>
      </c>
      <c r="AC1584" s="112" t="inlineStr">
        <is>
          <t>Estrutura Fase 1: sem impacto no VTA oficial</t>
        </is>
      </c>
    </row>
    <row r="1585" ht="25.5" customHeight="1" s="289">
      <c r="A1585" s="205" t="n"/>
      <c r="B1585" s="207" t="n"/>
      <c r="C1585" s="104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348" t="n"/>
      <c r="E1585" s="349">
        <f>IF(C1585="","",IFERROR(VLOOKUP(C1585,parametros!$A$11:$E$15,5,0),""))</f>
        <v/>
      </c>
      <c r="F1585" s="335">
        <f>IF(OR(D1585="",E1585=""),"",ROUND(D1585*E1585,2))</f>
        <v/>
      </c>
      <c r="G1585" s="106" t="n"/>
      <c r="H1585" s="350">
        <f>IF(G1585="Sim",IF(OR(F1585="",D1585="",L1585=""),"",IF(L1585="Sim",ROUND(F1585-D1585,2),0)),0)</f>
        <v/>
      </c>
      <c r="I1585" s="350">
        <f>IF(G1585="Sim",0,IF(OR(F1585="",L1585=""),"",F1585))</f>
        <v/>
      </c>
      <c r="J1585" s="350">
        <f>IF(G1585="Sim",0,IF(OR(F1585="",D1585="",L1585=""),"",IF(L1585="Sim",ROUND(F1585-D1585,2),0)))</f>
        <v/>
      </c>
      <c r="K1585" s="97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inlineStr">
        <is>
          <t>Nao</t>
        </is>
      </c>
      <c r="W1585" s="110" t="inlineStr">
        <is>
          <t>PC em analise</t>
        </is>
      </c>
      <c r="X1585" s="110" t="inlineStr">
        <is>
          <t>Pedido de Compra</t>
        </is>
      </c>
      <c r="Y1585" s="111" t="inlineStr">
        <is>
          <t>Impacto Potencial</t>
        </is>
      </c>
      <c r="Z1585" s="111" t="inlineStr">
        <is>
          <t>PC</t>
        </is>
      </c>
      <c r="AA1585" s="111" t="inlineStr">
        <is>
          <t>Nao</t>
        </is>
      </c>
      <c r="AB1585" s="111" t="inlineStr">
        <is>
          <t>NAO_COMPUTADO</t>
        </is>
      </c>
      <c r="AC1585" s="112" t="inlineStr">
        <is>
          <t>Estrutura Fase 1: sem impacto no VTA oficial</t>
        </is>
      </c>
    </row>
    <row r="1586" ht="25.5" customHeight="1" s="289">
      <c r="A1586" s="205" t="n"/>
      <c r="B1586" s="207" t="n"/>
      <c r="C1586" s="104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348" t="n"/>
      <c r="E1586" s="349">
        <f>IF(C1586="","",IFERROR(VLOOKUP(C1586,parametros!$A$11:$E$15,5,0),""))</f>
        <v/>
      </c>
      <c r="F1586" s="335">
        <f>IF(OR(D1586="",E1586=""),"",ROUND(D1586*E1586,2))</f>
        <v/>
      </c>
      <c r="G1586" s="106" t="n"/>
      <c r="H1586" s="350">
        <f>IF(G1586="Sim",IF(OR(F1586="",D1586="",L1586=""),"",IF(L1586="Sim",ROUND(F1586-D1586,2),0)),0)</f>
        <v/>
      </c>
      <c r="I1586" s="350">
        <f>IF(G1586="Sim",0,IF(OR(F1586="",L1586=""),"",F1586))</f>
        <v/>
      </c>
      <c r="J1586" s="350">
        <f>IF(G1586="Sim",0,IF(OR(F1586="",D1586="",L1586=""),"",IF(L1586="Sim",ROUND(F1586-D1586,2),0)))</f>
        <v/>
      </c>
      <c r="K1586" s="97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inlineStr">
        <is>
          <t>Nao</t>
        </is>
      </c>
      <c r="W1586" s="110" t="inlineStr">
        <is>
          <t>PC em analise</t>
        </is>
      </c>
      <c r="X1586" s="110" t="inlineStr">
        <is>
          <t>Pedido de Compra</t>
        </is>
      </c>
      <c r="Y1586" s="111" t="inlineStr">
        <is>
          <t>Impacto Potencial</t>
        </is>
      </c>
      <c r="Z1586" s="111" t="inlineStr">
        <is>
          <t>PC</t>
        </is>
      </c>
      <c r="AA1586" s="111" t="inlineStr">
        <is>
          <t>Nao</t>
        </is>
      </c>
      <c r="AB1586" s="111" t="inlineStr">
        <is>
          <t>NAO_COMPUTADO</t>
        </is>
      </c>
      <c r="AC1586" s="112" t="inlineStr">
        <is>
          <t>Estrutura Fase 1: sem impacto no VTA oficial</t>
        </is>
      </c>
    </row>
    <row r="1587" ht="25.5" customHeight="1" s="289">
      <c r="A1587" s="205" t="n"/>
      <c r="B1587" s="207" t="n"/>
      <c r="C1587" s="104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348" t="n"/>
      <c r="E1587" s="349">
        <f>IF(C1587="","",IFERROR(VLOOKUP(C1587,parametros!$A$11:$E$15,5,0),""))</f>
        <v/>
      </c>
      <c r="F1587" s="335">
        <f>IF(OR(D1587="",E1587=""),"",ROUND(D1587*E1587,2))</f>
        <v/>
      </c>
      <c r="G1587" s="106" t="n"/>
      <c r="H1587" s="350">
        <f>IF(G1587="Sim",IF(OR(F1587="",D1587="",L1587=""),"",IF(L1587="Sim",ROUND(F1587-D1587,2),0)),0)</f>
        <v/>
      </c>
      <c r="I1587" s="350">
        <f>IF(G1587="Sim",0,IF(OR(F1587="",L1587=""),"",F1587))</f>
        <v/>
      </c>
      <c r="J1587" s="350">
        <f>IF(G1587="Sim",0,IF(OR(F1587="",D1587="",L1587=""),"",IF(L1587="Sim",ROUND(F1587-D1587,2),0)))</f>
        <v/>
      </c>
      <c r="K1587" s="97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inlineStr">
        <is>
          <t>Nao</t>
        </is>
      </c>
      <c r="W1587" s="110" t="inlineStr">
        <is>
          <t>PC em analise</t>
        </is>
      </c>
      <c r="X1587" s="110" t="inlineStr">
        <is>
          <t>Pedido de Compra</t>
        </is>
      </c>
      <c r="Y1587" s="111" t="inlineStr">
        <is>
          <t>Impacto Potencial</t>
        </is>
      </c>
      <c r="Z1587" s="111" t="inlineStr">
        <is>
          <t>PC</t>
        </is>
      </c>
      <c r="AA1587" s="111" t="inlineStr">
        <is>
          <t>Nao</t>
        </is>
      </c>
      <c r="AB1587" s="111" t="inlineStr">
        <is>
          <t>NAO_COMPUTADO</t>
        </is>
      </c>
      <c r="AC1587" s="112" t="inlineStr">
        <is>
          <t>Estrutura Fase 1: sem impacto no VTA oficial</t>
        </is>
      </c>
    </row>
    <row r="1588" ht="25.5" customHeight="1" s="289">
      <c r="A1588" s="205" t="n"/>
      <c r="B1588" s="207" t="n"/>
      <c r="C1588" s="104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348" t="n"/>
      <c r="E1588" s="349">
        <f>IF(C1588="","",IFERROR(VLOOKUP(C1588,parametros!$A$11:$E$15,5,0),""))</f>
        <v/>
      </c>
      <c r="F1588" s="335">
        <f>IF(OR(D1588="",E1588=""),"",ROUND(D1588*E1588,2))</f>
        <v/>
      </c>
      <c r="G1588" s="106" t="n"/>
      <c r="H1588" s="350">
        <f>IF(G1588="Sim",IF(OR(F1588="",D1588="",L1588=""),"",IF(L1588="Sim",ROUND(F1588-D1588,2),0)),0)</f>
        <v/>
      </c>
      <c r="I1588" s="350">
        <f>IF(G1588="Sim",0,IF(OR(F1588="",L1588=""),"",F1588))</f>
        <v/>
      </c>
      <c r="J1588" s="350">
        <f>IF(G1588="Sim",0,IF(OR(F1588="",D1588="",L1588=""),"",IF(L1588="Sim",ROUND(F1588-D1588,2),0)))</f>
        <v/>
      </c>
      <c r="K1588" s="97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inlineStr">
        <is>
          <t>Nao</t>
        </is>
      </c>
      <c r="W1588" s="110" t="inlineStr">
        <is>
          <t>PC em analise</t>
        </is>
      </c>
      <c r="X1588" s="110" t="inlineStr">
        <is>
          <t>Pedido de Compra</t>
        </is>
      </c>
      <c r="Y1588" s="111" t="inlineStr">
        <is>
          <t>Impacto Potencial</t>
        </is>
      </c>
      <c r="Z1588" s="111" t="inlineStr">
        <is>
          <t>PC</t>
        </is>
      </c>
      <c r="AA1588" s="111" t="inlineStr">
        <is>
          <t>Nao</t>
        </is>
      </c>
      <c r="AB1588" s="111" t="inlineStr">
        <is>
          <t>NAO_COMPUTADO</t>
        </is>
      </c>
      <c r="AC1588" s="112" t="inlineStr">
        <is>
          <t>Estrutura Fase 1: sem impacto no VTA oficial</t>
        </is>
      </c>
    </row>
    <row r="1589" ht="25.5" customHeight="1" s="289">
      <c r="A1589" s="205" t="n"/>
      <c r="B1589" s="207" t="n"/>
      <c r="C1589" s="104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348" t="n"/>
      <c r="E1589" s="349">
        <f>IF(C1589="","",IFERROR(VLOOKUP(C1589,parametros!$A$11:$E$15,5,0),""))</f>
        <v/>
      </c>
      <c r="F1589" s="335">
        <f>IF(OR(D1589="",E1589=""),"",ROUND(D1589*E1589,2))</f>
        <v/>
      </c>
      <c r="G1589" s="106" t="n"/>
      <c r="H1589" s="350">
        <f>IF(G1589="Sim",IF(OR(F1589="",D1589="",L1589=""),"",IF(L1589="Sim",ROUND(F1589-D1589,2),0)),0)</f>
        <v/>
      </c>
      <c r="I1589" s="350">
        <f>IF(G1589="Sim",0,IF(OR(F1589="",L1589=""),"",F1589))</f>
        <v/>
      </c>
      <c r="J1589" s="350">
        <f>IF(G1589="Sim",0,IF(OR(F1589="",D1589="",L1589=""),"",IF(L1589="Sim",ROUND(F1589-D1589,2),0)))</f>
        <v/>
      </c>
      <c r="K1589" s="97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inlineStr">
        <is>
          <t>Nao</t>
        </is>
      </c>
      <c r="W1589" s="110" t="inlineStr">
        <is>
          <t>PC em analise</t>
        </is>
      </c>
      <c r="X1589" s="110" t="inlineStr">
        <is>
          <t>Pedido de Compra</t>
        </is>
      </c>
      <c r="Y1589" s="111" t="inlineStr">
        <is>
          <t>Impacto Potencial</t>
        </is>
      </c>
      <c r="Z1589" s="111" t="inlineStr">
        <is>
          <t>PC</t>
        </is>
      </c>
      <c r="AA1589" s="111" t="inlineStr">
        <is>
          <t>Nao</t>
        </is>
      </c>
      <c r="AB1589" s="111" t="inlineStr">
        <is>
          <t>NAO_COMPUTADO</t>
        </is>
      </c>
      <c r="AC1589" s="112" t="inlineStr">
        <is>
          <t>Estrutura Fase 1: sem impacto no VTA oficial</t>
        </is>
      </c>
    </row>
    <row r="1590" ht="25.5" customHeight="1" s="289">
      <c r="A1590" s="205" t="n"/>
      <c r="B1590" s="207" t="n"/>
      <c r="C1590" s="104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348" t="n"/>
      <c r="E1590" s="349">
        <f>IF(C1590="","",IFERROR(VLOOKUP(C1590,parametros!$A$11:$E$15,5,0),""))</f>
        <v/>
      </c>
      <c r="F1590" s="335">
        <f>IF(OR(D1590="",E1590=""),"",ROUND(D1590*E1590,2))</f>
        <v/>
      </c>
      <c r="G1590" s="106" t="n"/>
      <c r="H1590" s="350">
        <f>IF(G1590="Sim",IF(OR(F1590="",D1590="",L1590=""),"",IF(L1590="Sim",ROUND(F1590-D1590,2),0)),0)</f>
        <v/>
      </c>
      <c r="I1590" s="350">
        <f>IF(G1590="Sim",0,IF(OR(F1590="",L1590=""),"",F1590))</f>
        <v/>
      </c>
      <c r="J1590" s="350">
        <f>IF(G1590="Sim",0,IF(OR(F1590="",D1590="",L1590=""),"",IF(L1590="Sim",ROUND(F1590-D1590,2),0)))</f>
        <v/>
      </c>
      <c r="K1590" s="97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inlineStr">
        <is>
          <t>Nao</t>
        </is>
      </c>
      <c r="W1590" s="110" t="inlineStr">
        <is>
          <t>PC em analise</t>
        </is>
      </c>
      <c r="X1590" s="110" t="inlineStr">
        <is>
          <t>Pedido de Compra</t>
        </is>
      </c>
      <c r="Y1590" s="111" t="inlineStr">
        <is>
          <t>Impacto Potencial</t>
        </is>
      </c>
      <c r="Z1590" s="111" t="inlineStr">
        <is>
          <t>PC</t>
        </is>
      </c>
      <c r="AA1590" s="111" t="inlineStr">
        <is>
          <t>Nao</t>
        </is>
      </c>
      <c r="AB1590" s="111" t="inlineStr">
        <is>
          <t>NAO_COMPUTADO</t>
        </is>
      </c>
      <c r="AC1590" s="112" t="inlineStr">
        <is>
          <t>Estrutura Fase 1: sem impacto no VTA oficial</t>
        </is>
      </c>
    </row>
    <row r="1591" ht="25.5" customHeight="1" s="289">
      <c r="A1591" s="205" t="n"/>
      <c r="B1591" s="207" t="n"/>
      <c r="C1591" s="104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348" t="n"/>
      <c r="E1591" s="349">
        <f>IF(C1591="","",IFERROR(VLOOKUP(C1591,parametros!$A$11:$E$15,5,0),""))</f>
        <v/>
      </c>
      <c r="F1591" s="335">
        <f>IF(OR(D1591="",E1591=""),"",ROUND(D1591*E1591,2))</f>
        <v/>
      </c>
      <c r="G1591" s="106" t="n"/>
      <c r="H1591" s="350">
        <f>IF(G1591="Sim",IF(OR(F1591="",D1591="",L1591=""),"",IF(L1591="Sim",ROUND(F1591-D1591,2),0)),0)</f>
        <v/>
      </c>
      <c r="I1591" s="350">
        <f>IF(G1591="Sim",0,IF(OR(F1591="",L1591=""),"",F1591))</f>
        <v/>
      </c>
      <c r="J1591" s="350">
        <f>IF(G1591="Sim",0,IF(OR(F1591="",D1591="",L1591=""),"",IF(L1591="Sim",ROUND(F1591-D1591,2),0)))</f>
        <v/>
      </c>
      <c r="K1591" s="97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inlineStr">
        <is>
          <t>Nao</t>
        </is>
      </c>
      <c r="W1591" s="110" t="inlineStr">
        <is>
          <t>PC em analise</t>
        </is>
      </c>
      <c r="X1591" s="110" t="inlineStr">
        <is>
          <t>Pedido de Compra</t>
        </is>
      </c>
      <c r="Y1591" s="111" t="inlineStr">
        <is>
          <t>Impacto Potencial</t>
        </is>
      </c>
      <c r="Z1591" s="111" t="inlineStr">
        <is>
          <t>PC</t>
        </is>
      </c>
      <c r="AA1591" s="111" t="inlineStr">
        <is>
          <t>Nao</t>
        </is>
      </c>
      <c r="AB1591" s="111" t="inlineStr">
        <is>
          <t>NAO_COMPUTADO</t>
        </is>
      </c>
      <c r="AC1591" s="112" t="inlineStr">
        <is>
          <t>Estrutura Fase 1: sem impacto no VTA oficial</t>
        </is>
      </c>
    </row>
    <row r="1592" ht="25.5" customHeight="1" s="289">
      <c r="A1592" s="205" t="n"/>
      <c r="B1592" s="207" t="n"/>
      <c r="C1592" s="104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348" t="n"/>
      <c r="E1592" s="349">
        <f>IF(C1592="","",IFERROR(VLOOKUP(C1592,parametros!$A$11:$E$15,5,0),""))</f>
        <v/>
      </c>
      <c r="F1592" s="335">
        <f>IF(OR(D1592="",E1592=""),"",ROUND(D1592*E1592,2))</f>
        <v/>
      </c>
      <c r="G1592" s="106" t="n"/>
      <c r="H1592" s="350">
        <f>IF(G1592="Sim",IF(OR(F1592="",D1592="",L1592=""),"",IF(L1592="Sim",ROUND(F1592-D1592,2),0)),0)</f>
        <v/>
      </c>
      <c r="I1592" s="350">
        <f>IF(G1592="Sim",0,IF(OR(F1592="",L1592=""),"",F1592))</f>
        <v/>
      </c>
      <c r="J1592" s="350">
        <f>IF(G1592="Sim",0,IF(OR(F1592="",D1592="",L1592=""),"",IF(L1592="Sim",ROUND(F1592-D1592,2),0)))</f>
        <v/>
      </c>
      <c r="K1592" s="97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inlineStr">
        <is>
          <t>Nao</t>
        </is>
      </c>
      <c r="W1592" s="110" t="inlineStr">
        <is>
          <t>PC em analise</t>
        </is>
      </c>
      <c r="X1592" s="110" t="inlineStr">
        <is>
          <t>Pedido de Compra</t>
        </is>
      </c>
      <c r="Y1592" s="111" t="inlineStr">
        <is>
          <t>Impacto Potencial</t>
        </is>
      </c>
      <c r="Z1592" s="111" t="inlineStr">
        <is>
          <t>PC</t>
        </is>
      </c>
      <c r="AA1592" s="111" t="inlineStr">
        <is>
          <t>Nao</t>
        </is>
      </c>
      <c r="AB1592" s="111" t="inlineStr">
        <is>
          <t>NAO_COMPUTADO</t>
        </is>
      </c>
      <c r="AC1592" s="112" t="inlineStr">
        <is>
          <t>Estrutura Fase 1: sem impacto no VTA oficial</t>
        </is>
      </c>
    </row>
    <row r="1593" ht="25.5" customHeight="1" s="289">
      <c r="A1593" s="205" t="n"/>
      <c r="B1593" s="207" t="n"/>
      <c r="C1593" s="104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348" t="n"/>
      <c r="E1593" s="349">
        <f>IF(C1593="","",IFERROR(VLOOKUP(C1593,parametros!$A$11:$E$15,5,0),""))</f>
        <v/>
      </c>
      <c r="F1593" s="335">
        <f>IF(OR(D1593="",E1593=""),"",ROUND(D1593*E1593,2))</f>
        <v/>
      </c>
      <c r="G1593" s="106" t="n"/>
      <c r="H1593" s="350">
        <f>IF(G1593="Sim",IF(OR(F1593="",D1593="",L1593=""),"",IF(L1593="Sim",ROUND(F1593-D1593,2),0)),0)</f>
        <v/>
      </c>
      <c r="I1593" s="350">
        <f>IF(G1593="Sim",0,IF(OR(F1593="",L1593=""),"",F1593))</f>
        <v/>
      </c>
      <c r="J1593" s="350">
        <f>IF(G1593="Sim",0,IF(OR(F1593="",D1593="",L1593=""),"",IF(L1593="Sim",ROUND(F1593-D1593,2),0)))</f>
        <v/>
      </c>
      <c r="K1593" s="97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inlineStr">
        <is>
          <t>Nao</t>
        </is>
      </c>
      <c r="W1593" s="110" t="inlineStr">
        <is>
          <t>PC em analise</t>
        </is>
      </c>
      <c r="X1593" s="110" t="inlineStr">
        <is>
          <t>Pedido de Compra</t>
        </is>
      </c>
      <c r="Y1593" s="111" t="inlineStr">
        <is>
          <t>Impacto Potencial</t>
        </is>
      </c>
      <c r="Z1593" s="111" t="inlineStr">
        <is>
          <t>PC</t>
        </is>
      </c>
      <c r="AA1593" s="111" t="inlineStr">
        <is>
          <t>Nao</t>
        </is>
      </c>
      <c r="AB1593" s="111" t="inlineStr">
        <is>
          <t>NAO_COMPUTADO</t>
        </is>
      </c>
      <c r="AC1593" s="112" t="inlineStr">
        <is>
          <t>Estrutura Fase 1: sem impacto no VTA oficial</t>
        </is>
      </c>
    </row>
    <row r="1594" ht="25.5" customHeight="1" s="289">
      <c r="A1594" s="205" t="n"/>
      <c r="B1594" s="207" t="n"/>
      <c r="C1594" s="104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348" t="n"/>
      <c r="E1594" s="349">
        <f>IF(C1594="","",IFERROR(VLOOKUP(C1594,parametros!$A$11:$E$15,5,0),""))</f>
        <v/>
      </c>
      <c r="F1594" s="335">
        <f>IF(OR(D1594="",E1594=""),"",ROUND(D1594*E1594,2))</f>
        <v/>
      </c>
      <c r="G1594" s="106" t="n"/>
      <c r="H1594" s="350">
        <f>IF(G1594="Sim",IF(OR(F1594="",D1594="",L1594=""),"",IF(L1594="Sim",ROUND(F1594-D1594,2),0)),0)</f>
        <v/>
      </c>
      <c r="I1594" s="350">
        <f>IF(G1594="Sim",0,IF(OR(F1594="",L1594=""),"",F1594))</f>
        <v/>
      </c>
      <c r="J1594" s="350">
        <f>IF(G1594="Sim",0,IF(OR(F1594="",D1594="",L1594=""),"",IF(L1594="Sim",ROUND(F1594-D1594,2),0)))</f>
        <v/>
      </c>
      <c r="K1594" s="97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inlineStr">
        <is>
          <t>Nao</t>
        </is>
      </c>
      <c r="W1594" s="110" t="inlineStr">
        <is>
          <t>PC em analise</t>
        </is>
      </c>
      <c r="X1594" s="110" t="inlineStr">
        <is>
          <t>Pedido de Compra</t>
        </is>
      </c>
      <c r="Y1594" s="111" t="inlineStr">
        <is>
          <t>Impacto Potencial</t>
        </is>
      </c>
      <c r="Z1594" s="111" t="inlineStr">
        <is>
          <t>PC</t>
        </is>
      </c>
      <c r="AA1594" s="111" t="inlineStr">
        <is>
          <t>Nao</t>
        </is>
      </c>
      <c r="AB1594" s="111" t="inlineStr">
        <is>
          <t>NAO_COMPUTADO</t>
        </is>
      </c>
      <c r="AC1594" s="112" t="inlineStr">
        <is>
          <t>Estrutura Fase 1: sem impacto no VTA oficial</t>
        </is>
      </c>
    </row>
    <row r="1595" ht="25.5" customHeight="1" s="289">
      <c r="A1595" s="205" t="n"/>
      <c r="B1595" s="207" t="n"/>
      <c r="C1595" s="104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348" t="n"/>
      <c r="E1595" s="349">
        <f>IF(C1595="","",IFERROR(VLOOKUP(C1595,parametros!$A$11:$E$15,5,0),""))</f>
        <v/>
      </c>
      <c r="F1595" s="335">
        <f>IF(OR(D1595="",E1595=""),"",ROUND(D1595*E1595,2))</f>
        <v/>
      </c>
      <c r="G1595" s="106" t="n"/>
      <c r="H1595" s="350">
        <f>IF(G1595="Sim",IF(OR(F1595="",D1595="",L1595=""),"",IF(L1595="Sim",ROUND(F1595-D1595,2),0)),0)</f>
        <v/>
      </c>
      <c r="I1595" s="350">
        <f>IF(G1595="Sim",0,IF(OR(F1595="",L1595=""),"",F1595))</f>
        <v/>
      </c>
      <c r="J1595" s="350">
        <f>IF(G1595="Sim",0,IF(OR(F1595="",D1595="",L1595=""),"",IF(L1595="Sim",ROUND(F1595-D1595,2),0)))</f>
        <v/>
      </c>
      <c r="K1595" s="97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inlineStr">
        <is>
          <t>Nao</t>
        </is>
      </c>
      <c r="W1595" s="110" t="inlineStr">
        <is>
          <t>PC em analise</t>
        </is>
      </c>
      <c r="X1595" s="110" t="inlineStr">
        <is>
          <t>Pedido de Compra</t>
        </is>
      </c>
      <c r="Y1595" s="111" t="inlineStr">
        <is>
          <t>Impacto Potencial</t>
        </is>
      </c>
      <c r="Z1595" s="111" t="inlineStr">
        <is>
          <t>PC</t>
        </is>
      </c>
      <c r="AA1595" s="111" t="inlineStr">
        <is>
          <t>Nao</t>
        </is>
      </c>
      <c r="AB1595" s="111" t="inlineStr">
        <is>
          <t>NAO_COMPUTADO</t>
        </is>
      </c>
      <c r="AC1595" s="112" t="inlineStr">
        <is>
          <t>Estrutura Fase 1: sem impacto no VTA oficial</t>
        </is>
      </c>
    </row>
    <row r="1596" ht="25.5" customHeight="1" s="289">
      <c r="A1596" s="205" t="n"/>
      <c r="B1596" s="207" t="n"/>
      <c r="C1596" s="104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348" t="n"/>
      <c r="E1596" s="349">
        <f>IF(C1596="","",IFERROR(VLOOKUP(C1596,parametros!$A$11:$E$15,5,0),""))</f>
        <v/>
      </c>
      <c r="F1596" s="335">
        <f>IF(OR(D1596="",E1596=""),"",ROUND(D1596*E1596,2))</f>
        <v/>
      </c>
      <c r="G1596" s="106" t="n"/>
      <c r="H1596" s="350">
        <f>IF(G1596="Sim",IF(OR(F1596="",D1596="",L1596=""),"",IF(L1596="Sim",ROUND(F1596-D1596,2),0)),0)</f>
        <v/>
      </c>
      <c r="I1596" s="350">
        <f>IF(G1596="Sim",0,IF(OR(F1596="",L1596=""),"",F1596))</f>
        <v/>
      </c>
      <c r="J1596" s="350">
        <f>IF(G1596="Sim",0,IF(OR(F1596="",D1596="",L1596=""),"",IF(L1596="Sim",ROUND(F1596-D1596,2),0)))</f>
        <v/>
      </c>
      <c r="K1596" s="97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inlineStr">
        <is>
          <t>Nao</t>
        </is>
      </c>
      <c r="W1596" s="110" t="inlineStr">
        <is>
          <t>PC em analise</t>
        </is>
      </c>
      <c r="X1596" s="110" t="inlineStr">
        <is>
          <t>Pedido de Compra</t>
        </is>
      </c>
      <c r="Y1596" s="111" t="inlineStr">
        <is>
          <t>Impacto Potencial</t>
        </is>
      </c>
      <c r="Z1596" s="111" t="inlineStr">
        <is>
          <t>PC</t>
        </is>
      </c>
      <c r="AA1596" s="111" t="inlineStr">
        <is>
          <t>Nao</t>
        </is>
      </c>
      <c r="AB1596" s="111" t="inlineStr">
        <is>
          <t>NAO_COMPUTADO</t>
        </is>
      </c>
      <c r="AC1596" s="112" t="inlineStr">
        <is>
          <t>Estrutura Fase 1: sem impacto no VTA oficial</t>
        </is>
      </c>
    </row>
    <row r="1597" ht="25.5" customHeight="1" s="289">
      <c r="A1597" s="205" t="n"/>
      <c r="B1597" s="207" t="n"/>
      <c r="C1597" s="104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348" t="n"/>
      <c r="E1597" s="349">
        <f>IF(C1597="","",IFERROR(VLOOKUP(C1597,parametros!$A$11:$E$15,5,0),""))</f>
        <v/>
      </c>
      <c r="F1597" s="335">
        <f>IF(OR(D1597="",E1597=""),"",ROUND(D1597*E1597,2))</f>
        <v/>
      </c>
      <c r="G1597" s="106" t="n"/>
      <c r="H1597" s="350">
        <f>IF(G1597="Sim",IF(OR(F1597="",D1597="",L1597=""),"",IF(L1597="Sim",ROUND(F1597-D1597,2),0)),0)</f>
        <v/>
      </c>
      <c r="I1597" s="350">
        <f>IF(G1597="Sim",0,IF(OR(F1597="",L1597=""),"",F1597))</f>
        <v/>
      </c>
      <c r="J1597" s="350">
        <f>IF(G1597="Sim",0,IF(OR(F1597="",D1597="",L1597=""),"",IF(L1597="Sim",ROUND(F1597-D1597,2),0)))</f>
        <v/>
      </c>
      <c r="K1597" s="97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inlineStr">
        <is>
          <t>Nao</t>
        </is>
      </c>
      <c r="W1597" s="110" t="inlineStr">
        <is>
          <t>PC em analise</t>
        </is>
      </c>
      <c r="X1597" s="110" t="inlineStr">
        <is>
          <t>Pedido de Compra</t>
        </is>
      </c>
      <c r="Y1597" s="111" t="inlineStr">
        <is>
          <t>Impacto Potencial</t>
        </is>
      </c>
      <c r="Z1597" s="111" t="inlineStr">
        <is>
          <t>PC</t>
        </is>
      </c>
      <c r="AA1597" s="111" t="inlineStr">
        <is>
          <t>Nao</t>
        </is>
      </c>
      <c r="AB1597" s="111" t="inlineStr">
        <is>
          <t>NAO_COMPUTADO</t>
        </is>
      </c>
      <c r="AC1597" s="112" t="inlineStr">
        <is>
          <t>Estrutura Fase 1: sem impacto no VTA oficial</t>
        </is>
      </c>
    </row>
    <row r="1598" ht="25.5" customHeight="1" s="289">
      <c r="A1598" s="205" t="n"/>
      <c r="B1598" s="207" t="n"/>
      <c r="C1598" s="104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348" t="n"/>
      <c r="E1598" s="349">
        <f>IF(C1598="","",IFERROR(VLOOKUP(C1598,parametros!$A$11:$E$15,5,0),""))</f>
        <v/>
      </c>
      <c r="F1598" s="335">
        <f>IF(OR(D1598="",E1598=""),"",ROUND(D1598*E1598,2))</f>
        <v/>
      </c>
      <c r="G1598" s="106" t="n"/>
      <c r="H1598" s="350">
        <f>IF(G1598="Sim",IF(OR(F1598="",D1598="",L1598=""),"",IF(L1598="Sim",ROUND(F1598-D1598,2),0)),0)</f>
        <v/>
      </c>
      <c r="I1598" s="350">
        <f>IF(G1598="Sim",0,IF(OR(F1598="",L1598=""),"",F1598))</f>
        <v/>
      </c>
      <c r="J1598" s="350">
        <f>IF(G1598="Sim",0,IF(OR(F1598="",D1598="",L1598=""),"",IF(L1598="Sim",ROUND(F1598-D1598,2),0)))</f>
        <v/>
      </c>
      <c r="K1598" s="97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inlineStr">
        <is>
          <t>Nao</t>
        </is>
      </c>
      <c r="W1598" s="110" t="inlineStr">
        <is>
          <t>PC em analise</t>
        </is>
      </c>
      <c r="X1598" s="110" t="inlineStr">
        <is>
          <t>Pedido de Compra</t>
        </is>
      </c>
      <c r="Y1598" s="111" t="inlineStr">
        <is>
          <t>Impacto Potencial</t>
        </is>
      </c>
      <c r="Z1598" s="111" t="inlineStr">
        <is>
          <t>PC</t>
        </is>
      </c>
      <c r="AA1598" s="111" t="inlineStr">
        <is>
          <t>Nao</t>
        </is>
      </c>
      <c r="AB1598" s="111" t="inlineStr">
        <is>
          <t>NAO_COMPUTADO</t>
        </is>
      </c>
      <c r="AC1598" s="112" t="inlineStr">
        <is>
          <t>Estrutura Fase 1: sem impacto no VTA oficial</t>
        </is>
      </c>
    </row>
    <row r="1599" ht="25.5" customHeight="1" s="289">
      <c r="A1599" s="205" t="n"/>
      <c r="B1599" s="207" t="n"/>
      <c r="C1599" s="104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348" t="n"/>
      <c r="E1599" s="349">
        <f>IF(C1599="","",IFERROR(VLOOKUP(C1599,parametros!$A$11:$E$15,5,0),""))</f>
        <v/>
      </c>
      <c r="F1599" s="335">
        <f>IF(OR(D1599="",E1599=""),"",ROUND(D1599*E1599,2))</f>
        <v/>
      </c>
      <c r="G1599" s="106" t="n"/>
      <c r="H1599" s="350">
        <f>IF(G1599="Sim",IF(OR(F1599="",D1599="",L1599=""),"",IF(L1599="Sim",ROUND(F1599-D1599,2),0)),0)</f>
        <v/>
      </c>
      <c r="I1599" s="350">
        <f>IF(G1599="Sim",0,IF(OR(F1599="",L1599=""),"",F1599))</f>
        <v/>
      </c>
      <c r="J1599" s="350">
        <f>IF(G1599="Sim",0,IF(OR(F1599="",D1599="",L1599=""),"",IF(L1599="Sim",ROUND(F1599-D1599,2),0)))</f>
        <v/>
      </c>
      <c r="K1599" s="97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inlineStr">
        <is>
          <t>Nao</t>
        </is>
      </c>
      <c r="W1599" s="110" t="inlineStr">
        <is>
          <t>PC em analise</t>
        </is>
      </c>
      <c r="X1599" s="110" t="inlineStr">
        <is>
          <t>Pedido de Compra</t>
        </is>
      </c>
      <c r="Y1599" s="111" t="inlineStr">
        <is>
          <t>Impacto Potencial</t>
        </is>
      </c>
      <c r="Z1599" s="111" t="inlineStr">
        <is>
          <t>PC</t>
        </is>
      </c>
      <c r="AA1599" s="111" t="inlineStr">
        <is>
          <t>Nao</t>
        </is>
      </c>
      <c r="AB1599" s="111" t="inlineStr">
        <is>
          <t>NAO_COMPUTADO</t>
        </is>
      </c>
      <c r="AC1599" s="112" t="inlineStr">
        <is>
          <t>Estrutura Fase 1: sem impacto no VTA oficial</t>
        </is>
      </c>
    </row>
    <row r="1600" ht="25.5" customHeight="1" s="289">
      <c r="A1600" s="205" t="n"/>
      <c r="B1600" s="207" t="n"/>
      <c r="C1600" s="104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348" t="n"/>
      <c r="E1600" s="349">
        <f>IF(C1600="","",IFERROR(VLOOKUP(C1600,parametros!$A$11:$E$15,5,0),""))</f>
        <v/>
      </c>
      <c r="F1600" s="335">
        <f>IF(OR(D1600="",E1600=""),"",ROUND(D1600*E1600,2))</f>
        <v/>
      </c>
      <c r="G1600" s="106" t="n"/>
      <c r="H1600" s="350">
        <f>IF(G1600="Sim",IF(OR(F1600="",D1600="",L1600=""),"",IF(L1600="Sim",ROUND(F1600-D1600,2),0)),0)</f>
        <v/>
      </c>
      <c r="I1600" s="350">
        <f>IF(G1600="Sim",0,IF(OR(F1600="",L1600=""),"",F1600))</f>
        <v/>
      </c>
      <c r="J1600" s="350">
        <f>IF(G1600="Sim",0,IF(OR(F1600="",D1600="",L1600=""),"",IF(L1600="Sim",ROUND(F1600-D1600,2),0)))</f>
        <v/>
      </c>
      <c r="K1600" s="97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inlineStr">
        <is>
          <t>Nao</t>
        </is>
      </c>
      <c r="W1600" s="110" t="inlineStr">
        <is>
          <t>PC em analise</t>
        </is>
      </c>
      <c r="X1600" s="110" t="inlineStr">
        <is>
          <t>Pedido de Compra</t>
        </is>
      </c>
      <c r="Y1600" s="111" t="inlineStr">
        <is>
          <t>Impacto Potencial</t>
        </is>
      </c>
      <c r="Z1600" s="111" t="inlineStr">
        <is>
          <t>PC</t>
        </is>
      </c>
      <c r="AA1600" s="111" t="inlineStr">
        <is>
          <t>Nao</t>
        </is>
      </c>
      <c r="AB1600" s="111" t="inlineStr">
        <is>
          <t>NAO_COMPUTADO</t>
        </is>
      </c>
      <c r="AC1600" s="112" t="inlineStr">
        <is>
          <t>Estrutura Fase 1: sem impacto no VTA oficial</t>
        </is>
      </c>
    </row>
    <row r="1601" ht="25.5" customHeight="1" s="289">
      <c r="A1601" s="205" t="n"/>
      <c r="B1601" s="207" t="n"/>
      <c r="C1601" s="104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348" t="n"/>
      <c r="E1601" s="349">
        <f>IF(C1601="","",IFERROR(VLOOKUP(C1601,parametros!$A$11:$E$15,5,0),""))</f>
        <v/>
      </c>
      <c r="F1601" s="335">
        <f>IF(OR(D1601="",E1601=""),"",ROUND(D1601*E1601,2))</f>
        <v/>
      </c>
      <c r="G1601" s="106" t="n"/>
      <c r="H1601" s="350">
        <f>IF(G1601="Sim",IF(OR(F1601="",D1601="",L1601=""),"",IF(L1601="Sim",ROUND(F1601-D1601,2),0)),0)</f>
        <v/>
      </c>
      <c r="I1601" s="350">
        <f>IF(G1601="Sim",0,IF(OR(F1601="",L1601=""),"",F1601))</f>
        <v/>
      </c>
      <c r="J1601" s="350">
        <f>IF(G1601="Sim",0,IF(OR(F1601="",D1601="",L1601=""),"",IF(L1601="Sim",ROUND(F1601-D1601,2),0)))</f>
        <v/>
      </c>
      <c r="K1601" s="97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inlineStr">
        <is>
          <t>Nao</t>
        </is>
      </c>
      <c r="W1601" s="110" t="inlineStr">
        <is>
          <t>PC em analise</t>
        </is>
      </c>
      <c r="X1601" s="110" t="inlineStr">
        <is>
          <t>Pedido de Compra</t>
        </is>
      </c>
      <c r="Y1601" s="111" t="inlineStr">
        <is>
          <t>Impacto Potencial</t>
        </is>
      </c>
      <c r="Z1601" s="111" t="inlineStr">
        <is>
          <t>PC</t>
        </is>
      </c>
      <c r="AA1601" s="111" t="inlineStr">
        <is>
          <t>Nao</t>
        </is>
      </c>
      <c r="AB1601" s="111" t="inlineStr">
        <is>
          <t>NAO_COMPUTADO</t>
        </is>
      </c>
      <c r="AC1601" s="112" t="inlineStr">
        <is>
          <t>Estrutura Fase 1: sem impacto no VTA oficial</t>
        </is>
      </c>
    </row>
    <row r="1602" ht="25.5" customHeight="1" s="289">
      <c r="A1602" s="205" t="n"/>
      <c r="B1602" s="207" t="n"/>
      <c r="C1602" s="104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348" t="n"/>
      <c r="E1602" s="349">
        <f>IF(C1602="","",IFERROR(VLOOKUP(C1602,parametros!$A$11:$E$15,5,0),""))</f>
        <v/>
      </c>
      <c r="F1602" s="335">
        <f>IF(OR(D1602="",E1602=""),"",ROUND(D1602*E1602,2))</f>
        <v/>
      </c>
      <c r="G1602" s="106" t="n"/>
      <c r="H1602" s="350">
        <f>IF(G1602="Sim",IF(OR(F1602="",D1602="",L1602=""),"",IF(L1602="Sim",ROUND(F1602-D1602,2),0)),0)</f>
        <v/>
      </c>
      <c r="I1602" s="350">
        <f>IF(G1602="Sim",0,IF(OR(F1602="",L1602=""),"",F1602))</f>
        <v/>
      </c>
      <c r="J1602" s="350">
        <f>IF(G1602="Sim",0,IF(OR(F1602="",D1602="",L1602=""),"",IF(L1602="Sim",ROUND(F1602-D1602,2),0)))</f>
        <v/>
      </c>
      <c r="K1602" s="97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inlineStr">
        <is>
          <t>Nao</t>
        </is>
      </c>
      <c r="W1602" s="110" t="inlineStr">
        <is>
          <t>PC em analise</t>
        </is>
      </c>
      <c r="X1602" s="110" t="inlineStr">
        <is>
          <t>Pedido de Compra</t>
        </is>
      </c>
      <c r="Y1602" s="111" t="inlineStr">
        <is>
          <t>Impacto Potencial</t>
        </is>
      </c>
      <c r="Z1602" s="111" t="inlineStr">
        <is>
          <t>PC</t>
        </is>
      </c>
      <c r="AA1602" s="111" t="inlineStr">
        <is>
          <t>Nao</t>
        </is>
      </c>
      <c r="AB1602" s="111" t="inlineStr">
        <is>
          <t>NAO_COMPUTADO</t>
        </is>
      </c>
      <c r="AC1602" s="112" t="inlineStr">
        <is>
          <t>Estrutura Fase 1: sem impacto no VTA oficial</t>
        </is>
      </c>
    </row>
    <row r="1603" ht="25.5" customHeight="1" s="289">
      <c r="A1603" s="205" t="n"/>
      <c r="B1603" s="207" t="n"/>
      <c r="C1603" s="104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348" t="n"/>
      <c r="E1603" s="349">
        <f>IF(C1603="","",IFERROR(VLOOKUP(C1603,parametros!$A$11:$E$15,5,0),""))</f>
        <v/>
      </c>
      <c r="F1603" s="335">
        <f>IF(OR(D1603="",E1603=""),"",ROUND(D1603*E1603,2))</f>
        <v/>
      </c>
      <c r="G1603" s="106" t="n"/>
      <c r="H1603" s="350">
        <f>IF(G1603="Sim",IF(OR(F1603="",D1603="",L1603=""),"",IF(L1603="Sim",ROUND(F1603-D1603,2),0)),0)</f>
        <v/>
      </c>
      <c r="I1603" s="350">
        <f>IF(G1603="Sim",0,IF(OR(F1603="",L1603=""),"",F1603))</f>
        <v/>
      </c>
      <c r="J1603" s="350">
        <f>IF(G1603="Sim",0,IF(OR(F1603="",D1603="",L1603=""),"",IF(L1603="Sim",ROUND(F1603-D1603,2),0)))</f>
        <v/>
      </c>
      <c r="K1603" s="97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inlineStr">
        <is>
          <t>Nao</t>
        </is>
      </c>
      <c r="W1603" s="110" t="inlineStr">
        <is>
          <t>PC em analise</t>
        </is>
      </c>
      <c r="X1603" s="110" t="inlineStr">
        <is>
          <t>Pedido de Compra</t>
        </is>
      </c>
      <c r="Y1603" s="111" t="inlineStr">
        <is>
          <t>Impacto Potencial</t>
        </is>
      </c>
      <c r="Z1603" s="111" t="inlineStr">
        <is>
          <t>PC</t>
        </is>
      </c>
      <c r="AA1603" s="111" t="inlineStr">
        <is>
          <t>Nao</t>
        </is>
      </c>
      <c r="AB1603" s="111" t="inlineStr">
        <is>
          <t>NAO_COMPUTADO</t>
        </is>
      </c>
      <c r="AC1603" s="112" t="inlineStr">
        <is>
          <t>Estrutura Fase 1: sem impacto no VTA oficial</t>
        </is>
      </c>
    </row>
    <row r="1604" ht="25.5" customHeight="1" s="289">
      <c r="A1604" s="205" t="n"/>
      <c r="B1604" s="207" t="n"/>
      <c r="C1604" s="104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348" t="n"/>
      <c r="E1604" s="349">
        <f>IF(C1604="","",IFERROR(VLOOKUP(C1604,parametros!$A$11:$E$15,5,0),""))</f>
        <v/>
      </c>
      <c r="F1604" s="335">
        <f>IF(OR(D1604="",E1604=""),"",ROUND(D1604*E1604,2))</f>
        <v/>
      </c>
      <c r="G1604" s="106" t="n"/>
      <c r="H1604" s="350">
        <f>IF(G1604="Sim",IF(OR(F1604="",D1604="",L1604=""),"",IF(L1604="Sim",ROUND(F1604-D1604,2),0)),0)</f>
        <v/>
      </c>
      <c r="I1604" s="350">
        <f>IF(G1604="Sim",0,IF(OR(F1604="",L1604=""),"",F1604))</f>
        <v/>
      </c>
      <c r="J1604" s="350">
        <f>IF(G1604="Sim",0,IF(OR(F1604="",D1604="",L1604=""),"",IF(L1604="Sim",ROUND(F1604-D1604,2),0)))</f>
        <v/>
      </c>
      <c r="K1604" s="97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inlineStr">
        <is>
          <t>Nao</t>
        </is>
      </c>
      <c r="W1604" s="110" t="inlineStr">
        <is>
          <t>PC em analise</t>
        </is>
      </c>
      <c r="X1604" s="110" t="inlineStr">
        <is>
          <t>Pedido de Compra</t>
        </is>
      </c>
      <c r="Y1604" s="111" t="inlineStr">
        <is>
          <t>Impacto Potencial</t>
        </is>
      </c>
      <c r="Z1604" s="111" t="inlineStr">
        <is>
          <t>PC</t>
        </is>
      </c>
      <c r="AA1604" s="111" t="inlineStr">
        <is>
          <t>Nao</t>
        </is>
      </c>
      <c r="AB1604" s="111" t="inlineStr">
        <is>
          <t>NAO_COMPUTADO</t>
        </is>
      </c>
      <c r="AC1604" s="112" t="inlineStr">
        <is>
          <t>Estrutura Fase 1: sem impacto no VTA oficial</t>
        </is>
      </c>
    </row>
    <row r="1605" ht="25.5" customHeight="1" s="289">
      <c r="A1605" s="205" t="n"/>
      <c r="B1605" s="207" t="n"/>
      <c r="C1605" s="104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348" t="n"/>
      <c r="E1605" s="349">
        <f>IF(C1605="","",IFERROR(VLOOKUP(C1605,parametros!$A$11:$E$15,5,0),""))</f>
        <v/>
      </c>
      <c r="F1605" s="335">
        <f>IF(OR(D1605="",E1605=""),"",ROUND(D1605*E1605,2))</f>
        <v/>
      </c>
      <c r="G1605" s="106" t="n"/>
      <c r="H1605" s="350">
        <f>IF(G1605="Sim",IF(OR(F1605="",D1605="",L1605=""),"",IF(L1605="Sim",ROUND(F1605-D1605,2),0)),0)</f>
        <v/>
      </c>
      <c r="I1605" s="350">
        <f>IF(G1605="Sim",0,IF(OR(F1605="",L1605=""),"",F1605))</f>
        <v/>
      </c>
      <c r="J1605" s="350">
        <f>IF(G1605="Sim",0,IF(OR(F1605="",D1605="",L1605=""),"",IF(L1605="Sim",ROUND(F1605-D1605,2),0)))</f>
        <v/>
      </c>
      <c r="K1605" s="97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inlineStr">
        <is>
          <t>Nao</t>
        </is>
      </c>
      <c r="W1605" s="110" t="inlineStr">
        <is>
          <t>PC em analise</t>
        </is>
      </c>
      <c r="X1605" s="110" t="inlineStr">
        <is>
          <t>Pedido de Compra</t>
        </is>
      </c>
      <c r="Y1605" s="111" t="inlineStr">
        <is>
          <t>Impacto Potencial</t>
        </is>
      </c>
      <c r="Z1605" s="111" t="inlineStr">
        <is>
          <t>PC</t>
        </is>
      </c>
      <c r="AA1605" s="111" t="inlineStr">
        <is>
          <t>Nao</t>
        </is>
      </c>
      <c r="AB1605" s="111" t="inlineStr">
        <is>
          <t>NAO_COMPUTADO</t>
        </is>
      </c>
      <c r="AC1605" s="112" t="inlineStr">
        <is>
          <t>Estrutura Fase 1: sem impacto no VTA oficial</t>
        </is>
      </c>
    </row>
    <row r="1606" ht="25.5" customHeight="1" s="289">
      <c r="A1606" s="205" t="n"/>
      <c r="B1606" s="207" t="n"/>
      <c r="C1606" s="104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348" t="n"/>
      <c r="E1606" s="349">
        <f>IF(C1606="","",IFERROR(VLOOKUP(C1606,parametros!$A$11:$E$15,5,0),""))</f>
        <v/>
      </c>
      <c r="F1606" s="335">
        <f>IF(OR(D1606="",E1606=""),"",ROUND(D1606*E1606,2))</f>
        <v/>
      </c>
      <c r="G1606" s="106" t="n"/>
      <c r="H1606" s="350">
        <f>IF(G1606="Sim",IF(OR(F1606="",D1606="",L1606=""),"",IF(L1606="Sim",ROUND(F1606-D1606,2),0)),0)</f>
        <v/>
      </c>
      <c r="I1606" s="350">
        <f>IF(G1606="Sim",0,IF(OR(F1606="",L1606=""),"",F1606))</f>
        <v/>
      </c>
      <c r="J1606" s="350">
        <f>IF(G1606="Sim",0,IF(OR(F1606="",D1606="",L1606=""),"",IF(L1606="Sim",ROUND(F1606-D1606,2),0)))</f>
        <v/>
      </c>
      <c r="K1606" s="97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inlineStr">
        <is>
          <t>Nao</t>
        </is>
      </c>
      <c r="W1606" s="110" t="inlineStr">
        <is>
          <t>PC em analise</t>
        </is>
      </c>
      <c r="X1606" s="110" t="inlineStr">
        <is>
          <t>Pedido de Compra</t>
        </is>
      </c>
      <c r="Y1606" s="111" t="inlineStr">
        <is>
          <t>Impacto Potencial</t>
        </is>
      </c>
      <c r="Z1606" s="111" t="inlineStr">
        <is>
          <t>PC</t>
        </is>
      </c>
      <c r="AA1606" s="111" t="inlineStr">
        <is>
          <t>Nao</t>
        </is>
      </c>
      <c r="AB1606" s="111" t="inlineStr">
        <is>
          <t>NAO_COMPUTADO</t>
        </is>
      </c>
      <c r="AC1606" s="112" t="inlineStr">
        <is>
          <t>Estrutura Fase 1: sem impacto no VTA oficial</t>
        </is>
      </c>
    </row>
    <row r="1607" ht="25.5" customHeight="1" s="289">
      <c r="A1607" s="205" t="n"/>
      <c r="B1607" s="207" t="n"/>
      <c r="C1607" s="104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348" t="n"/>
      <c r="E1607" s="349">
        <f>IF(C1607="","",IFERROR(VLOOKUP(C1607,parametros!$A$11:$E$15,5,0),""))</f>
        <v/>
      </c>
      <c r="F1607" s="335">
        <f>IF(OR(D1607="",E1607=""),"",ROUND(D1607*E1607,2))</f>
        <v/>
      </c>
      <c r="G1607" s="106" t="n"/>
      <c r="H1607" s="350">
        <f>IF(G1607="Sim",IF(OR(F1607="",D1607="",L1607=""),"",IF(L1607="Sim",ROUND(F1607-D1607,2),0)),0)</f>
        <v/>
      </c>
      <c r="I1607" s="350">
        <f>IF(G1607="Sim",0,IF(OR(F1607="",L1607=""),"",F1607))</f>
        <v/>
      </c>
      <c r="J1607" s="350">
        <f>IF(G1607="Sim",0,IF(OR(F1607="",D1607="",L1607=""),"",IF(L1607="Sim",ROUND(F1607-D1607,2),0)))</f>
        <v/>
      </c>
      <c r="K1607" s="97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inlineStr">
        <is>
          <t>Nao</t>
        </is>
      </c>
      <c r="W1607" s="110" t="inlineStr">
        <is>
          <t>PC em analise</t>
        </is>
      </c>
      <c r="X1607" s="110" t="inlineStr">
        <is>
          <t>Pedido de Compra</t>
        </is>
      </c>
      <c r="Y1607" s="111" t="inlineStr">
        <is>
          <t>Impacto Potencial</t>
        </is>
      </c>
      <c r="Z1607" s="111" t="inlineStr">
        <is>
          <t>PC</t>
        </is>
      </c>
      <c r="AA1607" s="111" t="inlineStr">
        <is>
          <t>Nao</t>
        </is>
      </c>
      <c r="AB1607" s="111" t="inlineStr">
        <is>
          <t>NAO_COMPUTADO</t>
        </is>
      </c>
      <c r="AC1607" s="112" t="inlineStr">
        <is>
          <t>Estrutura Fase 1: sem impacto no VTA oficial</t>
        </is>
      </c>
    </row>
    <row r="1608" ht="25.5" customHeight="1" s="289">
      <c r="A1608" s="205" t="n"/>
      <c r="B1608" s="207" t="n"/>
      <c r="C1608" s="104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348" t="n"/>
      <c r="E1608" s="349">
        <f>IF(C1608="","",IFERROR(VLOOKUP(C1608,parametros!$A$11:$E$15,5,0),""))</f>
        <v/>
      </c>
      <c r="F1608" s="335">
        <f>IF(OR(D1608="",E1608=""),"",ROUND(D1608*E1608,2))</f>
        <v/>
      </c>
      <c r="G1608" s="106" t="n"/>
      <c r="H1608" s="350">
        <f>IF(G1608="Sim",IF(OR(F1608="",D1608="",L1608=""),"",IF(L1608="Sim",ROUND(F1608-D1608,2),0)),0)</f>
        <v/>
      </c>
      <c r="I1608" s="350">
        <f>IF(G1608="Sim",0,IF(OR(F1608="",L1608=""),"",F1608))</f>
        <v/>
      </c>
      <c r="J1608" s="350">
        <f>IF(G1608="Sim",0,IF(OR(F1608="",D1608="",L1608=""),"",IF(L1608="Sim",ROUND(F1608-D1608,2),0)))</f>
        <v/>
      </c>
      <c r="K1608" s="97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inlineStr">
        <is>
          <t>Nao</t>
        </is>
      </c>
      <c r="W1608" s="110" t="inlineStr">
        <is>
          <t>PC em analise</t>
        </is>
      </c>
      <c r="X1608" s="110" t="inlineStr">
        <is>
          <t>Pedido de Compra</t>
        </is>
      </c>
      <c r="Y1608" s="111" t="inlineStr">
        <is>
          <t>Impacto Potencial</t>
        </is>
      </c>
      <c r="Z1608" s="111" t="inlineStr">
        <is>
          <t>PC</t>
        </is>
      </c>
      <c r="AA1608" s="111" t="inlineStr">
        <is>
          <t>Nao</t>
        </is>
      </c>
      <c r="AB1608" s="111" t="inlineStr">
        <is>
          <t>NAO_COMPUTADO</t>
        </is>
      </c>
      <c r="AC1608" s="112" t="inlineStr">
        <is>
          <t>Estrutura Fase 1: sem impacto no VTA oficial</t>
        </is>
      </c>
    </row>
    <row r="1609" ht="25.5" customHeight="1" s="289">
      <c r="A1609" s="205" t="n"/>
      <c r="B1609" s="207" t="n"/>
      <c r="C1609" s="104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348" t="n"/>
      <c r="E1609" s="349">
        <f>IF(C1609="","",IFERROR(VLOOKUP(C1609,parametros!$A$11:$E$15,5,0),""))</f>
        <v/>
      </c>
      <c r="F1609" s="335">
        <f>IF(OR(D1609="",E1609=""),"",ROUND(D1609*E1609,2))</f>
        <v/>
      </c>
      <c r="G1609" s="106" t="n"/>
      <c r="H1609" s="350">
        <f>IF(G1609="Sim",IF(OR(F1609="",D1609="",L1609=""),"",IF(L1609="Sim",ROUND(F1609-D1609,2),0)),0)</f>
        <v/>
      </c>
      <c r="I1609" s="350">
        <f>IF(G1609="Sim",0,IF(OR(F1609="",L1609=""),"",F1609))</f>
        <v/>
      </c>
      <c r="J1609" s="350">
        <f>IF(G1609="Sim",0,IF(OR(F1609="",D1609="",L1609=""),"",IF(L1609="Sim",ROUND(F1609-D1609,2),0)))</f>
        <v/>
      </c>
      <c r="K1609" s="97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inlineStr">
        <is>
          <t>Nao</t>
        </is>
      </c>
      <c r="W1609" s="110" t="inlineStr">
        <is>
          <t>PC em analise</t>
        </is>
      </c>
      <c r="X1609" s="110" t="inlineStr">
        <is>
          <t>Pedido de Compra</t>
        </is>
      </c>
      <c r="Y1609" s="111" t="inlineStr">
        <is>
          <t>Impacto Potencial</t>
        </is>
      </c>
      <c r="Z1609" s="111" t="inlineStr">
        <is>
          <t>PC</t>
        </is>
      </c>
      <c r="AA1609" s="111" t="inlineStr">
        <is>
          <t>Nao</t>
        </is>
      </c>
      <c r="AB1609" s="111" t="inlineStr">
        <is>
          <t>NAO_COMPUTADO</t>
        </is>
      </c>
      <c r="AC1609" s="112" t="inlineStr">
        <is>
          <t>Estrutura Fase 1: sem impacto no VTA oficial</t>
        </is>
      </c>
    </row>
    <row r="1610" ht="25.5" customHeight="1" s="289">
      <c r="A1610" s="205" t="n"/>
      <c r="B1610" s="207" t="n"/>
      <c r="C1610" s="104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348" t="n"/>
      <c r="E1610" s="349">
        <f>IF(C1610="","",IFERROR(VLOOKUP(C1610,parametros!$A$11:$E$15,5,0),""))</f>
        <v/>
      </c>
      <c r="F1610" s="335">
        <f>IF(OR(D1610="",E1610=""),"",ROUND(D1610*E1610,2))</f>
        <v/>
      </c>
      <c r="G1610" s="106" t="n"/>
      <c r="H1610" s="350">
        <f>IF(G1610="Sim",IF(OR(F1610="",D1610="",L1610=""),"",IF(L1610="Sim",ROUND(F1610-D1610,2),0)),0)</f>
        <v/>
      </c>
      <c r="I1610" s="350">
        <f>IF(G1610="Sim",0,IF(OR(F1610="",L1610=""),"",F1610))</f>
        <v/>
      </c>
      <c r="J1610" s="350">
        <f>IF(G1610="Sim",0,IF(OR(F1610="",D1610="",L1610=""),"",IF(L1610="Sim",ROUND(F1610-D1610,2),0)))</f>
        <v/>
      </c>
      <c r="K1610" s="97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inlineStr">
        <is>
          <t>Nao</t>
        </is>
      </c>
      <c r="W1610" s="110" t="inlineStr">
        <is>
          <t>PC em analise</t>
        </is>
      </c>
      <c r="X1610" s="110" t="inlineStr">
        <is>
          <t>Pedido de Compra</t>
        </is>
      </c>
      <c r="Y1610" s="111" t="inlineStr">
        <is>
          <t>Impacto Potencial</t>
        </is>
      </c>
      <c r="Z1610" s="111" t="inlineStr">
        <is>
          <t>PC</t>
        </is>
      </c>
      <c r="AA1610" s="111" t="inlineStr">
        <is>
          <t>Nao</t>
        </is>
      </c>
      <c r="AB1610" s="111" t="inlineStr">
        <is>
          <t>NAO_COMPUTADO</t>
        </is>
      </c>
      <c r="AC1610" s="112" t="inlineStr">
        <is>
          <t>Estrutura Fase 1: sem impacto no VTA oficial</t>
        </is>
      </c>
    </row>
    <row r="1611" ht="25.5" customHeight="1" s="289">
      <c r="A1611" s="205" t="n"/>
      <c r="B1611" s="207" t="n"/>
      <c r="C1611" s="104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348" t="n"/>
      <c r="E1611" s="349">
        <f>IF(C1611="","",IFERROR(VLOOKUP(C1611,parametros!$A$11:$E$15,5,0),""))</f>
        <v/>
      </c>
      <c r="F1611" s="335">
        <f>IF(OR(D1611="",E1611=""),"",ROUND(D1611*E1611,2))</f>
        <v/>
      </c>
      <c r="G1611" s="106" t="n"/>
      <c r="H1611" s="350">
        <f>IF(G1611="Sim",IF(OR(F1611="",D1611="",L1611=""),"",IF(L1611="Sim",ROUND(F1611-D1611,2),0)),0)</f>
        <v/>
      </c>
      <c r="I1611" s="350">
        <f>IF(G1611="Sim",0,IF(OR(F1611="",L1611=""),"",F1611))</f>
        <v/>
      </c>
      <c r="J1611" s="350">
        <f>IF(G1611="Sim",0,IF(OR(F1611="",D1611="",L1611=""),"",IF(L1611="Sim",ROUND(F1611-D1611,2),0)))</f>
        <v/>
      </c>
      <c r="K1611" s="97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inlineStr">
        <is>
          <t>Nao</t>
        </is>
      </c>
      <c r="W1611" s="110" t="inlineStr">
        <is>
          <t>PC em analise</t>
        </is>
      </c>
      <c r="X1611" s="110" t="inlineStr">
        <is>
          <t>Pedido de Compra</t>
        </is>
      </c>
      <c r="Y1611" s="111" t="inlineStr">
        <is>
          <t>Impacto Potencial</t>
        </is>
      </c>
      <c r="Z1611" s="111" t="inlineStr">
        <is>
          <t>PC</t>
        </is>
      </c>
      <c r="AA1611" s="111" t="inlineStr">
        <is>
          <t>Nao</t>
        </is>
      </c>
      <c r="AB1611" s="111" t="inlineStr">
        <is>
          <t>NAO_COMPUTADO</t>
        </is>
      </c>
      <c r="AC1611" s="112" t="inlineStr">
        <is>
          <t>Estrutura Fase 1: sem impacto no VTA oficial</t>
        </is>
      </c>
    </row>
    <row r="1612" ht="25.5" customHeight="1" s="289">
      <c r="A1612" s="205" t="n"/>
      <c r="B1612" s="207" t="n"/>
      <c r="C1612" s="104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348" t="n"/>
      <c r="E1612" s="349">
        <f>IF(C1612="","",IFERROR(VLOOKUP(C1612,parametros!$A$11:$E$15,5,0),""))</f>
        <v/>
      </c>
      <c r="F1612" s="335">
        <f>IF(OR(D1612="",E1612=""),"",ROUND(D1612*E1612,2))</f>
        <v/>
      </c>
      <c r="G1612" s="106" t="n"/>
      <c r="H1612" s="350">
        <f>IF(G1612="Sim",IF(OR(F1612="",D1612="",L1612=""),"",IF(L1612="Sim",ROUND(F1612-D1612,2),0)),0)</f>
        <v/>
      </c>
      <c r="I1612" s="350">
        <f>IF(G1612="Sim",0,IF(OR(F1612="",L1612=""),"",F1612))</f>
        <v/>
      </c>
      <c r="J1612" s="350">
        <f>IF(G1612="Sim",0,IF(OR(F1612="",D1612="",L1612=""),"",IF(L1612="Sim",ROUND(F1612-D1612,2),0)))</f>
        <v/>
      </c>
      <c r="K1612" s="97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inlineStr">
        <is>
          <t>Nao</t>
        </is>
      </c>
      <c r="W1612" s="110" t="inlineStr">
        <is>
          <t>PC em analise</t>
        </is>
      </c>
      <c r="X1612" s="110" t="inlineStr">
        <is>
          <t>Pedido de Compra</t>
        </is>
      </c>
      <c r="Y1612" s="111" t="inlineStr">
        <is>
          <t>Impacto Potencial</t>
        </is>
      </c>
      <c r="Z1612" s="111" t="inlineStr">
        <is>
          <t>PC</t>
        </is>
      </c>
      <c r="AA1612" s="111" t="inlineStr">
        <is>
          <t>Nao</t>
        </is>
      </c>
      <c r="AB1612" s="111" t="inlineStr">
        <is>
          <t>NAO_COMPUTADO</t>
        </is>
      </c>
      <c r="AC1612" s="112" t="inlineStr">
        <is>
          <t>Estrutura Fase 1: sem impacto no VTA oficial</t>
        </is>
      </c>
    </row>
    <row r="1613" ht="25.5" customHeight="1" s="289">
      <c r="A1613" s="205" t="n"/>
      <c r="B1613" s="207" t="n"/>
      <c r="C1613" s="104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348" t="n"/>
      <c r="E1613" s="349">
        <f>IF(C1613="","",IFERROR(VLOOKUP(C1613,parametros!$A$11:$E$15,5,0),""))</f>
        <v/>
      </c>
      <c r="F1613" s="335">
        <f>IF(OR(D1613="",E1613=""),"",ROUND(D1613*E1613,2))</f>
        <v/>
      </c>
      <c r="G1613" s="106" t="n"/>
      <c r="H1613" s="350">
        <f>IF(G1613="Sim",IF(OR(F1613="",D1613="",L1613=""),"",IF(L1613="Sim",ROUND(F1613-D1613,2),0)),0)</f>
        <v/>
      </c>
      <c r="I1613" s="350">
        <f>IF(G1613="Sim",0,IF(OR(F1613="",L1613=""),"",F1613))</f>
        <v/>
      </c>
      <c r="J1613" s="350">
        <f>IF(G1613="Sim",0,IF(OR(F1613="",D1613="",L1613=""),"",IF(L1613="Sim",ROUND(F1613-D1613,2),0)))</f>
        <v/>
      </c>
      <c r="K1613" s="97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inlineStr">
        <is>
          <t>Nao</t>
        </is>
      </c>
      <c r="W1613" s="110" t="inlineStr">
        <is>
          <t>PC em analise</t>
        </is>
      </c>
      <c r="X1613" s="110" t="inlineStr">
        <is>
          <t>Pedido de Compra</t>
        </is>
      </c>
      <c r="Y1613" s="111" t="inlineStr">
        <is>
          <t>Impacto Potencial</t>
        </is>
      </c>
      <c r="Z1613" s="111" t="inlineStr">
        <is>
          <t>PC</t>
        </is>
      </c>
      <c r="AA1613" s="111" t="inlineStr">
        <is>
          <t>Nao</t>
        </is>
      </c>
      <c r="AB1613" s="111" t="inlineStr">
        <is>
          <t>NAO_COMPUTADO</t>
        </is>
      </c>
      <c r="AC1613" s="112" t="inlineStr">
        <is>
          <t>Estrutura Fase 1: sem impacto no VTA oficial</t>
        </is>
      </c>
    </row>
    <row r="1614" ht="25.5" customHeight="1" s="289">
      <c r="A1614" s="205" t="n"/>
      <c r="B1614" s="207" t="n"/>
      <c r="C1614" s="104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348" t="n"/>
      <c r="E1614" s="349">
        <f>IF(C1614="","",IFERROR(VLOOKUP(C1614,parametros!$A$11:$E$15,5,0),""))</f>
        <v/>
      </c>
      <c r="F1614" s="335">
        <f>IF(OR(D1614="",E1614=""),"",ROUND(D1614*E1614,2))</f>
        <v/>
      </c>
      <c r="G1614" s="106" t="n"/>
      <c r="H1614" s="350">
        <f>IF(G1614="Sim",IF(OR(F1614="",D1614="",L1614=""),"",IF(L1614="Sim",ROUND(F1614-D1614,2),0)),0)</f>
        <v/>
      </c>
      <c r="I1614" s="350">
        <f>IF(G1614="Sim",0,IF(OR(F1614="",L1614=""),"",F1614))</f>
        <v/>
      </c>
      <c r="J1614" s="350">
        <f>IF(G1614="Sim",0,IF(OR(F1614="",D1614="",L1614=""),"",IF(L1614="Sim",ROUND(F1614-D1614,2),0)))</f>
        <v/>
      </c>
      <c r="K1614" s="97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inlineStr">
        <is>
          <t>Nao</t>
        </is>
      </c>
      <c r="W1614" s="110" t="inlineStr">
        <is>
          <t>PC em analise</t>
        </is>
      </c>
      <c r="X1614" s="110" t="inlineStr">
        <is>
          <t>Pedido de Compra</t>
        </is>
      </c>
      <c r="Y1614" s="111" t="inlineStr">
        <is>
          <t>Impacto Potencial</t>
        </is>
      </c>
      <c r="Z1614" s="111" t="inlineStr">
        <is>
          <t>PC</t>
        </is>
      </c>
      <c r="AA1614" s="111" t="inlineStr">
        <is>
          <t>Nao</t>
        </is>
      </c>
      <c r="AB1614" s="111" t="inlineStr">
        <is>
          <t>NAO_COMPUTADO</t>
        </is>
      </c>
      <c r="AC1614" s="112" t="inlineStr">
        <is>
          <t>Estrutura Fase 1: sem impacto no VTA oficial</t>
        </is>
      </c>
    </row>
    <row r="1615" ht="25.5" customHeight="1" s="289">
      <c r="A1615" s="205" t="n"/>
      <c r="B1615" s="207" t="n"/>
      <c r="C1615" s="104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348" t="n"/>
      <c r="E1615" s="349">
        <f>IF(C1615="","",IFERROR(VLOOKUP(C1615,parametros!$A$11:$E$15,5,0),""))</f>
        <v/>
      </c>
      <c r="F1615" s="335">
        <f>IF(OR(D1615="",E1615=""),"",ROUND(D1615*E1615,2))</f>
        <v/>
      </c>
      <c r="G1615" s="106" t="n"/>
      <c r="H1615" s="350">
        <f>IF(G1615="Sim",IF(OR(F1615="",D1615="",L1615=""),"",IF(L1615="Sim",ROUND(F1615-D1615,2),0)),0)</f>
        <v/>
      </c>
      <c r="I1615" s="350">
        <f>IF(G1615="Sim",0,IF(OR(F1615="",L1615=""),"",F1615))</f>
        <v/>
      </c>
      <c r="J1615" s="350">
        <f>IF(G1615="Sim",0,IF(OR(F1615="",D1615="",L1615=""),"",IF(L1615="Sim",ROUND(F1615-D1615,2),0)))</f>
        <v/>
      </c>
      <c r="K1615" s="97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inlineStr">
        <is>
          <t>Nao</t>
        </is>
      </c>
      <c r="W1615" s="110" t="inlineStr">
        <is>
          <t>PC em analise</t>
        </is>
      </c>
      <c r="X1615" s="110" t="inlineStr">
        <is>
          <t>Pedido de Compra</t>
        </is>
      </c>
      <c r="Y1615" s="111" t="inlineStr">
        <is>
          <t>Impacto Potencial</t>
        </is>
      </c>
      <c r="Z1615" s="111" t="inlineStr">
        <is>
          <t>PC</t>
        </is>
      </c>
      <c r="AA1615" s="111" t="inlineStr">
        <is>
          <t>Nao</t>
        </is>
      </c>
      <c r="AB1615" s="111" t="inlineStr">
        <is>
          <t>NAO_COMPUTADO</t>
        </is>
      </c>
      <c r="AC1615" s="112" t="inlineStr">
        <is>
          <t>Estrutura Fase 1: sem impacto no VTA oficial</t>
        </is>
      </c>
    </row>
    <row r="1616" ht="25.5" customHeight="1" s="289">
      <c r="A1616" s="205" t="n"/>
      <c r="B1616" s="207" t="n"/>
      <c r="C1616" s="104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348" t="n"/>
      <c r="E1616" s="349">
        <f>IF(C1616="","",IFERROR(VLOOKUP(C1616,parametros!$A$11:$E$15,5,0),""))</f>
        <v/>
      </c>
      <c r="F1616" s="335">
        <f>IF(OR(D1616="",E1616=""),"",ROUND(D1616*E1616,2))</f>
        <v/>
      </c>
      <c r="G1616" s="106" t="n"/>
      <c r="H1616" s="350">
        <f>IF(G1616="Sim",IF(OR(F1616="",D1616="",L1616=""),"",IF(L1616="Sim",ROUND(F1616-D1616,2),0)),0)</f>
        <v/>
      </c>
      <c r="I1616" s="350">
        <f>IF(G1616="Sim",0,IF(OR(F1616="",L1616=""),"",F1616))</f>
        <v/>
      </c>
      <c r="J1616" s="350">
        <f>IF(G1616="Sim",0,IF(OR(F1616="",D1616="",L1616=""),"",IF(L1616="Sim",ROUND(F1616-D1616,2),0)))</f>
        <v/>
      </c>
      <c r="K1616" s="97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inlineStr">
        <is>
          <t>Nao</t>
        </is>
      </c>
      <c r="W1616" s="110" t="inlineStr">
        <is>
          <t>PC em analise</t>
        </is>
      </c>
      <c r="X1616" s="110" t="inlineStr">
        <is>
          <t>Pedido de Compra</t>
        </is>
      </c>
      <c r="Y1616" s="111" t="inlineStr">
        <is>
          <t>Impacto Potencial</t>
        </is>
      </c>
      <c r="Z1616" s="111" t="inlineStr">
        <is>
          <t>PC</t>
        </is>
      </c>
      <c r="AA1616" s="111" t="inlineStr">
        <is>
          <t>Nao</t>
        </is>
      </c>
      <c r="AB1616" s="111" t="inlineStr">
        <is>
          <t>NAO_COMPUTADO</t>
        </is>
      </c>
      <c r="AC1616" s="112" t="inlineStr">
        <is>
          <t>Estrutura Fase 1: sem impacto no VTA oficial</t>
        </is>
      </c>
    </row>
    <row r="1617" ht="25.5" customHeight="1" s="289">
      <c r="A1617" s="205" t="n"/>
      <c r="B1617" s="207" t="n"/>
      <c r="C1617" s="104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348" t="n"/>
      <c r="E1617" s="349">
        <f>IF(C1617="","",IFERROR(VLOOKUP(C1617,parametros!$A$11:$E$15,5,0),""))</f>
        <v/>
      </c>
      <c r="F1617" s="335">
        <f>IF(OR(D1617="",E1617=""),"",ROUND(D1617*E1617,2))</f>
        <v/>
      </c>
      <c r="G1617" s="106" t="n"/>
      <c r="H1617" s="350">
        <f>IF(G1617="Sim",IF(OR(F1617="",D1617="",L1617=""),"",IF(L1617="Sim",ROUND(F1617-D1617,2),0)),0)</f>
        <v/>
      </c>
      <c r="I1617" s="350">
        <f>IF(G1617="Sim",0,IF(OR(F1617="",L1617=""),"",F1617))</f>
        <v/>
      </c>
      <c r="J1617" s="350">
        <f>IF(G1617="Sim",0,IF(OR(F1617="",D1617="",L1617=""),"",IF(L1617="Sim",ROUND(F1617-D1617,2),0)))</f>
        <v/>
      </c>
      <c r="K1617" s="97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inlineStr">
        <is>
          <t>Nao</t>
        </is>
      </c>
      <c r="W1617" s="110" t="inlineStr">
        <is>
          <t>PC em analise</t>
        </is>
      </c>
      <c r="X1617" s="110" t="inlineStr">
        <is>
          <t>Pedido de Compra</t>
        </is>
      </c>
      <c r="Y1617" s="111" t="inlineStr">
        <is>
          <t>Impacto Potencial</t>
        </is>
      </c>
      <c r="Z1617" s="111" t="inlineStr">
        <is>
          <t>PC</t>
        </is>
      </c>
      <c r="AA1617" s="111" t="inlineStr">
        <is>
          <t>Nao</t>
        </is>
      </c>
      <c r="AB1617" s="111" t="inlineStr">
        <is>
          <t>NAO_COMPUTADO</t>
        </is>
      </c>
      <c r="AC1617" s="112" t="inlineStr">
        <is>
          <t>Estrutura Fase 1: sem impacto no VTA oficial</t>
        </is>
      </c>
    </row>
    <row r="1618" ht="25.5" customHeight="1" s="289">
      <c r="A1618" s="205" t="n"/>
      <c r="B1618" s="207" t="n"/>
      <c r="C1618" s="104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348" t="n"/>
      <c r="E1618" s="349">
        <f>IF(C1618="","",IFERROR(VLOOKUP(C1618,parametros!$A$11:$E$15,5,0),""))</f>
        <v/>
      </c>
      <c r="F1618" s="335">
        <f>IF(OR(D1618="",E1618=""),"",ROUND(D1618*E1618,2))</f>
        <v/>
      </c>
      <c r="G1618" s="106" t="n"/>
      <c r="H1618" s="350">
        <f>IF(G1618="Sim",IF(OR(F1618="",D1618="",L1618=""),"",IF(L1618="Sim",ROUND(F1618-D1618,2),0)),0)</f>
        <v/>
      </c>
      <c r="I1618" s="350">
        <f>IF(G1618="Sim",0,IF(OR(F1618="",L1618=""),"",F1618))</f>
        <v/>
      </c>
      <c r="J1618" s="350">
        <f>IF(G1618="Sim",0,IF(OR(F1618="",D1618="",L1618=""),"",IF(L1618="Sim",ROUND(F1618-D1618,2),0)))</f>
        <v/>
      </c>
      <c r="K1618" s="97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inlineStr">
        <is>
          <t>Nao</t>
        </is>
      </c>
      <c r="W1618" s="110" t="inlineStr">
        <is>
          <t>PC em analise</t>
        </is>
      </c>
      <c r="X1618" s="110" t="inlineStr">
        <is>
          <t>Pedido de Compra</t>
        </is>
      </c>
      <c r="Y1618" s="111" t="inlineStr">
        <is>
          <t>Impacto Potencial</t>
        </is>
      </c>
      <c r="Z1618" s="111" t="inlineStr">
        <is>
          <t>PC</t>
        </is>
      </c>
      <c r="AA1618" s="111" t="inlineStr">
        <is>
          <t>Nao</t>
        </is>
      </c>
      <c r="AB1618" s="111" t="inlineStr">
        <is>
          <t>NAO_COMPUTADO</t>
        </is>
      </c>
      <c r="AC1618" s="112" t="inlineStr">
        <is>
          <t>Estrutura Fase 1: sem impacto no VTA oficial</t>
        </is>
      </c>
    </row>
    <row r="1619" ht="25.5" customHeight="1" s="289">
      <c r="A1619" s="205" t="n"/>
      <c r="B1619" s="207" t="n"/>
      <c r="C1619" s="104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348" t="n"/>
      <c r="E1619" s="349">
        <f>IF(C1619="","",IFERROR(VLOOKUP(C1619,parametros!$A$11:$E$15,5,0),""))</f>
        <v/>
      </c>
      <c r="F1619" s="335">
        <f>IF(OR(D1619="",E1619=""),"",ROUND(D1619*E1619,2))</f>
        <v/>
      </c>
      <c r="G1619" s="106" t="n"/>
      <c r="H1619" s="350">
        <f>IF(G1619="Sim",IF(OR(F1619="",D1619="",L1619=""),"",IF(L1619="Sim",ROUND(F1619-D1619,2),0)),0)</f>
        <v/>
      </c>
      <c r="I1619" s="350">
        <f>IF(G1619="Sim",0,IF(OR(F1619="",L1619=""),"",F1619))</f>
        <v/>
      </c>
      <c r="J1619" s="350">
        <f>IF(G1619="Sim",0,IF(OR(F1619="",D1619="",L1619=""),"",IF(L1619="Sim",ROUND(F1619-D1619,2),0)))</f>
        <v/>
      </c>
      <c r="K1619" s="97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inlineStr">
        <is>
          <t>Nao</t>
        </is>
      </c>
      <c r="W1619" s="110" t="inlineStr">
        <is>
          <t>PC em analise</t>
        </is>
      </c>
      <c r="X1619" s="110" t="inlineStr">
        <is>
          <t>Pedido de Compra</t>
        </is>
      </c>
      <c r="Y1619" s="111" t="inlineStr">
        <is>
          <t>Impacto Potencial</t>
        </is>
      </c>
      <c r="Z1619" s="111" t="inlineStr">
        <is>
          <t>PC</t>
        </is>
      </c>
      <c r="AA1619" s="111" t="inlineStr">
        <is>
          <t>Nao</t>
        </is>
      </c>
      <c r="AB1619" s="111" t="inlineStr">
        <is>
          <t>NAO_COMPUTADO</t>
        </is>
      </c>
      <c r="AC1619" s="112" t="inlineStr">
        <is>
          <t>Estrutura Fase 1: sem impacto no VTA oficial</t>
        </is>
      </c>
    </row>
    <row r="1620" ht="25.5" customHeight="1" s="289">
      <c r="A1620" s="205" t="n"/>
      <c r="B1620" s="207" t="n"/>
      <c r="C1620" s="104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348" t="n"/>
      <c r="E1620" s="349">
        <f>IF(C1620="","",IFERROR(VLOOKUP(C1620,parametros!$A$11:$E$15,5,0),""))</f>
        <v/>
      </c>
      <c r="F1620" s="335">
        <f>IF(OR(D1620="",E1620=""),"",ROUND(D1620*E1620,2))</f>
        <v/>
      </c>
      <c r="G1620" s="106" t="n"/>
      <c r="H1620" s="350">
        <f>IF(G1620="Sim",IF(OR(F1620="",D1620="",L1620=""),"",IF(L1620="Sim",ROUND(F1620-D1620,2),0)),0)</f>
        <v/>
      </c>
      <c r="I1620" s="350">
        <f>IF(G1620="Sim",0,IF(OR(F1620="",L1620=""),"",F1620))</f>
        <v/>
      </c>
      <c r="J1620" s="350">
        <f>IF(G1620="Sim",0,IF(OR(F1620="",D1620="",L1620=""),"",IF(L1620="Sim",ROUND(F1620-D1620,2),0)))</f>
        <v/>
      </c>
      <c r="K1620" s="97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inlineStr">
        <is>
          <t>Nao</t>
        </is>
      </c>
      <c r="W1620" s="110" t="inlineStr">
        <is>
          <t>PC em analise</t>
        </is>
      </c>
      <c r="X1620" s="110" t="inlineStr">
        <is>
          <t>Pedido de Compra</t>
        </is>
      </c>
      <c r="Y1620" s="111" t="inlineStr">
        <is>
          <t>Impacto Potencial</t>
        </is>
      </c>
      <c r="Z1620" s="111" t="inlineStr">
        <is>
          <t>PC</t>
        </is>
      </c>
      <c r="AA1620" s="111" t="inlineStr">
        <is>
          <t>Nao</t>
        </is>
      </c>
      <c r="AB1620" s="111" t="inlineStr">
        <is>
          <t>NAO_COMPUTADO</t>
        </is>
      </c>
      <c r="AC1620" s="112" t="inlineStr">
        <is>
          <t>Estrutura Fase 1: sem impacto no VTA oficial</t>
        </is>
      </c>
    </row>
    <row r="1621" ht="25.5" customHeight="1" s="289">
      <c r="A1621" s="205" t="n"/>
      <c r="B1621" s="207" t="n"/>
      <c r="C1621" s="104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348" t="n"/>
      <c r="E1621" s="349">
        <f>IF(C1621="","",IFERROR(VLOOKUP(C1621,parametros!$A$11:$E$15,5,0),""))</f>
        <v/>
      </c>
      <c r="F1621" s="335">
        <f>IF(OR(D1621="",E1621=""),"",ROUND(D1621*E1621,2))</f>
        <v/>
      </c>
      <c r="G1621" s="106" t="n"/>
      <c r="H1621" s="350">
        <f>IF(G1621="Sim",IF(OR(F1621="",D1621="",L1621=""),"",IF(L1621="Sim",ROUND(F1621-D1621,2),0)),0)</f>
        <v/>
      </c>
      <c r="I1621" s="350">
        <f>IF(G1621="Sim",0,IF(OR(F1621="",L1621=""),"",F1621))</f>
        <v/>
      </c>
      <c r="J1621" s="350">
        <f>IF(G1621="Sim",0,IF(OR(F1621="",D1621="",L1621=""),"",IF(L1621="Sim",ROUND(F1621-D1621,2),0)))</f>
        <v/>
      </c>
      <c r="K1621" s="97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inlineStr">
        <is>
          <t>Nao</t>
        </is>
      </c>
      <c r="W1621" s="110" t="inlineStr">
        <is>
          <t>PC em analise</t>
        </is>
      </c>
      <c r="X1621" s="110" t="inlineStr">
        <is>
          <t>Pedido de Compra</t>
        </is>
      </c>
      <c r="Y1621" s="111" t="inlineStr">
        <is>
          <t>Impacto Potencial</t>
        </is>
      </c>
      <c r="Z1621" s="111" t="inlineStr">
        <is>
          <t>PC</t>
        </is>
      </c>
      <c r="AA1621" s="111" t="inlineStr">
        <is>
          <t>Nao</t>
        </is>
      </c>
      <c r="AB1621" s="111" t="inlineStr">
        <is>
          <t>NAO_COMPUTADO</t>
        </is>
      </c>
      <c r="AC1621" s="112" t="inlineStr">
        <is>
          <t>Estrutura Fase 1: sem impacto no VTA oficial</t>
        </is>
      </c>
    </row>
    <row r="1622" ht="25.5" customHeight="1" s="289">
      <c r="A1622" s="205" t="n"/>
      <c r="B1622" s="207" t="n"/>
      <c r="C1622" s="104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348" t="n"/>
      <c r="E1622" s="349">
        <f>IF(C1622="","",IFERROR(VLOOKUP(C1622,parametros!$A$11:$E$15,5,0),""))</f>
        <v/>
      </c>
      <c r="F1622" s="335">
        <f>IF(OR(D1622="",E1622=""),"",ROUND(D1622*E1622,2))</f>
        <v/>
      </c>
      <c r="G1622" s="106" t="n"/>
      <c r="H1622" s="350">
        <f>IF(G1622="Sim",IF(OR(F1622="",D1622="",L1622=""),"",IF(L1622="Sim",ROUND(F1622-D1622,2),0)),0)</f>
        <v/>
      </c>
      <c r="I1622" s="350">
        <f>IF(G1622="Sim",0,IF(OR(F1622="",L1622=""),"",F1622))</f>
        <v/>
      </c>
      <c r="J1622" s="350">
        <f>IF(G1622="Sim",0,IF(OR(F1622="",D1622="",L1622=""),"",IF(L1622="Sim",ROUND(F1622-D1622,2),0)))</f>
        <v/>
      </c>
      <c r="K1622" s="97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inlineStr">
        <is>
          <t>Nao</t>
        </is>
      </c>
      <c r="W1622" s="110" t="inlineStr">
        <is>
          <t>PC em analise</t>
        </is>
      </c>
      <c r="X1622" s="110" t="inlineStr">
        <is>
          <t>Pedido de Compra</t>
        </is>
      </c>
      <c r="Y1622" s="111" t="inlineStr">
        <is>
          <t>Impacto Potencial</t>
        </is>
      </c>
      <c r="Z1622" s="111" t="inlineStr">
        <is>
          <t>PC</t>
        </is>
      </c>
      <c r="AA1622" s="111" t="inlineStr">
        <is>
          <t>Nao</t>
        </is>
      </c>
      <c r="AB1622" s="111" t="inlineStr">
        <is>
          <t>NAO_COMPUTADO</t>
        </is>
      </c>
      <c r="AC1622" s="112" t="inlineStr">
        <is>
          <t>Estrutura Fase 1: sem impacto no VTA oficial</t>
        </is>
      </c>
    </row>
    <row r="1623" ht="25.5" customHeight="1" s="289">
      <c r="A1623" s="205" t="n"/>
      <c r="B1623" s="207" t="n"/>
      <c r="C1623" s="104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348" t="n"/>
      <c r="E1623" s="349">
        <f>IF(C1623="","",IFERROR(VLOOKUP(C1623,parametros!$A$11:$E$15,5,0),""))</f>
        <v/>
      </c>
      <c r="F1623" s="335">
        <f>IF(OR(D1623="",E1623=""),"",ROUND(D1623*E1623,2))</f>
        <v/>
      </c>
      <c r="G1623" s="106" t="n"/>
      <c r="H1623" s="350">
        <f>IF(G1623="Sim",IF(OR(F1623="",D1623="",L1623=""),"",IF(L1623="Sim",ROUND(F1623-D1623,2),0)),0)</f>
        <v/>
      </c>
      <c r="I1623" s="350">
        <f>IF(G1623="Sim",0,IF(OR(F1623="",L1623=""),"",F1623))</f>
        <v/>
      </c>
      <c r="J1623" s="350">
        <f>IF(G1623="Sim",0,IF(OR(F1623="",D1623="",L1623=""),"",IF(L1623="Sim",ROUND(F1623-D1623,2),0)))</f>
        <v/>
      </c>
      <c r="K1623" s="97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inlineStr">
        <is>
          <t>Nao</t>
        </is>
      </c>
      <c r="W1623" s="110" t="inlineStr">
        <is>
          <t>PC em analise</t>
        </is>
      </c>
      <c r="X1623" s="110" t="inlineStr">
        <is>
          <t>Pedido de Compra</t>
        </is>
      </c>
      <c r="Y1623" s="111" t="inlineStr">
        <is>
          <t>Impacto Potencial</t>
        </is>
      </c>
      <c r="Z1623" s="111" t="inlineStr">
        <is>
          <t>PC</t>
        </is>
      </c>
      <c r="AA1623" s="111" t="inlineStr">
        <is>
          <t>Nao</t>
        </is>
      </c>
      <c r="AB1623" s="111" t="inlineStr">
        <is>
          <t>NAO_COMPUTADO</t>
        </is>
      </c>
      <c r="AC1623" s="112" t="inlineStr">
        <is>
          <t>Estrutura Fase 1: sem impacto no VTA oficial</t>
        </is>
      </c>
    </row>
    <row r="1624" ht="25.5" customHeight="1" s="289">
      <c r="A1624" s="205" t="n"/>
      <c r="B1624" s="207" t="n"/>
      <c r="C1624" s="104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348" t="n"/>
      <c r="E1624" s="349">
        <f>IF(C1624="","",IFERROR(VLOOKUP(C1624,parametros!$A$11:$E$15,5,0),""))</f>
        <v/>
      </c>
      <c r="F1624" s="335">
        <f>IF(OR(D1624="",E1624=""),"",ROUND(D1624*E1624,2))</f>
        <v/>
      </c>
      <c r="G1624" s="106" t="n"/>
      <c r="H1624" s="350">
        <f>IF(G1624="Sim",IF(OR(F1624="",D1624="",L1624=""),"",IF(L1624="Sim",ROUND(F1624-D1624,2),0)),0)</f>
        <v/>
      </c>
      <c r="I1624" s="350">
        <f>IF(G1624="Sim",0,IF(OR(F1624="",L1624=""),"",F1624))</f>
        <v/>
      </c>
      <c r="J1624" s="350">
        <f>IF(G1624="Sim",0,IF(OR(F1624="",D1624="",L1624=""),"",IF(L1624="Sim",ROUND(F1624-D1624,2),0)))</f>
        <v/>
      </c>
      <c r="K1624" s="97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inlineStr">
        <is>
          <t>Nao</t>
        </is>
      </c>
      <c r="W1624" s="110" t="inlineStr">
        <is>
          <t>PC em analise</t>
        </is>
      </c>
      <c r="X1624" s="110" t="inlineStr">
        <is>
          <t>Pedido de Compra</t>
        </is>
      </c>
      <c r="Y1624" s="111" t="inlineStr">
        <is>
          <t>Impacto Potencial</t>
        </is>
      </c>
      <c r="Z1624" s="111" t="inlineStr">
        <is>
          <t>PC</t>
        </is>
      </c>
      <c r="AA1624" s="111" t="inlineStr">
        <is>
          <t>Nao</t>
        </is>
      </c>
      <c r="AB1624" s="111" t="inlineStr">
        <is>
          <t>NAO_COMPUTADO</t>
        </is>
      </c>
      <c r="AC1624" s="112" t="inlineStr">
        <is>
          <t>Estrutura Fase 1: sem impacto no VTA oficial</t>
        </is>
      </c>
    </row>
    <row r="1625" ht="25.5" customHeight="1" s="289">
      <c r="A1625" s="205" t="n"/>
      <c r="B1625" s="207" t="n"/>
      <c r="C1625" s="104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348" t="n"/>
      <c r="E1625" s="349">
        <f>IF(C1625="","",IFERROR(VLOOKUP(C1625,parametros!$A$11:$E$15,5,0),""))</f>
        <v/>
      </c>
      <c r="F1625" s="335">
        <f>IF(OR(D1625="",E1625=""),"",ROUND(D1625*E1625,2))</f>
        <v/>
      </c>
      <c r="G1625" s="106" t="n"/>
      <c r="H1625" s="350">
        <f>IF(G1625="Sim",IF(OR(F1625="",D1625="",L1625=""),"",IF(L1625="Sim",ROUND(F1625-D1625,2),0)),0)</f>
        <v/>
      </c>
      <c r="I1625" s="350">
        <f>IF(G1625="Sim",0,IF(OR(F1625="",L1625=""),"",F1625))</f>
        <v/>
      </c>
      <c r="J1625" s="350">
        <f>IF(G1625="Sim",0,IF(OR(F1625="",D1625="",L1625=""),"",IF(L1625="Sim",ROUND(F1625-D1625,2),0)))</f>
        <v/>
      </c>
      <c r="K1625" s="97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inlineStr">
        <is>
          <t>Nao</t>
        </is>
      </c>
      <c r="W1625" s="110" t="inlineStr">
        <is>
          <t>PC em analise</t>
        </is>
      </c>
      <c r="X1625" s="110" t="inlineStr">
        <is>
          <t>Pedido de Compra</t>
        </is>
      </c>
      <c r="Y1625" s="111" t="inlineStr">
        <is>
          <t>Impacto Potencial</t>
        </is>
      </c>
      <c r="Z1625" s="111" t="inlineStr">
        <is>
          <t>PC</t>
        </is>
      </c>
      <c r="AA1625" s="111" t="inlineStr">
        <is>
          <t>Nao</t>
        </is>
      </c>
      <c r="AB1625" s="111" t="inlineStr">
        <is>
          <t>NAO_COMPUTADO</t>
        </is>
      </c>
      <c r="AC1625" s="112" t="inlineStr">
        <is>
          <t>Estrutura Fase 1: sem impacto no VTA oficial</t>
        </is>
      </c>
    </row>
    <row r="1626" ht="25.5" customHeight="1" s="289">
      <c r="A1626" s="205" t="n"/>
      <c r="B1626" s="207" t="n"/>
      <c r="C1626" s="104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348" t="n"/>
      <c r="E1626" s="349">
        <f>IF(C1626="","",IFERROR(VLOOKUP(C1626,parametros!$A$11:$E$15,5,0),""))</f>
        <v/>
      </c>
      <c r="F1626" s="335">
        <f>IF(OR(D1626="",E1626=""),"",ROUND(D1626*E1626,2))</f>
        <v/>
      </c>
      <c r="G1626" s="106" t="n"/>
      <c r="H1626" s="350">
        <f>IF(G1626="Sim",IF(OR(F1626="",D1626="",L1626=""),"",IF(L1626="Sim",ROUND(F1626-D1626,2),0)),0)</f>
        <v/>
      </c>
      <c r="I1626" s="350">
        <f>IF(G1626="Sim",0,IF(OR(F1626="",L1626=""),"",F1626))</f>
        <v/>
      </c>
      <c r="J1626" s="350">
        <f>IF(G1626="Sim",0,IF(OR(F1626="",D1626="",L1626=""),"",IF(L1626="Sim",ROUND(F1626-D1626,2),0)))</f>
        <v/>
      </c>
      <c r="K1626" s="97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inlineStr">
        <is>
          <t>Nao</t>
        </is>
      </c>
      <c r="W1626" s="110" t="inlineStr">
        <is>
          <t>PC em analise</t>
        </is>
      </c>
      <c r="X1626" s="110" t="inlineStr">
        <is>
          <t>Pedido de Compra</t>
        </is>
      </c>
      <c r="Y1626" s="111" t="inlineStr">
        <is>
          <t>Impacto Potencial</t>
        </is>
      </c>
      <c r="Z1626" s="111" t="inlineStr">
        <is>
          <t>PC</t>
        </is>
      </c>
      <c r="AA1626" s="111" t="inlineStr">
        <is>
          <t>Nao</t>
        </is>
      </c>
      <c r="AB1626" s="111" t="inlineStr">
        <is>
          <t>NAO_COMPUTADO</t>
        </is>
      </c>
      <c r="AC1626" s="112" t="inlineStr">
        <is>
          <t>Estrutura Fase 1: sem impacto no VTA oficial</t>
        </is>
      </c>
    </row>
    <row r="1627" ht="25.5" customHeight="1" s="289">
      <c r="A1627" s="205" t="n"/>
      <c r="B1627" s="207" t="n"/>
      <c r="C1627" s="104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348" t="n"/>
      <c r="E1627" s="349">
        <f>IF(C1627="","",IFERROR(VLOOKUP(C1627,parametros!$A$11:$E$15,5,0),""))</f>
        <v/>
      </c>
      <c r="F1627" s="335">
        <f>IF(OR(D1627="",E1627=""),"",ROUND(D1627*E1627,2))</f>
        <v/>
      </c>
      <c r="G1627" s="106" t="n"/>
      <c r="H1627" s="350">
        <f>IF(G1627="Sim",IF(OR(F1627="",D1627="",L1627=""),"",IF(L1627="Sim",ROUND(F1627-D1627,2),0)),0)</f>
        <v/>
      </c>
      <c r="I1627" s="350">
        <f>IF(G1627="Sim",0,IF(OR(F1627="",L1627=""),"",F1627))</f>
        <v/>
      </c>
      <c r="J1627" s="350">
        <f>IF(G1627="Sim",0,IF(OR(F1627="",D1627="",L1627=""),"",IF(L1627="Sim",ROUND(F1627-D1627,2),0)))</f>
        <v/>
      </c>
      <c r="K1627" s="97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inlineStr">
        <is>
          <t>Nao</t>
        </is>
      </c>
      <c r="W1627" s="110" t="inlineStr">
        <is>
          <t>PC em analise</t>
        </is>
      </c>
      <c r="X1627" s="110" t="inlineStr">
        <is>
          <t>Pedido de Compra</t>
        </is>
      </c>
      <c r="Y1627" s="111" t="inlineStr">
        <is>
          <t>Impacto Potencial</t>
        </is>
      </c>
      <c r="Z1627" s="111" t="inlineStr">
        <is>
          <t>PC</t>
        </is>
      </c>
      <c r="AA1627" s="111" t="inlineStr">
        <is>
          <t>Nao</t>
        </is>
      </c>
      <c r="AB1627" s="111" t="inlineStr">
        <is>
          <t>NAO_COMPUTADO</t>
        </is>
      </c>
      <c r="AC1627" s="112" t="inlineStr">
        <is>
          <t>Estrutura Fase 1: sem impacto no VTA oficial</t>
        </is>
      </c>
    </row>
    <row r="1628" ht="25.5" customHeight="1" s="289">
      <c r="A1628" s="205" t="n"/>
      <c r="B1628" s="207" t="n"/>
      <c r="C1628" s="104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348" t="n"/>
      <c r="E1628" s="349">
        <f>IF(C1628="","",IFERROR(VLOOKUP(C1628,parametros!$A$11:$E$15,5,0),""))</f>
        <v/>
      </c>
      <c r="F1628" s="335">
        <f>IF(OR(D1628="",E1628=""),"",ROUND(D1628*E1628,2))</f>
        <v/>
      </c>
      <c r="G1628" s="106" t="n"/>
      <c r="H1628" s="350">
        <f>IF(G1628="Sim",IF(OR(F1628="",D1628="",L1628=""),"",IF(L1628="Sim",ROUND(F1628-D1628,2),0)),0)</f>
        <v/>
      </c>
      <c r="I1628" s="350">
        <f>IF(G1628="Sim",0,IF(OR(F1628="",L1628=""),"",F1628))</f>
        <v/>
      </c>
      <c r="J1628" s="350">
        <f>IF(G1628="Sim",0,IF(OR(F1628="",D1628="",L1628=""),"",IF(L1628="Sim",ROUND(F1628-D1628,2),0)))</f>
        <v/>
      </c>
      <c r="K1628" s="97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inlineStr">
        <is>
          <t>Nao</t>
        </is>
      </c>
      <c r="W1628" s="110" t="inlineStr">
        <is>
          <t>PC em analise</t>
        </is>
      </c>
      <c r="X1628" s="110" t="inlineStr">
        <is>
          <t>Pedido de Compra</t>
        </is>
      </c>
      <c r="Y1628" s="111" t="inlineStr">
        <is>
          <t>Impacto Potencial</t>
        </is>
      </c>
      <c r="Z1628" s="111" t="inlineStr">
        <is>
          <t>PC</t>
        </is>
      </c>
      <c r="AA1628" s="111" t="inlineStr">
        <is>
          <t>Nao</t>
        </is>
      </c>
      <c r="AB1628" s="111" t="inlineStr">
        <is>
          <t>NAO_COMPUTADO</t>
        </is>
      </c>
      <c r="AC1628" s="112" t="inlineStr">
        <is>
          <t>Estrutura Fase 1: sem impacto no VTA oficial</t>
        </is>
      </c>
    </row>
    <row r="1629" ht="25.5" customHeight="1" s="289">
      <c r="A1629" s="205" t="n"/>
      <c r="B1629" s="207" t="n"/>
      <c r="C1629" s="104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348" t="n"/>
      <c r="E1629" s="349">
        <f>IF(C1629="","",IFERROR(VLOOKUP(C1629,parametros!$A$11:$E$15,5,0),""))</f>
        <v/>
      </c>
      <c r="F1629" s="335">
        <f>IF(OR(D1629="",E1629=""),"",ROUND(D1629*E1629,2))</f>
        <v/>
      </c>
      <c r="G1629" s="106" t="n"/>
      <c r="H1629" s="350">
        <f>IF(G1629="Sim",IF(OR(F1629="",D1629="",L1629=""),"",IF(L1629="Sim",ROUND(F1629-D1629,2),0)),0)</f>
        <v/>
      </c>
      <c r="I1629" s="350">
        <f>IF(G1629="Sim",0,IF(OR(F1629="",L1629=""),"",F1629))</f>
        <v/>
      </c>
      <c r="J1629" s="350">
        <f>IF(G1629="Sim",0,IF(OR(F1629="",D1629="",L1629=""),"",IF(L1629="Sim",ROUND(F1629-D1629,2),0)))</f>
        <v/>
      </c>
      <c r="K1629" s="97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inlineStr">
        <is>
          <t>Nao</t>
        </is>
      </c>
      <c r="W1629" s="110" t="inlineStr">
        <is>
          <t>PC em analise</t>
        </is>
      </c>
      <c r="X1629" s="110" t="inlineStr">
        <is>
          <t>Pedido de Compra</t>
        </is>
      </c>
      <c r="Y1629" s="111" t="inlineStr">
        <is>
          <t>Impacto Potencial</t>
        </is>
      </c>
      <c r="Z1629" s="111" t="inlineStr">
        <is>
          <t>PC</t>
        </is>
      </c>
      <c r="AA1629" s="111" t="inlineStr">
        <is>
          <t>Nao</t>
        </is>
      </c>
      <c r="AB1629" s="111" t="inlineStr">
        <is>
          <t>NAO_COMPUTADO</t>
        </is>
      </c>
      <c r="AC1629" s="112" t="inlineStr">
        <is>
          <t>Estrutura Fase 1: sem impacto no VTA oficial</t>
        </is>
      </c>
    </row>
    <row r="1630" ht="25.5" customHeight="1" s="289">
      <c r="A1630" s="205" t="n"/>
      <c r="B1630" s="207" t="n"/>
      <c r="C1630" s="104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348" t="n"/>
      <c r="E1630" s="349">
        <f>IF(C1630="","",IFERROR(VLOOKUP(C1630,parametros!$A$11:$E$15,5,0),""))</f>
        <v/>
      </c>
      <c r="F1630" s="335">
        <f>IF(OR(D1630="",E1630=""),"",ROUND(D1630*E1630,2))</f>
        <v/>
      </c>
      <c r="G1630" s="106" t="n"/>
      <c r="H1630" s="350">
        <f>IF(G1630="Sim",IF(OR(F1630="",D1630="",L1630=""),"",IF(L1630="Sim",ROUND(F1630-D1630,2),0)),0)</f>
        <v/>
      </c>
      <c r="I1630" s="350">
        <f>IF(G1630="Sim",0,IF(OR(F1630="",L1630=""),"",F1630))</f>
        <v/>
      </c>
      <c r="J1630" s="350">
        <f>IF(G1630="Sim",0,IF(OR(F1630="",D1630="",L1630=""),"",IF(L1630="Sim",ROUND(F1630-D1630,2),0)))</f>
        <v/>
      </c>
      <c r="K1630" s="97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inlineStr">
        <is>
          <t>Nao</t>
        </is>
      </c>
      <c r="W1630" s="110" t="inlineStr">
        <is>
          <t>PC em analise</t>
        </is>
      </c>
      <c r="X1630" s="110" t="inlineStr">
        <is>
          <t>Pedido de Compra</t>
        </is>
      </c>
      <c r="Y1630" s="111" t="inlineStr">
        <is>
          <t>Impacto Potencial</t>
        </is>
      </c>
      <c r="Z1630" s="111" t="inlineStr">
        <is>
          <t>PC</t>
        </is>
      </c>
      <c r="AA1630" s="111" t="inlineStr">
        <is>
          <t>Nao</t>
        </is>
      </c>
      <c r="AB1630" s="111" t="inlineStr">
        <is>
          <t>NAO_COMPUTADO</t>
        </is>
      </c>
      <c r="AC1630" s="112" t="inlineStr">
        <is>
          <t>Estrutura Fase 1: sem impacto no VTA oficial</t>
        </is>
      </c>
    </row>
    <row r="1631" ht="25.5" customHeight="1" s="289">
      <c r="A1631" s="205" t="n"/>
      <c r="B1631" s="207" t="n"/>
      <c r="C1631" s="104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348" t="n"/>
      <c r="E1631" s="349">
        <f>IF(C1631="","",IFERROR(VLOOKUP(C1631,parametros!$A$11:$E$15,5,0),""))</f>
        <v/>
      </c>
      <c r="F1631" s="335">
        <f>IF(OR(D1631="",E1631=""),"",ROUND(D1631*E1631,2))</f>
        <v/>
      </c>
      <c r="G1631" s="106" t="n"/>
      <c r="H1631" s="350">
        <f>IF(G1631="Sim",IF(OR(F1631="",D1631="",L1631=""),"",IF(L1631="Sim",ROUND(F1631-D1631,2),0)),0)</f>
        <v/>
      </c>
      <c r="I1631" s="350">
        <f>IF(G1631="Sim",0,IF(OR(F1631="",L1631=""),"",F1631))</f>
        <v/>
      </c>
      <c r="J1631" s="350">
        <f>IF(G1631="Sim",0,IF(OR(F1631="",D1631="",L1631=""),"",IF(L1631="Sim",ROUND(F1631-D1631,2),0)))</f>
        <v/>
      </c>
      <c r="K1631" s="97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inlineStr">
        <is>
          <t>Nao</t>
        </is>
      </c>
      <c r="W1631" s="110" t="inlineStr">
        <is>
          <t>PC em analise</t>
        </is>
      </c>
      <c r="X1631" s="110" t="inlineStr">
        <is>
          <t>Pedido de Compra</t>
        </is>
      </c>
      <c r="Y1631" s="111" t="inlineStr">
        <is>
          <t>Impacto Potencial</t>
        </is>
      </c>
      <c r="Z1631" s="111" t="inlineStr">
        <is>
          <t>PC</t>
        </is>
      </c>
      <c r="AA1631" s="111" t="inlineStr">
        <is>
          <t>Nao</t>
        </is>
      </c>
      <c r="AB1631" s="111" t="inlineStr">
        <is>
          <t>NAO_COMPUTADO</t>
        </is>
      </c>
      <c r="AC1631" s="112" t="inlineStr">
        <is>
          <t>Estrutura Fase 1: sem impacto no VTA oficial</t>
        </is>
      </c>
    </row>
    <row r="1632" ht="25.5" customHeight="1" s="289">
      <c r="A1632" s="205" t="n"/>
      <c r="B1632" s="207" t="n"/>
      <c r="C1632" s="104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348" t="n"/>
      <c r="E1632" s="349">
        <f>IF(C1632="","",IFERROR(VLOOKUP(C1632,parametros!$A$11:$E$15,5,0),""))</f>
        <v/>
      </c>
      <c r="F1632" s="335">
        <f>IF(OR(D1632="",E1632=""),"",ROUND(D1632*E1632,2))</f>
        <v/>
      </c>
      <c r="G1632" s="106" t="n"/>
      <c r="H1632" s="350">
        <f>IF(G1632="Sim",IF(OR(F1632="",D1632="",L1632=""),"",IF(L1632="Sim",ROUND(F1632-D1632,2),0)),0)</f>
        <v/>
      </c>
      <c r="I1632" s="350">
        <f>IF(G1632="Sim",0,IF(OR(F1632="",L1632=""),"",F1632))</f>
        <v/>
      </c>
      <c r="J1632" s="350">
        <f>IF(G1632="Sim",0,IF(OR(F1632="",D1632="",L1632=""),"",IF(L1632="Sim",ROUND(F1632-D1632,2),0)))</f>
        <v/>
      </c>
      <c r="K1632" s="97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inlineStr">
        <is>
          <t>Nao</t>
        </is>
      </c>
      <c r="W1632" s="110" t="inlineStr">
        <is>
          <t>PC em analise</t>
        </is>
      </c>
      <c r="X1632" s="110" t="inlineStr">
        <is>
          <t>Pedido de Compra</t>
        </is>
      </c>
      <c r="Y1632" s="111" t="inlineStr">
        <is>
          <t>Impacto Potencial</t>
        </is>
      </c>
      <c r="Z1632" s="111" t="inlineStr">
        <is>
          <t>PC</t>
        </is>
      </c>
      <c r="AA1632" s="111" t="inlineStr">
        <is>
          <t>Nao</t>
        </is>
      </c>
      <c r="AB1632" s="111" t="inlineStr">
        <is>
          <t>NAO_COMPUTADO</t>
        </is>
      </c>
      <c r="AC1632" s="112" t="inlineStr">
        <is>
          <t>Estrutura Fase 1: sem impacto no VTA oficial</t>
        </is>
      </c>
    </row>
    <row r="1633" ht="25.5" customHeight="1" s="289">
      <c r="A1633" s="205" t="n"/>
      <c r="B1633" s="207" t="n"/>
      <c r="C1633" s="104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348" t="n"/>
      <c r="E1633" s="349">
        <f>IF(C1633="","",IFERROR(VLOOKUP(C1633,parametros!$A$11:$E$15,5,0),""))</f>
        <v/>
      </c>
      <c r="F1633" s="335">
        <f>IF(OR(D1633="",E1633=""),"",ROUND(D1633*E1633,2))</f>
        <v/>
      </c>
      <c r="G1633" s="106" t="n"/>
      <c r="H1633" s="350">
        <f>IF(G1633="Sim",IF(OR(F1633="",D1633="",L1633=""),"",IF(L1633="Sim",ROUND(F1633-D1633,2),0)),0)</f>
        <v/>
      </c>
      <c r="I1633" s="350">
        <f>IF(G1633="Sim",0,IF(OR(F1633="",L1633=""),"",F1633))</f>
        <v/>
      </c>
      <c r="J1633" s="350">
        <f>IF(G1633="Sim",0,IF(OR(F1633="",D1633="",L1633=""),"",IF(L1633="Sim",ROUND(F1633-D1633,2),0)))</f>
        <v/>
      </c>
      <c r="K1633" s="97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inlineStr">
        <is>
          <t>Nao</t>
        </is>
      </c>
      <c r="W1633" s="110" t="inlineStr">
        <is>
          <t>PC em analise</t>
        </is>
      </c>
      <c r="X1633" s="110" t="inlineStr">
        <is>
          <t>Pedido de Compra</t>
        </is>
      </c>
      <c r="Y1633" s="111" t="inlineStr">
        <is>
          <t>Impacto Potencial</t>
        </is>
      </c>
      <c r="Z1633" s="111" t="inlineStr">
        <is>
          <t>PC</t>
        </is>
      </c>
      <c r="AA1633" s="111" t="inlineStr">
        <is>
          <t>Nao</t>
        </is>
      </c>
      <c r="AB1633" s="111" t="inlineStr">
        <is>
          <t>NAO_COMPUTADO</t>
        </is>
      </c>
      <c r="AC1633" s="112" t="inlineStr">
        <is>
          <t>Estrutura Fase 1: sem impacto no VTA oficial</t>
        </is>
      </c>
    </row>
    <row r="1634" ht="25.5" customHeight="1" s="289">
      <c r="A1634" s="205" t="n"/>
      <c r="B1634" s="207" t="n"/>
      <c r="C1634" s="104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348" t="n"/>
      <c r="E1634" s="349">
        <f>IF(C1634="","",IFERROR(VLOOKUP(C1634,parametros!$A$11:$E$15,5,0),""))</f>
        <v/>
      </c>
      <c r="F1634" s="335">
        <f>IF(OR(D1634="",E1634=""),"",ROUND(D1634*E1634,2))</f>
        <v/>
      </c>
      <c r="G1634" s="106" t="n"/>
      <c r="H1634" s="350">
        <f>IF(G1634="Sim",IF(OR(F1634="",D1634="",L1634=""),"",IF(L1634="Sim",ROUND(F1634-D1634,2),0)),0)</f>
        <v/>
      </c>
      <c r="I1634" s="350">
        <f>IF(G1634="Sim",0,IF(OR(F1634="",L1634=""),"",F1634))</f>
        <v/>
      </c>
      <c r="J1634" s="350">
        <f>IF(G1634="Sim",0,IF(OR(F1634="",D1634="",L1634=""),"",IF(L1634="Sim",ROUND(F1634-D1634,2),0)))</f>
        <v/>
      </c>
      <c r="K1634" s="97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inlineStr">
        <is>
          <t>Nao</t>
        </is>
      </c>
      <c r="W1634" s="110" t="inlineStr">
        <is>
          <t>PC em analise</t>
        </is>
      </c>
      <c r="X1634" s="110" t="inlineStr">
        <is>
          <t>Pedido de Compra</t>
        </is>
      </c>
      <c r="Y1634" s="111" t="inlineStr">
        <is>
          <t>Impacto Potencial</t>
        </is>
      </c>
      <c r="Z1634" s="111" t="inlineStr">
        <is>
          <t>PC</t>
        </is>
      </c>
      <c r="AA1634" s="111" t="inlineStr">
        <is>
          <t>Nao</t>
        </is>
      </c>
      <c r="AB1634" s="111" t="inlineStr">
        <is>
          <t>NAO_COMPUTADO</t>
        </is>
      </c>
      <c r="AC1634" s="112" t="inlineStr">
        <is>
          <t>Estrutura Fase 1: sem impacto no VTA oficial</t>
        </is>
      </c>
    </row>
    <row r="1635" ht="25.5" customHeight="1" s="289">
      <c r="A1635" s="205" t="n"/>
      <c r="B1635" s="207" t="n"/>
      <c r="C1635" s="104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348" t="n"/>
      <c r="E1635" s="349">
        <f>IF(C1635="","",IFERROR(VLOOKUP(C1635,parametros!$A$11:$E$15,5,0),""))</f>
        <v/>
      </c>
      <c r="F1635" s="335">
        <f>IF(OR(D1635="",E1635=""),"",ROUND(D1635*E1635,2))</f>
        <v/>
      </c>
      <c r="G1635" s="106" t="n"/>
      <c r="H1635" s="350">
        <f>IF(G1635="Sim",IF(OR(F1635="",D1635="",L1635=""),"",IF(L1635="Sim",ROUND(F1635-D1635,2),0)),0)</f>
        <v/>
      </c>
      <c r="I1635" s="350">
        <f>IF(G1635="Sim",0,IF(OR(F1635="",L1635=""),"",F1635))</f>
        <v/>
      </c>
      <c r="J1635" s="350">
        <f>IF(G1635="Sim",0,IF(OR(F1635="",D1635="",L1635=""),"",IF(L1635="Sim",ROUND(F1635-D1635,2),0)))</f>
        <v/>
      </c>
      <c r="K1635" s="97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inlineStr">
        <is>
          <t>Nao</t>
        </is>
      </c>
      <c r="W1635" s="110" t="inlineStr">
        <is>
          <t>PC em analise</t>
        </is>
      </c>
      <c r="X1635" s="110" t="inlineStr">
        <is>
          <t>Pedido de Compra</t>
        </is>
      </c>
      <c r="Y1635" s="111" t="inlineStr">
        <is>
          <t>Impacto Potencial</t>
        </is>
      </c>
      <c r="Z1635" s="111" t="inlineStr">
        <is>
          <t>PC</t>
        </is>
      </c>
      <c r="AA1635" s="111" t="inlineStr">
        <is>
          <t>Nao</t>
        </is>
      </c>
      <c r="AB1635" s="111" t="inlineStr">
        <is>
          <t>NAO_COMPUTADO</t>
        </is>
      </c>
      <c r="AC1635" s="112" t="inlineStr">
        <is>
          <t>Estrutura Fase 1: sem impacto no VTA oficial</t>
        </is>
      </c>
    </row>
    <row r="1636" ht="25.5" customHeight="1" s="289">
      <c r="A1636" s="205" t="n"/>
      <c r="B1636" s="207" t="n"/>
      <c r="C1636" s="104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348" t="n"/>
      <c r="E1636" s="349">
        <f>IF(C1636="","",IFERROR(VLOOKUP(C1636,parametros!$A$11:$E$15,5,0),""))</f>
        <v/>
      </c>
      <c r="F1636" s="335">
        <f>IF(OR(D1636="",E1636=""),"",ROUND(D1636*E1636,2))</f>
        <v/>
      </c>
      <c r="G1636" s="106" t="n"/>
      <c r="H1636" s="350">
        <f>IF(G1636="Sim",IF(OR(F1636="",D1636="",L1636=""),"",IF(L1636="Sim",ROUND(F1636-D1636,2),0)),0)</f>
        <v/>
      </c>
      <c r="I1636" s="350">
        <f>IF(G1636="Sim",0,IF(OR(F1636="",L1636=""),"",F1636))</f>
        <v/>
      </c>
      <c r="J1636" s="350">
        <f>IF(G1636="Sim",0,IF(OR(F1636="",D1636="",L1636=""),"",IF(L1636="Sim",ROUND(F1636-D1636,2),0)))</f>
        <v/>
      </c>
      <c r="K1636" s="97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inlineStr">
        <is>
          <t>Nao</t>
        </is>
      </c>
      <c r="W1636" s="110" t="inlineStr">
        <is>
          <t>PC em analise</t>
        </is>
      </c>
      <c r="X1636" s="110" t="inlineStr">
        <is>
          <t>Pedido de Compra</t>
        </is>
      </c>
      <c r="Y1636" s="111" t="inlineStr">
        <is>
          <t>Impacto Potencial</t>
        </is>
      </c>
      <c r="Z1636" s="111" t="inlineStr">
        <is>
          <t>PC</t>
        </is>
      </c>
      <c r="AA1636" s="111" t="inlineStr">
        <is>
          <t>Nao</t>
        </is>
      </c>
      <c r="AB1636" s="111" t="inlineStr">
        <is>
          <t>NAO_COMPUTADO</t>
        </is>
      </c>
      <c r="AC1636" s="112" t="inlineStr">
        <is>
          <t>Estrutura Fase 1: sem impacto no VTA oficial</t>
        </is>
      </c>
    </row>
    <row r="1637" ht="25.5" customHeight="1" s="289">
      <c r="A1637" s="205" t="n"/>
      <c r="B1637" s="207" t="n"/>
      <c r="C1637" s="104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348" t="n"/>
      <c r="E1637" s="349">
        <f>IF(C1637="","",IFERROR(VLOOKUP(C1637,parametros!$A$11:$E$15,5,0),""))</f>
        <v/>
      </c>
      <c r="F1637" s="335">
        <f>IF(OR(D1637="",E1637=""),"",ROUND(D1637*E1637,2))</f>
        <v/>
      </c>
      <c r="G1637" s="106" t="n"/>
      <c r="H1637" s="350">
        <f>IF(G1637="Sim",IF(OR(F1637="",D1637="",L1637=""),"",IF(L1637="Sim",ROUND(F1637-D1637,2),0)),0)</f>
        <v/>
      </c>
      <c r="I1637" s="350">
        <f>IF(G1637="Sim",0,IF(OR(F1637="",L1637=""),"",F1637))</f>
        <v/>
      </c>
      <c r="J1637" s="350">
        <f>IF(G1637="Sim",0,IF(OR(F1637="",D1637="",L1637=""),"",IF(L1637="Sim",ROUND(F1637-D1637,2),0)))</f>
        <v/>
      </c>
      <c r="K1637" s="97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inlineStr">
        <is>
          <t>Nao</t>
        </is>
      </c>
      <c r="W1637" s="110" t="inlineStr">
        <is>
          <t>PC em analise</t>
        </is>
      </c>
      <c r="X1637" s="110" t="inlineStr">
        <is>
          <t>Pedido de Compra</t>
        </is>
      </c>
      <c r="Y1637" s="111" t="inlineStr">
        <is>
          <t>Impacto Potencial</t>
        </is>
      </c>
      <c r="Z1637" s="111" t="inlineStr">
        <is>
          <t>PC</t>
        </is>
      </c>
      <c r="AA1637" s="111" t="inlineStr">
        <is>
          <t>Nao</t>
        </is>
      </c>
      <c r="AB1637" s="111" t="inlineStr">
        <is>
          <t>NAO_COMPUTADO</t>
        </is>
      </c>
      <c r="AC1637" s="112" t="inlineStr">
        <is>
          <t>Estrutura Fase 1: sem impacto no VTA oficial</t>
        </is>
      </c>
    </row>
    <row r="1638" ht="25.5" customHeight="1" s="289">
      <c r="A1638" s="205" t="n"/>
      <c r="B1638" s="207" t="n"/>
      <c r="C1638" s="104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348" t="n"/>
      <c r="E1638" s="349">
        <f>IF(C1638="","",IFERROR(VLOOKUP(C1638,parametros!$A$11:$E$15,5,0),""))</f>
        <v/>
      </c>
      <c r="F1638" s="335">
        <f>IF(OR(D1638="",E1638=""),"",ROUND(D1638*E1638,2))</f>
        <v/>
      </c>
      <c r="G1638" s="106" t="n"/>
      <c r="H1638" s="350">
        <f>IF(G1638="Sim",IF(OR(F1638="",D1638="",L1638=""),"",IF(L1638="Sim",ROUND(F1638-D1638,2),0)),0)</f>
        <v/>
      </c>
      <c r="I1638" s="350">
        <f>IF(G1638="Sim",0,IF(OR(F1638="",L1638=""),"",F1638))</f>
        <v/>
      </c>
      <c r="J1638" s="350">
        <f>IF(G1638="Sim",0,IF(OR(F1638="",D1638="",L1638=""),"",IF(L1638="Sim",ROUND(F1638-D1638,2),0)))</f>
        <v/>
      </c>
      <c r="K1638" s="97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inlineStr">
        <is>
          <t>Nao</t>
        </is>
      </c>
      <c r="W1638" s="110" t="inlineStr">
        <is>
          <t>PC em analise</t>
        </is>
      </c>
      <c r="X1638" s="110" t="inlineStr">
        <is>
          <t>Pedido de Compra</t>
        </is>
      </c>
      <c r="Y1638" s="111" t="inlineStr">
        <is>
          <t>Impacto Potencial</t>
        </is>
      </c>
      <c r="Z1638" s="111" t="inlineStr">
        <is>
          <t>PC</t>
        </is>
      </c>
      <c r="AA1638" s="111" t="inlineStr">
        <is>
          <t>Nao</t>
        </is>
      </c>
      <c r="AB1638" s="111" t="inlineStr">
        <is>
          <t>NAO_COMPUTADO</t>
        </is>
      </c>
      <c r="AC1638" s="112" t="inlineStr">
        <is>
          <t>Estrutura Fase 1: sem impacto no VTA oficial</t>
        </is>
      </c>
    </row>
    <row r="1639" ht="25.5" customHeight="1" s="289">
      <c r="A1639" s="205" t="n"/>
      <c r="B1639" s="207" t="n"/>
      <c r="C1639" s="104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348" t="n"/>
      <c r="E1639" s="349">
        <f>IF(C1639="","",IFERROR(VLOOKUP(C1639,parametros!$A$11:$E$15,5,0),""))</f>
        <v/>
      </c>
      <c r="F1639" s="335">
        <f>IF(OR(D1639="",E1639=""),"",ROUND(D1639*E1639,2))</f>
        <v/>
      </c>
      <c r="G1639" s="106" t="n"/>
      <c r="H1639" s="350">
        <f>IF(G1639="Sim",IF(OR(F1639="",D1639="",L1639=""),"",IF(L1639="Sim",ROUND(F1639-D1639,2),0)),0)</f>
        <v/>
      </c>
      <c r="I1639" s="350">
        <f>IF(G1639="Sim",0,IF(OR(F1639="",L1639=""),"",F1639))</f>
        <v/>
      </c>
      <c r="J1639" s="350">
        <f>IF(G1639="Sim",0,IF(OR(F1639="",D1639="",L1639=""),"",IF(L1639="Sim",ROUND(F1639-D1639,2),0)))</f>
        <v/>
      </c>
      <c r="K1639" s="97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inlineStr">
        <is>
          <t>Nao</t>
        </is>
      </c>
      <c r="W1639" s="110" t="inlineStr">
        <is>
          <t>PC em analise</t>
        </is>
      </c>
      <c r="X1639" s="110" t="inlineStr">
        <is>
          <t>Pedido de Compra</t>
        </is>
      </c>
      <c r="Y1639" s="111" t="inlineStr">
        <is>
          <t>Impacto Potencial</t>
        </is>
      </c>
      <c r="Z1639" s="111" t="inlineStr">
        <is>
          <t>PC</t>
        </is>
      </c>
      <c r="AA1639" s="111" t="inlineStr">
        <is>
          <t>Nao</t>
        </is>
      </c>
      <c r="AB1639" s="111" t="inlineStr">
        <is>
          <t>NAO_COMPUTADO</t>
        </is>
      </c>
      <c r="AC1639" s="112" t="inlineStr">
        <is>
          <t>Estrutura Fase 1: sem impacto no VTA oficial</t>
        </is>
      </c>
    </row>
    <row r="1640" ht="25.5" customHeight="1" s="289">
      <c r="A1640" s="205" t="n"/>
      <c r="B1640" s="207" t="n"/>
      <c r="C1640" s="104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348" t="n"/>
      <c r="E1640" s="349">
        <f>IF(C1640="","",IFERROR(VLOOKUP(C1640,parametros!$A$11:$E$15,5,0),""))</f>
        <v/>
      </c>
      <c r="F1640" s="335">
        <f>IF(OR(D1640="",E1640=""),"",ROUND(D1640*E1640,2))</f>
        <v/>
      </c>
      <c r="G1640" s="106" t="n"/>
      <c r="H1640" s="350">
        <f>IF(G1640="Sim",IF(OR(F1640="",D1640="",L1640=""),"",IF(L1640="Sim",ROUND(F1640-D1640,2),0)),0)</f>
        <v/>
      </c>
      <c r="I1640" s="350">
        <f>IF(G1640="Sim",0,IF(OR(F1640="",L1640=""),"",F1640))</f>
        <v/>
      </c>
      <c r="J1640" s="350">
        <f>IF(G1640="Sim",0,IF(OR(F1640="",D1640="",L1640=""),"",IF(L1640="Sim",ROUND(F1640-D1640,2),0)))</f>
        <v/>
      </c>
      <c r="K1640" s="97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inlineStr">
        <is>
          <t>Nao</t>
        </is>
      </c>
      <c r="W1640" s="110" t="inlineStr">
        <is>
          <t>PC em analise</t>
        </is>
      </c>
      <c r="X1640" s="110" t="inlineStr">
        <is>
          <t>Pedido de Compra</t>
        </is>
      </c>
      <c r="Y1640" s="111" t="inlineStr">
        <is>
          <t>Impacto Potencial</t>
        </is>
      </c>
      <c r="Z1640" s="111" t="inlineStr">
        <is>
          <t>PC</t>
        </is>
      </c>
      <c r="AA1640" s="111" t="inlineStr">
        <is>
          <t>Nao</t>
        </is>
      </c>
      <c r="AB1640" s="111" t="inlineStr">
        <is>
          <t>NAO_COMPUTADO</t>
        </is>
      </c>
      <c r="AC1640" s="112" t="inlineStr">
        <is>
          <t>Estrutura Fase 1: sem impacto no VTA oficial</t>
        </is>
      </c>
    </row>
    <row r="1641" ht="25.5" customHeight="1" s="289">
      <c r="A1641" s="205" t="n"/>
      <c r="B1641" s="207" t="n"/>
      <c r="C1641" s="104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348" t="n"/>
      <c r="E1641" s="349">
        <f>IF(C1641="","",IFERROR(VLOOKUP(C1641,parametros!$A$11:$E$15,5,0),""))</f>
        <v/>
      </c>
      <c r="F1641" s="335">
        <f>IF(OR(D1641="",E1641=""),"",ROUND(D1641*E1641,2))</f>
        <v/>
      </c>
      <c r="G1641" s="106" t="n"/>
      <c r="H1641" s="350">
        <f>IF(G1641="Sim",IF(OR(F1641="",D1641="",L1641=""),"",IF(L1641="Sim",ROUND(F1641-D1641,2),0)),0)</f>
        <v/>
      </c>
      <c r="I1641" s="350">
        <f>IF(G1641="Sim",0,IF(OR(F1641="",L1641=""),"",F1641))</f>
        <v/>
      </c>
      <c r="J1641" s="350">
        <f>IF(G1641="Sim",0,IF(OR(F1641="",D1641="",L1641=""),"",IF(L1641="Sim",ROUND(F1641-D1641,2),0)))</f>
        <v/>
      </c>
      <c r="K1641" s="97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inlineStr">
        <is>
          <t>Nao</t>
        </is>
      </c>
      <c r="W1641" s="110" t="inlineStr">
        <is>
          <t>PC em analise</t>
        </is>
      </c>
      <c r="X1641" s="110" t="inlineStr">
        <is>
          <t>Pedido de Compra</t>
        </is>
      </c>
      <c r="Y1641" s="111" t="inlineStr">
        <is>
          <t>Impacto Potencial</t>
        </is>
      </c>
      <c r="Z1641" s="111" t="inlineStr">
        <is>
          <t>PC</t>
        </is>
      </c>
      <c r="AA1641" s="111" t="inlineStr">
        <is>
          <t>Nao</t>
        </is>
      </c>
      <c r="AB1641" s="111" t="inlineStr">
        <is>
          <t>NAO_COMPUTADO</t>
        </is>
      </c>
      <c r="AC1641" s="112" t="inlineStr">
        <is>
          <t>Estrutura Fase 1: sem impacto no VTA oficial</t>
        </is>
      </c>
    </row>
    <row r="1642" ht="25.5" customHeight="1" s="289">
      <c r="A1642" s="205" t="n"/>
      <c r="B1642" s="207" t="n"/>
      <c r="C1642" s="104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348" t="n"/>
      <c r="E1642" s="349">
        <f>IF(C1642="","",IFERROR(VLOOKUP(C1642,parametros!$A$11:$E$15,5,0),""))</f>
        <v/>
      </c>
      <c r="F1642" s="335">
        <f>IF(OR(D1642="",E1642=""),"",ROUND(D1642*E1642,2))</f>
        <v/>
      </c>
      <c r="G1642" s="106" t="n"/>
      <c r="H1642" s="350">
        <f>IF(G1642="Sim",IF(OR(F1642="",D1642="",L1642=""),"",IF(L1642="Sim",ROUND(F1642-D1642,2),0)),0)</f>
        <v/>
      </c>
      <c r="I1642" s="350">
        <f>IF(G1642="Sim",0,IF(OR(F1642="",L1642=""),"",F1642))</f>
        <v/>
      </c>
      <c r="J1642" s="350">
        <f>IF(G1642="Sim",0,IF(OR(F1642="",D1642="",L1642=""),"",IF(L1642="Sim",ROUND(F1642-D1642,2),0)))</f>
        <v/>
      </c>
      <c r="K1642" s="97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inlineStr">
        <is>
          <t>Nao</t>
        </is>
      </c>
      <c r="W1642" s="110" t="inlineStr">
        <is>
          <t>PC em analise</t>
        </is>
      </c>
      <c r="X1642" s="110" t="inlineStr">
        <is>
          <t>Pedido de Compra</t>
        </is>
      </c>
      <c r="Y1642" s="111" t="inlineStr">
        <is>
          <t>Impacto Potencial</t>
        </is>
      </c>
      <c r="Z1642" s="111" t="inlineStr">
        <is>
          <t>PC</t>
        </is>
      </c>
      <c r="AA1642" s="111" t="inlineStr">
        <is>
          <t>Nao</t>
        </is>
      </c>
      <c r="AB1642" s="111" t="inlineStr">
        <is>
          <t>NAO_COMPUTADO</t>
        </is>
      </c>
      <c r="AC1642" s="112" t="inlineStr">
        <is>
          <t>Estrutura Fase 1: sem impacto no VTA oficial</t>
        </is>
      </c>
    </row>
    <row r="1643" ht="25.5" customHeight="1" s="289">
      <c r="A1643" s="205" t="n"/>
      <c r="B1643" s="207" t="n"/>
      <c r="C1643" s="104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348" t="n"/>
      <c r="E1643" s="349">
        <f>IF(C1643="","",IFERROR(VLOOKUP(C1643,parametros!$A$11:$E$15,5,0),""))</f>
        <v/>
      </c>
      <c r="F1643" s="335">
        <f>IF(OR(D1643="",E1643=""),"",ROUND(D1643*E1643,2))</f>
        <v/>
      </c>
      <c r="G1643" s="106" t="n"/>
      <c r="H1643" s="350">
        <f>IF(G1643="Sim",IF(OR(F1643="",D1643="",L1643=""),"",IF(L1643="Sim",ROUND(F1643-D1643,2),0)),0)</f>
        <v/>
      </c>
      <c r="I1643" s="350">
        <f>IF(G1643="Sim",0,IF(OR(F1643="",L1643=""),"",F1643))</f>
        <v/>
      </c>
      <c r="J1643" s="350">
        <f>IF(G1643="Sim",0,IF(OR(F1643="",D1643="",L1643=""),"",IF(L1643="Sim",ROUND(F1643-D1643,2),0)))</f>
        <v/>
      </c>
      <c r="K1643" s="97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inlineStr">
        <is>
          <t>Nao</t>
        </is>
      </c>
      <c r="W1643" s="110" t="inlineStr">
        <is>
          <t>PC em analise</t>
        </is>
      </c>
      <c r="X1643" s="110" t="inlineStr">
        <is>
          <t>Pedido de Compra</t>
        </is>
      </c>
      <c r="Y1643" s="111" t="inlineStr">
        <is>
          <t>Impacto Potencial</t>
        </is>
      </c>
      <c r="Z1643" s="111" t="inlineStr">
        <is>
          <t>PC</t>
        </is>
      </c>
      <c r="AA1643" s="111" t="inlineStr">
        <is>
          <t>Nao</t>
        </is>
      </c>
      <c r="AB1643" s="111" t="inlineStr">
        <is>
          <t>NAO_COMPUTADO</t>
        </is>
      </c>
      <c r="AC1643" s="112" t="inlineStr">
        <is>
          <t>Estrutura Fase 1: sem impacto no VTA oficial</t>
        </is>
      </c>
    </row>
    <row r="1644" ht="25.5" customHeight="1" s="289">
      <c r="A1644" s="205" t="n"/>
      <c r="B1644" s="207" t="n"/>
      <c r="C1644" s="104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348" t="n"/>
      <c r="E1644" s="349">
        <f>IF(C1644="","",IFERROR(VLOOKUP(C1644,parametros!$A$11:$E$15,5,0),""))</f>
        <v/>
      </c>
      <c r="F1644" s="335">
        <f>IF(OR(D1644="",E1644=""),"",ROUND(D1644*E1644,2))</f>
        <v/>
      </c>
      <c r="G1644" s="106" t="n"/>
      <c r="H1644" s="350">
        <f>IF(G1644="Sim",IF(OR(F1644="",D1644="",L1644=""),"",IF(L1644="Sim",ROUND(F1644-D1644,2),0)),0)</f>
        <v/>
      </c>
      <c r="I1644" s="350">
        <f>IF(G1644="Sim",0,IF(OR(F1644="",L1644=""),"",F1644))</f>
        <v/>
      </c>
      <c r="J1644" s="350">
        <f>IF(G1644="Sim",0,IF(OR(F1644="",D1644="",L1644=""),"",IF(L1644="Sim",ROUND(F1644-D1644,2),0)))</f>
        <v/>
      </c>
      <c r="K1644" s="97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inlineStr">
        <is>
          <t>Nao</t>
        </is>
      </c>
      <c r="W1644" s="110" t="inlineStr">
        <is>
          <t>PC em analise</t>
        </is>
      </c>
      <c r="X1644" s="110" t="inlineStr">
        <is>
          <t>Pedido de Compra</t>
        </is>
      </c>
      <c r="Y1644" s="111" t="inlineStr">
        <is>
          <t>Impacto Potencial</t>
        </is>
      </c>
      <c r="Z1644" s="111" t="inlineStr">
        <is>
          <t>PC</t>
        </is>
      </c>
      <c r="AA1644" s="111" t="inlineStr">
        <is>
          <t>Nao</t>
        </is>
      </c>
      <c r="AB1644" s="111" t="inlineStr">
        <is>
          <t>NAO_COMPUTADO</t>
        </is>
      </c>
      <c r="AC1644" s="112" t="inlineStr">
        <is>
          <t>Estrutura Fase 1: sem impacto no VTA oficial</t>
        </is>
      </c>
    </row>
    <row r="1645" ht="25.5" customHeight="1" s="289">
      <c r="A1645" s="205" t="n"/>
      <c r="B1645" s="207" t="n"/>
      <c r="C1645" s="104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348" t="n"/>
      <c r="E1645" s="349">
        <f>IF(C1645="","",IFERROR(VLOOKUP(C1645,parametros!$A$11:$E$15,5,0),""))</f>
        <v/>
      </c>
      <c r="F1645" s="335">
        <f>IF(OR(D1645="",E1645=""),"",ROUND(D1645*E1645,2))</f>
        <v/>
      </c>
      <c r="G1645" s="106" t="n"/>
      <c r="H1645" s="350">
        <f>IF(G1645="Sim",IF(OR(F1645="",D1645="",L1645=""),"",IF(L1645="Sim",ROUND(F1645-D1645,2),0)),0)</f>
        <v/>
      </c>
      <c r="I1645" s="350">
        <f>IF(G1645="Sim",0,IF(OR(F1645="",L1645=""),"",F1645))</f>
        <v/>
      </c>
      <c r="J1645" s="350">
        <f>IF(G1645="Sim",0,IF(OR(F1645="",D1645="",L1645=""),"",IF(L1645="Sim",ROUND(F1645-D1645,2),0)))</f>
        <v/>
      </c>
      <c r="K1645" s="97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inlineStr">
        <is>
          <t>Nao</t>
        </is>
      </c>
      <c r="W1645" s="110" t="inlineStr">
        <is>
          <t>PC em analise</t>
        </is>
      </c>
      <c r="X1645" s="110" t="inlineStr">
        <is>
          <t>Pedido de Compra</t>
        </is>
      </c>
      <c r="Y1645" s="111" t="inlineStr">
        <is>
          <t>Impacto Potencial</t>
        </is>
      </c>
      <c r="Z1645" s="111" t="inlineStr">
        <is>
          <t>PC</t>
        </is>
      </c>
      <c r="AA1645" s="111" t="inlineStr">
        <is>
          <t>Nao</t>
        </is>
      </c>
      <c r="AB1645" s="111" t="inlineStr">
        <is>
          <t>NAO_COMPUTADO</t>
        </is>
      </c>
      <c r="AC1645" s="112" t="inlineStr">
        <is>
          <t>Estrutura Fase 1: sem impacto no VTA oficial</t>
        </is>
      </c>
    </row>
    <row r="1646" ht="25.5" customHeight="1" s="289">
      <c r="A1646" s="205" t="n"/>
      <c r="B1646" s="207" t="n"/>
      <c r="C1646" s="104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348" t="n"/>
      <c r="E1646" s="349">
        <f>IF(C1646="","",IFERROR(VLOOKUP(C1646,parametros!$A$11:$E$15,5,0),""))</f>
        <v/>
      </c>
      <c r="F1646" s="335">
        <f>IF(OR(D1646="",E1646=""),"",ROUND(D1646*E1646,2))</f>
        <v/>
      </c>
      <c r="G1646" s="106" t="n"/>
      <c r="H1646" s="350">
        <f>IF(G1646="Sim",IF(OR(F1646="",D1646="",L1646=""),"",IF(L1646="Sim",ROUND(F1646-D1646,2),0)),0)</f>
        <v/>
      </c>
      <c r="I1646" s="350">
        <f>IF(G1646="Sim",0,IF(OR(F1646="",L1646=""),"",F1646))</f>
        <v/>
      </c>
      <c r="J1646" s="350">
        <f>IF(G1646="Sim",0,IF(OR(F1646="",D1646="",L1646=""),"",IF(L1646="Sim",ROUND(F1646-D1646,2),0)))</f>
        <v/>
      </c>
      <c r="K1646" s="97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inlineStr">
        <is>
          <t>Nao</t>
        </is>
      </c>
      <c r="W1646" s="110" t="inlineStr">
        <is>
          <t>PC em analise</t>
        </is>
      </c>
      <c r="X1646" s="110" t="inlineStr">
        <is>
          <t>Pedido de Compra</t>
        </is>
      </c>
      <c r="Y1646" s="111" t="inlineStr">
        <is>
          <t>Impacto Potencial</t>
        </is>
      </c>
      <c r="Z1646" s="111" t="inlineStr">
        <is>
          <t>PC</t>
        </is>
      </c>
      <c r="AA1646" s="111" t="inlineStr">
        <is>
          <t>Nao</t>
        </is>
      </c>
      <c r="AB1646" s="111" t="inlineStr">
        <is>
          <t>NAO_COMPUTADO</t>
        </is>
      </c>
      <c r="AC1646" s="112" t="inlineStr">
        <is>
          <t>Estrutura Fase 1: sem impacto no VTA oficial</t>
        </is>
      </c>
    </row>
    <row r="1647" ht="25.5" customHeight="1" s="289">
      <c r="A1647" s="205" t="n"/>
      <c r="B1647" s="207" t="n"/>
      <c r="C1647" s="104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348" t="n"/>
      <c r="E1647" s="349">
        <f>IF(C1647="","",IFERROR(VLOOKUP(C1647,parametros!$A$11:$E$15,5,0),""))</f>
        <v/>
      </c>
      <c r="F1647" s="335">
        <f>IF(OR(D1647="",E1647=""),"",ROUND(D1647*E1647,2))</f>
        <v/>
      </c>
      <c r="G1647" s="106" t="n"/>
      <c r="H1647" s="350">
        <f>IF(G1647="Sim",IF(OR(F1647="",D1647="",L1647=""),"",IF(L1647="Sim",ROUND(F1647-D1647,2),0)),0)</f>
        <v/>
      </c>
      <c r="I1647" s="350">
        <f>IF(G1647="Sim",0,IF(OR(F1647="",L1647=""),"",F1647))</f>
        <v/>
      </c>
      <c r="J1647" s="350">
        <f>IF(G1647="Sim",0,IF(OR(F1647="",D1647="",L1647=""),"",IF(L1647="Sim",ROUND(F1647-D1647,2),0)))</f>
        <v/>
      </c>
      <c r="K1647" s="97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inlineStr">
        <is>
          <t>Nao</t>
        </is>
      </c>
      <c r="W1647" s="110" t="inlineStr">
        <is>
          <t>PC em analise</t>
        </is>
      </c>
      <c r="X1647" s="110" t="inlineStr">
        <is>
          <t>Pedido de Compra</t>
        </is>
      </c>
      <c r="Y1647" s="111" t="inlineStr">
        <is>
          <t>Impacto Potencial</t>
        </is>
      </c>
      <c r="Z1647" s="111" t="inlineStr">
        <is>
          <t>PC</t>
        </is>
      </c>
      <c r="AA1647" s="111" t="inlineStr">
        <is>
          <t>Nao</t>
        </is>
      </c>
      <c r="AB1647" s="111" t="inlineStr">
        <is>
          <t>NAO_COMPUTADO</t>
        </is>
      </c>
      <c r="AC1647" s="112" t="inlineStr">
        <is>
          <t>Estrutura Fase 1: sem impacto no VTA oficial</t>
        </is>
      </c>
    </row>
    <row r="1648" ht="25.5" customHeight="1" s="289">
      <c r="A1648" s="205" t="n"/>
      <c r="B1648" s="207" t="n"/>
      <c r="C1648" s="104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348" t="n"/>
      <c r="E1648" s="349">
        <f>IF(C1648="","",IFERROR(VLOOKUP(C1648,parametros!$A$11:$E$15,5,0),""))</f>
        <v/>
      </c>
      <c r="F1648" s="335">
        <f>IF(OR(D1648="",E1648=""),"",ROUND(D1648*E1648,2))</f>
        <v/>
      </c>
      <c r="G1648" s="106" t="n"/>
      <c r="H1648" s="350">
        <f>IF(G1648="Sim",IF(OR(F1648="",D1648="",L1648=""),"",IF(L1648="Sim",ROUND(F1648-D1648,2),0)),0)</f>
        <v/>
      </c>
      <c r="I1648" s="350">
        <f>IF(G1648="Sim",0,IF(OR(F1648="",L1648=""),"",F1648))</f>
        <v/>
      </c>
      <c r="J1648" s="350">
        <f>IF(G1648="Sim",0,IF(OR(F1648="",D1648="",L1648=""),"",IF(L1648="Sim",ROUND(F1648-D1648,2),0)))</f>
        <v/>
      </c>
      <c r="K1648" s="97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inlineStr">
        <is>
          <t>Nao</t>
        </is>
      </c>
      <c r="W1648" s="110" t="inlineStr">
        <is>
          <t>PC em analise</t>
        </is>
      </c>
      <c r="X1648" s="110" t="inlineStr">
        <is>
          <t>Pedido de Compra</t>
        </is>
      </c>
      <c r="Y1648" s="111" t="inlineStr">
        <is>
          <t>Impacto Potencial</t>
        </is>
      </c>
      <c r="Z1648" s="111" t="inlineStr">
        <is>
          <t>PC</t>
        </is>
      </c>
      <c r="AA1648" s="111" t="inlineStr">
        <is>
          <t>Nao</t>
        </is>
      </c>
      <c r="AB1648" s="111" t="inlineStr">
        <is>
          <t>NAO_COMPUTADO</t>
        </is>
      </c>
      <c r="AC1648" s="112" t="inlineStr">
        <is>
          <t>Estrutura Fase 1: sem impacto no VTA oficial</t>
        </is>
      </c>
    </row>
    <row r="1649" ht="25.5" customHeight="1" s="289">
      <c r="A1649" s="205" t="n"/>
      <c r="B1649" s="207" t="n"/>
      <c r="C1649" s="104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348" t="n"/>
      <c r="E1649" s="349">
        <f>IF(C1649="","",IFERROR(VLOOKUP(C1649,parametros!$A$11:$E$15,5,0),""))</f>
        <v/>
      </c>
      <c r="F1649" s="335">
        <f>IF(OR(D1649="",E1649=""),"",ROUND(D1649*E1649,2))</f>
        <v/>
      </c>
      <c r="G1649" s="106" t="n"/>
      <c r="H1649" s="350">
        <f>IF(G1649="Sim",IF(OR(F1649="",D1649="",L1649=""),"",IF(L1649="Sim",ROUND(F1649-D1649,2),0)),0)</f>
        <v/>
      </c>
      <c r="I1649" s="350">
        <f>IF(G1649="Sim",0,IF(OR(F1649="",L1649=""),"",F1649))</f>
        <v/>
      </c>
      <c r="J1649" s="350">
        <f>IF(G1649="Sim",0,IF(OR(F1649="",D1649="",L1649=""),"",IF(L1649="Sim",ROUND(F1649-D1649,2),0)))</f>
        <v/>
      </c>
      <c r="K1649" s="97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inlineStr">
        <is>
          <t>Nao</t>
        </is>
      </c>
      <c r="W1649" s="110" t="inlineStr">
        <is>
          <t>PC em analise</t>
        </is>
      </c>
      <c r="X1649" s="110" t="inlineStr">
        <is>
          <t>Pedido de Compra</t>
        </is>
      </c>
      <c r="Y1649" s="111" t="inlineStr">
        <is>
          <t>Impacto Potencial</t>
        </is>
      </c>
      <c r="Z1649" s="111" t="inlineStr">
        <is>
          <t>PC</t>
        </is>
      </c>
      <c r="AA1649" s="111" t="inlineStr">
        <is>
          <t>Nao</t>
        </is>
      </c>
      <c r="AB1649" s="111" t="inlineStr">
        <is>
          <t>NAO_COMPUTADO</t>
        </is>
      </c>
      <c r="AC1649" s="112" t="inlineStr">
        <is>
          <t>Estrutura Fase 1: sem impacto no VTA oficial</t>
        </is>
      </c>
    </row>
    <row r="1650" ht="25.5" customHeight="1" s="289">
      <c r="A1650" s="205" t="n"/>
      <c r="B1650" s="207" t="n"/>
      <c r="C1650" s="104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348" t="n"/>
      <c r="E1650" s="349">
        <f>IF(C1650="","",IFERROR(VLOOKUP(C1650,parametros!$A$11:$E$15,5,0),""))</f>
        <v/>
      </c>
      <c r="F1650" s="335">
        <f>IF(OR(D1650="",E1650=""),"",ROUND(D1650*E1650,2))</f>
        <v/>
      </c>
      <c r="G1650" s="106" t="n"/>
      <c r="H1650" s="350">
        <f>IF(G1650="Sim",IF(OR(F1650="",D1650="",L1650=""),"",IF(L1650="Sim",ROUND(F1650-D1650,2),0)),0)</f>
        <v/>
      </c>
      <c r="I1650" s="350">
        <f>IF(G1650="Sim",0,IF(OR(F1650="",L1650=""),"",F1650))</f>
        <v/>
      </c>
      <c r="J1650" s="350">
        <f>IF(G1650="Sim",0,IF(OR(F1650="",D1650="",L1650=""),"",IF(L1650="Sim",ROUND(F1650-D1650,2),0)))</f>
        <v/>
      </c>
      <c r="K1650" s="97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inlineStr">
        <is>
          <t>Nao</t>
        </is>
      </c>
      <c r="W1650" s="110" t="inlineStr">
        <is>
          <t>PC em analise</t>
        </is>
      </c>
      <c r="X1650" s="110" t="inlineStr">
        <is>
          <t>Pedido de Compra</t>
        </is>
      </c>
      <c r="Y1650" s="111" t="inlineStr">
        <is>
          <t>Impacto Potencial</t>
        </is>
      </c>
      <c r="Z1650" s="111" t="inlineStr">
        <is>
          <t>PC</t>
        </is>
      </c>
      <c r="AA1650" s="111" t="inlineStr">
        <is>
          <t>Nao</t>
        </is>
      </c>
      <c r="AB1650" s="111" t="inlineStr">
        <is>
          <t>NAO_COMPUTADO</t>
        </is>
      </c>
      <c r="AC1650" s="112" t="inlineStr">
        <is>
          <t>Estrutura Fase 1: sem impacto no VTA oficial</t>
        </is>
      </c>
    </row>
    <row r="1651" ht="25.5" customHeight="1" s="289">
      <c r="A1651" s="205" t="n"/>
      <c r="B1651" s="207" t="n"/>
      <c r="C1651" s="104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348" t="n"/>
      <c r="E1651" s="349">
        <f>IF(C1651="","",IFERROR(VLOOKUP(C1651,parametros!$A$11:$E$15,5,0),""))</f>
        <v/>
      </c>
      <c r="F1651" s="335">
        <f>IF(OR(D1651="",E1651=""),"",ROUND(D1651*E1651,2))</f>
        <v/>
      </c>
      <c r="G1651" s="106" t="n"/>
      <c r="H1651" s="350">
        <f>IF(G1651="Sim",IF(OR(F1651="",D1651="",L1651=""),"",IF(L1651="Sim",ROUND(F1651-D1651,2),0)),0)</f>
        <v/>
      </c>
      <c r="I1651" s="350">
        <f>IF(G1651="Sim",0,IF(OR(F1651="",L1651=""),"",F1651))</f>
        <v/>
      </c>
      <c r="J1651" s="350">
        <f>IF(G1651="Sim",0,IF(OR(F1651="",D1651="",L1651=""),"",IF(L1651="Sim",ROUND(F1651-D1651,2),0)))</f>
        <v/>
      </c>
      <c r="K1651" s="97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inlineStr">
        <is>
          <t>Nao</t>
        </is>
      </c>
      <c r="W1651" s="110" t="inlineStr">
        <is>
          <t>PC em analise</t>
        </is>
      </c>
      <c r="X1651" s="110" t="inlineStr">
        <is>
          <t>Pedido de Compra</t>
        </is>
      </c>
      <c r="Y1651" s="111" t="inlineStr">
        <is>
          <t>Impacto Potencial</t>
        </is>
      </c>
      <c r="Z1651" s="111" t="inlineStr">
        <is>
          <t>PC</t>
        </is>
      </c>
      <c r="AA1651" s="111" t="inlineStr">
        <is>
          <t>Nao</t>
        </is>
      </c>
      <c r="AB1651" s="111" t="inlineStr">
        <is>
          <t>NAO_COMPUTADO</t>
        </is>
      </c>
      <c r="AC1651" s="112" t="inlineStr">
        <is>
          <t>Estrutura Fase 1: sem impacto no VTA oficial</t>
        </is>
      </c>
    </row>
    <row r="1652" ht="25.5" customHeight="1" s="289">
      <c r="A1652" s="205" t="n"/>
      <c r="B1652" s="207" t="n"/>
      <c r="C1652" s="104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348" t="n"/>
      <c r="E1652" s="349">
        <f>IF(C1652="","",IFERROR(VLOOKUP(C1652,parametros!$A$11:$E$15,5,0),""))</f>
        <v/>
      </c>
      <c r="F1652" s="335">
        <f>IF(OR(D1652="",E1652=""),"",ROUND(D1652*E1652,2))</f>
        <v/>
      </c>
      <c r="G1652" s="106" t="n"/>
      <c r="H1652" s="350">
        <f>IF(G1652="Sim",IF(OR(F1652="",D1652="",L1652=""),"",IF(L1652="Sim",ROUND(F1652-D1652,2),0)),0)</f>
        <v/>
      </c>
      <c r="I1652" s="350">
        <f>IF(G1652="Sim",0,IF(OR(F1652="",L1652=""),"",F1652))</f>
        <v/>
      </c>
      <c r="J1652" s="350">
        <f>IF(G1652="Sim",0,IF(OR(F1652="",D1652="",L1652=""),"",IF(L1652="Sim",ROUND(F1652-D1652,2),0)))</f>
        <v/>
      </c>
      <c r="K1652" s="97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inlineStr">
        <is>
          <t>Nao</t>
        </is>
      </c>
      <c r="W1652" s="110" t="inlineStr">
        <is>
          <t>PC em analise</t>
        </is>
      </c>
      <c r="X1652" s="110" t="inlineStr">
        <is>
          <t>Pedido de Compra</t>
        </is>
      </c>
      <c r="Y1652" s="111" t="inlineStr">
        <is>
          <t>Impacto Potencial</t>
        </is>
      </c>
      <c r="Z1652" s="111" t="inlineStr">
        <is>
          <t>PC</t>
        </is>
      </c>
      <c r="AA1652" s="111" t="inlineStr">
        <is>
          <t>Nao</t>
        </is>
      </c>
      <c r="AB1652" s="111" t="inlineStr">
        <is>
          <t>NAO_COMPUTADO</t>
        </is>
      </c>
      <c r="AC1652" s="112" t="inlineStr">
        <is>
          <t>Estrutura Fase 1: sem impacto no VTA oficial</t>
        </is>
      </c>
    </row>
    <row r="1653" ht="25.5" customHeight="1" s="289">
      <c r="A1653" s="205" t="n"/>
      <c r="B1653" s="207" t="n"/>
      <c r="C1653" s="104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348" t="n"/>
      <c r="E1653" s="349">
        <f>IF(C1653="","",IFERROR(VLOOKUP(C1653,parametros!$A$11:$E$15,5,0),""))</f>
        <v/>
      </c>
      <c r="F1653" s="335">
        <f>IF(OR(D1653="",E1653=""),"",ROUND(D1653*E1653,2))</f>
        <v/>
      </c>
      <c r="G1653" s="106" t="n"/>
      <c r="H1653" s="350">
        <f>IF(G1653="Sim",IF(OR(F1653="",D1653="",L1653=""),"",IF(L1653="Sim",ROUND(F1653-D1653,2),0)),0)</f>
        <v/>
      </c>
      <c r="I1653" s="350">
        <f>IF(G1653="Sim",0,IF(OR(F1653="",L1653=""),"",F1653))</f>
        <v/>
      </c>
      <c r="J1653" s="350">
        <f>IF(G1653="Sim",0,IF(OR(F1653="",D1653="",L1653=""),"",IF(L1653="Sim",ROUND(F1653-D1653,2),0)))</f>
        <v/>
      </c>
      <c r="K1653" s="97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inlineStr">
        <is>
          <t>Nao</t>
        </is>
      </c>
      <c r="W1653" s="110" t="inlineStr">
        <is>
          <t>PC em analise</t>
        </is>
      </c>
      <c r="X1653" s="110" t="inlineStr">
        <is>
          <t>Pedido de Compra</t>
        </is>
      </c>
      <c r="Y1653" s="111" t="inlineStr">
        <is>
          <t>Impacto Potencial</t>
        </is>
      </c>
      <c r="Z1653" s="111" t="inlineStr">
        <is>
          <t>PC</t>
        </is>
      </c>
      <c r="AA1653" s="111" t="inlineStr">
        <is>
          <t>Nao</t>
        </is>
      </c>
      <c r="AB1653" s="111" t="inlineStr">
        <is>
          <t>NAO_COMPUTADO</t>
        </is>
      </c>
      <c r="AC1653" s="112" t="inlineStr">
        <is>
          <t>Estrutura Fase 1: sem impacto no VTA oficial</t>
        </is>
      </c>
    </row>
    <row r="1654" ht="25.5" customHeight="1" s="289">
      <c r="A1654" s="205" t="n"/>
      <c r="B1654" s="207" t="n"/>
      <c r="C1654" s="104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348" t="n"/>
      <c r="E1654" s="349">
        <f>IF(C1654="","",IFERROR(VLOOKUP(C1654,parametros!$A$11:$E$15,5,0),""))</f>
        <v/>
      </c>
      <c r="F1654" s="335">
        <f>IF(OR(D1654="",E1654=""),"",ROUND(D1654*E1654,2))</f>
        <v/>
      </c>
      <c r="G1654" s="106" t="n"/>
      <c r="H1654" s="350">
        <f>IF(G1654="Sim",IF(OR(F1654="",D1654="",L1654=""),"",IF(L1654="Sim",ROUND(F1654-D1654,2),0)),0)</f>
        <v/>
      </c>
      <c r="I1654" s="350">
        <f>IF(G1654="Sim",0,IF(OR(F1654="",L1654=""),"",F1654))</f>
        <v/>
      </c>
      <c r="J1654" s="350">
        <f>IF(G1654="Sim",0,IF(OR(F1654="",D1654="",L1654=""),"",IF(L1654="Sim",ROUND(F1654-D1654,2),0)))</f>
        <v/>
      </c>
      <c r="K1654" s="97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inlineStr">
        <is>
          <t>Nao</t>
        </is>
      </c>
      <c r="W1654" s="110" t="inlineStr">
        <is>
          <t>PC em analise</t>
        </is>
      </c>
      <c r="X1654" s="110" t="inlineStr">
        <is>
          <t>Pedido de Compra</t>
        </is>
      </c>
      <c r="Y1654" s="111" t="inlineStr">
        <is>
          <t>Impacto Potencial</t>
        </is>
      </c>
      <c r="Z1654" s="111" t="inlineStr">
        <is>
          <t>PC</t>
        </is>
      </c>
      <c r="AA1654" s="111" t="inlineStr">
        <is>
          <t>Nao</t>
        </is>
      </c>
      <c r="AB1654" s="111" t="inlineStr">
        <is>
          <t>NAO_COMPUTADO</t>
        </is>
      </c>
      <c r="AC1654" s="112" t="inlineStr">
        <is>
          <t>Estrutura Fase 1: sem impacto no VTA oficial</t>
        </is>
      </c>
    </row>
    <row r="1655" ht="25.5" customHeight="1" s="289">
      <c r="A1655" s="205" t="n"/>
      <c r="B1655" s="207" t="n"/>
      <c r="C1655" s="104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348" t="n"/>
      <c r="E1655" s="349">
        <f>IF(C1655="","",IFERROR(VLOOKUP(C1655,parametros!$A$11:$E$15,5,0),""))</f>
        <v/>
      </c>
      <c r="F1655" s="335">
        <f>IF(OR(D1655="",E1655=""),"",ROUND(D1655*E1655,2))</f>
        <v/>
      </c>
      <c r="G1655" s="106" t="n"/>
      <c r="H1655" s="350">
        <f>IF(G1655="Sim",IF(OR(F1655="",D1655="",L1655=""),"",IF(L1655="Sim",ROUND(F1655-D1655,2),0)),0)</f>
        <v/>
      </c>
      <c r="I1655" s="350">
        <f>IF(G1655="Sim",0,IF(OR(F1655="",L1655=""),"",F1655))</f>
        <v/>
      </c>
      <c r="J1655" s="350">
        <f>IF(G1655="Sim",0,IF(OR(F1655="",D1655="",L1655=""),"",IF(L1655="Sim",ROUND(F1655-D1655,2),0)))</f>
        <v/>
      </c>
      <c r="K1655" s="97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inlineStr">
        <is>
          <t>Nao</t>
        </is>
      </c>
      <c r="W1655" s="110" t="inlineStr">
        <is>
          <t>PC em analise</t>
        </is>
      </c>
      <c r="X1655" s="110" t="inlineStr">
        <is>
          <t>Pedido de Compra</t>
        </is>
      </c>
      <c r="Y1655" s="111" t="inlineStr">
        <is>
          <t>Impacto Potencial</t>
        </is>
      </c>
      <c r="Z1655" s="111" t="inlineStr">
        <is>
          <t>PC</t>
        </is>
      </c>
      <c r="AA1655" s="111" t="inlineStr">
        <is>
          <t>Nao</t>
        </is>
      </c>
      <c r="AB1655" s="111" t="inlineStr">
        <is>
          <t>NAO_COMPUTADO</t>
        </is>
      </c>
      <c r="AC1655" s="112" t="inlineStr">
        <is>
          <t>Estrutura Fase 1: sem impacto no VTA oficial</t>
        </is>
      </c>
    </row>
    <row r="1656" ht="25.5" customHeight="1" s="289">
      <c r="A1656" s="205" t="n"/>
      <c r="B1656" s="207" t="n"/>
      <c r="C1656" s="104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348" t="n"/>
      <c r="E1656" s="349">
        <f>IF(C1656="","",IFERROR(VLOOKUP(C1656,parametros!$A$11:$E$15,5,0),""))</f>
        <v/>
      </c>
      <c r="F1656" s="335">
        <f>IF(OR(D1656="",E1656=""),"",ROUND(D1656*E1656,2))</f>
        <v/>
      </c>
      <c r="G1656" s="106" t="n"/>
      <c r="H1656" s="350">
        <f>IF(G1656="Sim",IF(OR(F1656="",D1656="",L1656=""),"",IF(L1656="Sim",ROUND(F1656-D1656,2),0)),0)</f>
        <v/>
      </c>
      <c r="I1656" s="350">
        <f>IF(G1656="Sim",0,IF(OR(F1656="",L1656=""),"",F1656))</f>
        <v/>
      </c>
      <c r="J1656" s="350">
        <f>IF(G1656="Sim",0,IF(OR(F1656="",D1656="",L1656=""),"",IF(L1656="Sim",ROUND(F1656-D1656,2),0)))</f>
        <v/>
      </c>
      <c r="K1656" s="97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inlineStr">
        <is>
          <t>Nao</t>
        </is>
      </c>
      <c r="W1656" s="110" t="inlineStr">
        <is>
          <t>PC em analise</t>
        </is>
      </c>
      <c r="X1656" s="110" t="inlineStr">
        <is>
          <t>Pedido de Compra</t>
        </is>
      </c>
      <c r="Y1656" s="111" t="inlineStr">
        <is>
          <t>Impacto Potencial</t>
        </is>
      </c>
      <c r="Z1656" s="111" t="inlineStr">
        <is>
          <t>PC</t>
        </is>
      </c>
      <c r="AA1656" s="111" t="inlineStr">
        <is>
          <t>Nao</t>
        </is>
      </c>
      <c r="AB1656" s="111" t="inlineStr">
        <is>
          <t>NAO_COMPUTADO</t>
        </is>
      </c>
      <c r="AC1656" s="112" t="inlineStr">
        <is>
          <t>Estrutura Fase 1: sem impacto no VTA oficial</t>
        </is>
      </c>
    </row>
    <row r="1657" ht="25.5" customHeight="1" s="289">
      <c r="A1657" s="205" t="n"/>
      <c r="B1657" s="207" t="n"/>
      <c r="C1657" s="104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348" t="n"/>
      <c r="E1657" s="349">
        <f>IF(C1657="","",IFERROR(VLOOKUP(C1657,parametros!$A$11:$E$15,5,0),""))</f>
        <v/>
      </c>
      <c r="F1657" s="335">
        <f>IF(OR(D1657="",E1657=""),"",ROUND(D1657*E1657,2))</f>
        <v/>
      </c>
      <c r="G1657" s="106" t="n"/>
      <c r="H1657" s="350">
        <f>IF(G1657="Sim",IF(OR(F1657="",D1657="",L1657=""),"",IF(L1657="Sim",ROUND(F1657-D1657,2),0)),0)</f>
        <v/>
      </c>
      <c r="I1657" s="350">
        <f>IF(G1657="Sim",0,IF(OR(F1657="",L1657=""),"",F1657))</f>
        <v/>
      </c>
      <c r="J1657" s="350">
        <f>IF(G1657="Sim",0,IF(OR(F1657="",D1657="",L1657=""),"",IF(L1657="Sim",ROUND(F1657-D1657,2),0)))</f>
        <v/>
      </c>
      <c r="K1657" s="97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inlineStr">
        <is>
          <t>Nao</t>
        </is>
      </c>
      <c r="W1657" s="110" t="inlineStr">
        <is>
          <t>PC em analise</t>
        </is>
      </c>
      <c r="X1657" s="110" t="inlineStr">
        <is>
          <t>Pedido de Compra</t>
        </is>
      </c>
      <c r="Y1657" s="111" t="inlineStr">
        <is>
          <t>Impacto Potencial</t>
        </is>
      </c>
      <c r="Z1657" s="111" t="inlineStr">
        <is>
          <t>PC</t>
        </is>
      </c>
      <c r="AA1657" s="111" t="inlineStr">
        <is>
          <t>Nao</t>
        </is>
      </c>
      <c r="AB1657" s="111" t="inlineStr">
        <is>
          <t>NAO_COMPUTADO</t>
        </is>
      </c>
      <c r="AC1657" s="112" t="inlineStr">
        <is>
          <t>Estrutura Fase 1: sem impacto no VTA oficial</t>
        </is>
      </c>
    </row>
    <row r="1658" ht="25.5" customHeight="1" s="289">
      <c r="A1658" s="205" t="n"/>
      <c r="B1658" s="207" t="n"/>
      <c r="C1658" s="104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348" t="n"/>
      <c r="E1658" s="349">
        <f>IF(C1658="","",IFERROR(VLOOKUP(C1658,parametros!$A$11:$E$15,5,0),""))</f>
        <v/>
      </c>
      <c r="F1658" s="335">
        <f>IF(OR(D1658="",E1658=""),"",ROUND(D1658*E1658,2))</f>
        <v/>
      </c>
      <c r="G1658" s="106" t="n"/>
      <c r="H1658" s="350">
        <f>IF(G1658="Sim",IF(OR(F1658="",D1658="",L1658=""),"",IF(L1658="Sim",ROUND(F1658-D1658,2),0)),0)</f>
        <v/>
      </c>
      <c r="I1658" s="350">
        <f>IF(G1658="Sim",0,IF(OR(F1658="",L1658=""),"",F1658))</f>
        <v/>
      </c>
      <c r="J1658" s="350">
        <f>IF(G1658="Sim",0,IF(OR(F1658="",D1658="",L1658=""),"",IF(L1658="Sim",ROUND(F1658-D1658,2),0)))</f>
        <v/>
      </c>
      <c r="K1658" s="97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inlineStr">
        <is>
          <t>Nao</t>
        </is>
      </c>
      <c r="W1658" s="110" t="inlineStr">
        <is>
          <t>PC em analise</t>
        </is>
      </c>
      <c r="X1658" s="110" t="inlineStr">
        <is>
          <t>Pedido de Compra</t>
        </is>
      </c>
      <c r="Y1658" s="111" t="inlineStr">
        <is>
          <t>Impacto Potencial</t>
        </is>
      </c>
      <c r="Z1658" s="111" t="inlineStr">
        <is>
          <t>PC</t>
        </is>
      </c>
      <c r="AA1658" s="111" t="inlineStr">
        <is>
          <t>Nao</t>
        </is>
      </c>
      <c r="AB1658" s="111" t="inlineStr">
        <is>
          <t>NAO_COMPUTADO</t>
        </is>
      </c>
      <c r="AC1658" s="112" t="inlineStr">
        <is>
          <t>Estrutura Fase 1: sem impacto no VTA oficial</t>
        </is>
      </c>
    </row>
    <row r="1659" ht="25.5" customHeight="1" s="289">
      <c r="A1659" s="205" t="n"/>
      <c r="B1659" s="207" t="n"/>
      <c r="C1659" s="104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348" t="n"/>
      <c r="E1659" s="349">
        <f>IF(C1659="","",IFERROR(VLOOKUP(C1659,parametros!$A$11:$E$15,5,0),""))</f>
        <v/>
      </c>
      <c r="F1659" s="335">
        <f>IF(OR(D1659="",E1659=""),"",ROUND(D1659*E1659,2))</f>
        <v/>
      </c>
      <c r="G1659" s="106" t="n"/>
      <c r="H1659" s="350">
        <f>IF(G1659="Sim",IF(OR(F1659="",D1659="",L1659=""),"",IF(L1659="Sim",ROUND(F1659-D1659,2),0)),0)</f>
        <v/>
      </c>
      <c r="I1659" s="350">
        <f>IF(G1659="Sim",0,IF(OR(F1659="",L1659=""),"",F1659))</f>
        <v/>
      </c>
      <c r="J1659" s="350">
        <f>IF(G1659="Sim",0,IF(OR(F1659="",D1659="",L1659=""),"",IF(L1659="Sim",ROUND(F1659-D1659,2),0)))</f>
        <v/>
      </c>
      <c r="K1659" s="97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inlineStr">
        <is>
          <t>Nao</t>
        </is>
      </c>
      <c r="W1659" s="110" t="inlineStr">
        <is>
          <t>PC em analise</t>
        </is>
      </c>
      <c r="X1659" s="110" t="inlineStr">
        <is>
          <t>Pedido de Compra</t>
        </is>
      </c>
      <c r="Y1659" s="111" t="inlineStr">
        <is>
          <t>Impacto Potencial</t>
        </is>
      </c>
      <c r="Z1659" s="111" t="inlineStr">
        <is>
          <t>PC</t>
        </is>
      </c>
      <c r="AA1659" s="111" t="inlineStr">
        <is>
          <t>Nao</t>
        </is>
      </c>
      <c r="AB1659" s="111" t="inlineStr">
        <is>
          <t>NAO_COMPUTADO</t>
        </is>
      </c>
      <c r="AC1659" s="112" t="inlineStr">
        <is>
          <t>Estrutura Fase 1: sem impacto no VTA oficial</t>
        </is>
      </c>
    </row>
    <row r="1660" ht="25.5" customHeight="1" s="289">
      <c r="A1660" s="205" t="n"/>
      <c r="B1660" s="207" t="n"/>
      <c r="C1660" s="104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348" t="n"/>
      <c r="E1660" s="349">
        <f>IF(C1660="","",IFERROR(VLOOKUP(C1660,parametros!$A$11:$E$15,5,0),""))</f>
        <v/>
      </c>
      <c r="F1660" s="335">
        <f>IF(OR(D1660="",E1660=""),"",ROUND(D1660*E1660,2))</f>
        <v/>
      </c>
      <c r="G1660" s="106" t="n"/>
      <c r="H1660" s="350">
        <f>IF(G1660="Sim",IF(OR(F1660="",D1660="",L1660=""),"",IF(L1660="Sim",ROUND(F1660-D1660,2),0)),0)</f>
        <v/>
      </c>
      <c r="I1660" s="350">
        <f>IF(G1660="Sim",0,IF(OR(F1660="",L1660=""),"",F1660))</f>
        <v/>
      </c>
      <c r="J1660" s="350">
        <f>IF(G1660="Sim",0,IF(OR(F1660="",D1660="",L1660=""),"",IF(L1660="Sim",ROUND(F1660-D1660,2),0)))</f>
        <v/>
      </c>
      <c r="K1660" s="97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inlineStr">
        <is>
          <t>Nao</t>
        </is>
      </c>
      <c r="W1660" s="110" t="inlineStr">
        <is>
          <t>PC em analise</t>
        </is>
      </c>
      <c r="X1660" s="110" t="inlineStr">
        <is>
          <t>Pedido de Compra</t>
        </is>
      </c>
      <c r="Y1660" s="111" t="inlineStr">
        <is>
          <t>Impacto Potencial</t>
        </is>
      </c>
      <c r="Z1660" s="111" t="inlineStr">
        <is>
          <t>PC</t>
        </is>
      </c>
      <c r="AA1660" s="111" t="inlineStr">
        <is>
          <t>Nao</t>
        </is>
      </c>
      <c r="AB1660" s="111" t="inlineStr">
        <is>
          <t>NAO_COMPUTADO</t>
        </is>
      </c>
      <c r="AC1660" s="112" t="inlineStr">
        <is>
          <t>Estrutura Fase 1: sem impacto no VTA oficial</t>
        </is>
      </c>
    </row>
    <row r="1661" ht="25.5" customHeight="1" s="289">
      <c r="A1661" s="205" t="n"/>
      <c r="B1661" s="207" t="n"/>
      <c r="C1661" s="104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348" t="n"/>
      <c r="E1661" s="349">
        <f>IF(C1661="","",IFERROR(VLOOKUP(C1661,parametros!$A$11:$E$15,5,0),""))</f>
        <v/>
      </c>
      <c r="F1661" s="335">
        <f>IF(OR(D1661="",E1661=""),"",ROUND(D1661*E1661,2))</f>
        <v/>
      </c>
      <c r="G1661" s="106" t="n"/>
      <c r="H1661" s="350">
        <f>IF(G1661="Sim",IF(OR(F1661="",D1661="",L1661=""),"",IF(L1661="Sim",ROUND(F1661-D1661,2),0)),0)</f>
        <v/>
      </c>
      <c r="I1661" s="350">
        <f>IF(G1661="Sim",0,IF(OR(F1661="",L1661=""),"",F1661))</f>
        <v/>
      </c>
      <c r="J1661" s="350">
        <f>IF(G1661="Sim",0,IF(OR(F1661="",D1661="",L1661=""),"",IF(L1661="Sim",ROUND(F1661-D1661,2),0)))</f>
        <v/>
      </c>
      <c r="K1661" s="97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inlineStr">
        <is>
          <t>Nao</t>
        </is>
      </c>
      <c r="W1661" s="110" t="inlineStr">
        <is>
          <t>PC em analise</t>
        </is>
      </c>
      <c r="X1661" s="110" t="inlineStr">
        <is>
          <t>Pedido de Compra</t>
        </is>
      </c>
      <c r="Y1661" s="111" t="inlineStr">
        <is>
          <t>Impacto Potencial</t>
        </is>
      </c>
      <c r="Z1661" s="111" t="inlineStr">
        <is>
          <t>PC</t>
        </is>
      </c>
      <c r="AA1661" s="111" t="inlineStr">
        <is>
          <t>Nao</t>
        </is>
      </c>
      <c r="AB1661" s="111" t="inlineStr">
        <is>
          <t>NAO_COMPUTADO</t>
        </is>
      </c>
      <c r="AC1661" s="112" t="inlineStr">
        <is>
          <t>Estrutura Fase 1: sem impacto no VTA oficial</t>
        </is>
      </c>
    </row>
    <row r="1662" ht="25.5" customHeight="1" s="289">
      <c r="A1662" s="205" t="n"/>
      <c r="B1662" s="207" t="n"/>
      <c r="C1662" s="104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348" t="n"/>
      <c r="E1662" s="349">
        <f>IF(C1662="","",IFERROR(VLOOKUP(C1662,parametros!$A$11:$E$15,5,0),""))</f>
        <v/>
      </c>
      <c r="F1662" s="335">
        <f>IF(OR(D1662="",E1662=""),"",ROUND(D1662*E1662,2))</f>
        <v/>
      </c>
      <c r="G1662" s="106" t="n"/>
      <c r="H1662" s="350">
        <f>IF(G1662="Sim",IF(OR(F1662="",D1662="",L1662=""),"",IF(L1662="Sim",ROUND(F1662-D1662,2),0)),0)</f>
        <v/>
      </c>
      <c r="I1662" s="350">
        <f>IF(G1662="Sim",0,IF(OR(F1662="",L1662=""),"",F1662))</f>
        <v/>
      </c>
      <c r="J1662" s="350">
        <f>IF(G1662="Sim",0,IF(OR(F1662="",D1662="",L1662=""),"",IF(L1662="Sim",ROUND(F1662-D1662,2),0)))</f>
        <v/>
      </c>
      <c r="K1662" s="97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inlineStr">
        <is>
          <t>Nao</t>
        </is>
      </c>
      <c r="W1662" s="110" t="inlineStr">
        <is>
          <t>PC em analise</t>
        </is>
      </c>
      <c r="X1662" s="110" t="inlineStr">
        <is>
          <t>Pedido de Compra</t>
        </is>
      </c>
      <c r="Y1662" s="111" t="inlineStr">
        <is>
          <t>Impacto Potencial</t>
        </is>
      </c>
      <c r="Z1662" s="111" t="inlineStr">
        <is>
          <t>PC</t>
        </is>
      </c>
      <c r="AA1662" s="111" t="inlineStr">
        <is>
          <t>Nao</t>
        </is>
      </c>
      <c r="AB1662" s="111" t="inlineStr">
        <is>
          <t>NAO_COMPUTADO</t>
        </is>
      </c>
      <c r="AC1662" s="112" t="inlineStr">
        <is>
          <t>Estrutura Fase 1: sem impacto no VTA oficial</t>
        </is>
      </c>
    </row>
    <row r="1663" ht="25.5" customHeight="1" s="289">
      <c r="A1663" s="205" t="n"/>
      <c r="B1663" s="207" t="n"/>
      <c r="C1663" s="104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348" t="n"/>
      <c r="E1663" s="349">
        <f>IF(C1663="","",IFERROR(VLOOKUP(C1663,parametros!$A$11:$E$15,5,0),""))</f>
        <v/>
      </c>
      <c r="F1663" s="335">
        <f>IF(OR(D1663="",E1663=""),"",ROUND(D1663*E1663,2))</f>
        <v/>
      </c>
      <c r="G1663" s="106" t="n"/>
      <c r="H1663" s="350">
        <f>IF(G1663="Sim",IF(OR(F1663="",D1663="",L1663=""),"",IF(L1663="Sim",ROUND(F1663-D1663,2),0)),0)</f>
        <v/>
      </c>
      <c r="I1663" s="350">
        <f>IF(G1663="Sim",0,IF(OR(F1663="",L1663=""),"",F1663))</f>
        <v/>
      </c>
      <c r="J1663" s="350">
        <f>IF(G1663="Sim",0,IF(OR(F1663="",D1663="",L1663=""),"",IF(L1663="Sim",ROUND(F1663-D1663,2),0)))</f>
        <v/>
      </c>
      <c r="K1663" s="97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inlineStr">
        <is>
          <t>Nao</t>
        </is>
      </c>
      <c r="W1663" s="110" t="inlineStr">
        <is>
          <t>PC em analise</t>
        </is>
      </c>
      <c r="X1663" s="110" t="inlineStr">
        <is>
          <t>Pedido de Compra</t>
        </is>
      </c>
      <c r="Y1663" s="111" t="inlineStr">
        <is>
          <t>Impacto Potencial</t>
        </is>
      </c>
      <c r="Z1663" s="111" t="inlineStr">
        <is>
          <t>PC</t>
        </is>
      </c>
      <c r="AA1663" s="111" t="inlineStr">
        <is>
          <t>Nao</t>
        </is>
      </c>
      <c r="AB1663" s="111" t="inlineStr">
        <is>
          <t>NAO_COMPUTADO</t>
        </is>
      </c>
      <c r="AC1663" s="112" t="inlineStr">
        <is>
          <t>Estrutura Fase 1: sem impacto no VTA oficial</t>
        </is>
      </c>
    </row>
    <row r="1664" ht="25.5" customHeight="1" s="289">
      <c r="A1664" s="205" t="n"/>
      <c r="B1664" s="207" t="n"/>
      <c r="C1664" s="104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348" t="n"/>
      <c r="E1664" s="349">
        <f>IF(C1664="","",IFERROR(VLOOKUP(C1664,parametros!$A$11:$E$15,5,0),""))</f>
        <v/>
      </c>
      <c r="F1664" s="335">
        <f>IF(OR(D1664="",E1664=""),"",ROUND(D1664*E1664,2))</f>
        <v/>
      </c>
      <c r="G1664" s="106" t="n"/>
      <c r="H1664" s="350">
        <f>IF(G1664="Sim",IF(OR(F1664="",D1664="",L1664=""),"",IF(L1664="Sim",ROUND(F1664-D1664,2),0)),0)</f>
        <v/>
      </c>
      <c r="I1664" s="350">
        <f>IF(G1664="Sim",0,IF(OR(F1664="",L1664=""),"",F1664))</f>
        <v/>
      </c>
      <c r="J1664" s="350">
        <f>IF(G1664="Sim",0,IF(OR(F1664="",D1664="",L1664=""),"",IF(L1664="Sim",ROUND(F1664-D1664,2),0)))</f>
        <v/>
      </c>
      <c r="K1664" s="97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inlineStr">
        <is>
          <t>Nao</t>
        </is>
      </c>
      <c r="W1664" s="110" t="inlineStr">
        <is>
          <t>PC em analise</t>
        </is>
      </c>
      <c r="X1664" s="110" t="inlineStr">
        <is>
          <t>Pedido de Compra</t>
        </is>
      </c>
      <c r="Y1664" s="111" t="inlineStr">
        <is>
          <t>Impacto Potencial</t>
        </is>
      </c>
      <c r="Z1664" s="111" t="inlineStr">
        <is>
          <t>PC</t>
        </is>
      </c>
      <c r="AA1664" s="111" t="inlineStr">
        <is>
          <t>Nao</t>
        </is>
      </c>
      <c r="AB1664" s="111" t="inlineStr">
        <is>
          <t>NAO_COMPUTADO</t>
        </is>
      </c>
      <c r="AC1664" s="112" t="inlineStr">
        <is>
          <t>Estrutura Fase 1: sem impacto no VTA oficial</t>
        </is>
      </c>
    </row>
    <row r="1665" ht="25.5" customHeight="1" s="289">
      <c r="A1665" s="205" t="n"/>
      <c r="B1665" s="207" t="n"/>
      <c r="C1665" s="104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348" t="n"/>
      <c r="E1665" s="349">
        <f>IF(C1665="","",IFERROR(VLOOKUP(C1665,parametros!$A$11:$E$15,5,0),""))</f>
        <v/>
      </c>
      <c r="F1665" s="335">
        <f>IF(OR(D1665="",E1665=""),"",ROUND(D1665*E1665,2))</f>
        <v/>
      </c>
      <c r="G1665" s="106" t="n"/>
      <c r="H1665" s="350">
        <f>IF(G1665="Sim",IF(OR(F1665="",D1665="",L1665=""),"",IF(L1665="Sim",ROUND(F1665-D1665,2),0)),0)</f>
        <v/>
      </c>
      <c r="I1665" s="350">
        <f>IF(G1665="Sim",0,IF(OR(F1665="",L1665=""),"",F1665))</f>
        <v/>
      </c>
      <c r="J1665" s="350">
        <f>IF(G1665="Sim",0,IF(OR(F1665="",D1665="",L1665=""),"",IF(L1665="Sim",ROUND(F1665-D1665,2),0)))</f>
        <v/>
      </c>
      <c r="K1665" s="97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inlineStr">
        <is>
          <t>Nao</t>
        </is>
      </c>
      <c r="W1665" s="110" t="inlineStr">
        <is>
          <t>PC em analise</t>
        </is>
      </c>
      <c r="X1665" s="110" t="inlineStr">
        <is>
          <t>Pedido de Compra</t>
        </is>
      </c>
      <c r="Y1665" s="111" t="inlineStr">
        <is>
          <t>Impacto Potencial</t>
        </is>
      </c>
      <c r="Z1665" s="111" t="inlineStr">
        <is>
          <t>PC</t>
        </is>
      </c>
      <c r="AA1665" s="111" t="inlineStr">
        <is>
          <t>Nao</t>
        </is>
      </c>
      <c r="AB1665" s="111" t="inlineStr">
        <is>
          <t>NAO_COMPUTADO</t>
        </is>
      </c>
      <c r="AC1665" s="112" t="inlineStr">
        <is>
          <t>Estrutura Fase 1: sem impacto no VTA oficial</t>
        </is>
      </c>
    </row>
    <row r="1666" ht="25.5" customHeight="1" s="289">
      <c r="A1666" s="205" t="n"/>
      <c r="B1666" s="207" t="n"/>
      <c r="C1666" s="104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348" t="n"/>
      <c r="E1666" s="349">
        <f>IF(C1666="","",IFERROR(VLOOKUP(C1666,parametros!$A$11:$E$15,5,0),""))</f>
        <v/>
      </c>
      <c r="F1666" s="335">
        <f>IF(OR(D1666="",E1666=""),"",ROUND(D1666*E1666,2))</f>
        <v/>
      </c>
      <c r="G1666" s="106" t="n"/>
      <c r="H1666" s="350">
        <f>IF(G1666="Sim",IF(OR(F1666="",D1666="",L1666=""),"",IF(L1666="Sim",ROUND(F1666-D1666,2),0)),0)</f>
        <v/>
      </c>
      <c r="I1666" s="350">
        <f>IF(G1666="Sim",0,IF(OR(F1666="",L1666=""),"",F1666))</f>
        <v/>
      </c>
      <c r="J1666" s="350">
        <f>IF(G1666="Sim",0,IF(OR(F1666="",D1666="",L1666=""),"",IF(L1666="Sim",ROUND(F1666-D1666,2),0)))</f>
        <v/>
      </c>
      <c r="K1666" s="97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inlineStr">
        <is>
          <t>Nao</t>
        </is>
      </c>
      <c r="W1666" s="110" t="inlineStr">
        <is>
          <t>PC em analise</t>
        </is>
      </c>
      <c r="X1666" s="110" t="inlineStr">
        <is>
          <t>Pedido de Compra</t>
        </is>
      </c>
      <c r="Y1666" s="111" t="inlineStr">
        <is>
          <t>Impacto Potencial</t>
        </is>
      </c>
      <c r="Z1666" s="111" t="inlineStr">
        <is>
          <t>PC</t>
        </is>
      </c>
      <c r="AA1666" s="111" t="inlineStr">
        <is>
          <t>Nao</t>
        </is>
      </c>
      <c r="AB1666" s="111" t="inlineStr">
        <is>
          <t>NAO_COMPUTADO</t>
        </is>
      </c>
      <c r="AC1666" s="112" t="inlineStr">
        <is>
          <t>Estrutura Fase 1: sem impacto no VTA oficial</t>
        </is>
      </c>
    </row>
    <row r="1667" ht="25.5" customHeight="1" s="289">
      <c r="A1667" s="205" t="n"/>
      <c r="B1667" s="207" t="n"/>
      <c r="C1667" s="104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348" t="n"/>
      <c r="E1667" s="349">
        <f>IF(C1667="","",IFERROR(VLOOKUP(C1667,parametros!$A$11:$E$15,5,0),""))</f>
        <v/>
      </c>
      <c r="F1667" s="335">
        <f>IF(OR(D1667="",E1667=""),"",ROUND(D1667*E1667,2))</f>
        <v/>
      </c>
      <c r="G1667" s="106" t="n"/>
      <c r="H1667" s="350">
        <f>IF(G1667="Sim",IF(OR(F1667="",D1667="",L1667=""),"",IF(L1667="Sim",ROUND(F1667-D1667,2),0)),0)</f>
        <v/>
      </c>
      <c r="I1667" s="350">
        <f>IF(G1667="Sim",0,IF(OR(F1667="",L1667=""),"",F1667))</f>
        <v/>
      </c>
      <c r="J1667" s="350">
        <f>IF(G1667="Sim",0,IF(OR(F1667="",D1667="",L1667=""),"",IF(L1667="Sim",ROUND(F1667-D1667,2),0)))</f>
        <v/>
      </c>
      <c r="K1667" s="97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inlineStr">
        <is>
          <t>Nao</t>
        </is>
      </c>
      <c r="W1667" s="110" t="inlineStr">
        <is>
          <t>PC em analise</t>
        </is>
      </c>
      <c r="X1667" s="110" t="inlineStr">
        <is>
          <t>Pedido de Compra</t>
        </is>
      </c>
      <c r="Y1667" s="111" t="inlineStr">
        <is>
          <t>Impacto Potencial</t>
        </is>
      </c>
      <c r="Z1667" s="111" t="inlineStr">
        <is>
          <t>PC</t>
        </is>
      </c>
      <c r="AA1667" s="111" t="inlineStr">
        <is>
          <t>Nao</t>
        </is>
      </c>
      <c r="AB1667" s="111" t="inlineStr">
        <is>
          <t>NAO_COMPUTADO</t>
        </is>
      </c>
      <c r="AC1667" s="112" t="inlineStr">
        <is>
          <t>Estrutura Fase 1: sem impacto no VTA oficial</t>
        </is>
      </c>
    </row>
    <row r="1668" ht="25.5" customHeight="1" s="289">
      <c r="A1668" s="205" t="n"/>
      <c r="B1668" s="207" t="n"/>
      <c r="C1668" s="104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348" t="n"/>
      <c r="E1668" s="349">
        <f>IF(C1668="","",IFERROR(VLOOKUP(C1668,parametros!$A$11:$E$15,5,0),""))</f>
        <v/>
      </c>
      <c r="F1668" s="335">
        <f>IF(OR(D1668="",E1668=""),"",ROUND(D1668*E1668,2))</f>
        <v/>
      </c>
      <c r="G1668" s="106" t="n"/>
      <c r="H1668" s="350">
        <f>IF(G1668="Sim",IF(OR(F1668="",D1668="",L1668=""),"",IF(L1668="Sim",ROUND(F1668-D1668,2),0)),0)</f>
        <v/>
      </c>
      <c r="I1668" s="350">
        <f>IF(G1668="Sim",0,IF(OR(F1668="",L1668=""),"",F1668))</f>
        <v/>
      </c>
      <c r="J1668" s="350">
        <f>IF(G1668="Sim",0,IF(OR(F1668="",D1668="",L1668=""),"",IF(L1668="Sim",ROUND(F1668-D1668,2),0)))</f>
        <v/>
      </c>
      <c r="K1668" s="97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inlineStr">
        <is>
          <t>Nao</t>
        </is>
      </c>
      <c r="W1668" s="110" t="inlineStr">
        <is>
          <t>PC em analise</t>
        </is>
      </c>
      <c r="X1668" s="110" t="inlineStr">
        <is>
          <t>Pedido de Compra</t>
        </is>
      </c>
      <c r="Y1668" s="111" t="inlineStr">
        <is>
          <t>Impacto Potencial</t>
        </is>
      </c>
      <c r="Z1668" s="111" t="inlineStr">
        <is>
          <t>PC</t>
        </is>
      </c>
      <c r="AA1668" s="111" t="inlineStr">
        <is>
          <t>Nao</t>
        </is>
      </c>
      <c r="AB1668" s="111" t="inlineStr">
        <is>
          <t>NAO_COMPUTADO</t>
        </is>
      </c>
      <c r="AC1668" s="112" t="inlineStr">
        <is>
          <t>Estrutura Fase 1: sem impacto no VTA oficial</t>
        </is>
      </c>
    </row>
    <row r="1669" ht="25.5" customHeight="1" s="289">
      <c r="A1669" s="205" t="n"/>
      <c r="B1669" s="207" t="n"/>
      <c r="C1669" s="104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348" t="n"/>
      <c r="E1669" s="349">
        <f>IF(C1669="","",IFERROR(VLOOKUP(C1669,parametros!$A$11:$E$15,5,0),""))</f>
        <v/>
      </c>
      <c r="F1669" s="335">
        <f>IF(OR(D1669="",E1669=""),"",ROUND(D1669*E1669,2))</f>
        <v/>
      </c>
      <c r="G1669" s="106" t="n"/>
      <c r="H1669" s="350">
        <f>IF(G1669="Sim",IF(OR(F1669="",D1669="",L1669=""),"",IF(L1669="Sim",ROUND(F1669-D1669,2),0)),0)</f>
        <v/>
      </c>
      <c r="I1669" s="350">
        <f>IF(G1669="Sim",0,IF(OR(F1669="",L1669=""),"",F1669))</f>
        <v/>
      </c>
      <c r="J1669" s="350">
        <f>IF(G1669="Sim",0,IF(OR(F1669="",D1669="",L1669=""),"",IF(L1669="Sim",ROUND(F1669-D1669,2),0)))</f>
        <v/>
      </c>
      <c r="K1669" s="97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inlineStr">
        <is>
          <t>Nao</t>
        </is>
      </c>
      <c r="W1669" s="110" t="inlineStr">
        <is>
          <t>PC em analise</t>
        </is>
      </c>
      <c r="X1669" s="110" t="inlineStr">
        <is>
          <t>Pedido de Compra</t>
        </is>
      </c>
      <c r="Y1669" s="111" t="inlineStr">
        <is>
          <t>Impacto Potencial</t>
        </is>
      </c>
      <c r="Z1669" s="111" t="inlineStr">
        <is>
          <t>PC</t>
        </is>
      </c>
      <c r="AA1669" s="111" t="inlineStr">
        <is>
          <t>Nao</t>
        </is>
      </c>
      <c r="AB1669" s="111" t="inlineStr">
        <is>
          <t>NAO_COMPUTADO</t>
        </is>
      </c>
      <c r="AC1669" s="112" t="inlineStr">
        <is>
          <t>Estrutura Fase 1: sem impacto no VTA oficial</t>
        </is>
      </c>
    </row>
    <row r="1670" ht="25.5" customHeight="1" s="289">
      <c r="A1670" s="205" t="n"/>
      <c r="B1670" s="207" t="n"/>
      <c r="C1670" s="104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348" t="n"/>
      <c r="E1670" s="349">
        <f>IF(C1670="","",IFERROR(VLOOKUP(C1670,parametros!$A$11:$E$15,5,0),""))</f>
        <v/>
      </c>
      <c r="F1670" s="335">
        <f>IF(OR(D1670="",E1670=""),"",ROUND(D1670*E1670,2))</f>
        <v/>
      </c>
      <c r="G1670" s="106" t="n"/>
      <c r="H1670" s="350">
        <f>IF(G1670="Sim",IF(OR(F1670="",D1670="",L1670=""),"",IF(L1670="Sim",ROUND(F1670-D1670,2),0)),0)</f>
        <v/>
      </c>
      <c r="I1670" s="350">
        <f>IF(G1670="Sim",0,IF(OR(F1670="",L1670=""),"",F1670))</f>
        <v/>
      </c>
      <c r="J1670" s="350">
        <f>IF(G1670="Sim",0,IF(OR(F1670="",D1670="",L1670=""),"",IF(L1670="Sim",ROUND(F1670-D1670,2),0)))</f>
        <v/>
      </c>
      <c r="K1670" s="97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inlineStr">
        <is>
          <t>Nao</t>
        </is>
      </c>
      <c r="W1670" s="110" t="inlineStr">
        <is>
          <t>PC em analise</t>
        </is>
      </c>
      <c r="X1670" s="110" t="inlineStr">
        <is>
          <t>Pedido de Compra</t>
        </is>
      </c>
      <c r="Y1670" s="111" t="inlineStr">
        <is>
          <t>Impacto Potencial</t>
        </is>
      </c>
      <c r="Z1670" s="111" t="inlineStr">
        <is>
          <t>PC</t>
        </is>
      </c>
      <c r="AA1670" s="111" t="inlineStr">
        <is>
          <t>Nao</t>
        </is>
      </c>
      <c r="AB1670" s="111" t="inlineStr">
        <is>
          <t>NAO_COMPUTADO</t>
        </is>
      </c>
      <c r="AC1670" s="112" t="inlineStr">
        <is>
          <t>Estrutura Fase 1: sem impacto no VTA oficial</t>
        </is>
      </c>
    </row>
    <row r="1671" ht="25.5" customHeight="1" s="289">
      <c r="A1671" s="205" t="n"/>
      <c r="B1671" s="207" t="n"/>
      <c r="C1671" s="104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348" t="n"/>
      <c r="E1671" s="349">
        <f>IF(C1671="","",IFERROR(VLOOKUP(C1671,parametros!$A$11:$E$15,5,0),""))</f>
        <v/>
      </c>
      <c r="F1671" s="335">
        <f>IF(OR(D1671="",E1671=""),"",ROUND(D1671*E1671,2))</f>
        <v/>
      </c>
      <c r="G1671" s="106" t="n"/>
      <c r="H1671" s="350">
        <f>IF(G1671="Sim",IF(OR(F1671="",D1671="",L1671=""),"",IF(L1671="Sim",ROUND(F1671-D1671,2),0)),0)</f>
        <v/>
      </c>
      <c r="I1671" s="350">
        <f>IF(G1671="Sim",0,IF(OR(F1671="",L1671=""),"",F1671))</f>
        <v/>
      </c>
      <c r="J1671" s="350">
        <f>IF(G1671="Sim",0,IF(OR(F1671="",D1671="",L1671=""),"",IF(L1671="Sim",ROUND(F1671-D1671,2),0)))</f>
        <v/>
      </c>
      <c r="K1671" s="97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inlineStr">
        <is>
          <t>Nao</t>
        </is>
      </c>
      <c r="W1671" s="110" t="inlineStr">
        <is>
          <t>PC em analise</t>
        </is>
      </c>
      <c r="X1671" s="110" t="inlineStr">
        <is>
          <t>Pedido de Compra</t>
        </is>
      </c>
      <c r="Y1671" s="111" t="inlineStr">
        <is>
          <t>Impacto Potencial</t>
        </is>
      </c>
      <c r="Z1671" s="111" t="inlineStr">
        <is>
          <t>PC</t>
        </is>
      </c>
      <c r="AA1671" s="111" t="inlineStr">
        <is>
          <t>Nao</t>
        </is>
      </c>
      <c r="AB1671" s="111" t="inlineStr">
        <is>
          <t>NAO_COMPUTADO</t>
        </is>
      </c>
      <c r="AC1671" s="112" t="inlineStr">
        <is>
          <t>Estrutura Fase 1: sem impacto no VTA oficial</t>
        </is>
      </c>
    </row>
    <row r="1672" ht="25.5" customHeight="1" s="289">
      <c r="A1672" s="205" t="n"/>
      <c r="B1672" s="207" t="n"/>
      <c r="C1672" s="104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348" t="n"/>
      <c r="E1672" s="349">
        <f>IF(C1672="","",IFERROR(VLOOKUP(C1672,parametros!$A$11:$E$15,5,0),""))</f>
        <v/>
      </c>
      <c r="F1672" s="335">
        <f>IF(OR(D1672="",E1672=""),"",ROUND(D1672*E1672,2))</f>
        <v/>
      </c>
      <c r="G1672" s="106" t="n"/>
      <c r="H1672" s="350">
        <f>IF(G1672="Sim",IF(OR(F1672="",D1672="",L1672=""),"",IF(L1672="Sim",ROUND(F1672-D1672,2),0)),0)</f>
        <v/>
      </c>
      <c r="I1672" s="350">
        <f>IF(G1672="Sim",0,IF(OR(F1672="",L1672=""),"",F1672))</f>
        <v/>
      </c>
      <c r="J1672" s="350">
        <f>IF(G1672="Sim",0,IF(OR(F1672="",D1672="",L1672=""),"",IF(L1672="Sim",ROUND(F1672-D1672,2),0)))</f>
        <v/>
      </c>
      <c r="K1672" s="97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inlineStr">
        <is>
          <t>Nao</t>
        </is>
      </c>
      <c r="W1672" s="110" t="inlineStr">
        <is>
          <t>PC em analise</t>
        </is>
      </c>
      <c r="X1672" s="110" t="inlineStr">
        <is>
          <t>Pedido de Compra</t>
        </is>
      </c>
      <c r="Y1672" s="111" t="inlineStr">
        <is>
          <t>Impacto Potencial</t>
        </is>
      </c>
      <c r="Z1672" s="111" t="inlineStr">
        <is>
          <t>PC</t>
        </is>
      </c>
      <c r="AA1672" s="111" t="inlineStr">
        <is>
          <t>Nao</t>
        </is>
      </c>
      <c r="AB1672" s="111" t="inlineStr">
        <is>
          <t>NAO_COMPUTADO</t>
        </is>
      </c>
      <c r="AC1672" s="112" t="inlineStr">
        <is>
          <t>Estrutura Fase 1: sem impacto no VTA oficial</t>
        </is>
      </c>
    </row>
    <row r="1673" ht="25.5" customHeight="1" s="289">
      <c r="A1673" s="205" t="n"/>
      <c r="B1673" s="207" t="n"/>
      <c r="C1673" s="104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348" t="n"/>
      <c r="E1673" s="349">
        <f>IF(C1673="","",IFERROR(VLOOKUP(C1673,parametros!$A$11:$E$15,5,0),""))</f>
        <v/>
      </c>
      <c r="F1673" s="335">
        <f>IF(OR(D1673="",E1673=""),"",ROUND(D1673*E1673,2))</f>
        <v/>
      </c>
      <c r="G1673" s="106" t="n"/>
      <c r="H1673" s="350">
        <f>IF(G1673="Sim",IF(OR(F1673="",D1673="",L1673=""),"",IF(L1673="Sim",ROUND(F1673-D1673,2),0)),0)</f>
        <v/>
      </c>
      <c r="I1673" s="350">
        <f>IF(G1673="Sim",0,IF(OR(F1673="",L1673=""),"",F1673))</f>
        <v/>
      </c>
      <c r="J1673" s="350">
        <f>IF(G1673="Sim",0,IF(OR(F1673="",D1673="",L1673=""),"",IF(L1673="Sim",ROUND(F1673-D1673,2),0)))</f>
        <v/>
      </c>
      <c r="K1673" s="97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inlineStr">
        <is>
          <t>Nao</t>
        </is>
      </c>
      <c r="W1673" s="110" t="inlineStr">
        <is>
          <t>PC em analise</t>
        </is>
      </c>
      <c r="X1673" s="110" t="inlineStr">
        <is>
          <t>Pedido de Compra</t>
        </is>
      </c>
      <c r="Y1673" s="111" t="inlineStr">
        <is>
          <t>Impacto Potencial</t>
        </is>
      </c>
      <c r="Z1673" s="111" t="inlineStr">
        <is>
          <t>PC</t>
        </is>
      </c>
      <c r="AA1673" s="111" t="inlineStr">
        <is>
          <t>Nao</t>
        </is>
      </c>
      <c r="AB1673" s="111" t="inlineStr">
        <is>
          <t>NAO_COMPUTADO</t>
        </is>
      </c>
      <c r="AC1673" s="112" t="inlineStr">
        <is>
          <t>Estrutura Fase 1: sem impacto no VTA oficial</t>
        </is>
      </c>
    </row>
    <row r="1674" ht="25.5" customHeight="1" s="289">
      <c r="A1674" s="205" t="n"/>
      <c r="B1674" s="207" t="n"/>
      <c r="C1674" s="104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348" t="n"/>
      <c r="E1674" s="349">
        <f>IF(C1674="","",IFERROR(VLOOKUP(C1674,parametros!$A$11:$E$15,5,0),""))</f>
        <v/>
      </c>
      <c r="F1674" s="335">
        <f>IF(OR(D1674="",E1674=""),"",ROUND(D1674*E1674,2))</f>
        <v/>
      </c>
      <c r="G1674" s="106" t="n"/>
      <c r="H1674" s="350">
        <f>IF(G1674="Sim",IF(OR(F1674="",D1674="",L1674=""),"",IF(L1674="Sim",ROUND(F1674-D1674,2),0)),0)</f>
        <v/>
      </c>
      <c r="I1674" s="350">
        <f>IF(G1674="Sim",0,IF(OR(F1674="",L1674=""),"",F1674))</f>
        <v/>
      </c>
      <c r="J1674" s="350">
        <f>IF(G1674="Sim",0,IF(OR(F1674="",D1674="",L1674=""),"",IF(L1674="Sim",ROUND(F1674-D1674,2),0)))</f>
        <v/>
      </c>
      <c r="K1674" s="97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inlineStr">
        <is>
          <t>Nao</t>
        </is>
      </c>
      <c r="W1674" s="110" t="inlineStr">
        <is>
          <t>PC em analise</t>
        </is>
      </c>
      <c r="X1674" s="110" t="inlineStr">
        <is>
          <t>Pedido de Compra</t>
        </is>
      </c>
      <c r="Y1674" s="111" t="inlineStr">
        <is>
          <t>Impacto Potencial</t>
        </is>
      </c>
      <c r="Z1674" s="111" t="inlineStr">
        <is>
          <t>PC</t>
        </is>
      </c>
      <c r="AA1674" s="111" t="inlineStr">
        <is>
          <t>Nao</t>
        </is>
      </c>
      <c r="AB1674" s="111" t="inlineStr">
        <is>
          <t>NAO_COMPUTADO</t>
        </is>
      </c>
      <c r="AC1674" s="112" t="inlineStr">
        <is>
          <t>Estrutura Fase 1: sem impacto no VTA oficial</t>
        </is>
      </c>
    </row>
    <row r="1675" ht="25.5" customHeight="1" s="289">
      <c r="A1675" s="205" t="n"/>
      <c r="B1675" s="207" t="n"/>
      <c r="C1675" s="104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348" t="n"/>
      <c r="E1675" s="349">
        <f>IF(C1675="","",IFERROR(VLOOKUP(C1675,parametros!$A$11:$E$15,5,0),""))</f>
        <v/>
      </c>
      <c r="F1675" s="335">
        <f>IF(OR(D1675="",E1675=""),"",ROUND(D1675*E1675,2))</f>
        <v/>
      </c>
      <c r="G1675" s="106" t="n"/>
      <c r="H1675" s="350">
        <f>IF(G1675="Sim",IF(OR(F1675="",D1675="",L1675=""),"",IF(L1675="Sim",ROUND(F1675-D1675,2),0)),0)</f>
        <v/>
      </c>
      <c r="I1675" s="350">
        <f>IF(G1675="Sim",0,IF(OR(F1675="",L1675=""),"",F1675))</f>
        <v/>
      </c>
      <c r="J1675" s="350">
        <f>IF(G1675="Sim",0,IF(OR(F1675="",D1675="",L1675=""),"",IF(L1675="Sim",ROUND(F1675-D1675,2),0)))</f>
        <v/>
      </c>
      <c r="K1675" s="97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inlineStr">
        <is>
          <t>Nao</t>
        </is>
      </c>
      <c r="W1675" s="110" t="inlineStr">
        <is>
          <t>PC em analise</t>
        </is>
      </c>
      <c r="X1675" s="110" t="inlineStr">
        <is>
          <t>Pedido de Compra</t>
        </is>
      </c>
      <c r="Y1675" s="111" t="inlineStr">
        <is>
          <t>Impacto Potencial</t>
        </is>
      </c>
      <c r="Z1675" s="111" t="inlineStr">
        <is>
          <t>PC</t>
        </is>
      </c>
      <c r="AA1675" s="111" t="inlineStr">
        <is>
          <t>Nao</t>
        </is>
      </c>
      <c r="AB1675" s="111" t="inlineStr">
        <is>
          <t>NAO_COMPUTADO</t>
        </is>
      </c>
      <c r="AC1675" s="112" t="inlineStr">
        <is>
          <t>Estrutura Fase 1: sem impacto no VTA oficial</t>
        </is>
      </c>
    </row>
    <row r="1676" ht="25.5" customHeight="1" s="289">
      <c r="A1676" s="205" t="n"/>
      <c r="B1676" s="207" t="n"/>
      <c r="C1676" s="104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348" t="n"/>
      <c r="E1676" s="349">
        <f>IF(C1676="","",IFERROR(VLOOKUP(C1676,parametros!$A$11:$E$15,5,0),""))</f>
        <v/>
      </c>
      <c r="F1676" s="335">
        <f>IF(OR(D1676="",E1676=""),"",ROUND(D1676*E1676,2))</f>
        <v/>
      </c>
      <c r="G1676" s="106" t="n"/>
      <c r="H1676" s="350">
        <f>IF(G1676="Sim",IF(OR(F1676="",D1676="",L1676=""),"",IF(L1676="Sim",ROUND(F1676-D1676,2),0)),0)</f>
        <v/>
      </c>
      <c r="I1676" s="350">
        <f>IF(G1676="Sim",0,IF(OR(F1676="",L1676=""),"",F1676))</f>
        <v/>
      </c>
      <c r="J1676" s="350">
        <f>IF(G1676="Sim",0,IF(OR(F1676="",D1676="",L1676=""),"",IF(L1676="Sim",ROUND(F1676-D1676,2),0)))</f>
        <v/>
      </c>
      <c r="K1676" s="97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inlineStr">
        <is>
          <t>Nao</t>
        </is>
      </c>
      <c r="W1676" s="110" t="inlineStr">
        <is>
          <t>PC em analise</t>
        </is>
      </c>
      <c r="X1676" s="110" t="inlineStr">
        <is>
          <t>Pedido de Compra</t>
        </is>
      </c>
      <c r="Y1676" s="111" t="inlineStr">
        <is>
          <t>Impacto Potencial</t>
        </is>
      </c>
      <c r="Z1676" s="111" t="inlineStr">
        <is>
          <t>PC</t>
        </is>
      </c>
      <c r="AA1676" s="111" t="inlineStr">
        <is>
          <t>Nao</t>
        </is>
      </c>
      <c r="AB1676" s="111" t="inlineStr">
        <is>
          <t>NAO_COMPUTADO</t>
        </is>
      </c>
      <c r="AC1676" s="112" t="inlineStr">
        <is>
          <t>Estrutura Fase 1: sem impacto no VTA oficial</t>
        </is>
      </c>
    </row>
    <row r="1677" ht="25.5" customHeight="1" s="289">
      <c r="A1677" s="205" t="n"/>
      <c r="B1677" s="207" t="n"/>
      <c r="C1677" s="104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348" t="n"/>
      <c r="E1677" s="349">
        <f>IF(C1677="","",IFERROR(VLOOKUP(C1677,parametros!$A$11:$E$15,5,0),""))</f>
        <v/>
      </c>
      <c r="F1677" s="335">
        <f>IF(OR(D1677="",E1677=""),"",ROUND(D1677*E1677,2))</f>
        <v/>
      </c>
      <c r="G1677" s="106" t="n"/>
      <c r="H1677" s="350">
        <f>IF(G1677="Sim",IF(OR(F1677="",D1677="",L1677=""),"",IF(L1677="Sim",ROUND(F1677-D1677,2),0)),0)</f>
        <v/>
      </c>
      <c r="I1677" s="350">
        <f>IF(G1677="Sim",0,IF(OR(F1677="",L1677=""),"",F1677))</f>
        <v/>
      </c>
      <c r="J1677" s="350">
        <f>IF(G1677="Sim",0,IF(OR(F1677="",D1677="",L1677=""),"",IF(L1677="Sim",ROUND(F1677-D1677,2),0)))</f>
        <v/>
      </c>
      <c r="K1677" s="97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inlineStr">
        <is>
          <t>Nao</t>
        </is>
      </c>
      <c r="W1677" s="110" t="inlineStr">
        <is>
          <t>PC em analise</t>
        </is>
      </c>
      <c r="X1677" s="110" t="inlineStr">
        <is>
          <t>Pedido de Compra</t>
        </is>
      </c>
      <c r="Y1677" s="111" t="inlineStr">
        <is>
          <t>Impacto Potencial</t>
        </is>
      </c>
      <c r="Z1677" s="111" t="inlineStr">
        <is>
          <t>PC</t>
        </is>
      </c>
      <c r="AA1677" s="111" t="inlineStr">
        <is>
          <t>Nao</t>
        </is>
      </c>
      <c r="AB1677" s="111" t="inlineStr">
        <is>
          <t>NAO_COMPUTADO</t>
        </is>
      </c>
      <c r="AC1677" s="112" t="inlineStr">
        <is>
          <t>Estrutura Fase 1: sem impacto no VTA oficial</t>
        </is>
      </c>
    </row>
    <row r="1678" ht="25.5" customHeight="1" s="289">
      <c r="A1678" s="205" t="n"/>
      <c r="B1678" s="207" t="n"/>
      <c r="C1678" s="104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348" t="n"/>
      <c r="E1678" s="349">
        <f>IF(C1678="","",IFERROR(VLOOKUP(C1678,parametros!$A$11:$E$15,5,0),""))</f>
        <v/>
      </c>
      <c r="F1678" s="335">
        <f>IF(OR(D1678="",E1678=""),"",ROUND(D1678*E1678,2))</f>
        <v/>
      </c>
      <c r="G1678" s="106" t="n"/>
      <c r="H1678" s="350">
        <f>IF(G1678="Sim",IF(OR(F1678="",D1678="",L1678=""),"",IF(L1678="Sim",ROUND(F1678-D1678,2),0)),0)</f>
        <v/>
      </c>
      <c r="I1678" s="350">
        <f>IF(G1678="Sim",0,IF(OR(F1678="",L1678=""),"",F1678))</f>
        <v/>
      </c>
      <c r="J1678" s="350">
        <f>IF(G1678="Sim",0,IF(OR(F1678="",D1678="",L1678=""),"",IF(L1678="Sim",ROUND(F1678-D1678,2),0)))</f>
        <v/>
      </c>
      <c r="K1678" s="97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inlineStr">
        <is>
          <t>Nao</t>
        </is>
      </c>
      <c r="W1678" s="110" t="inlineStr">
        <is>
          <t>PC em analise</t>
        </is>
      </c>
      <c r="X1678" s="110" t="inlineStr">
        <is>
          <t>Pedido de Compra</t>
        </is>
      </c>
      <c r="Y1678" s="111" t="inlineStr">
        <is>
          <t>Impacto Potencial</t>
        </is>
      </c>
      <c r="Z1678" s="111" t="inlineStr">
        <is>
          <t>PC</t>
        </is>
      </c>
      <c r="AA1678" s="111" t="inlineStr">
        <is>
          <t>Nao</t>
        </is>
      </c>
      <c r="AB1678" s="111" t="inlineStr">
        <is>
          <t>NAO_COMPUTADO</t>
        </is>
      </c>
      <c r="AC1678" s="112" t="inlineStr">
        <is>
          <t>Estrutura Fase 1: sem impacto no VTA oficial</t>
        </is>
      </c>
    </row>
    <row r="1679" ht="25.5" customHeight="1" s="289">
      <c r="A1679" s="205" t="n"/>
      <c r="B1679" s="207" t="n"/>
      <c r="C1679" s="104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348" t="n"/>
      <c r="E1679" s="349">
        <f>IF(C1679="","",IFERROR(VLOOKUP(C1679,parametros!$A$11:$E$15,5,0),""))</f>
        <v/>
      </c>
      <c r="F1679" s="335">
        <f>IF(OR(D1679="",E1679=""),"",ROUND(D1679*E1679,2))</f>
        <v/>
      </c>
      <c r="G1679" s="106" t="n"/>
      <c r="H1679" s="350">
        <f>IF(G1679="Sim",IF(OR(F1679="",D1679="",L1679=""),"",IF(L1679="Sim",ROUND(F1679-D1679,2),0)),0)</f>
        <v/>
      </c>
      <c r="I1679" s="350">
        <f>IF(G1679="Sim",0,IF(OR(F1679="",L1679=""),"",F1679))</f>
        <v/>
      </c>
      <c r="J1679" s="350">
        <f>IF(G1679="Sim",0,IF(OR(F1679="",D1679="",L1679=""),"",IF(L1679="Sim",ROUND(F1679-D1679,2),0)))</f>
        <v/>
      </c>
      <c r="K1679" s="97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inlineStr">
        <is>
          <t>Nao</t>
        </is>
      </c>
      <c r="W1679" s="110" t="inlineStr">
        <is>
          <t>PC em analise</t>
        </is>
      </c>
      <c r="X1679" s="110" t="inlineStr">
        <is>
          <t>Pedido de Compra</t>
        </is>
      </c>
      <c r="Y1679" s="111" t="inlineStr">
        <is>
          <t>Impacto Potencial</t>
        </is>
      </c>
      <c r="Z1679" s="111" t="inlineStr">
        <is>
          <t>PC</t>
        </is>
      </c>
      <c r="AA1679" s="111" t="inlineStr">
        <is>
          <t>Nao</t>
        </is>
      </c>
      <c r="AB1679" s="111" t="inlineStr">
        <is>
          <t>NAO_COMPUTADO</t>
        </is>
      </c>
      <c r="AC1679" s="112" t="inlineStr">
        <is>
          <t>Estrutura Fase 1: sem impacto no VTA oficial</t>
        </is>
      </c>
    </row>
    <row r="1680" ht="25.5" customHeight="1" s="289">
      <c r="A1680" s="205" t="n"/>
      <c r="B1680" s="207" t="n"/>
      <c r="C1680" s="104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348" t="n"/>
      <c r="E1680" s="349">
        <f>IF(C1680="","",IFERROR(VLOOKUP(C1680,parametros!$A$11:$E$15,5,0),""))</f>
        <v/>
      </c>
      <c r="F1680" s="335">
        <f>IF(OR(D1680="",E1680=""),"",ROUND(D1680*E1680,2))</f>
        <v/>
      </c>
      <c r="G1680" s="106" t="n"/>
      <c r="H1680" s="350">
        <f>IF(G1680="Sim",IF(OR(F1680="",D1680="",L1680=""),"",IF(L1680="Sim",ROUND(F1680-D1680,2),0)),0)</f>
        <v/>
      </c>
      <c r="I1680" s="350">
        <f>IF(G1680="Sim",0,IF(OR(F1680="",L1680=""),"",F1680))</f>
        <v/>
      </c>
      <c r="J1680" s="350">
        <f>IF(G1680="Sim",0,IF(OR(F1680="",D1680="",L1680=""),"",IF(L1680="Sim",ROUND(F1680-D1680,2),0)))</f>
        <v/>
      </c>
      <c r="K1680" s="97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inlineStr">
        <is>
          <t>Nao</t>
        </is>
      </c>
      <c r="W1680" s="110" t="inlineStr">
        <is>
          <t>PC em analise</t>
        </is>
      </c>
      <c r="X1680" s="110" t="inlineStr">
        <is>
          <t>Pedido de Compra</t>
        </is>
      </c>
      <c r="Y1680" s="111" t="inlineStr">
        <is>
          <t>Impacto Potencial</t>
        </is>
      </c>
      <c r="Z1680" s="111" t="inlineStr">
        <is>
          <t>PC</t>
        </is>
      </c>
      <c r="AA1680" s="111" t="inlineStr">
        <is>
          <t>Nao</t>
        </is>
      </c>
      <c r="AB1680" s="111" t="inlineStr">
        <is>
          <t>NAO_COMPUTADO</t>
        </is>
      </c>
      <c r="AC1680" s="112" t="inlineStr">
        <is>
          <t>Estrutura Fase 1: sem impacto no VTA oficial</t>
        </is>
      </c>
    </row>
    <row r="1681" ht="25.5" customHeight="1" s="289">
      <c r="A1681" s="205" t="n"/>
      <c r="B1681" s="207" t="n"/>
      <c r="C1681" s="104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348" t="n"/>
      <c r="E1681" s="349">
        <f>IF(C1681="","",IFERROR(VLOOKUP(C1681,parametros!$A$11:$E$15,5,0),""))</f>
        <v/>
      </c>
      <c r="F1681" s="335">
        <f>IF(OR(D1681="",E1681=""),"",ROUND(D1681*E1681,2))</f>
        <v/>
      </c>
      <c r="G1681" s="106" t="n"/>
      <c r="H1681" s="350">
        <f>IF(G1681="Sim",IF(OR(F1681="",D1681="",L1681=""),"",IF(L1681="Sim",ROUND(F1681-D1681,2),0)),0)</f>
        <v/>
      </c>
      <c r="I1681" s="350">
        <f>IF(G1681="Sim",0,IF(OR(F1681="",L1681=""),"",F1681))</f>
        <v/>
      </c>
      <c r="J1681" s="350">
        <f>IF(G1681="Sim",0,IF(OR(F1681="",D1681="",L1681=""),"",IF(L1681="Sim",ROUND(F1681-D1681,2),0)))</f>
        <v/>
      </c>
      <c r="K1681" s="97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inlineStr">
        <is>
          <t>Nao</t>
        </is>
      </c>
      <c r="W1681" s="110" t="inlineStr">
        <is>
          <t>PC em analise</t>
        </is>
      </c>
      <c r="X1681" s="110" t="inlineStr">
        <is>
          <t>Pedido de Compra</t>
        </is>
      </c>
      <c r="Y1681" s="111" t="inlineStr">
        <is>
          <t>Impacto Potencial</t>
        </is>
      </c>
      <c r="Z1681" s="111" t="inlineStr">
        <is>
          <t>PC</t>
        </is>
      </c>
      <c r="AA1681" s="111" t="inlineStr">
        <is>
          <t>Nao</t>
        </is>
      </c>
      <c r="AB1681" s="111" t="inlineStr">
        <is>
          <t>NAO_COMPUTADO</t>
        </is>
      </c>
      <c r="AC1681" s="112" t="inlineStr">
        <is>
          <t>Estrutura Fase 1: sem impacto no VTA oficial</t>
        </is>
      </c>
    </row>
    <row r="1682" ht="25.5" customHeight="1" s="289">
      <c r="A1682" s="205" t="n"/>
      <c r="B1682" s="207" t="n"/>
      <c r="C1682" s="104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348" t="n"/>
      <c r="E1682" s="349">
        <f>IF(C1682="","",IFERROR(VLOOKUP(C1682,parametros!$A$11:$E$15,5,0),""))</f>
        <v/>
      </c>
      <c r="F1682" s="335">
        <f>IF(OR(D1682="",E1682=""),"",ROUND(D1682*E1682,2))</f>
        <v/>
      </c>
      <c r="G1682" s="106" t="n"/>
      <c r="H1682" s="350">
        <f>IF(G1682="Sim",IF(OR(F1682="",D1682="",L1682=""),"",IF(L1682="Sim",ROUND(F1682-D1682,2),0)),0)</f>
        <v/>
      </c>
      <c r="I1682" s="350">
        <f>IF(G1682="Sim",0,IF(OR(F1682="",L1682=""),"",F1682))</f>
        <v/>
      </c>
      <c r="J1682" s="350">
        <f>IF(G1682="Sim",0,IF(OR(F1682="",D1682="",L1682=""),"",IF(L1682="Sim",ROUND(F1682-D1682,2),0)))</f>
        <v/>
      </c>
      <c r="K1682" s="97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inlineStr">
        <is>
          <t>Nao</t>
        </is>
      </c>
      <c r="W1682" s="110" t="inlineStr">
        <is>
          <t>PC em analise</t>
        </is>
      </c>
      <c r="X1682" s="110" t="inlineStr">
        <is>
          <t>Pedido de Compra</t>
        </is>
      </c>
      <c r="Y1682" s="111" t="inlineStr">
        <is>
          <t>Impacto Potencial</t>
        </is>
      </c>
      <c r="Z1682" s="111" t="inlineStr">
        <is>
          <t>PC</t>
        </is>
      </c>
      <c r="AA1682" s="111" t="inlineStr">
        <is>
          <t>Nao</t>
        </is>
      </c>
      <c r="AB1682" s="111" t="inlineStr">
        <is>
          <t>NAO_COMPUTADO</t>
        </is>
      </c>
      <c r="AC1682" s="112" t="inlineStr">
        <is>
          <t>Estrutura Fase 1: sem impacto no VTA oficial</t>
        </is>
      </c>
    </row>
    <row r="1683" ht="25.5" customHeight="1" s="289">
      <c r="A1683" s="205" t="n"/>
      <c r="B1683" s="207" t="n"/>
      <c r="C1683" s="104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348" t="n"/>
      <c r="E1683" s="349">
        <f>IF(C1683="","",IFERROR(VLOOKUP(C1683,parametros!$A$11:$E$15,5,0),""))</f>
        <v/>
      </c>
      <c r="F1683" s="335">
        <f>IF(OR(D1683="",E1683=""),"",ROUND(D1683*E1683,2))</f>
        <v/>
      </c>
      <c r="G1683" s="106" t="n"/>
      <c r="H1683" s="350">
        <f>IF(G1683="Sim",IF(OR(F1683="",D1683="",L1683=""),"",IF(L1683="Sim",ROUND(F1683-D1683,2),0)),0)</f>
        <v/>
      </c>
      <c r="I1683" s="350">
        <f>IF(G1683="Sim",0,IF(OR(F1683="",L1683=""),"",F1683))</f>
        <v/>
      </c>
      <c r="J1683" s="350">
        <f>IF(G1683="Sim",0,IF(OR(F1683="",D1683="",L1683=""),"",IF(L1683="Sim",ROUND(F1683-D1683,2),0)))</f>
        <v/>
      </c>
      <c r="K1683" s="97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inlineStr">
        <is>
          <t>Nao</t>
        </is>
      </c>
      <c r="W1683" s="110" t="inlineStr">
        <is>
          <t>PC em analise</t>
        </is>
      </c>
      <c r="X1683" s="110" t="inlineStr">
        <is>
          <t>Pedido de Compra</t>
        </is>
      </c>
      <c r="Y1683" s="111" t="inlineStr">
        <is>
          <t>Impacto Potencial</t>
        </is>
      </c>
      <c r="Z1683" s="111" t="inlineStr">
        <is>
          <t>PC</t>
        </is>
      </c>
      <c r="AA1683" s="111" t="inlineStr">
        <is>
          <t>Nao</t>
        </is>
      </c>
      <c r="AB1683" s="111" t="inlineStr">
        <is>
          <t>NAO_COMPUTADO</t>
        </is>
      </c>
      <c r="AC1683" s="112" t="inlineStr">
        <is>
          <t>Estrutura Fase 1: sem impacto no VTA oficial</t>
        </is>
      </c>
    </row>
    <row r="1684" ht="25.5" customHeight="1" s="289">
      <c r="A1684" s="205" t="n"/>
      <c r="B1684" s="207" t="n"/>
      <c r="C1684" s="104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348" t="n"/>
      <c r="E1684" s="349">
        <f>IF(C1684="","",IFERROR(VLOOKUP(C1684,parametros!$A$11:$E$15,5,0),""))</f>
        <v/>
      </c>
      <c r="F1684" s="335">
        <f>IF(OR(D1684="",E1684=""),"",ROUND(D1684*E1684,2))</f>
        <v/>
      </c>
      <c r="G1684" s="106" t="n"/>
      <c r="H1684" s="350">
        <f>IF(G1684="Sim",IF(OR(F1684="",D1684="",L1684=""),"",IF(L1684="Sim",ROUND(F1684-D1684,2),0)),0)</f>
        <v/>
      </c>
      <c r="I1684" s="350">
        <f>IF(G1684="Sim",0,IF(OR(F1684="",L1684=""),"",F1684))</f>
        <v/>
      </c>
      <c r="J1684" s="350">
        <f>IF(G1684="Sim",0,IF(OR(F1684="",D1684="",L1684=""),"",IF(L1684="Sim",ROUND(F1684-D1684,2),0)))</f>
        <v/>
      </c>
      <c r="K1684" s="97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inlineStr">
        <is>
          <t>Nao</t>
        </is>
      </c>
      <c r="W1684" s="110" t="inlineStr">
        <is>
          <t>PC em analise</t>
        </is>
      </c>
      <c r="X1684" s="110" t="inlineStr">
        <is>
          <t>Pedido de Compra</t>
        </is>
      </c>
      <c r="Y1684" s="111" t="inlineStr">
        <is>
          <t>Impacto Potencial</t>
        </is>
      </c>
      <c r="Z1684" s="111" t="inlineStr">
        <is>
          <t>PC</t>
        </is>
      </c>
      <c r="AA1684" s="111" t="inlineStr">
        <is>
          <t>Nao</t>
        </is>
      </c>
      <c r="AB1684" s="111" t="inlineStr">
        <is>
          <t>NAO_COMPUTADO</t>
        </is>
      </c>
      <c r="AC1684" s="112" t="inlineStr">
        <is>
          <t>Estrutura Fase 1: sem impacto no VTA oficial</t>
        </is>
      </c>
    </row>
    <row r="1685" ht="25.5" customHeight="1" s="289">
      <c r="A1685" s="205" t="n"/>
      <c r="B1685" s="207" t="n"/>
      <c r="C1685" s="104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348" t="n"/>
      <c r="E1685" s="349">
        <f>IF(C1685="","",IFERROR(VLOOKUP(C1685,parametros!$A$11:$E$15,5,0),""))</f>
        <v/>
      </c>
      <c r="F1685" s="335">
        <f>IF(OR(D1685="",E1685=""),"",ROUND(D1685*E1685,2))</f>
        <v/>
      </c>
      <c r="G1685" s="106" t="n"/>
      <c r="H1685" s="350">
        <f>IF(G1685="Sim",IF(OR(F1685="",D1685="",L1685=""),"",IF(L1685="Sim",ROUND(F1685-D1685,2),0)),0)</f>
        <v/>
      </c>
      <c r="I1685" s="350">
        <f>IF(G1685="Sim",0,IF(OR(F1685="",L1685=""),"",F1685))</f>
        <v/>
      </c>
      <c r="J1685" s="350">
        <f>IF(G1685="Sim",0,IF(OR(F1685="",D1685="",L1685=""),"",IF(L1685="Sim",ROUND(F1685-D1685,2),0)))</f>
        <v/>
      </c>
      <c r="K1685" s="97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inlineStr">
        <is>
          <t>Nao</t>
        </is>
      </c>
      <c r="W1685" s="110" t="inlineStr">
        <is>
          <t>PC em analise</t>
        </is>
      </c>
      <c r="X1685" s="110" t="inlineStr">
        <is>
          <t>Pedido de Compra</t>
        </is>
      </c>
      <c r="Y1685" s="111" t="inlineStr">
        <is>
          <t>Impacto Potencial</t>
        </is>
      </c>
      <c r="Z1685" s="111" t="inlineStr">
        <is>
          <t>PC</t>
        </is>
      </c>
      <c r="AA1685" s="111" t="inlineStr">
        <is>
          <t>Nao</t>
        </is>
      </c>
      <c r="AB1685" s="111" t="inlineStr">
        <is>
          <t>NAO_COMPUTADO</t>
        </is>
      </c>
      <c r="AC1685" s="112" t="inlineStr">
        <is>
          <t>Estrutura Fase 1: sem impacto no VTA oficial</t>
        </is>
      </c>
    </row>
    <row r="1686" ht="25.5" customHeight="1" s="289">
      <c r="A1686" s="205" t="n"/>
      <c r="B1686" s="207" t="n"/>
      <c r="C1686" s="104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348" t="n"/>
      <c r="E1686" s="349">
        <f>IF(C1686="","",IFERROR(VLOOKUP(C1686,parametros!$A$11:$E$15,5,0),""))</f>
        <v/>
      </c>
      <c r="F1686" s="335">
        <f>IF(OR(D1686="",E1686=""),"",ROUND(D1686*E1686,2))</f>
        <v/>
      </c>
      <c r="G1686" s="106" t="n"/>
      <c r="H1686" s="350">
        <f>IF(G1686="Sim",IF(OR(F1686="",D1686="",L1686=""),"",IF(L1686="Sim",ROUND(F1686-D1686,2),0)),0)</f>
        <v/>
      </c>
      <c r="I1686" s="350">
        <f>IF(G1686="Sim",0,IF(OR(F1686="",L1686=""),"",F1686))</f>
        <v/>
      </c>
      <c r="J1686" s="350">
        <f>IF(G1686="Sim",0,IF(OR(F1686="",D1686="",L1686=""),"",IF(L1686="Sim",ROUND(F1686-D1686,2),0)))</f>
        <v/>
      </c>
      <c r="K1686" s="97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inlineStr">
        <is>
          <t>Nao</t>
        </is>
      </c>
      <c r="W1686" s="110" t="inlineStr">
        <is>
          <t>PC em analise</t>
        </is>
      </c>
      <c r="X1686" s="110" t="inlineStr">
        <is>
          <t>Pedido de Compra</t>
        </is>
      </c>
      <c r="Y1686" s="111" t="inlineStr">
        <is>
          <t>Impacto Potencial</t>
        </is>
      </c>
      <c r="Z1686" s="111" t="inlineStr">
        <is>
          <t>PC</t>
        </is>
      </c>
      <c r="AA1686" s="111" t="inlineStr">
        <is>
          <t>Nao</t>
        </is>
      </c>
      <c r="AB1686" s="111" t="inlineStr">
        <is>
          <t>NAO_COMPUTADO</t>
        </is>
      </c>
      <c r="AC1686" s="112" t="inlineStr">
        <is>
          <t>Estrutura Fase 1: sem impacto no VTA oficial</t>
        </is>
      </c>
    </row>
    <row r="1687" ht="25.5" customHeight="1" s="289">
      <c r="A1687" s="205" t="n"/>
      <c r="B1687" s="207" t="n"/>
      <c r="C1687" s="104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348" t="n"/>
      <c r="E1687" s="349">
        <f>IF(C1687="","",IFERROR(VLOOKUP(C1687,parametros!$A$11:$E$15,5,0),""))</f>
        <v/>
      </c>
      <c r="F1687" s="335">
        <f>IF(OR(D1687="",E1687=""),"",ROUND(D1687*E1687,2))</f>
        <v/>
      </c>
      <c r="G1687" s="106" t="n"/>
      <c r="H1687" s="350">
        <f>IF(G1687="Sim",IF(OR(F1687="",D1687="",L1687=""),"",IF(L1687="Sim",ROUND(F1687-D1687,2),0)),0)</f>
        <v/>
      </c>
      <c r="I1687" s="350">
        <f>IF(G1687="Sim",0,IF(OR(F1687="",L1687=""),"",F1687))</f>
        <v/>
      </c>
      <c r="J1687" s="350">
        <f>IF(G1687="Sim",0,IF(OR(F1687="",D1687="",L1687=""),"",IF(L1687="Sim",ROUND(F1687-D1687,2),0)))</f>
        <v/>
      </c>
      <c r="K1687" s="97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inlineStr">
        <is>
          <t>Nao</t>
        </is>
      </c>
      <c r="W1687" s="110" t="inlineStr">
        <is>
          <t>PC em analise</t>
        </is>
      </c>
      <c r="X1687" s="110" t="inlineStr">
        <is>
          <t>Pedido de Compra</t>
        </is>
      </c>
      <c r="Y1687" s="111" t="inlineStr">
        <is>
          <t>Impacto Potencial</t>
        </is>
      </c>
      <c r="Z1687" s="111" t="inlineStr">
        <is>
          <t>PC</t>
        </is>
      </c>
      <c r="AA1687" s="111" t="inlineStr">
        <is>
          <t>Nao</t>
        </is>
      </c>
      <c r="AB1687" s="111" t="inlineStr">
        <is>
          <t>NAO_COMPUTADO</t>
        </is>
      </c>
      <c r="AC1687" s="112" t="inlineStr">
        <is>
          <t>Estrutura Fase 1: sem impacto no VTA oficial</t>
        </is>
      </c>
    </row>
    <row r="1688" ht="25.5" customHeight="1" s="289">
      <c r="A1688" s="205" t="n"/>
      <c r="B1688" s="207" t="n"/>
      <c r="C1688" s="104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348" t="n"/>
      <c r="E1688" s="349">
        <f>IF(C1688="","",IFERROR(VLOOKUP(C1688,parametros!$A$11:$E$15,5,0),""))</f>
        <v/>
      </c>
      <c r="F1688" s="335">
        <f>IF(OR(D1688="",E1688=""),"",ROUND(D1688*E1688,2))</f>
        <v/>
      </c>
      <c r="G1688" s="106" t="n"/>
      <c r="H1688" s="350">
        <f>IF(G1688="Sim",IF(OR(F1688="",D1688="",L1688=""),"",IF(L1688="Sim",ROUND(F1688-D1688,2),0)),0)</f>
        <v/>
      </c>
      <c r="I1688" s="350">
        <f>IF(G1688="Sim",0,IF(OR(F1688="",L1688=""),"",F1688))</f>
        <v/>
      </c>
      <c r="J1688" s="350">
        <f>IF(G1688="Sim",0,IF(OR(F1688="",D1688="",L1688=""),"",IF(L1688="Sim",ROUND(F1688-D1688,2),0)))</f>
        <v/>
      </c>
      <c r="K1688" s="97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inlineStr">
        <is>
          <t>Nao</t>
        </is>
      </c>
      <c r="W1688" s="110" t="inlineStr">
        <is>
          <t>PC em analise</t>
        </is>
      </c>
      <c r="X1688" s="110" t="inlineStr">
        <is>
          <t>Pedido de Compra</t>
        </is>
      </c>
      <c r="Y1688" s="111" t="inlineStr">
        <is>
          <t>Impacto Potencial</t>
        </is>
      </c>
      <c r="Z1688" s="111" t="inlineStr">
        <is>
          <t>PC</t>
        </is>
      </c>
      <c r="AA1688" s="111" t="inlineStr">
        <is>
          <t>Nao</t>
        </is>
      </c>
      <c r="AB1688" s="111" t="inlineStr">
        <is>
          <t>NAO_COMPUTADO</t>
        </is>
      </c>
      <c r="AC1688" s="112" t="inlineStr">
        <is>
          <t>Estrutura Fase 1: sem impacto no VTA oficial</t>
        </is>
      </c>
    </row>
    <row r="1689" ht="25.5" customHeight="1" s="289">
      <c r="A1689" s="205" t="n"/>
      <c r="B1689" s="207" t="n"/>
      <c r="C1689" s="104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348" t="n"/>
      <c r="E1689" s="349">
        <f>IF(C1689="","",IFERROR(VLOOKUP(C1689,parametros!$A$11:$E$15,5,0),""))</f>
        <v/>
      </c>
      <c r="F1689" s="335">
        <f>IF(OR(D1689="",E1689=""),"",ROUND(D1689*E1689,2))</f>
        <v/>
      </c>
      <c r="G1689" s="106" t="n"/>
      <c r="H1689" s="350">
        <f>IF(G1689="Sim",IF(OR(F1689="",D1689="",L1689=""),"",IF(L1689="Sim",ROUND(F1689-D1689,2),0)),0)</f>
        <v/>
      </c>
      <c r="I1689" s="350">
        <f>IF(G1689="Sim",0,IF(OR(F1689="",L1689=""),"",F1689))</f>
        <v/>
      </c>
      <c r="J1689" s="350">
        <f>IF(G1689="Sim",0,IF(OR(F1689="",D1689="",L1689=""),"",IF(L1689="Sim",ROUND(F1689-D1689,2),0)))</f>
        <v/>
      </c>
      <c r="K1689" s="97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inlineStr">
        <is>
          <t>Nao</t>
        </is>
      </c>
      <c r="W1689" s="110" t="inlineStr">
        <is>
          <t>PC em analise</t>
        </is>
      </c>
      <c r="X1689" s="110" t="inlineStr">
        <is>
          <t>Pedido de Compra</t>
        </is>
      </c>
      <c r="Y1689" s="111" t="inlineStr">
        <is>
          <t>Impacto Potencial</t>
        </is>
      </c>
      <c r="Z1689" s="111" t="inlineStr">
        <is>
          <t>PC</t>
        </is>
      </c>
      <c r="AA1689" s="111" t="inlineStr">
        <is>
          <t>Nao</t>
        </is>
      </c>
      <c r="AB1689" s="111" t="inlineStr">
        <is>
          <t>NAO_COMPUTADO</t>
        </is>
      </c>
      <c r="AC1689" s="112" t="inlineStr">
        <is>
          <t>Estrutura Fase 1: sem impacto no VTA oficial</t>
        </is>
      </c>
    </row>
    <row r="1690" ht="25.5" customHeight="1" s="289">
      <c r="A1690" s="205" t="n"/>
      <c r="B1690" s="207" t="n"/>
      <c r="C1690" s="104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348" t="n"/>
      <c r="E1690" s="349">
        <f>IF(C1690="","",IFERROR(VLOOKUP(C1690,parametros!$A$11:$E$15,5,0),""))</f>
        <v/>
      </c>
      <c r="F1690" s="335">
        <f>IF(OR(D1690="",E1690=""),"",ROUND(D1690*E1690,2))</f>
        <v/>
      </c>
      <c r="G1690" s="106" t="n"/>
      <c r="H1690" s="350">
        <f>IF(G1690="Sim",IF(OR(F1690="",D1690="",L1690=""),"",IF(L1690="Sim",ROUND(F1690-D1690,2),0)),0)</f>
        <v/>
      </c>
      <c r="I1690" s="350">
        <f>IF(G1690="Sim",0,IF(OR(F1690="",L1690=""),"",F1690))</f>
        <v/>
      </c>
      <c r="J1690" s="350">
        <f>IF(G1690="Sim",0,IF(OR(F1690="",D1690="",L1690=""),"",IF(L1690="Sim",ROUND(F1690-D1690,2),0)))</f>
        <v/>
      </c>
      <c r="K1690" s="97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inlineStr">
        <is>
          <t>Nao</t>
        </is>
      </c>
      <c r="W1690" s="110" t="inlineStr">
        <is>
          <t>PC em analise</t>
        </is>
      </c>
      <c r="X1690" s="110" t="inlineStr">
        <is>
          <t>Pedido de Compra</t>
        </is>
      </c>
      <c r="Y1690" s="111" t="inlineStr">
        <is>
          <t>Impacto Potencial</t>
        </is>
      </c>
      <c r="Z1690" s="111" t="inlineStr">
        <is>
          <t>PC</t>
        </is>
      </c>
      <c r="AA1690" s="111" t="inlineStr">
        <is>
          <t>Nao</t>
        </is>
      </c>
      <c r="AB1690" s="111" t="inlineStr">
        <is>
          <t>NAO_COMPUTADO</t>
        </is>
      </c>
      <c r="AC1690" s="112" t="inlineStr">
        <is>
          <t>Estrutura Fase 1: sem impacto no VTA oficial</t>
        </is>
      </c>
    </row>
    <row r="1691" ht="25.5" customHeight="1" s="289">
      <c r="A1691" s="205" t="n"/>
      <c r="B1691" s="207" t="n"/>
      <c r="C1691" s="104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348" t="n"/>
      <c r="E1691" s="349">
        <f>IF(C1691="","",IFERROR(VLOOKUP(C1691,parametros!$A$11:$E$15,5,0),""))</f>
        <v/>
      </c>
      <c r="F1691" s="335">
        <f>IF(OR(D1691="",E1691=""),"",ROUND(D1691*E1691,2))</f>
        <v/>
      </c>
      <c r="G1691" s="106" t="n"/>
      <c r="H1691" s="350">
        <f>IF(G1691="Sim",IF(OR(F1691="",D1691="",L1691=""),"",IF(L1691="Sim",ROUND(F1691-D1691,2),0)),0)</f>
        <v/>
      </c>
      <c r="I1691" s="350">
        <f>IF(G1691="Sim",0,IF(OR(F1691="",L1691=""),"",F1691))</f>
        <v/>
      </c>
      <c r="J1691" s="350">
        <f>IF(G1691="Sim",0,IF(OR(F1691="",D1691="",L1691=""),"",IF(L1691="Sim",ROUND(F1691-D1691,2),0)))</f>
        <v/>
      </c>
      <c r="K1691" s="97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inlineStr">
        <is>
          <t>Nao</t>
        </is>
      </c>
      <c r="W1691" s="110" t="inlineStr">
        <is>
          <t>PC em analise</t>
        </is>
      </c>
      <c r="X1691" s="110" t="inlineStr">
        <is>
          <t>Pedido de Compra</t>
        </is>
      </c>
      <c r="Y1691" s="111" t="inlineStr">
        <is>
          <t>Impacto Potencial</t>
        </is>
      </c>
      <c r="Z1691" s="111" t="inlineStr">
        <is>
          <t>PC</t>
        </is>
      </c>
      <c r="AA1691" s="111" t="inlineStr">
        <is>
          <t>Nao</t>
        </is>
      </c>
      <c r="AB1691" s="111" t="inlineStr">
        <is>
          <t>NAO_COMPUTADO</t>
        </is>
      </c>
      <c r="AC1691" s="112" t="inlineStr">
        <is>
          <t>Estrutura Fase 1: sem impacto no VTA oficial</t>
        </is>
      </c>
    </row>
    <row r="1692" ht="25.5" customHeight="1" s="289">
      <c r="A1692" s="205" t="n"/>
      <c r="B1692" s="207" t="n"/>
      <c r="C1692" s="104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348" t="n"/>
      <c r="E1692" s="349">
        <f>IF(C1692="","",IFERROR(VLOOKUP(C1692,parametros!$A$11:$E$15,5,0),""))</f>
        <v/>
      </c>
      <c r="F1692" s="335">
        <f>IF(OR(D1692="",E1692=""),"",ROUND(D1692*E1692,2))</f>
        <v/>
      </c>
      <c r="G1692" s="106" t="n"/>
      <c r="H1692" s="350">
        <f>IF(G1692="Sim",IF(OR(F1692="",D1692="",L1692=""),"",IF(L1692="Sim",ROUND(F1692-D1692,2),0)),0)</f>
        <v/>
      </c>
      <c r="I1692" s="350">
        <f>IF(G1692="Sim",0,IF(OR(F1692="",L1692=""),"",F1692))</f>
        <v/>
      </c>
      <c r="J1692" s="350">
        <f>IF(G1692="Sim",0,IF(OR(F1692="",D1692="",L1692=""),"",IF(L1692="Sim",ROUND(F1692-D1692,2),0)))</f>
        <v/>
      </c>
      <c r="K1692" s="97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inlineStr">
        <is>
          <t>Nao</t>
        </is>
      </c>
      <c r="W1692" s="110" t="inlineStr">
        <is>
          <t>PC em analise</t>
        </is>
      </c>
      <c r="X1692" s="110" t="inlineStr">
        <is>
          <t>Pedido de Compra</t>
        </is>
      </c>
      <c r="Y1692" s="111" t="inlineStr">
        <is>
          <t>Impacto Potencial</t>
        </is>
      </c>
      <c r="Z1692" s="111" t="inlineStr">
        <is>
          <t>PC</t>
        </is>
      </c>
      <c r="AA1692" s="111" t="inlineStr">
        <is>
          <t>Nao</t>
        </is>
      </c>
      <c r="AB1692" s="111" t="inlineStr">
        <is>
          <t>NAO_COMPUTADO</t>
        </is>
      </c>
      <c r="AC1692" s="112" t="inlineStr">
        <is>
          <t>Estrutura Fase 1: sem impacto no VTA oficial</t>
        </is>
      </c>
    </row>
    <row r="1693" ht="25.5" customHeight="1" s="289">
      <c r="A1693" s="205" t="n"/>
      <c r="B1693" s="207" t="n"/>
      <c r="C1693" s="104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348" t="n"/>
      <c r="E1693" s="349">
        <f>IF(C1693="","",IFERROR(VLOOKUP(C1693,parametros!$A$11:$E$15,5,0),""))</f>
        <v/>
      </c>
      <c r="F1693" s="335">
        <f>IF(OR(D1693="",E1693=""),"",ROUND(D1693*E1693,2))</f>
        <v/>
      </c>
      <c r="G1693" s="106" t="n"/>
      <c r="H1693" s="350">
        <f>IF(G1693="Sim",IF(OR(F1693="",D1693="",L1693=""),"",IF(L1693="Sim",ROUND(F1693-D1693,2),0)),0)</f>
        <v/>
      </c>
      <c r="I1693" s="350">
        <f>IF(G1693="Sim",0,IF(OR(F1693="",L1693=""),"",F1693))</f>
        <v/>
      </c>
      <c r="J1693" s="350">
        <f>IF(G1693="Sim",0,IF(OR(F1693="",D1693="",L1693=""),"",IF(L1693="Sim",ROUND(F1693-D1693,2),0)))</f>
        <v/>
      </c>
      <c r="K1693" s="97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inlineStr">
        <is>
          <t>Nao</t>
        </is>
      </c>
      <c r="W1693" s="110" t="inlineStr">
        <is>
          <t>PC em analise</t>
        </is>
      </c>
      <c r="X1693" s="110" t="inlineStr">
        <is>
          <t>Pedido de Compra</t>
        </is>
      </c>
      <c r="Y1693" s="111" t="inlineStr">
        <is>
          <t>Impacto Potencial</t>
        </is>
      </c>
      <c r="Z1693" s="111" t="inlineStr">
        <is>
          <t>PC</t>
        </is>
      </c>
      <c r="AA1693" s="111" t="inlineStr">
        <is>
          <t>Nao</t>
        </is>
      </c>
      <c r="AB1693" s="111" t="inlineStr">
        <is>
          <t>NAO_COMPUTADO</t>
        </is>
      </c>
      <c r="AC1693" s="112" t="inlineStr">
        <is>
          <t>Estrutura Fase 1: sem impacto no VTA oficial</t>
        </is>
      </c>
    </row>
    <row r="1694" ht="25.5" customHeight="1" s="289">
      <c r="A1694" s="205" t="n"/>
      <c r="B1694" s="207" t="n"/>
      <c r="C1694" s="104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348" t="n"/>
      <c r="E1694" s="349">
        <f>IF(C1694="","",IFERROR(VLOOKUP(C1694,parametros!$A$11:$E$15,5,0),""))</f>
        <v/>
      </c>
      <c r="F1694" s="335">
        <f>IF(OR(D1694="",E1694=""),"",ROUND(D1694*E1694,2))</f>
        <v/>
      </c>
      <c r="G1694" s="106" t="n"/>
      <c r="H1694" s="350">
        <f>IF(G1694="Sim",IF(OR(F1694="",D1694="",L1694=""),"",IF(L1694="Sim",ROUND(F1694-D1694,2),0)),0)</f>
        <v/>
      </c>
      <c r="I1694" s="350">
        <f>IF(G1694="Sim",0,IF(OR(F1694="",L1694=""),"",F1694))</f>
        <v/>
      </c>
      <c r="J1694" s="350">
        <f>IF(G1694="Sim",0,IF(OR(F1694="",D1694="",L1694=""),"",IF(L1694="Sim",ROUND(F1694-D1694,2),0)))</f>
        <v/>
      </c>
      <c r="K1694" s="97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inlineStr">
        <is>
          <t>Nao</t>
        </is>
      </c>
      <c r="W1694" s="110" t="inlineStr">
        <is>
          <t>PC em analise</t>
        </is>
      </c>
      <c r="X1694" s="110" t="inlineStr">
        <is>
          <t>Pedido de Compra</t>
        </is>
      </c>
      <c r="Y1694" s="111" t="inlineStr">
        <is>
          <t>Impacto Potencial</t>
        </is>
      </c>
      <c r="Z1694" s="111" t="inlineStr">
        <is>
          <t>PC</t>
        </is>
      </c>
      <c r="AA1694" s="111" t="inlineStr">
        <is>
          <t>Nao</t>
        </is>
      </c>
      <c r="AB1694" s="111" t="inlineStr">
        <is>
          <t>NAO_COMPUTADO</t>
        </is>
      </c>
      <c r="AC1694" s="112" t="inlineStr">
        <is>
          <t>Estrutura Fase 1: sem impacto no VTA oficial</t>
        </is>
      </c>
    </row>
    <row r="1695" ht="25.5" customHeight="1" s="289">
      <c r="A1695" s="205" t="n"/>
      <c r="B1695" s="207" t="n"/>
      <c r="C1695" s="104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348" t="n"/>
      <c r="E1695" s="349">
        <f>IF(C1695="","",IFERROR(VLOOKUP(C1695,parametros!$A$11:$E$15,5,0),""))</f>
        <v/>
      </c>
      <c r="F1695" s="335">
        <f>IF(OR(D1695="",E1695=""),"",ROUND(D1695*E1695,2))</f>
        <v/>
      </c>
      <c r="G1695" s="106" t="n"/>
      <c r="H1695" s="350">
        <f>IF(G1695="Sim",IF(OR(F1695="",D1695="",L1695=""),"",IF(L1695="Sim",ROUND(F1695-D1695,2),0)),0)</f>
        <v/>
      </c>
      <c r="I1695" s="350">
        <f>IF(G1695="Sim",0,IF(OR(F1695="",L1695=""),"",F1695))</f>
        <v/>
      </c>
      <c r="J1695" s="350">
        <f>IF(G1695="Sim",0,IF(OR(F1695="",D1695="",L1695=""),"",IF(L1695="Sim",ROUND(F1695-D1695,2),0)))</f>
        <v/>
      </c>
      <c r="K1695" s="97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inlineStr">
        <is>
          <t>Nao</t>
        </is>
      </c>
      <c r="W1695" s="110" t="inlineStr">
        <is>
          <t>PC em analise</t>
        </is>
      </c>
      <c r="X1695" s="110" t="inlineStr">
        <is>
          <t>Pedido de Compra</t>
        </is>
      </c>
      <c r="Y1695" s="111" t="inlineStr">
        <is>
          <t>Impacto Potencial</t>
        </is>
      </c>
      <c r="Z1695" s="111" t="inlineStr">
        <is>
          <t>PC</t>
        </is>
      </c>
      <c r="AA1695" s="111" t="inlineStr">
        <is>
          <t>Nao</t>
        </is>
      </c>
      <c r="AB1695" s="111" t="inlineStr">
        <is>
          <t>NAO_COMPUTADO</t>
        </is>
      </c>
      <c r="AC1695" s="112" t="inlineStr">
        <is>
          <t>Estrutura Fase 1: sem impacto no VTA oficial</t>
        </is>
      </c>
    </row>
    <row r="1696" ht="25.5" customHeight="1" s="289">
      <c r="A1696" s="205" t="n"/>
      <c r="B1696" s="207" t="n"/>
      <c r="C1696" s="104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348" t="n"/>
      <c r="E1696" s="349">
        <f>IF(C1696="","",IFERROR(VLOOKUP(C1696,parametros!$A$11:$E$15,5,0),""))</f>
        <v/>
      </c>
      <c r="F1696" s="335">
        <f>IF(OR(D1696="",E1696=""),"",ROUND(D1696*E1696,2))</f>
        <v/>
      </c>
      <c r="G1696" s="106" t="n"/>
      <c r="H1696" s="350">
        <f>IF(G1696="Sim",IF(OR(F1696="",D1696="",L1696=""),"",IF(L1696="Sim",ROUND(F1696-D1696,2),0)),0)</f>
        <v/>
      </c>
      <c r="I1696" s="350">
        <f>IF(G1696="Sim",0,IF(OR(F1696="",L1696=""),"",F1696))</f>
        <v/>
      </c>
      <c r="J1696" s="350">
        <f>IF(G1696="Sim",0,IF(OR(F1696="",D1696="",L1696=""),"",IF(L1696="Sim",ROUND(F1696-D1696,2),0)))</f>
        <v/>
      </c>
      <c r="K1696" s="97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inlineStr">
        <is>
          <t>Nao</t>
        </is>
      </c>
      <c r="W1696" s="110" t="inlineStr">
        <is>
          <t>PC em analise</t>
        </is>
      </c>
      <c r="X1696" s="110" t="inlineStr">
        <is>
          <t>Pedido de Compra</t>
        </is>
      </c>
      <c r="Y1696" s="111" t="inlineStr">
        <is>
          <t>Impacto Potencial</t>
        </is>
      </c>
      <c r="Z1696" s="111" t="inlineStr">
        <is>
          <t>PC</t>
        </is>
      </c>
      <c r="AA1696" s="111" t="inlineStr">
        <is>
          <t>Nao</t>
        </is>
      </c>
      <c r="AB1696" s="111" t="inlineStr">
        <is>
          <t>NAO_COMPUTADO</t>
        </is>
      </c>
      <c r="AC1696" s="112" t="inlineStr">
        <is>
          <t>Estrutura Fase 1: sem impacto no VTA oficial</t>
        </is>
      </c>
    </row>
    <row r="1697" ht="25.5" customHeight="1" s="289">
      <c r="A1697" s="205" t="n"/>
      <c r="B1697" s="207" t="n"/>
      <c r="C1697" s="104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348" t="n"/>
      <c r="E1697" s="349">
        <f>IF(C1697="","",IFERROR(VLOOKUP(C1697,parametros!$A$11:$E$15,5,0),""))</f>
        <v/>
      </c>
      <c r="F1697" s="335">
        <f>IF(OR(D1697="",E1697=""),"",ROUND(D1697*E1697,2))</f>
        <v/>
      </c>
      <c r="G1697" s="106" t="n"/>
      <c r="H1697" s="350">
        <f>IF(G1697="Sim",IF(OR(F1697="",D1697="",L1697=""),"",IF(L1697="Sim",ROUND(F1697-D1697,2),0)),0)</f>
        <v/>
      </c>
      <c r="I1697" s="350">
        <f>IF(G1697="Sim",0,IF(OR(F1697="",L1697=""),"",F1697))</f>
        <v/>
      </c>
      <c r="J1697" s="350">
        <f>IF(G1697="Sim",0,IF(OR(F1697="",D1697="",L1697=""),"",IF(L1697="Sim",ROUND(F1697-D1697,2),0)))</f>
        <v/>
      </c>
      <c r="K1697" s="97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inlineStr">
        <is>
          <t>Nao</t>
        </is>
      </c>
      <c r="W1697" s="110" t="inlineStr">
        <is>
          <t>PC em analise</t>
        </is>
      </c>
      <c r="X1697" s="110" t="inlineStr">
        <is>
          <t>Pedido de Compra</t>
        </is>
      </c>
      <c r="Y1697" s="111" t="inlineStr">
        <is>
          <t>Impacto Potencial</t>
        </is>
      </c>
      <c r="Z1697" s="111" t="inlineStr">
        <is>
          <t>PC</t>
        </is>
      </c>
      <c r="AA1697" s="111" t="inlineStr">
        <is>
          <t>Nao</t>
        </is>
      </c>
      <c r="AB1697" s="111" t="inlineStr">
        <is>
          <t>NAO_COMPUTADO</t>
        </is>
      </c>
      <c r="AC1697" s="112" t="inlineStr">
        <is>
          <t>Estrutura Fase 1: sem impacto no VTA oficial</t>
        </is>
      </c>
    </row>
    <row r="1698" ht="25.5" customHeight="1" s="289">
      <c r="A1698" s="205" t="n"/>
      <c r="B1698" s="207" t="n"/>
      <c r="C1698" s="104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348" t="n"/>
      <c r="E1698" s="349">
        <f>IF(C1698="","",IFERROR(VLOOKUP(C1698,parametros!$A$11:$E$15,5,0),""))</f>
        <v/>
      </c>
      <c r="F1698" s="335">
        <f>IF(OR(D1698="",E1698=""),"",ROUND(D1698*E1698,2))</f>
        <v/>
      </c>
      <c r="G1698" s="106" t="n"/>
      <c r="H1698" s="350">
        <f>IF(G1698="Sim",IF(OR(F1698="",D1698="",L1698=""),"",IF(L1698="Sim",ROUND(F1698-D1698,2),0)),0)</f>
        <v/>
      </c>
      <c r="I1698" s="350">
        <f>IF(G1698="Sim",0,IF(OR(F1698="",L1698=""),"",F1698))</f>
        <v/>
      </c>
      <c r="J1698" s="350">
        <f>IF(G1698="Sim",0,IF(OR(F1698="",D1698="",L1698=""),"",IF(L1698="Sim",ROUND(F1698-D1698,2),0)))</f>
        <v/>
      </c>
      <c r="K1698" s="97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inlineStr">
        <is>
          <t>Nao</t>
        </is>
      </c>
      <c r="W1698" s="110" t="inlineStr">
        <is>
          <t>PC em analise</t>
        </is>
      </c>
      <c r="X1698" s="110" t="inlineStr">
        <is>
          <t>Pedido de Compra</t>
        </is>
      </c>
      <c r="Y1698" s="111" t="inlineStr">
        <is>
          <t>Impacto Potencial</t>
        </is>
      </c>
      <c r="Z1698" s="111" t="inlineStr">
        <is>
          <t>PC</t>
        </is>
      </c>
      <c r="AA1698" s="111" t="inlineStr">
        <is>
          <t>Nao</t>
        </is>
      </c>
      <c r="AB1698" s="111" t="inlineStr">
        <is>
          <t>NAO_COMPUTADO</t>
        </is>
      </c>
      <c r="AC1698" s="112" t="inlineStr">
        <is>
          <t>Estrutura Fase 1: sem impacto no VTA oficial</t>
        </is>
      </c>
    </row>
    <row r="1699" ht="25.5" customHeight="1" s="289">
      <c r="A1699" s="205" t="n"/>
      <c r="B1699" s="207" t="n"/>
      <c r="C1699" s="104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348" t="n"/>
      <c r="E1699" s="349">
        <f>IF(C1699="","",IFERROR(VLOOKUP(C1699,parametros!$A$11:$E$15,5,0),""))</f>
        <v/>
      </c>
      <c r="F1699" s="335">
        <f>IF(OR(D1699="",E1699=""),"",ROUND(D1699*E1699,2))</f>
        <v/>
      </c>
      <c r="G1699" s="106" t="n"/>
      <c r="H1699" s="350">
        <f>IF(G1699="Sim",IF(OR(F1699="",D1699="",L1699=""),"",IF(L1699="Sim",ROUND(F1699-D1699,2),0)),0)</f>
        <v/>
      </c>
      <c r="I1699" s="350">
        <f>IF(G1699="Sim",0,IF(OR(F1699="",L1699=""),"",F1699))</f>
        <v/>
      </c>
      <c r="J1699" s="350">
        <f>IF(G1699="Sim",0,IF(OR(F1699="",D1699="",L1699=""),"",IF(L1699="Sim",ROUND(F1699-D1699,2),0)))</f>
        <v/>
      </c>
      <c r="K1699" s="97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inlineStr">
        <is>
          <t>Nao</t>
        </is>
      </c>
      <c r="W1699" s="110" t="inlineStr">
        <is>
          <t>PC em analise</t>
        </is>
      </c>
      <c r="X1699" s="110" t="inlineStr">
        <is>
          <t>Pedido de Compra</t>
        </is>
      </c>
      <c r="Y1699" s="111" t="inlineStr">
        <is>
          <t>Impacto Potencial</t>
        </is>
      </c>
      <c r="Z1699" s="111" t="inlineStr">
        <is>
          <t>PC</t>
        </is>
      </c>
      <c r="AA1699" s="111" t="inlineStr">
        <is>
          <t>Nao</t>
        </is>
      </c>
      <c r="AB1699" s="111" t="inlineStr">
        <is>
          <t>NAO_COMPUTADO</t>
        </is>
      </c>
      <c r="AC1699" s="112" t="inlineStr">
        <is>
          <t>Estrutura Fase 1: sem impacto no VTA oficial</t>
        </is>
      </c>
    </row>
    <row r="1700" ht="25.5" customHeight="1" s="289">
      <c r="A1700" s="205" t="n"/>
      <c r="B1700" s="207" t="n"/>
      <c r="C1700" s="104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348" t="n"/>
      <c r="E1700" s="349">
        <f>IF(C1700="","",IFERROR(VLOOKUP(C1700,parametros!$A$11:$E$15,5,0),""))</f>
        <v/>
      </c>
      <c r="F1700" s="335">
        <f>IF(OR(D1700="",E1700=""),"",ROUND(D1700*E1700,2))</f>
        <v/>
      </c>
      <c r="G1700" s="106" t="n"/>
      <c r="H1700" s="350">
        <f>IF(G1700="Sim",IF(OR(F1700="",D1700="",L1700=""),"",IF(L1700="Sim",ROUND(F1700-D1700,2),0)),0)</f>
        <v/>
      </c>
      <c r="I1700" s="350">
        <f>IF(G1700="Sim",0,IF(OR(F1700="",L1700=""),"",F1700))</f>
        <v/>
      </c>
      <c r="J1700" s="350">
        <f>IF(G1700="Sim",0,IF(OR(F1700="",D1700="",L1700=""),"",IF(L1700="Sim",ROUND(F1700-D1700,2),0)))</f>
        <v/>
      </c>
      <c r="K1700" s="97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inlineStr">
        <is>
          <t>Nao</t>
        </is>
      </c>
      <c r="W1700" s="110" t="inlineStr">
        <is>
          <t>PC em analise</t>
        </is>
      </c>
      <c r="X1700" s="110" t="inlineStr">
        <is>
          <t>Pedido de Compra</t>
        </is>
      </c>
      <c r="Y1700" s="111" t="inlineStr">
        <is>
          <t>Impacto Potencial</t>
        </is>
      </c>
      <c r="Z1700" s="111" t="inlineStr">
        <is>
          <t>PC</t>
        </is>
      </c>
      <c r="AA1700" s="111" t="inlineStr">
        <is>
          <t>Nao</t>
        </is>
      </c>
      <c r="AB1700" s="111" t="inlineStr">
        <is>
          <t>NAO_COMPUTADO</t>
        </is>
      </c>
      <c r="AC1700" s="112" t="inlineStr">
        <is>
          <t>Estrutura Fase 1: sem impacto no VTA oficial</t>
        </is>
      </c>
    </row>
    <row r="1701" ht="25.5" customHeight="1" s="289">
      <c r="A1701" s="205" t="n"/>
      <c r="B1701" s="207" t="n"/>
      <c r="C1701" s="104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348" t="n"/>
      <c r="E1701" s="349">
        <f>IF(C1701="","",IFERROR(VLOOKUP(C1701,parametros!$A$11:$E$15,5,0),""))</f>
        <v/>
      </c>
      <c r="F1701" s="335">
        <f>IF(OR(D1701="",E1701=""),"",ROUND(D1701*E1701,2))</f>
        <v/>
      </c>
      <c r="G1701" s="106" t="n"/>
      <c r="H1701" s="350">
        <f>IF(G1701="Sim",IF(OR(F1701="",D1701="",L1701=""),"",IF(L1701="Sim",ROUND(F1701-D1701,2),0)),0)</f>
        <v/>
      </c>
      <c r="I1701" s="350">
        <f>IF(G1701="Sim",0,IF(OR(F1701="",L1701=""),"",F1701))</f>
        <v/>
      </c>
      <c r="J1701" s="350">
        <f>IF(G1701="Sim",0,IF(OR(F1701="",D1701="",L1701=""),"",IF(L1701="Sim",ROUND(F1701-D1701,2),0)))</f>
        <v/>
      </c>
      <c r="K1701" s="97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inlineStr">
        <is>
          <t>Nao</t>
        </is>
      </c>
      <c r="W1701" s="110" t="inlineStr">
        <is>
          <t>PC em analise</t>
        </is>
      </c>
      <c r="X1701" s="110" t="inlineStr">
        <is>
          <t>Pedido de Compra</t>
        </is>
      </c>
      <c r="Y1701" s="111" t="inlineStr">
        <is>
          <t>Impacto Potencial</t>
        </is>
      </c>
      <c r="Z1701" s="111" t="inlineStr">
        <is>
          <t>PC</t>
        </is>
      </c>
      <c r="AA1701" s="111" t="inlineStr">
        <is>
          <t>Nao</t>
        </is>
      </c>
      <c r="AB1701" s="111" t="inlineStr">
        <is>
          <t>NAO_COMPUTADO</t>
        </is>
      </c>
      <c r="AC1701" s="112" t="inlineStr">
        <is>
          <t>Estrutura Fase 1: sem impacto no VTA oficial</t>
        </is>
      </c>
    </row>
    <row r="1702" ht="25.5" customHeight="1" s="289">
      <c r="A1702" s="205" t="n"/>
      <c r="B1702" s="207" t="n"/>
      <c r="C1702" s="104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348" t="n"/>
      <c r="E1702" s="349">
        <f>IF(C1702="","",IFERROR(VLOOKUP(C1702,parametros!$A$11:$E$15,5,0),""))</f>
        <v/>
      </c>
      <c r="F1702" s="335">
        <f>IF(OR(D1702="",E1702=""),"",ROUND(D1702*E1702,2))</f>
        <v/>
      </c>
      <c r="G1702" s="106" t="n"/>
      <c r="H1702" s="350">
        <f>IF(G1702="Sim",IF(OR(F1702="",D1702="",L1702=""),"",IF(L1702="Sim",ROUND(F1702-D1702,2),0)),0)</f>
        <v/>
      </c>
      <c r="I1702" s="350">
        <f>IF(G1702="Sim",0,IF(OR(F1702="",L1702=""),"",F1702))</f>
        <v/>
      </c>
      <c r="J1702" s="350">
        <f>IF(G1702="Sim",0,IF(OR(F1702="",D1702="",L1702=""),"",IF(L1702="Sim",ROUND(F1702-D1702,2),0)))</f>
        <v/>
      </c>
      <c r="K1702" s="97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inlineStr">
        <is>
          <t>Nao</t>
        </is>
      </c>
      <c r="W1702" s="110" t="inlineStr">
        <is>
          <t>PC em analise</t>
        </is>
      </c>
      <c r="X1702" s="110" t="inlineStr">
        <is>
          <t>Pedido de Compra</t>
        </is>
      </c>
      <c r="Y1702" s="111" t="inlineStr">
        <is>
          <t>Impacto Potencial</t>
        </is>
      </c>
      <c r="Z1702" s="111" t="inlineStr">
        <is>
          <t>PC</t>
        </is>
      </c>
      <c r="AA1702" s="111" t="inlineStr">
        <is>
          <t>Nao</t>
        </is>
      </c>
      <c r="AB1702" s="111" t="inlineStr">
        <is>
          <t>NAO_COMPUTADO</t>
        </is>
      </c>
      <c r="AC1702" s="112" t="inlineStr">
        <is>
          <t>Estrutura Fase 1: sem impacto no VTA oficial</t>
        </is>
      </c>
    </row>
    <row r="1703" ht="25.5" customHeight="1" s="289">
      <c r="A1703" s="205" t="n"/>
      <c r="B1703" s="207" t="n"/>
      <c r="C1703" s="104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348" t="n"/>
      <c r="E1703" s="349">
        <f>IF(C1703="","",IFERROR(VLOOKUP(C1703,parametros!$A$11:$E$15,5,0),""))</f>
        <v/>
      </c>
      <c r="F1703" s="335">
        <f>IF(OR(D1703="",E1703=""),"",ROUND(D1703*E1703,2))</f>
        <v/>
      </c>
      <c r="G1703" s="106" t="n"/>
      <c r="H1703" s="350">
        <f>IF(G1703="Sim",IF(OR(F1703="",D1703="",L1703=""),"",IF(L1703="Sim",ROUND(F1703-D1703,2),0)),0)</f>
        <v/>
      </c>
      <c r="I1703" s="350">
        <f>IF(G1703="Sim",0,IF(OR(F1703="",L1703=""),"",F1703))</f>
        <v/>
      </c>
      <c r="J1703" s="350">
        <f>IF(G1703="Sim",0,IF(OR(F1703="",D1703="",L1703=""),"",IF(L1703="Sim",ROUND(F1703-D1703,2),0)))</f>
        <v/>
      </c>
      <c r="K1703" s="97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inlineStr">
        <is>
          <t>Nao</t>
        </is>
      </c>
      <c r="W1703" s="110" t="inlineStr">
        <is>
          <t>PC em analise</t>
        </is>
      </c>
      <c r="X1703" s="110" t="inlineStr">
        <is>
          <t>Pedido de Compra</t>
        </is>
      </c>
      <c r="Y1703" s="111" t="inlineStr">
        <is>
          <t>Impacto Potencial</t>
        </is>
      </c>
      <c r="Z1703" s="111" t="inlineStr">
        <is>
          <t>PC</t>
        </is>
      </c>
      <c r="AA1703" s="111" t="inlineStr">
        <is>
          <t>Nao</t>
        </is>
      </c>
      <c r="AB1703" s="111" t="inlineStr">
        <is>
          <t>NAO_COMPUTADO</t>
        </is>
      </c>
      <c r="AC1703" s="112" t="inlineStr">
        <is>
          <t>Estrutura Fase 1: sem impacto no VTA oficial</t>
        </is>
      </c>
    </row>
    <row r="1704" ht="25.5" customHeight="1" s="289">
      <c r="A1704" s="205" t="n"/>
      <c r="B1704" s="207" t="n"/>
      <c r="C1704" s="104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348" t="n"/>
      <c r="E1704" s="349">
        <f>IF(C1704="","",IFERROR(VLOOKUP(C1704,parametros!$A$11:$E$15,5,0),""))</f>
        <v/>
      </c>
      <c r="F1704" s="335">
        <f>IF(OR(D1704="",E1704=""),"",ROUND(D1704*E1704,2))</f>
        <v/>
      </c>
      <c r="G1704" s="106" t="n"/>
      <c r="H1704" s="350">
        <f>IF(G1704="Sim",IF(OR(F1704="",D1704="",L1704=""),"",IF(L1704="Sim",ROUND(F1704-D1704,2),0)),0)</f>
        <v/>
      </c>
      <c r="I1704" s="350">
        <f>IF(G1704="Sim",0,IF(OR(F1704="",L1704=""),"",F1704))</f>
        <v/>
      </c>
      <c r="J1704" s="350">
        <f>IF(G1704="Sim",0,IF(OR(F1704="",D1704="",L1704=""),"",IF(L1704="Sim",ROUND(F1704-D1704,2),0)))</f>
        <v/>
      </c>
      <c r="K1704" s="97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inlineStr">
        <is>
          <t>Nao</t>
        </is>
      </c>
      <c r="W1704" s="110" t="inlineStr">
        <is>
          <t>PC em analise</t>
        </is>
      </c>
      <c r="X1704" s="110" t="inlineStr">
        <is>
          <t>Pedido de Compra</t>
        </is>
      </c>
      <c r="Y1704" s="111" t="inlineStr">
        <is>
          <t>Impacto Potencial</t>
        </is>
      </c>
      <c r="Z1704" s="111" t="inlineStr">
        <is>
          <t>PC</t>
        </is>
      </c>
      <c r="AA1704" s="111" t="inlineStr">
        <is>
          <t>Nao</t>
        </is>
      </c>
      <c r="AB1704" s="111" t="inlineStr">
        <is>
          <t>NAO_COMPUTADO</t>
        </is>
      </c>
      <c r="AC1704" s="112" t="inlineStr">
        <is>
          <t>Estrutura Fase 1: sem impacto no VTA oficial</t>
        </is>
      </c>
    </row>
    <row r="1705" ht="25.5" customHeight="1" s="289">
      <c r="A1705" s="205" t="n"/>
      <c r="B1705" s="207" t="n"/>
      <c r="C1705" s="104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348" t="n"/>
      <c r="E1705" s="349">
        <f>IF(C1705="","",IFERROR(VLOOKUP(C1705,parametros!$A$11:$E$15,5,0),""))</f>
        <v/>
      </c>
      <c r="F1705" s="335">
        <f>IF(OR(D1705="",E1705=""),"",ROUND(D1705*E1705,2))</f>
        <v/>
      </c>
      <c r="G1705" s="106" t="n"/>
      <c r="H1705" s="350">
        <f>IF(G1705="Sim",IF(OR(F1705="",D1705="",L1705=""),"",IF(L1705="Sim",ROUND(F1705-D1705,2),0)),0)</f>
        <v/>
      </c>
      <c r="I1705" s="350">
        <f>IF(G1705="Sim",0,IF(OR(F1705="",L1705=""),"",F1705))</f>
        <v/>
      </c>
      <c r="J1705" s="350">
        <f>IF(G1705="Sim",0,IF(OR(F1705="",D1705="",L1705=""),"",IF(L1705="Sim",ROUND(F1705-D1705,2),0)))</f>
        <v/>
      </c>
      <c r="K1705" s="97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inlineStr">
        <is>
          <t>Nao</t>
        </is>
      </c>
      <c r="W1705" s="110" t="inlineStr">
        <is>
          <t>PC em analise</t>
        </is>
      </c>
      <c r="X1705" s="110" t="inlineStr">
        <is>
          <t>Pedido de Compra</t>
        </is>
      </c>
      <c r="Y1705" s="111" t="inlineStr">
        <is>
          <t>Impacto Potencial</t>
        </is>
      </c>
      <c r="Z1705" s="111" t="inlineStr">
        <is>
          <t>PC</t>
        </is>
      </c>
      <c r="AA1705" s="111" t="inlineStr">
        <is>
          <t>Nao</t>
        </is>
      </c>
      <c r="AB1705" s="111" t="inlineStr">
        <is>
          <t>NAO_COMPUTADO</t>
        </is>
      </c>
      <c r="AC1705" s="112" t="inlineStr">
        <is>
          <t>Estrutura Fase 1: sem impacto no VTA oficial</t>
        </is>
      </c>
    </row>
    <row r="1706" ht="25.5" customHeight="1" s="289">
      <c r="A1706" s="205" t="n"/>
      <c r="B1706" s="207" t="n"/>
      <c r="C1706" s="104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348" t="n"/>
      <c r="E1706" s="349">
        <f>IF(C1706="","",IFERROR(VLOOKUP(C1706,parametros!$A$11:$E$15,5,0),""))</f>
        <v/>
      </c>
      <c r="F1706" s="335">
        <f>IF(OR(D1706="",E1706=""),"",ROUND(D1706*E1706,2))</f>
        <v/>
      </c>
      <c r="G1706" s="106" t="n"/>
      <c r="H1706" s="350">
        <f>IF(G1706="Sim",IF(OR(F1706="",D1706="",L1706=""),"",IF(L1706="Sim",ROUND(F1706-D1706,2),0)),0)</f>
        <v/>
      </c>
      <c r="I1706" s="350">
        <f>IF(G1706="Sim",0,IF(OR(F1706="",L1706=""),"",F1706))</f>
        <v/>
      </c>
      <c r="J1706" s="350">
        <f>IF(G1706="Sim",0,IF(OR(F1706="",D1706="",L1706=""),"",IF(L1706="Sim",ROUND(F1706-D1706,2),0)))</f>
        <v/>
      </c>
      <c r="K1706" s="97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inlineStr">
        <is>
          <t>Nao</t>
        </is>
      </c>
      <c r="W1706" s="110" t="inlineStr">
        <is>
          <t>PC em analise</t>
        </is>
      </c>
      <c r="X1706" s="110" t="inlineStr">
        <is>
          <t>Pedido de Compra</t>
        </is>
      </c>
      <c r="Y1706" s="111" t="inlineStr">
        <is>
          <t>Impacto Potencial</t>
        </is>
      </c>
      <c r="Z1706" s="111" t="inlineStr">
        <is>
          <t>PC</t>
        </is>
      </c>
      <c r="AA1706" s="111" t="inlineStr">
        <is>
          <t>Nao</t>
        </is>
      </c>
      <c r="AB1706" s="111" t="inlineStr">
        <is>
          <t>NAO_COMPUTADO</t>
        </is>
      </c>
      <c r="AC1706" s="112" t="inlineStr">
        <is>
          <t>Estrutura Fase 1: sem impacto no VTA oficial</t>
        </is>
      </c>
    </row>
    <row r="1707" ht="25.5" customHeight="1" s="289">
      <c r="A1707" s="205" t="n"/>
      <c r="B1707" s="207" t="n"/>
      <c r="C1707" s="104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348" t="n"/>
      <c r="E1707" s="349">
        <f>IF(C1707="","",IFERROR(VLOOKUP(C1707,parametros!$A$11:$E$15,5,0),""))</f>
        <v/>
      </c>
      <c r="F1707" s="335">
        <f>IF(OR(D1707="",E1707=""),"",ROUND(D1707*E1707,2))</f>
        <v/>
      </c>
      <c r="G1707" s="106" t="n"/>
      <c r="H1707" s="350">
        <f>IF(G1707="Sim",IF(OR(F1707="",D1707="",L1707=""),"",IF(L1707="Sim",ROUND(F1707-D1707,2),0)),0)</f>
        <v/>
      </c>
      <c r="I1707" s="350">
        <f>IF(G1707="Sim",0,IF(OR(F1707="",L1707=""),"",F1707))</f>
        <v/>
      </c>
      <c r="J1707" s="350">
        <f>IF(G1707="Sim",0,IF(OR(F1707="",D1707="",L1707=""),"",IF(L1707="Sim",ROUND(F1707-D1707,2),0)))</f>
        <v/>
      </c>
      <c r="K1707" s="97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inlineStr">
        <is>
          <t>Nao</t>
        </is>
      </c>
      <c r="W1707" s="110" t="inlineStr">
        <is>
          <t>PC em analise</t>
        </is>
      </c>
      <c r="X1707" s="110" t="inlineStr">
        <is>
          <t>Pedido de Compra</t>
        </is>
      </c>
      <c r="Y1707" s="111" t="inlineStr">
        <is>
          <t>Impacto Potencial</t>
        </is>
      </c>
      <c r="Z1707" s="111" t="inlineStr">
        <is>
          <t>PC</t>
        </is>
      </c>
      <c r="AA1707" s="111" t="inlineStr">
        <is>
          <t>Nao</t>
        </is>
      </c>
      <c r="AB1707" s="111" t="inlineStr">
        <is>
          <t>NAO_COMPUTADO</t>
        </is>
      </c>
      <c r="AC1707" s="112" t="inlineStr">
        <is>
          <t>Estrutura Fase 1: sem impacto no VTA oficial</t>
        </is>
      </c>
    </row>
    <row r="1708" ht="25.5" customHeight="1" s="289">
      <c r="A1708" s="205" t="n"/>
      <c r="B1708" s="207" t="n"/>
      <c r="C1708" s="104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348" t="n"/>
      <c r="E1708" s="349">
        <f>IF(C1708="","",IFERROR(VLOOKUP(C1708,parametros!$A$11:$E$15,5,0),""))</f>
        <v/>
      </c>
      <c r="F1708" s="335">
        <f>IF(OR(D1708="",E1708=""),"",ROUND(D1708*E1708,2))</f>
        <v/>
      </c>
      <c r="G1708" s="106" t="n"/>
      <c r="H1708" s="350">
        <f>IF(G1708="Sim",IF(OR(F1708="",D1708="",L1708=""),"",IF(L1708="Sim",ROUND(F1708-D1708,2),0)),0)</f>
        <v/>
      </c>
      <c r="I1708" s="350">
        <f>IF(G1708="Sim",0,IF(OR(F1708="",L1708=""),"",F1708))</f>
        <v/>
      </c>
      <c r="J1708" s="350">
        <f>IF(G1708="Sim",0,IF(OR(F1708="",D1708="",L1708=""),"",IF(L1708="Sim",ROUND(F1708-D1708,2),0)))</f>
        <v/>
      </c>
      <c r="K1708" s="97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inlineStr">
        <is>
          <t>Nao</t>
        </is>
      </c>
      <c r="W1708" s="110" t="inlineStr">
        <is>
          <t>PC em analise</t>
        </is>
      </c>
      <c r="X1708" s="110" t="inlineStr">
        <is>
          <t>Pedido de Compra</t>
        </is>
      </c>
      <c r="Y1708" s="111" t="inlineStr">
        <is>
          <t>Impacto Potencial</t>
        </is>
      </c>
      <c r="Z1708" s="111" t="inlineStr">
        <is>
          <t>PC</t>
        </is>
      </c>
      <c r="AA1708" s="111" t="inlineStr">
        <is>
          <t>Nao</t>
        </is>
      </c>
      <c r="AB1708" s="111" t="inlineStr">
        <is>
          <t>NAO_COMPUTADO</t>
        </is>
      </c>
      <c r="AC1708" s="112" t="inlineStr">
        <is>
          <t>Estrutura Fase 1: sem impacto no VTA oficial</t>
        </is>
      </c>
    </row>
    <row r="1709" ht="25.5" customHeight="1" s="289">
      <c r="A1709" s="205" t="n"/>
      <c r="B1709" s="207" t="n"/>
      <c r="C1709" s="104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348" t="n"/>
      <c r="E1709" s="349">
        <f>IF(C1709="","",IFERROR(VLOOKUP(C1709,parametros!$A$11:$E$15,5,0),""))</f>
        <v/>
      </c>
      <c r="F1709" s="335">
        <f>IF(OR(D1709="",E1709=""),"",ROUND(D1709*E1709,2))</f>
        <v/>
      </c>
      <c r="G1709" s="106" t="n"/>
      <c r="H1709" s="350">
        <f>IF(G1709="Sim",IF(OR(F1709="",D1709="",L1709=""),"",IF(L1709="Sim",ROUND(F1709-D1709,2),0)),0)</f>
        <v/>
      </c>
      <c r="I1709" s="350">
        <f>IF(G1709="Sim",0,IF(OR(F1709="",L1709=""),"",F1709))</f>
        <v/>
      </c>
      <c r="J1709" s="350">
        <f>IF(G1709="Sim",0,IF(OR(F1709="",D1709="",L1709=""),"",IF(L1709="Sim",ROUND(F1709-D1709,2),0)))</f>
        <v/>
      </c>
      <c r="K1709" s="97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inlineStr">
        <is>
          <t>Nao</t>
        </is>
      </c>
      <c r="W1709" s="110" t="inlineStr">
        <is>
          <t>PC em analise</t>
        </is>
      </c>
      <c r="X1709" s="110" t="inlineStr">
        <is>
          <t>Pedido de Compra</t>
        </is>
      </c>
      <c r="Y1709" s="111" t="inlineStr">
        <is>
          <t>Impacto Potencial</t>
        </is>
      </c>
      <c r="Z1709" s="111" t="inlineStr">
        <is>
          <t>PC</t>
        </is>
      </c>
      <c r="AA1709" s="111" t="inlineStr">
        <is>
          <t>Nao</t>
        </is>
      </c>
      <c r="AB1709" s="111" t="inlineStr">
        <is>
          <t>NAO_COMPUTADO</t>
        </is>
      </c>
      <c r="AC1709" s="112" t="inlineStr">
        <is>
          <t>Estrutura Fase 1: sem impacto no VTA oficial</t>
        </is>
      </c>
    </row>
    <row r="1710" ht="25.5" customHeight="1" s="289">
      <c r="A1710" s="205" t="n"/>
      <c r="B1710" s="207" t="n"/>
      <c r="C1710" s="104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348" t="n"/>
      <c r="E1710" s="349">
        <f>IF(C1710="","",IFERROR(VLOOKUP(C1710,parametros!$A$11:$E$15,5,0),""))</f>
        <v/>
      </c>
      <c r="F1710" s="335">
        <f>IF(OR(D1710="",E1710=""),"",ROUND(D1710*E1710,2))</f>
        <v/>
      </c>
      <c r="G1710" s="106" t="n"/>
      <c r="H1710" s="350">
        <f>IF(G1710="Sim",IF(OR(F1710="",D1710="",L1710=""),"",IF(L1710="Sim",ROUND(F1710-D1710,2),0)),0)</f>
        <v/>
      </c>
      <c r="I1710" s="350">
        <f>IF(G1710="Sim",0,IF(OR(F1710="",L1710=""),"",F1710))</f>
        <v/>
      </c>
      <c r="J1710" s="350">
        <f>IF(G1710="Sim",0,IF(OR(F1710="",D1710="",L1710=""),"",IF(L1710="Sim",ROUND(F1710-D1710,2),0)))</f>
        <v/>
      </c>
      <c r="K1710" s="97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inlineStr">
        <is>
          <t>Nao</t>
        </is>
      </c>
      <c r="W1710" s="110" t="inlineStr">
        <is>
          <t>PC em analise</t>
        </is>
      </c>
      <c r="X1710" s="110" t="inlineStr">
        <is>
          <t>Pedido de Compra</t>
        </is>
      </c>
      <c r="Y1710" s="111" t="inlineStr">
        <is>
          <t>Impacto Potencial</t>
        </is>
      </c>
      <c r="Z1710" s="111" t="inlineStr">
        <is>
          <t>PC</t>
        </is>
      </c>
      <c r="AA1710" s="111" t="inlineStr">
        <is>
          <t>Nao</t>
        </is>
      </c>
      <c r="AB1710" s="111" t="inlineStr">
        <is>
          <t>NAO_COMPUTADO</t>
        </is>
      </c>
      <c r="AC1710" s="112" t="inlineStr">
        <is>
          <t>Estrutura Fase 1: sem impacto no VTA oficial</t>
        </is>
      </c>
    </row>
    <row r="1711" ht="25.5" customHeight="1" s="289">
      <c r="A1711" s="205" t="n"/>
      <c r="B1711" s="207" t="n"/>
      <c r="C1711" s="104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348" t="n"/>
      <c r="E1711" s="349">
        <f>IF(C1711="","",IFERROR(VLOOKUP(C1711,parametros!$A$11:$E$15,5,0),""))</f>
        <v/>
      </c>
      <c r="F1711" s="335">
        <f>IF(OR(D1711="",E1711=""),"",ROUND(D1711*E1711,2))</f>
        <v/>
      </c>
      <c r="G1711" s="106" t="n"/>
      <c r="H1711" s="350">
        <f>IF(G1711="Sim",IF(OR(F1711="",D1711="",L1711=""),"",IF(L1711="Sim",ROUND(F1711-D1711,2),0)),0)</f>
        <v/>
      </c>
      <c r="I1711" s="350">
        <f>IF(G1711="Sim",0,IF(OR(F1711="",L1711=""),"",F1711))</f>
        <v/>
      </c>
      <c r="J1711" s="350">
        <f>IF(G1711="Sim",0,IF(OR(F1711="",D1711="",L1711=""),"",IF(L1711="Sim",ROUND(F1711-D1711,2),0)))</f>
        <v/>
      </c>
      <c r="K1711" s="97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inlineStr">
        <is>
          <t>Nao</t>
        </is>
      </c>
      <c r="W1711" s="110" t="inlineStr">
        <is>
          <t>PC em analise</t>
        </is>
      </c>
      <c r="X1711" s="110" t="inlineStr">
        <is>
          <t>Pedido de Compra</t>
        </is>
      </c>
      <c r="Y1711" s="111" t="inlineStr">
        <is>
          <t>Impacto Potencial</t>
        </is>
      </c>
      <c r="Z1711" s="111" t="inlineStr">
        <is>
          <t>PC</t>
        </is>
      </c>
      <c r="AA1711" s="111" t="inlineStr">
        <is>
          <t>Nao</t>
        </is>
      </c>
      <c r="AB1711" s="111" t="inlineStr">
        <is>
          <t>NAO_COMPUTADO</t>
        </is>
      </c>
      <c r="AC1711" s="112" t="inlineStr">
        <is>
          <t>Estrutura Fase 1: sem impacto no VTA oficial</t>
        </is>
      </c>
    </row>
    <row r="1712" ht="25.5" customHeight="1" s="289">
      <c r="A1712" s="205" t="n"/>
      <c r="B1712" s="207" t="n"/>
      <c r="C1712" s="104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348" t="n"/>
      <c r="E1712" s="349">
        <f>IF(C1712="","",IFERROR(VLOOKUP(C1712,parametros!$A$11:$E$15,5,0),""))</f>
        <v/>
      </c>
      <c r="F1712" s="335">
        <f>IF(OR(D1712="",E1712=""),"",ROUND(D1712*E1712,2))</f>
        <v/>
      </c>
      <c r="G1712" s="106" t="n"/>
      <c r="H1712" s="350">
        <f>IF(G1712="Sim",IF(OR(F1712="",D1712="",L1712=""),"",IF(L1712="Sim",ROUND(F1712-D1712,2),0)),0)</f>
        <v/>
      </c>
      <c r="I1712" s="350">
        <f>IF(G1712="Sim",0,IF(OR(F1712="",L1712=""),"",F1712))</f>
        <v/>
      </c>
      <c r="J1712" s="350">
        <f>IF(G1712="Sim",0,IF(OR(F1712="",D1712="",L1712=""),"",IF(L1712="Sim",ROUND(F1712-D1712,2),0)))</f>
        <v/>
      </c>
      <c r="K1712" s="97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inlineStr">
        <is>
          <t>Nao</t>
        </is>
      </c>
      <c r="W1712" s="110" t="inlineStr">
        <is>
          <t>PC em analise</t>
        </is>
      </c>
      <c r="X1712" s="110" t="inlineStr">
        <is>
          <t>Pedido de Compra</t>
        </is>
      </c>
      <c r="Y1712" s="111" t="inlineStr">
        <is>
          <t>Impacto Potencial</t>
        </is>
      </c>
      <c r="Z1712" s="111" t="inlineStr">
        <is>
          <t>PC</t>
        </is>
      </c>
      <c r="AA1712" s="111" t="inlineStr">
        <is>
          <t>Nao</t>
        </is>
      </c>
      <c r="AB1712" s="111" t="inlineStr">
        <is>
          <t>NAO_COMPUTADO</t>
        </is>
      </c>
      <c r="AC1712" s="112" t="inlineStr">
        <is>
          <t>Estrutura Fase 1: sem impacto no VTA oficial</t>
        </is>
      </c>
    </row>
    <row r="1713" ht="25.5" customHeight="1" s="289">
      <c r="A1713" s="205" t="n"/>
      <c r="B1713" s="207" t="n"/>
      <c r="C1713" s="104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348" t="n"/>
      <c r="E1713" s="349">
        <f>IF(C1713="","",IFERROR(VLOOKUP(C1713,parametros!$A$11:$E$15,5,0),""))</f>
        <v/>
      </c>
      <c r="F1713" s="335">
        <f>IF(OR(D1713="",E1713=""),"",ROUND(D1713*E1713,2))</f>
        <v/>
      </c>
      <c r="G1713" s="106" t="n"/>
      <c r="H1713" s="350">
        <f>IF(G1713="Sim",IF(OR(F1713="",D1713="",L1713=""),"",IF(L1713="Sim",ROUND(F1713-D1713,2),0)),0)</f>
        <v/>
      </c>
      <c r="I1713" s="350">
        <f>IF(G1713="Sim",0,IF(OR(F1713="",L1713=""),"",F1713))</f>
        <v/>
      </c>
      <c r="J1713" s="350">
        <f>IF(G1713="Sim",0,IF(OR(F1713="",D1713="",L1713=""),"",IF(L1713="Sim",ROUND(F1713-D1713,2),0)))</f>
        <v/>
      </c>
      <c r="K1713" s="97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inlineStr">
        <is>
          <t>Nao</t>
        </is>
      </c>
      <c r="W1713" s="110" t="inlineStr">
        <is>
          <t>PC em analise</t>
        </is>
      </c>
      <c r="X1713" s="110" t="inlineStr">
        <is>
          <t>Pedido de Compra</t>
        </is>
      </c>
      <c r="Y1713" s="111" t="inlineStr">
        <is>
          <t>Impacto Potencial</t>
        </is>
      </c>
      <c r="Z1713" s="111" t="inlineStr">
        <is>
          <t>PC</t>
        </is>
      </c>
      <c r="AA1713" s="111" t="inlineStr">
        <is>
          <t>Nao</t>
        </is>
      </c>
      <c r="AB1713" s="111" t="inlineStr">
        <is>
          <t>NAO_COMPUTADO</t>
        </is>
      </c>
      <c r="AC1713" s="112" t="inlineStr">
        <is>
          <t>Estrutura Fase 1: sem impacto no VTA oficial</t>
        </is>
      </c>
    </row>
    <row r="1714" ht="25.5" customHeight="1" s="289">
      <c r="A1714" s="205" t="n"/>
      <c r="B1714" s="207" t="n"/>
      <c r="C1714" s="104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348" t="n"/>
      <c r="E1714" s="349">
        <f>IF(C1714="","",IFERROR(VLOOKUP(C1714,parametros!$A$11:$E$15,5,0),""))</f>
        <v/>
      </c>
      <c r="F1714" s="335">
        <f>IF(OR(D1714="",E1714=""),"",ROUND(D1714*E1714,2))</f>
        <v/>
      </c>
      <c r="G1714" s="106" t="n"/>
      <c r="H1714" s="350">
        <f>IF(G1714="Sim",IF(OR(F1714="",D1714="",L1714=""),"",IF(L1714="Sim",ROUND(F1714-D1714,2),0)),0)</f>
        <v/>
      </c>
      <c r="I1714" s="350">
        <f>IF(G1714="Sim",0,IF(OR(F1714="",L1714=""),"",F1714))</f>
        <v/>
      </c>
      <c r="J1714" s="350">
        <f>IF(G1714="Sim",0,IF(OR(F1714="",D1714="",L1714=""),"",IF(L1714="Sim",ROUND(F1714-D1714,2),0)))</f>
        <v/>
      </c>
      <c r="K1714" s="97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inlineStr">
        <is>
          <t>Nao</t>
        </is>
      </c>
      <c r="W1714" s="110" t="inlineStr">
        <is>
          <t>PC em analise</t>
        </is>
      </c>
      <c r="X1714" s="110" t="inlineStr">
        <is>
          <t>Pedido de Compra</t>
        </is>
      </c>
      <c r="Y1714" s="111" t="inlineStr">
        <is>
          <t>Impacto Potencial</t>
        </is>
      </c>
      <c r="Z1714" s="111" t="inlineStr">
        <is>
          <t>PC</t>
        </is>
      </c>
      <c r="AA1714" s="111" t="inlineStr">
        <is>
          <t>Nao</t>
        </is>
      </c>
      <c r="AB1714" s="111" t="inlineStr">
        <is>
          <t>NAO_COMPUTADO</t>
        </is>
      </c>
      <c r="AC1714" s="112" t="inlineStr">
        <is>
          <t>Estrutura Fase 1: sem impacto no VTA oficial</t>
        </is>
      </c>
    </row>
    <row r="1715" ht="25.5" customHeight="1" s="289">
      <c r="A1715" s="205" t="n"/>
      <c r="B1715" s="207" t="n"/>
      <c r="C1715" s="104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348" t="n"/>
      <c r="E1715" s="349">
        <f>IF(C1715="","",IFERROR(VLOOKUP(C1715,parametros!$A$11:$E$15,5,0),""))</f>
        <v/>
      </c>
      <c r="F1715" s="335">
        <f>IF(OR(D1715="",E1715=""),"",ROUND(D1715*E1715,2))</f>
        <v/>
      </c>
      <c r="G1715" s="106" t="n"/>
      <c r="H1715" s="350">
        <f>IF(G1715="Sim",IF(OR(F1715="",D1715="",L1715=""),"",IF(L1715="Sim",ROUND(F1715-D1715,2),0)),0)</f>
        <v/>
      </c>
      <c r="I1715" s="350">
        <f>IF(G1715="Sim",0,IF(OR(F1715="",L1715=""),"",F1715))</f>
        <v/>
      </c>
      <c r="J1715" s="350">
        <f>IF(G1715="Sim",0,IF(OR(F1715="",D1715="",L1715=""),"",IF(L1715="Sim",ROUND(F1715-D1715,2),0)))</f>
        <v/>
      </c>
      <c r="K1715" s="97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inlineStr">
        <is>
          <t>Nao</t>
        </is>
      </c>
      <c r="W1715" s="110" t="inlineStr">
        <is>
          <t>PC em analise</t>
        </is>
      </c>
      <c r="X1715" s="110" t="inlineStr">
        <is>
          <t>Pedido de Compra</t>
        </is>
      </c>
      <c r="Y1715" s="111" t="inlineStr">
        <is>
          <t>Impacto Potencial</t>
        </is>
      </c>
      <c r="Z1715" s="111" t="inlineStr">
        <is>
          <t>PC</t>
        </is>
      </c>
      <c r="AA1715" s="111" t="inlineStr">
        <is>
          <t>Nao</t>
        </is>
      </c>
      <c r="AB1715" s="111" t="inlineStr">
        <is>
          <t>NAO_COMPUTADO</t>
        </is>
      </c>
      <c r="AC1715" s="112" t="inlineStr">
        <is>
          <t>Estrutura Fase 1: sem impacto no VTA oficial</t>
        </is>
      </c>
    </row>
    <row r="1716" ht="25.5" customHeight="1" s="289">
      <c r="A1716" s="205" t="n"/>
      <c r="B1716" s="207" t="n"/>
      <c r="C1716" s="104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348" t="n"/>
      <c r="E1716" s="349">
        <f>IF(C1716="","",IFERROR(VLOOKUP(C1716,parametros!$A$11:$E$15,5,0),""))</f>
        <v/>
      </c>
      <c r="F1716" s="335">
        <f>IF(OR(D1716="",E1716=""),"",ROUND(D1716*E1716,2))</f>
        <v/>
      </c>
      <c r="G1716" s="106" t="n"/>
      <c r="H1716" s="350">
        <f>IF(G1716="Sim",IF(OR(F1716="",D1716="",L1716=""),"",IF(L1716="Sim",ROUND(F1716-D1716,2),0)),0)</f>
        <v/>
      </c>
      <c r="I1716" s="350">
        <f>IF(G1716="Sim",0,IF(OR(F1716="",L1716=""),"",F1716))</f>
        <v/>
      </c>
      <c r="J1716" s="350">
        <f>IF(G1716="Sim",0,IF(OR(F1716="",D1716="",L1716=""),"",IF(L1716="Sim",ROUND(F1716-D1716,2),0)))</f>
        <v/>
      </c>
      <c r="K1716" s="97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inlineStr">
        <is>
          <t>Nao</t>
        </is>
      </c>
      <c r="W1716" s="110" t="inlineStr">
        <is>
          <t>PC em analise</t>
        </is>
      </c>
      <c r="X1716" s="110" t="inlineStr">
        <is>
          <t>Pedido de Compra</t>
        </is>
      </c>
      <c r="Y1716" s="111" t="inlineStr">
        <is>
          <t>Impacto Potencial</t>
        </is>
      </c>
      <c r="Z1716" s="111" t="inlineStr">
        <is>
          <t>PC</t>
        </is>
      </c>
      <c r="AA1716" s="111" t="inlineStr">
        <is>
          <t>Nao</t>
        </is>
      </c>
      <c r="AB1716" s="111" t="inlineStr">
        <is>
          <t>NAO_COMPUTADO</t>
        </is>
      </c>
      <c r="AC1716" s="112" t="inlineStr">
        <is>
          <t>Estrutura Fase 1: sem impacto no VTA oficial</t>
        </is>
      </c>
    </row>
    <row r="1717" ht="25.5" customHeight="1" s="289">
      <c r="A1717" s="205" t="n"/>
      <c r="B1717" s="207" t="n"/>
      <c r="C1717" s="104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348" t="n"/>
      <c r="E1717" s="349">
        <f>IF(C1717="","",IFERROR(VLOOKUP(C1717,parametros!$A$11:$E$15,5,0),""))</f>
        <v/>
      </c>
      <c r="F1717" s="335">
        <f>IF(OR(D1717="",E1717=""),"",ROUND(D1717*E1717,2))</f>
        <v/>
      </c>
      <c r="G1717" s="106" t="n"/>
      <c r="H1717" s="350">
        <f>IF(G1717="Sim",IF(OR(F1717="",D1717="",L1717=""),"",IF(L1717="Sim",ROUND(F1717-D1717,2),0)),0)</f>
        <v/>
      </c>
      <c r="I1717" s="350">
        <f>IF(G1717="Sim",0,IF(OR(F1717="",L1717=""),"",F1717))</f>
        <v/>
      </c>
      <c r="J1717" s="350">
        <f>IF(G1717="Sim",0,IF(OR(F1717="",D1717="",L1717=""),"",IF(L1717="Sim",ROUND(F1717-D1717,2),0)))</f>
        <v/>
      </c>
      <c r="K1717" s="97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inlineStr">
        <is>
          <t>Nao</t>
        </is>
      </c>
      <c r="W1717" s="110" t="inlineStr">
        <is>
          <t>PC em analise</t>
        </is>
      </c>
      <c r="X1717" s="110" t="inlineStr">
        <is>
          <t>Pedido de Compra</t>
        </is>
      </c>
      <c r="Y1717" s="111" t="inlineStr">
        <is>
          <t>Impacto Potencial</t>
        </is>
      </c>
      <c r="Z1717" s="111" t="inlineStr">
        <is>
          <t>PC</t>
        </is>
      </c>
      <c r="AA1717" s="111" t="inlineStr">
        <is>
          <t>Nao</t>
        </is>
      </c>
      <c r="AB1717" s="111" t="inlineStr">
        <is>
          <t>NAO_COMPUTADO</t>
        </is>
      </c>
      <c r="AC1717" s="112" t="inlineStr">
        <is>
          <t>Estrutura Fase 1: sem impacto no VTA oficial</t>
        </is>
      </c>
    </row>
    <row r="1718" ht="25.5" customHeight="1" s="289">
      <c r="A1718" s="205" t="n"/>
      <c r="B1718" s="207" t="n"/>
      <c r="C1718" s="104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348" t="n"/>
      <c r="E1718" s="349">
        <f>IF(C1718="","",IFERROR(VLOOKUP(C1718,parametros!$A$11:$E$15,5,0),""))</f>
        <v/>
      </c>
      <c r="F1718" s="335">
        <f>IF(OR(D1718="",E1718=""),"",ROUND(D1718*E1718,2))</f>
        <v/>
      </c>
      <c r="G1718" s="106" t="n"/>
      <c r="H1718" s="350">
        <f>IF(G1718="Sim",IF(OR(F1718="",D1718="",L1718=""),"",IF(L1718="Sim",ROUND(F1718-D1718,2),0)),0)</f>
        <v/>
      </c>
      <c r="I1718" s="350">
        <f>IF(G1718="Sim",0,IF(OR(F1718="",L1718=""),"",F1718))</f>
        <v/>
      </c>
      <c r="J1718" s="350">
        <f>IF(G1718="Sim",0,IF(OR(F1718="",D1718="",L1718=""),"",IF(L1718="Sim",ROUND(F1718-D1718,2),0)))</f>
        <v/>
      </c>
      <c r="K1718" s="97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inlineStr">
        <is>
          <t>Nao</t>
        </is>
      </c>
      <c r="W1718" s="110" t="inlineStr">
        <is>
          <t>PC em analise</t>
        </is>
      </c>
      <c r="X1718" s="110" t="inlineStr">
        <is>
          <t>Pedido de Compra</t>
        </is>
      </c>
      <c r="Y1718" s="111" t="inlineStr">
        <is>
          <t>Impacto Potencial</t>
        </is>
      </c>
      <c r="Z1718" s="111" t="inlineStr">
        <is>
          <t>PC</t>
        </is>
      </c>
      <c r="AA1718" s="111" t="inlineStr">
        <is>
          <t>Nao</t>
        </is>
      </c>
      <c r="AB1718" s="111" t="inlineStr">
        <is>
          <t>NAO_COMPUTADO</t>
        </is>
      </c>
      <c r="AC1718" s="112" t="inlineStr">
        <is>
          <t>Estrutura Fase 1: sem impacto no VTA oficial</t>
        </is>
      </c>
    </row>
    <row r="1719" ht="25.5" customHeight="1" s="289">
      <c r="A1719" s="205" t="n"/>
      <c r="B1719" s="207" t="n"/>
      <c r="C1719" s="104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348" t="n"/>
      <c r="E1719" s="349">
        <f>IF(C1719="","",IFERROR(VLOOKUP(C1719,parametros!$A$11:$E$15,5,0),""))</f>
        <v/>
      </c>
      <c r="F1719" s="335">
        <f>IF(OR(D1719="",E1719=""),"",ROUND(D1719*E1719,2))</f>
        <v/>
      </c>
      <c r="G1719" s="106" t="n"/>
      <c r="H1719" s="350">
        <f>IF(G1719="Sim",IF(OR(F1719="",D1719="",L1719=""),"",IF(L1719="Sim",ROUND(F1719-D1719,2),0)),0)</f>
        <v/>
      </c>
      <c r="I1719" s="350">
        <f>IF(G1719="Sim",0,IF(OR(F1719="",L1719=""),"",F1719))</f>
        <v/>
      </c>
      <c r="J1719" s="350">
        <f>IF(G1719="Sim",0,IF(OR(F1719="",D1719="",L1719=""),"",IF(L1719="Sim",ROUND(F1719-D1719,2),0)))</f>
        <v/>
      </c>
      <c r="K1719" s="97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inlineStr">
        <is>
          <t>Nao</t>
        </is>
      </c>
      <c r="W1719" s="110" t="inlineStr">
        <is>
          <t>PC em analise</t>
        </is>
      </c>
      <c r="X1719" s="110" t="inlineStr">
        <is>
          <t>Pedido de Compra</t>
        </is>
      </c>
      <c r="Y1719" s="111" t="inlineStr">
        <is>
          <t>Impacto Potencial</t>
        </is>
      </c>
      <c r="Z1719" s="111" t="inlineStr">
        <is>
          <t>PC</t>
        </is>
      </c>
      <c r="AA1719" s="111" t="inlineStr">
        <is>
          <t>Nao</t>
        </is>
      </c>
      <c r="AB1719" s="111" t="inlineStr">
        <is>
          <t>NAO_COMPUTADO</t>
        </is>
      </c>
      <c r="AC1719" s="112" t="inlineStr">
        <is>
          <t>Estrutura Fase 1: sem impacto no VTA oficial</t>
        </is>
      </c>
    </row>
    <row r="1720" ht="25.5" customHeight="1" s="289">
      <c r="A1720" s="205" t="n"/>
      <c r="B1720" s="207" t="n"/>
      <c r="C1720" s="104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348" t="n"/>
      <c r="E1720" s="349">
        <f>IF(C1720="","",IFERROR(VLOOKUP(C1720,parametros!$A$11:$E$15,5,0),""))</f>
        <v/>
      </c>
      <c r="F1720" s="335">
        <f>IF(OR(D1720="",E1720=""),"",ROUND(D1720*E1720,2))</f>
        <v/>
      </c>
      <c r="G1720" s="106" t="n"/>
      <c r="H1720" s="350">
        <f>IF(G1720="Sim",IF(OR(F1720="",D1720="",L1720=""),"",IF(L1720="Sim",ROUND(F1720-D1720,2),0)),0)</f>
        <v/>
      </c>
      <c r="I1720" s="350">
        <f>IF(G1720="Sim",0,IF(OR(F1720="",L1720=""),"",F1720))</f>
        <v/>
      </c>
      <c r="J1720" s="350">
        <f>IF(G1720="Sim",0,IF(OR(F1720="",D1720="",L1720=""),"",IF(L1720="Sim",ROUND(F1720-D1720,2),0)))</f>
        <v/>
      </c>
      <c r="K1720" s="97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inlineStr">
        <is>
          <t>Nao</t>
        </is>
      </c>
      <c r="W1720" s="110" t="inlineStr">
        <is>
          <t>PC em analise</t>
        </is>
      </c>
      <c r="X1720" s="110" t="inlineStr">
        <is>
          <t>Pedido de Compra</t>
        </is>
      </c>
      <c r="Y1720" s="111" t="inlineStr">
        <is>
          <t>Impacto Potencial</t>
        </is>
      </c>
      <c r="Z1720" s="111" t="inlineStr">
        <is>
          <t>PC</t>
        </is>
      </c>
      <c r="AA1720" s="111" t="inlineStr">
        <is>
          <t>Nao</t>
        </is>
      </c>
      <c r="AB1720" s="111" t="inlineStr">
        <is>
          <t>NAO_COMPUTADO</t>
        </is>
      </c>
      <c r="AC1720" s="112" t="inlineStr">
        <is>
          <t>Estrutura Fase 1: sem impacto no VTA oficial</t>
        </is>
      </c>
    </row>
    <row r="1721" ht="25.5" customHeight="1" s="289">
      <c r="A1721" s="205" t="n"/>
      <c r="B1721" s="207" t="n"/>
      <c r="C1721" s="104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348" t="n"/>
      <c r="E1721" s="349">
        <f>IF(C1721="","",IFERROR(VLOOKUP(C1721,parametros!$A$11:$E$15,5,0),""))</f>
        <v/>
      </c>
      <c r="F1721" s="335">
        <f>IF(OR(D1721="",E1721=""),"",ROUND(D1721*E1721,2))</f>
        <v/>
      </c>
      <c r="G1721" s="106" t="n"/>
      <c r="H1721" s="350">
        <f>IF(G1721="Sim",IF(OR(F1721="",D1721="",L1721=""),"",IF(L1721="Sim",ROUND(F1721-D1721,2),0)),0)</f>
        <v/>
      </c>
      <c r="I1721" s="350">
        <f>IF(G1721="Sim",0,IF(OR(F1721="",L1721=""),"",F1721))</f>
        <v/>
      </c>
      <c r="J1721" s="350">
        <f>IF(G1721="Sim",0,IF(OR(F1721="",D1721="",L1721=""),"",IF(L1721="Sim",ROUND(F1721-D1721,2),0)))</f>
        <v/>
      </c>
      <c r="K1721" s="97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inlineStr">
        <is>
          <t>Nao</t>
        </is>
      </c>
      <c r="W1721" s="110" t="inlineStr">
        <is>
          <t>PC em analise</t>
        </is>
      </c>
      <c r="X1721" s="110" t="inlineStr">
        <is>
          <t>Pedido de Compra</t>
        </is>
      </c>
      <c r="Y1721" s="111" t="inlineStr">
        <is>
          <t>Impacto Potencial</t>
        </is>
      </c>
      <c r="Z1721" s="111" t="inlineStr">
        <is>
          <t>PC</t>
        </is>
      </c>
      <c r="AA1721" s="111" t="inlineStr">
        <is>
          <t>Nao</t>
        </is>
      </c>
      <c r="AB1721" s="111" t="inlineStr">
        <is>
          <t>NAO_COMPUTADO</t>
        </is>
      </c>
      <c r="AC1721" s="112" t="inlineStr">
        <is>
          <t>Estrutura Fase 1: sem impacto no VTA oficial</t>
        </is>
      </c>
    </row>
    <row r="1722" ht="25.5" customHeight="1" s="289">
      <c r="A1722" s="205" t="n"/>
      <c r="B1722" s="207" t="n"/>
      <c r="C1722" s="104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348" t="n"/>
      <c r="E1722" s="349">
        <f>IF(C1722="","",IFERROR(VLOOKUP(C1722,parametros!$A$11:$E$15,5,0),""))</f>
        <v/>
      </c>
      <c r="F1722" s="335">
        <f>IF(OR(D1722="",E1722=""),"",ROUND(D1722*E1722,2))</f>
        <v/>
      </c>
      <c r="G1722" s="106" t="n"/>
      <c r="H1722" s="350">
        <f>IF(G1722="Sim",IF(OR(F1722="",D1722="",L1722=""),"",IF(L1722="Sim",ROUND(F1722-D1722,2),0)),0)</f>
        <v/>
      </c>
      <c r="I1722" s="350">
        <f>IF(G1722="Sim",0,IF(OR(F1722="",L1722=""),"",F1722))</f>
        <v/>
      </c>
      <c r="J1722" s="350">
        <f>IF(G1722="Sim",0,IF(OR(F1722="",D1722="",L1722=""),"",IF(L1722="Sim",ROUND(F1722-D1722,2),0)))</f>
        <v/>
      </c>
      <c r="K1722" s="97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inlineStr">
        <is>
          <t>Nao</t>
        </is>
      </c>
      <c r="W1722" s="110" t="inlineStr">
        <is>
          <t>PC em analise</t>
        </is>
      </c>
      <c r="X1722" s="110" t="inlineStr">
        <is>
          <t>Pedido de Compra</t>
        </is>
      </c>
      <c r="Y1722" s="111" t="inlineStr">
        <is>
          <t>Impacto Potencial</t>
        </is>
      </c>
      <c r="Z1722" s="111" t="inlineStr">
        <is>
          <t>PC</t>
        </is>
      </c>
      <c r="AA1722" s="111" t="inlineStr">
        <is>
          <t>Nao</t>
        </is>
      </c>
      <c r="AB1722" s="111" t="inlineStr">
        <is>
          <t>NAO_COMPUTADO</t>
        </is>
      </c>
      <c r="AC1722" s="112" t="inlineStr">
        <is>
          <t>Estrutura Fase 1: sem impacto no VTA oficial</t>
        </is>
      </c>
    </row>
    <row r="1723" ht="25.5" customHeight="1" s="289">
      <c r="A1723" s="205" t="n"/>
      <c r="B1723" s="207" t="n"/>
      <c r="C1723" s="104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348" t="n"/>
      <c r="E1723" s="349">
        <f>IF(C1723="","",IFERROR(VLOOKUP(C1723,parametros!$A$11:$E$15,5,0),""))</f>
        <v/>
      </c>
      <c r="F1723" s="335">
        <f>IF(OR(D1723="",E1723=""),"",ROUND(D1723*E1723,2))</f>
        <v/>
      </c>
      <c r="G1723" s="106" t="n"/>
      <c r="H1723" s="350">
        <f>IF(G1723="Sim",IF(OR(F1723="",D1723="",L1723=""),"",IF(L1723="Sim",ROUND(F1723-D1723,2),0)),0)</f>
        <v/>
      </c>
      <c r="I1723" s="350">
        <f>IF(G1723="Sim",0,IF(OR(F1723="",L1723=""),"",F1723))</f>
        <v/>
      </c>
      <c r="J1723" s="350">
        <f>IF(G1723="Sim",0,IF(OR(F1723="",D1723="",L1723=""),"",IF(L1723="Sim",ROUND(F1723-D1723,2),0)))</f>
        <v/>
      </c>
      <c r="K1723" s="97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inlineStr">
        <is>
          <t>Nao</t>
        </is>
      </c>
      <c r="W1723" s="110" t="inlineStr">
        <is>
          <t>PC em analise</t>
        </is>
      </c>
      <c r="X1723" s="110" t="inlineStr">
        <is>
          <t>Pedido de Compra</t>
        </is>
      </c>
      <c r="Y1723" s="111" t="inlineStr">
        <is>
          <t>Impacto Potencial</t>
        </is>
      </c>
      <c r="Z1723" s="111" t="inlineStr">
        <is>
          <t>PC</t>
        </is>
      </c>
      <c r="AA1723" s="111" t="inlineStr">
        <is>
          <t>Nao</t>
        </is>
      </c>
      <c r="AB1723" s="111" t="inlineStr">
        <is>
          <t>NAO_COMPUTADO</t>
        </is>
      </c>
      <c r="AC1723" s="112" t="inlineStr">
        <is>
          <t>Estrutura Fase 1: sem impacto no VTA oficial</t>
        </is>
      </c>
    </row>
    <row r="1724" ht="25.5" customHeight="1" s="289">
      <c r="A1724" s="205" t="n"/>
      <c r="B1724" s="207" t="n"/>
      <c r="C1724" s="104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348" t="n"/>
      <c r="E1724" s="349">
        <f>IF(C1724="","",IFERROR(VLOOKUP(C1724,parametros!$A$11:$E$15,5,0),""))</f>
        <v/>
      </c>
      <c r="F1724" s="335">
        <f>IF(OR(D1724="",E1724=""),"",ROUND(D1724*E1724,2))</f>
        <v/>
      </c>
      <c r="G1724" s="106" t="n"/>
      <c r="H1724" s="350">
        <f>IF(G1724="Sim",IF(OR(F1724="",D1724="",L1724=""),"",IF(L1724="Sim",ROUND(F1724-D1724,2),0)),0)</f>
        <v/>
      </c>
      <c r="I1724" s="350">
        <f>IF(G1724="Sim",0,IF(OR(F1724="",L1724=""),"",F1724))</f>
        <v/>
      </c>
      <c r="J1724" s="350">
        <f>IF(G1724="Sim",0,IF(OR(F1724="",D1724="",L1724=""),"",IF(L1724="Sim",ROUND(F1724-D1724,2),0)))</f>
        <v/>
      </c>
      <c r="K1724" s="97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inlineStr">
        <is>
          <t>Nao</t>
        </is>
      </c>
      <c r="W1724" s="110" t="inlineStr">
        <is>
          <t>PC em analise</t>
        </is>
      </c>
      <c r="X1724" s="110" t="inlineStr">
        <is>
          <t>Pedido de Compra</t>
        </is>
      </c>
      <c r="Y1724" s="111" t="inlineStr">
        <is>
          <t>Impacto Potencial</t>
        </is>
      </c>
      <c r="Z1724" s="111" t="inlineStr">
        <is>
          <t>PC</t>
        </is>
      </c>
      <c r="AA1724" s="111" t="inlineStr">
        <is>
          <t>Nao</t>
        </is>
      </c>
      <c r="AB1724" s="111" t="inlineStr">
        <is>
          <t>NAO_COMPUTADO</t>
        </is>
      </c>
      <c r="AC1724" s="112" t="inlineStr">
        <is>
          <t>Estrutura Fase 1: sem impacto no VTA oficial</t>
        </is>
      </c>
    </row>
    <row r="1725" ht="25.5" customHeight="1" s="289">
      <c r="A1725" s="205" t="n"/>
      <c r="B1725" s="207" t="n"/>
      <c r="C1725" s="104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348" t="n"/>
      <c r="E1725" s="349">
        <f>IF(C1725="","",IFERROR(VLOOKUP(C1725,parametros!$A$11:$E$15,5,0),""))</f>
        <v/>
      </c>
      <c r="F1725" s="335">
        <f>IF(OR(D1725="",E1725=""),"",ROUND(D1725*E1725,2))</f>
        <v/>
      </c>
      <c r="G1725" s="106" t="n"/>
      <c r="H1725" s="350">
        <f>IF(G1725="Sim",IF(OR(F1725="",D1725="",L1725=""),"",IF(L1725="Sim",ROUND(F1725-D1725,2),0)),0)</f>
        <v/>
      </c>
      <c r="I1725" s="350">
        <f>IF(G1725="Sim",0,IF(OR(F1725="",L1725=""),"",F1725))</f>
        <v/>
      </c>
      <c r="J1725" s="350">
        <f>IF(G1725="Sim",0,IF(OR(F1725="",D1725="",L1725=""),"",IF(L1725="Sim",ROUND(F1725-D1725,2),0)))</f>
        <v/>
      </c>
      <c r="K1725" s="97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inlineStr">
        <is>
          <t>Nao</t>
        </is>
      </c>
      <c r="W1725" s="110" t="inlineStr">
        <is>
          <t>PC em analise</t>
        </is>
      </c>
      <c r="X1725" s="110" t="inlineStr">
        <is>
          <t>Pedido de Compra</t>
        </is>
      </c>
      <c r="Y1725" s="111" t="inlineStr">
        <is>
          <t>Impacto Potencial</t>
        </is>
      </c>
      <c r="Z1725" s="111" t="inlineStr">
        <is>
          <t>PC</t>
        </is>
      </c>
      <c r="AA1725" s="111" t="inlineStr">
        <is>
          <t>Nao</t>
        </is>
      </c>
      <c r="AB1725" s="111" t="inlineStr">
        <is>
          <t>NAO_COMPUTADO</t>
        </is>
      </c>
      <c r="AC1725" s="112" t="inlineStr">
        <is>
          <t>Estrutura Fase 1: sem impacto no VTA oficial</t>
        </is>
      </c>
    </row>
    <row r="1726" ht="25.5" customHeight="1" s="289">
      <c r="A1726" s="205" t="n"/>
      <c r="B1726" s="207" t="n"/>
      <c r="C1726" s="104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348" t="n"/>
      <c r="E1726" s="349">
        <f>IF(C1726="","",IFERROR(VLOOKUP(C1726,parametros!$A$11:$E$15,5,0),""))</f>
        <v/>
      </c>
      <c r="F1726" s="335">
        <f>IF(OR(D1726="",E1726=""),"",ROUND(D1726*E1726,2))</f>
        <v/>
      </c>
      <c r="G1726" s="106" t="n"/>
      <c r="H1726" s="350">
        <f>IF(G1726="Sim",IF(OR(F1726="",D1726="",L1726=""),"",IF(L1726="Sim",ROUND(F1726-D1726,2),0)),0)</f>
        <v/>
      </c>
      <c r="I1726" s="350">
        <f>IF(G1726="Sim",0,IF(OR(F1726="",L1726=""),"",F1726))</f>
        <v/>
      </c>
      <c r="J1726" s="350">
        <f>IF(G1726="Sim",0,IF(OR(F1726="",D1726="",L1726=""),"",IF(L1726="Sim",ROUND(F1726-D1726,2),0)))</f>
        <v/>
      </c>
      <c r="K1726" s="97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inlineStr">
        <is>
          <t>Nao</t>
        </is>
      </c>
      <c r="W1726" s="110" t="inlineStr">
        <is>
          <t>PC em analise</t>
        </is>
      </c>
      <c r="X1726" s="110" t="inlineStr">
        <is>
          <t>Pedido de Compra</t>
        </is>
      </c>
      <c r="Y1726" s="111" t="inlineStr">
        <is>
          <t>Impacto Potencial</t>
        </is>
      </c>
      <c r="Z1726" s="111" t="inlineStr">
        <is>
          <t>PC</t>
        </is>
      </c>
      <c r="AA1726" s="111" t="inlineStr">
        <is>
          <t>Nao</t>
        </is>
      </c>
      <c r="AB1726" s="111" t="inlineStr">
        <is>
          <t>NAO_COMPUTADO</t>
        </is>
      </c>
      <c r="AC1726" s="112" t="inlineStr">
        <is>
          <t>Estrutura Fase 1: sem impacto no VTA oficial</t>
        </is>
      </c>
    </row>
    <row r="1727" ht="25.5" customHeight="1" s="289">
      <c r="A1727" s="205" t="n"/>
      <c r="B1727" s="207" t="n"/>
      <c r="C1727" s="104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348" t="n"/>
      <c r="E1727" s="349">
        <f>IF(C1727="","",IFERROR(VLOOKUP(C1727,parametros!$A$11:$E$15,5,0),""))</f>
        <v/>
      </c>
      <c r="F1727" s="335">
        <f>IF(OR(D1727="",E1727=""),"",ROUND(D1727*E1727,2))</f>
        <v/>
      </c>
      <c r="G1727" s="106" t="n"/>
      <c r="H1727" s="350">
        <f>IF(G1727="Sim",IF(OR(F1727="",D1727="",L1727=""),"",IF(L1727="Sim",ROUND(F1727-D1727,2),0)),0)</f>
        <v/>
      </c>
      <c r="I1727" s="350">
        <f>IF(G1727="Sim",0,IF(OR(F1727="",L1727=""),"",F1727))</f>
        <v/>
      </c>
      <c r="J1727" s="350">
        <f>IF(G1727="Sim",0,IF(OR(F1727="",D1727="",L1727=""),"",IF(L1727="Sim",ROUND(F1727-D1727,2),0)))</f>
        <v/>
      </c>
      <c r="K1727" s="97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inlineStr">
        <is>
          <t>Nao</t>
        </is>
      </c>
      <c r="W1727" s="110" t="inlineStr">
        <is>
          <t>PC em analise</t>
        </is>
      </c>
      <c r="X1727" s="110" t="inlineStr">
        <is>
          <t>Pedido de Compra</t>
        </is>
      </c>
      <c r="Y1727" s="111" t="inlineStr">
        <is>
          <t>Impacto Potencial</t>
        </is>
      </c>
      <c r="Z1727" s="111" t="inlineStr">
        <is>
          <t>PC</t>
        </is>
      </c>
      <c r="AA1727" s="111" t="inlineStr">
        <is>
          <t>Nao</t>
        </is>
      </c>
      <c r="AB1727" s="111" t="inlineStr">
        <is>
          <t>NAO_COMPUTADO</t>
        </is>
      </c>
      <c r="AC1727" s="112" t="inlineStr">
        <is>
          <t>Estrutura Fase 1: sem impacto no VTA oficial</t>
        </is>
      </c>
    </row>
    <row r="1728" ht="25.5" customHeight="1" s="289">
      <c r="A1728" s="205" t="n"/>
      <c r="B1728" s="207" t="n"/>
      <c r="C1728" s="104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348" t="n"/>
      <c r="E1728" s="349">
        <f>IF(C1728="","",IFERROR(VLOOKUP(C1728,parametros!$A$11:$E$15,5,0),""))</f>
        <v/>
      </c>
      <c r="F1728" s="335">
        <f>IF(OR(D1728="",E1728=""),"",ROUND(D1728*E1728,2))</f>
        <v/>
      </c>
      <c r="G1728" s="106" t="n"/>
      <c r="H1728" s="350">
        <f>IF(G1728="Sim",IF(OR(F1728="",D1728="",L1728=""),"",IF(L1728="Sim",ROUND(F1728-D1728,2),0)),0)</f>
        <v/>
      </c>
      <c r="I1728" s="350">
        <f>IF(G1728="Sim",0,IF(OR(F1728="",L1728=""),"",F1728))</f>
        <v/>
      </c>
      <c r="J1728" s="350">
        <f>IF(G1728="Sim",0,IF(OR(F1728="",D1728="",L1728=""),"",IF(L1728="Sim",ROUND(F1728-D1728,2),0)))</f>
        <v/>
      </c>
      <c r="K1728" s="97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inlineStr">
        <is>
          <t>Nao</t>
        </is>
      </c>
      <c r="W1728" s="110" t="inlineStr">
        <is>
          <t>PC em analise</t>
        </is>
      </c>
      <c r="X1728" s="110" t="inlineStr">
        <is>
          <t>Pedido de Compra</t>
        </is>
      </c>
      <c r="Y1728" s="111" t="inlineStr">
        <is>
          <t>Impacto Potencial</t>
        </is>
      </c>
      <c r="Z1728" s="111" t="inlineStr">
        <is>
          <t>PC</t>
        </is>
      </c>
      <c r="AA1728" s="111" t="inlineStr">
        <is>
          <t>Nao</t>
        </is>
      </c>
      <c r="AB1728" s="111" t="inlineStr">
        <is>
          <t>NAO_COMPUTADO</t>
        </is>
      </c>
      <c r="AC1728" s="112" t="inlineStr">
        <is>
          <t>Estrutura Fase 1: sem impacto no VTA oficial</t>
        </is>
      </c>
    </row>
    <row r="1729" ht="25.5" customHeight="1" s="289">
      <c r="A1729" s="205" t="n"/>
      <c r="B1729" s="207" t="n"/>
      <c r="C1729" s="104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348" t="n"/>
      <c r="E1729" s="349">
        <f>IF(C1729="","",IFERROR(VLOOKUP(C1729,parametros!$A$11:$E$15,5,0),""))</f>
        <v/>
      </c>
      <c r="F1729" s="335">
        <f>IF(OR(D1729="",E1729=""),"",ROUND(D1729*E1729,2))</f>
        <v/>
      </c>
      <c r="G1729" s="106" t="n"/>
      <c r="H1729" s="350">
        <f>IF(G1729="Sim",IF(OR(F1729="",D1729="",L1729=""),"",IF(L1729="Sim",ROUND(F1729-D1729,2),0)),0)</f>
        <v/>
      </c>
      <c r="I1729" s="350">
        <f>IF(G1729="Sim",0,IF(OR(F1729="",L1729=""),"",F1729))</f>
        <v/>
      </c>
      <c r="J1729" s="350">
        <f>IF(G1729="Sim",0,IF(OR(F1729="",D1729="",L1729=""),"",IF(L1729="Sim",ROUND(F1729-D1729,2),0)))</f>
        <v/>
      </c>
      <c r="K1729" s="97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inlineStr">
        <is>
          <t>Nao</t>
        </is>
      </c>
      <c r="W1729" s="110" t="inlineStr">
        <is>
          <t>PC em analise</t>
        </is>
      </c>
      <c r="X1729" s="110" t="inlineStr">
        <is>
          <t>Pedido de Compra</t>
        </is>
      </c>
      <c r="Y1729" s="111" t="inlineStr">
        <is>
          <t>Impacto Potencial</t>
        </is>
      </c>
      <c r="Z1729" s="111" t="inlineStr">
        <is>
          <t>PC</t>
        </is>
      </c>
      <c r="AA1729" s="111" t="inlineStr">
        <is>
          <t>Nao</t>
        </is>
      </c>
      <c r="AB1729" s="111" t="inlineStr">
        <is>
          <t>NAO_COMPUTADO</t>
        </is>
      </c>
      <c r="AC1729" s="112" t="inlineStr">
        <is>
          <t>Estrutura Fase 1: sem impacto no VTA oficial</t>
        </is>
      </c>
    </row>
    <row r="1730" ht="25.5" customHeight="1" s="289">
      <c r="A1730" s="205" t="n"/>
      <c r="B1730" s="207" t="n"/>
      <c r="C1730" s="104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348" t="n"/>
      <c r="E1730" s="349">
        <f>IF(C1730="","",IFERROR(VLOOKUP(C1730,parametros!$A$11:$E$15,5,0),""))</f>
        <v/>
      </c>
      <c r="F1730" s="335">
        <f>IF(OR(D1730="",E1730=""),"",ROUND(D1730*E1730,2))</f>
        <v/>
      </c>
      <c r="G1730" s="106" t="n"/>
      <c r="H1730" s="350">
        <f>IF(G1730="Sim",IF(OR(F1730="",D1730="",L1730=""),"",IF(L1730="Sim",ROUND(F1730-D1730,2),0)),0)</f>
        <v/>
      </c>
      <c r="I1730" s="350">
        <f>IF(G1730="Sim",0,IF(OR(F1730="",L1730=""),"",F1730))</f>
        <v/>
      </c>
      <c r="J1730" s="350">
        <f>IF(G1730="Sim",0,IF(OR(F1730="",D1730="",L1730=""),"",IF(L1730="Sim",ROUND(F1730-D1730,2),0)))</f>
        <v/>
      </c>
      <c r="K1730" s="97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inlineStr">
        <is>
          <t>Nao</t>
        </is>
      </c>
      <c r="W1730" s="110" t="inlineStr">
        <is>
          <t>PC em analise</t>
        </is>
      </c>
      <c r="X1730" s="110" t="inlineStr">
        <is>
          <t>Pedido de Compra</t>
        </is>
      </c>
      <c r="Y1730" s="111" t="inlineStr">
        <is>
          <t>Impacto Potencial</t>
        </is>
      </c>
      <c r="Z1730" s="111" t="inlineStr">
        <is>
          <t>PC</t>
        </is>
      </c>
      <c r="AA1730" s="111" t="inlineStr">
        <is>
          <t>Nao</t>
        </is>
      </c>
      <c r="AB1730" s="111" t="inlineStr">
        <is>
          <t>NAO_COMPUTADO</t>
        </is>
      </c>
      <c r="AC1730" s="112" t="inlineStr">
        <is>
          <t>Estrutura Fase 1: sem impacto no VTA oficial</t>
        </is>
      </c>
    </row>
    <row r="1731" ht="25.5" customHeight="1" s="289">
      <c r="A1731" s="205" t="n"/>
      <c r="B1731" s="207" t="n"/>
      <c r="C1731" s="104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348" t="n"/>
      <c r="E1731" s="349">
        <f>IF(C1731="","",IFERROR(VLOOKUP(C1731,parametros!$A$11:$E$15,5,0),""))</f>
        <v/>
      </c>
      <c r="F1731" s="335">
        <f>IF(OR(D1731="",E1731=""),"",ROUND(D1731*E1731,2))</f>
        <v/>
      </c>
      <c r="G1731" s="106" t="n"/>
      <c r="H1731" s="350">
        <f>IF(G1731="Sim",IF(OR(F1731="",D1731="",L1731=""),"",IF(L1731="Sim",ROUND(F1731-D1731,2),0)),0)</f>
        <v/>
      </c>
      <c r="I1731" s="350">
        <f>IF(G1731="Sim",0,IF(OR(F1731="",L1731=""),"",F1731))</f>
        <v/>
      </c>
      <c r="J1731" s="350">
        <f>IF(G1731="Sim",0,IF(OR(F1731="",D1731="",L1731=""),"",IF(L1731="Sim",ROUND(F1731-D1731,2),0)))</f>
        <v/>
      </c>
      <c r="K1731" s="97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inlineStr">
        <is>
          <t>Nao</t>
        </is>
      </c>
      <c r="W1731" s="110" t="inlineStr">
        <is>
          <t>PC em analise</t>
        </is>
      </c>
      <c r="X1731" s="110" t="inlineStr">
        <is>
          <t>Pedido de Compra</t>
        </is>
      </c>
      <c r="Y1731" s="111" t="inlineStr">
        <is>
          <t>Impacto Potencial</t>
        </is>
      </c>
      <c r="Z1731" s="111" t="inlineStr">
        <is>
          <t>PC</t>
        </is>
      </c>
      <c r="AA1731" s="111" t="inlineStr">
        <is>
          <t>Nao</t>
        </is>
      </c>
      <c r="AB1731" s="111" t="inlineStr">
        <is>
          <t>NAO_COMPUTADO</t>
        </is>
      </c>
      <c r="AC1731" s="112" t="inlineStr">
        <is>
          <t>Estrutura Fase 1: sem impacto no VTA oficial</t>
        </is>
      </c>
    </row>
    <row r="1732" ht="25.5" customHeight="1" s="289">
      <c r="A1732" s="205" t="n"/>
      <c r="B1732" s="207" t="n"/>
      <c r="C1732" s="104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348" t="n"/>
      <c r="E1732" s="349">
        <f>IF(C1732="","",IFERROR(VLOOKUP(C1732,parametros!$A$11:$E$15,5,0),""))</f>
        <v/>
      </c>
      <c r="F1732" s="335">
        <f>IF(OR(D1732="",E1732=""),"",ROUND(D1732*E1732,2))</f>
        <v/>
      </c>
      <c r="G1732" s="106" t="n"/>
      <c r="H1732" s="350">
        <f>IF(G1732="Sim",IF(OR(F1732="",D1732="",L1732=""),"",IF(L1732="Sim",ROUND(F1732-D1732,2),0)),0)</f>
        <v/>
      </c>
      <c r="I1732" s="350">
        <f>IF(G1732="Sim",0,IF(OR(F1732="",L1732=""),"",F1732))</f>
        <v/>
      </c>
      <c r="J1732" s="350">
        <f>IF(G1732="Sim",0,IF(OR(F1732="",D1732="",L1732=""),"",IF(L1732="Sim",ROUND(F1732-D1732,2),0)))</f>
        <v/>
      </c>
      <c r="K1732" s="97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inlineStr">
        <is>
          <t>Nao</t>
        </is>
      </c>
      <c r="W1732" s="110" t="inlineStr">
        <is>
          <t>PC em analise</t>
        </is>
      </c>
      <c r="X1732" s="110" t="inlineStr">
        <is>
          <t>Pedido de Compra</t>
        </is>
      </c>
      <c r="Y1732" s="111" t="inlineStr">
        <is>
          <t>Impacto Potencial</t>
        </is>
      </c>
      <c r="Z1732" s="111" t="inlineStr">
        <is>
          <t>PC</t>
        </is>
      </c>
      <c r="AA1732" s="111" t="inlineStr">
        <is>
          <t>Nao</t>
        </is>
      </c>
      <c r="AB1732" s="111" t="inlineStr">
        <is>
          <t>NAO_COMPUTADO</t>
        </is>
      </c>
      <c r="AC1732" s="112" t="inlineStr">
        <is>
          <t>Estrutura Fase 1: sem impacto no VTA oficial</t>
        </is>
      </c>
    </row>
    <row r="1733" ht="25.5" customHeight="1" s="289">
      <c r="A1733" s="205" t="n"/>
      <c r="B1733" s="207" t="n"/>
      <c r="C1733" s="104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348" t="n"/>
      <c r="E1733" s="349">
        <f>IF(C1733="","",IFERROR(VLOOKUP(C1733,parametros!$A$11:$E$15,5,0),""))</f>
        <v/>
      </c>
      <c r="F1733" s="335">
        <f>IF(OR(D1733="",E1733=""),"",ROUND(D1733*E1733,2))</f>
        <v/>
      </c>
      <c r="G1733" s="106" t="n"/>
      <c r="H1733" s="350">
        <f>IF(G1733="Sim",IF(OR(F1733="",D1733="",L1733=""),"",IF(L1733="Sim",ROUND(F1733-D1733,2),0)),0)</f>
        <v/>
      </c>
      <c r="I1733" s="350">
        <f>IF(G1733="Sim",0,IF(OR(F1733="",L1733=""),"",F1733))</f>
        <v/>
      </c>
      <c r="J1733" s="350">
        <f>IF(G1733="Sim",0,IF(OR(F1733="",D1733="",L1733=""),"",IF(L1733="Sim",ROUND(F1733-D1733,2),0)))</f>
        <v/>
      </c>
      <c r="K1733" s="97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inlineStr">
        <is>
          <t>Nao</t>
        </is>
      </c>
      <c r="W1733" s="110" t="inlineStr">
        <is>
          <t>PC em analise</t>
        </is>
      </c>
      <c r="X1733" s="110" t="inlineStr">
        <is>
          <t>Pedido de Compra</t>
        </is>
      </c>
      <c r="Y1733" s="111" t="inlineStr">
        <is>
          <t>Impacto Potencial</t>
        </is>
      </c>
      <c r="Z1733" s="111" t="inlineStr">
        <is>
          <t>PC</t>
        </is>
      </c>
      <c r="AA1733" s="111" t="inlineStr">
        <is>
          <t>Nao</t>
        </is>
      </c>
      <c r="AB1733" s="111" t="inlineStr">
        <is>
          <t>NAO_COMPUTADO</t>
        </is>
      </c>
      <c r="AC1733" s="112" t="inlineStr">
        <is>
          <t>Estrutura Fase 1: sem impacto no VTA oficial</t>
        </is>
      </c>
    </row>
    <row r="1734" ht="25.5" customHeight="1" s="289">
      <c r="A1734" s="205" t="n"/>
      <c r="B1734" s="207" t="n"/>
      <c r="C1734" s="104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348" t="n"/>
      <c r="E1734" s="349">
        <f>IF(C1734="","",IFERROR(VLOOKUP(C1734,parametros!$A$11:$E$15,5,0),""))</f>
        <v/>
      </c>
      <c r="F1734" s="335">
        <f>IF(OR(D1734="",E1734=""),"",ROUND(D1734*E1734,2))</f>
        <v/>
      </c>
      <c r="G1734" s="106" t="n"/>
      <c r="H1734" s="350">
        <f>IF(G1734="Sim",IF(OR(F1734="",D1734="",L1734=""),"",IF(L1734="Sim",ROUND(F1734-D1734,2),0)),0)</f>
        <v/>
      </c>
      <c r="I1734" s="350">
        <f>IF(G1734="Sim",0,IF(OR(F1734="",L1734=""),"",F1734))</f>
        <v/>
      </c>
      <c r="J1734" s="350">
        <f>IF(G1734="Sim",0,IF(OR(F1734="",D1734="",L1734=""),"",IF(L1734="Sim",ROUND(F1734-D1734,2),0)))</f>
        <v/>
      </c>
      <c r="K1734" s="97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inlineStr">
        <is>
          <t>Nao</t>
        </is>
      </c>
      <c r="W1734" s="110" t="inlineStr">
        <is>
          <t>PC em analise</t>
        </is>
      </c>
      <c r="X1734" s="110" t="inlineStr">
        <is>
          <t>Pedido de Compra</t>
        </is>
      </c>
      <c r="Y1734" s="111" t="inlineStr">
        <is>
          <t>Impacto Potencial</t>
        </is>
      </c>
      <c r="Z1734" s="111" t="inlineStr">
        <is>
          <t>PC</t>
        </is>
      </c>
      <c r="AA1734" s="111" t="inlineStr">
        <is>
          <t>Nao</t>
        </is>
      </c>
      <c r="AB1734" s="111" t="inlineStr">
        <is>
          <t>NAO_COMPUTADO</t>
        </is>
      </c>
      <c r="AC1734" s="112" t="inlineStr">
        <is>
          <t>Estrutura Fase 1: sem impacto no VTA oficial</t>
        </is>
      </c>
    </row>
    <row r="1735" ht="25.5" customHeight="1" s="289">
      <c r="A1735" s="205" t="n"/>
      <c r="B1735" s="207" t="n"/>
      <c r="C1735" s="104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348" t="n"/>
      <c r="E1735" s="349">
        <f>IF(C1735="","",IFERROR(VLOOKUP(C1735,parametros!$A$11:$E$15,5,0),""))</f>
        <v/>
      </c>
      <c r="F1735" s="335">
        <f>IF(OR(D1735="",E1735=""),"",ROUND(D1735*E1735,2))</f>
        <v/>
      </c>
      <c r="G1735" s="106" t="n"/>
      <c r="H1735" s="350">
        <f>IF(G1735="Sim",IF(OR(F1735="",D1735="",L1735=""),"",IF(L1735="Sim",ROUND(F1735-D1735,2),0)),0)</f>
        <v/>
      </c>
      <c r="I1735" s="350">
        <f>IF(G1735="Sim",0,IF(OR(F1735="",L1735=""),"",F1735))</f>
        <v/>
      </c>
      <c r="J1735" s="350">
        <f>IF(G1735="Sim",0,IF(OR(F1735="",D1735="",L1735=""),"",IF(L1735="Sim",ROUND(F1735-D1735,2),0)))</f>
        <v/>
      </c>
      <c r="K1735" s="97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inlineStr">
        <is>
          <t>Nao</t>
        </is>
      </c>
      <c r="W1735" s="110" t="inlineStr">
        <is>
          <t>PC em analise</t>
        </is>
      </c>
      <c r="X1735" s="110" t="inlineStr">
        <is>
          <t>Pedido de Compra</t>
        </is>
      </c>
      <c r="Y1735" s="111" t="inlineStr">
        <is>
          <t>Impacto Potencial</t>
        </is>
      </c>
      <c r="Z1735" s="111" t="inlineStr">
        <is>
          <t>PC</t>
        </is>
      </c>
      <c r="AA1735" s="111" t="inlineStr">
        <is>
          <t>Nao</t>
        </is>
      </c>
      <c r="AB1735" s="111" t="inlineStr">
        <is>
          <t>NAO_COMPUTADO</t>
        </is>
      </c>
      <c r="AC1735" s="112" t="inlineStr">
        <is>
          <t>Estrutura Fase 1: sem impacto no VTA oficial</t>
        </is>
      </c>
    </row>
    <row r="1736" ht="25.5" customHeight="1" s="289">
      <c r="A1736" s="205" t="n"/>
      <c r="B1736" s="207" t="n"/>
      <c r="C1736" s="104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348" t="n"/>
      <c r="E1736" s="349">
        <f>IF(C1736="","",IFERROR(VLOOKUP(C1736,parametros!$A$11:$E$15,5,0),""))</f>
        <v/>
      </c>
      <c r="F1736" s="335">
        <f>IF(OR(D1736="",E1736=""),"",ROUND(D1736*E1736,2))</f>
        <v/>
      </c>
      <c r="G1736" s="106" t="n"/>
      <c r="H1736" s="350">
        <f>IF(G1736="Sim",IF(OR(F1736="",D1736="",L1736=""),"",IF(L1736="Sim",ROUND(F1736-D1736,2),0)),0)</f>
        <v/>
      </c>
      <c r="I1736" s="350">
        <f>IF(G1736="Sim",0,IF(OR(F1736="",L1736=""),"",F1736))</f>
        <v/>
      </c>
      <c r="J1736" s="350">
        <f>IF(G1736="Sim",0,IF(OR(F1736="",D1736="",L1736=""),"",IF(L1736="Sim",ROUND(F1736-D1736,2),0)))</f>
        <v/>
      </c>
      <c r="K1736" s="97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inlineStr">
        <is>
          <t>Nao</t>
        </is>
      </c>
      <c r="W1736" s="110" t="inlineStr">
        <is>
          <t>PC em analise</t>
        </is>
      </c>
      <c r="X1736" s="110" t="inlineStr">
        <is>
          <t>Pedido de Compra</t>
        </is>
      </c>
      <c r="Y1736" s="111" t="inlineStr">
        <is>
          <t>Impacto Potencial</t>
        </is>
      </c>
      <c r="Z1736" s="111" t="inlineStr">
        <is>
          <t>PC</t>
        </is>
      </c>
      <c r="AA1736" s="111" t="inlineStr">
        <is>
          <t>Nao</t>
        </is>
      </c>
      <c r="AB1736" s="111" t="inlineStr">
        <is>
          <t>NAO_COMPUTADO</t>
        </is>
      </c>
      <c r="AC1736" s="112" t="inlineStr">
        <is>
          <t>Estrutura Fase 1: sem impacto no VTA oficial</t>
        </is>
      </c>
    </row>
    <row r="1737" ht="25.5" customHeight="1" s="289">
      <c r="A1737" s="205" t="n"/>
      <c r="B1737" s="207" t="n"/>
      <c r="C1737" s="104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348" t="n"/>
      <c r="E1737" s="349">
        <f>IF(C1737="","",IFERROR(VLOOKUP(C1737,parametros!$A$11:$E$15,5,0),""))</f>
        <v/>
      </c>
      <c r="F1737" s="335">
        <f>IF(OR(D1737="",E1737=""),"",ROUND(D1737*E1737,2))</f>
        <v/>
      </c>
      <c r="G1737" s="106" t="n"/>
      <c r="H1737" s="350">
        <f>IF(G1737="Sim",IF(OR(F1737="",D1737="",L1737=""),"",IF(L1737="Sim",ROUND(F1737-D1737,2),0)),0)</f>
        <v/>
      </c>
      <c r="I1737" s="350">
        <f>IF(G1737="Sim",0,IF(OR(F1737="",L1737=""),"",F1737))</f>
        <v/>
      </c>
      <c r="J1737" s="350">
        <f>IF(G1737="Sim",0,IF(OR(F1737="",D1737="",L1737=""),"",IF(L1737="Sim",ROUND(F1737-D1737,2),0)))</f>
        <v/>
      </c>
      <c r="K1737" s="97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inlineStr">
        <is>
          <t>Nao</t>
        </is>
      </c>
      <c r="W1737" s="110" t="inlineStr">
        <is>
          <t>PC em analise</t>
        </is>
      </c>
      <c r="X1737" s="110" t="inlineStr">
        <is>
          <t>Pedido de Compra</t>
        </is>
      </c>
      <c r="Y1737" s="111" t="inlineStr">
        <is>
          <t>Impacto Potencial</t>
        </is>
      </c>
      <c r="Z1737" s="111" t="inlineStr">
        <is>
          <t>PC</t>
        </is>
      </c>
      <c r="AA1737" s="111" t="inlineStr">
        <is>
          <t>Nao</t>
        </is>
      </c>
      <c r="AB1737" s="111" t="inlineStr">
        <is>
          <t>NAO_COMPUTADO</t>
        </is>
      </c>
      <c r="AC1737" s="112" t="inlineStr">
        <is>
          <t>Estrutura Fase 1: sem impacto no VTA oficial</t>
        </is>
      </c>
    </row>
    <row r="1738" ht="25.5" customHeight="1" s="289">
      <c r="A1738" s="205" t="n"/>
      <c r="B1738" s="207" t="n"/>
      <c r="C1738" s="104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348" t="n"/>
      <c r="E1738" s="349">
        <f>IF(C1738="","",IFERROR(VLOOKUP(C1738,parametros!$A$11:$E$15,5,0),""))</f>
        <v/>
      </c>
      <c r="F1738" s="335">
        <f>IF(OR(D1738="",E1738=""),"",ROUND(D1738*E1738,2))</f>
        <v/>
      </c>
      <c r="G1738" s="106" t="n"/>
      <c r="H1738" s="350">
        <f>IF(G1738="Sim",IF(OR(F1738="",D1738="",L1738=""),"",IF(L1738="Sim",ROUND(F1738-D1738,2),0)),0)</f>
        <v/>
      </c>
      <c r="I1738" s="350">
        <f>IF(G1738="Sim",0,IF(OR(F1738="",L1738=""),"",F1738))</f>
        <v/>
      </c>
      <c r="J1738" s="350">
        <f>IF(G1738="Sim",0,IF(OR(F1738="",D1738="",L1738=""),"",IF(L1738="Sim",ROUND(F1738-D1738,2),0)))</f>
        <v/>
      </c>
      <c r="K1738" s="97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inlineStr">
        <is>
          <t>Nao</t>
        </is>
      </c>
      <c r="W1738" s="110" t="inlineStr">
        <is>
          <t>PC em analise</t>
        </is>
      </c>
      <c r="X1738" s="110" t="inlineStr">
        <is>
          <t>Pedido de Compra</t>
        </is>
      </c>
      <c r="Y1738" s="111" t="inlineStr">
        <is>
          <t>Impacto Potencial</t>
        </is>
      </c>
      <c r="Z1738" s="111" t="inlineStr">
        <is>
          <t>PC</t>
        </is>
      </c>
      <c r="AA1738" s="111" t="inlineStr">
        <is>
          <t>Nao</t>
        </is>
      </c>
      <c r="AB1738" s="111" t="inlineStr">
        <is>
          <t>NAO_COMPUTADO</t>
        </is>
      </c>
      <c r="AC1738" s="112" t="inlineStr">
        <is>
          <t>Estrutura Fase 1: sem impacto no VTA oficial</t>
        </is>
      </c>
    </row>
    <row r="1739" ht="25.5" customHeight="1" s="289">
      <c r="A1739" s="205" t="n"/>
      <c r="B1739" s="207" t="n"/>
      <c r="C1739" s="104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348" t="n"/>
      <c r="E1739" s="349">
        <f>IF(C1739="","",IFERROR(VLOOKUP(C1739,parametros!$A$11:$E$15,5,0),""))</f>
        <v/>
      </c>
      <c r="F1739" s="335">
        <f>IF(OR(D1739="",E1739=""),"",ROUND(D1739*E1739,2))</f>
        <v/>
      </c>
      <c r="G1739" s="106" t="n"/>
      <c r="H1739" s="350">
        <f>IF(G1739="Sim",IF(OR(F1739="",D1739="",L1739=""),"",IF(L1739="Sim",ROUND(F1739-D1739,2),0)),0)</f>
        <v/>
      </c>
      <c r="I1739" s="350">
        <f>IF(G1739="Sim",0,IF(OR(F1739="",L1739=""),"",F1739))</f>
        <v/>
      </c>
      <c r="J1739" s="350">
        <f>IF(G1739="Sim",0,IF(OR(F1739="",D1739="",L1739=""),"",IF(L1739="Sim",ROUND(F1739-D1739,2),0)))</f>
        <v/>
      </c>
      <c r="K1739" s="97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inlineStr">
        <is>
          <t>Nao</t>
        </is>
      </c>
      <c r="W1739" s="110" t="inlineStr">
        <is>
          <t>PC em analise</t>
        </is>
      </c>
      <c r="X1739" s="110" t="inlineStr">
        <is>
          <t>Pedido de Compra</t>
        </is>
      </c>
      <c r="Y1739" s="111" t="inlineStr">
        <is>
          <t>Impacto Potencial</t>
        </is>
      </c>
      <c r="Z1739" s="111" t="inlineStr">
        <is>
          <t>PC</t>
        </is>
      </c>
      <c r="AA1739" s="111" t="inlineStr">
        <is>
          <t>Nao</t>
        </is>
      </c>
      <c r="AB1739" s="111" t="inlineStr">
        <is>
          <t>NAO_COMPUTADO</t>
        </is>
      </c>
      <c r="AC1739" s="112" t="inlineStr">
        <is>
          <t>Estrutura Fase 1: sem impacto no VTA oficial</t>
        </is>
      </c>
    </row>
    <row r="1740" ht="25.5" customHeight="1" s="289">
      <c r="A1740" s="205" t="n"/>
      <c r="B1740" s="207" t="n"/>
      <c r="C1740" s="104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348" t="n"/>
      <c r="E1740" s="349">
        <f>IF(C1740="","",IFERROR(VLOOKUP(C1740,parametros!$A$11:$E$15,5,0),""))</f>
        <v/>
      </c>
      <c r="F1740" s="335">
        <f>IF(OR(D1740="",E1740=""),"",ROUND(D1740*E1740,2))</f>
        <v/>
      </c>
      <c r="G1740" s="106" t="n"/>
      <c r="H1740" s="350">
        <f>IF(G1740="Sim",IF(OR(F1740="",D1740="",L1740=""),"",IF(L1740="Sim",ROUND(F1740-D1740,2),0)),0)</f>
        <v/>
      </c>
      <c r="I1740" s="350">
        <f>IF(G1740="Sim",0,IF(OR(F1740="",L1740=""),"",F1740))</f>
        <v/>
      </c>
      <c r="J1740" s="350">
        <f>IF(G1740="Sim",0,IF(OR(F1740="",D1740="",L1740=""),"",IF(L1740="Sim",ROUND(F1740-D1740,2),0)))</f>
        <v/>
      </c>
      <c r="K1740" s="97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inlineStr">
        <is>
          <t>Nao</t>
        </is>
      </c>
      <c r="W1740" s="110" t="inlineStr">
        <is>
          <t>PC em analise</t>
        </is>
      </c>
      <c r="X1740" s="110" t="inlineStr">
        <is>
          <t>Pedido de Compra</t>
        </is>
      </c>
      <c r="Y1740" s="111" t="inlineStr">
        <is>
          <t>Impacto Potencial</t>
        </is>
      </c>
      <c r="Z1740" s="111" t="inlineStr">
        <is>
          <t>PC</t>
        </is>
      </c>
      <c r="AA1740" s="111" t="inlineStr">
        <is>
          <t>Nao</t>
        </is>
      </c>
      <c r="AB1740" s="111" t="inlineStr">
        <is>
          <t>NAO_COMPUTADO</t>
        </is>
      </c>
      <c r="AC1740" s="112" t="inlineStr">
        <is>
          <t>Estrutura Fase 1: sem impacto no VTA oficial</t>
        </is>
      </c>
    </row>
    <row r="1741" ht="25.5" customHeight="1" s="289">
      <c r="A1741" s="205" t="n"/>
      <c r="B1741" s="207" t="n"/>
      <c r="C1741" s="104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348" t="n"/>
      <c r="E1741" s="349">
        <f>IF(C1741="","",IFERROR(VLOOKUP(C1741,parametros!$A$11:$E$15,5,0),""))</f>
        <v/>
      </c>
      <c r="F1741" s="335">
        <f>IF(OR(D1741="",E1741=""),"",ROUND(D1741*E1741,2))</f>
        <v/>
      </c>
      <c r="G1741" s="106" t="n"/>
      <c r="H1741" s="350">
        <f>IF(G1741="Sim",IF(OR(F1741="",D1741="",L1741=""),"",IF(L1741="Sim",ROUND(F1741-D1741,2),0)),0)</f>
        <v/>
      </c>
      <c r="I1741" s="350">
        <f>IF(G1741="Sim",0,IF(OR(F1741="",L1741=""),"",F1741))</f>
        <v/>
      </c>
      <c r="J1741" s="350">
        <f>IF(G1741="Sim",0,IF(OR(F1741="",D1741="",L1741=""),"",IF(L1741="Sim",ROUND(F1741-D1741,2),0)))</f>
        <v/>
      </c>
      <c r="K1741" s="97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inlineStr">
        <is>
          <t>Nao</t>
        </is>
      </c>
      <c r="W1741" s="110" t="inlineStr">
        <is>
          <t>PC em analise</t>
        </is>
      </c>
      <c r="X1741" s="110" t="inlineStr">
        <is>
          <t>Pedido de Compra</t>
        </is>
      </c>
      <c r="Y1741" s="111" t="inlineStr">
        <is>
          <t>Impacto Potencial</t>
        </is>
      </c>
      <c r="Z1741" s="111" t="inlineStr">
        <is>
          <t>PC</t>
        </is>
      </c>
      <c r="AA1741" s="111" t="inlineStr">
        <is>
          <t>Nao</t>
        </is>
      </c>
      <c r="AB1741" s="111" t="inlineStr">
        <is>
          <t>NAO_COMPUTADO</t>
        </is>
      </c>
      <c r="AC1741" s="112" t="inlineStr">
        <is>
          <t>Estrutura Fase 1: sem impacto no VTA oficial</t>
        </is>
      </c>
    </row>
    <row r="1742" ht="25.5" customHeight="1" s="289">
      <c r="A1742" s="205" t="n"/>
      <c r="B1742" s="207" t="n"/>
      <c r="C1742" s="104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348" t="n"/>
      <c r="E1742" s="349">
        <f>IF(C1742="","",IFERROR(VLOOKUP(C1742,parametros!$A$11:$E$15,5,0),""))</f>
        <v/>
      </c>
      <c r="F1742" s="335">
        <f>IF(OR(D1742="",E1742=""),"",ROUND(D1742*E1742,2))</f>
        <v/>
      </c>
      <c r="G1742" s="106" t="n"/>
      <c r="H1742" s="350">
        <f>IF(G1742="Sim",IF(OR(F1742="",D1742="",L1742=""),"",IF(L1742="Sim",ROUND(F1742-D1742,2),0)),0)</f>
        <v/>
      </c>
      <c r="I1742" s="350">
        <f>IF(G1742="Sim",0,IF(OR(F1742="",L1742=""),"",F1742))</f>
        <v/>
      </c>
      <c r="J1742" s="350">
        <f>IF(G1742="Sim",0,IF(OR(F1742="",D1742="",L1742=""),"",IF(L1742="Sim",ROUND(F1742-D1742,2),0)))</f>
        <v/>
      </c>
      <c r="K1742" s="97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inlineStr">
        <is>
          <t>Nao</t>
        </is>
      </c>
      <c r="W1742" s="110" t="inlineStr">
        <is>
          <t>PC em analise</t>
        </is>
      </c>
      <c r="X1742" s="110" t="inlineStr">
        <is>
          <t>Pedido de Compra</t>
        </is>
      </c>
      <c r="Y1742" s="111" t="inlineStr">
        <is>
          <t>Impacto Potencial</t>
        </is>
      </c>
      <c r="Z1742" s="111" t="inlineStr">
        <is>
          <t>PC</t>
        </is>
      </c>
      <c r="AA1742" s="111" t="inlineStr">
        <is>
          <t>Nao</t>
        </is>
      </c>
      <c r="AB1742" s="111" t="inlineStr">
        <is>
          <t>NAO_COMPUTADO</t>
        </is>
      </c>
      <c r="AC1742" s="112" t="inlineStr">
        <is>
          <t>Estrutura Fase 1: sem impacto no VTA oficial</t>
        </is>
      </c>
    </row>
    <row r="1743" ht="25.5" customHeight="1" s="289">
      <c r="A1743" s="205" t="n"/>
      <c r="B1743" s="207" t="n"/>
      <c r="C1743" s="104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348" t="n"/>
      <c r="E1743" s="349">
        <f>IF(C1743="","",IFERROR(VLOOKUP(C1743,parametros!$A$11:$E$15,5,0),""))</f>
        <v/>
      </c>
      <c r="F1743" s="335">
        <f>IF(OR(D1743="",E1743=""),"",ROUND(D1743*E1743,2))</f>
        <v/>
      </c>
      <c r="G1743" s="106" t="n"/>
      <c r="H1743" s="350">
        <f>IF(G1743="Sim",IF(OR(F1743="",D1743="",L1743=""),"",IF(L1743="Sim",ROUND(F1743-D1743,2),0)),0)</f>
        <v/>
      </c>
      <c r="I1743" s="350">
        <f>IF(G1743="Sim",0,IF(OR(F1743="",L1743=""),"",F1743))</f>
        <v/>
      </c>
      <c r="J1743" s="350">
        <f>IF(G1743="Sim",0,IF(OR(F1743="",D1743="",L1743=""),"",IF(L1743="Sim",ROUND(F1743-D1743,2),0)))</f>
        <v/>
      </c>
      <c r="K1743" s="97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inlineStr">
        <is>
          <t>Nao</t>
        </is>
      </c>
      <c r="W1743" s="110" t="inlineStr">
        <is>
          <t>PC em analise</t>
        </is>
      </c>
      <c r="X1743" s="110" t="inlineStr">
        <is>
          <t>Pedido de Compra</t>
        </is>
      </c>
      <c r="Y1743" s="111" t="inlineStr">
        <is>
          <t>Impacto Potencial</t>
        </is>
      </c>
      <c r="Z1743" s="111" t="inlineStr">
        <is>
          <t>PC</t>
        </is>
      </c>
      <c r="AA1743" s="111" t="inlineStr">
        <is>
          <t>Nao</t>
        </is>
      </c>
      <c r="AB1743" s="111" t="inlineStr">
        <is>
          <t>NAO_COMPUTADO</t>
        </is>
      </c>
      <c r="AC1743" s="112" t="inlineStr">
        <is>
          <t>Estrutura Fase 1: sem impacto no VTA oficial</t>
        </is>
      </c>
    </row>
    <row r="1744" ht="25.5" customHeight="1" s="289">
      <c r="A1744" s="205" t="n"/>
      <c r="B1744" s="207" t="n"/>
      <c r="C1744" s="104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348" t="n"/>
      <c r="E1744" s="349">
        <f>IF(C1744="","",IFERROR(VLOOKUP(C1744,parametros!$A$11:$E$15,5,0),""))</f>
        <v/>
      </c>
      <c r="F1744" s="335">
        <f>IF(OR(D1744="",E1744=""),"",ROUND(D1744*E1744,2))</f>
        <v/>
      </c>
      <c r="G1744" s="106" t="n"/>
      <c r="H1744" s="350">
        <f>IF(G1744="Sim",IF(OR(F1744="",D1744="",L1744=""),"",IF(L1744="Sim",ROUND(F1744-D1744,2),0)),0)</f>
        <v/>
      </c>
      <c r="I1744" s="350">
        <f>IF(G1744="Sim",0,IF(OR(F1744="",L1744=""),"",F1744))</f>
        <v/>
      </c>
      <c r="J1744" s="350">
        <f>IF(G1744="Sim",0,IF(OR(F1744="",D1744="",L1744=""),"",IF(L1744="Sim",ROUND(F1744-D1744,2),0)))</f>
        <v/>
      </c>
      <c r="K1744" s="97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inlineStr">
        <is>
          <t>Nao</t>
        </is>
      </c>
      <c r="W1744" s="110" t="inlineStr">
        <is>
          <t>PC em analise</t>
        </is>
      </c>
      <c r="X1744" s="110" t="inlineStr">
        <is>
          <t>Pedido de Compra</t>
        </is>
      </c>
      <c r="Y1744" s="111" t="inlineStr">
        <is>
          <t>Impacto Potencial</t>
        </is>
      </c>
      <c r="Z1744" s="111" t="inlineStr">
        <is>
          <t>PC</t>
        </is>
      </c>
      <c r="AA1744" s="111" t="inlineStr">
        <is>
          <t>Nao</t>
        </is>
      </c>
      <c r="AB1744" s="111" t="inlineStr">
        <is>
          <t>NAO_COMPUTADO</t>
        </is>
      </c>
      <c r="AC1744" s="112" t="inlineStr">
        <is>
          <t>Estrutura Fase 1: sem impacto no VTA oficial</t>
        </is>
      </c>
    </row>
    <row r="1745" ht="25.5" customHeight="1" s="289">
      <c r="A1745" s="205" t="n"/>
      <c r="B1745" s="207" t="n"/>
      <c r="C1745" s="104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348" t="n"/>
      <c r="E1745" s="349">
        <f>IF(C1745="","",IFERROR(VLOOKUP(C1745,parametros!$A$11:$E$15,5,0),""))</f>
        <v/>
      </c>
      <c r="F1745" s="335">
        <f>IF(OR(D1745="",E1745=""),"",ROUND(D1745*E1745,2))</f>
        <v/>
      </c>
      <c r="G1745" s="106" t="n"/>
      <c r="H1745" s="350">
        <f>IF(G1745="Sim",IF(OR(F1745="",D1745="",L1745=""),"",IF(L1745="Sim",ROUND(F1745-D1745,2),0)),0)</f>
        <v/>
      </c>
      <c r="I1745" s="350">
        <f>IF(G1745="Sim",0,IF(OR(F1745="",L1745=""),"",F1745))</f>
        <v/>
      </c>
      <c r="J1745" s="350">
        <f>IF(G1745="Sim",0,IF(OR(F1745="",D1745="",L1745=""),"",IF(L1745="Sim",ROUND(F1745-D1745,2),0)))</f>
        <v/>
      </c>
      <c r="K1745" s="97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inlineStr">
        <is>
          <t>Nao</t>
        </is>
      </c>
      <c r="W1745" s="110" t="inlineStr">
        <is>
          <t>PC em analise</t>
        </is>
      </c>
      <c r="X1745" s="110" t="inlineStr">
        <is>
          <t>Pedido de Compra</t>
        </is>
      </c>
      <c r="Y1745" s="111" t="inlineStr">
        <is>
          <t>Impacto Potencial</t>
        </is>
      </c>
      <c r="Z1745" s="111" t="inlineStr">
        <is>
          <t>PC</t>
        </is>
      </c>
      <c r="AA1745" s="111" t="inlineStr">
        <is>
          <t>Nao</t>
        </is>
      </c>
      <c r="AB1745" s="111" t="inlineStr">
        <is>
          <t>NAO_COMPUTADO</t>
        </is>
      </c>
      <c r="AC1745" s="112" t="inlineStr">
        <is>
          <t>Estrutura Fase 1: sem impacto no VTA oficial</t>
        </is>
      </c>
    </row>
    <row r="1746" ht="25.5" customHeight="1" s="289">
      <c r="A1746" s="205" t="n"/>
      <c r="B1746" s="207" t="n"/>
      <c r="C1746" s="104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348" t="n"/>
      <c r="E1746" s="349">
        <f>IF(C1746="","",IFERROR(VLOOKUP(C1746,parametros!$A$11:$E$15,5,0),""))</f>
        <v/>
      </c>
      <c r="F1746" s="335">
        <f>IF(OR(D1746="",E1746=""),"",ROUND(D1746*E1746,2))</f>
        <v/>
      </c>
      <c r="G1746" s="106" t="n"/>
      <c r="H1746" s="350">
        <f>IF(G1746="Sim",IF(OR(F1746="",D1746="",L1746=""),"",IF(L1746="Sim",ROUND(F1746-D1746,2),0)),0)</f>
        <v/>
      </c>
      <c r="I1746" s="350">
        <f>IF(G1746="Sim",0,IF(OR(F1746="",L1746=""),"",F1746))</f>
        <v/>
      </c>
      <c r="J1746" s="350">
        <f>IF(G1746="Sim",0,IF(OR(F1746="",D1746="",L1746=""),"",IF(L1746="Sim",ROUND(F1746-D1746,2),0)))</f>
        <v/>
      </c>
      <c r="K1746" s="97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inlineStr">
        <is>
          <t>Nao</t>
        </is>
      </c>
      <c r="W1746" s="110" t="inlineStr">
        <is>
          <t>PC em analise</t>
        </is>
      </c>
      <c r="X1746" s="110" t="inlineStr">
        <is>
          <t>Pedido de Compra</t>
        </is>
      </c>
      <c r="Y1746" s="111" t="inlineStr">
        <is>
          <t>Impacto Potencial</t>
        </is>
      </c>
      <c r="Z1746" s="111" t="inlineStr">
        <is>
          <t>PC</t>
        </is>
      </c>
      <c r="AA1746" s="111" t="inlineStr">
        <is>
          <t>Nao</t>
        </is>
      </c>
      <c r="AB1746" s="111" t="inlineStr">
        <is>
          <t>NAO_COMPUTADO</t>
        </is>
      </c>
      <c r="AC1746" s="112" t="inlineStr">
        <is>
          <t>Estrutura Fase 1: sem impacto no VTA oficial</t>
        </is>
      </c>
    </row>
    <row r="1747" ht="25.5" customHeight="1" s="289">
      <c r="A1747" s="205" t="n"/>
      <c r="B1747" s="207" t="n"/>
      <c r="C1747" s="104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348" t="n"/>
      <c r="E1747" s="349">
        <f>IF(C1747="","",IFERROR(VLOOKUP(C1747,parametros!$A$11:$E$15,5,0),""))</f>
        <v/>
      </c>
      <c r="F1747" s="335">
        <f>IF(OR(D1747="",E1747=""),"",ROUND(D1747*E1747,2))</f>
        <v/>
      </c>
      <c r="G1747" s="106" t="n"/>
      <c r="H1747" s="350">
        <f>IF(G1747="Sim",IF(OR(F1747="",D1747="",L1747=""),"",IF(L1747="Sim",ROUND(F1747-D1747,2),0)),0)</f>
        <v/>
      </c>
      <c r="I1747" s="350">
        <f>IF(G1747="Sim",0,IF(OR(F1747="",L1747=""),"",F1747))</f>
        <v/>
      </c>
      <c r="J1747" s="350">
        <f>IF(G1747="Sim",0,IF(OR(F1747="",D1747="",L1747=""),"",IF(L1747="Sim",ROUND(F1747-D1747,2),0)))</f>
        <v/>
      </c>
      <c r="K1747" s="97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inlineStr">
        <is>
          <t>Nao</t>
        </is>
      </c>
      <c r="W1747" s="110" t="inlineStr">
        <is>
          <t>PC em analise</t>
        </is>
      </c>
      <c r="X1747" s="110" t="inlineStr">
        <is>
          <t>Pedido de Compra</t>
        </is>
      </c>
      <c r="Y1747" s="111" t="inlineStr">
        <is>
          <t>Impacto Potencial</t>
        </is>
      </c>
      <c r="Z1747" s="111" t="inlineStr">
        <is>
          <t>PC</t>
        </is>
      </c>
      <c r="AA1747" s="111" t="inlineStr">
        <is>
          <t>Nao</t>
        </is>
      </c>
      <c r="AB1747" s="111" t="inlineStr">
        <is>
          <t>NAO_COMPUTADO</t>
        </is>
      </c>
      <c r="AC1747" s="112" t="inlineStr">
        <is>
          <t>Estrutura Fase 1: sem impacto no VTA oficial</t>
        </is>
      </c>
    </row>
    <row r="1748" ht="25.5" customHeight="1" s="289">
      <c r="A1748" s="205" t="n"/>
      <c r="B1748" s="207" t="n"/>
      <c r="C1748" s="104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348" t="n"/>
      <c r="E1748" s="349">
        <f>IF(C1748="","",IFERROR(VLOOKUP(C1748,parametros!$A$11:$E$15,5,0),""))</f>
        <v/>
      </c>
      <c r="F1748" s="335">
        <f>IF(OR(D1748="",E1748=""),"",ROUND(D1748*E1748,2))</f>
        <v/>
      </c>
      <c r="G1748" s="106" t="n"/>
      <c r="H1748" s="350">
        <f>IF(G1748="Sim",IF(OR(F1748="",D1748="",L1748=""),"",IF(L1748="Sim",ROUND(F1748-D1748,2),0)),0)</f>
        <v/>
      </c>
      <c r="I1748" s="350">
        <f>IF(G1748="Sim",0,IF(OR(F1748="",L1748=""),"",F1748))</f>
        <v/>
      </c>
      <c r="J1748" s="350">
        <f>IF(G1748="Sim",0,IF(OR(F1748="",D1748="",L1748=""),"",IF(L1748="Sim",ROUND(F1748-D1748,2),0)))</f>
        <v/>
      </c>
      <c r="K1748" s="97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inlineStr">
        <is>
          <t>Nao</t>
        </is>
      </c>
      <c r="W1748" s="110" t="inlineStr">
        <is>
          <t>PC em analise</t>
        </is>
      </c>
      <c r="X1748" s="110" t="inlineStr">
        <is>
          <t>Pedido de Compra</t>
        </is>
      </c>
      <c r="Y1748" s="111" t="inlineStr">
        <is>
          <t>Impacto Potencial</t>
        </is>
      </c>
      <c r="Z1748" s="111" t="inlineStr">
        <is>
          <t>PC</t>
        </is>
      </c>
      <c r="AA1748" s="111" t="inlineStr">
        <is>
          <t>Nao</t>
        </is>
      </c>
      <c r="AB1748" s="111" t="inlineStr">
        <is>
          <t>NAO_COMPUTADO</t>
        </is>
      </c>
      <c r="AC1748" s="112" t="inlineStr">
        <is>
          <t>Estrutura Fase 1: sem impacto no VTA oficial</t>
        </is>
      </c>
    </row>
    <row r="1749" ht="25.5" customHeight="1" s="289">
      <c r="A1749" s="205" t="n"/>
      <c r="B1749" s="207" t="n"/>
      <c r="C1749" s="104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348" t="n"/>
      <c r="E1749" s="349">
        <f>IF(C1749="","",IFERROR(VLOOKUP(C1749,parametros!$A$11:$E$15,5,0),""))</f>
        <v/>
      </c>
      <c r="F1749" s="335">
        <f>IF(OR(D1749="",E1749=""),"",ROUND(D1749*E1749,2))</f>
        <v/>
      </c>
      <c r="G1749" s="106" t="n"/>
      <c r="H1749" s="350">
        <f>IF(G1749="Sim",IF(OR(F1749="",D1749="",L1749=""),"",IF(L1749="Sim",ROUND(F1749-D1749,2),0)),0)</f>
        <v/>
      </c>
      <c r="I1749" s="350">
        <f>IF(G1749="Sim",0,IF(OR(F1749="",L1749=""),"",F1749))</f>
        <v/>
      </c>
      <c r="J1749" s="350">
        <f>IF(G1749="Sim",0,IF(OR(F1749="",D1749="",L1749=""),"",IF(L1749="Sim",ROUND(F1749-D1749,2),0)))</f>
        <v/>
      </c>
      <c r="K1749" s="97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inlineStr">
        <is>
          <t>Nao</t>
        </is>
      </c>
      <c r="W1749" s="110" t="inlineStr">
        <is>
          <t>PC em analise</t>
        </is>
      </c>
      <c r="X1749" s="110" t="inlineStr">
        <is>
          <t>Pedido de Compra</t>
        </is>
      </c>
      <c r="Y1749" s="111" t="inlineStr">
        <is>
          <t>Impacto Potencial</t>
        </is>
      </c>
      <c r="Z1749" s="111" t="inlineStr">
        <is>
          <t>PC</t>
        </is>
      </c>
      <c r="AA1749" s="111" t="inlineStr">
        <is>
          <t>Nao</t>
        </is>
      </c>
      <c r="AB1749" s="111" t="inlineStr">
        <is>
          <t>NAO_COMPUTADO</t>
        </is>
      </c>
      <c r="AC1749" s="112" t="inlineStr">
        <is>
          <t>Estrutura Fase 1: sem impacto no VTA oficial</t>
        </is>
      </c>
    </row>
    <row r="1750" ht="25.5" customHeight="1" s="289">
      <c r="A1750" s="205" t="n"/>
      <c r="B1750" s="207" t="n"/>
      <c r="C1750" s="104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348" t="n"/>
      <c r="E1750" s="349">
        <f>IF(C1750="","",IFERROR(VLOOKUP(C1750,parametros!$A$11:$E$15,5,0),""))</f>
        <v/>
      </c>
      <c r="F1750" s="335">
        <f>IF(OR(D1750="",E1750=""),"",ROUND(D1750*E1750,2))</f>
        <v/>
      </c>
      <c r="G1750" s="106" t="n"/>
      <c r="H1750" s="350">
        <f>IF(G1750="Sim",IF(OR(F1750="",D1750="",L1750=""),"",IF(L1750="Sim",ROUND(F1750-D1750,2),0)),0)</f>
        <v/>
      </c>
      <c r="I1750" s="350">
        <f>IF(G1750="Sim",0,IF(OR(F1750="",L1750=""),"",F1750))</f>
        <v/>
      </c>
      <c r="J1750" s="350">
        <f>IF(G1750="Sim",0,IF(OR(F1750="",D1750="",L1750=""),"",IF(L1750="Sim",ROUND(F1750-D1750,2),0)))</f>
        <v/>
      </c>
      <c r="K1750" s="97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inlineStr">
        <is>
          <t>Nao</t>
        </is>
      </c>
      <c r="W1750" s="110" t="inlineStr">
        <is>
          <t>PC em analise</t>
        </is>
      </c>
      <c r="X1750" s="110" t="inlineStr">
        <is>
          <t>Pedido de Compra</t>
        </is>
      </c>
      <c r="Y1750" s="111" t="inlineStr">
        <is>
          <t>Impacto Potencial</t>
        </is>
      </c>
      <c r="Z1750" s="111" t="inlineStr">
        <is>
          <t>PC</t>
        </is>
      </c>
      <c r="AA1750" s="111" t="inlineStr">
        <is>
          <t>Nao</t>
        </is>
      </c>
      <c r="AB1750" s="111" t="inlineStr">
        <is>
          <t>NAO_COMPUTADO</t>
        </is>
      </c>
      <c r="AC1750" s="112" t="inlineStr">
        <is>
          <t>Estrutura Fase 1: sem impacto no VTA oficial</t>
        </is>
      </c>
    </row>
    <row r="1751" ht="25.5" customHeight="1" s="289">
      <c r="A1751" s="205" t="n"/>
      <c r="B1751" s="207" t="n"/>
      <c r="C1751" s="104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348" t="n"/>
      <c r="E1751" s="349">
        <f>IF(C1751="","",IFERROR(VLOOKUP(C1751,parametros!$A$11:$E$15,5,0),""))</f>
        <v/>
      </c>
      <c r="F1751" s="335">
        <f>IF(OR(D1751="",E1751=""),"",ROUND(D1751*E1751,2))</f>
        <v/>
      </c>
      <c r="G1751" s="106" t="n"/>
      <c r="H1751" s="350">
        <f>IF(G1751="Sim",IF(OR(F1751="",D1751="",L1751=""),"",IF(L1751="Sim",ROUND(F1751-D1751,2),0)),0)</f>
        <v/>
      </c>
      <c r="I1751" s="350">
        <f>IF(G1751="Sim",0,IF(OR(F1751="",L1751=""),"",F1751))</f>
        <v/>
      </c>
      <c r="J1751" s="350">
        <f>IF(G1751="Sim",0,IF(OR(F1751="",D1751="",L1751=""),"",IF(L1751="Sim",ROUND(F1751-D1751,2),0)))</f>
        <v/>
      </c>
      <c r="K1751" s="97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inlineStr">
        <is>
          <t>Nao</t>
        </is>
      </c>
      <c r="W1751" s="110" t="inlineStr">
        <is>
          <t>PC em analise</t>
        </is>
      </c>
      <c r="X1751" s="110" t="inlineStr">
        <is>
          <t>Pedido de Compra</t>
        </is>
      </c>
      <c r="Y1751" s="111" t="inlineStr">
        <is>
          <t>Impacto Potencial</t>
        </is>
      </c>
      <c r="Z1751" s="111" t="inlineStr">
        <is>
          <t>PC</t>
        </is>
      </c>
      <c r="AA1751" s="111" t="inlineStr">
        <is>
          <t>Nao</t>
        </is>
      </c>
      <c r="AB1751" s="111" t="inlineStr">
        <is>
          <t>NAO_COMPUTADO</t>
        </is>
      </c>
      <c r="AC1751" s="112" t="inlineStr">
        <is>
          <t>Estrutura Fase 1: sem impacto no VTA oficial</t>
        </is>
      </c>
    </row>
    <row r="1752" ht="25.5" customHeight="1" s="289">
      <c r="A1752" s="205" t="n"/>
      <c r="B1752" s="207" t="n"/>
      <c r="C1752" s="104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348" t="n"/>
      <c r="E1752" s="349">
        <f>IF(C1752="","",IFERROR(VLOOKUP(C1752,parametros!$A$11:$E$15,5,0),""))</f>
        <v/>
      </c>
      <c r="F1752" s="335">
        <f>IF(OR(D1752="",E1752=""),"",ROUND(D1752*E1752,2))</f>
        <v/>
      </c>
      <c r="G1752" s="106" t="n"/>
      <c r="H1752" s="350">
        <f>IF(G1752="Sim",IF(OR(F1752="",D1752="",L1752=""),"",IF(L1752="Sim",ROUND(F1752-D1752,2),0)),0)</f>
        <v/>
      </c>
      <c r="I1752" s="350">
        <f>IF(G1752="Sim",0,IF(OR(F1752="",L1752=""),"",F1752))</f>
        <v/>
      </c>
      <c r="J1752" s="350">
        <f>IF(G1752="Sim",0,IF(OR(F1752="",D1752="",L1752=""),"",IF(L1752="Sim",ROUND(F1752-D1752,2),0)))</f>
        <v/>
      </c>
      <c r="K1752" s="97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inlineStr">
        <is>
          <t>Nao</t>
        </is>
      </c>
      <c r="W1752" s="110" t="inlineStr">
        <is>
          <t>PC em analise</t>
        </is>
      </c>
      <c r="X1752" s="110" t="inlineStr">
        <is>
          <t>Pedido de Compra</t>
        </is>
      </c>
      <c r="Y1752" s="111" t="inlineStr">
        <is>
          <t>Impacto Potencial</t>
        </is>
      </c>
      <c r="Z1752" s="111" t="inlineStr">
        <is>
          <t>PC</t>
        </is>
      </c>
      <c r="AA1752" s="111" t="inlineStr">
        <is>
          <t>Nao</t>
        </is>
      </c>
      <c r="AB1752" s="111" t="inlineStr">
        <is>
          <t>NAO_COMPUTADO</t>
        </is>
      </c>
      <c r="AC1752" s="112" t="inlineStr">
        <is>
          <t>Estrutura Fase 1: sem impacto no VTA oficial</t>
        </is>
      </c>
    </row>
    <row r="1753" ht="25.5" customHeight="1" s="289">
      <c r="A1753" s="205" t="n"/>
      <c r="B1753" s="207" t="n"/>
      <c r="C1753" s="104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348" t="n"/>
      <c r="E1753" s="349">
        <f>IF(C1753="","",IFERROR(VLOOKUP(C1753,parametros!$A$11:$E$15,5,0),""))</f>
        <v/>
      </c>
      <c r="F1753" s="335">
        <f>IF(OR(D1753="",E1753=""),"",ROUND(D1753*E1753,2))</f>
        <v/>
      </c>
      <c r="G1753" s="106" t="n"/>
      <c r="H1753" s="350">
        <f>IF(G1753="Sim",IF(OR(F1753="",D1753="",L1753=""),"",IF(L1753="Sim",ROUND(F1753-D1753,2),0)),0)</f>
        <v/>
      </c>
      <c r="I1753" s="350">
        <f>IF(G1753="Sim",0,IF(OR(F1753="",L1753=""),"",F1753))</f>
        <v/>
      </c>
      <c r="J1753" s="350">
        <f>IF(G1753="Sim",0,IF(OR(F1753="",D1753="",L1753=""),"",IF(L1753="Sim",ROUND(F1753-D1753,2),0)))</f>
        <v/>
      </c>
      <c r="K1753" s="97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inlineStr">
        <is>
          <t>Nao</t>
        </is>
      </c>
      <c r="W1753" s="110" t="inlineStr">
        <is>
          <t>PC em analise</t>
        </is>
      </c>
      <c r="X1753" s="110" t="inlineStr">
        <is>
          <t>Pedido de Compra</t>
        </is>
      </c>
      <c r="Y1753" s="111" t="inlineStr">
        <is>
          <t>Impacto Potencial</t>
        </is>
      </c>
      <c r="Z1753" s="111" t="inlineStr">
        <is>
          <t>PC</t>
        </is>
      </c>
      <c r="AA1753" s="111" t="inlineStr">
        <is>
          <t>Nao</t>
        </is>
      </c>
      <c r="AB1753" s="111" t="inlineStr">
        <is>
          <t>NAO_COMPUTADO</t>
        </is>
      </c>
      <c r="AC1753" s="112" t="inlineStr">
        <is>
          <t>Estrutura Fase 1: sem impacto no VTA oficial</t>
        </is>
      </c>
    </row>
    <row r="1754" ht="25.5" customHeight="1" s="289">
      <c r="A1754" s="205" t="n"/>
      <c r="B1754" s="207" t="n"/>
      <c r="C1754" s="104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348" t="n"/>
      <c r="E1754" s="349">
        <f>IF(C1754="","",IFERROR(VLOOKUP(C1754,parametros!$A$11:$E$15,5,0),""))</f>
        <v/>
      </c>
      <c r="F1754" s="335">
        <f>IF(OR(D1754="",E1754=""),"",ROUND(D1754*E1754,2))</f>
        <v/>
      </c>
      <c r="G1754" s="106" t="n"/>
      <c r="H1754" s="350">
        <f>IF(G1754="Sim",IF(OR(F1754="",D1754="",L1754=""),"",IF(L1754="Sim",ROUND(F1754-D1754,2),0)),0)</f>
        <v/>
      </c>
      <c r="I1754" s="350">
        <f>IF(G1754="Sim",0,IF(OR(F1754="",L1754=""),"",F1754))</f>
        <v/>
      </c>
      <c r="J1754" s="350">
        <f>IF(G1754="Sim",0,IF(OR(F1754="",D1754="",L1754=""),"",IF(L1754="Sim",ROUND(F1754-D1754,2),0)))</f>
        <v/>
      </c>
      <c r="K1754" s="97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inlineStr">
        <is>
          <t>Nao</t>
        </is>
      </c>
      <c r="W1754" s="110" t="inlineStr">
        <is>
          <t>PC em analise</t>
        </is>
      </c>
      <c r="X1754" s="110" t="inlineStr">
        <is>
          <t>Pedido de Compra</t>
        </is>
      </c>
      <c r="Y1754" s="111" t="inlineStr">
        <is>
          <t>Impacto Potencial</t>
        </is>
      </c>
      <c r="Z1754" s="111" t="inlineStr">
        <is>
          <t>PC</t>
        </is>
      </c>
      <c r="AA1754" s="111" t="inlineStr">
        <is>
          <t>Nao</t>
        </is>
      </c>
      <c r="AB1754" s="111" t="inlineStr">
        <is>
          <t>NAO_COMPUTADO</t>
        </is>
      </c>
      <c r="AC1754" s="112" t="inlineStr">
        <is>
          <t>Estrutura Fase 1: sem impacto no VTA oficial</t>
        </is>
      </c>
    </row>
    <row r="1755" ht="25.5" customHeight="1" s="289">
      <c r="A1755" s="205" t="n"/>
      <c r="B1755" s="207" t="n"/>
      <c r="C1755" s="104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348" t="n"/>
      <c r="E1755" s="349">
        <f>IF(C1755="","",IFERROR(VLOOKUP(C1755,parametros!$A$11:$E$15,5,0),""))</f>
        <v/>
      </c>
      <c r="F1755" s="335">
        <f>IF(OR(D1755="",E1755=""),"",ROUND(D1755*E1755,2))</f>
        <v/>
      </c>
      <c r="G1755" s="106" t="n"/>
      <c r="H1755" s="350">
        <f>IF(G1755="Sim",IF(OR(F1755="",D1755="",L1755=""),"",IF(L1755="Sim",ROUND(F1755-D1755,2),0)),0)</f>
        <v/>
      </c>
      <c r="I1755" s="350">
        <f>IF(G1755="Sim",0,IF(OR(F1755="",L1755=""),"",F1755))</f>
        <v/>
      </c>
      <c r="J1755" s="350">
        <f>IF(G1755="Sim",0,IF(OR(F1755="",D1755="",L1755=""),"",IF(L1755="Sim",ROUND(F1755-D1755,2),0)))</f>
        <v/>
      </c>
      <c r="K1755" s="97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inlineStr">
        <is>
          <t>Nao</t>
        </is>
      </c>
      <c r="W1755" s="110" t="inlineStr">
        <is>
          <t>PC em analise</t>
        </is>
      </c>
      <c r="X1755" s="110" t="inlineStr">
        <is>
          <t>Pedido de Compra</t>
        </is>
      </c>
      <c r="Y1755" s="111" t="inlineStr">
        <is>
          <t>Impacto Potencial</t>
        </is>
      </c>
      <c r="Z1755" s="111" t="inlineStr">
        <is>
          <t>PC</t>
        </is>
      </c>
      <c r="AA1755" s="111" t="inlineStr">
        <is>
          <t>Nao</t>
        </is>
      </c>
      <c r="AB1755" s="111" t="inlineStr">
        <is>
          <t>NAO_COMPUTADO</t>
        </is>
      </c>
      <c r="AC1755" s="112" t="inlineStr">
        <is>
          <t>Estrutura Fase 1: sem impacto no VTA oficial</t>
        </is>
      </c>
    </row>
    <row r="1756" ht="25.5" customHeight="1" s="289">
      <c r="A1756" s="205" t="n"/>
      <c r="B1756" s="207" t="n"/>
      <c r="C1756" s="104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348" t="n"/>
      <c r="E1756" s="349">
        <f>IF(C1756="","",IFERROR(VLOOKUP(C1756,parametros!$A$11:$E$15,5,0),""))</f>
        <v/>
      </c>
      <c r="F1756" s="335">
        <f>IF(OR(D1756="",E1756=""),"",ROUND(D1756*E1756,2))</f>
        <v/>
      </c>
      <c r="G1756" s="106" t="n"/>
      <c r="H1756" s="350">
        <f>IF(G1756="Sim",IF(OR(F1756="",D1756="",L1756=""),"",IF(L1756="Sim",ROUND(F1756-D1756,2),0)),0)</f>
        <v/>
      </c>
      <c r="I1756" s="350">
        <f>IF(G1756="Sim",0,IF(OR(F1756="",L1756=""),"",F1756))</f>
        <v/>
      </c>
      <c r="J1756" s="350">
        <f>IF(G1756="Sim",0,IF(OR(F1756="",D1756="",L1756=""),"",IF(L1756="Sim",ROUND(F1756-D1756,2),0)))</f>
        <v/>
      </c>
      <c r="K1756" s="97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inlineStr">
        <is>
          <t>Nao</t>
        </is>
      </c>
      <c r="W1756" s="110" t="inlineStr">
        <is>
          <t>PC em analise</t>
        </is>
      </c>
      <c r="X1756" s="110" t="inlineStr">
        <is>
          <t>Pedido de Compra</t>
        </is>
      </c>
      <c r="Y1756" s="111" t="inlineStr">
        <is>
          <t>Impacto Potencial</t>
        </is>
      </c>
      <c r="Z1756" s="111" t="inlineStr">
        <is>
          <t>PC</t>
        </is>
      </c>
      <c r="AA1756" s="111" t="inlineStr">
        <is>
          <t>Nao</t>
        </is>
      </c>
      <c r="AB1756" s="111" t="inlineStr">
        <is>
          <t>NAO_COMPUTADO</t>
        </is>
      </c>
      <c r="AC1756" s="112" t="inlineStr">
        <is>
          <t>Estrutura Fase 1: sem impacto no VTA oficial</t>
        </is>
      </c>
    </row>
    <row r="1757" ht="25.5" customHeight="1" s="289">
      <c r="A1757" s="205" t="n"/>
      <c r="B1757" s="207" t="n"/>
      <c r="C1757" s="104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348" t="n"/>
      <c r="E1757" s="349">
        <f>IF(C1757="","",IFERROR(VLOOKUP(C1757,parametros!$A$11:$E$15,5,0),""))</f>
        <v/>
      </c>
      <c r="F1757" s="335">
        <f>IF(OR(D1757="",E1757=""),"",ROUND(D1757*E1757,2))</f>
        <v/>
      </c>
      <c r="G1757" s="106" t="n"/>
      <c r="H1757" s="350">
        <f>IF(G1757="Sim",IF(OR(F1757="",D1757="",L1757=""),"",IF(L1757="Sim",ROUND(F1757-D1757,2),0)),0)</f>
        <v/>
      </c>
      <c r="I1757" s="350">
        <f>IF(G1757="Sim",0,IF(OR(F1757="",L1757=""),"",F1757))</f>
        <v/>
      </c>
      <c r="J1757" s="350">
        <f>IF(G1757="Sim",0,IF(OR(F1757="",D1757="",L1757=""),"",IF(L1757="Sim",ROUND(F1757-D1757,2),0)))</f>
        <v/>
      </c>
      <c r="K1757" s="97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inlineStr">
        <is>
          <t>Nao</t>
        </is>
      </c>
      <c r="W1757" s="110" t="inlineStr">
        <is>
          <t>PC em analise</t>
        </is>
      </c>
      <c r="X1757" s="110" t="inlineStr">
        <is>
          <t>Pedido de Compra</t>
        </is>
      </c>
      <c r="Y1757" s="111" t="inlineStr">
        <is>
          <t>Impacto Potencial</t>
        </is>
      </c>
      <c r="Z1757" s="111" t="inlineStr">
        <is>
          <t>PC</t>
        </is>
      </c>
      <c r="AA1757" s="111" t="inlineStr">
        <is>
          <t>Nao</t>
        </is>
      </c>
      <c r="AB1757" s="111" t="inlineStr">
        <is>
          <t>NAO_COMPUTADO</t>
        </is>
      </c>
      <c r="AC1757" s="112" t="inlineStr">
        <is>
          <t>Estrutura Fase 1: sem impacto no VTA oficial</t>
        </is>
      </c>
    </row>
    <row r="1758" ht="25.5" customHeight="1" s="289">
      <c r="A1758" s="205" t="n"/>
      <c r="B1758" s="207" t="n"/>
      <c r="C1758" s="104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348" t="n"/>
      <c r="E1758" s="349">
        <f>IF(C1758="","",IFERROR(VLOOKUP(C1758,parametros!$A$11:$E$15,5,0),""))</f>
        <v/>
      </c>
      <c r="F1758" s="335">
        <f>IF(OR(D1758="",E1758=""),"",ROUND(D1758*E1758,2))</f>
        <v/>
      </c>
      <c r="G1758" s="106" t="n"/>
      <c r="H1758" s="350">
        <f>IF(G1758="Sim",IF(OR(F1758="",D1758="",L1758=""),"",IF(L1758="Sim",ROUND(F1758-D1758,2),0)),0)</f>
        <v/>
      </c>
      <c r="I1758" s="350">
        <f>IF(G1758="Sim",0,IF(OR(F1758="",L1758=""),"",F1758))</f>
        <v/>
      </c>
      <c r="J1758" s="350">
        <f>IF(G1758="Sim",0,IF(OR(F1758="",D1758="",L1758=""),"",IF(L1758="Sim",ROUND(F1758-D1758,2),0)))</f>
        <v/>
      </c>
      <c r="K1758" s="97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inlineStr">
        <is>
          <t>Nao</t>
        </is>
      </c>
      <c r="W1758" s="110" t="inlineStr">
        <is>
          <t>PC em analise</t>
        </is>
      </c>
      <c r="X1758" s="110" t="inlineStr">
        <is>
          <t>Pedido de Compra</t>
        </is>
      </c>
      <c r="Y1758" s="111" t="inlineStr">
        <is>
          <t>Impacto Potencial</t>
        </is>
      </c>
      <c r="Z1758" s="111" t="inlineStr">
        <is>
          <t>PC</t>
        </is>
      </c>
      <c r="AA1758" s="111" t="inlineStr">
        <is>
          <t>Nao</t>
        </is>
      </c>
      <c r="AB1758" s="111" t="inlineStr">
        <is>
          <t>NAO_COMPUTADO</t>
        </is>
      </c>
      <c r="AC1758" s="112" t="inlineStr">
        <is>
          <t>Estrutura Fase 1: sem impacto no VTA oficial</t>
        </is>
      </c>
    </row>
    <row r="1759" ht="25.5" customHeight="1" s="289">
      <c r="A1759" s="205" t="n"/>
      <c r="B1759" s="207" t="n"/>
      <c r="C1759" s="104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348" t="n"/>
      <c r="E1759" s="349">
        <f>IF(C1759="","",IFERROR(VLOOKUP(C1759,parametros!$A$11:$E$15,5,0),""))</f>
        <v/>
      </c>
      <c r="F1759" s="335">
        <f>IF(OR(D1759="",E1759=""),"",ROUND(D1759*E1759,2))</f>
        <v/>
      </c>
      <c r="G1759" s="106" t="n"/>
      <c r="H1759" s="350">
        <f>IF(G1759="Sim",IF(OR(F1759="",D1759="",L1759=""),"",IF(L1759="Sim",ROUND(F1759-D1759,2),0)),0)</f>
        <v/>
      </c>
      <c r="I1759" s="350">
        <f>IF(G1759="Sim",0,IF(OR(F1759="",L1759=""),"",F1759))</f>
        <v/>
      </c>
      <c r="J1759" s="350">
        <f>IF(G1759="Sim",0,IF(OR(F1759="",D1759="",L1759=""),"",IF(L1759="Sim",ROUND(F1759-D1759,2),0)))</f>
        <v/>
      </c>
      <c r="K1759" s="97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inlineStr">
        <is>
          <t>Nao</t>
        </is>
      </c>
      <c r="W1759" s="110" t="inlineStr">
        <is>
          <t>PC em analise</t>
        </is>
      </c>
      <c r="X1759" s="110" t="inlineStr">
        <is>
          <t>Pedido de Compra</t>
        </is>
      </c>
      <c r="Y1759" s="111" t="inlineStr">
        <is>
          <t>Impacto Potencial</t>
        </is>
      </c>
      <c r="Z1759" s="111" t="inlineStr">
        <is>
          <t>PC</t>
        </is>
      </c>
      <c r="AA1759" s="111" t="inlineStr">
        <is>
          <t>Nao</t>
        </is>
      </c>
      <c r="AB1759" s="111" t="inlineStr">
        <is>
          <t>NAO_COMPUTADO</t>
        </is>
      </c>
      <c r="AC1759" s="112" t="inlineStr">
        <is>
          <t>Estrutura Fase 1: sem impacto no VTA oficial</t>
        </is>
      </c>
    </row>
    <row r="1760" ht="25.5" customHeight="1" s="289">
      <c r="A1760" s="205" t="n"/>
      <c r="B1760" s="207" t="n"/>
      <c r="C1760" s="104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348" t="n"/>
      <c r="E1760" s="349">
        <f>IF(C1760="","",IFERROR(VLOOKUP(C1760,parametros!$A$11:$E$15,5,0),""))</f>
        <v/>
      </c>
      <c r="F1760" s="335">
        <f>IF(OR(D1760="",E1760=""),"",ROUND(D1760*E1760,2))</f>
        <v/>
      </c>
      <c r="G1760" s="106" t="n"/>
      <c r="H1760" s="350">
        <f>IF(G1760="Sim",IF(OR(F1760="",D1760="",L1760=""),"",IF(L1760="Sim",ROUND(F1760-D1760,2),0)),0)</f>
        <v/>
      </c>
      <c r="I1760" s="350">
        <f>IF(G1760="Sim",0,IF(OR(F1760="",L1760=""),"",F1760))</f>
        <v/>
      </c>
      <c r="J1760" s="350">
        <f>IF(G1760="Sim",0,IF(OR(F1760="",D1760="",L1760=""),"",IF(L1760="Sim",ROUND(F1760-D1760,2),0)))</f>
        <v/>
      </c>
      <c r="K1760" s="97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inlineStr">
        <is>
          <t>Nao</t>
        </is>
      </c>
      <c r="W1760" s="110" t="inlineStr">
        <is>
          <t>PC em analise</t>
        </is>
      </c>
      <c r="X1760" s="110" t="inlineStr">
        <is>
          <t>Pedido de Compra</t>
        </is>
      </c>
      <c r="Y1760" s="111" t="inlineStr">
        <is>
          <t>Impacto Potencial</t>
        </is>
      </c>
      <c r="Z1760" s="111" t="inlineStr">
        <is>
          <t>PC</t>
        </is>
      </c>
      <c r="AA1760" s="111" t="inlineStr">
        <is>
          <t>Nao</t>
        </is>
      </c>
      <c r="AB1760" s="111" t="inlineStr">
        <is>
          <t>NAO_COMPUTADO</t>
        </is>
      </c>
      <c r="AC1760" s="112" t="inlineStr">
        <is>
          <t>Estrutura Fase 1: sem impacto no VTA oficial</t>
        </is>
      </c>
    </row>
    <row r="1761" ht="25.5" customHeight="1" s="289">
      <c r="A1761" s="205" t="n"/>
      <c r="B1761" s="207" t="n"/>
      <c r="C1761" s="104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348" t="n"/>
      <c r="E1761" s="349">
        <f>IF(C1761="","",IFERROR(VLOOKUP(C1761,parametros!$A$11:$E$15,5,0),""))</f>
        <v/>
      </c>
      <c r="F1761" s="335">
        <f>IF(OR(D1761="",E1761=""),"",ROUND(D1761*E1761,2))</f>
        <v/>
      </c>
      <c r="G1761" s="106" t="n"/>
      <c r="H1761" s="350">
        <f>IF(G1761="Sim",IF(OR(F1761="",D1761="",L1761=""),"",IF(L1761="Sim",ROUND(F1761-D1761,2),0)),0)</f>
        <v/>
      </c>
      <c r="I1761" s="350">
        <f>IF(G1761="Sim",0,IF(OR(F1761="",L1761=""),"",F1761))</f>
        <v/>
      </c>
      <c r="J1761" s="350">
        <f>IF(G1761="Sim",0,IF(OR(F1761="",D1761="",L1761=""),"",IF(L1761="Sim",ROUND(F1761-D1761,2),0)))</f>
        <v/>
      </c>
      <c r="K1761" s="97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inlineStr">
        <is>
          <t>Nao</t>
        </is>
      </c>
      <c r="W1761" s="110" t="inlineStr">
        <is>
          <t>PC em analise</t>
        </is>
      </c>
      <c r="X1761" s="110" t="inlineStr">
        <is>
          <t>Pedido de Compra</t>
        </is>
      </c>
      <c r="Y1761" s="111" t="inlineStr">
        <is>
          <t>Impacto Potencial</t>
        </is>
      </c>
      <c r="Z1761" s="111" t="inlineStr">
        <is>
          <t>PC</t>
        </is>
      </c>
      <c r="AA1761" s="111" t="inlineStr">
        <is>
          <t>Nao</t>
        </is>
      </c>
      <c r="AB1761" s="111" t="inlineStr">
        <is>
          <t>NAO_COMPUTADO</t>
        </is>
      </c>
      <c r="AC1761" s="112" t="inlineStr">
        <is>
          <t>Estrutura Fase 1: sem impacto no VTA oficial</t>
        </is>
      </c>
    </row>
    <row r="1762" ht="25.5" customHeight="1" s="289">
      <c r="A1762" s="205" t="n"/>
      <c r="B1762" s="207" t="n"/>
      <c r="C1762" s="104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348" t="n"/>
      <c r="E1762" s="349">
        <f>IF(C1762="","",IFERROR(VLOOKUP(C1762,parametros!$A$11:$E$15,5,0),""))</f>
        <v/>
      </c>
      <c r="F1762" s="335">
        <f>IF(OR(D1762="",E1762=""),"",ROUND(D1762*E1762,2))</f>
        <v/>
      </c>
      <c r="G1762" s="106" t="n"/>
      <c r="H1762" s="350">
        <f>IF(G1762="Sim",IF(OR(F1762="",D1762="",L1762=""),"",IF(L1762="Sim",ROUND(F1762-D1762,2),0)),0)</f>
        <v/>
      </c>
      <c r="I1762" s="350">
        <f>IF(G1762="Sim",0,IF(OR(F1762="",L1762=""),"",F1762))</f>
        <v/>
      </c>
      <c r="J1762" s="350">
        <f>IF(G1762="Sim",0,IF(OR(F1762="",D1762="",L1762=""),"",IF(L1762="Sim",ROUND(F1762-D1762,2),0)))</f>
        <v/>
      </c>
      <c r="K1762" s="97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inlineStr">
        <is>
          <t>Nao</t>
        </is>
      </c>
      <c r="W1762" s="110" t="inlineStr">
        <is>
          <t>PC em analise</t>
        </is>
      </c>
      <c r="X1762" s="110" t="inlineStr">
        <is>
          <t>Pedido de Compra</t>
        </is>
      </c>
      <c r="Y1762" s="111" t="inlineStr">
        <is>
          <t>Impacto Potencial</t>
        </is>
      </c>
      <c r="Z1762" s="111" t="inlineStr">
        <is>
          <t>PC</t>
        </is>
      </c>
      <c r="AA1762" s="111" t="inlineStr">
        <is>
          <t>Nao</t>
        </is>
      </c>
      <c r="AB1762" s="111" t="inlineStr">
        <is>
          <t>NAO_COMPUTADO</t>
        </is>
      </c>
      <c r="AC1762" s="112" t="inlineStr">
        <is>
          <t>Estrutura Fase 1: sem impacto no VTA oficial</t>
        </is>
      </c>
    </row>
    <row r="1763" ht="25.5" customHeight="1" s="289">
      <c r="A1763" s="205" t="n"/>
      <c r="B1763" s="207" t="n"/>
      <c r="C1763" s="104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348" t="n"/>
      <c r="E1763" s="349">
        <f>IF(C1763="","",IFERROR(VLOOKUP(C1763,parametros!$A$11:$E$15,5,0),""))</f>
        <v/>
      </c>
      <c r="F1763" s="335">
        <f>IF(OR(D1763="",E1763=""),"",ROUND(D1763*E1763,2))</f>
        <v/>
      </c>
      <c r="G1763" s="106" t="n"/>
      <c r="H1763" s="350">
        <f>IF(G1763="Sim",IF(OR(F1763="",D1763="",L1763=""),"",IF(L1763="Sim",ROUND(F1763-D1763,2),0)),0)</f>
        <v/>
      </c>
      <c r="I1763" s="350">
        <f>IF(G1763="Sim",0,IF(OR(F1763="",L1763=""),"",F1763))</f>
        <v/>
      </c>
      <c r="J1763" s="350">
        <f>IF(G1763="Sim",0,IF(OR(F1763="",D1763="",L1763=""),"",IF(L1763="Sim",ROUND(F1763-D1763,2),0)))</f>
        <v/>
      </c>
      <c r="K1763" s="97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inlineStr">
        <is>
          <t>Nao</t>
        </is>
      </c>
      <c r="W1763" s="110" t="inlineStr">
        <is>
          <t>PC em analise</t>
        </is>
      </c>
      <c r="X1763" s="110" t="inlineStr">
        <is>
          <t>Pedido de Compra</t>
        </is>
      </c>
      <c r="Y1763" s="111" t="inlineStr">
        <is>
          <t>Impacto Potencial</t>
        </is>
      </c>
      <c r="Z1763" s="111" t="inlineStr">
        <is>
          <t>PC</t>
        </is>
      </c>
      <c r="AA1763" s="111" t="inlineStr">
        <is>
          <t>Nao</t>
        </is>
      </c>
      <c r="AB1763" s="111" t="inlineStr">
        <is>
          <t>NAO_COMPUTADO</t>
        </is>
      </c>
      <c r="AC1763" s="112" t="inlineStr">
        <is>
          <t>Estrutura Fase 1: sem impacto no VTA oficial</t>
        </is>
      </c>
    </row>
    <row r="1764" ht="25.5" customHeight="1" s="289">
      <c r="A1764" s="205" t="n"/>
      <c r="B1764" s="207" t="n"/>
      <c r="C1764" s="104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348" t="n"/>
      <c r="E1764" s="349">
        <f>IF(C1764="","",IFERROR(VLOOKUP(C1764,parametros!$A$11:$E$15,5,0),""))</f>
        <v/>
      </c>
      <c r="F1764" s="335">
        <f>IF(OR(D1764="",E1764=""),"",ROUND(D1764*E1764,2))</f>
        <v/>
      </c>
      <c r="G1764" s="106" t="n"/>
      <c r="H1764" s="350">
        <f>IF(G1764="Sim",IF(OR(F1764="",D1764="",L1764=""),"",IF(L1764="Sim",ROUND(F1764-D1764,2),0)),0)</f>
        <v/>
      </c>
      <c r="I1764" s="350">
        <f>IF(G1764="Sim",0,IF(OR(F1764="",L1764=""),"",F1764))</f>
        <v/>
      </c>
      <c r="J1764" s="350">
        <f>IF(G1764="Sim",0,IF(OR(F1764="",D1764="",L1764=""),"",IF(L1764="Sim",ROUND(F1764-D1764,2),0)))</f>
        <v/>
      </c>
      <c r="K1764" s="97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inlineStr">
        <is>
          <t>Nao</t>
        </is>
      </c>
      <c r="W1764" s="110" t="inlineStr">
        <is>
          <t>PC em analise</t>
        </is>
      </c>
      <c r="X1764" s="110" t="inlineStr">
        <is>
          <t>Pedido de Compra</t>
        </is>
      </c>
      <c r="Y1764" s="111" t="inlineStr">
        <is>
          <t>Impacto Potencial</t>
        </is>
      </c>
      <c r="Z1764" s="111" t="inlineStr">
        <is>
          <t>PC</t>
        </is>
      </c>
      <c r="AA1764" s="111" t="inlineStr">
        <is>
          <t>Nao</t>
        </is>
      </c>
      <c r="AB1764" s="111" t="inlineStr">
        <is>
          <t>NAO_COMPUTADO</t>
        </is>
      </c>
      <c r="AC1764" s="112" t="inlineStr">
        <is>
          <t>Estrutura Fase 1: sem impacto no VTA oficial</t>
        </is>
      </c>
    </row>
    <row r="1765" ht="25.5" customHeight="1" s="289">
      <c r="A1765" s="205" t="n"/>
      <c r="B1765" s="207" t="n"/>
      <c r="C1765" s="104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348" t="n"/>
      <c r="E1765" s="349">
        <f>IF(C1765="","",IFERROR(VLOOKUP(C1765,parametros!$A$11:$E$15,5,0),""))</f>
        <v/>
      </c>
      <c r="F1765" s="335">
        <f>IF(OR(D1765="",E1765=""),"",ROUND(D1765*E1765,2))</f>
        <v/>
      </c>
      <c r="G1765" s="106" t="n"/>
      <c r="H1765" s="350">
        <f>IF(G1765="Sim",IF(OR(F1765="",D1765="",L1765=""),"",IF(L1765="Sim",ROUND(F1765-D1765,2),0)),0)</f>
        <v/>
      </c>
      <c r="I1765" s="350">
        <f>IF(G1765="Sim",0,IF(OR(F1765="",L1765=""),"",F1765))</f>
        <v/>
      </c>
      <c r="J1765" s="350">
        <f>IF(G1765="Sim",0,IF(OR(F1765="",D1765="",L1765=""),"",IF(L1765="Sim",ROUND(F1765-D1765,2),0)))</f>
        <v/>
      </c>
      <c r="K1765" s="97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inlineStr">
        <is>
          <t>Nao</t>
        </is>
      </c>
      <c r="W1765" s="110" t="inlineStr">
        <is>
          <t>PC em analise</t>
        </is>
      </c>
      <c r="X1765" s="110" t="inlineStr">
        <is>
          <t>Pedido de Compra</t>
        </is>
      </c>
      <c r="Y1765" s="111" t="inlineStr">
        <is>
          <t>Impacto Potencial</t>
        </is>
      </c>
      <c r="Z1765" s="111" t="inlineStr">
        <is>
          <t>PC</t>
        </is>
      </c>
      <c r="AA1765" s="111" t="inlineStr">
        <is>
          <t>Nao</t>
        </is>
      </c>
      <c r="AB1765" s="111" t="inlineStr">
        <is>
          <t>NAO_COMPUTADO</t>
        </is>
      </c>
      <c r="AC1765" s="112" t="inlineStr">
        <is>
          <t>Estrutura Fase 1: sem impacto no VTA oficial</t>
        </is>
      </c>
    </row>
    <row r="1766" ht="25.5" customHeight="1" s="289">
      <c r="A1766" s="205" t="n"/>
      <c r="B1766" s="207" t="n"/>
      <c r="C1766" s="104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348" t="n"/>
      <c r="E1766" s="349">
        <f>IF(C1766="","",IFERROR(VLOOKUP(C1766,parametros!$A$11:$E$15,5,0),""))</f>
        <v/>
      </c>
      <c r="F1766" s="335">
        <f>IF(OR(D1766="",E1766=""),"",ROUND(D1766*E1766,2))</f>
        <v/>
      </c>
      <c r="G1766" s="106" t="n"/>
      <c r="H1766" s="350">
        <f>IF(G1766="Sim",IF(OR(F1766="",D1766="",L1766=""),"",IF(L1766="Sim",ROUND(F1766-D1766,2),0)),0)</f>
        <v/>
      </c>
      <c r="I1766" s="350">
        <f>IF(G1766="Sim",0,IF(OR(F1766="",L1766=""),"",F1766))</f>
        <v/>
      </c>
      <c r="J1766" s="350">
        <f>IF(G1766="Sim",0,IF(OR(F1766="",D1766="",L1766=""),"",IF(L1766="Sim",ROUND(F1766-D1766,2),0)))</f>
        <v/>
      </c>
      <c r="K1766" s="97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inlineStr">
        <is>
          <t>Nao</t>
        </is>
      </c>
      <c r="W1766" s="110" t="inlineStr">
        <is>
          <t>PC em analise</t>
        </is>
      </c>
      <c r="X1766" s="110" t="inlineStr">
        <is>
          <t>Pedido de Compra</t>
        </is>
      </c>
      <c r="Y1766" s="111" t="inlineStr">
        <is>
          <t>Impacto Potencial</t>
        </is>
      </c>
      <c r="Z1766" s="111" t="inlineStr">
        <is>
          <t>PC</t>
        </is>
      </c>
      <c r="AA1766" s="111" t="inlineStr">
        <is>
          <t>Nao</t>
        </is>
      </c>
      <c r="AB1766" s="111" t="inlineStr">
        <is>
          <t>NAO_COMPUTADO</t>
        </is>
      </c>
      <c r="AC1766" s="112" t="inlineStr">
        <is>
          <t>Estrutura Fase 1: sem impacto no VTA oficial</t>
        </is>
      </c>
    </row>
    <row r="1767" ht="25.5" customHeight="1" s="289">
      <c r="A1767" s="205" t="n"/>
      <c r="B1767" s="207" t="n"/>
      <c r="C1767" s="104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348" t="n"/>
      <c r="E1767" s="349">
        <f>IF(C1767="","",IFERROR(VLOOKUP(C1767,parametros!$A$11:$E$15,5,0),""))</f>
        <v/>
      </c>
      <c r="F1767" s="335">
        <f>IF(OR(D1767="",E1767=""),"",ROUND(D1767*E1767,2))</f>
        <v/>
      </c>
      <c r="G1767" s="106" t="n"/>
      <c r="H1767" s="350">
        <f>IF(G1767="Sim",IF(OR(F1767="",D1767="",L1767=""),"",IF(L1767="Sim",ROUND(F1767-D1767,2),0)),0)</f>
        <v/>
      </c>
      <c r="I1767" s="350">
        <f>IF(G1767="Sim",0,IF(OR(F1767="",L1767=""),"",F1767))</f>
        <v/>
      </c>
      <c r="J1767" s="350">
        <f>IF(G1767="Sim",0,IF(OR(F1767="",D1767="",L1767=""),"",IF(L1767="Sim",ROUND(F1767-D1767,2),0)))</f>
        <v/>
      </c>
      <c r="K1767" s="97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inlineStr">
        <is>
          <t>Nao</t>
        </is>
      </c>
      <c r="W1767" s="110" t="inlineStr">
        <is>
          <t>PC em analise</t>
        </is>
      </c>
      <c r="X1767" s="110" t="inlineStr">
        <is>
          <t>Pedido de Compra</t>
        </is>
      </c>
      <c r="Y1767" s="111" t="inlineStr">
        <is>
          <t>Impacto Potencial</t>
        </is>
      </c>
      <c r="Z1767" s="111" t="inlineStr">
        <is>
          <t>PC</t>
        </is>
      </c>
      <c r="AA1767" s="111" t="inlineStr">
        <is>
          <t>Nao</t>
        </is>
      </c>
      <c r="AB1767" s="111" t="inlineStr">
        <is>
          <t>NAO_COMPUTADO</t>
        </is>
      </c>
      <c r="AC1767" s="112" t="inlineStr">
        <is>
          <t>Estrutura Fase 1: sem impacto no VTA oficial</t>
        </is>
      </c>
    </row>
    <row r="1768" ht="25.5" customHeight="1" s="289">
      <c r="A1768" s="205" t="n"/>
      <c r="B1768" s="207" t="n"/>
      <c r="C1768" s="104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348" t="n"/>
      <c r="E1768" s="349">
        <f>IF(C1768="","",IFERROR(VLOOKUP(C1768,parametros!$A$11:$E$15,5,0),""))</f>
        <v/>
      </c>
      <c r="F1768" s="335">
        <f>IF(OR(D1768="",E1768=""),"",ROUND(D1768*E1768,2))</f>
        <v/>
      </c>
      <c r="G1768" s="106" t="n"/>
      <c r="H1768" s="350">
        <f>IF(G1768="Sim",IF(OR(F1768="",D1768="",L1768=""),"",IF(L1768="Sim",ROUND(F1768-D1768,2),0)),0)</f>
        <v/>
      </c>
      <c r="I1768" s="350">
        <f>IF(G1768="Sim",0,IF(OR(F1768="",L1768=""),"",F1768))</f>
        <v/>
      </c>
      <c r="J1768" s="350">
        <f>IF(G1768="Sim",0,IF(OR(F1768="",D1768="",L1768=""),"",IF(L1768="Sim",ROUND(F1768-D1768,2),0)))</f>
        <v/>
      </c>
      <c r="K1768" s="97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inlineStr">
        <is>
          <t>Nao</t>
        </is>
      </c>
      <c r="W1768" s="110" t="inlineStr">
        <is>
          <t>PC em analise</t>
        </is>
      </c>
      <c r="X1768" s="110" t="inlineStr">
        <is>
          <t>Pedido de Compra</t>
        </is>
      </c>
      <c r="Y1768" s="111" t="inlineStr">
        <is>
          <t>Impacto Potencial</t>
        </is>
      </c>
      <c r="Z1768" s="111" t="inlineStr">
        <is>
          <t>PC</t>
        </is>
      </c>
      <c r="AA1768" s="111" t="inlineStr">
        <is>
          <t>Nao</t>
        </is>
      </c>
      <c r="AB1768" s="111" t="inlineStr">
        <is>
          <t>NAO_COMPUTADO</t>
        </is>
      </c>
      <c r="AC1768" s="112" t="inlineStr">
        <is>
          <t>Estrutura Fase 1: sem impacto no VTA oficial</t>
        </is>
      </c>
    </row>
    <row r="1769" ht="25.5" customHeight="1" s="289">
      <c r="A1769" s="205" t="n"/>
      <c r="B1769" s="207" t="n"/>
      <c r="C1769" s="104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348" t="n"/>
      <c r="E1769" s="349">
        <f>IF(C1769="","",IFERROR(VLOOKUP(C1769,parametros!$A$11:$E$15,5,0),""))</f>
        <v/>
      </c>
      <c r="F1769" s="335">
        <f>IF(OR(D1769="",E1769=""),"",ROUND(D1769*E1769,2))</f>
        <v/>
      </c>
      <c r="G1769" s="106" t="n"/>
      <c r="H1769" s="350">
        <f>IF(G1769="Sim",IF(OR(F1769="",D1769="",L1769=""),"",IF(L1769="Sim",ROUND(F1769-D1769,2),0)),0)</f>
        <v/>
      </c>
      <c r="I1769" s="350">
        <f>IF(G1769="Sim",0,IF(OR(F1769="",L1769=""),"",F1769))</f>
        <v/>
      </c>
      <c r="J1769" s="350">
        <f>IF(G1769="Sim",0,IF(OR(F1769="",D1769="",L1769=""),"",IF(L1769="Sim",ROUND(F1769-D1769,2),0)))</f>
        <v/>
      </c>
      <c r="K1769" s="97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inlineStr">
        <is>
          <t>Nao</t>
        </is>
      </c>
      <c r="W1769" s="110" t="inlineStr">
        <is>
          <t>PC em analise</t>
        </is>
      </c>
      <c r="X1769" s="110" t="inlineStr">
        <is>
          <t>Pedido de Compra</t>
        </is>
      </c>
      <c r="Y1769" s="111" t="inlineStr">
        <is>
          <t>Impacto Potencial</t>
        </is>
      </c>
      <c r="Z1769" s="111" t="inlineStr">
        <is>
          <t>PC</t>
        </is>
      </c>
      <c r="AA1769" s="111" t="inlineStr">
        <is>
          <t>Nao</t>
        </is>
      </c>
      <c r="AB1769" s="111" t="inlineStr">
        <is>
          <t>NAO_COMPUTADO</t>
        </is>
      </c>
      <c r="AC1769" s="112" t="inlineStr">
        <is>
          <t>Estrutura Fase 1: sem impacto no VTA oficial</t>
        </is>
      </c>
    </row>
    <row r="1770" ht="25.5" customHeight="1" s="289">
      <c r="A1770" s="205" t="n"/>
      <c r="B1770" s="207" t="n"/>
      <c r="C1770" s="104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348" t="n"/>
      <c r="E1770" s="349">
        <f>IF(C1770="","",IFERROR(VLOOKUP(C1770,parametros!$A$11:$E$15,5,0),""))</f>
        <v/>
      </c>
      <c r="F1770" s="335">
        <f>IF(OR(D1770="",E1770=""),"",ROUND(D1770*E1770,2))</f>
        <v/>
      </c>
      <c r="G1770" s="106" t="n"/>
      <c r="H1770" s="350">
        <f>IF(G1770="Sim",IF(OR(F1770="",D1770="",L1770=""),"",IF(L1770="Sim",ROUND(F1770-D1770,2),0)),0)</f>
        <v/>
      </c>
      <c r="I1770" s="350">
        <f>IF(G1770="Sim",0,IF(OR(F1770="",L1770=""),"",F1770))</f>
        <v/>
      </c>
      <c r="J1770" s="350">
        <f>IF(G1770="Sim",0,IF(OR(F1770="",D1770="",L1770=""),"",IF(L1770="Sim",ROUND(F1770-D1770,2),0)))</f>
        <v/>
      </c>
      <c r="K1770" s="97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inlineStr">
        <is>
          <t>Nao</t>
        </is>
      </c>
      <c r="W1770" s="110" t="inlineStr">
        <is>
          <t>PC em analise</t>
        </is>
      </c>
      <c r="X1770" s="110" t="inlineStr">
        <is>
          <t>Pedido de Compra</t>
        </is>
      </c>
      <c r="Y1770" s="111" t="inlineStr">
        <is>
          <t>Impacto Potencial</t>
        </is>
      </c>
      <c r="Z1770" s="111" t="inlineStr">
        <is>
          <t>PC</t>
        </is>
      </c>
      <c r="AA1770" s="111" t="inlineStr">
        <is>
          <t>Nao</t>
        </is>
      </c>
      <c r="AB1770" s="111" t="inlineStr">
        <is>
          <t>NAO_COMPUTADO</t>
        </is>
      </c>
      <c r="AC1770" s="112" t="inlineStr">
        <is>
          <t>Estrutura Fase 1: sem impacto no VTA oficial</t>
        </is>
      </c>
    </row>
    <row r="1771" ht="25.5" customHeight="1" s="289">
      <c r="A1771" s="205" t="n"/>
      <c r="B1771" s="207" t="n"/>
      <c r="C1771" s="104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348" t="n"/>
      <c r="E1771" s="349">
        <f>IF(C1771="","",IFERROR(VLOOKUP(C1771,parametros!$A$11:$E$15,5,0),""))</f>
        <v/>
      </c>
      <c r="F1771" s="335">
        <f>IF(OR(D1771="",E1771=""),"",ROUND(D1771*E1771,2))</f>
        <v/>
      </c>
      <c r="G1771" s="106" t="n"/>
      <c r="H1771" s="350">
        <f>IF(G1771="Sim",IF(OR(F1771="",D1771="",L1771=""),"",IF(L1771="Sim",ROUND(F1771-D1771,2),0)),0)</f>
        <v/>
      </c>
      <c r="I1771" s="350">
        <f>IF(G1771="Sim",0,IF(OR(F1771="",L1771=""),"",F1771))</f>
        <v/>
      </c>
      <c r="J1771" s="350">
        <f>IF(G1771="Sim",0,IF(OR(F1771="",D1771="",L1771=""),"",IF(L1771="Sim",ROUND(F1771-D1771,2),0)))</f>
        <v/>
      </c>
      <c r="K1771" s="97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inlineStr">
        <is>
          <t>Nao</t>
        </is>
      </c>
      <c r="W1771" s="110" t="inlineStr">
        <is>
          <t>PC em analise</t>
        </is>
      </c>
      <c r="X1771" s="110" t="inlineStr">
        <is>
          <t>Pedido de Compra</t>
        </is>
      </c>
      <c r="Y1771" s="111" t="inlineStr">
        <is>
          <t>Impacto Potencial</t>
        </is>
      </c>
      <c r="Z1771" s="111" t="inlineStr">
        <is>
          <t>PC</t>
        </is>
      </c>
      <c r="AA1771" s="111" t="inlineStr">
        <is>
          <t>Nao</t>
        </is>
      </c>
      <c r="AB1771" s="111" t="inlineStr">
        <is>
          <t>NAO_COMPUTADO</t>
        </is>
      </c>
      <c r="AC1771" s="112" t="inlineStr">
        <is>
          <t>Estrutura Fase 1: sem impacto no VTA oficial</t>
        </is>
      </c>
    </row>
    <row r="1772" ht="25.5" customHeight="1" s="289">
      <c r="A1772" s="205" t="n"/>
      <c r="B1772" s="207" t="n"/>
      <c r="C1772" s="104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348" t="n"/>
      <c r="E1772" s="349">
        <f>IF(C1772="","",IFERROR(VLOOKUP(C1772,parametros!$A$11:$E$15,5,0),""))</f>
        <v/>
      </c>
      <c r="F1772" s="335">
        <f>IF(OR(D1772="",E1772=""),"",ROUND(D1772*E1772,2))</f>
        <v/>
      </c>
      <c r="G1772" s="106" t="n"/>
      <c r="H1772" s="350">
        <f>IF(G1772="Sim",IF(OR(F1772="",D1772="",L1772=""),"",IF(L1772="Sim",ROUND(F1772-D1772,2),0)),0)</f>
        <v/>
      </c>
      <c r="I1772" s="350">
        <f>IF(G1772="Sim",0,IF(OR(F1772="",L1772=""),"",F1772))</f>
        <v/>
      </c>
      <c r="J1772" s="350">
        <f>IF(G1772="Sim",0,IF(OR(F1772="",D1772="",L1772=""),"",IF(L1772="Sim",ROUND(F1772-D1772,2),0)))</f>
        <v/>
      </c>
      <c r="K1772" s="97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inlineStr">
        <is>
          <t>Nao</t>
        </is>
      </c>
      <c r="W1772" s="110" t="inlineStr">
        <is>
          <t>PC em analise</t>
        </is>
      </c>
      <c r="X1772" s="110" t="inlineStr">
        <is>
          <t>Pedido de Compra</t>
        </is>
      </c>
      <c r="Y1772" s="111" t="inlineStr">
        <is>
          <t>Impacto Potencial</t>
        </is>
      </c>
      <c r="Z1772" s="111" t="inlineStr">
        <is>
          <t>PC</t>
        </is>
      </c>
      <c r="AA1772" s="111" t="inlineStr">
        <is>
          <t>Nao</t>
        </is>
      </c>
      <c r="AB1772" s="111" t="inlineStr">
        <is>
          <t>NAO_COMPUTADO</t>
        </is>
      </c>
      <c r="AC1772" s="112" t="inlineStr">
        <is>
          <t>Estrutura Fase 1: sem impacto no VTA oficial</t>
        </is>
      </c>
    </row>
    <row r="1773" ht="25.5" customHeight="1" s="289">
      <c r="A1773" s="205" t="n"/>
      <c r="B1773" s="207" t="n"/>
      <c r="C1773" s="104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348" t="n"/>
      <c r="E1773" s="349">
        <f>IF(C1773="","",IFERROR(VLOOKUP(C1773,parametros!$A$11:$E$15,5,0),""))</f>
        <v/>
      </c>
      <c r="F1773" s="335">
        <f>IF(OR(D1773="",E1773=""),"",ROUND(D1773*E1773,2))</f>
        <v/>
      </c>
      <c r="G1773" s="106" t="n"/>
      <c r="H1773" s="350">
        <f>IF(G1773="Sim",IF(OR(F1773="",D1773="",L1773=""),"",IF(L1773="Sim",ROUND(F1773-D1773,2),0)),0)</f>
        <v/>
      </c>
      <c r="I1773" s="350">
        <f>IF(G1773="Sim",0,IF(OR(F1773="",L1773=""),"",F1773))</f>
        <v/>
      </c>
      <c r="J1773" s="350">
        <f>IF(G1773="Sim",0,IF(OR(F1773="",D1773="",L1773=""),"",IF(L1773="Sim",ROUND(F1773-D1773,2),0)))</f>
        <v/>
      </c>
      <c r="K1773" s="97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inlineStr">
        <is>
          <t>Nao</t>
        </is>
      </c>
      <c r="W1773" s="110" t="inlineStr">
        <is>
          <t>PC em analise</t>
        </is>
      </c>
      <c r="X1773" s="110" t="inlineStr">
        <is>
          <t>Pedido de Compra</t>
        </is>
      </c>
      <c r="Y1773" s="111" t="inlineStr">
        <is>
          <t>Impacto Potencial</t>
        </is>
      </c>
      <c r="Z1773" s="111" t="inlineStr">
        <is>
          <t>PC</t>
        </is>
      </c>
      <c r="AA1773" s="111" t="inlineStr">
        <is>
          <t>Nao</t>
        </is>
      </c>
      <c r="AB1773" s="111" t="inlineStr">
        <is>
          <t>NAO_COMPUTADO</t>
        </is>
      </c>
      <c r="AC1773" s="112" t="inlineStr">
        <is>
          <t>Estrutura Fase 1: sem impacto no VTA oficial</t>
        </is>
      </c>
    </row>
    <row r="1774" ht="25.5" customHeight="1" s="289">
      <c r="A1774" s="205" t="n"/>
      <c r="B1774" s="207" t="n"/>
      <c r="C1774" s="104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348" t="n"/>
      <c r="E1774" s="349">
        <f>IF(C1774="","",IFERROR(VLOOKUP(C1774,parametros!$A$11:$E$15,5,0),""))</f>
        <v/>
      </c>
      <c r="F1774" s="335">
        <f>IF(OR(D1774="",E1774=""),"",ROUND(D1774*E1774,2))</f>
        <v/>
      </c>
      <c r="G1774" s="106" t="n"/>
      <c r="H1774" s="350">
        <f>IF(G1774="Sim",IF(OR(F1774="",D1774="",L1774=""),"",IF(L1774="Sim",ROUND(F1774-D1774,2),0)),0)</f>
        <v/>
      </c>
      <c r="I1774" s="350">
        <f>IF(G1774="Sim",0,IF(OR(F1774="",L1774=""),"",F1774))</f>
        <v/>
      </c>
      <c r="J1774" s="350">
        <f>IF(G1774="Sim",0,IF(OR(F1774="",D1774="",L1774=""),"",IF(L1774="Sim",ROUND(F1774-D1774,2),0)))</f>
        <v/>
      </c>
      <c r="K1774" s="97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inlineStr">
        <is>
          <t>Nao</t>
        </is>
      </c>
      <c r="W1774" s="110" t="inlineStr">
        <is>
          <t>PC em analise</t>
        </is>
      </c>
      <c r="X1774" s="110" t="inlineStr">
        <is>
          <t>Pedido de Compra</t>
        </is>
      </c>
      <c r="Y1774" s="111" t="inlineStr">
        <is>
          <t>Impacto Potencial</t>
        </is>
      </c>
      <c r="Z1774" s="111" t="inlineStr">
        <is>
          <t>PC</t>
        </is>
      </c>
      <c r="AA1774" s="111" t="inlineStr">
        <is>
          <t>Nao</t>
        </is>
      </c>
      <c r="AB1774" s="111" t="inlineStr">
        <is>
          <t>NAO_COMPUTADO</t>
        </is>
      </c>
      <c r="AC1774" s="112" t="inlineStr">
        <is>
          <t>Estrutura Fase 1: sem impacto no VTA oficial</t>
        </is>
      </c>
    </row>
    <row r="1775" ht="25.5" customHeight="1" s="289">
      <c r="A1775" s="205" t="n"/>
      <c r="B1775" s="207" t="n"/>
      <c r="C1775" s="104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348" t="n"/>
      <c r="E1775" s="349">
        <f>IF(C1775="","",IFERROR(VLOOKUP(C1775,parametros!$A$11:$E$15,5,0),""))</f>
        <v/>
      </c>
      <c r="F1775" s="335">
        <f>IF(OR(D1775="",E1775=""),"",ROUND(D1775*E1775,2))</f>
        <v/>
      </c>
      <c r="G1775" s="106" t="n"/>
      <c r="H1775" s="350">
        <f>IF(G1775="Sim",IF(OR(F1775="",D1775="",L1775=""),"",IF(L1775="Sim",ROUND(F1775-D1775,2),0)),0)</f>
        <v/>
      </c>
      <c r="I1775" s="350">
        <f>IF(G1775="Sim",0,IF(OR(F1775="",L1775=""),"",F1775))</f>
        <v/>
      </c>
      <c r="J1775" s="350">
        <f>IF(G1775="Sim",0,IF(OR(F1775="",D1775="",L1775=""),"",IF(L1775="Sim",ROUND(F1775-D1775,2),0)))</f>
        <v/>
      </c>
      <c r="K1775" s="97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inlineStr">
        <is>
          <t>Nao</t>
        </is>
      </c>
      <c r="W1775" s="110" t="inlineStr">
        <is>
          <t>PC em analise</t>
        </is>
      </c>
      <c r="X1775" s="110" t="inlineStr">
        <is>
          <t>Pedido de Compra</t>
        </is>
      </c>
      <c r="Y1775" s="111" t="inlineStr">
        <is>
          <t>Impacto Potencial</t>
        </is>
      </c>
      <c r="Z1775" s="111" t="inlineStr">
        <is>
          <t>PC</t>
        </is>
      </c>
      <c r="AA1775" s="111" t="inlineStr">
        <is>
          <t>Nao</t>
        </is>
      </c>
      <c r="AB1775" s="111" t="inlineStr">
        <is>
          <t>NAO_COMPUTADO</t>
        </is>
      </c>
      <c r="AC1775" s="112" t="inlineStr">
        <is>
          <t>Estrutura Fase 1: sem impacto no VTA oficial</t>
        </is>
      </c>
    </row>
    <row r="1776" ht="25.5" customHeight="1" s="289">
      <c r="A1776" s="205" t="n"/>
      <c r="B1776" s="207" t="n"/>
      <c r="C1776" s="104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348" t="n"/>
      <c r="E1776" s="349">
        <f>IF(C1776="","",IFERROR(VLOOKUP(C1776,parametros!$A$11:$E$15,5,0),""))</f>
        <v/>
      </c>
      <c r="F1776" s="335">
        <f>IF(OR(D1776="",E1776=""),"",ROUND(D1776*E1776,2))</f>
        <v/>
      </c>
      <c r="G1776" s="106" t="n"/>
      <c r="H1776" s="350">
        <f>IF(G1776="Sim",IF(OR(F1776="",D1776="",L1776=""),"",IF(L1776="Sim",ROUND(F1776-D1776,2),0)),0)</f>
        <v/>
      </c>
      <c r="I1776" s="350">
        <f>IF(G1776="Sim",0,IF(OR(F1776="",L1776=""),"",F1776))</f>
        <v/>
      </c>
      <c r="J1776" s="350">
        <f>IF(G1776="Sim",0,IF(OR(F1776="",D1776="",L1776=""),"",IF(L1776="Sim",ROUND(F1776-D1776,2),0)))</f>
        <v/>
      </c>
      <c r="K1776" s="97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inlineStr">
        <is>
          <t>Nao</t>
        </is>
      </c>
      <c r="W1776" s="110" t="inlineStr">
        <is>
          <t>PC em analise</t>
        </is>
      </c>
      <c r="X1776" s="110" t="inlineStr">
        <is>
          <t>Pedido de Compra</t>
        </is>
      </c>
      <c r="Y1776" s="111" t="inlineStr">
        <is>
          <t>Impacto Potencial</t>
        </is>
      </c>
      <c r="Z1776" s="111" t="inlineStr">
        <is>
          <t>PC</t>
        </is>
      </c>
      <c r="AA1776" s="111" t="inlineStr">
        <is>
          <t>Nao</t>
        </is>
      </c>
      <c r="AB1776" s="111" t="inlineStr">
        <is>
          <t>NAO_COMPUTADO</t>
        </is>
      </c>
      <c r="AC1776" s="112" t="inlineStr">
        <is>
          <t>Estrutura Fase 1: sem impacto no VTA oficial</t>
        </is>
      </c>
    </row>
    <row r="1777" ht="25.5" customHeight="1" s="289">
      <c r="A1777" s="205" t="n"/>
      <c r="B1777" s="207" t="n"/>
      <c r="C1777" s="104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348" t="n"/>
      <c r="E1777" s="349">
        <f>IF(C1777="","",IFERROR(VLOOKUP(C1777,parametros!$A$11:$E$15,5,0),""))</f>
        <v/>
      </c>
      <c r="F1777" s="335">
        <f>IF(OR(D1777="",E1777=""),"",ROUND(D1777*E1777,2))</f>
        <v/>
      </c>
      <c r="G1777" s="106" t="n"/>
      <c r="H1777" s="350">
        <f>IF(G1777="Sim",IF(OR(F1777="",D1777="",L1777=""),"",IF(L1777="Sim",ROUND(F1777-D1777,2),0)),0)</f>
        <v/>
      </c>
      <c r="I1777" s="350">
        <f>IF(G1777="Sim",0,IF(OR(F1777="",L1777=""),"",F1777))</f>
        <v/>
      </c>
      <c r="J1777" s="350">
        <f>IF(G1777="Sim",0,IF(OR(F1777="",D1777="",L1777=""),"",IF(L1777="Sim",ROUND(F1777-D1777,2),0)))</f>
        <v/>
      </c>
      <c r="K1777" s="97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inlineStr">
        <is>
          <t>Nao</t>
        </is>
      </c>
      <c r="W1777" s="110" t="inlineStr">
        <is>
          <t>PC em analise</t>
        </is>
      </c>
      <c r="X1777" s="110" t="inlineStr">
        <is>
          <t>Pedido de Compra</t>
        </is>
      </c>
      <c r="Y1777" s="111" t="inlineStr">
        <is>
          <t>Impacto Potencial</t>
        </is>
      </c>
      <c r="Z1777" s="111" t="inlineStr">
        <is>
          <t>PC</t>
        </is>
      </c>
      <c r="AA1777" s="111" t="inlineStr">
        <is>
          <t>Nao</t>
        </is>
      </c>
      <c r="AB1777" s="111" t="inlineStr">
        <is>
          <t>NAO_COMPUTADO</t>
        </is>
      </c>
      <c r="AC1777" s="112" t="inlineStr">
        <is>
          <t>Estrutura Fase 1: sem impacto no VTA oficial</t>
        </is>
      </c>
    </row>
    <row r="1778" ht="25.5" customHeight="1" s="289">
      <c r="A1778" s="205" t="n"/>
      <c r="B1778" s="207" t="n"/>
      <c r="C1778" s="104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348" t="n"/>
      <c r="E1778" s="349">
        <f>IF(C1778="","",IFERROR(VLOOKUP(C1778,parametros!$A$11:$E$15,5,0),""))</f>
        <v/>
      </c>
      <c r="F1778" s="335">
        <f>IF(OR(D1778="",E1778=""),"",ROUND(D1778*E1778,2))</f>
        <v/>
      </c>
      <c r="G1778" s="106" t="n"/>
      <c r="H1778" s="350">
        <f>IF(G1778="Sim",IF(OR(F1778="",D1778="",L1778=""),"",IF(L1778="Sim",ROUND(F1778-D1778,2),0)),0)</f>
        <v/>
      </c>
      <c r="I1778" s="350">
        <f>IF(G1778="Sim",0,IF(OR(F1778="",L1778=""),"",F1778))</f>
        <v/>
      </c>
      <c r="J1778" s="350">
        <f>IF(G1778="Sim",0,IF(OR(F1778="",D1778="",L1778=""),"",IF(L1778="Sim",ROUND(F1778-D1778,2),0)))</f>
        <v/>
      </c>
      <c r="K1778" s="97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inlineStr">
        <is>
          <t>Nao</t>
        </is>
      </c>
      <c r="W1778" s="110" t="inlineStr">
        <is>
          <t>PC em analise</t>
        </is>
      </c>
      <c r="X1778" s="110" t="inlineStr">
        <is>
          <t>Pedido de Compra</t>
        </is>
      </c>
      <c r="Y1778" s="111" t="inlineStr">
        <is>
          <t>Impacto Potencial</t>
        </is>
      </c>
      <c r="Z1778" s="111" t="inlineStr">
        <is>
          <t>PC</t>
        </is>
      </c>
      <c r="AA1778" s="111" t="inlineStr">
        <is>
          <t>Nao</t>
        </is>
      </c>
      <c r="AB1778" s="111" t="inlineStr">
        <is>
          <t>NAO_COMPUTADO</t>
        </is>
      </c>
      <c r="AC1778" s="112" t="inlineStr">
        <is>
          <t>Estrutura Fase 1: sem impacto no VTA oficial</t>
        </is>
      </c>
    </row>
    <row r="1779" ht="25.5" customHeight="1" s="289">
      <c r="A1779" s="205" t="n"/>
      <c r="B1779" s="207" t="n"/>
      <c r="C1779" s="104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348" t="n"/>
      <c r="E1779" s="349">
        <f>IF(C1779="","",IFERROR(VLOOKUP(C1779,parametros!$A$11:$E$15,5,0),""))</f>
        <v/>
      </c>
      <c r="F1779" s="335">
        <f>IF(OR(D1779="",E1779=""),"",ROUND(D1779*E1779,2))</f>
        <v/>
      </c>
      <c r="G1779" s="106" t="n"/>
      <c r="H1779" s="350">
        <f>IF(G1779="Sim",IF(OR(F1779="",D1779="",L1779=""),"",IF(L1779="Sim",ROUND(F1779-D1779,2),0)),0)</f>
        <v/>
      </c>
      <c r="I1779" s="350">
        <f>IF(G1779="Sim",0,IF(OR(F1779="",L1779=""),"",F1779))</f>
        <v/>
      </c>
      <c r="J1779" s="350">
        <f>IF(G1779="Sim",0,IF(OR(F1779="",D1779="",L1779=""),"",IF(L1779="Sim",ROUND(F1779-D1779,2),0)))</f>
        <v/>
      </c>
      <c r="K1779" s="97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inlineStr">
        <is>
          <t>Nao</t>
        </is>
      </c>
      <c r="W1779" s="110" t="inlineStr">
        <is>
          <t>PC em analise</t>
        </is>
      </c>
      <c r="X1779" s="110" t="inlineStr">
        <is>
          <t>Pedido de Compra</t>
        </is>
      </c>
      <c r="Y1779" s="111" t="inlineStr">
        <is>
          <t>Impacto Potencial</t>
        </is>
      </c>
      <c r="Z1779" s="111" t="inlineStr">
        <is>
          <t>PC</t>
        </is>
      </c>
      <c r="AA1779" s="111" t="inlineStr">
        <is>
          <t>Nao</t>
        </is>
      </c>
      <c r="AB1779" s="111" t="inlineStr">
        <is>
          <t>NAO_COMPUTADO</t>
        </is>
      </c>
      <c r="AC1779" s="112" t="inlineStr">
        <is>
          <t>Estrutura Fase 1: sem impacto no VTA oficial</t>
        </is>
      </c>
    </row>
    <row r="1780" ht="25.5" customHeight="1" s="289">
      <c r="A1780" s="205" t="n"/>
      <c r="B1780" s="207" t="n"/>
      <c r="C1780" s="104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348" t="n"/>
      <c r="E1780" s="349">
        <f>IF(C1780="","",IFERROR(VLOOKUP(C1780,parametros!$A$11:$E$15,5,0),""))</f>
        <v/>
      </c>
      <c r="F1780" s="335">
        <f>IF(OR(D1780="",E1780=""),"",ROUND(D1780*E1780,2))</f>
        <v/>
      </c>
      <c r="G1780" s="106" t="n"/>
      <c r="H1780" s="350">
        <f>IF(G1780="Sim",IF(OR(F1780="",D1780="",L1780=""),"",IF(L1780="Sim",ROUND(F1780-D1780,2),0)),0)</f>
        <v/>
      </c>
      <c r="I1780" s="350">
        <f>IF(G1780="Sim",0,IF(OR(F1780="",L1780=""),"",F1780))</f>
        <v/>
      </c>
      <c r="J1780" s="350">
        <f>IF(G1780="Sim",0,IF(OR(F1780="",D1780="",L1780=""),"",IF(L1780="Sim",ROUND(F1780-D1780,2),0)))</f>
        <v/>
      </c>
      <c r="K1780" s="97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inlineStr">
        <is>
          <t>Nao</t>
        </is>
      </c>
      <c r="W1780" s="110" t="inlineStr">
        <is>
          <t>PC em analise</t>
        </is>
      </c>
      <c r="X1780" s="110" t="inlineStr">
        <is>
          <t>Pedido de Compra</t>
        </is>
      </c>
      <c r="Y1780" s="111" t="inlineStr">
        <is>
          <t>Impacto Potencial</t>
        </is>
      </c>
      <c r="Z1780" s="111" t="inlineStr">
        <is>
          <t>PC</t>
        </is>
      </c>
      <c r="AA1780" s="111" t="inlineStr">
        <is>
          <t>Nao</t>
        </is>
      </c>
      <c r="AB1780" s="111" t="inlineStr">
        <is>
          <t>NAO_COMPUTADO</t>
        </is>
      </c>
      <c r="AC1780" s="112" t="inlineStr">
        <is>
          <t>Estrutura Fase 1: sem impacto no VTA oficial</t>
        </is>
      </c>
    </row>
    <row r="1781" ht="25.5" customHeight="1" s="289">
      <c r="A1781" s="205" t="n"/>
      <c r="B1781" s="207" t="n"/>
      <c r="C1781" s="104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348" t="n"/>
      <c r="E1781" s="349">
        <f>IF(C1781="","",IFERROR(VLOOKUP(C1781,parametros!$A$11:$E$15,5,0),""))</f>
        <v/>
      </c>
      <c r="F1781" s="335">
        <f>IF(OR(D1781="",E1781=""),"",ROUND(D1781*E1781,2))</f>
        <v/>
      </c>
      <c r="G1781" s="106" t="n"/>
      <c r="H1781" s="350">
        <f>IF(G1781="Sim",IF(OR(F1781="",D1781="",L1781=""),"",IF(L1781="Sim",ROUND(F1781-D1781,2),0)),0)</f>
        <v/>
      </c>
      <c r="I1781" s="350">
        <f>IF(G1781="Sim",0,IF(OR(F1781="",L1781=""),"",F1781))</f>
        <v/>
      </c>
      <c r="J1781" s="350">
        <f>IF(G1781="Sim",0,IF(OR(F1781="",D1781="",L1781=""),"",IF(L1781="Sim",ROUND(F1781-D1781,2),0)))</f>
        <v/>
      </c>
      <c r="K1781" s="97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inlineStr">
        <is>
          <t>Nao</t>
        </is>
      </c>
      <c r="W1781" s="110" t="inlineStr">
        <is>
          <t>PC em analise</t>
        </is>
      </c>
      <c r="X1781" s="110" t="inlineStr">
        <is>
          <t>Pedido de Compra</t>
        </is>
      </c>
      <c r="Y1781" s="111" t="inlineStr">
        <is>
          <t>Impacto Potencial</t>
        </is>
      </c>
      <c r="Z1781" s="111" t="inlineStr">
        <is>
          <t>PC</t>
        </is>
      </c>
      <c r="AA1781" s="111" t="inlineStr">
        <is>
          <t>Nao</t>
        </is>
      </c>
      <c r="AB1781" s="111" t="inlineStr">
        <is>
          <t>NAO_COMPUTADO</t>
        </is>
      </c>
      <c r="AC1781" s="112" t="inlineStr">
        <is>
          <t>Estrutura Fase 1: sem impacto no VTA oficial</t>
        </is>
      </c>
    </row>
    <row r="1782" ht="25.5" customHeight="1" s="289">
      <c r="A1782" s="205" t="n"/>
      <c r="B1782" s="207" t="n"/>
      <c r="C1782" s="104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348" t="n"/>
      <c r="E1782" s="349">
        <f>IF(C1782="","",IFERROR(VLOOKUP(C1782,parametros!$A$11:$E$15,5,0),""))</f>
        <v/>
      </c>
      <c r="F1782" s="335">
        <f>IF(OR(D1782="",E1782=""),"",ROUND(D1782*E1782,2))</f>
        <v/>
      </c>
      <c r="G1782" s="106" t="n"/>
      <c r="H1782" s="350">
        <f>IF(G1782="Sim",IF(OR(F1782="",D1782="",L1782=""),"",IF(L1782="Sim",ROUND(F1782-D1782,2),0)),0)</f>
        <v/>
      </c>
      <c r="I1782" s="350">
        <f>IF(G1782="Sim",0,IF(OR(F1782="",L1782=""),"",F1782))</f>
        <v/>
      </c>
      <c r="J1782" s="350">
        <f>IF(G1782="Sim",0,IF(OR(F1782="",D1782="",L1782=""),"",IF(L1782="Sim",ROUND(F1782-D1782,2),0)))</f>
        <v/>
      </c>
      <c r="K1782" s="97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inlineStr">
        <is>
          <t>Nao</t>
        </is>
      </c>
      <c r="W1782" s="110" t="inlineStr">
        <is>
          <t>PC em analise</t>
        </is>
      </c>
      <c r="X1782" s="110" t="inlineStr">
        <is>
          <t>Pedido de Compra</t>
        </is>
      </c>
      <c r="Y1782" s="111" t="inlineStr">
        <is>
          <t>Impacto Potencial</t>
        </is>
      </c>
      <c r="Z1782" s="111" t="inlineStr">
        <is>
          <t>PC</t>
        </is>
      </c>
      <c r="AA1782" s="111" t="inlineStr">
        <is>
          <t>Nao</t>
        </is>
      </c>
      <c r="AB1782" s="111" t="inlineStr">
        <is>
          <t>NAO_COMPUTADO</t>
        </is>
      </c>
      <c r="AC1782" s="112" t="inlineStr">
        <is>
          <t>Estrutura Fase 1: sem impacto no VTA oficial</t>
        </is>
      </c>
    </row>
    <row r="1783" ht="25.5" customHeight="1" s="289">
      <c r="A1783" s="205" t="n"/>
      <c r="B1783" s="207" t="n"/>
      <c r="C1783" s="104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348" t="n"/>
      <c r="E1783" s="349">
        <f>IF(C1783="","",IFERROR(VLOOKUP(C1783,parametros!$A$11:$E$15,5,0),""))</f>
        <v/>
      </c>
      <c r="F1783" s="335">
        <f>IF(OR(D1783="",E1783=""),"",ROUND(D1783*E1783,2))</f>
        <v/>
      </c>
      <c r="G1783" s="106" t="n"/>
      <c r="H1783" s="350">
        <f>IF(G1783="Sim",IF(OR(F1783="",D1783="",L1783=""),"",IF(L1783="Sim",ROUND(F1783-D1783,2),0)),0)</f>
        <v/>
      </c>
      <c r="I1783" s="350">
        <f>IF(G1783="Sim",0,IF(OR(F1783="",L1783=""),"",F1783))</f>
        <v/>
      </c>
      <c r="J1783" s="350">
        <f>IF(G1783="Sim",0,IF(OR(F1783="",D1783="",L1783=""),"",IF(L1783="Sim",ROUND(F1783-D1783,2),0)))</f>
        <v/>
      </c>
      <c r="K1783" s="97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inlineStr">
        <is>
          <t>Nao</t>
        </is>
      </c>
      <c r="W1783" s="110" t="inlineStr">
        <is>
          <t>PC em analise</t>
        </is>
      </c>
      <c r="X1783" s="110" t="inlineStr">
        <is>
          <t>Pedido de Compra</t>
        </is>
      </c>
      <c r="Y1783" s="111" t="inlineStr">
        <is>
          <t>Impacto Potencial</t>
        </is>
      </c>
      <c r="Z1783" s="111" t="inlineStr">
        <is>
          <t>PC</t>
        </is>
      </c>
      <c r="AA1783" s="111" t="inlineStr">
        <is>
          <t>Nao</t>
        </is>
      </c>
      <c r="AB1783" s="111" t="inlineStr">
        <is>
          <t>NAO_COMPUTADO</t>
        </is>
      </c>
      <c r="AC1783" s="112" t="inlineStr">
        <is>
          <t>Estrutura Fase 1: sem impacto no VTA oficial</t>
        </is>
      </c>
    </row>
    <row r="1784" ht="25.5" customHeight="1" s="289">
      <c r="A1784" s="205" t="n"/>
      <c r="B1784" s="207" t="n"/>
      <c r="C1784" s="104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348" t="n"/>
      <c r="E1784" s="349">
        <f>IF(C1784="","",IFERROR(VLOOKUP(C1784,parametros!$A$11:$E$15,5,0),""))</f>
        <v/>
      </c>
      <c r="F1784" s="335">
        <f>IF(OR(D1784="",E1784=""),"",ROUND(D1784*E1784,2))</f>
        <v/>
      </c>
      <c r="G1784" s="106" t="n"/>
      <c r="H1784" s="350">
        <f>IF(G1784="Sim",IF(OR(F1784="",D1784="",L1784=""),"",IF(L1784="Sim",ROUND(F1784-D1784,2),0)),0)</f>
        <v/>
      </c>
      <c r="I1784" s="350">
        <f>IF(G1784="Sim",0,IF(OR(F1784="",L1784=""),"",F1784))</f>
        <v/>
      </c>
      <c r="J1784" s="350">
        <f>IF(G1784="Sim",0,IF(OR(F1784="",D1784="",L1784=""),"",IF(L1784="Sim",ROUND(F1784-D1784,2),0)))</f>
        <v/>
      </c>
      <c r="K1784" s="97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inlineStr">
        <is>
          <t>Nao</t>
        </is>
      </c>
      <c r="W1784" s="110" t="inlineStr">
        <is>
          <t>PC em analise</t>
        </is>
      </c>
      <c r="X1784" s="110" t="inlineStr">
        <is>
          <t>Pedido de Compra</t>
        </is>
      </c>
      <c r="Y1784" s="111" t="inlineStr">
        <is>
          <t>Impacto Potencial</t>
        </is>
      </c>
      <c r="Z1784" s="111" t="inlineStr">
        <is>
          <t>PC</t>
        </is>
      </c>
      <c r="AA1784" s="111" t="inlineStr">
        <is>
          <t>Nao</t>
        </is>
      </c>
      <c r="AB1784" s="111" t="inlineStr">
        <is>
          <t>NAO_COMPUTADO</t>
        </is>
      </c>
      <c r="AC1784" s="112" t="inlineStr">
        <is>
          <t>Estrutura Fase 1: sem impacto no VTA oficial</t>
        </is>
      </c>
    </row>
    <row r="1785" ht="25.5" customHeight="1" s="289">
      <c r="A1785" s="205" t="n"/>
      <c r="B1785" s="207" t="n"/>
      <c r="C1785" s="104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348" t="n"/>
      <c r="E1785" s="349">
        <f>IF(C1785="","",IFERROR(VLOOKUP(C1785,parametros!$A$11:$E$15,5,0),""))</f>
        <v/>
      </c>
      <c r="F1785" s="335">
        <f>IF(OR(D1785="",E1785=""),"",ROUND(D1785*E1785,2))</f>
        <v/>
      </c>
      <c r="G1785" s="106" t="n"/>
      <c r="H1785" s="350">
        <f>IF(G1785="Sim",IF(OR(F1785="",D1785="",L1785=""),"",IF(L1785="Sim",ROUND(F1785-D1785,2),0)),0)</f>
        <v/>
      </c>
      <c r="I1785" s="350">
        <f>IF(G1785="Sim",0,IF(OR(F1785="",L1785=""),"",F1785))</f>
        <v/>
      </c>
      <c r="J1785" s="350">
        <f>IF(G1785="Sim",0,IF(OR(F1785="",D1785="",L1785=""),"",IF(L1785="Sim",ROUND(F1785-D1785,2),0)))</f>
        <v/>
      </c>
      <c r="K1785" s="97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inlineStr">
        <is>
          <t>Nao</t>
        </is>
      </c>
      <c r="W1785" s="110" t="inlineStr">
        <is>
          <t>PC em analise</t>
        </is>
      </c>
      <c r="X1785" s="110" t="inlineStr">
        <is>
          <t>Pedido de Compra</t>
        </is>
      </c>
      <c r="Y1785" s="111" t="inlineStr">
        <is>
          <t>Impacto Potencial</t>
        </is>
      </c>
      <c r="Z1785" s="111" t="inlineStr">
        <is>
          <t>PC</t>
        </is>
      </c>
      <c r="AA1785" s="111" t="inlineStr">
        <is>
          <t>Nao</t>
        </is>
      </c>
      <c r="AB1785" s="111" t="inlineStr">
        <is>
          <t>NAO_COMPUTADO</t>
        </is>
      </c>
      <c r="AC1785" s="112" t="inlineStr">
        <is>
          <t>Estrutura Fase 1: sem impacto no VTA oficial</t>
        </is>
      </c>
    </row>
    <row r="1786" ht="25.5" customHeight="1" s="289">
      <c r="A1786" s="205" t="n"/>
      <c r="B1786" s="207" t="n"/>
      <c r="C1786" s="104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348" t="n"/>
      <c r="E1786" s="349">
        <f>IF(C1786="","",IFERROR(VLOOKUP(C1786,parametros!$A$11:$E$15,5,0),""))</f>
        <v/>
      </c>
      <c r="F1786" s="335">
        <f>IF(OR(D1786="",E1786=""),"",ROUND(D1786*E1786,2))</f>
        <v/>
      </c>
      <c r="G1786" s="106" t="n"/>
      <c r="H1786" s="350">
        <f>IF(G1786="Sim",IF(OR(F1786="",D1786="",L1786=""),"",IF(L1786="Sim",ROUND(F1786-D1786,2),0)),0)</f>
        <v/>
      </c>
      <c r="I1786" s="350">
        <f>IF(G1786="Sim",0,IF(OR(F1786="",L1786=""),"",F1786))</f>
        <v/>
      </c>
      <c r="J1786" s="350">
        <f>IF(G1786="Sim",0,IF(OR(F1786="",D1786="",L1786=""),"",IF(L1786="Sim",ROUND(F1786-D1786,2),0)))</f>
        <v/>
      </c>
      <c r="K1786" s="97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inlineStr">
        <is>
          <t>Nao</t>
        </is>
      </c>
      <c r="W1786" s="110" t="inlineStr">
        <is>
          <t>PC em analise</t>
        </is>
      </c>
      <c r="X1786" s="110" t="inlineStr">
        <is>
          <t>Pedido de Compra</t>
        </is>
      </c>
      <c r="Y1786" s="111" t="inlineStr">
        <is>
          <t>Impacto Potencial</t>
        </is>
      </c>
      <c r="Z1786" s="111" t="inlineStr">
        <is>
          <t>PC</t>
        </is>
      </c>
      <c r="AA1786" s="111" t="inlineStr">
        <is>
          <t>Nao</t>
        </is>
      </c>
      <c r="AB1786" s="111" t="inlineStr">
        <is>
          <t>NAO_COMPUTADO</t>
        </is>
      </c>
      <c r="AC1786" s="112" t="inlineStr">
        <is>
          <t>Estrutura Fase 1: sem impacto no VTA oficial</t>
        </is>
      </c>
    </row>
    <row r="1787" ht="25.5" customHeight="1" s="289">
      <c r="A1787" s="205" t="n"/>
      <c r="B1787" s="207" t="n"/>
      <c r="C1787" s="104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348" t="n"/>
      <c r="E1787" s="349">
        <f>IF(C1787="","",IFERROR(VLOOKUP(C1787,parametros!$A$11:$E$15,5,0),""))</f>
        <v/>
      </c>
      <c r="F1787" s="335">
        <f>IF(OR(D1787="",E1787=""),"",ROUND(D1787*E1787,2))</f>
        <v/>
      </c>
      <c r="G1787" s="106" t="n"/>
      <c r="H1787" s="350">
        <f>IF(G1787="Sim",IF(OR(F1787="",D1787="",L1787=""),"",IF(L1787="Sim",ROUND(F1787-D1787,2),0)),0)</f>
        <v/>
      </c>
      <c r="I1787" s="350">
        <f>IF(G1787="Sim",0,IF(OR(F1787="",L1787=""),"",F1787))</f>
        <v/>
      </c>
      <c r="J1787" s="350">
        <f>IF(G1787="Sim",0,IF(OR(F1787="",D1787="",L1787=""),"",IF(L1787="Sim",ROUND(F1787-D1787,2),0)))</f>
        <v/>
      </c>
      <c r="K1787" s="97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inlineStr">
        <is>
          <t>Nao</t>
        </is>
      </c>
      <c r="W1787" s="110" t="inlineStr">
        <is>
          <t>PC em analise</t>
        </is>
      </c>
      <c r="X1787" s="110" t="inlineStr">
        <is>
          <t>Pedido de Compra</t>
        </is>
      </c>
      <c r="Y1787" s="111" t="inlineStr">
        <is>
          <t>Impacto Potencial</t>
        </is>
      </c>
      <c r="Z1787" s="111" t="inlineStr">
        <is>
          <t>PC</t>
        </is>
      </c>
      <c r="AA1787" s="111" t="inlineStr">
        <is>
          <t>Nao</t>
        </is>
      </c>
      <c r="AB1787" s="111" t="inlineStr">
        <is>
          <t>NAO_COMPUTADO</t>
        </is>
      </c>
      <c r="AC1787" s="112" t="inlineStr">
        <is>
          <t>Estrutura Fase 1: sem impacto no VTA oficial</t>
        </is>
      </c>
    </row>
    <row r="1788" ht="25.5" customHeight="1" s="289">
      <c r="A1788" s="205" t="n"/>
      <c r="B1788" s="207" t="n"/>
      <c r="C1788" s="104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348" t="n"/>
      <c r="E1788" s="349">
        <f>IF(C1788="","",IFERROR(VLOOKUP(C1788,parametros!$A$11:$E$15,5,0),""))</f>
        <v/>
      </c>
      <c r="F1788" s="335">
        <f>IF(OR(D1788="",E1788=""),"",ROUND(D1788*E1788,2))</f>
        <v/>
      </c>
      <c r="G1788" s="106" t="n"/>
      <c r="H1788" s="350">
        <f>IF(G1788="Sim",IF(OR(F1788="",D1788="",L1788=""),"",IF(L1788="Sim",ROUND(F1788-D1788,2),0)),0)</f>
        <v/>
      </c>
      <c r="I1788" s="350">
        <f>IF(G1788="Sim",0,IF(OR(F1788="",L1788=""),"",F1788))</f>
        <v/>
      </c>
      <c r="J1788" s="350">
        <f>IF(G1788="Sim",0,IF(OR(F1788="",D1788="",L1788=""),"",IF(L1788="Sim",ROUND(F1788-D1788,2),0)))</f>
        <v/>
      </c>
      <c r="K1788" s="97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inlineStr">
        <is>
          <t>Nao</t>
        </is>
      </c>
      <c r="W1788" s="110" t="inlineStr">
        <is>
          <t>PC em analise</t>
        </is>
      </c>
      <c r="X1788" s="110" t="inlineStr">
        <is>
          <t>Pedido de Compra</t>
        </is>
      </c>
      <c r="Y1788" s="111" t="inlineStr">
        <is>
          <t>Impacto Potencial</t>
        </is>
      </c>
      <c r="Z1788" s="111" t="inlineStr">
        <is>
          <t>PC</t>
        </is>
      </c>
      <c r="AA1788" s="111" t="inlineStr">
        <is>
          <t>Nao</t>
        </is>
      </c>
      <c r="AB1788" s="111" t="inlineStr">
        <is>
          <t>NAO_COMPUTADO</t>
        </is>
      </c>
      <c r="AC1788" s="112" t="inlineStr">
        <is>
          <t>Estrutura Fase 1: sem impacto no VTA oficial</t>
        </is>
      </c>
    </row>
    <row r="1789" ht="25.5" customHeight="1" s="289">
      <c r="A1789" s="205" t="n"/>
      <c r="B1789" s="207" t="n"/>
      <c r="C1789" s="104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348" t="n"/>
      <c r="E1789" s="349">
        <f>IF(C1789="","",IFERROR(VLOOKUP(C1789,parametros!$A$11:$E$15,5,0),""))</f>
        <v/>
      </c>
      <c r="F1789" s="335">
        <f>IF(OR(D1789="",E1789=""),"",ROUND(D1789*E1789,2))</f>
        <v/>
      </c>
      <c r="G1789" s="106" t="n"/>
      <c r="H1789" s="350">
        <f>IF(G1789="Sim",IF(OR(F1789="",D1789="",L1789=""),"",IF(L1789="Sim",ROUND(F1789-D1789,2),0)),0)</f>
        <v/>
      </c>
      <c r="I1789" s="350">
        <f>IF(G1789="Sim",0,IF(OR(F1789="",L1789=""),"",F1789))</f>
        <v/>
      </c>
      <c r="J1789" s="350">
        <f>IF(G1789="Sim",0,IF(OR(F1789="",D1789="",L1789=""),"",IF(L1789="Sim",ROUND(F1789-D1789,2),0)))</f>
        <v/>
      </c>
      <c r="K1789" s="97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inlineStr">
        <is>
          <t>Nao</t>
        </is>
      </c>
      <c r="W1789" s="110" t="inlineStr">
        <is>
          <t>PC em analise</t>
        </is>
      </c>
      <c r="X1789" s="110" t="inlineStr">
        <is>
          <t>Pedido de Compra</t>
        </is>
      </c>
      <c r="Y1789" s="111" t="inlineStr">
        <is>
          <t>Impacto Potencial</t>
        </is>
      </c>
      <c r="Z1789" s="111" t="inlineStr">
        <is>
          <t>PC</t>
        </is>
      </c>
      <c r="AA1789" s="111" t="inlineStr">
        <is>
          <t>Nao</t>
        </is>
      </c>
      <c r="AB1789" s="111" t="inlineStr">
        <is>
          <t>NAO_COMPUTADO</t>
        </is>
      </c>
      <c r="AC1789" s="112" t="inlineStr">
        <is>
          <t>Estrutura Fase 1: sem impacto no VTA oficial</t>
        </is>
      </c>
    </row>
    <row r="1790" ht="25.5" customHeight="1" s="289">
      <c r="A1790" s="205" t="n"/>
      <c r="B1790" s="207" t="n"/>
      <c r="C1790" s="104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348" t="n"/>
      <c r="E1790" s="349">
        <f>IF(C1790="","",IFERROR(VLOOKUP(C1790,parametros!$A$11:$E$15,5,0),""))</f>
        <v/>
      </c>
      <c r="F1790" s="335">
        <f>IF(OR(D1790="",E1790=""),"",ROUND(D1790*E1790,2))</f>
        <v/>
      </c>
      <c r="G1790" s="106" t="n"/>
      <c r="H1790" s="350">
        <f>IF(G1790="Sim",IF(OR(F1790="",D1790="",L1790=""),"",IF(L1790="Sim",ROUND(F1790-D1790,2),0)),0)</f>
        <v/>
      </c>
      <c r="I1790" s="350">
        <f>IF(G1790="Sim",0,IF(OR(F1790="",L1790=""),"",F1790))</f>
        <v/>
      </c>
      <c r="J1790" s="350">
        <f>IF(G1790="Sim",0,IF(OR(F1790="",D1790="",L1790=""),"",IF(L1790="Sim",ROUND(F1790-D1790,2),0)))</f>
        <v/>
      </c>
      <c r="K1790" s="97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inlineStr">
        <is>
          <t>Nao</t>
        </is>
      </c>
      <c r="W1790" s="110" t="inlineStr">
        <is>
          <t>PC em analise</t>
        </is>
      </c>
      <c r="X1790" s="110" t="inlineStr">
        <is>
          <t>Pedido de Compra</t>
        </is>
      </c>
      <c r="Y1790" s="111" t="inlineStr">
        <is>
          <t>Impacto Potencial</t>
        </is>
      </c>
      <c r="Z1790" s="111" t="inlineStr">
        <is>
          <t>PC</t>
        </is>
      </c>
      <c r="AA1790" s="111" t="inlineStr">
        <is>
          <t>Nao</t>
        </is>
      </c>
      <c r="AB1790" s="111" t="inlineStr">
        <is>
          <t>NAO_COMPUTADO</t>
        </is>
      </c>
      <c r="AC1790" s="112" t="inlineStr">
        <is>
          <t>Estrutura Fase 1: sem impacto no VTA oficial</t>
        </is>
      </c>
    </row>
    <row r="1791" ht="25.5" customHeight="1" s="289">
      <c r="A1791" s="205" t="n"/>
      <c r="B1791" s="207" t="n"/>
      <c r="C1791" s="104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348" t="n"/>
      <c r="E1791" s="349">
        <f>IF(C1791="","",IFERROR(VLOOKUP(C1791,parametros!$A$11:$E$15,5,0),""))</f>
        <v/>
      </c>
      <c r="F1791" s="335">
        <f>IF(OR(D1791="",E1791=""),"",ROUND(D1791*E1791,2))</f>
        <v/>
      </c>
      <c r="G1791" s="106" t="n"/>
      <c r="H1791" s="350">
        <f>IF(G1791="Sim",IF(OR(F1791="",D1791="",L1791=""),"",IF(L1791="Sim",ROUND(F1791-D1791,2),0)),0)</f>
        <v/>
      </c>
      <c r="I1791" s="350">
        <f>IF(G1791="Sim",0,IF(OR(F1791="",L1791=""),"",F1791))</f>
        <v/>
      </c>
      <c r="J1791" s="350">
        <f>IF(G1791="Sim",0,IF(OR(F1791="",D1791="",L1791=""),"",IF(L1791="Sim",ROUND(F1791-D1791,2),0)))</f>
        <v/>
      </c>
      <c r="K1791" s="97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inlineStr">
        <is>
          <t>Nao</t>
        </is>
      </c>
      <c r="W1791" s="110" t="inlineStr">
        <is>
          <t>PC em analise</t>
        </is>
      </c>
      <c r="X1791" s="110" t="inlineStr">
        <is>
          <t>Pedido de Compra</t>
        </is>
      </c>
      <c r="Y1791" s="111" t="inlineStr">
        <is>
          <t>Impacto Potencial</t>
        </is>
      </c>
      <c r="Z1791" s="111" t="inlineStr">
        <is>
          <t>PC</t>
        </is>
      </c>
      <c r="AA1791" s="111" t="inlineStr">
        <is>
          <t>Nao</t>
        </is>
      </c>
      <c r="AB1791" s="111" t="inlineStr">
        <is>
          <t>NAO_COMPUTADO</t>
        </is>
      </c>
      <c r="AC1791" s="112" t="inlineStr">
        <is>
          <t>Estrutura Fase 1: sem impacto no VTA oficial</t>
        </is>
      </c>
    </row>
    <row r="1792" ht="25.5" customHeight="1" s="289">
      <c r="A1792" s="205" t="n"/>
      <c r="B1792" s="207" t="n"/>
      <c r="C1792" s="104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348" t="n"/>
      <c r="E1792" s="349">
        <f>IF(C1792="","",IFERROR(VLOOKUP(C1792,parametros!$A$11:$E$15,5,0),""))</f>
        <v/>
      </c>
      <c r="F1792" s="335">
        <f>IF(OR(D1792="",E1792=""),"",ROUND(D1792*E1792,2))</f>
        <v/>
      </c>
      <c r="G1792" s="106" t="n"/>
      <c r="H1792" s="350">
        <f>IF(G1792="Sim",IF(OR(F1792="",D1792="",L1792=""),"",IF(L1792="Sim",ROUND(F1792-D1792,2),0)),0)</f>
        <v/>
      </c>
      <c r="I1792" s="350">
        <f>IF(G1792="Sim",0,IF(OR(F1792="",L1792=""),"",F1792))</f>
        <v/>
      </c>
      <c r="J1792" s="350">
        <f>IF(G1792="Sim",0,IF(OR(F1792="",D1792="",L1792=""),"",IF(L1792="Sim",ROUND(F1792-D1792,2),0)))</f>
        <v/>
      </c>
      <c r="K1792" s="97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inlineStr">
        <is>
          <t>Nao</t>
        </is>
      </c>
      <c r="W1792" s="110" t="inlineStr">
        <is>
          <t>PC em analise</t>
        </is>
      </c>
      <c r="X1792" s="110" t="inlineStr">
        <is>
          <t>Pedido de Compra</t>
        </is>
      </c>
      <c r="Y1792" s="111" t="inlineStr">
        <is>
          <t>Impacto Potencial</t>
        </is>
      </c>
      <c r="Z1792" s="111" t="inlineStr">
        <is>
          <t>PC</t>
        </is>
      </c>
      <c r="AA1792" s="111" t="inlineStr">
        <is>
          <t>Nao</t>
        </is>
      </c>
      <c r="AB1792" s="111" t="inlineStr">
        <is>
          <t>NAO_COMPUTADO</t>
        </is>
      </c>
      <c r="AC1792" s="112" t="inlineStr">
        <is>
          <t>Estrutura Fase 1: sem impacto no VTA oficial</t>
        </is>
      </c>
    </row>
    <row r="1793" ht="25.5" customHeight="1" s="289">
      <c r="A1793" s="205" t="n"/>
      <c r="B1793" s="207" t="n"/>
      <c r="C1793" s="104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348" t="n"/>
      <c r="E1793" s="349">
        <f>IF(C1793="","",IFERROR(VLOOKUP(C1793,parametros!$A$11:$E$15,5,0),""))</f>
        <v/>
      </c>
      <c r="F1793" s="335">
        <f>IF(OR(D1793="",E1793=""),"",ROUND(D1793*E1793,2))</f>
        <v/>
      </c>
      <c r="G1793" s="106" t="n"/>
      <c r="H1793" s="350">
        <f>IF(G1793="Sim",IF(OR(F1793="",D1793="",L1793=""),"",IF(L1793="Sim",ROUND(F1793-D1793,2),0)),0)</f>
        <v/>
      </c>
      <c r="I1793" s="350">
        <f>IF(G1793="Sim",0,IF(OR(F1793="",L1793=""),"",F1793))</f>
        <v/>
      </c>
      <c r="J1793" s="350">
        <f>IF(G1793="Sim",0,IF(OR(F1793="",D1793="",L1793=""),"",IF(L1793="Sim",ROUND(F1793-D1793,2),0)))</f>
        <v/>
      </c>
      <c r="K1793" s="97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inlineStr">
        <is>
          <t>Nao</t>
        </is>
      </c>
      <c r="W1793" s="110" t="inlineStr">
        <is>
          <t>PC em analise</t>
        </is>
      </c>
      <c r="X1793" s="110" t="inlineStr">
        <is>
          <t>Pedido de Compra</t>
        </is>
      </c>
      <c r="Y1793" s="111" t="inlineStr">
        <is>
          <t>Impacto Potencial</t>
        </is>
      </c>
      <c r="Z1793" s="111" t="inlineStr">
        <is>
          <t>PC</t>
        </is>
      </c>
      <c r="AA1793" s="111" t="inlineStr">
        <is>
          <t>Nao</t>
        </is>
      </c>
      <c r="AB1793" s="111" t="inlineStr">
        <is>
          <t>NAO_COMPUTADO</t>
        </is>
      </c>
      <c r="AC1793" s="112" t="inlineStr">
        <is>
          <t>Estrutura Fase 1: sem impacto no VTA oficial</t>
        </is>
      </c>
    </row>
    <row r="1794" ht="25.5" customHeight="1" s="289">
      <c r="A1794" s="205" t="n"/>
      <c r="B1794" s="207" t="n"/>
      <c r="C1794" s="104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348" t="n"/>
      <c r="E1794" s="349">
        <f>IF(C1794="","",IFERROR(VLOOKUP(C1794,parametros!$A$11:$E$15,5,0),""))</f>
        <v/>
      </c>
      <c r="F1794" s="335">
        <f>IF(OR(D1794="",E1794=""),"",ROUND(D1794*E1794,2))</f>
        <v/>
      </c>
      <c r="G1794" s="106" t="n"/>
      <c r="H1794" s="350">
        <f>IF(G1794="Sim",IF(OR(F1794="",D1794="",L1794=""),"",IF(L1794="Sim",ROUND(F1794-D1794,2),0)),0)</f>
        <v/>
      </c>
      <c r="I1794" s="350">
        <f>IF(G1794="Sim",0,IF(OR(F1794="",L1794=""),"",F1794))</f>
        <v/>
      </c>
      <c r="J1794" s="350">
        <f>IF(G1794="Sim",0,IF(OR(F1794="",D1794="",L1794=""),"",IF(L1794="Sim",ROUND(F1794-D1794,2),0)))</f>
        <v/>
      </c>
      <c r="K1794" s="97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inlineStr">
        <is>
          <t>Nao</t>
        </is>
      </c>
      <c r="W1794" s="110" t="inlineStr">
        <is>
          <t>PC em analise</t>
        </is>
      </c>
      <c r="X1794" s="110" t="inlineStr">
        <is>
          <t>Pedido de Compra</t>
        </is>
      </c>
      <c r="Y1794" s="111" t="inlineStr">
        <is>
          <t>Impacto Potencial</t>
        </is>
      </c>
      <c r="Z1794" s="111" t="inlineStr">
        <is>
          <t>PC</t>
        </is>
      </c>
      <c r="AA1794" s="111" t="inlineStr">
        <is>
          <t>Nao</t>
        </is>
      </c>
      <c r="AB1794" s="111" t="inlineStr">
        <is>
          <t>NAO_COMPUTADO</t>
        </is>
      </c>
      <c r="AC1794" s="112" t="inlineStr">
        <is>
          <t>Estrutura Fase 1: sem impacto no VTA oficial</t>
        </is>
      </c>
    </row>
    <row r="1795" ht="25.5" customHeight="1" s="289">
      <c r="A1795" s="205" t="n"/>
      <c r="B1795" s="207" t="n"/>
      <c r="C1795" s="104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348" t="n"/>
      <c r="E1795" s="349">
        <f>IF(C1795="","",IFERROR(VLOOKUP(C1795,parametros!$A$11:$E$15,5,0),""))</f>
        <v/>
      </c>
      <c r="F1795" s="335">
        <f>IF(OR(D1795="",E1795=""),"",ROUND(D1795*E1795,2))</f>
        <v/>
      </c>
      <c r="G1795" s="106" t="n"/>
      <c r="H1795" s="350">
        <f>IF(G1795="Sim",IF(OR(F1795="",D1795="",L1795=""),"",IF(L1795="Sim",ROUND(F1795-D1795,2),0)),0)</f>
        <v/>
      </c>
      <c r="I1795" s="350">
        <f>IF(G1795="Sim",0,IF(OR(F1795="",L1795=""),"",F1795))</f>
        <v/>
      </c>
      <c r="J1795" s="350">
        <f>IF(G1795="Sim",0,IF(OR(F1795="",D1795="",L1795=""),"",IF(L1795="Sim",ROUND(F1795-D1795,2),0)))</f>
        <v/>
      </c>
      <c r="K1795" s="97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inlineStr">
        <is>
          <t>Nao</t>
        </is>
      </c>
      <c r="W1795" s="110" t="inlineStr">
        <is>
          <t>PC em analise</t>
        </is>
      </c>
      <c r="X1795" s="110" t="inlineStr">
        <is>
          <t>Pedido de Compra</t>
        </is>
      </c>
      <c r="Y1795" s="111" t="inlineStr">
        <is>
          <t>Impacto Potencial</t>
        </is>
      </c>
      <c r="Z1795" s="111" t="inlineStr">
        <is>
          <t>PC</t>
        </is>
      </c>
      <c r="AA1795" s="111" t="inlineStr">
        <is>
          <t>Nao</t>
        </is>
      </c>
      <c r="AB1795" s="111" t="inlineStr">
        <is>
          <t>NAO_COMPUTADO</t>
        </is>
      </c>
      <c r="AC1795" s="112" t="inlineStr">
        <is>
          <t>Estrutura Fase 1: sem impacto no VTA oficial</t>
        </is>
      </c>
    </row>
    <row r="1796" ht="25.5" customHeight="1" s="289">
      <c r="A1796" s="205" t="n"/>
      <c r="B1796" s="207" t="n"/>
      <c r="C1796" s="104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348" t="n"/>
      <c r="E1796" s="349">
        <f>IF(C1796="","",IFERROR(VLOOKUP(C1796,parametros!$A$11:$E$15,5,0),""))</f>
        <v/>
      </c>
      <c r="F1796" s="335">
        <f>IF(OR(D1796="",E1796=""),"",ROUND(D1796*E1796,2))</f>
        <v/>
      </c>
      <c r="G1796" s="106" t="n"/>
      <c r="H1796" s="350">
        <f>IF(G1796="Sim",IF(OR(F1796="",D1796="",L1796=""),"",IF(L1796="Sim",ROUND(F1796-D1796,2),0)),0)</f>
        <v/>
      </c>
      <c r="I1796" s="350">
        <f>IF(G1796="Sim",0,IF(OR(F1796="",L1796=""),"",F1796))</f>
        <v/>
      </c>
      <c r="J1796" s="350">
        <f>IF(G1796="Sim",0,IF(OR(F1796="",D1796="",L1796=""),"",IF(L1796="Sim",ROUND(F1796-D1796,2),0)))</f>
        <v/>
      </c>
      <c r="K1796" s="97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inlineStr">
        <is>
          <t>Nao</t>
        </is>
      </c>
      <c r="W1796" s="110" t="inlineStr">
        <is>
          <t>PC em analise</t>
        </is>
      </c>
      <c r="X1796" s="110" t="inlineStr">
        <is>
          <t>Pedido de Compra</t>
        </is>
      </c>
      <c r="Y1796" s="111" t="inlineStr">
        <is>
          <t>Impacto Potencial</t>
        </is>
      </c>
      <c r="Z1796" s="111" t="inlineStr">
        <is>
          <t>PC</t>
        </is>
      </c>
      <c r="AA1796" s="111" t="inlineStr">
        <is>
          <t>Nao</t>
        </is>
      </c>
      <c r="AB1796" s="111" t="inlineStr">
        <is>
          <t>NAO_COMPUTADO</t>
        </is>
      </c>
      <c r="AC1796" s="112" t="inlineStr">
        <is>
          <t>Estrutura Fase 1: sem impacto no VTA oficial</t>
        </is>
      </c>
    </row>
    <row r="1797" ht="25.5" customHeight="1" s="289">
      <c r="A1797" s="205" t="n"/>
      <c r="B1797" s="207" t="n"/>
      <c r="C1797" s="104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348" t="n"/>
      <c r="E1797" s="349">
        <f>IF(C1797="","",IFERROR(VLOOKUP(C1797,parametros!$A$11:$E$15,5,0),""))</f>
        <v/>
      </c>
      <c r="F1797" s="335">
        <f>IF(OR(D1797="",E1797=""),"",ROUND(D1797*E1797,2))</f>
        <v/>
      </c>
      <c r="G1797" s="106" t="n"/>
      <c r="H1797" s="350">
        <f>IF(G1797="Sim",IF(OR(F1797="",D1797="",L1797=""),"",IF(L1797="Sim",ROUND(F1797-D1797,2),0)),0)</f>
        <v/>
      </c>
      <c r="I1797" s="350">
        <f>IF(G1797="Sim",0,IF(OR(F1797="",L1797=""),"",F1797))</f>
        <v/>
      </c>
      <c r="J1797" s="350">
        <f>IF(G1797="Sim",0,IF(OR(F1797="",D1797="",L1797=""),"",IF(L1797="Sim",ROUND(F1797-D1797,2),0)))</f>
        <v/>
      </c>
      <c r="K1797" s="97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inlineStr">
        <is>
          <t>Nao</t>
        </is>
      </c>
      <c r="W1797" s="110" t="inlineStr">
        <is>
          <t>PC em analise</t>
        </is>
      </c>
      <c r="X1797" s="110" t="inlineStr">
        <is>
          <t>Pedido de Compra</t>
        </is>
      </c>
      <c r="Y1797" s="111" t="inlineStr">
        <is>
          <t>Impacto Potencial</t>
        </is>
      </c>
      <c r="Z1797" s="111" t="inlineStr">
        <is>
          <t>PC</t>
        </is>
      </c>
      <c r="AA1797" s="111" t="inlineStr">
        <is>
          <t>Nao</t>
        </is>
      </c>
      <c r="AB1797" s="111" t="inlineStr">
        <is>
          <t>NAO_COMPUTADO</t>
        </is>
      </c>
      <c r="AC1797" s="112" t="inlineStr">
        <is>
          <t>Estrutura Fase 1: sem impacto no VTA oficial</t>
        </is>
      </c>
    </row>
    <row r="1798" ht="25.5" customHeight="1" s="289">
      <c r="A1798" s="205" t="n"/>
      <c r="B1798" s="207" t="n"/>
      <c r="C1798" s="104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348" t="n"/>
      <c r="E1798" s="349">
        <f>IF(C1798="","",IFERROR(VLOOKUP(C1798,parametros!$A$11:$E$15,5,0),""))</f>
        <v/>
      </c>
      <c r="F1798" s="335">
        <f>IF(OR(D1798="",E1798=""),"",ROUND(D1798*E1798,2))</f>
        <v/>
      </c>
      <c r="G1798" s="106" t="n"/>
      <c r="H1798" s="350">
        <f>IF(G1798="Sim",IF(OR(F1798="",D1798="",L1798=""),"",IF(L1798="Sim",ROUND(F1798-D1798,2),0)),0)</f>
        <v/>
      </c>
      <c r="I1798" s="350">
        <f>IF(G1798="Sim",0,IF(OR(F1798="",L1798=""),"",F1798))</f>
        <v/>
      </c>
      <c r="J1798" s="350">
        <f>IF(G1798="Sim",0,IF(OR(F1798="",D1798="",L1798=""),"",IF(L1798="Sim",ROUND(F1798-D1798,2),0)))</f>
        <v/>
      </c>
      <c r="K1798" s="97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inlineStr">
        <is>
          <t>Nao</t>
        </is>
      </c>
      <c r="W1798" s="110" t="inlineStr">
        <is>
          <t>PC em analise</t>
        </is>
      </c>
      <c r="X1798" s="110" t="inlineStr">
        <is>
          <t>Pedido de Compra</t>
        </is>
      </c>
      <c r="Y1798" s="111" t="inlineStr">
        <is>
          <t>Impacto Potencial</t>
        </is>
      </c>
      <c r="Z1798" s="111" t="inlineStr">
        <is>
          <t>PC</t>
        </is>
      </c>
      <c r="AA1798" s="111" t="inlineStr">
        <is>
          <t>Nao</t>
        </is>
      </c>
      <c r="AB1798" s="111" t="inlineStr">
        <is>
          <t>NAO_COMPUTADO</t>
        </is>
      </c>
      <c r="AC1798" s="112" t="inlineStr">
        <is>
          <t>Estrutura Fase 1: sem impacto no VTA oficial</t>
        </is>
      </c>
    </row>
    <row r="1799" ht="25.5" customHeight="1" s="289">
      <c r="A1799" s="205" t="n"/>
      <c r="B1799" s="207" t="n"/>
      <c r="C1799" s="104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348" t="n"/>
      <c r="E1799" s="349">
        <f>IF(C1799="","",IFERROR(VLOOKUP(C1799,parametros!$A$11:$E$15,5,0),""))</f>
        <v/>
      </c>
      <c r="F1799" s="335">
        <f>IF(OR(D1799="",E1799=""),"",ROUND(D1799*E1799,2))</f>
        <v/>
      </c>
      <c r="G1799" s="106" t="n"/>
      <c r="H1799" s="350">
        <f>IF(G1799="Sim",IF(OR(F1799="",D1799="",L1799=""),"",IF(L1799="Sim",ROUND(F1799-D1799,2),0)),0)</f>
        <v/>
      </c>
      <c r="I1799" s="350">
        <f>IF(G1799="Sim",0,IF(OR(F1799="",L1799=""),"",F1799))</f>
        <v/>
      </c>
      <c r="J1799" s="350">
        <f>IF(G1799="Sim",0,IF(OR(F1799="",D1799="",L1799=""),"",IF(L1799="Sim",ROUND(F1799-D1799,2),0)))</f>
        <v/>
      </c>
      <c r="K1799" s="97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inlineStr">
        <is>
          <t>Nao</t>
        </is>
      </c>
      <c r="W1799" s="110" t="inlineStr">
        <is>
          <t>PC em analise</t>
        </is>
      </c>
      <c r="X1799" s="110" t="inlineStr">
        <is>
          <t>Pedido de Compra</t>
        </is>
      </c>
      <c r="Y1799" s="111" t="inlineStr">
        <is>
          <t>Impacto Potencial</t>
        </is>
      </c>
      <c r="Z1799" s="111" t="inlineStr">
        <is>
          <t>PC</t>
        </is>
      </c>
      <c r="AA1799" s="111" t="inlineStr">
        <is>
          <t>Nao</t>
        </is>
      </c>
      <c r="AB1799" s="111" t="inlineStr">
        <is>
          <t>NAO_COMPUTADO</t>
        </is>
      </c>
      <c r="AC1799" s="112" t="inlineStr">
        <is>
          <t>Estrutura Fase 1: sem impacto no VTA oficial</t>
        </is>
      </c>
    </row>
    <row r="1800" ht="25.5" customHeight="1" s="289">
      <c r="A1800" s="205" t="n"/>
      <c r="B1800" s="207" t="n"/>
      <c r="C1800" s="104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348" t="n"/>
      <c r="E1800" s="349">
        <f>IF(C1800="","",IFERROR(VLOOKUP(C1800,parametros!$A$11:$E$15,5,0),""))</f>
        <v/>
      </c>
      <c r="F1800" s="335">
        <f>IF(OR(D1800="",E1800=""),"",ROUND(D1800*E1800,2))</f>
        <v/>
      </c>
      <c r="G1800" s="106" t="n"/>
      <c r="H1800" s="350">
        <f>IF(G1800="Sim",IF(OR(F1800="",D1800="",L1800=""),"",IF(L1800="Sim",ROUND(F1800-D1800,2),0)),0)</f>
        <v/>
      </c>
      <c r="I1800" s="350">
        <f>IF(G1800="Sim",0,IF(OR(F1800="",L1800=""),"",F1800))</f>
        <v/>
      </c>
      <c r="J1800" s="350">
        <f>IF(G1800="Sim",0,IF(OR(F1800="",D1800="",L1800=""),"",IF(L1800="Sim",ROUND(F1800-D1800,2),0)))</f>
        <v/>
      </c>
      <c r="K1800" s="97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inlineStr">
        <is>
          <t>Nao</t>
        </is>
      </c>
      <c r="W1800" s="110" t="inlineStr">
        <is>
          <t>PC em analise</t>
        </is>
      </c>
      <c r="X1800" s="110" t="inlineStr">
        <is>
          <t>Pedido de Compra</t>
        </is>
      </c>
      <c r="Y1800" s="111" t="inlineStr">
        <is>
          <t>Impacto Potencial</t>
        </is>
      </c>
      <c r="Z1800" s="111" t="inlineStr">
        <is>
          <t>PC</t>
        </is>
      </c>
      <c r="AA1800" s="111" t="inlineStr">
        <is>
          <t>Nao</t>
        </is>
      </c>
      <c r="AB1800" s="111" t="inlineStr">
        <is>
          <t>NAO_COMPUTADO</t>
        </is>
      </c>
      <c r="AC1800" s="112" t="inlineStr">
        <is>
          <t>Estrutura Fase 1: sem impacto no VTA oficial</t>
        </is>
      </c>
    </row>
    <row r="1801" ht="25.5" customHeight="1" s="289">
      <c r="A1801" s="205" t="n"/>
      <c r="B1801" s="207" t="n"/>
      <c r="C1801" s="104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348" t="n"/>
      <c r="E1801" s="349">
        <f>IF(C1801="","",IFERROR(VLOOKUP(C1801,parametros!$A$11:$E$15,5,0),""))</f>
        <v/>
      </c>
      <c r="F1801" s="335">
        <f>IF(OR(D1801="",E1801=""),"",ROUND(D1801*E1801,2))</f>
        <v/>
      </c>
      <c r="G1801" s="106" t="n"/>
      <c r="H1801" s="350">
        <f>IF(G1801="Sim",IF(OR(F1801="",D1801="",L1801=""),"",IF(L1801="Sim",ROUND(F1801-D1801,2),0)),0)</f>
        <v/>
      </c>
      <c r="I1801" s="350">
        <f>IF(G1801="Sim",0,IF(OR(F1801="",L1801=""),"",F1801))</f>
        <v/>
      </c>
      <c r="J1801" s="350">
        <f>IF(G1801="Sim",0,IF(OR(F1801="",D1801="",L1801=""),"",IF(L1801="Sim",ROUND(F1801-D1801,2),0)))</f>
        <v/>
      </c>
      <c r="K1801" s="97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inlineStr">
        <is>
          <t>Nao</t>
        </is>
      </c>
      <c r="W1801" s="110" t="inlineStr">
        <is>
          <t>PC em analise</t>
        </is>
      </c>
      <c r="X1801" s="110" t="inlineStr">
        <is>
          <t>Pedido de Compra</t>
        </is>
      </c>
      <c r="Y1801" s="111" t="inlineStr">
        <is>
          <t>Impacto Potencial</t>
        </is>
      </c>
      <c r="Z1801" s="111" t="inlineStr">
        <is>
          <t>PC</t>
        </is>
      </c>
      <c r="AA1801" s="111" t="inlineStr">
        <is>
          <t>Nao</t>
        </is>
      </c>
      <c r="AB1801" s="111" t="inlineStr">
        <is>
          <t>NAO_COMPUTADO</t>
        </is>
      </c>
      <c r="AC1801" s="112" t="inlineStr">
        <is>
          <t>Estrutura Fase 1: sem impacto no VTA oficial</t>
        </is>
      </c>
    </row>
    <row r="1802" ht="25.5" customHeight="1" s="289">
      <c r="A1802" s="205" t="n"/>
      <c r="B1802" s="207" t="n"/>
      <c r="C1802" s="104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348" t="n"/>
      <c r="E1802" s="349">
        <f>IF(C1802="","",IFERROR(VLOOKUP(C1802,parametros!$A$11:$E$15,5,0),""))</f>
        <v/>
      </c>
      <c r="F1802" s="335">
        <f>IF(OR(D1802="",E1802=""),"",ROUND(D1802*E1802,2))</f>
        <v/>
      </c>
      <c r="G1802" s="106" t="n"/>
      <c r="H1802" s="350">
        <f>IF(G1802="Sim",IF(OR(F1802="",D1802="",L1802=""),"",IF(L1802="Sim",ROUND(F1802-D1802,2),0)),0)</f>
        <v/>
      </c>
      <c r="I1802" s="350">
        <f>IF(G1802="Sim",0,IF(OR(F1802="",L1802=""),"",F1802))</f>
        <v/>
      </c>
      <c r="J1802" s="350">
        <f>IF(G1802="Sim",0,IF(OR(F1802="",D1802="",L1802=""),"",IF(L1802="Sim",ROUND(F1802-D1802,2),0)))</f>
        <v/>
      </c>
      <c r="K1802" s="97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inlineStr">
        <is>
          <t>Nao</t>
        </is>
      </c>
      <c r="W1802" s="110" t="inlineStr">
        <is>
          <t>PC em analise</t>
        </is>
      </c>
      <c r="X1802" s="110" t="inlineStr">
        <is>
          <t>Pedido de Compra</t>
        </is>
      </c>
      <c r="Y1802" s="111" t="inlineStr">
        <is>
          <t>Impacto Potencial</t>
        </is>
      </c>
      <c r="Z1802" s="111" t="inlineStr">
        <is>
          <t>PC</t>
        </is>
      </c>
      <c r="AA1802" s="111" t="inlineStr">
        <is>
          <t>Nao</t>
        </is>
      </c>
      <c r="AB1802" s="111" t="inlineStr">
        <is>
          <t>NAO_COMPUTADO</t>
        </is>
      </c>
      <c r="AC1802" s="112" t="inlineStr">
        <is>
          <t>Estrutura Fase 1: sem impacto no VTA oficial</t>
        </is>
      </c>
    </row>
    <row r="1803" ht="25.5" customHeight="1" s="289">
      <c r="A1803" s="205" t="n"/>
      <c r="B1803" s="207" t="n"/>
      <c r="C1803" s="104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348" t="n"/>
      <c r="E1803" s="349">
        <f>IF(C1803="","",IFERROR(VLOOKUP(C1803,parametros!$A$11:$E$15,5,0),""))</f>
        <v/>
      </c>
      <c r="F1803" s="335">
        <f>IF(OR(D1803="",E1803=""),"",ROUND(D1803*E1803,2))</f>
        <v/>
      </c>
      <c r="G1803" s="106" t="n"/>
      <c r="H1803" s="350">
        <f>IF(G1803="Sim",IF(OR(F1803="",D1803="",L1803=""),"",IF(L1803="Sim",ROUND(F1803-D1803,2),0)),0)</f>
        <v/>
      </c>
      <c r="I1803" s="350">
        <f>IF(G1803="Sim",0,IF(OR(F1803="",L1803=""),"",F1803))</f>
        <v/>
      </c>
      <c r="J1803" s="350">
        <f>IF(G1803="Sim",0,IF(OR(F1803="",D1803="",L1803=""),"",IF(L1803="Sim",ROUND(F1803-D1803,2),0)))</f>
        <v/>
      </c>
      <c r="K1803" s="97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inlineStr">
        <is>
          <t>Nao</t>
        </is>
      </c>
      <c r="W1803" s="110" t="inlineStr">
        <is>
          <t>PC em analise</t>
        </is>
      </c>
      <c r="X1803" s="110" t="inlineStr">
        <is>
          <t>Pedido de Compra</t>
        </is>
      </c>
      <c r="Y1803" s="111" t="inlineStr">
        <is>
          <t>Impacto Potencial</t>
        </is>
      </c>
      <c r="Z1803" s="111" t="inlineStr">
        <is>
          <t>PC</t>
        </is>
      </c>
      <c r="AA1803" s="111" t="inlineStr">
        <is>
          <t>Nao</t>
        </is>
      </c>
      <c r="AB1803" s="111" t="inlineStr">
        <is>
          <t>NAO_COMPUTADO</t>
        </is>
      </c>
      <c r="AC1803" s="112" t="inlineStr">
        <is>
          <t>Estrutura Fase 1: sem impacto no VTA oficial</t>
        </is>
      </c>
    </row>
    <row r="1804" ht="25.5" customHeight="1" s="289">
      <c r="A1804" s="205" t="n"/>
      <c r="B1804" s="207" t="n"/>
      <c r="C1804" s="104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348" t="n"/>
      <c r="E1804" s="349">
        <f>IF(C1804="","",IFERROR(VLOOKUP(C1804,parametros!$A$11:$E$15,5,0),""))</f>
        <v/>
      </c>
      <c r="F1804" s="335">
        <f>IF(OR(D1804="",E1804=""),"",ROUND(D1804*E1804,2))</f>
        <v/>
      </c>
      <c r="G1804" s="106" t="n"/>
      <c r="H1804" s="350">
        <f>IF(G1804="Sim",IF(OR(F1804="",D1804="",L1804=""),"",IF(L1804="Sim",ROUND(F1804-D1804,2),0)),0)</f>
        <v/>
      </c>
      <c r="I1804" s="350">
        <f>IF(G1804="Sim",0,IF(OR(F1804="",L1804=""),"",F1804))</f>
        <v/>
      </c>
      <c r="J1804" s="350">
        <f>IF(G1804="Sim",0,IF(OR(F1804="",D1804="",L1804=""),"",IF(L1804="Sim",ROUND(F1804-D1804,2),0)))</f>
        <v/>
      </c>
      <c r="K1804" s="97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inlineStr">
        <is>
          <t>Nao</t>
        </is>
      </c>
      <c r="W1804" s="110" t="inlineStr">
        <is>
          <t>PC em analise</t>
        </is>
      </c>
      <c r="X1804" s="110" t="inlineStr">
        <is>
          <t>Pedido de Compra</t>
        </is>
      </c>
      <c r="Y1804" s="111" t="inlineStr">
        <is>
          <t>Impacto Potencial</t>
        </is>
      </c>
      <c r="Z1804" s="111" t="inlineStr">
        <is>
          <t>PC</t>
        </is>
      </c>
      <c r="AA1804" s="111" t="inlineStr">
        <is>
          <t>Nao</t>
        </is>
      </c>
      <c r="AB1804" s="111" t="inlineStr">
        <is>
          <t>NAO_COMPUTADO</t>
        </is>
      </c>
      <c r="AC1804" s="112" t="inlineStr">
        <is>
          <t>Estrutura Fase 1: sem impacto no VTA oficial</t>
        </is>
      </c>
    </row>
    <row r="1805" ht="25.5" customHeight="1" s="289">
      <c r="A1805" s="205" t="n"/>
      <c r="B1805" s="207" t="n"/>
      <c r="C1805" s="104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348" t="n"/>
      <c r="E1805" s="349">
        <f>IF(C1805="","",IFERROR(VLOOKUP(C1805,parametros!$A$11:$E$15,5,0),""))</f>
        <v/>
      </c>
      <c r="F1805" s="335">
        <f>IF(OR(D1805="",E1805=""),"",ROUND(D1805*E1805,2))</f>
        <v/>
      </c>
      <c r="G1805" s="106" t="n"/>
      <c r="H1805" s="350">
        <f>IF(G1805="Sim",IF(OR(F1805="",D1805="",L1805=""),"",IF(L1805="Sim",ROUND(F1805-D1805,2),0)),0)</f>
        <v/>
      </c>
      <c r="I1805" s="350">
        <f>IF(G1805="Sim",0,IF(OR(F1805="",L1805=""),"",F1805))</f>
        <v/>
      </c>
      <c r="J1805" s="350">
        <f>IF(G1805="Sim",0,IF(OR(F1805="",D1805="",L1805=""),"",IF(L1805="Sim",ROUND(F1805-D1805,2),0)))</f>
        <v/>
      </c>
      <c r="K1805" s="97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inlineStr">
        <is>
          <t>Nao</t>
        </is>
      </c>
      <c r="W1805" s="110" t="inlineStr">
        <is>
          <t>PC em analise</t>
        </is>
      </c>
      <c r="X1805" s="110" t="inlineStr">
        <is>
          <t>Pedido de Compra</t>
        </is>
      </c>
      <c r="Y1805" s="111" t="inlineStr">
        <is>
          <t>Impacto Potencial</t>
        </is>
      </c>
      <c r="Z1805" s="111" t="inlineStr">
        <is>
          <t>PC</t>
        </is>
      </c>
      <c r="AA1805" s="111" t="inlineStr">
        <is>
          <t>Nao</t>
        </is>
      </c>
      <c r="AB1805" s="111" t="inlineStr">
        <is>
          <t>NAO_COMPUTADO</t>
        </is>
      </c>
      <c r="AC1805" s="112" t="inlineStr">
        <is>
          <t>Estrutura Fase 1: sem impacto no VTA oficial</t>
        </is>
      </c>
    </row>
    <row r="1806" ht="25.5" customHeight="1" s="289">
      <c r="A1806" s="205" t="n"/>
      <c r="B1806" s="207" t="n"/>
      <c r="C1806" s="104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348" t="n"/>
      <c r="E1806" s="349">
        <f>IF(C1806="","",IFERROR(VLOOKUP(C1806,parametros!$A$11:$E$15,5,0),""))</f>
        <v/>
      </c>
      <c r="F1806" s="335">
        <f>IF(OR(D1806="",E1806=""),"",ROUND(D1806*E1806,2))</f>
        <v/>
      </c>
      <c r="G1806" s="106" t="n"/>
      <c r="H1806" s="350">
        <f>IF(G1806="Sim",IF(OR(F1806="",D1806="",L1806=""),"",IF(L1806="Sim",ROUND(F1806-D1806,2),0)),0)</f>
        <v/>
      </c>
      <c r="I1806" s="350">
        <f>IF(G1806="Sim",0,IF(OR(F1806="",L1806=""),"",F1806))</f>
        <v/>
      </c>
      <c r="J1806" s="350">
        <f>IF(G1806="Sim",0,IF(OR(F1806="",D1806="",L1806=""),"",IF(L1806="Sim",ROUND(F1806-D1806,2),0)))</f>
        <v/>
      </c>
      <c r="K1806" s="97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inlineStr">
        <is>
          <t>Nao</t>
        </is>
      </c>
      <c r="W1806" s="110" t="inlineStr">
        <is>
          <t>PC em analise</t>
        </is>
      </c>
      <c r="X1806" s="110" t="inlineStr">
        <is>
          <t>Pedido de Compra</t>
        </is>
      </c>
      <c r="Y1806" s="111" t="inlineStr">
        <is>
          <t>Impacto Potencial</t>
        </is>
      </c>
      <c r="Z1806" s="111" t="inlineStr">
        <is>
          <t>PC</t>
        </is>
      </c>
      <c r="AA1806" s="111" t="inlineStr">
        <is>
          <t>Nao</t>
        </is>
      </c>
      <c r="AB1806" s="111" t="inlineStr">
        <is>
          <t>NAO_COMPUTADO</t>
        </is>
      </c>
      <c r="AC1806" s="112" t="inlineStr">
        <is>
          <t>Estrutura Fase 1: sem impacto no VTA oficial</t>
        </is>
      </c>
    </row>
    <row r="1807" ht="25.5" customHeight="1" s="289">
      <c r="A1807" s="205" t="n"/>
      <c r="B1807" s="207" t="n"/>
      <c r="C1807" s="104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348" t="n"/>
      <c r="E1807" s="349">
        <f>IF(C1807="","",IFERROR(VLOOKUP(C1807,parametros!$A$11:$E$15,5,0),""))</f>
        <v/>
      </c>
      <c r="F1807" s="335">
        <f>IF(OR(D1807="",E1807=""),"",ROUND(D1807*E1807,2))</f>
        <v/>
      </c>
      <c r="G1807" s="106" t="n"/>
      <c r="H1807" s="350">
        <f>IF(G1807="Sim",IF(OR(F1807="",D1807="",L1807=""),"",IF(L1807="Sim",ROUND(F1807-D1807,2),0)),0)</f>
        <v/>
      </c>
      <c r="I1807" s="350">
        <f>IF(G1807="Sim",0,IF(OR(F1807="",L1807=""),"",F1807))</f>
        <v/>
      </c>
      <c r="J1807" s="350">
        <f>IF(G1807="Sim",0,IF(OR(F1807="",D1807="",L1807=""),"",IF(L1807="Sim",ROUND(F1807-D1807,2),0)))</f>
        <v/>
      </c>
      <c r="K1807" s="97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inlineStr">
        <is>
          <t>Nao</t>
        </is>
      </c>
      <c r="W1807" s="110" t="inlineStr">
        <is>
          <t>PC em analise</t>
        </is>
      </c>
      <c r="X1807" s="110" t="inlineStr">
        <is>
          <t>Pedido de Compra</t>
        </is>
      </c>
      <c r="Y1807" s="111" t="inlineStr">
        <is>
          <t>Impacto Potencial</t>
        </is>
      </c>
      <c r="Z1807" s="111" t="inlineStr">
        <is>
          <t>PC</t>
        </is>
      </c>
      <c r="AA1807" s="111" t="inlineStr">
        <is>
          <t>Nao</t>
        </is>
      </c>
      <c r="AB1807" s="111" t="inlineStr">
        <is>
          <t>NAO_COMPUTADO</t>
        </is>
      </c>
      <c r="AC1807" s="112" t="inlineStr">
        <is>
          <t>Estrutura Fase 1: sem impacto no VTA oficial</t>
        </is>
      </c>
    </row>
    <row r="1808" ht="25.5" customHeight="1" s="289">
      <c r="A1808" s="205" t="n"/>
      <c r="B1808" s="207" t="n"/>
      <c r="C1808" s="104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348" t="n"/>
      <c r="E1808" s="349">
        <f>IF(C1808="","",IFERROR(VLOOKUP(C1808,parametros!$A$11:$E$15,5,0),""))</f>
        <v/>
      </c>
      <c r="F1808" s="335">
        <f>IF(OR(D1808="",E1808=""),"",ROUND(D1808*E1808,2))</f>
        <v/>
      </c>
      <c r="G1808" s="106" t="n"/>
      <c r="H1808" s="350">
        <f>IF(G1808="Sim",IF(OR(F1808="",D1808="",L1808=""),"",IF(L1808="Sim",ROUND(F1808-D1808,2),0)),0)</f>
        <v/>
      </c>
      <c r="I1808" s="350">
        <f>IF(G1808="Sim",0,IF(OR(F1808="",L1808=""),"",F1808))</f>
        <v/>
      </c>
      <c r="J1808" s="350">
        <f>IF(G1808="Sim",0,IF(OR(F1808="",D1808="",L1808=""),"",IF(L1808="Sim",ROUND(F1808-D1808,2),0)))</f>
        <v/>
      </c>
      <c r="K1808" s="97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inlineStr">
        <is>
          <t>Nao</t>
        </is>
      </c>
      <c r="W1808" s="110" t="inlineStr">
        <is>
          <t>PC em analise</t>
        </is>
      </c>
      <c r="X1808" s="110" t="inlineStr">
        <is>
          <t>Pedido de Compra</t>
        </is>
      </c>
      <c r="Y1808" s="111" t="inlineStr">
        <is>
          <t>Impacto Potencial</t>
        </is>
      </c>
      <c r="Z1808" s="111" t="inlineStr">
        <is>
          <t>PC</t>
        </is>
      </c>
      <c r="AA1808" s="111" t="inlineStr">
        <is>
          <t>Nao</t>
        </is>
      </c>
      <c r="AB1808" s="111" t="inlineStr">
        <is>
          <t>NAO_COMPUTADO</t>
        </is>
      </c>
      <c r="AC1808" s="112" t="inlineStr">
        <is>
          <t>Estrutura Fase 1: sem impacto no VTA oficial</t>
        </is>
      </c>
    </row>
    <row r="1809" ht="25.5" customHeight="1" s="289">
      <c r="A1809" s="205" t="n"/>
      <c r="B1809" s="207" t="n"/>
      <c r="C1809" s="104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348" t="n"/>
      <c r="E1809" s="349">
        <f>IF(C1809="","",IFERROR(VLOOKUP(C1809,parametros!$A$11:$E$15,5,0),""))</f>
        <v/>
      </c>
      <c r="F1809" s="335">
        <f>IF(OR(D1809="",E1809=""),"",ROUND(D1809*E1809,2))</f>
        <v/>
      </c>
      <c r="G1809" s="106" t="n"/>
      <c r="H1809" s="350">
        <f>IF(G1809="Sim",IF(OR(F1809="",D1809="",L1809=""),"",IF(L1809="Sim",ROUND(F1809-D1809,2),0)),0)</f>
        <v/>
      </c>
      <c r="I1809" s="350">
        <f>IF(G1809="Sim",0,IF(OR(F1809="",L1809=""),"",F1809))</f>
        <v/>
      </c>
      <c r="J1809" s="350">
        <f>IF(G1809="Sim",0,IF(OR(F1809="",D1809="",L1809=""),"",IF(L1809="Sim",ROUND(F1809-D1809,2),0)))</f>
        <v/>
      </c>
      <c r="K1809" s="97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inlineStr">
        <is>
          <t>Nao</t>
        </is>
      </c>
      <c r="W1809" s="110" t="inlineStr">
        <is>
          <t>PC em analise</t>
        </is>
      </c>
      <c r="X1809" s="110" t="inlineStr">
        <is>
          <t>Pedido de Compra</t>
        </is>
      </c>
      <c r="Y1809" s="111" t="inlineStr">
        <is>
          <t>Impacto Potencial</t>
        </is>
      </c>
      <c r="Z1809" s="111" t="inlineStr">
        <is>
          <t>PC</t>
        </is>
      </c>
      <c r="AA1809" s="111" t="inlineStr">
        <is>
          <t>Nao</t>
        </is>
      </c>
      <c r="AB1809" s="111" t="inlineStr">
        <is>
          <t>NAO_COMPUTADO</t>
        </is>
      </c>
      <c r="AC1809" s="112" t="inlineStr">
        <is>
          <t>Estrutura Fase 1: sem impacto no VTA oficial</t>
        </is>
      </c>
    </row>
    <row r="1810" ht="25.5" customHeight="1" s="289">
      <c r="A1810" s="205" t="n"/>
      <c r="B1810" s="207" t="n"/>
      <c r="C1810" s="104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348" t="n"/>
      <c r="E1810" s="349">
        <f>IF(C1810="","",IFERROR(VLOOKUP(C1810,parametros!$A$11:$E$15,5,0),""))</f>
        <v/>
      </c>
      <c r="F1810" s="335">
        <f>IF(OR(D1810="",E1810=""),"",ROUND(D1810*E1810,2))</f>
        <v/>
      </c>
      <c r="G1810" s="106" t="n"/>
      <c r="H1810" s="350">
        <f>IF(G1810="Sim",IF(OR(F1810="",D1810="",L1810=""),"",IF(L1810="Sim",ROUND(F1810-D1810,2),0)),0)</f>
        <v/>
      </c>
      <c r="I1810" s="350">
        <f>IF(G1810="Sim",0,IF(OR(F1810="",L1810=""),"",F1810))</f>
        <v/>
      </c>
      <c r="J1810" s="350">
        <f>IF(G1810="Sim",0,IF(OR(F1810="",D1810="",L1810=""),"",IF(L1810="Sim",ROUND(F1810-D1810,2),0)))</f>
        <v/>
      </c>
      <c r="K1810" s="97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inlineStr">
        <is>
          <t>Nao</t>
        </is>
      </c>
      <c r="W1810" s="110" t="inlineStr">
        <is>
          <t>PC em analise</t>
        </is>
      </c>
      <c r="X1810" s="110" t="inlineStr">
        <is>
          <t>Pedido de Compra</t>
        </is>
      </c>
      <c r="Y1810" s="111" t="inlineStr">
        <is>
          <t>Impacto Potencial</t>
        </is>
      </c>
      <c r="Z1810" s="111" t="inlineStr">
        <is>
          <t>PC</t>
        </is>
      </c>
      <c r="AA1810" s="111" t="inlineStr">
        <is>
          <t>Nao</t>
        </is>
      </c>
      <c r="AB1810" s="111" t="inlineStr">
        <is>
          <t>NAO_COMPUTADO</t>
        </is>
      </c>
      <c r="AC1810" s="112" t="inlineStr">
        <is>
          <t>Estrutura Fase 1: sem impacto no VTA oficial</t>
        </is>
      </c>
    </row>
    <row r="1811" ht="25.5" customHeight="1" s="289">
      <c r="A1811" s="205" t="n"/>
      <c r="B1811" s="207" t="n"/>
      <c r="C1811" s="104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348" t="n"/>
      <c r="E1811" s="349">
        <f>IF(C1811="","",IFERROR(VLOOKUP(C1811,parametros!$A$11:$E$15,5,0),""))</f>
        <v/>
      </c>
      <c r="F1811" s="335">
        <f>IF(OR(D1811="",E1811=""),"",ROUND(D1811*E1811,2))</f>
        <v/>
      </c>
      <c r="G1811" s="106" t="n"/>
      <c r="H1811" s="350">
        <f>IF(G1811="Sim",IF(OR(F1811="",D1811="",L1811=""),"",IF(L1811="Sim",ROUND(F1811-D1811,2),0)),0)</f>
        <v/>
      </c>
      <c r="I1811" s="350">
        <f>IF(G1811="Sim",0,IF(OR(F1811="",L1811=""),"",F1811))</f>
        <v/>
      </c>
      <c r="J1811" s="350">
        <f>IF(G1811="Sim",0,IF(OR(F1811="",D1811="",L1811=""),"",IF(L1811="Sim",ROUND(F1811-D1811,2),0)))</f>
        <v/>
      </c>
      <c r="K1811" s="97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inlineStr">
        <is>
          <t>Nao</t>
        </is>
      </c>
      <c r="W1811" s="110" t="inlineStr">
        <is>
          <t>PC em analise</t>
        </is>
      </c>
      <c r="X1811" s="110" t="inlineStr">
        <is>
          <t>Pedido de Compra</t>
        </is>
      </c>
      <c r="Y1811" s="111" t="inlineStr">
        <is>
          <t>Impacto Potencial</t>
        </is>
      </c>
      <c r="Z1811" s="111" t="inlineStr">
        <is>
          <t>PC</t>
        </is>
      </c>
      <c r="AA1811" s="111" t="inlineStr">
        <is>
          <t>Nao</t>
        </is>
      </c>
      <c r="AB1811" s="111" t="inlineStr">
        <is>
          <t>NAO_COMPUTADO</t>
        </is>
      </c>
      <c r="AC1811" s="112" t="inlineStr">
        <is>
          <t>Estrutura Fase 1: sem impacto no VTA oficial</t>
        </is>
      </c>
    </row>
    <row r="1812" ht="25.5" customHeight="1" s="289">
      <c r="A1812" s="205" t="n"/>
      <c r="B1812" s="207" t="n"/>
      <c r="C1812" s="104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348" t="n"/>
      <c r="E1812" s="349">
        <f>IF(C1812="","",IFERROR(VLOOKUP(C1812,parametros!$A$11:$E$15,5,0),""))</f>
        <v/>
      </c>
      <c r="F1812" s="335">
        <f>IF(OR(D1812="",E1812=""),"",ROUND(D1812*E1812,2))</f>
        <v/>
      </c>
      <c r="G1812" s="106" t="n"/>
      <c r="H1812" s="350">
        <f>IF(G1812="Sim",IF(OR(F1812="",D1812="",L1812=""),"",IF(L1812="Sim",ROUND(F1812-D1812,2),0)),0)</f>
        <v/>
      </c>
      <c r="I1812" s="350">
        <f>IF(G1812="Sim",0,IF(OR(F1812="",L1812=""),"",F1812))</f>
        <v/>
      </c>
      <c r="J1812" s="350">
        <f>IF(G1812="Sim",0,IF(OR(F1812="",D1812="",L1812=""),"",IF(L1812="Sim",ROUND(F1812-D1812,2),0)))</f>
        <v/>
      </c>
      <c r="K1812" s="97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inlineStr">
        <is>
          <t>Nao</t>
        </is>
      </c>
      <c r="W1812" s="110" t="inlineStr">
        <is>
          <t>PC em analise</t>
        </is>
      </c>
      <c r="X1812" s="110" t="inlineStr">
        <is>
          <t>Pedido de Compra</t>
        </is>
      </c>
      <c r="Y1812" s="111" t="inlineStr">
        <is>
          <t>Impacto Potencial</t>
        </is>
      </c>
      <c r="Z1812" s="111" t="inlineStr">
        <is>
          <t>PC</t>
        </is>
      </c>
      <c r="AA1812" s="111" t="inlineStr">
        <is>
          <t>Nao</t>
        </is>
      </c>
      <c r="AB1812" s="111" t="inlineStr">
        <is>
          <t>NAO_COMPUTADO</t>
        </is>
      </c>
      <c r="AC1812" s="112" t="inlineStr">
        <is>
          <t>Estrutura Fase 1: sem impacto no VTA oficial</t>
        </is>
      </c>
    </row>
    <row r="1813" ht="25.5" customHeight="1" s="289">
      <c r="A1813" s="205" t="n"/>
      <c r="B1813" s="207" t="n"/>
      <c r="C1813" s="104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348" t="n"/>
      <c r="E1813" s="349">
        <f>IF(C1813="","",IFERROR(VLOOKUP(C1813,parametros!$A$11:$E$15,5,0),""))</f>
        <v/>
      </c>
      <c r="F1813" s="335">
        <f>IF(OR(D1813="",E1813=""),"",ROUND(D1813*E1813,2))</f>
        <v/>
      </c>
      <c r="G1813" s="106" t="n"/>
      <c r="H1813" s="350">
        <f>IF(G1813="Sim",IF(OR(F1813="",D1813="",L1813=""),"",IF(L1813="Sim",ROUND(F1813-D1813,2),0)),0)</f>
        <v/>
      </c>
      <c r="I1813" s="350">
        <f>IF(G1813="Sim",0,IF(OR(F1813="",L1813=""),"",F1813))</f>
        <v/>
      </c>
      <c r="J1813" s="350">
        <f>IF(G1813="Sim",0,IF(OR(F1813="",D1813="",L1813=""),"",IF(L1813="Sim",ROUND(F1813-D1813,2),0)))</f>
        <v/>
      </c>
      <c r="K1813" s="97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inlineStr">
        <is>
          <t>Nao</t>
        </is>
      </c>
      <c r="W1813" s="110" t="inlineStr">
        <is>
          <t>PC em analise</t>
        </is>
      </c>
      <c r="X1813" s="110" t="inlineStr">
        <is>
          <t>Pedido de Compra</t>
        </is>
      </c>
      <c r="Y1813" s="111" t="inlineStr">
        <is>
          <t>Impacto Potencial</t>
        </is>
      </c>
      <c r="Z1813" s="111" t="inlineStr">
        <is>
          <t>PC</t>
        </is>
      </c>
      <c r="AA1813" s="111" t="inlineStr">
        <is>
          <t>Nao</t>
        </is>
      </c>
      <c r="AB1813" s="111" t="inlineStr">
        <is>
          <t>NAO_COMPUTADO</t>
        </is>
      </c>
      <c r="AC1813" s="112" t="inlineStr">
        <is>
          <t>Estrutura Fase 1: sem impacto no VTA oficial</t>
        </is>
      </c>
    </row>
    <row r="1814" ht="25.5" customHeight="1" s="289">
      <c r="A1814" s="205" t="n"/>
      <c r="B1814" s="207" t="n"/>
      <c r="C1814" s="104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348" t="n"/>
      <c r="E1814" s="349">
        <f>IF(C1814="","",IFERROR(VLOOKUP(C1814,parametros!$A$11:$E$15,5,0),""))</f>
        <v/>
      </c>
      <c r="F1814" s="335">
        <f>IF(OR(D1814="",E1814=""),"",ROUND(D1814*E1814,2))</f>
        <v/>
      </c>
      <c r="G1814" s="106" t="n"/>
      <c r="H1814" s="350">
        <f>IF(G1814="Sim",IF(OR(F1814="",D1814="",L1814=""),"",IF(L1814="Sim",ROUND(F1814-D1814,2),0)),0)</f>
        <v/>
      </c>
      <c r="I1814" s="350">
        <f>IF(G1814="Sim",0,IF(OR(F1814="",L1814=""),"",F1814))</f>
        <v/>
      </c>
      <c r="J1814" s="350">
        <f>IF(G1814="Sim",0,IF(OR(F1814="",D1814="",L1814=""),"",IF(L1814="Sim",ROUND(F1814-D1814,2),0)))</f>
        <v/>
      </c>
      <c r="K1814" s="97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inlineStr">
        <is>
          <t>Nao</t>
        </is>
      </c>
      <c r="W1814" s="110" t="inlineStr">
        <is>
          <t>PC em analise</t>
        </is>
      </c>
      <c r="X1814" s="110" t="inlineStr">
        <is>
          <t>Pedido de Compra</t>
        </is>
      </c>
      <c r="Y1814" s="111" t="inlineStr">
        <is>
          <t>Impacto Potencial</t>
        </is>
      </c>
      <c r="Z1814" s="111" t="inlineStr">
        <is>
          <t>PC</t>
        </is>
      </c>
      <c r="AA1814" s="111" t="inlineStr">
        <is>
          <t>Nao</t>
        </is>
      </c>
      <c r="AB1814" s="111" t="inlineStr">
        <is>
          <t>NAO_COMPUTADO</t>
        </is>
      </c>
      <c r="AC1814" s="112" t="inlineStr">
        <is>
          <t>Estrutura Fase 1: sem impacto no VTA oficial</t>
        </is>
      </c>
    </row>
    <row r="1815" ht="25.5" customHeight="1" s="289">
      <c r="A1815" s="205" t="n"/>
      <c r="B1815" s="207" t="n"/>
      <c r="C1815" s="104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348" t="n"/>
      <c r="E1815" s="349">
        <f>IF(C1815="","",IFERROR(VLOOKUP(C1815,parametros!$A$11:$E$15,5,0),""))</f>
        <v/>
      </c>
      <c r="F1815" s="335">
        <f>IF(OR(D1815="",E1815=""),"",ROUND(D1815*E1815,2))</f>
        <v/>
      </c>
      <c r="G1815" s="106" t="n"/>
      <c r="H1815" s="350">
        <f>IF(G1815="Sim",IF(OR(F1815="",D1815="",L1815=""),"",IF(L1815="Sim",ROUND(F1815-D1815,2),0)),0)</f>
        <v/>
      </c>
      <c r="I1815" s="350">
        <f>IF(G1815="Sim",0,IF(OR(F1815="",L1815=""),"",F1815))</f>
        <v/>
      </c>
      <c r="J1815" s="350">
        <f>IF(G1815="Sim",0,IF(OR(F1815="",D1815="",L1815=""),"",IF(L1815="Sim",ROUND(F1815-D1815,2),0)))</f>
        <v/>
      </c>
      <c r="K1815" s="97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inlineStr">
        <is>
          <t>Nao</t>
        </is>
      </c>
      <c r="W1815" s="110" t="inlineStr">
        <is>
          <t>PC em analise</t>
        </is>
      </c>
      <c r="X1815" s="110" t="inlineStr">
        <is>
          <t>Pedido de Compra</t>
        </is>
      </c>
      <c r="Y1815" s="111" t="inlineStr">
        <is>
          <t>Impacto Potencial</t>
        </is>
      </c>
      <c r="Z1815" s="111" t="inlineStr">
        <is>
          <t>PC</t>
        </is>
      </c>
      <c r="AA1815" s="111" t="inlineStr">
        <is>
          <t>Nao</t>
        </is>
      </c>
      <c r="AB1815" s="111" t="inlineStr">
        <is>
          <t>NAO_COMPUTADO</t>
        </is>
      </c>
      <c r="AC1815" s="112" t="inlineStr">
        <is>
          <t>Estrutura Fase 1: sem impacto no VTA oficial</t>
        </is>
      </c>
    </row>
    <row r="1816" ht="25.5" customHeight="1" s="289">
      <c r="A1816" s="205" t="n"/>
      <c r="B1816" s="207" t="n"/>
      <c r="C1816" s="104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348" t="n"/>
      <c r="E1816" s="349">
        <f>IF(C1816="","",IFERROR(VLOOKUP(C1816,parametros!$A$11:$E$15,5,0),""))</f>
        <v/>
      </c>
      <c r="F1816" s="335">
        <f>IF(OR(D1816="",E1816=""),"",ROUND(D1816*E1816,2))</f>
        <v/>
      </c>
      <c r="G1816" s="106" t="n"/>
      <c r="H1816" s="350">
        <f>IF(G1816="Sim",IF(OR(F1816="",D1816="",L1816=""),"",IF(L1816="Sim",ROUND(F1816-D1816,2),0)),0)</f>
        <v/>
      </c>
      <c r="I1816" s="350">
        <f>IF(G1816="Sim",0,IF(OR(F1816="",L1816=""),"",F1816))</f>
        <v/>
      </c>
      <c r="J1816" s="350">
        <f>IF(G1816="Sim",0,IF(OR(F1816="",D1816="",L1816=""),"",IF(L1816="Sim",ROUND(F1816-D1816,2),0)))</f>
        <v/>
      </c>
      <c r="K1816" s="97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inlineStr">
        <is>
          <t>Nao</t>
        </is>
      </c>
      <c r="W1816" s="110" t="inlineStr">
        <is>
          <t>PC em analise</t>
        </is>
      </c>
      <c r="X1816" s="110" t="inlineStr">
        <is>
          <t>Pedido de Compra</t>
        </is>
      </c>
      <c r="Y1816" s="111" t="inlineStr">
        <is>
          <t>Impacto Potencial</t>
        </is>
      </c>
      <c r="Z1816" s="111" t="inlineStr">
        <is>
          <t>PC</t>
        </is>
      </c>
      <c r="AA1816" s="111" t="inlineStr">
        <is>
          <t>Nao</t>
        </is>
      </c>
      <c r="AB1816" s="111" t="inlineStr">
        <is>
          <t>NAO_COMPUTADO</t>
        </is>
      </c>
      <c r="AC1816" s="112" t="inlineStr">
        <is>
          <t>Estrutura Fase 1: sem impacto no VTA oficial</t>
        </is>
      </c>
    </row>
    <row r="1817" ht="25.5" customHeight="1" s="289">
      <c r="A1817" s="205" t="n"/>
      <c r="B1817" s="207" t="n"/>
      <c r="C1817" s="104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348" t="n"/>
      <c r="E1817" s="349">
        <f>IF(C1817="","",IFERROR(VLOOKUP(C1817,parametros!$A$11:$E$15,5,0),""))</f>
        <v/>
      </c>
      <c r="F1817" s="335">
        <f>IF(OR(D1817="",E1817=""),"",ROUND(D1817*E1817,2))</f>
        <v/>
      </c>
      <c r="G1817" s="106" t="n"/>
      <c r="H1817" s="350">
        <f>IF(G1817="Sim",IF(OR(F1817="",D1817="",L1817=""),"",IF(L1817="Sim",ROUND(F1817-D1817,2),0)),0)</f>
        <v/>
      </c>
      <c r="I1817" s="350">
        <f>IF(G1817="Sim",0,IF(OR(F1817="",L1817=""),"",F1817))</f>
        <v/>
      </c>
      <c r="J1817" s="350">
        <f>IF(G1817="Sim",0,IF(OR(F1817="",D1817="",L1817=""),"",IF(L1817="Sim",ROUND(F1817-D1817,2),0)))</f>
        <v/>
      </c>
      <c r="K1817" s="97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inlineStr">
        <is>
          <t>Nao</t>
        </is>
      </c>
      <c r="W1817" s="110" t="inlineStr">
        <is>
          <t>PC em analise</t>
        </is>
      </c>
      <c r="X1817" s="110" t="inlineStr">
        <is>
          <t>Pedido de Compra</t>
        </is>
      </c>
      <c r="Y1817" s="111" t="inlineStr">
        <is>
          <t>Impacto Potencial</t>
        </is>
      </c>
      <c r="Z1817" s="111" t="inlineStr">
        <is>
          <t>PC</t>
        </is>
      </c>
      <c r="AA1817" s="111" t="inlineStr">
        <is>
          <t>Nao</t>
        </is>
      </c>
      <c r="AB1817" s="111" t="inlineStr">
        <is>
          <t>NAO_COMPUTADO</t>
        </is>
      </c>
      <c r="AC1817" s="112" t="inlineStr">
        <is>
          <t>Estrutura Fase 1: sem impacto no VTA oficial</t>
        </is>
      </c>
    </row>
    <row r="1818" ht="25.5" customHeight="1" s="289">
      <c r="A1818" s="205" t="n"/>
      <c r="B1818" s="207" t="n"/>
      <c r="C1818" s="104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348" t="n"/>
      <c r="E1818" s="349">
        <f>IF(C1818="","",IFERROR(VLOOKUP(C1818,parametros!$A$11:$E$15,5,0),""))</f>
        <v/>
      </c>
      <c r="F1818" s="335">
        <f>IF(OR(D1818="",E1818=""),"",ROUND(D1818*E1818,2))</f>
        <v/>
      </c>
      <c r="G1818" s="106" t="n"/>
      <c r="H1818" s="350">
        <f>IF(G1818="Sim",IF(OR(F1818="",D1818="",L1818=""),"",IF(L1818="Sim",ROUND(F1818-D1818,2),0)),0)</f>
        <v/>
      </c>
      <c r="I1818" s="350">
        <f>IF(G1818="Sim",0,IF(OR(F1818="",L1818=""),"",F1818))</f>
        <v/>
      </c>
      <c r="J1818" s="350">
        <f>IF(G1818="Sim",0,IF(OR(F1818="",D1818="",L1818=""),"",IF(L1818="Sim",ROUND(F1818-D1818,2),0)))</f>
        <v/>
      </c>
      <c r="K1818" s="97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inlineStr">
        <is>
          <t>Nao</t>
        </is>
      </c>
      <c r="W1818" s="110" t="inlineStr">
        <is>
          <t>PC em analise</t>
        </is>
      </c>
      <c r="X1818" s="110" t="inlineStr">
        <is>
          <t>Pedido de Compra</t>
        </is>
      </c>
      <c r="Y1818" s="111" t="inlineStr">
        <is>
          <t>Impacto Potencial</t>
        </is>
      </c>
      <c r="Z1818" s="111" t="inlineStr">
        <is>
          <t>PC</t>
        </is>
      </c>
      <c r="AA1818" s="111" t="inlineStr">
        <is>
          <t>Nao</t>
        </is>
      </c>
      <c r="AB1818" s="111" t="inlineStr">
        <is>
          <t>NAO_COMPUTADO</t>
        </is>
      </c>
      <c r="AC1818" s="112" t="inlineStr">
        <is>
          <t>Estrutura Fase 1: sem impacto no VTA oficial</t>
        </is>
      </c>
    </row>
    <row r="1819" ht="25.5" customHeight="1" s="289">
      <c r="A1819" s="205" t="n"/>
      <c r="B1819" s="207" t="n"/>
      <c r="C1819" s="104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348" t="n"/>
      <c r="E1819" s="349">
        <f>IF(C1819="","",IFERROR(VLOOKUP(C1819,parametros!$A$11:$E$15,5,0),""))</f>
        <v/>
      </c>
      <c r="F1819" s="335">
        <f>IF(OR(D1819="",E1819=""),"",ROUND(D1819*E1819,2))</f>
        <v/>
      </c>
      <c r="G1819" s="106" t="n"/>
      <c r="H1819" s="350">
        <f>IF(G1819="Sim",IF(OR(F1819="",D1819="",L1819=""),"",IF(L1819="Sim",ROUND(F1819-D1819,2),0)),0)</f>
        <v/>
      </c>
      <c r="I1819" s="350">
        <f>IF(G1819="Sim",0,IF(OR(F1819="",L1819=""),"",F1819))</f>
        <v/>
      </c>
      <c r="J1819" s="350">
        <f>IF(G1819="Sim",0,IF(OR(F1819="",D1819="",L1819=""),"",IF(L1819="Sim",ROUND(F1819-D1819,2),0)))</f>
        <v/>
      </c>
      <c r="K1819" s="97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inlineStr">
        <is>
          <t>Nao</t>
        </is>
      </c>
      <c r="W1819" s="110" t="inlineStr">
        <is>
          <t>PC em analise</t>
        </is>
      </c>
      <c r="X1819" s="110" t="inlineStr">
        <is>
          <t>Pedido de Compra</t>
        </is>
      </c>
      <c r="Y1819" s="111" t="inlineStr">
        <is>
          <t>Impacto Potencial</t>
        </is>
      </c>
      <c r="Z1819" s="111" t="inlineStr">
        <is>
          <t>PC</t>
        </is>
      </c>
      <c r="AA1819" s="111" t="inlineStr">
        <is>
          <t>Nao</t>
        </is>
      </c>
      <c r="AB1819" s="111" t="inlineStr">
        <is>
          <t>NAO_COMPUTADO</t>
        </is>
      </c>
      <c r="AC1819" s="112" t="inlineStr">
        <is>
          <t>Estrutura Fase 1: sem impacto no VTA oficial</t>
        </is>
      </c>
    </row>
    <row r="1820" ht="25.5" customHeight="1" s="289">
      <c r="A1820" s="205" t="n"/>
      <c r="B1820" s="207" t="n"/>
      <c r="C1820" s="104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348" t="n"/>
      <c r="E1820" s="349">
        <f>IF(C1820="","",IFERROR(VLOOKUP(C1820,parametros!$A$11:$E$15,5,0),""))</f>
        <v/>
      </c>
      <c r="F1820" s="335">
        <f>IF(OR(D1820="",E1820=""),"",ROUND(D1820*E1820,2))</f>
        <v/>
      </c>
      <c r="G1820" s="106" t="n"/>
      <c r="H1820" s="350">
        <f>IF(G1820="Sim",IF(OR(F1820="",D1820="",L1820=""),"",IF(L1820="Sim",ROUND(F1820-D1820,2),0)),0)</f>
        <v/>
      </c>
      <c r="I1820" s="350">
        <f>IF(G1820="Sim",0,IF(OR(F1820="",L1820=""),"",F1820))</f>
        <v/>
      </c>
      <c r="J1820" s="350">
        <f>IF(G1820="Sim",0,IF(OR(F1820="",D1820="",L1820=""),"",IF(L1820="Sim",ROUND(F1820-D1820,2),0)))</f>
        <v/>
      </c>
      <c r="K1820" s="97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inlineStr">
        <is>
          <t>Nao</t>
        </is>
      </c>
      <c r="W1820" s="110" t="inlineStr">
        <is>
          <t>PC em analise</t>
        </is>
      </c>
      <c r="X1820" s="110" t="inlineStr">
        <is>
          <t>Pedido de Compra</t>
        </is>
      </c>
      <c r="Y1820" s="111" t="inlineStr">
        <is>
          <t>Impacto Potencial</t>
        </is>
      </c>
      <c r="Z1820" s="111" t="inlineStr">
        <is>
          <t>PC</t>
        </is>
      </c>
      <c r="AA1820" s="111" t="inlineStr">
        <is>
          <t>Nao</t>
        </is>
      </c>
      <c r="AB1820" s="111" t="inlineStr">
        <is>
          <t>NAO_COMPUTADO</t>
        </is>
      </c>
      <c r="AC1820" s="112" t="inlineStr">
        <is>
          <t>Estrutura Fase 1: sem impacto no VTA oficial</t>
        </is>
      </c>
    </row>
    <row r="1821" ht="25.5" customHeight="1" s="289">
      <c r="A1821" s="205" t="n"/>
      <c r="B1821" s="207" t="n"/>
      <c r="C1821" s="104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348" t="n"/>
      <c r="E1821" s="349">
        <f>IF(C1821="","",IFERROR(VLOOKUP(C1821,parametros!$A$11:$E$15,5,0),""))</f>
        <v/>
      </c>
      <c r="F1821" s="335">
        <f>IF(OR(D1821="",E1821=""),"",ROUND(D1821*E1821,2))</f>
        <v/>
      </c>
      <c r="G1821" s="106" t="n"/>
      <c r="H1821" s="350">
        <f>IF(G1821="Sim",IF(OR(F1821="",D1821="",L1821=""),"",IF(L1821="Sim",ROUND(F1821-D1821,2),0)),0)</f>
        <v/>
      </c>
      <c r="I1821" s="350">
        <f>IF(G1821="Sim",0,IF(OR(F1821="",L1821=""),"",F1821))</f>
        <v/>
      </c>
      <c r="J1821" s="350">
        <f>IF(G1821="Sim",0,IF(OR(F1821="",D1821="",L1821=""),"",IF(L1821="Sim",ROUND(F1821-D1821,2),0)))</f>
        <v/>
      </c>
      <c r="K1821" s="97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inlineStr">
        <is>
          <t>Nao</t>
        </is>
      </c>
      <c r="W1821" s="110" t="inlineStr">
        <is>
          <t>PC em analise</t>
        </is>
      </c>
      <c r="X1821" s="110" t="inlineStr">
        <is>
          <t>Pedido de Compra</t>
        </is>
      </c>
      <c r="Y1821" s="111" t="inlineStr">
        <is>
          <t>Impacto Potencial</t>
        </is>
      </c>
      <c r="Z1821" s="111" t="inlineStr">
        <is>
          <t>PC</t>
        </is>
      </c>
      <c r="AA1821" s="111" t="inlineStr">
        <is>
          <t>Nao</t>
        </is>
      </c>
      <c r="AB1821" s="111" t="inlineStr">
        <is>
          <t>NAO_COMPUTADO</t>
        </is>
      </c>
      <c r="AC1821" s="112" t="inlineStr">
        <is>
          <t>Estrutura Fase 1: sem impacto no VTA oficial</t>
        </is>
      </c>
    </row>
    <row r="1822" ht="25.5" customHeight="1" s="289">
      <c r="A1822" s="205" t="n"/>
      <c r="B1822" s="207" t="n"/>
      <c r="C1822" s="104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348" t="n"/>
      <c r="E1822" s="349">
        <f>IF(C1822="","",IFERROR(VLOOKUP(C1822,parametros!$A$11:$E$15,5,0),""))</f>
        <v/>
      </c>
      <c r="F1822" s="335">
        <f>IF(OR(D1822="",E1822=""),"",ROUND(D1822*E1822,2))</f>
        <v/>
      </c>
      <c r="G1822" s="106" t="n"/>
      <c r="H1822" s="350">
        <f>IF(G1822="Sim",IF(OR(F1822="",D1822="",L1822=""),"",IF(L1822="Sim",ROUND(F1822-D1822,2),0)),0)</f>
        <v/>
      </c>
      <c r="I1822" s="350">
        <f>IF(G1822="Sim",0,IF(OR(F1822="",L1822=""),"",F1822))</f>
        <v/>
      </c>
      <c r="J1822" s="350">
        <f>IF(G1822="Sim",0,IF(OR(F1822="",D1822="",L1822=""),"",IF(L1822="Sim",ROUND(F1822-D1822,2),0)))</f>
        <v/>
      </c>
      <c r="K1822" s="97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inlineStr">
        <is>
          <t>Nao</t>
        </is>
      </c>
      <c r="W1822" s="110" t="inlineStr">
        <is>
          <t>PC em analise</t>
        </is>
      </c>
      <c r="X1822" s="110" t="inlineStr">
        <is>
          <t>Pedido de Compra</t>
        </is>
      </c>
      <c r="Y1822" s="111" t="inlineStr">
        <is>
          <t>Impacto Potencial</t>
        </is>
      </c>
      <c r="Z1822" s="111" t="inlineStr">
        <is>
          <t>PC</t>
        </is>
      </c>
      <c r="AA1822" s="111" t="inlineStr">
        <is>
          <t>Nao</t>
        </is>
      </c>
      <c r="AB1822" s="111" t="inlineStr">
        <is>
          <t>NAO_COMPUTADO</t>
        </is>
      </c>
      <c r="AC1822" s="112" t="inlineStr">
        <is>
          <t>Estrutura Fase 1: sem impacto no VTA oficial</t>
        </is>
      </c>
    </row>
    <row r="1823" ht="25.5" customHeight="1" s="289">
      <c r="A1823" s="205" t="n"/>
      <c r="B1823" s="207" t="n"/>
      <c r="C1823" s="104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348" t="n"/>
      <c r="E1823" s="349">
        <f>IF(C1823="","",IFERROR(VLOOKUP(C1823,parametros!$A$11:$E$15,5,0),""))</f>
        <v/>
      </c>
      <c r="F1823" s="335">
        <f>IF(OR(D1823="",E1823=""),"",ROUND(D1823*E1823,2))</f>
        <v/>
      </c>
      <c r="G1823" s="106" t="n"/>
      <c r="H1823" s="350">
        <f>IF(G1823="Sim",IF(OR(F1823="",D1823="",L1823=""),"",IF(L1823="Sim",ROUND(F1823-D1823,2),0)),0)</f>
        <v/>
      </c>
      <c r="I1823" s="350">
        <f>IF(G1823="Sim",0,IF(OR(F1823="",L1823=""),"",F1823))</f>
        <v/>
      </c>
      <c r="J1823" s="350">
        <f>IF(G1823="Sim",0,IF(OR(F1823="",D1823="",L1823=""),"",IF(L1823="Sim",ROUND(F1823-D1823,2),0)))</f>
        <v/>
      </c>
      <c r="K1823" s="97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inlineStr">
        <is>
          <t>Nao</t>
        </is>
      </c>
      <c r="W1823" s="110" t="inlineStr">
        <is>
          <t>PC em analise</t>
        </is>
      </c>
      <c r="X1823" s="110" t="inlineStr">
        <is>
          <t>Pedido de Compra</t>
        </is>
      </c>
      <c r="Y1823" s="111" t="inlineStr">
        <is>
          <t>Impacto Potencial</t>
        </is>
      </c>
      <c r="Z1823" s="111" t="inlineStr">
        <is>
          <t>PC</t>
        </is>
      </c>
      <c r="AA1823" s="111" t="inlineStr">
        <is>
          <t>Nao</t>
        </is>
      </c>
      <c r="AB1823" s="111" t="inlineStr">
        <is>
          <t>NAO_COMPUTADO</t>
        </is>
      </c>
      <c r="AC1823" s="112" t="inlineStr">
        <is>
          <t>Estrutura Fase 1: sem impacto no VTA oficial</t>
        </is>
      </c>
    </row>
    <row r="1824" ht="25.5" customHeight="1" s="289">
      <c r="A1824" s="205" t="n"/>
      <c r="B1824" s="207" t="n"/>
      <c r="C1824" s="104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348" t="n"/>
      <c r="E1824" s="349">
        <f>IF(C1824="","",IFERROR(VLOOKUP(C1824,parametros!$A$11:$E$15,5,0),""))</f>
        <v/>
      </c>
      <c r="F1824" s="335">
        <f>IF(OR(D1824="",E1824=""),"",ROUND(D1824*E1824,2))</f>
        <v/>
      </c>
      <c r="G1824" s="106" t="n"/>
      <c r="H1824" s="350">
        <f>IF(G1824="Sim",IF(OR(F1824="",D1824="",L1824=""),"",IF(L1824="Sim",ROUND(F1824-D1824,2),0)),0)</f>
        <v/>
      </c>
      <c r="I1824" s="350">
        <f>IF(G1824="Sim",0,IF(OR(F1824="",L1824=""),"",F1824))</f>
        <v/>
      </c>
      <c r="J1824" s="350">
        <f>IF(G1824="Sim",0,IF(OR(F1824="",D1824="",L1824=""),"",IF(L1824="Sim",ROUND(F1824-D1824,2),0)))</f>
        <v/>
      </c>
      <c r="K1824" s="97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inlineStr">
        <is>
          <t>Nao</t>
        </is>
      </c>
      <c r="W1824" s="110" t="inlineStr">
        <is>
          <t>PC em analise</t>
        </is>
      </c>
      <c r="X1824" s="110" t="inlineStr">
        <is>
          <t>Pedido de Compra</t>
        </is>
      </c>
      <c r="Y1824" s="111" t="inlineStr">
        <is>
          <t>Impacto Potencial</t>
        </is>
      </c>
      <c r="Z1824" s="111" t="inlineStr">
        <is>
          <t>PC</t>
        </is>
      </c>
      <c r="AA1824" s="111" t="inlineStr">
        <is>
          <t>Nao</t>
        </is>
      </c>
      <c r="AB1824" s="111" t="inlineStr">
        <is>
          <t>NAO_COMPUTADO</t>
        </is>
      </c>
      <c r="AC1824" s="112" t="inlineStr">
        <is>
          <t>Estrutura Fase 1: sem impacto no VTA oficial</t>
        </is>
      </c>
    </row>
    <row r="1825" ht="25.5" customHeight="1" s="289">
      <c r="A1825" s="205" t="n"/>
      <c r="B1825" s="207" t="n"/>
      <c r="C1825" s="104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348" t="n"/>
      <c r="E1825" s="349">
        <f>IF(C1825="","",IFERROR(VLOOKUP(C1825,parametros!$A$11:$E$15,5,0),""))</f>
        <v/>
      </c>
      <c r="F1825" s="335">
        <f>IF(OR(D1825="",E1825=""),"",ROUND(D1825*E1825,2))</f>
        <v/>
      </c>
      <c r="G1825" s="106" t="n"/>
      <c r="H1825" s="350">
        <f>IF(G1825="Sim",IF(OR(F1825="",D1825="",L1825=""),"",IF(L1825="Sim",ROUND(F1825-D1825,2),0)),0)</f>
        <v/>
      </c>
      <c r="I1825" s="350">
        <f>IF(G1825="Sim",0,IF(OR(F1825="",L1825=""),"",F1825))</f>
        <v/>
      </c>
      <c r="J1825" s="350">
        <f>IF(G1825="Sim",0,IF(OR(F1825="",D1825="",L1825=""),"",IF(L1825="Sim",ROUND(F1825-D1825,2),0)))</f>
        <v/>
      </c>
      <c r="K1825" s="97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inlineStr">
        <is>
          <t>Nao</t>
        </is>
      </c>
      <c r="W1825" s="110" t="inlineStr">
        <is>
          <t>PC em analise</t>
        </is>
      </c>
      <c r="X1825" s="110" t="inlineStr">
        <is>
          <t>Pedido de Compra</t>
        </is>
      </c>
      <c r="Y1825" s="111" t="inlineStr">
        <is>
          <t>Impacto Potencial</t>
        </is>
      </c>
      <c r="Z1825" s="111" t="inlineStr">
        <is>
          <t>PC</t>
        </is>
      </c>
      <c r="AA1825" s="111" t="inlineStr">
        <is>
          <t>Nao</t>
        </is>
      </c>
      <c r="AB1825" s="111" t="inlineStr">
        <is>
          <t>NAO_COMPUTADO</t>
        </is>
      </c>
      <c r="AC1825" s="112" t="inlineStr">
        <is>
          <t>Estrutura Fase 1: sem impacto no VTA oficial</t>
        </is>
      </c>
    </row>
    <row r="1826" ht="25.5" customHeight="1" s="289">
      <c r="A1826" s="205" t="n"/>
      <c r="B1826" s="207" t="n"/>
      <c r="C1826" s="104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348" t="n"/>
      <c r="E1826" s="349">
        <f>IF(C1826="","",IFERROR(VLOOKUP(C1826,parametros!$A$11:$E$15,5,0),""))</f>
        <v/>
      </c>
      <c r="F1826" s="335">
        <f>IF(OR(D1826="",E1826=""),"",ROUND(D1826*E1826,2))</f>
        <v/>
      </c>
      <c r="G1826" s="106" t="n"/>
      <c r="H1826" s="350">
        <f>IF(G1826="Sim",IF(OR(F1826="",D1826="",L1826=""),"",IF(L1826="Sim",ROUND(F1826-D1826,2),0)),0)</f>
        <v/>
      </c>
      <c r="I1826" s="350">
        <f>IF(G1826="Sim",0,IF(OR(F1826="",L1826=""),"",F1826))</f>
        <v/>
      </c>
      <c r="J1826" s="350">
        <f>IF(G1826="Sim",0,IF(OR(F1826="",D1826="",L1826=""),"",IF(L1826="Sim",ROUND(F1826-D1826,2),0)))</f>
        <v/>
      </c>
      <c r="K1826" s="97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inlineStr">
        <is>
          <t>Nao</t>
        </is>
      </c>
      <c r="W1826" s="110" t="inlineStr">
        <is>
          <t>PC em analise</t>
        </is>
      </c>
      <c r="X1826" s="110" t="inlineStr">
        <is>
          <t>Pedido de Compra</t>
        </is>
      </c>
      <c r="Y1826" s="111" t="inlineStr">
        <is>
          <t>Impacto Potencial</t>
        </is>
      </c>
      <c r="Z1826" s="111" t="inlineStr">
        <is>
          <t>PC</t>
        </is>
      </c>
      <c r="AA1826" s="111" t="inlineStr">
        <is>
          <t>Nao</t>
        </is>
      </c>
      <c r="AB1826" s="111" t="inlineStr">
        <is>
          <t>NAO_COMPUTADO</t>
        </is>
      </c>
      <c r="AC1826" s="112" t="inlineStr">
        <is>
          <t>Estrutura Fase 1: sem impacto no VTA oficial</t>
        </is>
      </c>
    </row>
    <row r="1827" ht="25.5" customHeight="1" s="289">
      <c r="A1827" s="205" t="n"/>
      <c r="B1827" s="207" t="n"/>
      <c r="C1827" s="104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348" t="n"/>
      <c r="E1827" s="349">
        <f>IF(C1827="","",IFERROR(VLOOKUP(C1827,parametros!$A$11:$E$15,5,0),""))</f>
        <v/>
      </c>
      <c r="F1827" s="335">
        <f>IF(OR(D1827="",E1827=""),"",ROUND(D1827*E1827,2))</f>
        <v/>
      </c>
      <c r="G1827" s="106" t="n"/>
      <c r="H1827" s="350">
        <f>IF(G1827="Sim",IF(OR(F1827="",D1827="",L1827=""),"",IF(L1827="Sim",ROUND(F1827-D1827,2),0)),0)</f>
        <v/>
      </c>
      <c r="I1827" s="350">
        <f>IF(G1827="Sim",0,IF(OR(F1827="",L1827=""),"",F1827))</f>
        <v/>
      </c>
      <c r="J1827" s="350">
        <f>IF(G1827="Sim",0,IF(OR(F1827="",D1827="",L1827=""),"",IF(L1827="Sim",ROUND(F1827-D1827,2),0)))</f>
        <v/>
      </c>
      <c r="K1827" s="97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inlineStr">
        <is>
          <t>Nao</t>
        </is>
      </c>
      <c r="W1827" s="110" t="inlineStr">
        <is>
          <t>PC em analise</t>
        </is>
      </c>
      <c r="X1827" s="110" t="inlineStr">
        <is>
          <t>Pedido de Compra</t>
        </is>
      </c>
      <c r="Y1827" s="111" t="inlineStr">
        <is>
          <t>Impacto Potencial</t>
        </is>
      </c>
      <c r="Z1827" s="111" t="inlineStr">
        <is>
          <t>PC</t>
        </is>
      </c>
      <c r="AA1827" s="111" t="inlineStr">
        <is>
          <t>Nao</t>
        </is>
      </c>
      <c r="AB1827" s="111" t="inlineStr">
        <is>
          <t>NAO_COMPUTADO</t>
        </is>
      </c>
      <c r="AC1827" s="112" t="inlineStr">
        <is>
          <t>Estrutura Fase 1: sem impacto no VTA oficial</t>
        </is>
      </c>
    </row>
    <row r="1828" ht="25.5" customHeight="1" s="289">
      <c r="A1828" s="205" t="n"/>
      <c r="B1828" s="207" t="n"/>
      <c r="C1828" s="104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348" t="n"/>
      <c r="E1828" s="349">
        <f>IF(C1828="","",IFERROR(VLOOKUP(C1828,parametros!$A$11:$E$15,5,0),""))</f>
        <v/>
      </c>
      <c r="F1828" s="335">
        <f>IF(OR(D1828="",E1828=""),"",ROUND(D1828*E1828,2))</f>
        <v/>
      </c>
      <c r="G1828" s="106" t="n"/>
      <c r="H1828" s="350">
        <f>IF(G1828="Sim",IF(OR(F1828="",D1828="",L1828=""),"",IF(L1828="Sim",ROUND(F1828-D1828,2),0)),0)</f>
        <v/>
      </c>
      <c r="I1828" s="350">
        <f>IF(G1828="Sim",0,IF(OR(F1828="",L1828=""),"",F1828))</f>
        <v/>
      </c>
      <c r="J1828" s="350">
        <f>IF(G1828="Sim",0,IF(OR(F1828="",D1828="",L1828=""),"",IF(L1828="Sim",ROUND(F1828-D1828,2),0)))</f>
        <v/>
      </c>
      <c r="K1828" s="97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inlineStr">
        <is>
          <t>Nao</t>
        </is>
      </c>
      <c r="W1828" s="110" t="inlineStr">
        <is>
          <t>PC em analise</t>
        </is>
      </c>
      <c r="X1828" s="110" t="inlineStr">
        <is>
          <t>Pedido de Compra</t>
        </is>
      </c>
      <c r="Y1828" s="111" t="inlineStr">
        <is>
          <t>Impacto Potencial</t>
        </is>
      </c>
      <c r="Z1828" s="111" t="inlineStr">
        <is>
          <t>PC</t>
        </is>
      </c>
      <c r="AA1828" s="111" t="inlineStr">
        <is>
          <t>Nao</t>
        </is>
      </c>
      <c r="AB1828" s="111" t="inlineStr">
        <is>
          <t>NAO_COMPUTADO</t>
        </is>
      </c>
      <c r="AC1828" s="112" t="inlineStr">
        <is>
          <t>Estrutura Fase 1: sem impacto no VTA oficial</t>
        </is>
      </c>
    </row>
    <row r="1829" ht="25.5" customHeight="1" s="289">
      <c r="A1829" s="205" t="n"/>
      <c r="B1829" s="207" t="n"/>
      <c r="C1829" s="104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348" t="n"/>
      <c r="E1829" s="349">
        <f>IF(C1829="","",IFERROR(VLOOKUP(C1829,parametros!$A$11:$E$15,5,0),""))</f>
        <v/>
      </c>
      <c r="F1829" s="335">
        <f>IF(OR(D1829="",E1829=""),"",ROUND(D1829*E1829,2))</f>
        <v/>
      </c>
      <c r="G1829" s="106" t="n"/>
      <c r="H1829" s="350">
        <f>IF(G1829="Sim",IF(OR(F1829="",D1829="",L1829=""),"",IF(L1829="Sim",ROUND(F1829-D1829,2),0)),0)</f>
        <v/>
      </c>
      <c r="I1829" s="350">
        <f>IF(G1829="Sim",0,IF(OR(F1829="",L1829=""),"",F1829))</f>
        <v/>
      </c>
      <c r="J1829" s="350">
        <f>IF(G1829="Sim",0,IF(OR(F1829="",D1829="",L1829=""),"",IF(L1829="Sim",ROUND(F1829-D1829,2),0)))</f>
        <v/>
      </c>
      <c r="K1829" s="97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inlineStr">
        <is>
          <t>Nao</t>
        </is>
      </c>
      <c r="W1829" s="110" t="inlineStr">
        <is>
          <t>PC em analise</t>
        </is>
      </c>
      <c r="X1829" s="110" t="inlineStr">
        <is>
          <t>Pedido de Compra</t>
        </is>
      </c>
      <c r="Y1829" s="111" t="inlineStr">
        <is>
          <t>Impacto Potencial</t>
        </is>
      </c>
      <c r="Z1829" s="111" t="inlineStr">
        <is>
          <t>PC</t>
        </is>
      </c>
      <c r="AA1829" s="111" t="inlineStr">
        <is>
          <t>Nao</t>
        </is>
      </c>
      <c r="AB1829" s="111" t="inlineStr">
        <is>
          <t>NAO_COMPUTADO</t>
        </is>
      </c>
      <c r="AC1829" s="112" t="inlineStr">
        <is>
          <t>Estrutura Fase 1: sem impacto no VTA oficial</t>
        </is>
      </c>
    </row>
    <row r="1830" ht="25.5" customHeight="1" s="289">
      <c r="A1830" s="205" t="n"/>
      <c r="B1830" s="207" t="n"/>
      <c r="C1830" s="104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348" t="n"/>
      <c r="E1830" s="349">
        <f>IF(C1830="","",IFERROR(VLOOKUP(C1830,parametros!$A$11:$E$15,5,0),""))</f>
        <v/>
      </c>
      <c r="F1830" s="335">
        <f>IF(OR(D1830="",E1830=""),"",ROUND(D1830*E1830,2))</f>
        <v/>
      </c>
      <c r="G1830" s="106" t="n"/>
      <c r="H1830" s="350">
        <f>IF(G1830="Sim",IF(OR(F1830="",D1830="",L1830=""),"",IF(L1830="Sim",ROUND(F1830-D1830,2),0)),0)</f>
        <v/>
      </c>
      <c r="I1830" s="350">
        <f>IF(G1830="Sim",0,IF(OR(F1830="",L1830=""),"",F1830))</f>
        <v/>
      </c>
      <c r="J1830" s="350">
        <f>IF(G1830="Sim",0,IF(OR(F1830="",D1830="",L1830=""),"",IF(L1830="Sim",ROUND(F1830-D1830,2),0)))</f>
        <v/>
      </c>
      <c r="K1830" s="97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inlineStr">
        <is>
          <t>Nao</t>
        </is>
      </c>
      <c r="W1830" s="110" t="inlineStr">
        <is>
          <t>PC em analise</t>
        </is>
      </c>
      <c r="X1830" s="110" t="inlineStr">
        <is>
          <t>Pedido de Compra</t>
        </is>
      </c>
      <c r="Y1830" s="111" t="inlineStr">
        <is>
          <t>Impacto Potencial</t>
        </is>
      </c>
      <c r="Z1830" s="111" t="inlineStr">
        <is>
          <t>PC</t>
        </is>
      </c>
      <c r="AA1830" s="111" t="inlineStr">
        <is>
          <t>Nao</t>
        </is>
      </c>
      <c r="AB1830" s="111" t="inlineStr">
        <is>
          <t>NAO_COMPUTADO</t>
        </is>
      </c>
      <c r="AC1830" s="112" t="inlineStr">
        <is>
          <t>Estrutura Fase 1: sem impacto no VTA oficial</t>
        </is>
      </c>
    </row>
    <row r="1831" ht="25.5" customHeight="1" s="289">
      <c r="A1831" s="205" t="n"/>
      <c r="B1831" s="207" t="n"/>
      <c r="C1831" s="104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348" t="n"/>
      <c r="E1831" s="349">
        <f>IF(C1831="","",IFERROR(VLOOKUP(C1831,parametros!$A$11:$E$15,5,0),""))</f>
        <v/>
      </c>
      <c r="F1831" s="335">
        <f>IF(OR(D1831="",E1831=""),"",ROUND(D1831*E1831,2))</f>
        <v/>
      </c>
      <c r="G1831" s="106" t="n"/>
      <c r="H1831" s="350">
        <f>IF(G1831="Sim",IF(OR(F1831="",D1831="",L1831=""),"",IF(L1831="Sim",ROUND(F1831-D1831,2),0)),0)</f>
        <v/>
      </c>
      <c r="I1831" s="350">
        <f>IF(G1831="Sim",0,IF(OR(F1831="",L1831=""),"",F1831))</f>
        <v/>
      </c>
      <c r="J1831" s="350">
        <f>IF(G1831="Sim",0,IF(OR(F1831="",D1831="",L1831=""),"",IF(L1831="Sim",ROUND(F1831-D1831,2),0)))</f>
        <v/>
      </c>
      <c r="K1831" s="97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inlineStr">
        <is>
          <t>Nao</t>
        </is>
      </c>
      <c r="W1831" s="110" t="inlineStr">
        <is>
          <t>PC em analise</t>
        </is>
      </c>
      <c r="X1831" s="110" t="inlineStr">
        <is>
          <t>Pedido de Compra</t>
        </is>
      </c>
      <c r="Y1831" s="111" t="inlineStr">
        <is>
          <t>Impacto Potencial</t>
        </is>
      </c>
      <c r="Z1831" s="111" t="inlineStr">
        <is>
          <t>PC</t>
        </is>
      </c>
      <c r="AA1831" s="111" t="inlineStr">
        <is>
          <t>Nao</t>
        </is>
      </c>
      <c r="AB1831" s="111" t="inlineStr">
        <is>
          <t>NAO_COMPUTADO</t>
        </is>
      </c>
      <c r="AC1831" s="112" t="inlineStr">
        <is>
          <t>Estrutura Fase 1: sem impacto no VTA oficial</t>
        </is>
      </c>
    </row>
    <row r="1832" ht="25.5" customHeight="1" s="289">
      <c r="A1832" s="205" t="n"/>
      <c r="B1832" s="207" t="n"/>
      <c r="C1832" s="104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348" t="n"/>
      <c r="E1832" s="349">
        <f>IF(C1832="","",IFERROR(VLOOKUP(C1832,parametros!$A$11:$E$15,5,0),""))</f>
        <v/>
      </c>
      <c r="F1832" s="335">
        <f>IF(OR(D1832="",E1832=""),"",ROUND(D1832*E1832,2))</f>
        <v/>
      </c>
      <c r="G1832" s="106" t="n"/>
      <c r="H1832" s="350">
        <f>IF(G1832="Sim",IF(OR(F1832="",D1832="",L1832=""),"",IF(L1832="Sim",ROUND(F1832-D1832,2),0)),0)</f>
        <v/>
      </c>
      <c r="I1832" s="350">
        <f>IF(G1832="Sim",0,IF(OR(F1832="",L1832=""),"",F1832))</f>
        <v/>
      </c>
      <c r="J1832" s="350">
        <f>IF(G1832="Sim",0,IF(OR(F1832="",D1832="",L1832=""),"",IF(L1832="Sim",ROUND(F1832-D1832,2),0)))</f>
        <v/>
      </c>
      <c r="K1832" s="97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inlineStr">
        <is>
          <t>Nao</t>
        </is>
      </c>
      <c r="W1832" s="110" t="inlineStr">
        <is>
          <t>PC em analise</t>
        </is>
      </c>
      <c r="X1832" s="110" t="inlineStr">
        <is>
          <t>Pedido de Compra</t>
        </is>
      </c>
      <c r="Y1832" s="111" t="inlineStr">
        <is>
          <t>Impacto Potencial</t>
        </is>
      </c>
      <c r="Z1832" s="111" t="inlineStr">
        <is>
          <t>PC</t>
        </is>
      </c>
      <c r="AA1832" s="111" t="inlineStr">
        <is>
          <t>Nao</t>
        </is>
      </c>
      <c r="AB1832" s="111" t="inlineStr">
        <is>
          <t>NAO_COMPUTADO</t>
        </is>
      </c>
      <c r="AC1832" s="112" t="inlineStr">
        <is>
          <t>Estrutura Fase 1: sem impacto no VTA oficial</t>
        </is>
      </c>
    </row>
    <row r="1833" ht="25.5" customHeight="1" s="289">
      <c r="A1833" s="205" t="n"/>
      <c r="B1833" s="207" t="n"/>
      <c r="C1833" s="104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348" t="n"/>
      <c r="E1833" s="349">
        <f>IF(C1833="","",IFERROR(VLOOKUP(C1833,parametros!$A$11:$E$15,5,0),""))</f>
        <v/>
      </c>
      <c r="F1833" s="335">
        <f>IF(OR(D1833="",E1833=""),"",ROUND(D1833*E1833,2))</f>
        <v/>
      </c>
      <c r="G1833" s="106" t="n"/>
      <c r="H1833" s="350">
        <f>IF(G1833="Sim",IF(OR(F1833="",D1833="",L1833=""),"",IF(L1833="Sim",ROUND(F1833-D1833,2),0)),0)</f>
        <v/>
      </c>
      <c r="I1833" s="350">
        <f>IF(G1833="Sim",0,IF(OR(F1833="",L1833=""),"",F1833))</f>
        <v/>
      </c>
      <c r="J1833" s="350">
        <f>IF(G1833="Sim",0,IF(OR(F1833="",D1833="",L1833=""),"",IF(L1833="Sim",ROUND(F1833-D1833,2),0)))</f>
        <v/>
      </c>
      <c r="K1833" s="97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inlineStr">
        <is>
          <t>Nao</t>
        </is>
      </c>
      <c r="W1833" s="110" t="inlineStr">
        <is>
          <t>PC em analise</t>
        </is>
      </c>
      <c r="X1833" s="110" t="inlineStr">
        <is>
          <t>Pedido de Compra</t>
        </is>
      </c>
      <c r="Y1833" s="111" t="inlineStr">
        <is>
          <t>Impacto Potencial</t>
        </is>
      </c>
      <c r="Z1833" s="111" t="inlineStr">
        <is>
          <t>PC</t>
        </is>
      </c>
      <c r="AA1833" s="111" t="inlineStr">
        <is>
          <t>Nao</t>
        </is>
      </c>
      <c r="AB1833" s="111" t="inlineStr">
        <is>
          <t>NAO_COMPUTADO</t>
        </is>
      </c>
      <c r="AC1833" s="112" t="inlineStr">
        <is>
          <t>Estrutura Fase 1: sem impacto no VTA oficial</t>
        </is>
      </c>
    </row>
    <row r="1834" ht="25.5" customHeight="1" s="289">
      <c r="A1834" s="205" t="n"/>
      <c r="B1834" s="207" t="n"/>
      <c r="C1834" s="104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348" t="n"/>
      <c r="E1834" s="349">
        <f>IF(C1834="","",IFERROR(VLOOKUP(C1834,parametros!$A$11:$E$15,5,0),""))</f>
        <v/>
      </c>
      <c r="F1834" s="335">
        <f>IF(OR(D1834="",E1834=""),"",ROUND(D1834*E1834,2))</f>
        <v/>
      </c>
      <c r="G1834" s="106" t="n"/>
      <c r="H1834" s="350">
        <f>IF(G1834="Sim",IF(OR(F1834="",D1834="",L1834=""),"",IF(L1834="Sim",ROUND(F1834-D1834,2),0)),0)</f>
        <v/>
      </c>
      <c r="I1834" s="350">
        <f>IF(G1834="Sim",0,IF(OR(F1834="",L1834=""),"",F1834))</f>
        <v/>
      </c>
      <c r="J1834" s="350">
        <f>IF(G1834="Sim",0,IF(OR(F1834="",D1834="",L1834=""),"",IF(L1834="Sim",ROUND(F1834-D1834,2),0)))</f>
        <v/>
      </c>
      <c r="K1834" s="97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inlineStr">
        <is>
          <t>Nao</t>
        </is>
      </c>
      <c r="W1834" s="110" t="inlineStr">
        <is>
          <t>PC em analise</t>
        </is>
      </c>
      <c r="X1834" s="110" t="inlineStr">
        <is>
          <t>Pedido de Compra</t>
        </is>
      </c>
      <c r="Y1834" s="111" t="inlineStr">
        <is>
          <t>Impacto Potencial</t>
        </is>
      </c>
      <c r="Z1834" s="111" t="inlineStr">
        <is>
          <t>PC</t>
        </is>
      </c>
      <c r="AA1834" s="111" t="inlineStr">
        <is>
          <t>Nao</t>
        </is>
      </c>
      <c r="AB1834" s="111" t="inlineStr">
        <is>
          <t>NAO_COMPUTADO</t>
        </is>
      </c>
      <c r="AC1834" s="112" t="inlineStr">
        <is>
          <t>Estrutura Fase 1: sem impacto no VTA oficial</t>
        </is>
      </c>
    </row>
    <row r="1835" ht="25.5" customHeight="1" s="289">
      <c r="A1835" s="205" t="n"/>
      <c r="B1835" s="207" t="n"/>
      <c r="C1835" s="104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348" t="n"/>
      <c r="E1835" s="349">
        <f>IF(C1835="","",IFERROR(VLOOKUP(C1835,parametros!$A$11:$E$15,5,0),""))</f>
        <v/>
      </c>
      <c r="F1835" s="335">
        <f>IF(OR(D1835="",E1835=""),"",ROUND(D1835*E1835,2))</f>
        <v/>
      </c>
      <c r="G1835" s="106" t="n"/>
      <c r="H1835" s="350">
        <f>IF(G1835="Sim",IF(OR(F1835="",D1835="",L1835=""),"",IF(L1835="Sim",ROUND(F1835-D1835,2),0)),0)</f>
        <v/>
      </c>
      <c r="I1835" s="350">
        <f>IF(G1835="Sim",0,IF(OR(F1835="",L1835=""),"",F1835))</f>
        <v/>
      </c>
      <c r="J1835" s="350">
        <f>IF(G1835="Sim",0,IF(OR(F1835="",D1835="",L1835=""),"",IF(L1835="Sim",ROUND(F1835-D1835,2),0)))</f>
        <v/>
      </c>
      <c r="K1835" s="97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inlineStr">
        <is>
          <t>Nao</t>
        </is>
      </c>
      <c r="W1835" s="110" t="inlineStr">
        <is>
          <t>PC em analise</t>
        </is>
      </c>
      <c r="X1835" s="110" t="inlineStr">
        <is>
          <t>Pedido de Compra</t>
        </is>
      </c>
      <c r="Y1835" s="111" t="inlineStr">
        <is>
          <t>Impacto Potencial</t>
        </is>
      </c>
      <c r="Z1835" s="111" t="inlineStr">
        <is>
          <t>PC</t>
        </is>
      </c>
      <c r="AA1835" s="111" t="inlineStr">
        <is>
          <t>Nao</t>
        </is>
      </c>
      <c r="AB1835" s="111" t="inlineStr">
        <is>
          <t>NAO_COMPUTADO</t>
        </is>
      </c>
      <c r="AC1835" s="112" t="inlineStr">
        <is>
          <t>Estrutura Fase 1: sem impacto no VTA oficial</t>
        </is>
      </c>
    </row>
    <row r="1836" ht="25.5" customHeight="1" s="289">
      <c r="A1836" s="205" t="n"/>
      <c r="B1836" s="207" t="n"/>
      <c r="C1836" s="104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348" t="n"/>
      <c r="E1836" s="349">
        <f>IF(C1836="","",IFERROR(VLOOKUP(C1836,parametros!$A$11:$E$15,5,0),""))</f>
        <v/>
      </c>
      <c r="F1836" s="335">
        <f>IF(OR(D1836="",E1836=""),"",ROUND(D1836*E1836,2))</f>
        <v/>
      </c>
      <c r="G1836" s="106" t="n"/>
      <c r="H1836" s="350">
        <f>IF(G1836="Sim",IF(OR(F1836="",D1836="",L1836=""),"",IF(L1836="Sim",ROUND(F1836-D1836,2),0)),0)</f>
        <v/>
      </c>
      <c r="I1836" s="350">
        <f>IF(G1836="Sim",0,IF(OR(F1836="",L1836=""),"",F1836))</f>
        <v/>
      </c>
      <c r="J1836" s="350">
        <f>IF(G1836="Sim",0,IF(OR(F1836="",D1836="",L1836=""),"",IF(L1836="Sim",ROUND(F1836-D1836,2),0)))</f>
        <v/>
      </c>
      <c r="K1836" s="97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inlineStr">
        <is>
          <t>Nao</t>
        </is>
      </c>
      <c r="W1836" s="110" t="inlineStr">
        <is>
          <t>PC em analise</t>
        </is>
      </c>
      <c r="X1836" s="110" t="inlineStr">
        <is>
          <t>Pedido de Compra</t>
        </is>
      </c>
      <c r="Y1836" s="111" t="inlineStr">
        <is>
          <t>Impacto Potencial</t>
        </is>
      </c>
      <c r="Z1836" s="111" t="inlineStr">
        <is>
          <t>PC</t>
        </is>
      </c>
      <c r="AA1836" s="111" t="inlineStr">
        <is>
          <t>Nao</t>
        </is>
      </c>
      <c r="AB1836" s="111" t="inlineStr">
        <is>
          <t>NAO_COMPUTADO</t>
        </is>
      </c>
      <c r="AC1836" s="112" t="inlineStr">
        <is>
          <t>Estrutura Fase 1: sem impacto no VTA oficial</t>
        </is>
      </c>
    </row>
    <row r="1837" ht="25.5" customHeight="1" s="289">
      <c r="A1837" s="205" t="n"/>
      <c r="B1837" s="207" t="n"/>
      <c r="C1837" s="104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348" t="n"/>
      <c r="E1837" s="349">
        <f>IF(C1837="","",IFERROR(VLOOKUP(C1837,parametros!$A$11:$E$15,5,0),""))</f>
        <v/>
      </c>
      <c r="F1837" s="335">
        <f>IF(OR(D1837="",E1837=""),"",ROUND(D1837*E1837,2))</f>
        <v/>
      </c>
      <c r="G1837" s="106" t="n"/>
      <c r="H1837" s="350">
        <f>IF(G1837="Sim",IF(OR(F1837="",D1837="",L1837=""),"",IF(L1837="Sim",ROUND(F1837-D1837,2),0)),0)</f>
        <v/>
      </c>
      <c r="I1837" s="350">
        <f>IF(G1837="Sim",0,IF(OR(F1837="",L1837=""),"",F1837))</f>
        <v/>
      </c>
      <c r="J1837" s="350">
        <f>IF(G1837="Sim",0,IF(OR(F1837="",D1837="",L1837=""),"",IF(L1837="Sim",ROUND(F1837-D1837,2),0)))</f>
        <v/>
      </c>
      <c r="K1837" s="97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inlineStr">
        <is>
          <t>Nao</t>
        </is>
      </c>
      <c r="W1837" s="110" t="inlineStr">
        <is>
          <t>PC em analise</t>
        </is>
      </c>
      <c r="X1837" s="110" t="inlineStr">
        <is>
          <t>Pedido de Compra</t>
        </is>
      </c>
      <c r="Y1837" s="111" t="inlineStr">
        <is>
          <t>Impacto Potencial</t>
        </is>
      </c>
      <c r="Z1837" s="111" t="inlineStr">
        <is>
          <t>PC</t>
        </is>
      </c>
      <c r="AA1837" s="111" t="inlineStr">
        <is>
          <t>Nao</t>
        </is>
      </c>
      <c r="AB1837" s="111" t="inlineStr">
        <is>
          <t>NAO_COMPUTADO</t>
        </is>
      </c>
      <c r="AC1837" s="112" t="inlineStr">
        <is>
          <t>Estrutura Fase 1: sem impacto no VTA oficial</t>
        </is>
      </c>
    </row>
    <row r="1838" ht="25.5" customHeight="1" s="289">
      <c r="A1838" s="205" t="n"/>
      <c r="B1838" s="207" t="n"/>
      <c r="C1838" s="104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348" t="n"/>
      <c r="E1838" s="349">
        <f>IF(C1838="","",IFERROR(VLOOKUP(C1838,parametros!$A$11:$E$15,5,0),""))</f>
        <v/>
      </c>
      <c r="F1838" s="335">
        <f>IF(OR(D1838="",E1838=""),"",ROUND(D1838*E1838,2))</f>
        <v/>
      </c>
      <c r="G1838" s="106" t="n"/>
      <c r="H1838" s="350">
        <f>IF(G1838="Sim",IF(OR(F1838="",D1838="",L1838=""),"",IF(L1838="Sim",ROUND(F1838-D1838,2),0)),0)</f>
        <v/>
      </c>
      <c r="I1838" s="350">
        <f>IF(G1838="Sim",0,IF(OR(F1838="",L1838=""),"",F1838))</f>
        <v/>
      </c>
      <c r="J1838" s="350">
        <f>IF(G1838="Sim",0,IF(OR(F1838="",D1838="",L1838=""),"",IF(L1838="Sim",ROUND(F1838-D1838,2),0)))</f>
        <v/>
      </c>
      <c r="K1838" s="97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inlineStr">
        <is>
          <t>Nao</t>
        </is>
      </c>
      <c r="W1838" s="110" t="inlineStr">
        <is>
          <t>PC em analise</t>
        </is>
      </c>
      <c r="X1838" s="110" t="inlineStr">
        <is>
          <t>Pedido de Compra</t>
        </is>
      </c>
      <c r="Y1838" s="111" t="inlineStr">
        <is>
          <t>Impacto Potencial</t>
        </is>
      </c>
      <c r="Z1838" s="111" t="inlineStr">
        <is>
          <t>PC</t>
        </is>
      </c>
      <c r="AA1838" s="111" t="inlineStr">
        <is>
          <t>Nao</t>
        </is>
      </c>
      <c r="AB1838" s="111" t="inlineStr">
        <is>
          <t>NAO_COMPUTADO</t>
        </is>
      </c>
      <c r="AC1838" s="112" t="inlineStr">
        <is>
          <t>Estrutura Fase 1: sem impacto no VTA oficial</t>
        </is>
      </c>
    </row>
    <row r="1839" ht="25.5" customHeight="1" s="289">
      <c r="A1839" s="205" t="n"/>
      <c r="B1839" s="207" t="n"/>
      <c r="C1839" s="104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348" t="n"/>
      <c r="E1839" s="349">
        <f>IF(C1839="","",IFERROR(VLOOKUP(C1839,parametros!$A$11:$E$15,5,0),""))</f>
        <v/>
      </c>
      <c r="F1839" s="335">
        <f>IF(OR(D1839="",E1839=""),"",ROUND(D1839*E1839,2))</f>
        <v/>
      </c>
      <c r="G1839" s="106" t="n"/>
      <c r="H1839" s="350">
        <f>IF(G1839="Sim",IF(OR(F1839="",D1839="",L1839=""),"",IF(L1839="Sim",ROUND(F1839-D1839,2),0)),0)</f>
        <v/>
      </c>
      <c r="I1839" s="350">
        <f>IF(G1839="Sim",0,IF(OR(F1839="",L1839=""),"",F1839))</f>
        <v/>
      </c>
      <c r="J1839" s="350">
        <f>IF(G1839="Sim",0,IF(OR(F1839="",D1839="",L1839=""),"",IF(L1839="Sim",ROUND(F1839-D1839,2),0)))</f>
        <v/>
      </c>
      <c r="K1839" s="97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inlineStr">
        <is>
          <t>Nao</t>
        </is>
      </c>
      <c r="W1839" s="110" t="inlineStr">
        <is>
          <t>PC em analise</t>
        </is>
      </c>
      <c r="X1839" s="110" t="inlineStr">
        <is>
          <t>Pedido de Compra</t>
        </is>
      </c>
      <c r="Y1839" s="111" t="inlineStr">
        <is>
          <t>Impacto Potencial</t>
        </is>
      </c>
      <c r="Z1839" s="111" t="inlineStr">
        <is>
          <t>PC</t>
        </is>
      </c>
      <c r="AA1839" s="111" t="inlineStr">
        <is>
          <t>Nao</t>
        </is>
      </c>
      <c r="AB1839" s="111" t="inlineStr">
        <is>
          <t>NAO_COMPUTADO</t>
        </is>
      </c>
      <c r="AC1839" s="112" t="inlineStr">
        <is>
          <t>Estrutura Fase 1: sem impacto no VTA oficial</t>
        </is>
      </c>
    </row>
    <row r="1840" ht="25.5" customHeight="1" s="289">
      <c r="A1840" s="205" t="n"/>
      <c r="B1840" s="207" t="n"/>
      <c r="C1840" s="104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348" t="n"/>
      <c r="E1840" s="349">
        <f>IF(C1840="","",IFERROR(VLOOKUP(C1840,parametros!$A$11:$E$15,5,0),""))</f>
        <v/>
      </c>
      <c r="F1840" s="335">
        <f>IF(OR(D1840="",E1840=""),"",ROUND(D1840*E1840,2))</f>
        <v/>
      </c>
      <c r="G1840" s="106" t="n"/>
      <c r="H1840" s="350">
        <f>IF(G1840="Sim",IF(OR(F1840="",D1840="",L1840=""),"",IF(L1840="Sim",ROUND(F1840-D1840,2),0)),0)</f>
        <v/>
      </c>
      <c r="I1840" s="350">
        <f>IF(G1840="Sim",0,IF(OR(F1840="",L1840=""),"",F1840))</f>
        <v/>
      </c>
      <c r="J1840" s="350">
        <f>IF(G1840="Sim",0,IF(OR(F1840="",D1840="",L1840=""),"",IF(L1840="Sim",ROUND(F1840-D1840,2),0)))</f>
        <v/>
      </c>
      <c r="K1840" s="97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inlineStr">
        <is>
          <t>Nao</t>
        </is>
      </c>
      <c r="W1840" s="110" t="inlineStr">
        <is>
          <t>PC em analise</t>
        </is>
      </c>
      <c r="X1840" s="110" t="inlineStr">
        <is>
          <t>Pedido de Compra</t>
        </is>
      </c>
      <c r="Y1840" s="111" t="inlineStr">
        <is>
          <t>Impacto Potencial</t>
        </is>
      </c>
      <c r="Z1840" s="111" t="inlineStr">
        <is>
          <t>PC</t>
        </is>
      </c>
      <c r="AA1840" s="111" t="inlineStr">
        <is>
          <t>Nao</t>
        </is>
      </c>
      <c r="AB1840" s="111" t="inlineStr">
        <is>
          <t>NAO_COMPUTADO</t>
        </is>
      </c>
      <c r="AC1840" s="112" t="inlineStr">
        <is>
          <t>Estrutura Fase 1: sem impacto no VTA oficial</t>
        </is>
      </c>
    </row>
    <row r="1841" ht="25.5" customHeight="1" s="289">
      <c r="A1841" s="205" t="n"/>
      <c r="B1841" s="207" t="n"/>
      <c r="C1841" s="104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348" t="n"/>
      <c r="E1841" s="349">
        <f>IF(C1841="","",IFERROR(VLOOKUP(C1841,parametros!$A$11:$E$15,5,0),""))</f>
        <v/>
      </c>
      <c r="F1841" s="335">
        <f>IF(OR(D1841="",E1841=""),"",ROUND(D1841*E1841,2))</f>
        <v/>
      </c>
      <c r="G1841" s="106" t="n"/>
      <c r="H1841" s="350">
        <f>IF(G1841="Sim",IF(OR(F1841="",D1841="",L1841=""),"",IF(L1841="Sim",ROUND(F1841-D1841,2),0)),0)</f>
        <v/>
      </c>
      <c r="I1841" s="350">
        <f>IF(G1841="Sim",0,IF(OR(F1841="",L1841=""),"",F1841))</f>
        <v/>
      </c>
      <c r="J1841" s="350">
        <f>IF(G1841="Sim",0,IF(OR(F1841="",D1841="",L1841=""),"",IF(L1841="Sim",ROUND(F1841-D1841,2),0)))</f>
        <v/>
      </c>
      <c r="K1841" s="97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inlineStr">
        <is>
          <t>Nao</t>
        </is>
      </c>
      <c r="W1841" s="110" t="inlineStr">
        <is>
          <t>PC em analise</t>
        </is>
      </c>
      <c r="X1841" s="110" t="inlineStr">
        <is>
          <t>Pedido de Compra</t>
        </is>
      </c>
      <c r="Y1841" s="111" t="inlineStr">
        <is>
          <t>Impacto Potencial</t>
        </is>
      </c>
      <c r="Z1841" s="111" t="inlineStr">
        <is>
          <t>PC</t>
        </is>
      </c>
      <c r="AA1841" s="111" t="inlineStr">
        <is>
          <t>Nao</t>
        </is>
      </c>
      <c r="AB1841" s="111" t="inlineStr">
        <is>
          <t>NAO_COMPUTADO</t>
        </is>
      </c>
      <c r="AC1841" s="112" t="inlineStr">
        <is>
          <t>Estrutura Fase 1: sem impacto no VTA oficial</t>
        </is>
      </c>
    </row>
    <row r="1842" ht="25.5" customHeight="1" s="289">
      <c r="A1842" s="205" t="n"/>
      <c r="B1842" s="207" t="n"/>
      <c r="C1842" s="104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348" t="n"/>
      <c r="E1842" s="349">
        <f>IF(C1842="","",IFERROR(VLOOKUP(C1842,parametros!$A$11:$E$15,5,0),""))</f>
        <v/>
      </c>
      <c r="F1842" s="335">
        <f>IF(OR(D1842="",E1842=""),"",ROUND(D1842*E1842,2))</f>
        <v/>
      </c>
      <c r="G1842" s="106" t="n"/>
      <c r="H1842" s="350">
        <f>IF(G1842="Sim",IF(OR(F1842="",D1842="",L1842=""),"",IF(L1842="Sim",ROUND(F1842-D1842,2),0)),0)</f>
        <v/>
      </c>
      <c r="I1842" s="350">
        <f>IF(G1842="Sim",0,IF(OR(F1842="",L1842=""),"",F1842))</f>
        <v/>
      </c>
      <c r="J1842" s="350">
        <f>IF(G1842="Sim",0,IF(OR(F1842="",D1842="",L1842=""),"",IF(L1842="Sim",ROUND(F1842-D1842,2),0)))</f>
        <v/>
      </c>
      <c r="K1842" s="97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inlineStr">
        <is>
          <t>Nao</t>
        </is>
      </c>
      <c r="W1842" s="110" t="inlineStr">
        <is>
          <t>PC em analise</t>
        </is>
      </c>
      <c r="X1842" s="110" t="inlineStr">
        <is>
          <t>Pedido de Compra</t>
        </is>
      </c>
      <c r="Y1842" s="111" t="inlineStr">
        <is>
          <t>Impacto Potencial</t>
        </is>
      </c>
      <c r="Z1842" s="111" t="inlineStr">
        <is>
          <t>PC</t>
        </is>
      </c>
      <c r="AA1842" s="111" t="inlineStr">
        <is>
          <t>Nao</t>
        </is>
      </c>
      <c r="AB1842" s="111" t="inlineStr">
        <is>
          <t>NAO_COMPUTADO</t>
        </is>
      </c>
      <c r="AC1842" s="112" t="inlineStr">
        <is>
          <t>Estrutura Fase 1: sem impacto no VTA oficial</t>
        </is>
      </c>
    </row>
    <row r="1843" ht="25.5" customHeight="1" s="289">
      <c r="A1843" s="205" t="n"/>
      <c r="B1843" s="207" t="n"/>
      <c r="C1843" s="104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348" t="n"/>
      <c r="E1843" s="349">
        <f>IF(C1843="","",IFERROR(VLOOKUP(C1843,parametros!$A$11:$E$15,5,0),""))</f>
        <v/>
      </c>
      <c r="F1843" s="335">
        <f>IF(OR(D1843="",E1843=""),"",ROUND(D1843*E1843,2))</f>
        <v/>
      </c>
      <c r="G1843" s="106" t="n"/>
      <c r="H1843" s="350">
        <f>IF(G1843="Sim",IF(OR(F1843="",D1843="",L1843=""),"",IF(L1843="Sim",ROUND(F1843-D1843,2),0)),0)</f>
        <v/>
      </c>
      <c r="I1843" s="350">
        <f>IF(G1843="Sim",0,IF(OR(F1843="",L1843=""),"",F1843))</f>
        <v/>
      </c>
      <c r="J1843" s="350">
        <f>IF(G1843="Sim",0,IF(OR(F1843="",D1843="",L1843=""),"",IF(L1843="Sim",ROUND(F1843-D1843,2),0)))</f>
        <v/>
      </c>
      <c r="K1843" s="97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inlineStr">
        <is>
          <t>Nao</t>
        </is>
      </c>
      <c r="W1843" s="110" t="inlineStr">
        <is>
          <t>PC em analise</t>
        </is>
      </c>
      <c r="X1843" s="110" t="inlineStr">
        <is>
          <t>Pedido de Compra</t>
        </is>
      </c>
      <c r="Y1843" s="111" t="inlineStr">
        <is>
          <t>Impacto Potencial</t>
        </is>
      </c>
      <c r="Z1843" s="111" t="inlineStr">
        <is>
          <t>PC</t>
        </is>
      </c>
      <c r="AA1843" s="111" t="inlineStr">
        <is>
          <t>Nao</t>
        </is>
      </c>
      <c r="AB1843" s="111" t="inlineStr">
        <is>
          <t>NAO_COMPUTADO</t>
        </is>
      </c>
      <c r="AC1843" s="112" t="inlineStr">
        <is>
          <t>Estrutura Fase 1: sem impacto no VTA oficial</t>
        </is>
      </c>
    </row>
    <row r="1844" ht="25.5" customHeight="1" s="289">
      <c r="A1844" s="205" t="n"/>
      <c r="B1844" s="207" t="n"/>
      <c r="C1844" s="104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348" t="n"/>
      <c r="E1844" s="349">
        <f>IF(C1844="","",IFERROR(VLOOKUP(C1844,parametros!$A$11:$E$15,5,0),""))</f>
        <v/>
      </c>
      <c r="F1844" s="335">
        <f>IF(OR(D1844="",E1844=""),"",ROUND(D1844*E1844,2))</f>
        <v/>
      </c>
      <c r="G1844" s="106" t="n"/>
      <c r="H1844" s="350">
        <f>IF(G1844="Sim",IF(OR(F1844="",D1844="",L1844=""),"",IF(L1844="Sim",ROUND(F1844-D1844,2),0)),0)</f>
        <v/>
      </c>
      <c r="I1844" s="350">
        <f>IF(G1844="Sim",0,IF(OR(F1844="",L1844=""),"",F1844))</f>
        <v/>
      </c>
      <c r="J1844" s="350">
        <f>IF(G1844="Sim",0,IF(OR(F1844="",D1844="",L1844=""),"",IF(L1844="Sim",ROUND(F1844-D1844,2),0)))</f>
        <v/>
      </c>
      <c r="K1844" s="97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inlineStr">
        <is>
          <t>Nao</t>
        </is>
      </c>
      <c r="W1844" s="110" t="inlineStr">
        <is>
          <t>PC em analise</t>
        </is>
      </c>
      <c r="X1844" s="110" t="inlineStr">
        <is>
          <t>Pedido de Compra</t>
        </is>
      </c>
      <c r="Y1844" s="111" t="inlineStr">
        <is>
          <t>Impacto Potencial</t>
        </is>
      </c>
      <c r="Z1844" s="111" t="inlineStr">
        <is>
          <t>PC</t>
        </is>
      </c>
      <c r="AA1844" s="111" t="inlineStr">
        <is>
          <t>Nao</t>
        </is>
      </c>
      <c r="AB1844" s="111" t="inlineStr">
        <is>
          <t>NAO_COMPUTADO</t>
        </is>
      </c>
      <c r="AC1844" s="112" t="inlineStr">
        <is>
          <t>Estrutura Fase 1: sem impacto no VTA oficial</t>
        </is>
      </c>
    </row>
    <row r="1845" ht="25.5" customHeight="1" s="289">
      <c r="A1845" s="205" t="n"/>
      <c r="B1845" s="207" t="n"/>
      <c r="C1845" s="104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348" t="n"/>
      <c r="E1845" s="349">
        <f>IF(C1845="","",IFERROR(VLOOKUP(C1845,parametros!$A$11:$E$15,5,0),""))</f>
        <v/>
      </c>
      <c r="F1845" s="335">
        <f>IF(OR(D1845="",E1845=""),"",ROUND(D1845*E1845,2))</f>
        <v/>
      </c>
      <c r="G1845" s="106" t="n"/>
      <c r="H1845" s="350">
        <f>IF(G1845="Sim",IF(OR(F1845="",D1845="",L1845=""),"",IF(L1845="Sim",ROUND(F1845-D1845,2),0)),0)</f>
        <v/>
      </c>
      <c r="I1845" s="350">
        <f>IF(G1845="Sim",0,IF(OR(F1845="",L1845=""),"",F1845))</f>
        <v/>
      </c>
      <c r="J1845" s="350">
        <f>IF(G1845="Sim",0,IF(OR(F1845="",D1845="",L1845=""),"",IF(L1845="Sim",ROUND(F1845-D1845,2),0)))</f>
        <v/>
      </c>
      <c r="K1845" s="97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inlineStr">
        <is>
          <t>Nao</t>
        </is>
      </c>
      <c r="W1845" s="110" t="inlineStr">
        <is>
          <t>PC em analise</t>
        </is>
      </c>
      <c r="X1845" s="110" t="inlineStr">
        <is>
          <t>Pedido de Compra</t>
        </is>
      </c>
      <c r="Y1845" s="111" t="inlineStr">
        <is>
          <t>Impacto Potencial</t>
        </is>
      </c>
      <c r="Z1845" s="111" t="inlineStr">
        <is>
          <t>PC</t>
        </is>
      </c>
      <c r="AA1845" s="111" t="inlineStr">
        <is>
          <t>Nao</t>
        </is>
      </c>
      <c r="AB1845" s="111" t="inlineStr">
        <is>
          <t>NAO_COMPUTADO</t>
        </is>
      </c>
      <c r="AC1845" s="112" t="inlineStr">
        <is>
          <t>Estrutura Fase 1: sem impacto no VTA oficial</t>
        </is>
      </c>
    </row>
    <row r="1846" ht="25.5" customHeight="1" s="289">
      <c r="A1846" s="205" t="n"/>
      <c r="B1846" s="207" t="n"/>
      <c r="C1846" s="104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348" t="n"/>
      <c r="E1846" s="349">
        <f>IF(C1846="","",IFERROR(VLOOKUP(C1846,parametros!$A$11:$E$15,5,0),""))</f>
        <v/>
      </c>
      <c r="F1846" s="335">
        <f>IF(OR(D1846="",E1846=""),"",ROUND(D1846*E1846,2))</f>
        <v/>
      </c>
      <c r="G1846" s="106" t="n"/>
      <c r="H1846" s="350">
        <f>IF(G1846="Sim",IF(OR(F1846="",D1846="",L1846=""),"",IF(L1846="Sim",ROUND(F1846-D1846,2),0)),0)</f>
        <v/>
      </c>
      <c r="I1846" s="350">
        <f>IF(G1846="Sim",0,IF(OR(F1846="",L1846=""),"",F1846))</f>
        <v/>
      </c>
      <c r="J1846" s="350">
        <f>IF(G1846="Sim",0,IF(OR(F1846="",D1846="",L1846=""),"",IF(L1846="Sim",ROUND(F1846-D1846,2),0)))</f>
        <v/>
      </c>
      <c r="K1846" s="97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inlineStr">
        <is>
          <t>Nao</t>
        </is>
      </c>
      <c r="W1846" s="110" t="inlineStr">
        <is>
          <t>PC em analise</t>
        </is>
      </c>
      <c r="X1846" s="110" t="inlineStr">
        <is>
          <t>Pedido de Compra</t>
        </is>
      </c>
      <c r="Y1846" s="111" t="inlineStr">
        <is>
          <t>Impacto Potencial</t>
        </is>
      </c>
      <c r="Z1846" s="111" t="inlineStr">
        <is>
          <t>PC</t>
        </is>
      </c>
      <c r="AA1846" s="111" t="inlineStr">
        <is>
          <t>Nao</t>
        </is>
      </c>
      <c r="AB1846" s="111" t="inlineStr">
        <is>
          <t>NAO_COMPUTADO</t>
        </is>
      </c>
      <c r="AC1846" s="112" t="inlineStr">
        <is>
          <t>Estrutura Fase 1: sem impacto no VTA oficial</t>
        </is>
      </c>
    </row>
    <row r="1847" ht="25.5" customHeight="1" s="289">
      <c r="A1847" s="205" t="n"/>
      <c r="B1847" s="207" t="n"/>
      <c r="C1847" s="104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348" t="n"/>
      <c r="E1847" s="349">
        <f>IF(C1847="","",IFERROR(VLOOKUP(C1847,parametros!$A$11:$E$15,5,0),""))</f>
        <v/>
      </c>
      <c r="F1847" s="335">
        <f>IF(OR(D1847="",E1847=""),"",ROUND(D1847*E1847,2))</f>
        <v/>
      </c>
      <c r="G1847" s="106" t="n"/>
      <c r="H1847" s="350">
        <f>IF(G1847="Sim",IF(OR(F1847="",D1847="",L1847=""),"",IF(L1847="Sim",ROUND(F1847-D1847,2),0)),0)</f>
        <v/>
      </c>
      <c r="I1847" s="350">
        <f>IF(G1847="Sim",0,IF(OR(F1847="",L1847=""),"",F1847))</f>
        <v/>
      </c>
      <c r="J1847" s="350">
        <f>IF(G1847="Sim",0,IF(OR(F1847="",D1847="",L1847=""),"",IF(L1847="Sim",ROUND(F1847-D1847,2),0)))</f>
        <v/>
      </c>
      <c r="K1847" s="97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inlineStr">
        <is>
          <t>Nao</t>
        </is>
      </c>
      <c r="W1847" s="110" t="inlineStr">
        <is>
          <t>PC em analise</t>
        </is>
      </c>
      <c r="X1847" s="110" t="inlineStr">
        <is>
          <t>Pedido de Compra</t>
        </is>
      </c>
      <c r="Y1847" s="111" t="inlineStr">
        <is>
          <t>Impacto Potencial</t>
        </is>
      </c>
      <c r="Z1847" s="111" t="inlineStr">
        <is>
          <t>PC</t>
        </is>
      </c>
      <c r="AA1847" s="111" t="inlineStr">
        <is>
          <t>Nao</t>
        </is>
      </c>
      <c r="AB1847" s="111" t="inlineStr">
        <is>
          <t>NAO_COMPUTADO</t>
        </is>
      </c>
      <c r="AC1847" s="112" t="inlineStr">
        <is>
          <t>Estrutura Fase 1: sem impacto no VTA oficial</t>
        </is>
      </c>
    </row>
    <row r="1848" ht="25.5" customHeight="1" s="289">
      <c r="A1848" s="205" t="n"/>
      <c r="B1848" s="207" t="n"/>
      <c r="C1848" s="104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348" t="n"/>
      <c r="E1848" s="349">
        <f>IF(C1848="","",IFERROR(VLOOKUP(C1848,parametros!$A$11:$E$15,5,0),""))</f>
        <v/>
      </c>
      <c r="F1848" s="335">
        <f>IF(OR(D1848="",E1848=""),"",ROUND(D1848*E1848,2))</f>
        <v/>
      </c>
      <c r="G1848" s="106" t="n"/>
      <c r="H1848" s="350">
        <f>IF(G1848="Sim",IF(OR(F1848="",D1848="",L1848=""),"",IF(L1848="Sim",ROUND(F1848-D1848,2),0)),0)</f>
        <v/>
      </c>
      <c r="I1848" s="350">
        <f>IF(G1848="Sim",0,IF(OR(F1848="",L1848=""),"",F1848))</f>
        <v/>
      </c>
      <c r="J1848" s="350">
        <f>IF(G1848="Sim",0,IF(OR(F1848="",D1848="",L1848=""),"",IF(L1848="Sim",ROUND(F1848-D1848,2),0)))</f>
        <v/>
      </c>
      <c r="K1848" s="97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inlineStr">
        <is>
          <t>Nao</t>
        </is>
      </c>
      <c r="W1848" s="110" t="inlineStr">
        <is>
          <t>PC em analise</t>
        </is>
      </c>
      <c r="X1848" s="110" t="inlineStr">
        <is>
          <t>Pedido de Compra</t>
        </is>
      </c>
      <c r="Y1848" s="111" t="inlineStr">
        <is>
          <t>Impacto Potencial</t>
        </is>
      </c>
      <c r="Z1848" s="111" t="inlineStr">
        <is>
          <t>PC</t>
        </is>
      </c>
      <c r="AA1848" s="111" t="inlineStr">
        <is>
          <t>Nao</t>
        </is>
      </c>
      <c r="AB1848" s="111" t="inlineStr">
        <is>
          <t>NAO_COMPUTADO</t>
        </is>
      </c>
      <c r="AC1848" s="112" t="inlineStr">
        <is>
          <t>Estrutura Fase 1: sem impacto no VTA oficial</t>
        </is>
      </c>
    </row>
    <row r="1849" ht="25.5" customHeight="1" s="289">
      <c r="A1849" s="205" t="n"/>
      <c r="B1849" s="207" t="n"/>
      <c r="C1849" s="104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348" t="n"/>
      <c r="E1849" s="349">
        <f>IF(C1849="","",IFERROR(VLOOKUP(C1849,parametros!$A$11:$E$15,5,0),""))</f>
        <v/>
      </c>
      <c r="F1849" s="335">
        <f>IF(OR(D1849="",E1849=""),"",ROUND(D1849*E1849,2))</f>
        <v/>
      </c>
      <c r="G1849" s="106" t="n"/>
      <c r="H1849" s="350">
        <f>IF(G1849="Sim",IF(OR(F1849="",D1849="",L1849=""),"",IF(L1849="Sim",ROUND(F1849-D1849,2),0)),0)</f>
        <v/>
      </c>
      <c r="I1849" s="350">
        <f>IF(G1849="Sim",0,IF(OR(F1849="",L1849=""),"",F1849))</f>
        <v/>
      </c>
      <c r="J1849" s="350">
        <f>IF(G1849="Sim",0,IF(OR(F1849="",D1849="",L1849=""),"",IF(L1849="Sim",ROUND(F1849-D1849,2),0)))</f>
        <v/>
      </c>
      <c r="K1849" s="97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inlineStr">
        <is>
          <t>Nao</t>
        </is>
      </c>
      <c r="W1849" s="110" t="inlineStr">
        <is>
          <t>PC em analise</t>
        </is>
      </c>
      <c r="X1849" s="110" t="inlineStr">
        <is>
          <t>Pedido de Compra</t>
        </is>
      </c>
      <c r="Y1849" s="111" t="inlineStr">
        <is>
          <t>Impacto Potencial</t>
        </is>
      </c>
      <c r="Z1849" s="111" t="inlineStr">
        <is>
          <t>PC</t>
        </is>
      </c>
      <c r="AA1849" s="111" t="inlineStr">
        <is>
          <t>Nao</t>
        </is>
      </c>
      <c r="AB1849" s="111" t="inlineStr">
        <is>
          <t>NAO_COMPUTADO</t>
        </is>
      </c>
      <c r="AC1849" s="112" t="inlineStr">
        <is>
          <t>Estrutura Fase 1: sem impacto no VTA oficial</t>
        </is>
      </c>
    </row>
    <row r="1850" ht="25.5" customHeight="1" s="289">
      <c r="A1850" s="205" t="n"/>
      <c r="B1850" s="207" t="n"/>
      <c r="C1850" s="104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348" t="n"/>
      <c r="E1850" s="349">
        <f>IF(C1850="","",IFERROR(VLOOKUP(C1850,parametros!$A$11:$E$15,5,0),""))</f>
        <v/>
      </c>
      <c r="F1850" s="335">
        <f>IF(OR(D1850="",E1850=""),"",ROUND(D1850*E1850,2))</f>
        <v/>
      </c>
      <c r="G1850" s="106" t="n"/>
      <c r="H1850" s="350">
        <f>IF(G1850="Sim",IF(OR(F1850="",D1850="",L1850=""),"",IF(L1850="Sim",ROUND(F1850-D1850,2),0)),0)</f>
        <v/>
      </c>
      <c r="I1850" s="350">
        <f>IF(G1850="Sim",0,IF(OR(F1850="",L1850=""),"",F1850))</f>
        <v/>
      </c>
      <c r="J1850" s="350">
        <f>IF(G1850="Sim",0,IF(OR(F1850="",D1850="",L1850=""),"",IF(L1850="Sim",ROUND(F1850-D1850,2),0)))</f>
        <v/>
      </c>
      <c r="K1850" s="97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inlineStr">
        <is>
          <t>Nao</t>
        </is>
      </c>
      <c r="W1850" s="110" t="inlineStr">
        <is>
          <t>PC em analise</t>
        </is>
      </c>
      <c r="X1850" s="110" t="inlineStr">
        <is>
          <t>Pedido de Compra</t>
        </is>
      </c>
      <c r="Y1850" s="111" t="inlineStr">
        <is>
          <t>Impacto Potencial</t>
        </is>
      </c>
      <c r="Z1850" s="111" t="inlineStr">
        <is>
          <t>PC</t>
        </is>
      </c>
      <c r="AA1850" s="111" t="inlineStr">
        <is>
          <t>Nao</t>
        </is>
      </c>
      <c r="AB1850" s="111" t="inlineStr">
        <is>
          <t>NAO_COMPUTADO</t>
        </is>
      </c>
      <c r="AC1850" s="112" t="inlineStr">
        <is>
          <t>Estrutura Fase 1: sem impacto no VTA oficial</t>
        </is>
      </c>
    </row>
    <row r="1851" ht="25.5" customHeight="1" s="289">
      <c r="A1851" s="205" t="n"/>
      <c r="B1851" s="207" t="n"/>
      <c r="C1851" s="104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348" t="n"/>
      <c r="E1851" s="349">
        <f>IF(C1851="","",IFERROR(VLOOKUP(C1851,parametros!$A$11:$E$15,5,0),""))</f>
        <v/>
      </c>
      <c r="F1851" s="335">
        <f>IF(OR(D1851="",E1851=""),"",ROUND(D1851*E1851,2))</f>
        <v/>
      </c>
      <c r="G1851" s="106" t="n"/>
      <c r="H1851" s="350">
        <f>IF(G1851="Sim",IF(OR(F1851="",D1851="",L1851=""),"",IF(L1851="Sim",ROUND(F1851-D1851,2),0)),0)</f>
        <v/>
      </c>
      <c r="I1851" s="350">
        <f>IF(G1851="Sim",0,IF(OR(F1851="",L1851=""),"",F1851))</f>
        <v/>
      </c>
      <c r="J1851" s="350">
        <f>IF(G1851="Sim",0,IF(OR(F1851="",D1851="",L1851=""),"",IF(L1851="Sim",ROUND(F1851-D1851,2),0)))</f>
        <v/>
      </c>
      <c r="K1851" s="97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inlineStr">
        <is>
          <t>Nao</t>
        </is>
      </c>
      <c r="W1851" s="110" t="inlineStr">
        <is>
          <t>PC em analise</t>
        </is>
      </c>
      <c r="X1851" s="110" t="inlineStr">
        <is>
          <t>Pedido de Compra</t>
        </is>
      </c>
      <c r="Y1851" s="111" t="inlineStr">
        <is>
          <t>Impacto Potencial</t>
        </is>
      </c>
      <c r="Z1851" s="111" t="inlineStr">
        <is>
          <t>PC</t>
        </is>
      </c>
      <c r="AA1851" s="111" t="inlineStr">
        <is>
          <t>Nao</t>
        </is>
      </c>
      <c r="AB1851" s="111" t="inlineStr">
        <is>
          <t>NAO_COMPUTADO</t>
        </is>
      </c>
      <c r="AC1851" s="112" t="inlineStr">
        <is>
          <t>Estrutura Fase 1: sem impacto no VTA oficial</t>
        </is>
      </c>
    </row>
    <row r="1852" ht="25.5" customHeight="1" s="289">
      <c r="A1852" s="205" t="n"/>
      <c r="B1852" s="207" t="n"/>
      <c r="C1852" s="104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348" t="n"/>
      <c r="E1852" s="349">
        <f>IF(C1852="","",IFERROR(VLOOKUP(C1852,parametros!$A$11:$E$15,5,0),""))</f>
        <v/>
      </c>
      <c r="F1852" s="335">
        <f>IF(OR(D1852="",E1852=""),"",ROUND(D1852*E1852,2))</f>
        <v/>
      </c>
      <c r="G1852" s="106" t="n"/>
      <c r="H1852" s="350">
        <f>IF(G1852="Sim",IF(OR(F1852="",D1852="",L1852=""),"",IF(L1852="Sim",ROUND(F1852-D1852,2),0)),0)</f>
        <v/>
      </c>
      <c r="I1852" s="350">
        <f>IF(G1852="Sim",0,IF(OR(F1852="",L1852=""),"",F1852))</f>
        <v/>
      </c>
      <c r="J1852" s="350">
        <f>IF(G1852="Sim",0,IF(OR(F1852="",D1852="",L1852=""),"",IF(L1852="Sim",ROUND(F1852-D1852,2),0)))</f>
        <v/>
      </c>
      <c r="K1852" s="97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inlineStr">
        <is>
          <t>Nao</t>
        </is>
      </c>
      <c r="W1852" s="110" t="inlineStr">
        <is>
          <t>PC em analise</t>
        </is>
      </c>
      <c r="X1852" s="110" t="inlineStr">
        <is>
          <t>Pedido de Compra</t>
        </is>
      </c>
      <c r="Y1852" s="111" t="inlineStr">
        <is>
          <t>Impacto Potencial</t>
        </is>
      </c>
      <c r="Z1852" s="111" t="inlineStr">
        <is>
          <t>PC</t>
        </is>
      </c>
      <c r="AA1852" s="111" t="inlineStr">
        <is>
          <t>Nao</t>
        </is>
      </c>
      <c r="AB1852" s="111" t="inlineStr">
        <is>
          <t>NAO_COMPUTADO</t>
        </is>
      </c>
      <c r="AC1852" s="112" t="inlineStr">
        <is>
          <t>Estrutura Fase 1: sem impacto no VTA oficial</t>
        </is>
      </c>
    </row>
    <row r="1853" ht="25.5" customHeight="1" s="289">
      <c r="A1853" s="205" t="n"/>
      <c r="B1853" s="207" t="n"/>
      <c r="C1853" s="104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348" t="n"/>
      <c r="E1853" s="349">
        <f>IF(C1853="","",IFERROR(VLOOKUP(C1853,parametros!$A$11:$E$15,5,0),""))</f>
        <v/>
      </c>
      <c r="F1853" s="335">
        <f>IF(OR(D1853="",E1853=""),"",ROUND(D1853*E1853,2))</f>
        <v/>
      </c>
      <c r="G1853" s="106" t="n"/>
      <c r="H1853" s="350">
        <f>IF(G1853="Sim",IF(OR(F1853="",D1853="",L1853=""),"",IF(L1853="Sim",ROUND(F1853-D1853,2),0)),0)</f>
        <v/>
      </c>
      <c r="I1853" s="350">
        <f>IF(G1853="Sim",0,IF(OR(F1853="",L1853=""),"",F1853))</f>
        <v/>
      </c>
      <c r="J1853" s="350">
        <f>IF(G1853="Sim",0,IF(OR(F1853="",D1853="",L1853=""),"",IF(L1853="Sim",ROUND(F1853-D1853,2),0)))</f>
        <v/>
      </c>
      <c r="K1853" s="97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inlineStr">
        <is>
          <t>Nao</t>
        </is>
      </c>
      <c r="W1853" s="110" t="inlineStr">
        <is>
          <t>PC em analise</t>
        </is>
      </c>
      <c r="X1853" s="110" t="inlineStr">
        <is>
          <t>Pedido de Compra</t>
        </is>
      </c>
      <c r="Y1853" s="111" t="inlineStr">
        <is>
          <t>Impacto Potencial</t>
        </is>
      </c>
      <c r="Z1853" s="111" t="inlineStr">
        <is>
          <t>PC</t>
        </is>
      </c>
      <c r="AA1853" s="111" t="inlineStr">
        <is>
          <t>Nao</t>
        </is>
      </c>
      <c r="AB1853" s="111" t="inlineStr">
        <is>
          <t>NAO_COMPUTADO</t>
        </is>
      </c>
      <c r="AC1853" s="112" t="inlineStr">
        <is>
          <t>Estrutura Fase 1: sem impacto no VTA oficial</t>
        </is>
      </c>
    </row>
    <row r="1854" ht="25.5" customHeight="1" s="289">
      <c r="A1854" s="205" t="n"/>
      <c r="B1854" s="207" t="n"/>
      <c r="C1854" s="104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348" t="n"/>
      <c r="E1854" s="349">
        <f>IF(C1854="","",IFERROR(VLOOKUP(C1854,parametros!$A$11:$E$15,5,0),""))</f>
        <v/>
      </c>
      <c r="F1854" s="335">
        <f>IF(OR(D1854="",E1854=""),"",ROUND(D1854*E1854,2))</f>
        <v/>
      </c>
      <c r="G1854" s="106" t="n"/>
      <c r="H1854" s="350">
        <f>IF(G1854="Sim",IF(OR(F1854="",D1854="",L1854=""),"",IF(L1854="Sim",ROUND(F1854-D1854,2),0)),0)</f>
        <v/>
      </c>
      <c r="I1854" s="350">
        <f>IF(G1854="Sim",0,IF(OR(F1854="",L1854=""),"",F1854))</f>
        <v/>
      </c>
      <c r="J1854" s="350">
        <f>IF(G1854="Sim",0,IF(OR(F1854="",D1854="",L1854=""),"",IF(L1854="Sim",ROUND(F1854-D1854,2),0)))</f>
        <v/>
      </c>
      <c r="K1854" s="97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inlineStr">
        <is>
          <t>Nao</t>
        </is>
      </c>
      <c r="W1854" s="110" t="inlineStr">
        <is>
          <t>PC em analise</t>
        </is>
      </c>
      <c r="X1854" s="110" t="inlineStr">
        <is>
          <t>Pedido de Compra</t>
        </is>
      </c>
      <c r="Y1854" s="111" t="inlineStr">
        <is>
          <t>Impacto Potencial</t>
        </is>
      </c>
      <c r="Z1854" s="111" t="inlineStr">
        <is>
          <t>PC</t>
        </is>
      </c>
      <c r="AA1854" s="111" t="inlineStr">
        <is>
          <t>Nao</t>
        </is>
      </c>
      <c r="AB1854" s="111" t="inlineStr">
        <is>
          <t>NAO_COMPUTADO</t>
        </is>
      </c>
      <c r="AC1854" s="112" t="inlineStr">
        <is>
          <t>Estrutura Fase 1: sem impacto no VTA oficial</t>
        </is>
      </c>
    </row>
    <row r="1855" ht="25.5" customHeight="1" s="289">
      <c r="A1855" s="205" t="n"/>
      <c r="B1855" s="207" t="n"/>
      <c r="C1855" s="104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348" t="n"/>
      <c r="E1855" s="349">
        <f>IF(C1855="","",IFERROR(VLOOKUP(C1855,parametros!$A$11:$E$15,5,0),""))</f>
        <v/>
      </c>
      <c r="F1855" s="335">
        <f>IF(OR(D1855="",E1855=""),"",ROUND(D1855*E1855,2))</f>
        <v/>
      </c>
      <c r="G1855" s="106" t="n"/>
      <c r="H1855" s="350">
        <f>IF(G1855="Sim",IF(OR(F1855="",D1855="",L1855=""),"",IF(L1855="Sim",ROUND(F1855-D1855,2),0)),0)</f>
        <v/>
      </c>
      <c r="I1855" s="350">
        <f>IF(G1855="Sim",0,IF(OR(F1855="",L1855=""),"",F1855))</f>
        <v/>
      </c>
      <c r="J1855" s="350">
        <f>IF(G1855="Sim",0,IF(OR(F1855="",D1855="",L1855=""),"",IF(L1855="Sim",ROUND(F1855-D1855,2),0)))</f>
        <v/>
      </c>
      <c r="K1855" s="97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inlineStr">
        <is>
          <t>Nao</t>
        </is>
      </c>
      <c r="W1855" s="110" t="inlineStr">
        <is>
          <t>PC em analise</t>
        </is>
      </c>
      <c r="X1855" s="110" t="inlineStr">
        <is>
          <t>Pedido de Compra</t>
        </is>
      </c>
      <c r="Y1855" s="111" t="inlineStr">
        <is>
          <t>Impacto Potencial</t>
        </is>
      </c>
      <c r="Z1855" s="111" t="inlineStr">
        <is>
          <t>PC</t>
        </is>
      </c>
      <c r="AA1855" s="111" t="inlineStr">
        <is>
          <t>Nao</t>
        </is>
      </c>
      <c r="AB1855" s="111" t="inlineStr">
        <is>
          <t>NAO_COMPUTADO</t>
        </is>
      </c>
      <c r="AC1855" s="112" t="inlineStr">
        <is>
          <t>Estrutura Fase 1: sem impacto no VTA oficial</t>
        </is>
      </c>
    </row>
    <row r="1856" ht="25.5" customHeight="1" s="289">
      <c r="A1856" s="205" t="n"/>
      <c r="B1856" s="207" t="n"/>
      <c r="C1856" s="104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348" t="n"/>
      <c r="E1856" s="349">
        <f>IF(C1856="","",IFERROR(VLOOKUP(C1856,parametros!$A$11:$E$15,5,0),""))</f>
        <v/>
      </c>
      <c r="F1856" s="335">
        <f>IF(OR(D1856="",E1856=""),"",ROUND(D1856*E1856,2))</f>
        <v/>
      </c>
      <c r="G1856" s="106" t="n"/>
      <c r="H1856" s="350">
        <f>IF(G1856="Sim",IF(OR(F1856="",D1856="",L1856=""),"",IF(L1856="Sim",ROUND(F1856-D1856,2),0)),0)</f>
        <v/>
      </c>
      <c r="I1856" s="350">
        <f>IF(G1856="Sim",0,IF(OR(F1856="",L1856=""),"",F1856))</f>
        <v/>
      </c>
      <c r="J1856" s="350">
        <f>IF(G1856="Sim",0,IF(OR(F1856="",D1856="",L1856=""),"",IF(L1856="Sim",ROUND(F1856-D1856,2),0)))</f>
        <v/>
      </c>
      <c r="K1856" s="97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inlineStr">
        <is>
          <t>Nao</t>
        </is>
      </c>
      <c r="W1856" s="110" t="inlineStr">
        <is>
          <t>PC em analise</t>
        </is>
      </c>
      <c r="X1856" s="110" t="inlineStr">
        <is>
          <t>Pedido de Compra</t>
        </is>
      </c>
      <c r="Y1856" s="111" t="inlineStr">
        <is>
          <t>Impacto Potencial</t>
        </is>
      </c>
      <c r="Z1856" s="111" t="inlineStr">
        <is>
          <t>PC</t>
        </is>
      </c>
      <c r="AA1856" s="111" t="inlineStr">
        <is>
          <t>Nao</t>
        </is>
      </c>
      <c r="AB1856" s="111" t="inlineStr">
        <is>
          <t>NAO_COMPUTADO</t>
        </is>
      </c>
      <c r="AC1856" s="112" t="inlineStr">
        <is>
          <t>Estrutura Fase 1: sem impacto no VTA oficial</t>
        </is>
      </c>
    </row>
    <row r="1857" ht="25.5" customHeight="1" s="289">
      <c r="A1857" s="205" t="n"/>
      <c r="B1857" s="207" t="n"/>
      <c r="C1857" s="104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348" t="n"/>
      <c r="E1857" s="349">
        <f>IF(C1857="","",IFERROR(VLOOKUP(C1857,parametros!$A$11:$E$15,5,0),""))</f>
        <v/>
      </c>
      <c r="F1857" s="335">
        <f>IF(OR(D1857="",E1857=""),"",ROUND(D1857*E1857,2))</f>
        <v/>
      </c>
      <c r="G1857" s="106" t="n"/>
      <c r="H1857" s="350">
        <f>IF(G1857="Sim",IF(OR(F1857="",D1857="",L1857=""),"",IF(L1857="Sim",ROUND(F1857-D1857,2),0)),0)</f>
        <v/>
      </c>
      <c r="I1857" s="350">
        <f>IF(G1857="Sim",0,IF(OR(F1857="",L1857=""),"",F1857))</f>
        <v/>
      </c>
      <c r="J1857" s="350">
        <f>IF(G1857="Sim",0,IF(OR(F1857="",D1857="",L1857=""),"",IF(L1857="Sim",ROUND(F1857-D1857,2),0)))</f>
        <v/>
      </c>
      <c r="K1857" s="97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inlineStr">
        <is>
          <t>Nao</t>
        </is>
      </c>
      <c r="W1857" s="110" t="inlineStr">
        <is>
          <t>PC em analise</t>
        </is>
      </c>
      <c r="X1857" s="110" t="inlineStr">
        <is>
          <t>Pedido de Compra</t>
        </is>
      </c>
      <c r="Y1857" s="111" t="inlineStr">
        <is>
          <t>Impacto Potencial</t>
        </is>
      </c>
      <c r="Z1857" s="111" t="inlineStr">
        <is>
          <t>PC</t>
        </is>
      </c>
      <c r="AA1857" s="111" t="inlineStr">
        <is>
          <t>Nao</t>
        </is>
      </c>
      <c r="AB1857" s="111" t="inlineStr">
        <is>
          <t>NAO_COMPUTADO</t>
        </is>
      </c>
      <c r="AC1857" s="112" t="inlineStr">
        <is>
          <t>Estrutura Fase 1: sem impacto no VTA oficial</t>
        </is>
      </c>
    </row>
    <row r="1858" ht="25.5" customHeight="1" s="289">
      <c r="A1858" s="205" t="n"/>
      <c r="B1858" s="207" t="n"/>
      <c r="C1858" s="104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348" t="n"/>
      <c r="E1858" s="349">
        <f>IF(C1858="","",IFERROR(VLOOKUP(C1858,parametros!$A$11:$E$15,5,0),""))</f>
        <v/>
      </c>
      <c r="F1858" s="335">
        <f>IF(OR(D1858="",E1858=""),"",ROUND(D1858*E1858,2))</f>
        <v/>
      </c>
      <c r="G1858" s="106" t="n"/>
      <c r="H1858" s="350">
        <f>IF(G1858="Sim",IF(OR(F1858="",D1858="",L1858=""),"",IF(L1858="Sim",ROUND(F1858-D1858,2),0)),0)</f>
        <v/>
      </c>
      <c r="I1858" s="350">
        <f>IF(G1858="Sim",0,IF(OR(F1858="",L1858=""),"",F1858))</f>
        <v/>
      </c>
      <c r="J1858" s="350">
        <f>IF(G1858="Sim",0,IF(OR(F1858="",D1858="",L1858=""),"",IF(L1858="Sim",ROUND(F1858-D1858,2),0)))</f>
        <v/>
      </c>
      <c r="K1858" s="97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inlineStr">
        <is>
          <t>Nao</t>
        </is>
      </c>
      <c r="W1858" s="110" t="inlineStr">
        <is>
          <t>PC em analise</t>
        </is>
      </c>
      <c r="X1858" s="110" t="inlineStr">
        <is>
          <t>Pedido de Compra</t>
        </is>
      </c>
      <c r="Y1858" s="111" t="inlineStr">
        <is>
          <t>Impacto Potencial</t>
        </is>
      </c>
      <c r="Z1858" s="111" t="inlineStr">
        <is>
          <t>PC</t>
        </is>
      </c>
      <c r="AA1858" s="111" t="inlineStr">
        <is>
          <t>Nao</t>
        </is>
      </c>
      <c r="AB1858" s="111" t="inlineStr">
        <is>
          <t>NAO_COMPUTADO</t>
        </is>
      </c>
      <c r="AC1858" s="112" t="inlineStr">
        <is>
          <t>Estrutura Fase 1: sem impacto no VTA oficial</t>
        </is>
      </c>
    </row>
    <row r="1859" ht="25.5" customHeight="1" s="289">
      <c r="A1859" s="205" t="n"/>
      <c r="B1859" s="207" t="n"/>
      <c r="C1859" s="104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348" t="n"/>
      <c r="E1859" s="349">
        <f>IF(C1859="","",IFERROR(VLOOKUP(C1859,parametros!$A$11:$E$15,5,0),""))</f>
        <v/>
      </c>
      <c r="F1859" s="335">
        <f>IF(OR(D1859="",E1859=""),"",ROUND(D1859*E1859,2))</f>
        <v/>
      </c>
      <c r="G1859" s="106" t="n"/>
      <c r="H1859" s="350">
        <f>IF(G1859="Sim",IF(OR(F1859="",D1859="",L1859=""),"",IF(L1859="Sim",ROUND(F1859-D1859,2),0)),0)</f>
        <v/>
      </c>
      <c r="I1859" s="350">
        <f>IF(G1859="Sim",0,IF(OR(F1859="",L1859=""),"",F1859))</f>
        <v/>
      </c>
      <c r="J1859" s="350">
        <f>IF(G1859="Sim",0,IF(OR(F1859="",D1859="",L1859=""),"",IF(L1859="Sim",ROUND(F1859-D1859,2),0)))</f>
        <v/>
      </c>
      <c r="K1859" s="97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inlineStr">
        <is>
          <t>Nao</t>
        </is>
      </c>
      <c r="W1859" s="110" t="inlineStr">
        <is>
          <t>PC em analise</t>
        </is>
      </c>
      <c r="X1859" s="110" t="inlineStr">
        <is>
          <t>Pedido de Compra</t>
        </is>
      </c>
      <c r="Y1859" s="111" t="inlineStr">
        <is>
          <t>Impacto Potencial</t>
        </is>
      </c>
      <c r="Z1859" s="111" t="inlineStr">
        <is>
          <t>PC</t>
        </is>
      </c>
      <c r="AA1859" s="111" t="inlineStr">
        <is>
          <t>Nao</t>
        </is>
      </c>
      <c r="AB1859" s="111" t="inlineStr">
        <is>
          <t>NAO_COMPUTADO</t>
        </is>
      </c>
      <c r="AC1859" s="112" t="inlineStr">
        <is>
          <t>Estrutura Fase 1: sem impacto no VTA oficial</t>
        </is>
      </c>
    </row>
    <row r="1860" ht="25.5" customHeight="1" s="289">
      <c r="A1860" s="205" t="n"/>
      <c r="B1860" s="207" t="n"/>
      <c r="C1860" s="104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348" t="n"/>
      <c r="E1860" s="349">
        <f>IF(C1860="","",IFERROR(VLOOKUP(C1860,parametros!$A$11:$E$15,5,0),""))</f>
        <v/>
      </c>
      <c r="F1860" s="335">
        <f>IF(OR(D1860="",E1860=""),"",ROUND(D1860*E1860,2))</f>
        <v/>
      </c>
      <c r="G1860" s="106" t="n"/>
      <c r="H1860" s="350">
        <f>IF(G1860="Sim",IF(OR(F1860="",D1860="",L1860=""),"",IF(L1860="Sim",ROUND(F1860-D1860,2),0)),0)</f>
        <v/>
      </c>
      <c r="I1860" s="350">
        <f>IF(G1860="Sim",0,IF(OR(F1860="",L1860=""),"",F1860))</f>
        <v/>
      </c>
      <c r="J1860" s="350">
        <f>IF(G1860="Sim",0,IF(OR(F1860="",D1860="",L1860=""),"",IF(L1860="Sim",ROUND(F1860-D1860,2),0)))</f>
        <v/>
      </c>
      <c r="K1860" s="97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inlineStr">
        <is>
          <t>Nao</t>
        </is>
      </c>
      <c r="W1860" s="110" t="inlineStr">
        <is>
          <t>PC em analise</t>
        </is>
      </c>
      <c r="X1860" s="110" t="inlineStr">
        <is>
          <t>Pedido de Compra</t>
        </is>
      </c>
      <c r="Y1860" s="111" t="inlineStr">
        <is>
          <t>Impacto Potencial</t>
        </is>
      </c>
      <c r="Z1860" s="111" t="inlineStr">
        <is>
          <t>PC</t>
        </is>
      </c>
      <c r="AA1860" s="111" t="inlineStr">
        <is>
          <t>Nao</t>
        </is>
      </c>
      <c r="AB1860" s="111" t="inlineStr">
        <is>
          <t>NAO_COMPUTADO</t>
        </is>
      </c>
      <c r="AC1860" s="112" t="inlineStr">
        <is>
          <t>Estrutura Fase 1: sem impacto no VTA oficial</t>
        </is>
      </c>
    </row>
    <row r="1861" ht="25.5" customHeight="1" s="289">
      <c r="A1861" s="205" t="n"/>
      <c r="B1861" s="207" t="n"/>
      <c r="C1861" s="104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348" t="n"/>
      <c r="E1861" s="349">
        <f>IF(C1861="","",IFERROR(VLOOKUP(C1861,parametros!$A$11:$E$15,5,0),""))</f>
        <v/>
      </c>
      <c r="F1861" s="335">
        <f>IF(OR(D1861="",E1861=""),"",ROUND(D1861*E1861,2))</f>
        <v/>
      </c>
      <c r="G1861" s="106" t="n"/>
      <c r="H1861" s="350">
        <f>IF(G1861="Sim",IF(OR(F1861="",D1861="",L1861=""),"",IF(L1861="Sim",ROUND(F1861-D1861,2),0)),0)</f>
        <v/>
      </c>
      <c r="I1861" s="350">
        <f>IF(G1861="Sim",0,IF(OR(F1861="",L1861=""),"",F1861))</f>
        <v/>
      </c>
      <c r="J1861" s="350">
        <f>IF(G1861="Sim",0,IF(OR(F1861="",D1861="",L1861=""),"",IF(L1861="Sim",ROUND(F1861-D1861,2),0)))</f>
        <v/>
      </c>
      <c r="K1861" s="97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inlineStr">
        <is>
          <t>Nao</t>
        </is>
      </c>
      <c r="W1861" s="110" t="inlineStr">
        <is>
          <t>PC em analise</t>
        </is>
      </c>
      <c r="X1861" s="110" t="inlineStr">
        <is>
          <t>Pedido de Compra</t>
        </is>
      </c>
      <c r="Y1861" s="111" t="inlineStr">
        <is>
          <t>Impacto Potencial</t>
        </is>
      </c>
      <c r="Z1861" s="111" t="inlineStr">
        <is>
          <t>PC</t>
        </is>
      </c>
      <c r="AA1861" s="111" t="inlineStr">
        <is>
          <t>Nao</t>
        </is>
      </c>
      <c r="AB1861" s="111" t="inlineStr">
        <is>
          <t>NAO_COMPUTADO</t>
        </is>
      </c>
      <c r="AC1861" s="112" t="inlineStr">
        <is>
          <t>Estrutura Fase 1: sem impacto no VTA oficial</t>
        </is>
      </c>
    </row>
    <row r="1862" ht="25.5" customHeight="1" s="289">
      <c r="A1862" s="205" t="n"/>
      <c r="B1862" s="207" t="n"/>
      <c r="C1862" s="104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348" t="n"/>
      <c r="E1862" s="349">
        <f>IF(C1862="","",IFERROR(VLOOKUP(C1862,parametros!$A$11:$E$15,5,0),""))</f>
        <v/>
      </c>
      <c r="F1862" s="335">
        <f>IF(OR(D1862="",E1862=""),"",ROUND(D1862*E1862,2))</f>
        <v/>
      </c>
      <c r="G1862" s="106" t="n"/>
      <c r="H1862" s="350">
        <f>IF(G1862="Sim",IF(OR(F1862="",D1862="",L1862=""),"",IF(L1862="Sim",ROUND(F1862-D1862,2),0)),0)</f>
        <v/>
      </c>
      <c r="I1862" s="350">
        <f>IF(G1862="Sim",0,IF(OR(F1862="",L1862=""),"",F1862))</f>
        <v/>
      </c>
      <c r="J1862" s="350">
        <f>IF(G1862="Sim",0,IF(OR(F1862="",D1862="",L1862=""),"",IF(L1862="Sim",ROUND(F1862-D1862,2),0)))</f>
        <v/>
      </c>
      <c r="K1862" s="97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inlineStr">
        <is>
          <t>Nao</t>
        </is>
      </c>
      <c r="W1862" s="110" t="inlineStr">
        <is>
          <t>PC em analise</t>
        </is>
      </c>
      <c r="X1862" s="110" t="inlineStr">
        <is>
          <t>Pedido de Compra</t>
        </is>
      </c>
      <c r="Y1862" s="111" t="inlineStr">
        <is>
          <t>Impacto Potencial</t>
        </is>
      </c>
      <c r="Z1862" s="111" t="inlineStr">
        <is>
          <t>PC</t>
        </is>
      </c>
      <c r="AA1862" s="111" t="inlineStr">
        <is>
          <t>Nao</t>
        </is>
      </c>
      <c r="AB1862" s="111" t="inlineStr">
        <is>
          <t>NAO_COMPUTADO</t>
        </is>
      </c>
      <c r="AC1862" s="112" t="inlineStr">
        <is>
          <t>Estrutura Fase 1: sem impacto no VTA oficial</t>
        </is>
      </c>
    </row>
    <row r="1863" ht="25.5" customHeight="1" s="289">
      <c r="A1863" s="205" t="n"/>
      <c r="B1863" s="207" t="n"/>
      <c r="C1863" s="104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348" t="n"/>
      <c r="E1863" s="349">
        <f>IF(C1863="","",IFERROR(VLOOKUP(C1863,parametros!$A$11:$E$15,5,0),""))</f>
        <v/>
      </c>
      <c r="F1863" s="335">
        <f>IF(OR(D1863="",E1863=""),"",ROUND(D1863*E1863,2))</f>
        <v/>
      </c>
      <c r="G1863" s="106" t="n"/>
      <c r="H1863" s="350">
        <f>IF(G1863="Sim",IF(OR(F1863="",D1863="",L1863=""),"",IF(L1863="Sim",ROUND(F1863-D1863,2),0)),0)</f>
        <v/>
      </c>
      <c r="I1863" s="350">
        <f>IF(G1863="Sim",0,IF(OR(F1863="",L1863=""),"",F1863))</f>
        <v/>
      </c>
      <c r="J1863" s="350">
        <f>IF(G1863="Sim",0,IF(OR(F1863="",D1863="",L1863=""),"",IF(L1863="Sim",ROUND(F1863-D1863,2),0)))</f>
        <v/>
      </c>
      <c r="K1863" s="97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inlineStr">
        <is>
          <t>Nao</t>
        </is>
      </c>
      <c r="W1863" s="110" t="inlineStr">
        <is>
          <t>PC em analise</t>
        </is>
      </c>
      <c r="X1863" s="110" t="inlineStr">
        <is>
          <t>Pedido de Compra</t>
        </is>
      </c>
      <c r="Y1863" s="111" t="inlineStr">
        <is>
          <t>Impacto Potencial</t>
        </is>
      </c>
      <c r="Z1863" s="111" t="inlineStr">
        <is>
          <t>PC</t>
        </is>
      </c>
      <c r="AA1863" s="111" t="inlineStr">
        <is>
          <t>Nao</t>
        </is>
      </c>
      <c r="AB1863" s="111" t="inlineStr">
        <is>
          <t>NAO_COMPUTADO</t>
        </is>
      </c>
      <c r="AC1863" s="112" t="inlineStr">
        <is>
          <t>Estrutura Fase 1: sem impacto no VTA oficial</t>
        </is>
      </c>
    </row>
    <row r="1864" ht="25.5" customHeight="1" s="289">
      <c r="A1864" s="205" t="n"/>
      <c r="B1864" s="207" t="n"/>
      <c r="C1864" s="104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348" t="n"/>
      <c r="E1864" s="349">
        <f>IF(C1864="","",IFERROR(VLOOKUP(C1864,parametros!$A$11:$E$15,5,0),""))</f>
        <v/>
      </c>
      <c r="F1864" s="335">
        <f>IF(OR(D1864="",E1864=""),"",ROUND(D1864*E1864,2))</f>
        <v/>
      </c>
      <c r="G1864" s="106" t="n"/>
      <c r="H1864" s="350">
        <f>IF(G1864="Sim",IF(OR(F1864="",D1864="",L1864=""),"",IF(L1864="Sim",ROUND(F1864-D1864,2),0)),0)</f>
        <v/>
      </c>
      <c r="I1864" s="350">
        <f>IF(G1864="Sim",0,IF(OR(F1864="",L1864=""),"",F1864))</f>
        <v/>
      </c>
      <c r="J1864" s="350">
        <f>IF(G1864="Sim",0,IF(OR(F1864="",D1864="",L1864=""),"",IF(L1864="Sim",ROUND(F1864-D1864,2),0)))</f>
        <v/>
      </c>
      <c r="K1864" s="97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inlineStr">
        <is>
          <t>Nao</t>
        </is>
      </c>
      <c r="W1864" s="110" t="inlineStr">
        <is>
          <t>PC em analise</t>
        </is>
      </c>
      <c r="X1864" s="110" t="inlineStr">
        <is>
          <t>Pedido de Compra</t>
        </is>
      </c>
      <c r="Y1864" s="111" t="inlineStr">
        <is>
          <t>Impacto Potencial</t>
        </is>
      </c>
      <c r="Z1864" s="111" t="inlineStr">
        <is>
          <t>PC</t>
        </is>
      </c>
      <c r="AA1864" s="111" t="inlineStr">
        <is>
          <t>Nao</t>
        </is>
      </c>
      <c r="AB1864" s="111" t="inlineStr">
        <is>
          <t>NAO_COMPUTADO</t>
        </is>
      </c>
      <c r="AC1864" s="112" t="inlineStr">
        <is>
          <t>Estrutura Fase 1: sem impacto no VTA oficial</t>
        </is>
      </c>
    </row>
    <row r="1865" ht="25.5" customHeight="1" s="289">
      <c r="A1865" s="205" t="n"/>
      <c r="B1865" s="207" t="n"/>
      <c r="C1865" s="104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348" t="n"/>
      <c r="E1865" s="349">
        <f>IF(C1865="","",IFERROR(VLOOKUP(C1865,parametros!$A$11:$E$15,5,0),""))</f>
        <v/>
      </c>
      <c r="F1865" s="335">
        <f>IF(OR(D1865="",E1865=""),"",ROUND(D1865*E1865,2))</f>
        <v/>
      </c>
      <c r="G1865" s="106" t="n"/>
      <c r="H1865" s="350">
        <f>IF(G1865="Sim",IF(OR(F1865="",D1865="",L1865=""),"",IF(L1865="Sim",ROUND(F1865-D1865,2),0)),0)</f>
        <v/>
      </c>
      <c r="I1865" s="350">
        <f>IF(G1865="Sim",0,IF(OR(F1865="",L1865=""),"",F1865))</f>
        <v/>
      </c>
      <c r="J1865" s="350">
        <f>IF(G1865="Sim",0,IF(OR(F1865="",D1865="",L1865=""),"",IF(L1865="Sim",ROUND(F1865-D1865,2),0)))</f>
        <v/>
      </c>
      <c r="K1865" s="97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inlineStr">
        <is>
          <t>Nao</t>
        </is>
      </c>
      <c r="W1865" s="110" t="inlineStr">
        <is>
          <t>PC em analise</t>
        </is>
      </c>
      <c r="X1865" s="110" t="inlineStr">
        <is>
          <t>Pedido de Compra</t>
        </is>
      </c>
      <c r="Y1865" s="111" t="inlineStr">
        <is>
          <t>Impacto Potencial</t>
        </is>
      </c>
      <c r="Z1865" s="111" t="inlineStr">
        <is>
          <t>PC</t>
        </is>
      </c>
      <c r="AA1865" s="111" t="inlineStr">
        <is>
          <t>Nao</t>
        </is>
      </c>
      <c r="AB1865" s="111" t="inlineStr">
        <is>
          <t>NAO_COMPUTADO</t>
        </is>
      </c>
      <c r="AC1865" s="112" t="inlineStr">
        <is>
          <t>Estrutura Fase 1: sem impacto no VTA oficial</t>
        </is>
      </c>
    </row>
    <row r="1866" ht="25.5" customHeight="1" s="289">
      <c r="A1866" s="205" t="n"/>
      <c r="B1866" s="207" t="n"/>
      <c r="C1866" s="104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348" t="n"/>
      <c r="E1866" s="349">
        <f>IF(C1866="","",IFERROR(VLOOKUP(C1866,parametros!$A$11:$E$15,5,0),""))</f>
        <v/>
      </c>
      <c r="F1866" s="335">
        <f>IF(OR(D1866="",E1866=""),"",ROUND(D1866*E1866,2))</f>
        <v/>
      </c>
      <c r="G1866" s="106" t="n"/>
      <c r="H1866" s="350">
        <f>IF(G1866="Sim",IF(OR(F1866="",D1866="",L1866=""),"",IF(L1866="Sim",ROUND(F1866-D1866,2),0)),0)</f>
        <v/>
      </c>
      <c r="I1866" s="350">
        <f>IF(G1866="Sim",0,IF(OR(F1866="",L1866=""),"",F1866))</f>
        <v/>
      </c>
      <c r="J1866" s="350">
        <f>IF(G1866="Sim",0,IF(OR(F1866="",D1866="",L1866=""),"",IF(L1866="Sim",ROUND(F1866-D1866,2),0)))</f>
        <v/>
      </c>
      <c r="K1866" s="97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inlineStr">
        <is>
          <t>Nao</t>
        </is>
      </c>
      <c r="W1866" s="110" t="inlineStr">
        <is>
          <t>PC em analise</t>
        </is>
      </c>
      <c r="X1866" s="110" t="inlineStr">
        <is>
          <t>Pedido de Compra</t>
        </is>
      </c>
      <c r="Y1866" s="111" t="inlineStr">
        <is>
          <t>Impacto Potencial</t>
        </is>
      </c>
      <c r="Z1866" s="111" t="inlineStr">
        <is>
          <t>PC</t>
        </is>
      </c>
      <c r="AA1866" s="111" t="inlineStr">
        <is>
          <t>Nao</t>
        </is>
      </c>
      <c r="AB1866" s="111" t="inlineStr">
        <is>
          <t>NAO_COMPUTADO</t>
        </is>
      </c>
      <c r="AC1866" s="112" t="inlineStr">
        <is>
          <t>Estrutura Fase 1: sem impacto no VTA oficial</t>
        </is>
      </c>
    </row>
    <row r="1867" ht="25.5" customHeight="1" s="289">
      <c r="A1867" s="205" t="n"/>
      <c r="B1867" s="207" t="n"/>
      <c r="C1867" s="104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348" t="n"/>
      <c r="E1867" s="349">
        <f>IF(C1867="","",IFERROR(VLOOKUP(C1867,parametros!$A$11:$E$15,5,0),""))</f>
        <v/>
      </c>
      <c r="F1867" s="335">
        <f>IF(OR(D1867="",E1867=""),"",ROUND(D1867*E1867,2))</f>
        <v/>
      </c>
      <c r="G1867" s="106" t="n"/>
      <c r="H1867" s="350">
        <f>IF(G1867="Sim",IF(OR(F1867="",D1867="",L1867=""),"",IF(L1867="Sim",ROUND(F1867-D1867,2),0)),0)</f>
        <v/>
      </c>
      <c r="I1867" s="350">
        <f>IF(G1867="Sim",0,IF(OR(F1867="",L1867=""),"",F1867))</f>
        <v/>
      </c>
      <c r="J1867" s="350">
        <f>IF(G1867="Sim",0,IF(OR(F1867="",D1867="",L1867=""),"",IF(L1867="Sim",ROUND(F1867-D1867,2),0)))</f>
        <v/>
      </c>
      <c r="K1867" s="97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inlineStr">
        <is>
          <t>Nao</t>
        </is>
      </c>
      <c r="W1867" s="110" t="inlineStr">
        <is>
          <t>PC em analise</t>
        </is>
      </c>
      <c r="X1867" s="110" t="inlineStr">
        <is>
          <t>Pedido de Compra</t>
        </is>
      </c>
      <c r="Y1867" s="111" t="inlineStr">
        <is>
          <t>Impacto Potencial</t>
        </is>
      </c>
      <c r="Z1867" s="111" t="inlineStr">
        <is>
          <t>PC</t>
        </is>
      </c>
      <c r="AA1867" s="111" t="inlineStr">
        <is>
          <t>Nao</t>
        </is>
      </c>
      <c r="AB1867" s="111" t="inlineStr">
        <is>
          <t>NAO_COMPUTADO</t>
        </is>
      </c>
      <c r="AC1867" s="112" t="inlineStr">
        <is>
          <t>Estrutura Fase 1: sem impacto no VTA oficial</t>
        </is>
      </c>
    </row>
    <row r="1868" ht="25.5" customHeight="1" s="289">
      <c r="A1868" s="205" t="n"/>
      <c r="B1868" s="207" t="n"/>
      <c r="C1868" s="104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348" t="n"/>
      <c r="E1868" s="349">
        <f>IF(C1868="","",IFERROR(VLOOKUP(C1868,parametros!$A$11:$E$15,5,0),""))</f>
        <v/>
      </c>
      <c r="F1868" s="335">
        <f>IF(OR(D1868="",E1868=""),"",ROUND(D1868*E1868,2))</f>
        <v/>
      </c>
      <c r="G1868" s="106" t="n"/>
      <c r="H1868" s="350">
        <f>IF(G1868="Sim",IF(OR(F1868="",D1868="",L1868=""),"",IF(L1868="Sim",ROUND(F1868-D1868,2),0)),0)</f>
        <v/>
      </c>
      <c r="I1868" s="350">
        <f>IF(G1868="Sim",0,IF(OR(F1868="",L1868=""),"",F1868))</f>
        <v/>
      </c>
      <c r="J1868" s="350">
        <f>IF(G1868="Sim",0,IF(OR(F1868="",D1868="",L1868=""),"",IF(L1868="Sim",ROUND(F1868-D1868,2),0)))</f>
        <v/>
      </c>
      <c r="K1868" s="97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inlineStr">
        <is>
          <t>Nao</t>
        </is>
      </c>
      <c r="W1868" s="110" t="inlineStr">
        <is>
          <t>PC em analise</t>
        </is>
      </c>
      <c r="X1868" s="110" t="inlineStr">
        <is>
          <t>Pedido de Compra</t>
        </is>
      </c>
      <c r="Y1868" s="111" t="inlineStr">
        <is>
          <t>Impacto Potencial</t>
        </is>
      </c>
      <c r="Z1868" s="111" t="inlineStr">
        <is>
          <t>PC</t>
        </is>
      </c>
      <c r="AA1868" s="111" t="inlineStr">
        <is>
          <t>Nao</t>
        </is>
      </c>
      <c r="AB1868" s="111" t="inlineStr">
        <is>
          <t>NAO_COMPUTADO</t>
        </is>
      </c>
      <c r="AC1868" s="112" t="inlineStr">
        <is>
          <t>Estrutura Fase 1: sem impacto no VTA oficial</t>
        </is>
      </c>
    </row>
    <row r="1869" ht="25.5" customHeight="1" s="289">
      <c r="A1869" s="205" t="n"/>
      <c r="B1869" s="207" t="n"/>
      <c r="C1869" s="104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348" t="n"/>
      <c r="E1869" s="349">
        <f>IF(C1869="","",IFERROR(VLOOKUP(C1869,parametros!$A$11:$E$15,5,0),""))</f>
        <v/>
      </c>
      <c r="F1869" s="335">
        <f>IF(OR(D1869="",E1869=""),"",ROUND(D1869*E1869,2))</f>
        <v/>
      </c>
      <c r="G1869" s="106" t="n"/>
      <c r="H1869" s="350">
        <f>IF(G1869="Sim",IF(OR(F1869="",D1869="",L1869=""),"",IF(L1869="Sim",ROUND(F1869-D1869,2),0)),0)</f>
        <v/>
      </c>
      <c r="I1869" s="350">
        <f>IF(G1869="Sim",0,IF(OR(F1869="",L1869=""),"",F1869))</f>
        <v/>
      </c>
      <c r="J1869" s="350">
        <f>IF(G1869="Sim",0,IF(OR(F1869="",D1869="",L1869=""),"",IF(L1869="Sim",ROUND(F1869-D1869,2),0)))</f>
        <v/>
      </c>
      <c r="K1869" s="97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inlineStr">
        <is>
          <t>Nao</t>
        </is>
      </c>
      <c r="W1869" s="110" t="inlineStr">
        <is>
          <t>PC em analise</t>
        </is>
      </c>
      <c r="X1869" s="110" t="inlineStr">
        <is>
          <t>Pedido de Compra</t>
        </is>
      </c>
      <c r="Y1869" s="111" t="inlineStr">
        <is>
          <t>Impacto Potencial</t>
        </is>
      </c>
      <c r="Z1869" s="111" t="inlineStr">
        <is>
          <t>PC</t>
        </is>
      </c>
      <c r="AA1869" s="111" t="inlineStr">
        <is>
          <t>Nao</t>
        </is>
      </c>
      <c r="AB1869" s="111" t="inlineStr">
        <is>
          <t>NAO_COMPUTADO</t>
        </is>
      </c>
      <c r="AC1869" s="112" t="inlineStr">
        <is>
          <t>Estrutura Fase 1: sem impacto no VTA oficial</t>
        </is>
      </c>
    </row>
    <row r="1870" ht="25.5" customHeight="1" s="289">
      <c r="A1870" s="205" t="n"/>
      <c r="B1870" s="207" t="n"/>
      <c r="C1870" s="104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348" t="n"/>
      <c r="E1870" s="349">
        <f>IF(C1870="","",IFERROR(VLOOKUP(C1870,parametros!$A$11:$E$15,5,0),""))</f>
        <v/>
      </c>
      <c r="F1870" s="335">
        <f>IF(OR(D1870="",E1870=""),"",ROUND(D1870*E1870,2))</f>
        <v/>
      </c>
      <c r="G1870" s="106" t="n"/>
      <c r="H1870" s="350">
        <f>IF(G1870="Sim",IF(OR(F1870="",D1870="",L1870=""),"",IF(L1870="Sim",ROUND(F1870-D1870,2),0)),0)</f>
        <v/>
      </c>
      <c r="I1870" s="350">
        <f>IF(G1870="Sim",0,IF(OR(F1870="",L1870=""),"",F1870))</f>
        <v/>
      </c>
      <c r="J1870" s="350">
        <f>IF(G1870="Sim",0,IF(OR(F1870="",D1870="",L1870=""),"",IF(L1870="Sim",ROUND(F1870-D1870,2),0)))</f>
        <v/>
      </c>
      <c r="K1870" s="97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inlineStr">
        <is>
          <t>Nao</t>
        </is>
      </c>
      <c r="W1870" s="110" t="inlineStr">
        <is>
          <t>PC em analise</t>
        </is>
      </c>
      <c r="X1870" s="110" t="inlineStr">
        <is>
          <t>Pedido de Compra</t>
        </is>
      </c>
      <c r="Y1870" s="111" t="inlineStr">
        <is>
          <t>Impacto Potencial</t>
        </is>
      </c>
      <c r="Z1870" s="111" t="inlineStr">
        <is>
          <t>PC</t>
        </is>
      </c>
      <c r="AA1870" s="111" t="inlineStr">
        <is>
          <t>Nao</t>
        </is>
      </c>
      <c r="AB1870" s="111" t="inlineStr">
        <is>
          <t>NAO_COMPUTADO</t>
        </is>
      </c>
      <c r="AC1870" s="112" t="inlineStr">
        <is>
          <t>Estrutura Fase 1: sem impacto no VTA oficial</t>
        </is>
      </c>
    </row>
    <row r="1871" ht="25.5" customHeight="1" s="289">
      <c r="A1871" s="205" t="n"/>
      <c r="B1871" s="207" t="n"/>
      <c r="C1871" s="104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348" t="n"/>
      <c r="E1871" s="349">
        <f>IF(C1871="","",IFERROR(VLOOKUP(C1871,parametros!$A$11:$E$15,5,0),""))</f>
        <v/>
      </c>
      <c r="F1871" s="335">
        <f>IF(OR(D1871="",E1871=""),"",ROUND(D1871*E1871,2))</f>
        <v/>
      </c>
      <c r="G1871" s="106" t="n"/>
      <c r="H1871" s="350">
        <f>IF(G1871="Sim",IF(OR(F1871="",D1871="",L1871=""),"",IF(L1871="Sim",ROUND(F1871-D1871,2),0)),0)</f>
        <v/>
      </c>
      <c r="I1871" s="350">
        <f>IF(G1871="Sim",0,IF(OR(F1871="",L1871=""),"",F1871))</f>
        <v/>
      </c>
      <c r="J1871" s="350">
        <f>IF(G1871="Sim",0,IF(OR(F1871="",D1871="",L1871=""),"",IF(L1871="Sim",ROUND(F1871-D1871,2),0)))</f>
        <v/>
      </c>
      <c r="K1871" s="97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inlineStr">
        <is>
          <t>Nao</t>
        </is>
      </c>
      <c r="W1871" s="110" t="inlineStr">
        <is>
          <t>PC em analise</t>
        </is>
      </c>
      <c r="X1871" s="110" t="inlineStr">
        <is>
          <t>Pedido de Compra</t>
        </is>
      </c>
      <c r="Y1871" s="111" t="inlineStr">
        <is>
          <t>Impacto Potencial</t>
        </is>
      </c>
      <c r="Z1871" s="111" t="inlineStr">
        <is>
          <t>PC</t>
        </is>
      </c>
      <c r="AA1871" s="111" t="inlineStr">
        <is>
          <t>Nao</t>
        </is>
      </c>
      <c r="AB1871" s="111" t="inlineStr">
        <is>
          <t>NAO_COMPUTADO</t>
        </is>
      </c>
      <c r="AC1871" s="112" t="inlineStr">
        <is>
          <t>Estrutura Fase 1: sem impacto no VTA oficial</t>
        </is>
      </c>
    </row>
    <row r="1872" ht="25.5" customHeight="1" s="289">
      <c r="A1872" s="205" t="n"/>
      <c r="B1872" s="207" t="n"/>
      <c r="C1872" s="104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348" t="n"/>
      <c r="E1872" s="349">
        <f>IF(C1872="","",IFERROR(VLOOKUP(C1872,parametros!$A$11:$E$15,5,0),""))</f>
        <v/>
      </c>
      <c r="F1872" s="335">
        <f>IF(OR(D1872="",E1872=""),"",ROUND(D1872*E1872,2))</f>
        <v/>
      </c>
      <c r="G1872" s="106" t="n"/>
      <c r="H1872" s="350">
        <f>IF(G1872="Sim",IF(OR(F1872="",D1872="",L1872=""),"",IF(L1872="Sim",ROUND(F1872-D1872,2),0)),0)</f>
        <v/>
      </c>
      <c r="I1872" s="350">
        <f>IF(G1872="Sim",0,IF(OR(F1872="",L1872=""),"",F1872))</f>
        <v/>
      </c>
      <c r="J1872" s="350">
        <f>IF(G1872="Sim",0,IF(OR(F1872="",D1872="",L1872=""),"",IF(L1872="Sim",ROUND(F1872-D1872,2),0)))</f>
        <v/>
      </c>
      <c r="K1872" s="97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inlineStr">
        <is>
          <t>Nao</t>
        </is>
      </c>
      <c r="W1872" s="110" t="inlineStr">
        <is>
          <t>PC em analise</t>
        </is>
      </c>
      <c r="X1872" s="110" t="inlineStr">
        <is>
          <t>Pedido de Compra</t>
        </is>
      </c>
      <c r="Y1872" s="111" t="inlineStr">
        <is>
          <t>Impacto Potencial</t>
        </is>
      </c>
      <c r="Z1872" s="111" t="inlineStr">
        <is>
          <t>PC</t>
        </is>
      </c>
      <c r="AA1872" s="111" t="inlineStr">
        <is>
          <t>Nao</t>
        </is>
      </c>
      <c r="AB1872" s="111" t="inlineStr">
        <is>
          <t>NAO_COMPUTADO</t>
        </is>
      </c>
      <c r="AC1872" s="112" t="inlineStr">
        <is>
          <t>Estrutura Fase 1: sem impacto no VTA oficial</t>
        </is>
      </c>
    </row>
    <row r="1873" ht="25.5" customHeight="1" s="289">
      <c r="A1873" s="205" t="n"/>
      <c r="B1873" s="207" t="n"/>
      <c r="C1873" s="104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348" t="n"/>
      <c r="E1873" s="349">
        <f>IF(C1873="","",IFERROR(VLOOKUP(C1873,parametros!$A$11:$E$15,5,0),""))</f>
        <v/>
      </c>
      <c r="F1873" s="335">
        <f>IF(OR(D1873="",E1873=""),"",ROUND(D1873*E1873,2))</f>
        <v/>
      </c>
      <c r="G1873" s="106" t="n"/>
      <c r="H1873" s="350">
        <f>IF(G1873="Sim",IF(OR(F1873="",D1873="",L1873=""),"",IF(L1873="Sim",ROUND(F1873-D1873,2),0)),0)</f>
        <v/>
      </c>
      <c r="I1873" s="350">
        <f>IF(G1873="Sim",0,IF(OR(F1873="",L1873=""),"",F1873))</f>
        <v/>
      </c>
      <c r="J1873" s="350">
        <f>IF(G1873="Sim",0,IF(OR(F1873="",D1873="",L1873=""),"",IF(L1873="Sim",ROUND(F1873-D1873,2),0)))</f>
        <v/>
      </c>
      <c r="K1873" s="97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inlineStr">
        <is>
          <t>Nao</t>
        </is>
      </c>
      <c r="W1873" s="110" t="inlineStr">
        <is>
          <t>PC em analise</t>
        </is>
      </c>
      <c r="X1873" s="110" t="inlineStr">
        <is>
          <t>Pedido de Compra</t>
        </is>
      </c>
      <c r="Y1873" s="111" t="inlineStr">
        <is>
          <t>Impacto Potencial</t>
        </is>
      </c>
      <c r="Z1873" s="111" t="inlineStr">
        <is>
          <t>PC</t>
        </is>
      </c>
      <c r="AA1873" s="111" t="inlineStr">
        <is>
          <t>Nao</t>
        </is>
      </c>
      <c r="AB1873" s="111" t="inlineStr">
        <is>
          <t>NAO_COMPUTADO</t>
        </is>
      </c>
      <c r="AC1873" s="112" t="inlineStr">
        <is>
          <t>Estrutura Fase 1: sem impacto no VTA oficial</t>
        </is>
      </c>
    </row>
    <row r="1874" ht="25.5" customHeight="1" s="289">
      <c r="A1874" s="205" t="n"/>
      <c r="B1874" s="207" t="n"/>
      <c r="C1874" s="104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348" t="n"/>
      <c r="E1874" s="349">
        <f>IF(C1874="","",IFERROR(VLOOKUP(C1874,parametros!$A$11:$E$15,5,0),""))</f>
        <v/>
      </c>
      <c r="F1874" s="335">
        <f>IF(OR(D1874="",E1874=""),"",ROUND(D1874*E1874,2))</f>
        <v/>
      </c>
      <c r="G1874" s="106" t="n"/>
      <c r="H1874" s="350">
        <f>IF(G1874="Sim",IF(OR(F1874="",D1874="",L1874=""),"",IF(L1874="Sim",ROUND(F1874-D1874,2),0)),0)</f>
        <v/>
      </c>
      <c r="I1874" s="350">
        <f>IF(G1874="Sim",0,IF(OR(F1874="",L1874=""),"",F1874))</f>
        <v/>
      </c>
      <c r="J1874" s="350">
        <f>IF(G1874="Sim",0,IF(OR(F1874="",D1874="",L1874=""),"",IF(L1874="Sim",ROUND(F1874-D1874,2),0)))</f>
        <v/>
      </c>
      <c r="K1874" s="97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inlineStr">
        <is>
          <t>Nao</t>
        </is>
      </c>
      <c r="W1874" s="110" t="inlineStr">
        <is>
          <t>PC em analise</t>
        </is>
      </c>
      <c r="X1874" s="110" t="inlineStr">
        <is>
          <t>Pedido de Compra</t>
        </is>
      </c>
      <c r="Y1874" s="111" t="inlineStr">
        <is>
          <t>Impacto Potencial</t>
        </is>
      </c>
      <c r="Z1874" s="111" t="inlineStr">
        <is>
          <t>PC</t>
        </is>
      </c>
      <c r="AA1874" s="111" t="inlineStr">
        <is>
          <t>Nao</t>
        </is>
      </c>
      <c r="AB1874" s="111" t="inlineStr">
        <is>
          <t>NAO_COMPUTADO</t>
        </is>
      </c>
      <c r="AC1874" s="112" t="inlineStr">
        <is>
          <t>Estrutura Fase 1: sem impacto no VTA oficial</t>
        </is>
      </c>
    </row>
    <row r="1875" ht="25.5" customHeight="1" s="289">
      <c r="A1875" s="205" t="n"/>
      <c r="B1875" s="207" t="n"/>
      <c r="C1875" s="104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348" t="n"/>
      <c r="E1875" s="349">
        <f>IF(C1875="","",IFERROR(VLOOKUP(C1875,parametros!$A$11:$E$15,5,0),""))</f>
        <v/>
      </c>
      <c r="F1875" s="335">
        <f>IF(OR(D1875="",E1875=""),"",ROUND(D1875*E1875,2))</f>
        <v/>
      </c>
      <c r="G1875" s="106" t="n"/>
      <c r="H1875" s="350">
        <f>IF(G1875="Sim",IF(OR(F1875="",D1875="",L1875=""),"",IF(L1875="Sim",ROUND(F1875-D1875,2),0)),0)</f>
        <v/>
      </c>
      <c r="I1875" s="350">
        <f>IF(G1875="Sim",0,IF(OR(F1875="",L1875=""),"",F1875))</f>
        <v/>
      </c>
      <c r="J1875" s="350">
        <f>IF(G1875="Sim",0,IF(OR(F1875="",D1875="",L1875=""),"",IF(L1875="Sim",ROUND(F1875-D1875,2),0)))</f>
        <v/>
      </c>
      <c r="K1875" s="97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inlineStr">
        <is>
          <t>Nao</t>
        </is>
      </c>
      <c r="W1875" s="110" t="inlineStr">
        <is>
          <t>PC em analise</t>
        </is>
      </c>
      <c r="X1875" s="110" t="inlineStr">
        <is>
          <t>Pedido de Compra</t>
        </is>
      </c>
      <c r="Y1875" s="111" t="inlineStr">
        <is>
          <t>Impacto Potencial</t>
        </is>
      </c>
      <c r="Z1875" s="111" t="inlineStr">
        <is>
          <t>PC</t>
        </is>
      </c>
      <c r="AA1875" s="111" t="inlineStr">
        <is>
          <t>Nao</t>
        </is>
      </c>
      <c r="AB1875" s="111" t="inlineStr">
        <is>
          <t>NAO_COMPUTADO</t>
        </is>
      </c>
      <c r="AC1875" s="112" t="inlineStr">
        <is>
          <t>Estrutura Fase 1: sem impacto no VTA oficial</t>
        </is>
      </c>
    </row>
    <row r="1876" ht="25.5" customHeight="1" s="289">
      <c r="A1876" s="205" t="n"/>
      <c r="B1876" s="207" t="n"/>
      <c r="C1876" s="104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348" t="n"/>
      <c r="E1876" s="349">
        <f>IF(C1876="","",IFERROR(VLOOKUP(C1876,parametros!$A$11:$E$15,5,0),""))</f>
        <v/>
      </c>
      <c r="F1876" s="335">
        <f>IF(OR(D1876="",E1876=""),"",ROUND(D1876*E1876,2))</f>
        <v/>
      </c>
      <c r="G1876" s="106" t="n"/>
      <c r="H1876" s="350">
        <f>IF(G1876="Sim",IF(OR(F1876="",D1876="",L1876=""),"",IF(L1876="Sim",ROUND(F1876-D1876,2),0)),0)</f>
        <v/>
      </c>
      <c r="I1876" s="350">
        <f>IF(G1876="Sim",0,IF(OR(F1876="",L1876=""),"",F1876))</f>
        <v/>
      </c>
      <c r="J1876" s="350">
        <f>IF(G1876="Sim",0,IF(OR(F1876="",D1876="",L1876=""),"",IF(L1876="Sim",ROUND(F1876-D1876,2),0)))</f>
        <v/>
      </c>
      <c r="K1876" s="97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inlineStr">
        <is>
          <t>Nao</t>
        </is>
      </c>
      <c r="W1876" s="110" t="inlineStr">
        <is>
          <t>PC em analise</t>
        </is>
      </c>
      <c r="X1876" s="110" t="inlineStr">
        <is>
          <t>Pedido de Compra</t>
        </is>
      </c>
      <c r="Y1876" s="111" t="inlineStr">
        <is>
          <t>Impacto Potencial</t>
        </is>
      </c>
      <c r="Z1876" s="111" t="inlineStr">
        <is>
          <t>PC</t>
        </is>
      </c>
      <c r="AA1876" s="111" t="inlineStr">
        <is>
          <t>Nao</t>
        </is>
      </c>
      <c r="AB1876" s="111" t="inlineStr">
        <is>
          <t>NAO_COMPUTADO</t>
        </is>
      </c>
      <c r="AC1876" s="112" t="inlineStr">
        <is>
          <t>Estrutura Fase 1: sem impacto no VTA oficial</t>
        </is>
      </c>
    </row>
    <row r="1877" ht="25.5" customHeight="1" s="289">
      <c r="A1877" s="205" t="n"/>
      <c r="B1877" s="207" t="n"/>
      <c r="C1877" s="104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348" t="n"/>
      <c r="E1877" s="349">
        <f>IF(C1877="","",IFERROR(VLOOKUP(C1877,parametros!$A$11:$E$15,5,0),""))</f>
        <v/>
      </c>
      <c r="F1877" s="335">
        <f>IF(OR(D1877="",E1877=""),"",ROUND(D1877*E1877,2))</f>
        <v/>
      </c>
      <c r="G1877" s="106" t="n"/>
      <c r="H1877" s="350">
        <f>IF(G1877="Sim",IF(OR(F1877="",D1877="",L1877=""),"",IF(L1877="Sim",ROUND(F1877-D1877,2),0)),0)</f>
        <v/>
      </c>
      <c r="I1877" s="350">
        <f>IF(G1877="Sim",0,IF(OR(F1877="",L1877=""),"",F1877))</f>
        <v/>
      </c>
      <c r="J1877" s="350">
        <f>IF(G1877="Sim",0,IF(OR(F1877="",D1877="",L1877=""),"",IF(L1877="Sim",ROUND(F1877-D1877,2),0)))</f>
        <v/>
      </c>
      <c r="K1877" s="97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inlineStr">
        <is>
          <t>Nao</t>
        </is>
      </c>
      <c r="W1877" s="110" t="inlineStr">
        <is>
          <t>PC em analise</t>
        </is>
      </c>
      <c r="X1877" s="110" t="inlineStr">
        <is>
          <t>Pedido de Compra</t>
        </is>
      </c>
      <c r="Y1877" s="111" t="inlineStr">
        <is>
          <t>Impacto Potencial</t>
        </is>
      </c>
      <c r="Z1877" s="111" t="inlineStr">
        <is>
          <t>PC</t>
        </is>
      </c>
      <c r="AA1877" s="111" t="inlineStr">
        <is>
          <t>Nao</t>
        </is>
      </c>
      <c r="AB1877" s="111" t="inlineStr">
        <is>
          <t>NAO_COMPUTADO</t>
        </is>
      </c>
      <c r="AC1877" s="112" t="inlineStr">
        <is>
          <t>Estrutura Fase 1: sem impacto no VTA oficial</t>
        </is>
      </c>
    </row>
    <row r="1878" ht="25.5" customHeight="1" s="289">
      <c r="A1878" s="205" t="n"/>
      <c r="B1878" s="207" t="n"/>
      <c r="C1878" s="104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348" t="n"/>
      <c r="E1878" s="349">
        <f>IF(C1878="","",IFERROR(VLOOKUP(C1878,parametros!$A$11:$E$15,5,0),""))</f>
        <v/>
      </c>
      <c r="F1878" s="335">
        <f>IF(OR(D1878="",E1878=""),"",ROUND(D1878*E1878,2))</f>
        <v/>
      </c>
      <c r="G1878" s="106" t="n"/>
      <c r="H1878" s="350">
        <f>IF(G1878="Sim",IF(OR(F1878="",D1878="",L1878=""),"",IF(L1878="Sim",ROUND(F1878-D1878,2),0)),0)</f>
        <v/>
      </c>
      <c r="I1878" s="350">
        <f>IF(G1878="Sim",0,IF(OR(F1878="",L1878=""),"",F1878))</f>
        <v/>
      </c>
      <c r="J1878" s="350">
        <f>IF(G1878="Sim",0,IF(OR(F1878="",D1878="",L1878=""),"",IF(L1878="Sim",ROUND(F1878-D1878,2),0)))</f>
        <v/>
      </c>
      <c r="K1878" s="97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inlineStr">
        <is>
          <t>Nao</t>
        </is>
      </c>
      <c r="W1878" s="110" t="inlineStr">
        <is>
          <t>PC em analise</t>
        </is>
      </c>
      <c r="X1878" s="110" t="inlineStr">
        <is>
          <t>Pedido de Compra</t>
        </is>
      </c>
      <c r="Y1878" s="111" t="inlineStr">
        <is>
          <t>Impacto Potencial</t>
        </is>
      </c>
      <c r="Z1878" s="111" t="inlineStr">
        <is>
          <t>PC</t>
        </is>
      </c>
      <c r="AA1878" s="111" t="inlineStr">
        <is>
          <t>Nao</t>
        </is>
      </c>
      <c r="AB1878" s="111" t="inlineStr">
        <is>
          <t>NAO_COMPUTADO</t>
        </is>
      </c>
      <c r="AC1878" s="112" t="inlineStr">
        <is>
          <t>Estrutura Fase 1: sem impacto no VTA oficial</t>
        </is>
      </c>
    </row>
    <row r="1879" ht="25.5" customHeight="1" s="289">
      <c r="A1879" s="205" t="n"/>
      <c r="B1879" s="207" t="n"/>
      <c r="C1879" s="104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348" t="n"/>
      <c r="E1879" s="349">
        <f>IF(C1879="","",IFERROR(VLOOKUP(C1879,parametros!$A$11:$E$15,5,0),""))</f>
        <v/>
      </c>
      <c r="F1879" s="335">
        <f>IF(OR(D1879="",E1879=""),"",ROUND(D1879*E1879,2))</f>
        <v/>
      </c>
      <c r="G1879" s="106" t="n"/>
      <c r="H1879" s="350">
        <f>IF(G1879="Sim",IF(OR(F1879="",D1879="",L1879=""),"",IF(L1879="Sim",ROUND(F1879-D1879,2),0)),0)</f>
        <v/>
      </c>
      <c r="I1879" s="350">
        <f>IF(G1879="Sim",0,IF(OR(F1879="",L1879=""),"",F1879))</f>
        <v/>
      </c>
      <c r="J1879" s="350">
        <f>IF(G1879="Sim",0,IF(OR(F1879="",D1879="",L1879=""),"",IF(L1879="Sim",ROUND(F1879-D1879,2),0)))</f>
        <v/>
      </c>
      <c r="K1879" s="97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inlineStr">
        <is>
          <t>Nao</t>
        </is>
      </c>
      <c r="W1879" s="110" t="inlineStr">
        <is>
          <t>PC em analise</t>
        </is>
      </c>
      <c r="X1879" s="110" t="inlineStr">
        <is>
          <t>Pedido de Compra</t>
        </is>
      </c>
      <c r="Y1879" s="111" t="inlineStr">
        <is>
          <t>Impacto Potencial</t>
        </is>
      </c>
      <c r="Z1879" s="111" t="inlineStr">
        <is>
          <t>PC</t>
        </is>
      </c>
      <c r="AA1879" s="111" t="inlineStr">
        <is>
          <t>Nao</t>
        </is>
      </c>
      <c r="AB1879" s="111" t="inlineStr">
        <is>
          <t>NAO_COMPUTADO</t>
        </is>
      </c>
      <c r="AC1879" s="112" t="inlineStr">
        <is>
          <t>Estrutura Fase 1: sem impacto no VTA oficial</t>
        </is>
      </c>
    </row>
    <row r="1880" ht="25.5" customHeight="1" s="289">
      <c r="A1880" s="205" t="n"/>
      <c r="B1880" s="207" t="n"/>
      <c r="C1880" s="104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348" t="n"/>
      <c r="E1880" s="349">
        <f>IF(C1880="","",IFERROR(VLOOKUP(C1880,parametros!$A$11:$E$15,5,0),""))</f>
        <v/>
      </c>
      <c r="F1880" s="335">
        <f>IF(OR(D1880="",E1880=""),"",ROUND(D1880*E1880,2))</f>
        <v/>
      </c>
      <c r="G1880" s="106" t="n"/>
      <c r="H1880" s="350">
        <f>IF(G1880="Sim",IF(OR(F1880="",D1880="",L1880=""),"",IF(L1880="Sim",ROUND(F1880-D1880,2),0)),0)</f>
        <v/>
      </c>
      <c r="I1880" s="350">
        <f>IF(G1880="Sim",0,IF(OR(F1880="",L1880=""),"",F1880))</f>
        <v/>
      </c>
      <c r="J1880" s="350">
        <f>IF(G1880="Sim",0,IF(OR(F1880="",D1880="",L1880=""),"",IF(L1880="Sim",ROUND(F1880-D1880,2),0)))</f>
        <v/>
      </c>
      <c r="K1880" s="97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inlineStr">
        <is>
          <t>Nao</t>
        </is>
      </c>
      <c r="W1880" s="110" t="inlineStr">
        <is>
          <t>PC em analise</t>
        </is>
      </c>
      <c r="X1880" s="110" t="inlineStr">
        <is>
          <t>Pedido de Compra</t>
        </is>
      </c>
      <c r="Y1880" s="111" t="inlineStr">
        <is>
          <t>Impacto Potencial</t>
        </is>
      </c>
      <c r="Z1880" s="111" t="inlineStr">
        <is>
          <t>PC</t>
        </is>
      </c>
      <c r="AA1880" s="111" t="inlineStr">
        <is>
          <t>Nao</t>
        </is>
      </c>
      <c r="AB1880" s="111" t="inlineStr">
        <is>
          <t>NAO_COMPUTADO</t>
        </is>
      </c>
      <c r="AC1880" s="112" t="inlineStr">
        <is>
          <t>Estrutura Fase 1: sem impacto no VTA oficial</t>
        </is>
      </c>
    </row>
    <row r="1881" ht="25.5" customHeight="1" s="289">
      <c r="A1881" s="205" t="n"/>
      <c r="B1881" s="207" t="n"/>
      <c r="C1881" s="104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348" t="n"/>
      <c r="E1881" s="349">
        <f>IF(C1881="","",IFERROR(VLOOKUP(C1881,parametros!$A$11:$E$15,5,0),""))</f>
        <v/>
      </c>
      <c r="F1881" s="335">
        <f>IF(OR(D1881="",E1881=""),"",ROUND(D1881*E1881,2))</f>
        <v/>
      </c>
      <c r="G1881" s="106" t="n"/>
      <c r="H1881" s="350">
        <f>IF(G1881="Sim",IF(OR(F1881="",D1881="",L1881=""),"",IF(L1881="Sim",ROUND(F1881-D1881,2),0)),0)</f>
        <v/>
      </c>
      <c r="I1881" s="350">
        <f>IF(G1881="Sim",0,IF(OR(F1881="",L1881=""),"",F1881))</f>
        <v/>
      </c>
      <c r="J1881" s="350">
        <f>IF(G1881="Sim",0,IF(OR(F1881="",D1881="",L1881=""),"",IF(L1881="Sim",ROUND(F1881-D1881,2),0)))</f>
        <v/>
      </c>
      <c r="K1881" s="97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inlineStr">
        <is>
          <t>Nao</t>
        </is>
      </c>
      <c r="W1881" s="110" t="inlineStr">
        <is>
          <t>PC em analise</t>
        </is>
      </c>
      <c r="X1881" s="110" t="inlineStr">
        <is>
          <t>Pedido de Compra</t>
        </is>
      </c>
      <c r="Y1881" s="111" t="inlineStr">
        <is>
          <t>Impacto Potencial</t>
        </is>
      </c>
      <c r="Z1881" s="111" t="inlineStr">
        <is>
          <t>PC</t>
        </is>
      </c>
      <c r="AA1881" s="111" t="inlineStr">
        <is>
          <t>Nao</t>
        </is>
      </c>
      <c r="AB1881" s="111" t="inlineStr">
        <is>
          <t>NAO_COMPUTADO</t>
        </is>
      </c>
      <c r="AC1881" s="112" t="inlineStr">
        <is>
          <t>Estrutura Fase 1: sem impacto no VTA oficial</t>
        </is>
      </c>
    </row>
    <row r="1882" ht="25.5" customHeight="1" s="289">
      <c r="A1882" s="205" t="n"/>
      <c r="B1882" s="207" t="n"/>
      <c r="C1882" s="104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348" t="n"/>
      <c r="E1882" s="349">
        <f>IF(C1882="","",IFERROR(VLOOKUP(C1882,parametros!$A$11:$E$15,5,0),""))</f>
        <v/>
      </c>
      <c r="F1882" s="335">
        <f>IF(OR(D1882="",E1882=""),"",ROUND(D1882*E1882,2))</f>
        <v/>
      </c>
      <c r="G1882" s="106" t="n"/>
      <c r="H1882" s="350">
        <f>IF(G1882="Sim",IF(OR(F1882="",D1882="",L1882=""),"",IF(L1882="Sim",ROUND(F1882-D1882,2),0)),0)</f>
        <v/>
      </c>
      <c r="I1882" s="350">
        <f>IF(G1882="Sim",0,IF(OR(F1882="",L1882=""),"",F1882))</f>
        <v/>
      </c>
      <c r="J1882" s="350">
        <f>IF(G1882="Sim",0,IF(OR(F1882="",D1882="",L1882=""),"",IF(L1882="Sim",ROUND(F1882-D1882,2),0)))</f>
        <v/>
      </c>
      <c r="K1882" s="97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inlineStr">
        <is>
          <t>Nao</t>
        </is>
      </c>
      <c r="W1882" s="110" t="inlineStr">
        <is>
          <t>PC em analise</t>
        </is>
      </c>
      <c r="X1882" s="110" t="inlineStr">
        <is>
          <t>Pedido de Compra</t>
        </is>
      </c>
      <c r="Y1882" s="111" t="inlineStr">
        <is>
          <t>Impacto Potencial</t>
        </is>
      </c>
      <c r="Z1882" s="111" t="inlineStr">
        <is>
          <t>PC</t>
        </is>
      </c>
      <c r="AA1882" s="111" t="inlineStr">
        <is>
          <t>Nao</t>
        </is>
      </c>
      <c r="AB1882" s="111" t="inlineStr">
        <is>
          <t>NAO_COMPUTADO</t>
        </is>
      </c>
      <c r="AC1882" s="112" t="inlineStr">
        <is>
          <t>Estrutura Fase 1: sem impacto no VTA oficial</t>
        </is>
      </c>
    </row>
    <row r="1883" ht="25.5" customHeight="1" s="289">
      <c r="A1883" s="205" t="n"/>
      <c r="B1883" s="207" t="n"/>
      <c r="C1883" s="104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348" t="n"/>
      <c r="E1883" s="349">
        <f>IF(C1883="","",IFERROR(VLOOKUP(C1883,parametros!$A$11:$E$15,5,0),""))</f>
        <v/>
      </c>
      <c r="F1883" s="335">
        <f>IF(OR(D1883="",E1883=""),"",ROUND(D1883*E1883,2))</f>
        <v/>
      </c>
      <c r="G1883" s="106" t="n"/>
      <c r="H1883" s="350">
        <f>IF(G1883="Sim",IF(OR(F1883="",D1883="",L1883=""),"",IF(L1883="Sim",ROUND(F1883-D1883,2),0)),0)</f>
        <v/>
      </c>
      <c r="I1883" s="350">
        <f>IF(G1883="Sim",0,IF(OR(F1883="",L1883=""),"",F1883))</f>
        <v/>
      </c>
      <c r="J1883" s="350">
        <f>IF(G1883="Sim",0,IF(OR(F1883="",D1883="",L1883=""),"",IF(L1883="Sim",ROUND(F1883-D1883,2),0)))</f>
        <v/>
      </c>
      <c r="K1883" s="97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inlineStr">
        <is>
          <t>Nao</t>
        </is>
      </c>
      <c r="W1883" s="110" t="inlineStr">
        <is>
          <t>PC em analise</t>
        </is>
      </c>
      <c r="X1883" s="110" t="inlineStr">
        <is>
          <t>Pedido de Compra</t>
        </is>
      </c>
      <c r="Y1883" s="111" t="inlineStr">
        <is>
          <t>Impacto Potencial</t>
        </is>
      </c>
      <c r="Z1883" s="111" t="inlineStr">
        <is>
          <t>PC</t>
        </is>
      </c>
      <c r="AA1883" s="111" t="inlineStr">
        <is>
          <t>Nao</t>
        </is>
      </c>
      <c r="AB1883" s="111" t="inlineStr">
        <is>
          <t>NAO_COMPUTADO</t>
        </is>
      </c>
      <c r="AC1883" s="112" t="inlineStr">
        <is>
          <t>Estrutura Fase 1: sem impacto no VTA oficial</t>
        </is>
      </c>
    </row>
    <row r="1884" ht="25.5" customHeight="1" s="289">
      <c r="A1884" s="205" t="n"/>
      <c r="B1884" s="207" t="n"/>
      <c r="C1884" s="104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348" t="n"/>
      <c r="E1884" s="349">
        <f>IF(C1884="","",IFERROR(VLOOKUP(C1884,parametros!$A$11:$E$15,5,0),""))</f>
        <v/>
      </c>
      <c r="F1884" s="335">
        <f>IF(OR(D1884="",E1884=""),"",ROUND(D1884*E1884,2))</f>
        <v/>
      </c>
      <c r="G1884" s="106" t="n"/>
      <c r="H1884" s="350">
        <f>IF(G1884="Sim",IF(OR(F1884="",D1884="",L1884=""),"",IF(L1884="Sim",ROUND(F1884-D1884,2),0)),0)</f>
        <v/>
      </c>
      <c r="I1884" s="350">
        <f>IF(G1884="Sim",0,IF(OR(F1884="",L1884=""),"",F1884))</f>
        <v/>
      </c>
      <c r="J1884" s="350">
        <f>IF(G1884="Sim",0,IF(OR(F1884="",D1884="",L1884=""),"",IF(L1884="Sim",ROUND(F1884-D1884,2),0)))</f>
        <v/>
      </c>
      <c r="K1884" s="97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inlineStr">
        <is>
          <t>Nao</t>
        </is>
      </c>
      <c r="W1884" s="110" t="inlineStr">
        <is>
          <t>PC em analise</t>
        </is>
      </c>
      <c r="X1884" s="110" t="inlineStr">
        <is>
          <t>Pedido de Compra</t>
        </is>
      </c>
      <c r="Y1884" s="111" t="inlineStr">
        <is>
          <t>Impacto Potencial</t>
        </is>
      </c>
      <c r="Z1884" s="111" t="inlineStr">
        <is>
          <t>PC</t>
        </is>
      </c>
      <c r="AA1884" s="111" t="inlineStr">
        <is>
          <t>Nao</t>
        </is>
      </c>
      <c r="AB1884" s="111" t="inlineStr">
        <is>
          <t>NAO_COMPUTADO</t>
        </is>
      </c>
      <c r="AC1884" s="112" t="inlineStr">
        <is>
          <t>Estrutura Fase 1: sem impacto no VTA oficial</t>
        </is>
      </c>
    </row>
    <row r="1885" ht="25.5" customHeight="1" s="289">
      <c r="A1885" s="205" t="n"/>
      <c r="B1885" s="207" t="n"/>
      <c r="C1885" s="104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348" t="n"/>
      <c r="E1885" s="349">
        <f>IF(C1885="","",IFERROR(VLOOKUP(C1885,parametros!$A$11:$E$15,5,0),""))</f>
        <v/>
      </c>
      <c r="F1885" s="335">
        <f>IF(OR(D1885="",E1885=""),"",ROUND(D1885*E1885,2))</f>
        <v/>
      </c>
      <c r="G1885" s="106" t="n"/>
      <c r="H1885" s="350">
        <f>IF(G1885="Sim",IF(OR(F1885="",D1885="",L1885=""),"",IF(L1885="Sim",ROUND(F1885-D1885,2),0)),0)</f>
        <v/>
      </c>
      <c r="I1885" s="350">
        <f>IF(G1885="Sim",0,IF(OR(F1885="",L1885=""),"",F1885))</f>
        <v/>
      </c>
      <c r="J1885" s="350">
        <f>IF(G1885="Sim",0,IF(OR(F1885="",D1885="",L1885=""),"",IF(L1885="Sim",ROUND(F1885-D1885,2),0)))</f>
        <v/>
      </c>
      <c r="K1885" s="97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inlineStr">
        <is>
          <t>Nao</t>
        </is>
      </c>
      <c r="W1885" s="110" t="inlineStr">
        <is>
          <t>PC em analise</t>
        </is>
      </c>
      <c r="X1885" s="110" t="inlineStr">
        <is>
          <t>Pedido de Compra</t>
        </is>
      </c>
      <c r="Y1885" s="111" t="inlineStr">
        <is>
          <t>Impacto Potencial</t>
        </is>
      </c>
      <c r="Z1885" s="111" t="inlineStr">
        <is>
          <t>PC</t>
        </is>
      </c>
      <c r="AA1885" s="111" t="inlineStr">
        <is>
          <t>Nao</t>
        </is>
      </c>
      <c r="AB1885" s="111" t="inlineStr">
        <is>
          <t>NAO_COMPUTADO</t>
        </is>
      </c>
      <c r="AC1885" s="112" t="inlineStr">
        <is>
          <t>Estrutura Fase 1: sem impacto no VTA oficial</t>
        </is>
      </c>
    </row>
    <row r="1886" ht="25.5" customHeight="1" s="289">
      <c r="A1886" s="205" t="n"/>
      <c r="B1886" s="207" t="n"/>
      <c r="C1886" s="104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348" t="n"/>
      <c r="E1886" s="349">
        <f>IF(C1886="","",IFERROR(VLOOKUP(C1886,parametros!$A$11:$E$15,5,0),""))</f>
        <v/>
      </c>
      <c r="F1886" s="335">
        <f>IF(OR(D1886="",E1886=""),"",ROUND(D1886*E1886,2))</f>
        <v/>
      </c>
      <c r="G1886" s="106" t="n"/>
      <c r="H1886" s="350">
        <f>IF(G1886="Sim",IF(OR(F1886="",D1886="",L1886=""),"",IF(L1886="Sim",ROUND(F1886-D1886,2),0)),0)</f>
        <v/>
      </c>
      <c r="I1886" s="350">
        <f>IF(G1886="Sim",0,IF(OR(F1886="",L1886=""),"",F1886))</f>
        <v/>
      </c>
      <c r="J1886" s="350">
        <f>IF(G1886="Sim",0,IF(OR(F1886="",D1886="",L1886=""),"",IF(L1886="Sim",ROUND(F1886-D1886,2),0)))</f>
        <v/>
      </c>
      <c r="K1886" s="97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inlineStr">
        <is>
          <t>Nao</t>
        </is>
      </c>
      <c r="W1886" s="110" t="inlineStr">
        <is>
          <t>PC em analise</t>
        </is>
      </c>
      <c r="X1886" s="110" t="inlineStr">
        <is>
          <t>Pedido de Compra</t>
        </is>
      </c>
      <c r="Y1886" s="111" t="inlineStr">
        <is>
          <t>Impacto Potencial</t>
        </is>
      </c>
      <c r="Z1886" s="111" t="inlineStr">
        <is>
          <t>PC</t>
        </is>
      </c>
      <c r="AA1886" s="111" t="inlineStr">
        <is>
          <t>Nao</t>
        </is>
      </c>
      <c r="AB1886" s="111" t="inlineStr">
        <is>
          <t>NAO_COMPUTADO</t>
        </is>
      </c>
      <c r="AC1886" s="112" t="inlineStr">
        <is>
          <t>Estrutura Fase 1: sem impacto no VTA oficial</t>
        </is>
      </c>
    </row>
    <row r="1887" ht="25.5" customHeight="1" s="289">
      <c r="A1887" s="205" t="n"/>
      <c r="B1887" s="207" t="n"/>
      <c r="C1887" s="104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348" t="n"/>
      <c r="E1887" s="349">
        <f>IF(C1887="","",IFERROR(VLOOKUP(C1887,parametros!$A$11:$E$15,5,0),""))</f>
        <v/>
      </c>
      <c r="F1887" s="335">
        <f>IF(OR(D1887="",E1887=""),"",ROUND(D1887*E1887,2))</f>
        <v/>
      </c>
      <c r="G1887" s="106" t="n"/>
      <c r="H1887" s="350">
        <f>IF(G1887="Sim",IF(OR(F1887="",D1887="",L1887=""),"",IF(L1887="Sim",ROUND(F1887-D1887,2),0)),0)</f>
        <v/>
      </c>
      <c r="I1887" s="350">
        <f>IF(G1887="Sim",0,IF(OR(F1887="",L1887=""),"",F1887))</f>
        <v/>
      </c>
      <c r="J1887" s="350">
        <f>IF(G1887="Sim",0,IF(OR(F1887="",D1887="",L1887=""),"",IF(L1887="Sim",ROUND(F1887-D1887,2),0)))</f>
        <v/>
      </c>
      <c r="K1887" s="97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inlineStr">
        <is>
          <t>Nao</t>
        </is>
      </c>
      <c r="W1887" s="110" t="inlineStr">
        <is>
          <t>PC em analise</t>
        </is>
      </c>
      <c r="X1887" s="110" t="inlineStr">
        <is>
          <t>Pedido de Compra</t>
        </is>
      </c>
      <c r="Y1887" s="111" t="inlineStr">
        <is>
          <t>Impacto Potencial</t>
        </is>
      </c>
      <c r="Z1887" s="111" t="inlineStr">
        <is>
          <t>PC</t>
        </is>
      </c>
      <c r="AA1887" s="111" t="inlineStr">
        <is>
          <t>Nao</t>
        </is>
      </c>
      <c r="AB1887" s="111" t="inlineStr">
        <is>
          <t>NAO_COMPUTADO</t>
        </is>
      </c>
      <c r="AC1887" s="112" t="inlineStr">
        <is>
          <t>Estrutura Fase 1: sem impacto no VTA oficial</t>
        </is>
      </c>
    </row>
    <row r="1888" ht="25.5" customHeight="1" s="289">
      <c r="A1888" s="205" t="n"/>
      <c r="B1888" s="207" t="n"/>
      <c r="C1888" s="104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348" t="n"/>
      <c r="E1888" s="349">
        <f>IF(C1888="","",IFERROR(VLOOKUP(C1888,parametros!$A$11:$E$15,5,0),""))</f>
        <v/>
      </c>
      <c r="F1888" s="335">
        <f>IF(OR(D1888="",E1888=""),"",ROUND(D1888*E1888,2))</f>
        <v/>
      </c>
      <c r="G1888" s="106" t="n"/>
      <c r="H1888" s="350">
        <f>IF(G1888="Sim",IF(OR(F1888="",D1888="",L1888=""),"",IF(L1888="Sim",ROUND(F1888-D1888,2),0)),0)</f>
        <v/>
      </c>
      <c r="I1888" s="350">
        <f>IF(G1888="Sim",0,IF(OR(F1888="",L1888=""),"",F1888))</f>
        <v/>
      </c>
      <c r="J1888" s="350">
        <f>IF(G1888="Sim",0,IF(OR(F1888="",D1888="",L1888=""),"",IF(L1888="Sim",ROUND(F1888-D1888,2),0)))</f>
        <v/>
      </c>
      <c r="K1888" s="97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inlineStr">
        <is>
          <t>Nao</t>
        </is>
      </c>
      <c r="W1888" s="110" t="inlineStr">
        <is>
          <t>PC em analise</t>
        </is>
      </c>
      <c r="X1888" s="110" t="inlineStr">
        <is>
          <t>Pedido de Compra</t>
        </is>
      </c>
      <c r="Y1888" s="111" t="inlineStr">
        <is>
          <t>Impacto Potencial</t>
        </is>
      </c>
      <c r="Z1888" s="111" t="inlineStr">
        <is>
          <t>PC</t>
        </is>
      </c>
      <c r="AA1888" s="111" t="inlineStr">
        <is>
          <t>Nao</t>
        </is>
      </c>
      <c r="AB1888" s="111" t="inlineStr">
        <is>
          <t>NAO_COMPUTADO</t>
        </is>
      </c>
      <c r="AC1888" s="112" t="inlineStr">
        <is>
          <t>Estrutura Fase 1: sem impacto no VTA oficial</t>
        </is>
      </c>
    </row>
    <row r="1889" ht="25.5" customHeight="1" s="289">
      <c r="A1889" s="205" t="n"/>
      <c r="B1889" s="207" t="n"/>
      <c r="C1889" s="104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348" t="n"/>
      <c r="E1889" s="349">
        <f>IF(C1889="","",IFERROR(VLOOKUP(C1889,parametros!$A$11:$E$15,5,0),""))</f>
        <v/>
      </c>
      <c r="F1889" s="335">
        <f>IF(OR(D1889="",E1889=""),"",ROUND(D1889*E1889,2))</f>
        <v/>
      </c>
      <c r="G1889" s="106" t="n"/>
      <c r="H1889" s="350">
        <f>IF(G1889="Sim",IF(OR(F1889="",D1889="",L1889=""),"",IF(L1889="Sim",ROUND(F1889-D1889,2),0)),0)</f>
        <v/>
      </c>
      <c r="I1889" s="350">
        <f>IF(G1889="Sim",0,IF(OR(F1889="",L1889=""),"",F1889))</f>
        <v/>
      </c>
      <c r="J1889" s="350">
        <f>IF(G1889="Sim",0,IF(OR(F1889="",D1889="",L1889=""),"",IF(L1889="Sim",ROUND(F1889-D1889,2),0)))</f>
        <v/>
      </c>
      <c r="K1889" s="97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inlineStr">
        <is>
          <t>Nao</t>
        </is>
      </c>
      <c r="W1889" s="110" t="inlineStr">
        <is>
          <t>PC em analise</t>
        </is>
      </c>
      <c r="X1889" s="110" t="inlineStr">
        <is>
          <t>Pedido de Compra</t>
        </is>
      </c>
      <c r="Y1889" s="111" t="inlineStr">
        <is>
          <t>Impacto Potencial</t>
        </is>
      </c>
      <c r="Z1889" s="111" t="inlineStr">
        <is>
          <t>PC</t>
        </is>
      </c>
      <c r="AA1889" s="111" t="inlineStr">
        <is>
          <t>Nao</t>
        </is>
      </c>
      <c r="AB1889" s="111" t="inlineStr">
        <is>
          <t>NAO_COMPUTADO</t>
        </is>
      </c>
      <c r="AC1889" s="112" t="inlineStr">
        <is>
          <t>Estrutura Fase 1: sem impacto no VTA oficial</t>
        </is>
      </c>
    </row>
    <row r="1890" ht="25.5" customHeight="1" s="289">
      <c r="A1890" s="205" t="n"/>
      <c r="B1890" s="207" t="n"/>
      <c r="C1890" s="104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348" t="n"/>
      <c r="E1890" s="349">
        <f>IF(C1890="","",IFERROR(VLOOKUP(C1890,parametros!$A$11:$E$15,5,0),""))</f>
        <v/>
      </c>
      <c r="F1890" s="335">
        <f>IF(OR(D1890="",E1890=""),"",ROUND(D1890*E1890,2))</f>
        <v/>
      </c>
      <c r="G1890" s="106" t="n"/>
      <c r="H1890" s="350">
        <f>IF(G1890="Sim",IF(OR(F1890="",D1890="",L1890=""),"",IF(L1890="Sim",ROUND(F1890-D1890,2),0)),0)</f>
        <v/>
      </c>
      <c r="I1890" s="350">
        <f>IF(G1890="Sim",0,IF(OR(F1890="",L1890=""),"",F1890))</f>
        <v/>
      </c>
      <c r="J1890" s="350">
        <f>IF(G1890="Sim",0,IF(OR(F1890="",D1890="",L1890=""),"",IF(L1890="Sim",ROUND(F1890-D1890,2),0)))</f>
        <v/>
      </c>
      <c r="K1890" s="97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inlineStr">
        <is>
          <t>Nao</t>
        </is>
      </c>
      <c r="W1890" s="110" t="inlineStr">
        <is>
          <t>PC em analise</t>
        </is>
      </c>
      <c r="X1890" s="110" t="inlineStr">
        <is>
          <t>Pedido de Compra</t>
        </is>
      </c>
      <c r="Y1890" s="111" t="inlineStr">
        <is>
          <t>Impacto Potencial</t>
        </is>
      </c>
      <c r="Z1890" s="111" t="inlineStr">
        <is>
          <t>PC</t>
        </is>
      </c>
      <c r="AA1890" s="111" t="inlineStr">
        <is>
          <t>Nao</t>
        </is>
      </c>
      <c r="AB1890" s="111" t="inlineStr">
        <is>
          <t>NAO_COMPUTADO</t>
        </is>
      </c>
      <c r="AC1890" s="112" t="inlineStr">
        <is>
          <t>Estrutura Fase 1: sem impacto no VTA oficial</t>
        </is>
      </c>
    </row>
    <row r="1891" ht="25.5" customHeight="1" s="289">
      <c r="A1891" s="205" t="n"/>
      <c r="B1891" s="207" t="n"/>
      <c r="C1891" s="104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348" t="n"/>
      <c r="E1891" s="349">
        <f>IF(C1891="","",IFERROR(VLOOKUP(C1891,parametros!$A$11:$E$15,5,0),""))</f>
        <v/>
      </c>
      <c r="F1891" s="335">
        <f>IF(OR(D1891="",E1891=""),"",ROUND(D1891*E1891,2))</f>
        <v/>
      </c>
      <c r="G1891" s="106" t="n"/>
      <c r="H1891" s="350">
        <f>IF(G1891="Sim",IF(OR(F1891="",D1891="",L1891=""),"",IF(L1891="Sim",ROUND(F1891-D1891,2),0)),0)</f>
        <v/>
      </c>
      <c r="I1891" s="350">
        <f>IF(G1891="Sim",0,IF(OR(F1891="",L1891=""),"",F1891))</f>
        <v/>
      </c>
      <c r="J1891" s="350">
        <f>IF(G1891="Sim",0,IF(OR(F1891="",D1891="",L1891=""),"",IF(L1891="Sim",ROUND(F1891-D1891,2),0)))</f>
        <v/>
      </c>
      <c r="K1891" s="97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inlineStr">
        <is>
          <t>Nao</t>
        </is>
      </c>
      <c r="W1891" s="110" t="inlineStr">
        <is>
          <t>PC em analise</t>
        </is>
      </c>
      <c r="X1891" s="110" t="inlineStr">
        <is>
          <t>Pedido de Compra</t>
        </is>
      </c>
      <c r="Y1891" s="111" t="inlineStr">
        <is>
          <t>Impacto Potencial</t>
        </is>
      </c>
      <c r="Z1891" s="111" t="inlineStr">
        <is>
          <t>PC</t>
        </is>
      </c>
      <c r="AA1891" s="111" t="inlineStr">
        <is>
          <t>Nao</t>
        </is>
      </c>
      <c r="AB1891" s="111" t="inlineStr">
        <is>
          <t>NAO_COMPUTADO</t>
        </is>
      </c>
      <c r="AC1891" s="112" t="inlineStr">
        <is>
          <t>Estrutura Fase 1: sem impacto no VTA oficial</t>
        </is>
      </c>
    </row>
    <row r="1892" ht="25.5" customHeight="1" s="289">
      <c r="A1892" s="205" t="n"/>
      <c r="B1892" s="207" t="n"/>
      <c r="C1892" s="104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348" t="n"/>
      <c r="E1892" s="349">
        <f>IF(C1892="","",IFERROR(VLOOKUP(C1892,parametros!$A$11:$E$15,5,0),""))</f>
        <v/>
      </c>
      <c r="F1892" s="335">
        <f>IF(OR(D1892="",E1892=""),"",ROUND(D1892*E1892,2))</f>
        <v/>
      </c>
      <c r="G1892" s="106" t="n"/>
      <c r="H1892" s="350">
        <f>IF(G1892="Sim",IF(OR(F1892="",D1892="",L1892=""),"",IF(L1892="Sim",ROUND(F1892-D1892,2),0)),0)</f>
        <v/>
      </c>
      <c r="I1892" s="350">
        <f>IF(G1892="Sim",0,IF(OR(F1892="",L1892=""),"",F1892))</f>
        <v/>
      </c>
      <c r="J1892" s="350">
        <f>IF(G1892="Sim",0,IF(OR(F1892="",D1892="",L1892=""),"",IF(L1892="Sim",ROUND(F1892-D1892,2),0)))</f>
        <v/>
      </c>
      <c r="K1892" s="97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inlineStr">
        <is>
          <t>Nao</t>
        </is>
      </c>
      <c r="W1892" s="110" t="inlineStr">
        <is>
          <t>PC em analise</t>
        </is>
      </c>
      <c r="X1892" s="110" t="inlineStr">
        <is>
          <t>Pedido de Compra</t>
        </is>
      </c>
      <c r="Y1892" s="111" t="inlineStr">
        <is>
          <t>Impacto Potencial</t>
        </is>
      </c>
      <c r="Z1892" s="111" t="inlineStr">
        <is>
          <t>PC</t>
        </is>
      </c>
      <c r="AA1892" s="111" t="inlineStr">
        <is>
          <t>Nao</t>
        </is>
      </c>
      <c r="AB1892" s="111" t="inlineStr">
        <is>
          <t>NAO_COMPUTADO</t>
        </is>
      </c>
      <c r="AC1892" s="112" t="inlineStr">
        <is>
          <t>Estrutura Fase 1: sem impacto no VTA oficial</t>
        </is>
      </c>
    </row>
    <row r="1893" ht="25.5" customHeight="1" s="289">
      <c r="A1893" s="205" t="n"/>
      <c r="B1893" s="207" t="n"/>
      <c r="C1893" s="104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348" t="n"/>
      <c r="E1893" s="349">
        <f>IF(C1893="","",IFERROR(VLOOKUP(C1893,parametros!$A$11:$E$15,5,0),""))</f>
        <v/>
      </c>
      <c r="F1893" s="335">
        <f>IF(OR(D1893="",E1893=""),"",ROUND(D1893*E1893,2))</f>
        <v/>
      </c>
      <c r="G1893" s="106" t="n"/>
      <c r="H1893" s="350">
        <f>IF(G1893="Sim",IF(OR(F1893="",D1893="",L1893=""),"",IF(L1893="Sim",ROUND(F1893-D1893,2),0)),0)</f>
        <v/>
      </c>
      <c r="I1893" s="350">
        <f>IF(G1893="Sim",0,IF(OR(F1893="",L1893=""),"",F1893))</f>
        <v/>
      </c>
      <c r="J1893" s="350">
        <f>IF(G1893="Sim",0,IF(OR(F1893="",D1893="",L1893=""),"",IF(L1893="Sim",ROUND(F1893-D1893,2),0)))</f>
        <v/>
      </c>
      <c r="K1893" s="97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inlineStr">
        <is>
          <t>Nao</t>
        </is>
      </c>
      <c r="W1893" s="110" t="inlineStr">
        <is>
          <t>PC em analise</t>
        </is>
      </c>
      <c r="X1893" s="110" t="inlineStr">
        <is>
          <t>Pedido de Compra</t>
        </is>
      </c>
      <c r="Y1893" s="111" t="inlineStr">
        <is>
          <t>Impacto Potencial</t>
        </is>
      </c>
      <c r="Z1893" s="111" t="inlineStr">
        <is>
          <t>PC</t>
        </is>
      </c>
      <c r="AA1893" s="111" t="inlineStr">
        <is>
          <t>Nao</t>
        </is>
      </c>
      <c r="AB1893" s="111" t="inlineStr">
        <is>
          <t>NAO_COMPUTADO</t>
        </is>
      </c>
      <c r="AC1893" s="112" t="inlineStr">
        <is>
          <t>Estrutura Fase 1: sem impacto no VTA oficial</t>
        </is>
      </c>
    </row>
    <row r="1894" ht="25.5" customHeight="1" s="289">
      <c r="A1894" s="205" t="n"/>
      <c r="B1894" s="207" t="n"/>
      <c r="C1894" s="104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348" t="n"/>
      <c r="E1894" s="349">
        <f>IF(C1894="","",IFERROR(VLOOKUP(C1894,parametros!$A$11:$E$15,5,0),""))</f>
        <v/>
      </c>
      <c r="F1894" s="335">
        <f>IF(OR(D1894="",E1894=""),"",ROUND(D1894*E1894,2))</f>
        <v/>
      </c>
      <c r="G1894" s="106" t="n"/>
      <c r="H1894" s="350">
        <f>IF(G1894="Sim",IF(OR(F1894="",D1894="",L1894=""),"",IF(L1894="Sim",ROUND(F1894-D1894,2),0)),0)</f>
        <v/>
      </c>
      <c r="I1894" s="350">
        <f>IF(G1894="Sim",0,IF(OR(F1894="",L1894=""),"",F1894))</f>
        <v/>
      </c>
      <c r="J1894" s="350">
        <f>IF(G1894="Sim",0,IF(OR(F1894="",D1894="",L1894=""),"",IF(L1894="Sim",ROUND(F1894-D1894,2),0)))</f>
        <v/>
      </c>
      <c r="K1894" s="97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inlineStr">
        <is>
          <t>Nao</t>
        </is>
      </c>
      <c r="W1894" s="110" t="inlineStr">
        <is>
          <t>PC em analise</t>
        </is>
      </c>
      <c r="X1894" s="110" t="inlineStr">
        <is>
          <t>Pedido de Compra</t>
        </is>
      </c>
      <c r="Y1894" s="111" t="inlineStr">
        <is>
          <t>Impacto Potencial</t>
        </is>
      </c>
      <c r="Z1894" s="111" t="inlineStr">
        <is>
          <t>PC</t>
        </is>
      </c>
      <c r="AA1894" s="111" t="inlineStr">
        <is>
          <t>Nao</t>
        </is>
      </c>
      <c r="AB1894" s="111" t="inlineStr">
        <is>
          <t>NAO_COMPUTADO</t>
        </is>
      </c>
      <c r="AC1894" s="112" t="inlineStr">
        <is>
          <t>Estrutura Fase 1: sem impacto no VTA oficial</t>
        </is>
      </c>
    </row>
    <row r="1895" ht="25.5" customHeight="1" s="289">
      <c r="A1895" s="205" t="n"/>
      <c r="B1895" s="207" t="n"/>
      <c r="C1895" s="104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348" t="n"/>
      <c r="E1895" s="349">
        <f>IF(C1895="","",IFERROR(VLOOKUP(C1895,parametros!$A$11:$E$15,5,0),""))</f>
        <v/>
      </c>
      <c r="F1895" s="335">
        <f>IF(OR(D1895="",E1895=""),"",ROUND(D1895*E1895,2))</f>
        <v/>
      </c>
      <c r="G1895" s="106" t="n"/>
      <c r="H1895" s="350">
        <f>IF(G1895="Sim",IF(OR(F1895="",D1895="",L1895=""),"",IF(L1895="Sim",ROUND(F1895-D1895,2),0)),0)</f>
        <v/>
      </c>
      <c r="I1895" s="350">
        <f>IF(G1895="Sim",0,IF(OR(F1895="",L1895=""),"",F1895))</f>
        <v/>
      </c>
      <c r="J1895" s="350">
        <f>IF(G1895="Sim",0,IF(OR(F1895="",D1895="",L1895=""),"",IF(L1895="Sim",ROUND(F1895-D1895,2),0)))</f>
        <v/>
      </c>
      <c r="K1895" s="97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inlineStr">
        <is>
          <t>Nao</t>
        </is>
      </c>
      <c r="W1895" s="110" t="inlineStr">
        <is>
          <t>PC em analise</t>
        </is>
      </c>
      <c r="X1895" s="110" t="inlineStr">
        <is>
          <t>Pedido de Compra</t>
        </is>
      </c>
      <c r="Y1895" s="111" t="inlineStr">
        <is>
          <t>Impacto Potencial</t>
        </is>
      </c>
      <c r="Z1895" s="111" t="inlineStr">
        <is>
          <t>PC</t>
        </is>
      </c>
      <c r="AA1895" s="111" t="inlineStr">
        <is>
          <t>Nao</t>
        </is>
      </c>
      <c r="AB1895" s="111" t="inlineStr">
        <is>
          <t>NAO_COMPUTADO</t>
        </is>
      </c>
      <c r="AC1895" s="112" t="inlineStr">
        <is>
          <t>Estrutura Fase 1: sem impacto no VTA oficial</t>
        </is>
      </c>
    </row>
    <row r="1896" ht="25.5" customHeight="1" s="289">
      <c r="A1896" s="205" t="n"/>
      <c r="B1896" s="207" t="n"/>
      <c r="C1896" s="104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348" t="n"/>
      <c r="E1896" s="349">
        <f>IF(C1896="","",IFERROR(VLOOKUP(C1896,parametros!$A$11:$E$15,5,0),""))</f>
        <v/>
      </c>
      <c r="F1896" s="335">
        <f>IF(OR(D1896="",E1896=""),"",ROUND(D1896*E1896,2))</f>
        <v/>
      </c>
      <c r="G1896" s="106" t="n"/>
      <c r="H1896" s="350">
        <f>IF(G1896="Sim",IF(OR(F1896="",D1896="",L1896=""),"",IF(L1896="Sim",ROUND(F1896-D1896,2),0)),0)</f>
        <v/>
      </c>
      <c r="I1896" s="350">
        <f>IF(G1896="Sim",0,IF(OR(F1896="",L1896=""),"",F1896))</f>
        <v/>
      </c>
      <c r="J1896" s="350">
        <f>IF(G1896="Sim",0,IF(OR(F1896="",D1896="",L1896=""),"",IF(L1896="Sim",ROUND(F1896-D1896,2),0)))</f>
        <v/>
      </c>
      <c r="K1896" s="97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inlineStr">
        <is>
          <t>Nao</t>
        </is>
      </c>
      <c r="W1896" s="110" t="inlineStr">
        <is>
          <t>PC em analise</t>
        </is>
      </c>
      <c r="X1896" s="110" t="inlineStr">
        <is>
          <t>Pedido de Compra</t>
        </is>
      </c>
      <c r="Y1896" s="111" t="inlineStr">
        <is>
          <t>Impacto Potencial</t>
        </is>
      </c>
      <c r="Z1896" s="111" t="inlineStr">
        <is>
          <t>PC</t>
        </is>
      </c>
      <c r="AA1896" s="111" t="inlineStr">
        <is>
          <t>Nao</t>
        </is>
      </c>
      <c r="AB1896" s="111" t="inlineStr">
        <is>
          <t>NAO_COMPUTADO</t>
        </is>
      </c>
      <c r="AC1896" s="112" t="inlineStr">
        <is>
          <t>Estrutura Fase 1: sem impacto no VTA oficial</t>
        </is>
      </c>
    </row>
    <row r="1897" ht="25.5" customHeight="1" s="289">
      <c r="A1897" s="205" t="n"/>
      <c r="B1897" s="207" t="n"/>
      <c r="C1897" s="104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348" t="n"/>
      <c r="E1897" s="349">
        <f>IF(C1897="","",IFERROR(VLOOKUP(C1897,parametros!$A$11:$E$15,5,0),""))</f>
        <v/>
      </c>
      <c r="F1897" s="335">
        <f>IF(OR(D1897="",E1897=""),"",ROUND(D1897*E1897,2))</f>
        <v/>
      </c>
      <c r="G1897" s="106" t="n"/>
      <c r="H1897" s="350">
        <f>IF(G1897="Sim",IF(OR(F1897="",D1897="",L1897=""),"",IF(L1897="Sim",ROUND(F1897-D1897,2),0)),0)</f>
        <v/>
      </c>
      <c r="I1897" s="350">
        <f>IF(G1897="Sim",0,IF(OR(F1897="",L1897=""),"",F1897))</f>
        <v/>
      </c>
      <c r="J1897" s="350">
        <f>IF(G1897="Sim",0,IF(OR(F1897="",D1897="",L1897=""),"",IF(L1897="Sim",ROUND(F1897-D1897,2),0)))</f>
        <v/>
      </c>
      <c r="K1897" s="97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inlineStr">
        <is>
          <t>Nao</t>
        </is>
      </c>
      <c r="W1897" s="110" t="inlineStr">
        <is>
          <t>PC em analise</t>
        </is>
      </c>
      <c r="X1897" s="110" t="inlineStr">
        <is>
          <t>Pedido de Compra</t>
        </is>
      </c>
      <c r="Y1897" s="111" t="inlineStr">
        <is>
          <t>Impacto Potencial</t>
        </is>
      </c>
      <c r="Z1897" s="111" t="inlineStr">
        <is>
          <t>PC</t>
        </is>
      </c>
      <c r="AA1897" s="111" t="inlineStr">
        <is>
          <t>Nao</t>
        </is>
      </c>
      <c r="AB1897" s="111" t="inlineStr">
        <is>
          <t>NAO_COMPUTADO</t>
        </is>
      </c>
      <c r="AC1897" s="112" t="inlineStr">
        <is>
          <t>Estrutura Fase 1: sem impacto no VTA oficial</t>
        </is>
      </c>
    </row>
    <row r="1898" ht="25.5" customHeight="1" s="289">
      <c r="A1898" s="205" t="n"/>
      <c r="B1898" s="207" t="n"/>
      <c r="C1898" s="104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348" t="n"/>
      <c r="E1898" s="349">
        <f>IF(C1898="","",IFERROR(VLOOKUP(C1898,parametros!$A$11:$E$15,5,0),""))</f>
        <v/>
      </c>
      <c r="F1898" s="335">
        <f>IF(OR(D1898="",E1898=""),"",ROUND(D1898*E1898,2))</f>
        <v/>
      </c>
      <c r="G1898" s="106" t="n"/>
      <c r="H1898" s="350">
        <f>IF(G1898="Sim",IF(OR(F1898="",D1898="",L1898=""),"",IF(L1898="Sim",ROUND(F1898-D1898,2),0)),0)</f>
        <v/>
      </c>
      <c r="I1898" s="350">
        <f>IF(G1898="Sim",0,IF(OR(F1898="",L1898=""),"",F1898))</f>
        <v/>
      </c>
      <c r="J1898" s="350">
        <f>IF(G1898="Sim",0,IF(OR(F1898="",D1898="",L1898=""),"",IF(L1898="Sim",ROUND(F1898-D1898,2),0)))</f>
        <v/>
      </c>
      <c r="K1898" s="97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inlineStr">
        <is>
          <t>Nao</t>
        </is>
      </c>
      <c r="W1898" s="110" t="inlineStr">
        <is>
          <t>PC em analise</t>
        </is>
      </c>
      <c r="X1898" s="110" t="inlineStr">
        <is>
          <t>Pedido de Compra</t>
        </is>
      </c>
      <c r="Y1898" s="111" t="inlineStr">
        <is>
          <t>Impacto Potencial</t>
        </is>
      </c>
      <c r="Z1898" s="111" t="inlineStr">
        <is>
          <t>PC</t>
        </is>
      </c>
      <c r="AA1898" s="111" t="inlineStr">
        <is>
          <t>Nao</t>
        </is>
      </c>
      <c r="AB1898" s="111" t="inlineStr">
        <is>
          <t>NAO_COMPUTADO</t>
        </is>
      </c>
      <c r="AC1898" s="112" t="inlineStr">
        <is>
          <t>Estrutura Fase 1: sem impacto no VTA oficial</t>
        </is>
      </c>
    </row>
    <row r="1899" ht="25.5" customHeight="1" s="289">
      <c r="A1899" s="205" t="n"/>
      <c r="B1899" s="207" t="n"/>
      <c r="C1899" s="104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348" t="n"/>
      <c r="E1899" s="349">
        <f>IF(C1899="","",IFERROR(VLOOKUP(C1899,parametros!$A$11:$E$15,5,0),""))</f>
        <v/>
      </c>
      <c r="F1899" s="335">
        <f>IF(OR(D1899="",E1899=""),"",ROUND(D1899*E1899,2))</f>
        <v/>
      </c>
      <c r="G1899" s="106" t="n"/>
      <c r="H1899" s="350">
        <f>IF(G1899="Sim",IF(OR(F1899="",D1899="",L1899=""),"",IF(L1899="Sim",ROUND(F1899-D1899,2),0)),0)</f>
        <v/>
      </c>
      <c r="I1899" s="350">
        <f>IF(G1899="Sim",0,IF(OR(F1899="",L1899=""),"",F1899))</f>
        <v/>
      </c>
      <c r="J1899" s="350">
        <f>IF(G1899="Sim",0,IF(OR(F1899="",D1899="",L1899=""),"",IF(L1899="Sim",ROUND(F1899-D1899,2),0)))</f>
        <v/>
      </c>
      <c r="K1899" s="97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inlineStr">
        <is>
          <t>Nao</t>
        </is>
      </c>
      <c r="W1899" s="110" t="inlineStr">
        <is>
          <t>PC em analise</t>
        </is>
      </c>
      <c r="X1899" s="110" t="inlineStr">
        <is>
          <t>Pedido de Compra</t>
        </is>
      </c>
      <c r="Y1899" s="111" t="inlineStr">
        <is>
          <t>Impacto Potencial</t>
        </is>
      </c>
      <c r="Z1899" s="111" t="inlineStr">
        <is>
          <t>PC</t>
        </is>
      </c>
      <c r="AA1899" s="111" t="inlineStr">
        <is>
          <t>Nao</t>
        </is>
      </c>
      <c r="AB1899" s="111" t="inlineStr">
        <is>
          <t>NAO_COMPUTADO</t>
        </is>
      </c>
      <c r="AC1899" s="112" t="inlineStr">
        <is>
          <t>Estrutura Fase 1: sem impacto no VTA oficial</t>
        </is>
      </c>
    </row>
    <row r="1900" ht="25.5" customHeight="1" s="289">
      <c r="A1900" s="205" t="n"/>
      <c r="B1900" s="207" t="n"/>
      <c r="C1900" s="104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348" t="n"/>
      <c r="E1900" s="349">
        <f>IF(C1900="","",IFERROR(VLOOKUP(C1900,parametros!$A$11:$E$15,5,0),""))</f>
        <v/>
      </c>
      <c r="F1900" s="335">
        <f>IF(OR(D1900="",E1900=""),"",ROUND(D1900*E1900,2))</f>
        <v/>
      </c>
      <c r="G1900" s="106" t="n"/>
      <c r="H1900" s="350">
        <f>IF(G1900="Sim",IF(OR(F1900="",D1900="",L1900=""),"",IF(L1900="Sim",ROUND(F1900-D1900,2),0)),0)</f>
        <v/>
      </c>
      <c r="I1900" s="350">
        <f>IF(G1900="Sim",0,IF(OR(F1900="",L1900=""),"",F1900))</f>
        <v/>
      </c>
      <c r="J1900" s="350">
        <f>IF(G1900="Sim",0,IF(OR(F1900="",D1900="",L1900=""),"",IF(L1900="Sim",ROUND(F1900-D1900,2),0)))</f>
        <v/>
      </c>
      <c r="K1900" s="97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inlineStr">
        <is>
          <t>Nao</t>
        </is>
      </c>
      <c r="W1900" s="110" t="inlineStr">
        <is>
          <t>PC em analise</t>
        </is>
      </c>
      <c r="X1900" s="110" t="inlineStr">
        <is>
          <t>Pedido de Compra</t>
        </is>
      </c>
      <c r="Y1900" s="111" t="inlineStr">
        <is>
          <t>Impacto Potencial</t>
        </is>
      </c>
      <c r="Z1900" s="111" t="inlineStr">
        <is>
          <t>PC</t>
        </is>
      </c>
      <c r="AA1900" s="111" t="inlineStr">
        <is>
          <t>Nao</t>
        </is>
      </c>
      <c r="AB1900" s="111" t="inlineStr">
        <is>
          <t>NAO_COMPUTADO</t>
        </is>
      </c>
      <c r="AC1900" s="112" t="inlineStr">
        <is>
          <t>Estrutura Fase 1: sem impacto no VTA oficial</t>
        </is>
      </c>
    </row>
    <row r="1901" ht="25.5" customHeight="1" s="289">
      <c r="A1901" s="205" t="n"/>
      <c r="B1901" s="207" t="n"/>
      <c r="C1901" s="104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348" t="n"/>
      <c r="E1901" s="349">
        <f>IF(C1901="","",IFERROR(VLOOKUP(C1901,parametros!$A$11:$E$15,5,0),""))</f>
        <v/>
      </c>
      <c r="F1901" s="335">
        <f>IF(OR(D1901="",E1901=""),"",ROUND(D1901*E1901,2))</f>
        <v/>
      </c>
      <c r="G1901" s="106" t="n"/>
      <c r="H1901" s="350">
        <f>IF(G1901="Sim",IF(OR(F1901="",D1901="",L1901=""),"",IF(L1901="Sim",ROUND(F1901-D1901,2),0)),0)</f>
        <v/>
      </c>
      <c r="I1901" s="350">
        <f>IF(G1901="Sim",0,IF(OR(F1901="",L1901=""),"",F1901))</f>
        <v/>
      </c>
      <c r="J1901" s="350">
        <f>IF(G1901="Sim",0,IF(OR(F1901="",D1901="",L1901=""),"",IF(L1901="Sim",ROUND(F1901-D1901,2),0)))</f>
        <v/>
      </c>
      <c r="K1901" s="97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inlineStr">
        <is>
          <t>Nao</t>
        </is>
      </c>
      <c r="W1901" s="110" t="inlineStr">
        <is>
          <t>PC em analise</t>
        </is>
      </c>
      <c r="X1901" s="110" t="inlineStr">
        <is>
          <t>Pedido de Compra</t>
        </is>
      </c>
      <c r="Y1901" s="111" t="inlineStr">
        <is>
          <t>Impacto Potencial</t>
        </is>
      </c>
      <c r="Z1901" s="111" t="inlineStr">
        <is>
          <t>PC</t>
        </is>
      </c>
      <c r="AA1901" s="111" t="inlineStr">
        <is>
          <t>Nao</t>
        </is>
      </c>
      <c r="AB1901" s="111" t="inlineStr">
        <is>
          <t>NAO_COMPUTADO</t>
        </is>
      </c>
      <c r="AC1901" s="112" t="inlineStr">
        <is>
          <t>Estrutura Fase 1: sem impacto no VTA oficial</t>
        </is>
      </c>
    </row>
    <row r="1902" ht="25.5" customHeight="1" s="289">
      <c r="A1902" s="205" t="n"/>
      <c r="B1902" s="207" t="n"/>
      <c r="C1902" s="104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348" t="n"/>
      <c r="E1902" s="349">
        <f>IF(C1902="","",IFERROR(VLOOKUP(C1902,parametros!$A$11:$E$15,5,0),""))</f>
        <v/>
      </c>
      <c r="F1902" s="335">
        <f>IF(OR(D1902="",E1902=""),"",ROUND(D1902*E1902,2))</f>
        <v/>
      </c>
      <c r="G1902" s="106" t="n"/>
      <c r="H1902" s="350">
        <f>IF(G1902="Sim",IF(OR(F1902="",D1902="",L1902=""),"",IF(L1902="Sim",ROUND(F1902-D1902,2),0)),0)</f>
        <v/>
      </c>
      <c r="I1902" s="350">
        <f>IF(G1902="Sim",0,IF(OR(F1902="",L1902=""),"",F1902))</f>
        <v/>
      </c>
      <c r="J1902" s="350">
        <f>IF(G1902="Sim",0,IF(OR(F1902="",D1902="",L1902=""),"",IF(L1902="Sim",ROUND(F1902-D1902,2),0)))</f>
        <v/>
      </c>
      <c r="K1902" s="97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inlineStr">
        <is>
          <t>Nao</t>
        </is>
      </c>
      <c r="W1902" s="110" t="inlineStr">
        <is>
          <t>PC em analise</t>
        </is>
      </c>
      <c r="X1902" s="110" t="inlineStr">
        <is>
          <t>Pedido de Compra</t>
        </is>
      </c>
      <c r="Y1902" s="111" t="inlineStr">
        <is>
          <t>Impacto Potencial</t>
        </is>
      </c>
      <c r="Z1902" s="111" t="inlineStr">
        <is>
          <t>PC</t>
        </is>
      </c>
      <c r="AA1902" s="111" t="inlineStr">
        <is>
          <t>Nao</t>
        </is>
      </c>
      <c r="AB1902" s="111" t="inlineStr">
        <is>
          <t>NAO_COMPUTADO</t>
        </is>
      </c>
      <c r="AC1902" s="112" t="inlineStr">
        <is>
          <t>Estrutura Fase 1: sem impacto no VTA oficial</t>
        </is>
      </c>
    </row>
    <row r="1903" ht="25.5" customHeight="1" s="289">
      <c r="A1903" s="205" t="n"/>
      <c r="B1903" s="207" t="n"/>
      <c r="C1903" s="104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348" t="n"/>
      <c r="E1903" s="349">
        <f>IF(C1903="","",IFERROR(VLOOKUP(C1903,parametros!$A$11:$E$15,5,0),""))</f>
        <v/>
      </c>
      <c r="F1903" s="335">
        <f>IF(OR(D1903="",E1903=""),"",ROUND(D1903*E1903,2))</f>
        <v/>
      </c>
      <c r="G1903" s="106" t="n"/>
      <c r="H1903" s="350">
        <f>IF(G1903="Sim",IF(OR(F1903="",D1903="",L1903=""),"",IF(L1903="Sim",ROUND(F1903-D1903,2),0)),0)</f>
        <v/>
      </c>
      <c r="I1903" s="350">
        <f>IF(G1903="Sim",0,IF(OR(F1903="",L1903=""),"",F1903))</f>
        <v/>
      </c>
      <c r="J1903" s="350">
        <f>IF(G1903="Sim",0,IF(OR(F1903="",D1903="",L1903=""),"",IF(L1903="Sim",ROUND(F1903-D1903,2),0)))</f>
        <v/>
      </c>
      <c r="K1903" s="97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inlineStr">
        <is>
          <t>Nao</t>
        </is>
      </c>
      <c r="W1903" s="110" t="inlineStr">
        <is>
          <t>PC em analise</t>
        </is>
      </c>
      <c r="X1903" s="110" t="inlineStr">
        <is>
          <t>Pedido de Compra</t>
        </is>
      </c>
      <c r="Y1903" s="111" t="inlineStr">
        <is>
          <t>Impacto Potencial</t>
        </is>
      </c>
      <c r="Z1903" s="111" t="inlineStr">
        <is>
          <t>PC</t>
        </is>
      </c>
      <c r="AA1903" s="111" t="inlineStr">
        <is>
          <t>Nao</t>
        </is>
      </c>
      <c r="AB1903" s="111" t="inlineStr">
        <is>
          <t>NAO_COMPUTADO</t>
        </is>
      </c>
      <c r="AC1903" s="112" t="inlineStr">
        <is>
          <t>Estrutura Fase 1: sem impacto no VTA oficial</t>
        </is>
      </c>
    </row>
    <row r="1904" ht="25.5" customHeight="1" s="289">
      <c r="A1904" s="205" t="n"/>
      <c r="B1904" s="207" t="n"/>
      <c r="C1904" s="104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348" t="n"/>
      <c r="E1904" s="349">
        <f>IF(C1904="","",IFERROR(VLOOKUP(C1904,parametros!$A$11:$E$15,5,0),""))</f>
        <v/>
      </c>
      <c r="F1904" s="335">
        <f>IF(OR(D1904="",E1904=""),"",ROUND(D1904*E1904,2))</f>
        <v/>
      </c>
      <c r="G1904" s="106" t="n"/>
      <c r="H1904" s="350">
        <f>IF(G1904="Sim",IF(OR(F1904="",D1904="",L1904=""),"",IF(L1904="Sim",ROUND(F1904-D1904,2),0)),0)</f>
        <v/>
      </c>
      <c r="I1904" s="350">
        <f>IF(G1904="Sim",0,IF(OR(F1904="",L1904=""),"",F1904))</f>
        <v/>
      </c>
      <c r="J1904" s="350">
        <f>IF(G1904="Sim",0,IF(OR(F1904="",D1904="",L1904=""),"",IF(L1904="Sim",ROUND(F1904-D1904,2),0)))</f>
        <v/>
      </c>
      <c r="K1904" s="97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inlineStr">
        <is>
          <t>Nao</t>
        </is>
      </c>
      <c r="W1904" s="110" t="inlineStr">
        <is>
          <t>PC em analise</t>
        </is>
      </c>
      <c r="X1904" s="110" t="inlineStr">
        <is>
          <t>Pedido de Compra</t>
        </is>
      </c>
      <c r="Y1904" s="111" t="inlineStr">
        <is>
          <t>Impacto Potencial</t>
        </is>
      </c>
      <c r="Z1904" s="111" t="inlineStr">
        <is>
          <t>PC</t>
        </is>
      </c>
      <c r="AA1904" s="111" t="inlineStr">
        <is>
          <t>Nao</t>
        </is>
      </c>
      <c r="AB1904" s="111" t="inlineStr">
        <is>
          <t>NAO_COMPUTADO</t>
        </is>
      </c>
      <c r="AC1904" s="112" t="inlineStr">
        <is>
          <t>Estrutura Fase 1: sem impacto no VTA oficial</t>
        </is>
      </c>
    </row>
    <row r="1905" ht="25.5" customHeight="1" s="289">
      <c r="A1905" s="205" t="n"/>
      <c r="B1905" s="207" t="n"/>
      <c r="C1905" s="104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348" t="n"/>
      <c r="E1905" s="349">
        <f>IF(C1905="","",IFERROR(VLOOKUP(C1905,parametros!$A$11:$E$15,5,0),""))</f>
        <v/>
      </c>
      <c r="F1905" s="335">
        <f>IF(OR(D1905="",E1905=""),"",ROUND(D1905*E1905,2))</f>
        <v/>
      </c>
      <c r="G1905" s="106" t="n"/>
      <c r="H1905" s="350">
        <f>IF(G1905="Sim",IF(OR(F1905="",D1905="",L1905=""),"",IF(L1905="Sim",ROUND(F1905-D1905,2),0)),0)</f>
        <v/>
      </c>
      <c r="I1905" s="350">
        <f>IF(G1905="Sim",0,IF(OR(F1905="",L1905=""),"",F1905))</f>
        <v/>
      </c>
      <c r="J1905" s="350">
        <f>IF(G1905="Sim",0,IF(OR(F1905="",D1905="",L1905=""),"",IF(L1905="Sim",ROUND(F1905-D1905,2),0)))</f>
        <v/>
      </c>
      <c r="K1905" s="97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inlineStr">
        <is>
          <t>Nao</t>
        </is>
      </c>
      <c r="W1905" s="110" t="inlineStr">
        <is>
          <t>PC em analise</t>
        </is>
      </c>
      <c r="X1905" s="110" t="inlineStr">
        <is>
          <t>Pedido de Compra</t>
        </is>
      </c>
      <c r="Y1905" s="111" t="inlineStr">
        <is>
          <t>Impacto Potencial</t>
        </is>
      </c>
      <c r="Z1905" s="111" t="inlineStr">
        <is>
          <t>PC</t>
        </is>
      </c>
      <c r="AA1905" s="111" t="inlineStr">
        <is>
          <t>Nao</t>
        </is>
      </c>
      <c r="AB1905" s="111" t="inlineStr">
        <is>
          <t>NAO_COMPUTADO</t>
        </is>
      </c>
      <c r="AC1905" s="112" t="inlineStr">
        <is>
          <t>Estrutura Fase 1: sem impacto no VTA oficial</t>
        </is>
      </c>
    </row>
    <row r="1906" ht="25.5" customHeight="1" s="289">
      <c r="A1906" s="205" t="n"/>
      <c r="B1906" s="207" t="n"/>
      <c r="C1906" s="104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348" t="n"/>
      <c r="E1906" s="349">
        <f>IF(C1906="","",IFERROR(VLOOKUP(C1906,parametros!$A$11:$E$15,5,0),""))</f>
        <v/>
      </c>
      <c r="F1906" s="335">
        <f>IF(OR(D1906="",E1906=""),"",ROUND(D1906*E1906,2))</f>
        <v/>
      </c>
      <c r="G1906" s="106" t="n"/>
      <c r="H1906" s="350">
        <f>IF(G1906="Sim",IF(OR(F1906="",D1906="",L1906=""),"",IF(L1906="Sim",ROUND(F1906-D1906,2),0)),0)</f>
        <v/>
      </c>
      <c r="I1906" s="350">
        <f>IF(G1906="Sim",0,IF(OR(F1906="",L1906=""),"",F1906))</f>
        <v/>
      </c>
      <c r="J1906" s="350">
        <f>IF(G1906="Sim",0,IF(OR(F1906="",D1906="",L1906=""),"",IF(L1906="Sim",ROUND(F1906-D1906,2),0)))</f>
        <v/>
      </c>
      <c r="K1906" s="97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inlineStr">
        <is>
          <t>Nao</t>
        </is>
      </c>
      <c r="W1906" s="110" t="inlineStr">
        <is>
          <t>PC em analise</t>
        </is>
      </c>
      <c r="X1906" s="110" t="inlineStr">
        <is>
          <t>Pedido de Compra</t>
        </is>
      </c>
      <c r="Y1906" s="111" t="inlineStr">
        <is>
          <t>Impacto Potencial</t>
        </is>
      </c>
      <c r="Z1906" s="111" t="inlineStr">
        <is>
          <t>PC</t>
        </is>
      </c>
      <c r="AA1906" s="111" t="inlineStr">
        <is>
          <t>Nao</t>
        </is>
      </c>
      <c r="AB1906" s="111" t="inlineStr">
        <is>
          <t>NAO_COMPUTADO</t>
        </is>
      </c>
      <c r="AC1906" s="112" t="inlineStr">
        <is>
          <t>Estrutura Fase 1: sem impacto no VTA oficial</t>
        </is>
      </c>
    </row>
    <row r="1907" ht="25.5" customHeight="1" s="289">
      <c r="A1907" s="205" t="n"/>
      <c r="B1907" s="207" t="n"/>
      <c r="C1907" s="104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348" t="n"/>
      <c r="E1907" s="349">
        <f>IF(C1907="","",IFERROR(VLOOKUP(C1907,parametros!$A$11:$E$15,5,0),""))</f>
        <v/>
      </c>
      <c r="F1907" s="335">
        <f>IF(OR(D1907="",E1907=""),"",ROUND(D1907*E1907,2))</f>
        <v/>
      </c>
      <c r="G1907" s="106" t="n"/>
      <c r="H1907" s="350">
        <f>IF(G1907="Sim",IF(OR(F1907="",D1907="",L1907=""),"",IF(L1907="Sim",ROUND(F1907-D1907,2),0)),0)</f>
        <v/>
      </c>
      <c r="I1907" s="350">
        <f>IF(G1907="Sim",0,IF(OR(F1907="",L1907=""),"",F1907))</f>
        <v/>
      </c>
      <c r="J1907" s="350">
        <f>IF(G1907="Sim",0,IF(OR(F1907="",D1907="",L1907=""),"",IF(L1907="Sim",ROUND(F1907-D1907,2),0)))</f>
        <v/>
      </c>
      <c r="K1907" s="97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inlineStr">
        <is>
          <t>Nao</t>
        </is>
      </c>
      <c r="W1907" s="110" t="inlineStr">
        <is>
          <t>PC em analise</t>
        </is>
      </c>
      <c r="X1907" s="110" t="inlineStr">
        <is>
          <t>Pedido de Compra</t>
        </is>
      </c>
      <c r="Y1907" s="111" t="inlineStr">
        <is>
          <t>Impacto Potencial</t>
        </is>
      </c>
      <c r="Z1907" s="111" t="inlineStr">
        <is>
          <t>PC</t>
        </is>
      </c>
      <c r="AA1907" s="111" t="inlineStr">
        <is>
          <t>Nao</t>
        </is>
      </c>
      <c r="AB1907" s="111" t="inlineStr">
        <is>
          <t>NAO_COMPUTADO</t>
        </is>
      </c>
      <c r="AC1907" s="112" t="inlineStr">
        <is>
          <t>Estrutura Fase 1: sem impacto no VTA oficial</t>
        </is>
      </c>
    </row>
    <row r="1908" ht="25.5" customHeight="1" s="289">
      <c r="A1908" s="205" t="n"/>
      <c r="B1908" s="207" t="n"/>
      <c r="C1908" s="104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348" t="n"/>
      <c r="E1908" s="349">
        <f>IF(C1908="","",IFERROR(VLOOKUP(C1908,parametros!$A$11:$E$15,5,0),""))</f>
        <v/>
      </c>
      <c r="F1908" s="335">
        <f>IF(OR(D1908="",E1908=""),"",ROUND(D1908*E1908,2))</f>
        <v/>
      </c>
      <c r="G1908" s="106" t="n"/>
      <c r="H1908" s="350">
        <f>IF(G1908="Sim",IF(OR(F1908="",D1908="",L1908=""),"",IF(L1908="Sim",ROUND(F1908-D1908,2),0)),0)</f>
        <v/>
      </c>
      <c r="I1908" s="350">
        <f>IF(G1908="Sim",0,IF(OR(F1908="",L1908=""),"",F1908))</f>
        <v/>
      </c>
      <c r="J1908" s="350">
        <f>IF(G1908="Sim",0,IF(OR(F1908="",D1908="",L1908=""),"",IF(L1908="Sim",ROUND(F1908-D1908,2),0)))</f>
        <v/>
      </c>
      <c r="K1908" s="97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inlineStr">
        <is>
          <t>Nao</t>
        </is>
      </c>
      <c r="W1908" s="110" t="inlineStr">
        <is>
          <t>PC em analise</t>
        </is>
      </c>
      <c r="X1908" s="110" t="inlineStr">
        <is>
          <t>Pedido de Compra</t>
        </is>
      </c>
      <c r="Y1908" s="111" t="inlineStr">
        <is>
          <t>Impacto Potencial</t>
        </is>
      </c>
      <c r="Z1908" s="111" t="inlineStr">
        <is>
          <t>PC</t>
        </is>
      </c>
      <c r="AA1908" s="111" t="inlineStr">
        <is>
          <t>Nao</t>
        </is>
      </c>
      <c r="AB1908" s="111" t="inlineStr">
        <is>
          <t>NAO_COMPUTADO</t>
        </is>
      </c>
      <c r="AC1908" s="112" t="inlineStr">
        <is>
          <t>Estrutura Fase 1: sem impacto no VTA oficial</t>
        </is>
      </c>
    </row>
    <row r="1909" ht="25.5" customHeight="1" s="289">
      <c r="A1909" s="205" t="n"/>
      <c r="B1909" s="207" t="n"/>
      <c r="C1909" s="104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348" t="n"/>
      <c r="E1909" s="349">
        <f>IF(C1909="","",IFERROR(VLOOKUP(C1909,parametros!$A$11:$E$15,5,0),""))</f>
        <v/>
      </c>
      <c r="F1909" s="335">
        <f>IF(OR(D1909="",E1909=""),"",ROUND(D1909*E1909,2))</f>
        <v/>
      </c>
      <c r="G1909" s="106" t="n"/>
      <c r="H1909" s="350">
        <f>IF(G1909="Sim",IF(OR(F1909="",D1909="",L1909=""),"",IF(L1909="Sim",ROUND(F1909-D1909,2),0)),0)</f>
        <v/>
      </c>
      <c r="I1909" s="350">
        <f>IF(G1909="Sim",0,IF(OR(F1909="",L1909=""),"",F1909))</f>
        <v/>
      </c>
      <c r="J1909" s="350">
        <f>IF(G1909="Sim",0,IF(OR(F1909="",D1909="",L1909=""),"",IF(L1909="Sim",ROUND(F1909-D1909,2),0)))</f>
        <v/>
      </c>
      <c r="K1909" s="97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inlineStr">
        <is>
          <t>Nao</t>
        </is>
      </c>
      <c r="W1909" s="110" t="inlineStr">
        <is>
          <t>PC em analise</t>
        </is>
      </c>
      <c r="X1909" s="110" t="inlineStr">
        <is>
          <t>Pedido de Compra</t>
        </is>
      </c>
      <c r="Y1909" s="111" t="inlineStr">
        <is>
          <t>Impacto Potencial</t>
        </is>
      </c>
      <c r="Z1909" s="111" t="inlineStr">
        <is>
          <t>PC</t>
        </is>
      </c>
      <c r="AA1909" s="111" t="inlineStr">
        <is>
          <t>Nao</t>
        </is>
      </c>
      <c r="AB1909" s="111" t="inlineStr">
        <is>
          <t>NAO_COMPUTADO</t>
        </is>
      </c>
      <c r="AC1909" s="112" t="inlineStr">
        <is>
          <t>Estrutura Fase 1: sem impacto no VTA oficial</t>
        </is>
      </c>
    </row>
    <row r="1910" ht="25.5" customHeight="1" s="289">
      <c r="A1910" s="205" t="n"/>
      <c r="B1910" s="207" t="n"/>
      <c r="C1910" s="104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348" t="n"/>
      <c r="E1910" s="349">
        <f>IF(C1910="","",IFERROR(VLOOKUP(C1910,parametros!$A$11:$E$15,5,0),""))</f>
        <v/>
      </c>
      <c r="F1910" s="335">
        <f>IF(OR(D1910="",E1910=""),"",ROUND(D1910*E1910,2))</f>
        <v/>
      </c>
      <c r="G1910" s="106" t="n"/>
      <c r="H1910" s="350">
        <f>IF(G1910="Sim",IF(OR(F1910="",D1910="",L1910=""),"",IF(L1910="Sim",ROUND(F1910-D1910,2),0)),0)</f>
        <v/>
      </c>
      <c r="I1910" s="350">
        <f>IF(G1910="Sim",0,IF(OR(F1910="",L1910=""),"",F1910))</f>
        <v/>
      </c>
      <c r="J1910" s="350">
        <f>IF(G1910="Sim",0,IF(OR(F1910="",D1910="",L1910=""),"",IF(L1910="Sim",ROUND(F1910-D1910,2),0)))</f>
        <v/>
      </c>
      <c r="K1910" s="97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inlineStr">
        <is>
          <t>Nao</t>
        </is>
      </c>
      <c r="W1910" s="110" t="inlineStr">
        <is>
          <t>PC em analise</t>
        </is>
      </c>
      <c r="X1910" s="110" t="inlineStr">
        <is>
          <t>Pedido de Compra</t>
        </is>
      </c>
      <c r="Y1910" s="111" t="inlineStr">
        <is>
          <t>Impacto Potencial</t>
        </is>
      </c>
      <c r="Z1910" s="111" t="inlineStr">
        <is>
          <t>PC</t>
        </is>
      </c>
      <c r="AA1910" s="111" t="inlineStr">
        <is>
          <t>Nao</t>
        </is>
      </c>
      <c r="AB1910" s="111" t="inlineStr">
        <is>
          <t>NAO_COMPUTADO</t>
        </is>
      </c>
      <c r="AC1910" s="112" t="inlineStr">
        <is>
          <t>Estrutura Fase 1: sem impacto no VTA oficial</t>
        </is>
      </c>
    </row>
    <row r="1911" ht="25.5" customHeight="1" s="289">
      <c r="A1911" s="205" t="n"/>
      <c r="B1911" s="207" t="n"/>
      <c r="C1911" s="104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348" t="n"/>
      <c r="E1911" s="349">
        <f>IF(C1911="","",IFERROR(VLOOKUP(C1911,parametros!$A$11:$E$15,5,0),""))</f>
        <v/>
      </c>
      <c r="F1911" s="335">
        <f>IF(OR(D1911="",E1911=""),"",ROUND(D1911*E1911,2))</f>
        <v/>
      </c>
      <c r="G1911" s="106" t="n"/>
      <c r="H1911" s="350">
        <f>IF(G1911="Sim",IF(OR(F1911="",D1911="",L1911=""),"",IF(L1911="Sim",ROUND(F1911-D1911,2),0)),0)</f>
        <v/>
      </c>
      <c r="I1911" s="350">
        <f>IF(G1911="Sim",0,IF(OR(F1911="",L1911=""),"",F1911))</f>
        <v/>
      </c>
      <c r="J1911" s="350">
        <f>IF(G1911="Sim",0,IF(OR(F1911="",D1911="",L1911=""),"",IF(L1911="Sim",ROUND(F1911-D1911,2),0)))</f>
        <v/>
      </c>
      <c r="K1911" s="97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inlineStr">
        <is>
          <t>Nao</t>
        </is>
      </c>
      <c r="W1911" s="110" t="inlineStr">
        <is>
          <t>PC em analise</t>
        </is>
      </c>
      <c r="X1911" s="110" t="inlineStr">
        <is>
          <t>Pedido de Compra</t>
        </is>
      </c>
      <c r="Y1911" s="111" t="inlineStr">
        <is>
          <t>Impacto Potencial</t>
        </is>
      </c>
      <c r="Z1911" s="111" t="inlineStr">
        <is>
          <t>PC</t>
        </is>
      </c>
      <c r="AA1911" s="111" t="inlineStr">
        <is>
          <t>Nao</t>
        </is>
      </c>
      <c r="AB1911" s="111" t="inlineStr">
        <is>
          <t>NAO_COMPUTADO</t>
        </is>
      </c>
      <c r="AC1911" s="112" t="inlineStr">
        <is>
          <t>Estrutura Fase 1: sem impacto no VTA oficial</t>
        </is>
      </c>
    </row>
    <row r="1912" ht="25.5" customHeight="1" s="289">
      <c r="A1912" s="205" t="n"/>
      <c r="B1912" s="207" t="n"/>
      <c r="C1912" s="104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348" t="n"/>
      <c r="E1912" s="349">
        <f>IF(C1912="","",IFERROR(VLOOKUP(C1912,parametros!$A$11:$E$15,5,0),""))</f>
        <v/>
      </c>
      <c r="F1912" s="335">
        <f>IF(OR(D1912="",E1912=""),"",ROUND(D1912*E1912,2))</f>
        <v/>
      </c>
      <c r="G1912" s="106" t="n"/>
      <c r="H1912" s="350">
        <f>IF(G1912="Sim",IF(OR(F1912="",D1912="",L1912=""),"",IF(L1912="Sim",ROUND(F1912-D1912,2),0)),0)</f>
        <v/>
      </c>
      <c r="I1912" s="350">
        <f>IF(G1912="Sim",0,IF(OR(F1912="",L1912=""),"",F1912))</f>
        <v/>
      </c>
      <c r="J1912" s="350">
        <f>IF(G1912="Sim",0,IF(OR(F1912="",D1912="",L1912=""),"",IF(L1912="Sim",ROUND(F1912-D1912,2),0)))</f>
        <v/>
      </c>
      <c r="K1912" s="97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inlineStr">
        <is>
          <t>Nao</t>
        </is>
      </c>
      <c r="W1912" s="110" t="inlineStr">
        <is>
          <t>PC em analise</t>
        </is>
      </c>
      <c r="X1912" s="110" t="inlineStr">
        <is>
          <t>Pedido de Compra</t>
        </is>
      </c>
      <c r="Y1912" s="111" t="inlineStr">
        <is>
          <t>Impacto Potencial</t>
        </is>
      </c>
      <c r="Z1912" s="111" t="inlineStr">
        <is>
          <t>PC</t>
        </is>
      </c>
      <c r="AA1912" s="111" t="inlineStr">
        <is>
          <t>Nao</t>
        </is>
      </c>
      <c r="AB1912" s="111" t="inlineStr">
        <is>
          <t>NAO_COMPUTADO</t>
        </is>
      </c>
      <c r="AC1912" s="112" t="inlineStr">
        <is>
          <t>Estrutura Fase 1: sem impacto no VTA oficial</t>
        </is>
      </c>
    </row>
    <row r="1913" ht="25.5" customHeight="1" s="289">
      <c r="A1913" s="205" t="n"/>
      <c r="B1913" s="207" t="n"/>
      <c r="C1913" s="104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348" t="n"/>
      <c r="E1913" s="349">
        <f>IF(C1913="","",IFERROR(VLOOKUP(C1913,parametros!$A$11:$E$15,5,0),""))</f>
        <v/>
      </c>
      <c r="F1913" s="335">
        <f>IF(OR(D1913="",E1913=""),"",ROUND(D1913*E1913,2))</f>
        <v/>
      </c>
      <c r="G1913" s="106" t="n"/>
      <c r="H1913" s="350">
        <f>IF(G1913="Sim",IF(OR(F1913="",D1913="",L1913=""),"",IF(L1913="Sim",ROUND(F1913-D1913,2),0)),0)</f>
        <v/>
      </c>
      <c r="I1913" s="350">
        <f>IF(G1913="Sim",0,IF(OR(F1913="",L1913=""),"",F1913))</f>
        <v/>
      </c>
      <c r="J1913" s="350">
        <f>IF(G1913="Sim",0,IF(OR(F1913="",D1913="",L1913=""),"",IF(L1913="Sim",ROUND(F1913-D1913,2),0)))</f>
        <v/>
      </c>
      <c r="K1913" s="97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inlineStr">
        <is>
          <t>Nao</t>
        </is>
      </c>
      <c r="W1913" s="110" t="inlineStr">
        <is>
          <t>PC em analise</t>
        </is>
      </c>
      <c r="X1913" s="110" t="inlineStr">
        <is>
          <t>Pedido de Compra</t>
        </is>
      </c>
      <c r="Y1913" s="111" t="inlineStr">
        <is>
          <t>Impacto Potencial</t>
        </is>
      </c>
      <c r="Z1913" s="111" t="inlineStr">
        <is>
          <t>PC</t>
        </is>
      </c>
      <c r="AA1913" s="111" t="inlineStr">
        <is>
          <t>Nao</t>
        </is>
      </c>
      <c r="AB1913" s="111" t="inlineStr">
        <is>
          <t>NAO_COMPUTADO</t>
        </is>
      </c>
      <c r="AC1913" s="112" t="inlineStr">
        <is>
          <t>Estrutura Fase 1: sem impacto no VTA oficial</t>
        </is>
      </c>
    </row>
    <row r="1914" ht="25.5" customHeight="1" s="289">
      <c r="A1914" s="205" t="n"/>
      <c r="B1914" s="207" t="n"/>
      <c r="C1914" s="104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348" t="n"/>
      <c r="E1914" s="349">
        <f>IF(C1914="","",IFERROR(VLOOKUP(C1914,parametros!$A$11:$E$15,5,0),""))</f>
        <v/>
      </c>
      <c r="F1914" s="335">
        <f>IF(OR(D1914="",E1914=""),"",ROUND(D1914*E1914,2))</f>
        <v/>
      </c>
      <c r="G1914" s="106" t="n"/>
      <c r="H1914" s="350">
        <f>IF(G1914="Sim",IF(OR(F1914="",D1914="",L1914=""),"",IF(L1914="Sim",ROUND(F1914-D1914,2),0)),0)</f>
        <v/>
      </c>
      <c r="I1914" s="350">
        <f>IF(G1914="Sim",0,IF(OR(F1914="",L1914=""),"",F1914))</f>
        <v/>
      </c>
      <c r="J1914" s="350">
        <f>IF(G1914="Sim",0,IF(OR(F1914="",D1914="",L1914=""),"",IF(L1914="Sim",ROUND(F1914-D1914,2),0)))</f>
        <v/>
      </c>
      <c r="K1914" s="97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inlineStr">
        <is>
          <t>Nao</t>
        </is>
      </c>
      <c r="W1914" s="110" t="inlineStr">
        <is>
          <t>PC em analise</t>
        </is>
      </c>
      <c r="X1914" s="110" t="inlineStr">
        <is>
          <t>Pedido de Compra</t>
        </is>
      </c>
      <c r="Y1914" s="111" t="inlineStr">
        <is>
          <t>Impacto Potencial</t>
        </is>
      </c>
      <c r="Z1914" s="111" t="inlineStr">
        <is>
          <t>PC</t>
        </is>
      </c>
      <c r="AA1914" s="111" t="inlineStr">
        <is>
          <t>Nao</t>
        </is>
      </c>
      <c r="AB1914" s="111" t="inlineStr">
        <is>
          <t>NAO_COMPUTADO</t>
        </is>
      </c>
      <c r="AC1914" s="112" t="inlineStr">
        <is>
          <t>Estrutura Fase 1: sem impacto no VTA oficial</t>
        </is>
      </c>
    </row>
    <row r="1915" ht="25.5" customHeight="1" s="289">
      <c r="A1915" s="205" t="n"/>
      <c r="B1915" s="207" t="n"/>
      <c r="C1915" s="104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348" t="n"/>
      <c r="E1915" s="349">
        <f>IF(C1915="","",IFERROR(VLOOKUP(C1915,parametros!$A$11:$E$15,5,0),""))</f>
        <v/>
      </c>
      <c r="F1915" s="335">
        <f>IF(OR(D1915="",E1915=""),"",ROUND(D1915*E1915,2))</f>
        <v/>
      </c>
      <c r="G1915" s="106" t="n"/>
      <c r="H1915" s="350">
        <f>IF(G1915="Sim",IF(OR(F1915="",D1915="",L1915=""),"",IF(L1915="Sim",ROUND(F1915-D1915,2),0)),0)</f>
        <v/>
      </c>
      <c r="I1915" s="350">
        <f>IF(G1915="Sim",0,IF(OR(F1915="",L1915=""),"",F1915))</f>
        <v/>
      </c>
      <c r="J1915" s="350">
        <f>IF(G1915="Sim",0,IF(OR(F1915="",D1915="",L1915=""),"",IF(L1915="Sim",ROUND(F1915-D1915,2),0)))</f>
        <v/>
      </c>
      <c r="K1915" s="97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inlineStr">
        <is>
          <t>Nao</t>
        </is>
      </c>
      <c r="W1915" s="110" t="inlineStr">
        <is>
          <t>PC em analise</t>
        </is>
      </c>
      <c r="X1915" s="110" t="inlineStr">
        <is>
          <t>Pedido de Compra</t>
        </is>
      </c>
      <c r="Y1915" s="111" t="inlineStr">
        <is>
          <t>Impacto Potencial</t>
        </is>
      </c>
      <c r="Z1915" s="111" t="inlineStr">
        <is>
          <t>PC</t>
        </is>
      </c>
      <c r="AA1915" s="111" t="inlineStr">
        <is>
          <t>Nao</t>
        </is>
      </c>
      <c r="AB1915" s="111" t="inlineStr">
        <is>
          <t>NAO_COMPUTADO</t>
        </is>
      </c>
      <c r="AC1915" s="112" t="inlineStr">
        <is>
          <t>Estrutura Fase 1: sem impacto no VTA oficial</t>
        </is>
      </c>
    </row>
    <row r="1916" ht="25.5" customHeight="1" s="289">
      <c r="A1916" s="205" t="n"/>
      <c r="B1916" s="207" t="n"/>
      <c r="C1916" s="104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348" t="n"/>
      <c r="E1916" s="349">
        <f>IF(C1916="","",IFERROR(VLOOKUP(C1916,parametros!$A$11:$E$15,5,0),""))</f>
        <v/>
      </c>
      <c r="F1916" s="335">
        <f>IF(OR(D1916="",E1916=""),"",ROUND(D1916*E1916,2))</f>
        <v/>
      </c>
      <c r="G1916" s="106" t="n"/>
      <c r="H1916" s="350">
        <f>IF(G1916="Sim",IF(OR(F1916="",D1916="",L1916=""),"",IF(L1916="Sim",ROUND(F1916-D1916,2),0)),0)</f>
        <v/>
      </c>
      <c r="I1916" s="350">
        <f>IF(G1916="Sim",0,IF(OR(F1916="",L1916=""),"",F1916))</f>
        <v/>
      </c>
      <c r="J1916" s="350">
        <f>IF(G1916="Sim",0,IF(OR(F1916="",D1916="",L1916=""),"",IF(L1916="Sim",ROUND(F1916-D1916,2),0)))</f>
        <v/>
      </c>
      <c r="K1916" s="97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inlineStr">
        <is>
          <t>Nao</t>
        </is>
      </c>
      <c r="W1916" s="110" t="inlineStr">
        <is>
          <t>PC em analise</t>
        </is>
      </c>
      <c r="X1916" s="110" t="inlineStr">
        <is>
          <t>Pedido de Compra</t>
        </is>
      </c>
      <c r="Y1916" s="111" t="inlineStr">
        <is>
          <t>Impacto Potencial</t>
        </is>
      </c>
      <c r="Z1916" s="111" t="inlineStr">
        <is>
          <t>PC</t>
        </is>
      </c>
      <c r="AA1916" s="111" t="inlineStr">
        <is>
          <t>Nao</t>
        </is>
      </c>
      <c r="AB1916" s="111" t="inlineStr">
        <is>
          <t>NAO_COMPUTADO</t>
        </is>
      </c>
      <c r="AC1916" s="112" t="inlineStr">
        <is>
          <t>Estrutura Fase 1: sem impacto no VTA oficial</t>
        </is>
      </c>
    </row>
    <row r="1917" ht="25.5" customHeight="1" s="289">
      <c r="A1917" s="205" t="n"/>
      <c r="B1917" s="207" t="n"/>
      <c r="C1917" s="104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348" t="n"/>
      <c r="E1917" s="349">
        <f>IF(C1917="","",IFERROR(VLOOKUP(C1917,parametros!$A$11:$E$15,5,0),""))</f>
        <v/>
      </c>
      <c r="F1917" s="335">
        <f>IF(OR(D1917="",E1917=""),"",ROUND(D1917*E1917,2))</f>
        <v/>
      </c>
      <c r="G1917" s="106" t="n"/>
      <c r="H1917" s="350">
        <f>IF(G1917="Sim",IF(OR(F1917="",D1917="",L1917=""),"",IF(L1917="Sim",ROUND(F1917-D1917,2),0)),0)</f>
        <v/>
      </c>
      <c r="I1917" s="350">
        <f>IF(G1917="Sim",0,IF(OR(F1917="",L1917=""),"",F1917))</f>
        <v/>
      </c>
      <c r="J1917" s="350">
        <f>IF(G1917="Sim",0,IF(OR(F1917="",D1917="",L1917=""),"",IF(L1917="Sim",ROUND(F1917-D1917,2),0)))</f>
        <v/>
      </c>
      <c r="K1917" s="97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inlineStr">
        <is>
          <t>Nao</t>
        </is>
      </c>
      <c r="W1917" s="110" t="inlineStr">
        <is>
          <t>PC em analise</t>
        </is>
      </c>
      <c r="X1917" s="110" t="inlineStr">
        <is>
          <t>Pedido de Compra</t>
        </is>
      </c>
      <c r="Y1917" s="111" t="inlineStr">
        <is>
          <t>Impacto Potencial</t>
        </is>
      </c>
      <c r="Z1917" s="111" t="inlineStr">
        <is>
          <t>PC</t>
        </is>
      </c>
      <c r="AA1917" s="111" t="inlineStr">
        <is>
          <t>Nao</t>
        </is>
      </c>
      <c r="AB1917" s="111" t="inlineStr">
        <is>
          <t>NAO_COMPUTADO</t>
        </is>
      </c>
      <c r="AC1917" s="112" t="inlineStr">
        <is>
          <t>Estrutura Fase 1: sem impacto no VTA oficial</t>
        </is>
      </c>
    </row>
    <row r="1918" ht="25.5" customHeight="1" s="289">
      <c r="A1918" s="205" t="n"/>
      <c r="B1918" s="207" t="n"/>
      <c r="C1918" s="104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348" t="n"/>
      <c r="E1918" s="349">
        <f>IF(C1918="","",IFERROR(VLOOKUP(C1918,parametros!$A$11:$E$15,5,0),""))</f>
        <v/>
      </c>
      <c r="F1918" s="335">
        <f>IF(OR(D1918="",E1918=""),"",ROUND(D1918*E1918,2))</f>
        <v/>
      </c>
      <c r="G1918" s="106" t="n"/>
      <c r="H1918" s="350">
        <f>IF(G1918="Sim",IF(OR(F1918="",D1918="",L1918=""),"",IF(L1918="Sim",ROUND(F1918-D1918,2),0)),0)</f>
        <v/>
      </c>
      <c r="I1918" s="350">
        <f>IF(G1918="Sim",0,IF(OR(F1918="",L1918=""),"",F1918))</f>
        <v/>
      </c>
      <c r="J1918" s="350">
        <f>IF(G1918="Sim",0,IF(OR(F1918="",D1918="",L1918=""),"",IF(L1918="Sim",ROUND(F1918-D1918,2),0)))</f>
        <v/>
      </c>
      <c r="K1918" s="97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inlineStr">
        <is>
          <t>Nao</t>
        </is>
      </c>
      <c r="W1918" s="110" t="inlineStr">
        <is>
          <t>PC em analise</t>
        </is>
      </c>
      <c r="X1918" s="110" t="inlineStr">
        <is>
          <t>Pedido de Compra</t>
        </is>
      </c>
      <c r="Y1918" s="111" t="inlineStr">
        <is>
          <t>Impacto Potencial</t>
        </is>
      </c>
      <c r="Z1918" s="111" t="inlineStr">
        <is>
          <t>PC</t>
        </is>
      </c>
      <c r="AA1918" s="111" t="inlineStr">
        <is>
          <t>Nao</t>
        </is>
      </c>
      <c r="AB1918" s="111" t="inlineStr">
        <is>
          <t>NAO_COMPUTADO</t>
        </is>
      </c>
      <c r="AC1918" s="112" t="inlineStr">
        <is>
          <t>Estrutura Fase 1: sem impacto no VTA oficial</t>
        </is>
      </c>
    </row>
    <row r="1919" ht="25.5" customHeight="1" s="289">
      <c r="A1919" s="205" t="n"/>
      <c r="B1919" s="207" t="n"/>
      <c r="C1919" s="104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348" t="n"/>
      <c r="E1919" s="349">
        <f>IF(C1919="","",IFERROR(VLOOKUP(C1919,parametros!$A$11:$E$15,5,0),""))</f>
        <v/>
      </c>
      <c r="F1919" s="335">
        <f>IF(OR(D1919="",E1919=""),"",ROUND(D1919*E1919,2))</f>
        <v/>
      </c>
      <c r="G1919" s="106" t="n"/>
      <c r="H1919" s="350">
        <f>IF(G1919="Sim",IF(OR(F1919="",D1919="",L1919=""),"",IF(L1919="Sim",ROUND(F1919-D1919,2),0)),0)</f>
        <v/>
      </c>
      <c r="I1919" s="350">
        <f>IF(G1919="Sim",0,IF(OR(F1919="",L1919=""),"",F1919))</f>
        <v/>
      </c>
      <c r="J1919" s="350">
        <f>IF(G1919="Sim",0,IF(OR(F1919="",D1919="",L1919=""),"",IF(L1919="Sim",ROUND(F1919-D1919,2),0)))</f>
        <v/>
      </c>
      <c r="K1919" s="97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inlineStr">
        <is>
          <t>Nao</t>
        </is>
      </c>
      <c r="W1919" s="110" t="inlineStr">
        <is>
          <t>PC em analise</t>
        </is>
      </c>
      <c r="X1919" s="110" t="inlineStr">
        <is>
          <t>Pedido de Compra</t>
        </is>
      </c>
      <c r="Y1919" s="111" t="inlineStr">
        <is>
          <t>Impacto Potencial</t>
        </is>
      </c>
      <c r="Z1919" s="111" t="inlineStr">
        <is>
          <t>PC</t>
        </is>
      </c>
      <c r="AA1919" s="111" t="inlineStr">
        <is>
          <t>Nao</t>
        </is>
      </c>
      <c r="AB1919" s="111" t="inlineStr">
        <is>
          <t>NAO_COMPUTADO</t>
        </is>
      </c>
      <c r="AC1919" s="112" t="inlineStr">
        <is>
          <t>Estrutura Fase 1: sem impacto no VTA oficial</t>
        </is>
      </c>
    </row>
    <row r="1920" ht="25.5" customHeight="1" s="289">
      <c r="A1920" s="205" t="n"/>
      <c r="B1920" s="207" t="n"/>
      <c r="C1920" s="104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348" t="n"/>
      <c r="E1920" s="349">
        <f>IF(C1920="","",IFERROR(VLOOKUP(C1920,parametros!$A$11:$E$15,5,0),""))</f>
        <v/>
      </c>
      <c r="F1920" s="335">
        <f>IF(OR(D1920="",E1920=""),"",ROUND(D1920*E1920,2))</f>
        <v/>
      </c>
      <c r="G1920" s="106" t="n"/>
      <c r="H1920" s="350">
        <f>IF(G1920="Sim",IF(OR(F1920="",D1920="",L1920=""),"",IF(L1920="Sim",ROUND(F1920-D1920,2),0)),0)</f>
        <v/>
      </c>
      <c r="I1920" s="350">
        <f>IF(G1920="Sim",0,IF(OR(F1920="",L1920=""),"",F1920))</f>
        <v/>
      </c>
      <c r="J1920" s="350">
        <f>IF(G1920="Sim",0,IF(OR(F1920="",D1920="",L1920=""),"",IF(L1920="Sim",ROUND(F1920-D1920,2),0)))</f>
        <v/>
      </c>
      <c r="K1920" s="97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inlineStr">
        <is>
          <t>Nao</t>
        </is>
      </c>
      <c r="W1920" s="110" t="inlineStr">
        <is>
          <t>PC em analise</t>
        </is>
      </c>
      <c r="X1920" s="110" t="inlineStr">
        <is>
          <t>Pedido de Compra</t>
        </is>
      </c>
      <c r="Y1920" s="111" t="inlineStr">
        <is>
          <t>Impacto Potencial</t>
        </is>
      </c>
      <c r="Z1920" s="111" t="inlineStr">
        <is>
          <t>PC</t>
        </is>
      </c>
      <c r="AA1920" s="111" t="inlineStr">
        <is>
          <t>Nao</t>
        </is>
      </c>
      <c r="AB1920" s="111" t="inlineStr">
        <is>
          <t>NAO_COMPUTADO</t>
        </is>
      </c>
      <c r="AC1920" s="112" t="inlineStr">
        <is>
          <t>Estrutura Fase 1: sem impacto no VTA oficial</t>
        </is>
      </c>
    </row>
    <row r="1921" ht="25.5" customHeight="1" s="289">
      <c r="A1921" s="205" t="n"/>
      <c r="B1921" s="207" t="n"/>
      <c r="C1921" s="104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348" t="n"/>
      <c r="E1921" s="349">
        <f>IF(C1921="","",IFERROR(VLOOKUP(C1921,parametros!$A$11:$E$15,5,0),""))</f>
        <v/>
      </c>
      <c r="F1921" s="335">
        <f>IF(OR(D1921="",E1921=""),"",ROUND(D1921*E1921,2))</f>
        <v/>
      </c>
      <c r="G1921" s="106" t="n"/>
      <c r="H1921" s="350">
        <f>IF(G1921="Sim",IF(OR(F1921="",D1921="",L1921=""),"",IF(L1921="Sim",ROUND(F1921-D1921,2),0)),0)</f>
        <v/>
      </c>
      <c r="I1921" s="350">
        <f>IF(G1921="Sim",0,IF(OR(F1921="",L1921=""),"",F1921))</f>
        <v/>
      </c>
      <c r="J1921" s="350">
        <f>IF(G1921="Sim",0,IF(OR(F1921="",D1921="",L1921=""),"",IF(L1921="Sim",ROUND(F1921-D1921,2),0)))</f>
        <v/>
      </c>
      <c r="K1921" s="97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inlineStr">
        <is>
          <t>Nao</t>
        </is>
      </c>
      <c r="W1921" s="110" t="inlineStr">
        <is>
          <t>PC em analise</t>
        </is>
      </c>
      <c r="X1921" s="110" t="inlineStr">
        <is>
          <t>Pedido de Compra</t>
        </is>
      </c>
      <c r="Y1921" s="111" t="inlineStr">
        <is>
          <t>Impacto Potencial</t>
        </is>
      </c>
      <c r="Z1921" s="111" t="inlineStr">
        <is>
          <t>PC</t>
        </is>
      </c>
      <c r="AA1921" s="111" t="inlineStr">
        <is>
          <t>Nao</t>
        </is>
      </c>
      <c r="AB1921" s="111" t="inlineStr">
        <is>
          <t>NAO_COMPUTADO</t>
        </is>
      </c>
      <c r="AC1921" s="112" t="inlineStr">
        <is>
          <t>Estrutura Fase 1: sem impacto no VTA oficial</t>
        </is>
      </c>
    </row>
    <row r="1922" ht="25.5" customHeight="1" s="289">
      <c r="A1922" s="205" t="n"/>
      <c r="B1922" s="207" t="n"/>
      <c r="C1922" s="104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348" t="n"/>
      <c r="E1922" s="349">
        <f>IF(C1922="","",IFERROR(VLOOKUP(C1922,parametros!$A$11:$E$15,5,0),""))</f>
        <v/>
      </c>
      <c r="F1922" s="335">
        <f>IF(OR(D1922="",E1922=""),"",ROUND(D1922*E1922,2))</f>
        <v/>
      </c>
      <c r="G1922" s="106" t="n"/>
      <c r="H1922" s="350">
        <f>IF(G1922="Sim",IF(OR(F1922="",D1922="",L1922=""),"",IF(L1922="Sim",ROUND(F1922-D1922,2),0)),0)</f>
        <v/>
      </c>
      <c r="I1922" s="350">
        <f>IF(G1922="Sim",0,IF(OR(F1922="",L1922=""),"",F1922))</f>
        <v/>
      </c>
      <c r="J1922" s="350">
        <f>IF(G1922="Sim",0,IF(OR(F1922="",D1922="",L1922=""),"",IF(L1922="Sim",ROUND(F1922-D1922,2),0)))</f>
        <v/>
      </c>
      <c r="K1922" s="97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inlineStr">
        <is>
          <t>Nao</t>
        </is>
      </c>
      <c r="W1922" s="110" t="inlineStr">
        <is>
          <t>PC em analise</t>
        </is>
      </c>
      <c r="X1922" s="110" t="inlineStr">
        <is>
          <t>Pedido de Compra</t>
        </is>
      </c>
      <c r="Y1922" s="111" t="inlineStr">
        <is>
          <t>Impacto Potencial</t>
        </is>
      </c>
      <c r="Z1922" s="111" t="inlineStr">
        <is>
          <t>PC</t>
        </is>
      </c>
      <c r="AA1922" s="111" t="inlineStr">
        <is>
          <t>Nao</t>
        </is>
      </c>
      <c r="AB1922" s="111" t="inlineStr">
        <is>
          <t>NAO_COMPUTADO</t>
        </is>
      </c>
      <c r="AC1922" s="112" t="inlineStr">
        <is>
          <t>Estrutura Fase 1: sem impacto no VTA oficial</t>
        </is>
      </c>
    </row>
    <row r="1923" ht="25.5" customHeight="1" s="289">
      <c r="A1923" s="205" t="n"/>
      <c r="B1923" s="207" t="n"/>
      <c r="C1923" s="104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348" t="n"/>
      <c r="E1923" s="349">
        <f>IF(C1923="","",IFERROR(VLOOKUP(C1923,parametros!$A$11:$E$15,5,0),""))</f>
        <v/>
      </c>
      <c r="F1923" s="335">
        <f>IF(OR(D1923="",E1923=""),"",ROUND(D1923*E1923,2))</f>
        <v/>
      </c>
      <c r="G1923" s="106" t="n"/>
      <c r="H1923" s="350">
        <f>IF(G1923="Sim",IF(OR(F1923="",D1923="",L1923=""),"",IF(L1923="Sim",ROUND(F1923-D1923,2),0)),0)</f>
        <v/>
      </c>
      <c r="I1923" s="350">
        <f>IF(G1923="Sim",0,IF(OR(F1923="",L1923=""),"",F1923))</f>
        <v/>
      </c>
      <c r="J1923" s="350">
        <f>IF(G1923="Sim",0,IF(OR(F1923="",D1923="",L1923=""),"",IF(L1923="Sim",ROUND(F1923-D1923,2),0)))</f>
        <v/>
      </c>
      <c r="K1923" s="97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inlineStr">
        <is>
          <t>Nao</t>
        </is>
      </c>
      <c r="W1923" s="110" t="inlineStr">
        <is>
          <t>PC em analise</t>
        </is>
      </c>
      <c r="X1923" s="110" t="inlineStr">
        <is>
          <t>Pedido de Compra</t>
        </is>
      </c>
      <c r="Y1923" s="111" t="inlineStr">
        <is>
          <t>Impacto Potencial</t>
        </is>
      </c>
      <c r="Z1923" s="111" t="inlineStr">
        <is>
          <t>PC</t>
        </is>
      </c>
      <c r="AA1923" s="111" t="inlineStr">
        <is>
          <t>Nao</t>
        </is>
      </c>
      <c r="AB1923" s="111" t="inlineStr">
        <is>
          <t>NAO_COMPUTADO</t>
        </is>
      </c>
      <c r="AC1923" s="112" t="inlineStr">
        <is>
          <t>Estrutura Fase 1: sem impacto no VTA oficial</t>
        </is>
      </c>
    </row>
    <row r="1924" ht="25.5" customHeight="1" s="289">
      <c r="A1924" s="205" t="n"/>
      <c r="B1924" s="207" t="n"/>
      <c r="C1924" s="104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348" t="n"/>
      <c r="E1924" s="349">
        <f>IF(C1924="","",IFERROR(VLOOKUP(C1924,parametros!$A$11:$E$15,5,0),""))</f>
        <v/>
      </c>
      <c r="F1924" s="335">
        <f>IF(OR(D1924="",E1924=""),"",ROUND(D1924*E1924,2))</f>
        <v/>
      </c>
      <c r="G1924" s="106" t="n"/>
      <c r="H1924" s="350">
        <f>IF(G1924="Sim",IF(OR(F1924="",D1924="",L1924=""),"",IF(L1924="Sim",ROUND(F1924-D1924,2),0)),0)</f>
        <v/>
      </c>
      <c r="I1924" s="350">
        <f>IF(G1924="Sim",0,IF(OR(F1924="",L1924=""),"",F1924))</f>
        <v/>
      </c>
      <c r="J1924" s="350">
        <f>IF(G1924="Sim",0,IF(OR(F1924="",D1924="",L1924=""),"",IF(L1924="Sim",ROUND(F1924-D1924,2),0)))</f>
        <v/>
      </c>
      <c r="K1924" s="97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inlineStr">
        <is>
          <t>Nao</t>
        </is>
      </c>
      <c r="W1924" s="110" t="inlineStr">
        <is>
          <t>PC em analise</t>
        </is>
      </c>
      <c r="X1924" s="110" t="inlineStr">
        <is>
          <t>Pedido de Compra</t>
        </is>
      </c>
      <c r="Y1924" s="111" t="inlineStr">
        <is>
          <t>Impacto Potencial</t>
        </is>
      </c>
      <c r="Z1924" s="111" t="inlineStr">
        <is>
          <t>PC</t>
        </is>
      </c>
      <c r="AA1924" s="111" t="inlineStr">
        <is>
          <t>Nao</t>
        </is>
      </c>
      <c r="AB1924" s="111" t="inlineStr">
        <is>
          <t>NAO_COMPUTADO</t>
        </is>
      </c>
      <c r="AC1924" s="112" t="inlineStr">
        <is>
          <t>Estrutura Fase 1: sem impacto no VTA oficial</t>
        </is>
      </c>
    </row>
    <row r="1925" ht="25.5" customHeight="1" s="289">
      <c r="A1925" s="205" t="n"/>
      <c r="B1925" s="207" t="n"/>
      <c r="C1925" s="104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348" t="n"/>
      <c r="E1925" s="349">
        <f>IF(C1925="","",IFERROR(VLOOKUP(C1925,parametros!$A$11:$E$15,5,0),""))</f>
        <v/>
      </c>
      <c r="F1925" s="335">
        <f>IF(OR(D1925="",E1925=""),"",ROUND(D1925*E1925,2))</f>
        <v/>
      </c>
      <c r="G1925" s="106" t="n"/>
      <c r="H1925" s="350">
        <f>IF(G1925="Sim",IF(OR(F1925="",D1925="",L1925=""),"",IF(L1925="Sim",ROUND(F1925-D1925,2),0)),0)</f>
        <v/>
      </c>
      <c r="I1925" s="350">
        <f>IF(G1925="Sim",0,IF(OR(F1925="",L1925=""),"",F1925))</f>
        <v/>
      </c>
      <c r="J1925" s="350">
        <f>IF(G1925="Sim",0,IF(OR(F1925="",D1925="",L1925=""),"",IF(L1925="Sim",ROUND(F1925-D1925,2),0)))</f>
        <v/>
      </c>
      <c r="K1925" s="97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inlineStr">
        <is>
          <t>Nao</t>
        </is>
      </c>
      <c r="W1925" s="110" t="inlineStr">
        <is>
          <t>PC em analise</t>
        </is>
      </c>
      <c r="X1925" s="110" t="inlineStr">
        <is>
          <t>Pedido de Compra</t>
        </is>
      </c>
      <c r="Y1925" s="111" t="inlineStr">
        <is>
          <t>Impacto Potencial</t>
        </is>
      </c>
      <c r="Z1925" s="111" t="inlineStr">
        <is>
          <t>PC</t>
        </is>
      </c>
      <c r="AA1925" s="111" t="inlineStr">
        <is>
          <t>Nao</t>
        </is>
      </c>
      <c r="AB1925" s="111" t="inlineStr">
        <is>
          <t>NAO_COMPUTADO</t>
        </is>
      </c>
      <c r="AC1925" s="112" t="inlineStr">
        <is>
          <t>Estrutura Fase 1: sem impacto no VTA oficial</t>
        </is>
      </c>
    </row>
    <row r="1926" ht="25.5" customHeight="1" s="289">
      <c r="A1926" s="205" t="n"/>
      <c r="B1926" s="207" t="n"/>
      <c r="C1926" s="104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348" t="n"/>
      <c r="E1926" s="349">
        <f>IF(C1926="","",IFERROR(VLOOKUP(C1926,parametros!$A$11:$E$15,5,0),""))</f>
        <v/>
      </c>
      <c r="F1926" s="335">
        <f>IF(OR(D1926="",E1926=""),"",ROUND(D1926*E1926,2))</f>
        <v/>
      </c>
      <c r="G1926" s="106" t="n"/>
      <c r="H1926" s="350">
        <f>IF(G1926="Sim",IF(OR(F1926="",D1926="",L1926=""),"",IF(L1926="Sim",ROUND(F1926-D1926,2),0)),0)</f>
        <v/>
      </c>
      <c r="I1926" s="350">
        <f>IF(G1926="Sim",0,IF(OR(F1926="",L1926=""),"",F1926))</f>
        <v/>
      </c>
      <c r="J1926" s="350">
        <f>IF(G1926="Sim",0,IF(OR(F1926="",D1926="",L1926=""),"",IF(L1926="Sim",ROUND(F1926-D1926,2),0)))</f>
        <v/>
      </c>
      <c r="K1926" s="97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inlineStr">
        <is>
          <t>Nao</t>
        </is>
      </c>
      <c r="W1926" s="110" t="inlineStr">
        <is>
          <t>PC em analise</t>
        </is>
      </c>
      <c r="X1926" s="110" t="inlineStr">
        <is>
          <t>Pedido de Compra</t>
        </is>
      </c>
      <c r="Y1926" s="111" t="inlineStr">
        <is>
          <t>Impacto Potencial</t>
        </is>
      </c>
      <c r="Z1926" s="111" t="inlineStr">
        <is>
          <t>PC</t>
        </is>
      </c>
      <c r="AA1926" s="111" t="inlineStr">
        <is>
          <t>Nao</t>
        </is>
      </c>
      <c r="AB1926" s="111" t="inlineStr">
        <is>
          <t>NAO_COMPUTADO</t>
        </is>
      </c>
      <c r="AC1926" s="112" t="inlineStr">
        <is>
          <t>Estrutura Fase 1: sem impacto no VTA oficial</t>
        </is>
      </c>
    </row>
    <row r="1927" ht="25.5" customHeight="1" s="289">
      <c r="A1927" s="205" t="n"/>
      <c r="B1927" s="207" t="n"/>
      <c r="C1927" s="104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348" t="n"/>
      <c r="E1927" s="349">
        <f>IF(C1927="","",IFERROR(VLOOKUP(C1927,parametros!$A$11:$E$15,5,0),""))</f>
        <v/>
      </c>
      <c r="F1927" s="335">
        <f>IF(OR(D1927="",E1927=""),"",ROUND(D1927*E1927,2))</f>
        <v/>
      </c>
      <c r="G1927" s="106" t="n"/>
      <c r="H1927" s="350">
        <f>IF(G1927="Sim",IF(OR(F1927="",D1927="",L1927=""),"",IF(L1927="Sim",ROUND(F1927-D1927,2),0)),0)</f>
        <v/>
      </c>
      <c r="I1927" s="350">
        <f>IF(G1927="Sim",0,IF(OR(F1927="",L1927=""),"",F1927))</f>
        <v/>
      </c>
      <c r="J1927" s="350">
        <f>IF(G1927="Sim",0,IF(OR(F1927="",D1927="",L1927=""),"",IF(L1927="Sim",ROUND(F1927-D1927,2),0)))</f>
        <v/>
      </c>
      <c r="K1927" s="97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inlineStr">
        <is>
          <t>Nao</t>
        </is>
      </c>
      <c r="W1927" s="110" t="inlineStr">
        <is>
          <t>PC em analise</t>
        </is>
      </c>
      <c r="X1927" s="110" t="inlineStr">
        <is>
          <t>Pedido de Compra</t>
        </is>
      </c>
      <c r="Y1927" s="111" t="inlineStr">
        <is>
          <t>Impacto Potencial</t>
        </is>
      </c>
      <c r="Z1927" s="111" t="inlineStr">
        <is>
          <t>PC</t>
        </is>
      </c>
      <c r="AA1927" s="111" t="inlineStr">
        <is>
          <t>Nao</t>
        </is>
      </c>
      <c r="AB1927" s="111" t="inlineStr">
        <is>
          <t>NAO_COMPUTADO</t>
        </is>
      </c>
      <c r="AC1927" s="112" t="inlineStr">
        <is>
          <t>Estrutura Fase 1: sem impacto no VTA oficial</t>
        </is>
      </c>
    </row>
    <row r="1928" ht="25.5" customHeight="1" s="289">
      <c r="A1928" s="205" t="n"/>
      <c r="B1928" s="207" t="n"/>
      <c r="C1928" s="104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348" t="n"/>
      <c r="E1928" s="349">
        <f>IF(C1928="","",IFERROR(VLOOKUP(C1928,parametros!$A$11:$E$15,5,0),""))</f>
        <v/>
      </c>
      <c r="F1928" s="335">
        <f>IF(OR(D1928="",E1928=""),"",ROUND(D1928*E1928,2))</f>
        <v/>
      </c>
      <c r="G1928" s="106" t="n"/>
      <c r="H1928" s="350">
        <f>IF(G1928="Sim",IF(OR(F1928="",D1928="",L1928=""),"",IF(L1928="Sim",ROUND(F1928-D1928,2),0)),0)</f>
        <v/>
      </c>
      <c r="I1928" s="350">
        <f>IF(G1928="Sim",0,IF(OR(F1928="",L1928=""),"",F1928))</f>
        <v/>
      </c>
      <c r="J1928" s="350">
        <f>IF(G1928="Sim",0,IF(OR(F1928="",D1928="",L1928=""),"",IF(L1928="Sim",ROUND(F1928-D1928,2),0)))</f>
        <v/>
      </c>
      <c r="K1928" s="97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inlineStr">
        <is>
          <t>Nao</t>
        </is>
      </c>
      <c r="W1928" s="110" t="inlineStr">
        <is>
          <t>PC em analise</t>
        </is>
      </c>
      <c r="X1928" s="110" t="inlineStr">
        <is>
          <t>Pedido de Compra</t>
        </is>
      </c>
      <c r="Y1928" s="111" t="inlineStr">
        <is>
          <t>Impacto Potencial</t>
        </is>
      </c>
      <c r="Z1928" s="111" t="inlineStr">
        <is>
          <t>PC</t>
        </is>
      </c>
      <c r="AA1928" s="111" t="inlineStr">
        <is>
          <t>Nao</t>
        </is>
      </c>
      <c r="AB1928" s="111" t="inlineStr">
        <is>
          <t>NAO_COMPUTADO</t>
        </is>
      </c>
      <c r="AC1928" s="112" t="inlineStr">
        <is>
          <t>Estrutura Fase 1: sem impacto no VTA oficial</t>
        </is>
      </c>
    </row>
    <row r="1929" ht="25.5" customHeight="1" s="289">
      <c r="A1929" s="205" t="n"/>
      <c r="B1929" s="207" t="n"/>
      <c r="C1929" s="104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348" t="n"/>
      <c r="E1929" s="349">
        <f>IF(C1929="","",IFERROR(VLOOKUP(C1929,parametros!$A$11:$E$15,5,0),""))</f>
        <v/>
      </c>
      <c r="F1929" s="335">
        <f>IF(OR(D1929="",E1929=""),"",ROUND(D1929*E1929,2))</f>
        <v/>
      </c>
      <c r="G1929" s="106" t="n"/>
      <c r="H1929" s="350">
        <f>IF(G1929="Sim",IF(OR(F1929="",D1929="",L1929=""),"",IF(L1929="Sim",ROUND(F1929-D1929,2),0)),0)</f>
        <v/>
      </c>
      <c r="I1929" s="350">
        <f>IF(G1929="Sim",0,IF(OR(F1929="",L1929=""),"",F1929))</f>
        <v/>
      </c>
      <c r="J1929" s="350">
        <f>IF(G1929="Sim",0,IF(OR(F1929="",D1929="",L1929=""),"",IF(L1929="Sim",ROUND(F1929-D1929,2),0)))</f>
        <v/>
      </c>
      <c r="K1929" s="97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inlineStr">
        <is>
          <t>Nao</t>
        </is>
      </c>
      <c r="W1929" s="110" t="inlineStr">
        <is>
          <t>PC em analise</t>
        </is>
      </c>
      <c r="X1929" s="110" t="inlineStr">
        <is>
          <t>Pedido de Compra</t>
        </is>
      </c>
      <c r="Y1929" s="111" t="inlineStr">
        <is>
          <t>Impacto Potencial</t>
        </is>
      </c>
      <c r="Z1929" s="111" t="inlineStr">
        <is>
          <t>PC</t>
        </is>
      </c>
      <c r="AA1929" s="111" t="inlineStr">
        <is>
          <t>Nao</t>
        </is>
      </c>
      <c r="AB1929" s="111" t="inlineStr">
        <is>
          <t>NAO_COMPUTADO</t>
        </is>
      </c>
      <c r="AC1929" s="112" t="inlineStr">
        <is>
          <t>Estrutura Fase 1: sem impacto no VTA oficial</t>
        </is>
      </c>
    </row>
    <row r="1930" ht="25.5" customHeight="1" s="289">
      <c r="A1930" s="205" t="n"/>
      <c r="B1930" s="207" t="n"/>
      <c r="C1930" s="104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348" t="n"/>
      <c r="E1930" s="349">
        <f>IF(C1930="","",IFERROR(VLOOKUP(C1930,parametros!$A$11:$E$15,5,0),""))</f>
        <v/>
      </c>
      <c r="F1930" s="335">
        <f>IF(OR(D1930="",E1930=""),"",ROUND(D1930*E1930,2))</f>
        <v/>
      </c>
      <c r="G1930" s="106" t="n"/>
      <c r="H1930" s="350">
        <f>IF(G1930="Sim",IF(OR(F1930="",D1930="",L1930=""),"",IF(L1930="Sim",ROUND(F1930-D1930,2),0)),0)</f>
        <v/>
      </c>
      <c r="I1930" s="350">
        <f>IF(G1930="Sim",0,IF(OR(F1930="",L1930=""),"",F1930))</f>
        <v/>
      </c>
      <c r="J1930" s="350">
        <f>IF(G1930="Sim",0,IF(OR(F1930="",D1930="",L1930=""),"",IF(L1930="Sim",ROUND(F1930-D1930,2),0)))</f>
        <v/>
      </c>
      <c r="K1930" s="97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inlineStr">
        <is>
          <t>Nao</t>
        </is>
      </c>
      <c r="W1930" s="110" t="inlineStr">
        <is>
          <t>PC em analise</t>
        </is>
      </c>
      <c r="X1930" s="110" t="inlineStr">
        <is>
          <t>Pedido de Compra</t>
        </is>
      </c>
      <c r="Y1930" s="111" t="inlineStr">
        <is>
          <t>Impacto Potencial</t>
        </is>
      </c>
      <c r="Z1930" s="111" t="inlineStr">
        <is>
          <t>PC</t>
        </is>
      </c>
      <c r="AA1930" s="111" t="inlineStr">
        <is>
          <t>Nao</t>
        </is>
      </c>
      <c r="AB1930" s="111" t="inlineStr">
        <is>
          <t>NAO_COMPUTADO</t>
        </is>
      </c>
      <c r="AC1930" s="112" t="inlineStr">
        <is>
          <t>Estrutura Fase 1: sem impacto no VTA oficial</t>
        </is>
      </c>
    </row>
    <row r="1931" ht="25.5" customHeight="1" s="289">
      <c r="A1931" s="205" t="n"/>
      <c r="B1931" s="207" t="n"/>
      <c r="C1931" s="104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348" t="n"/>
      <c r="E1931" s="349">
        <f>IF(C1931="","",IFERROR(VLOOKUP(C1931,parametros!$A$11:$E$15,5,0),""))</f>
        <v/>
      </c>
      <c r="F1931" s="335">
        <f>IF(OR(D1931="",E1931=""),"",ROUND(D1931*E1931,2))</f>
        <v/>
      </c>
      <c r="G1931" s="106" t="n"/>
      <c r="H1931" s="350">
        <f>IF(G1931="Sim",IF(OR(F1931="",D1931="",L1931=""),"",IF(L1931="Sim",ROUND(F1931-D1931,2),0)),0)</f>
        <v/>
      </c>
      <c r="I1931" s="350">
        <f>IF(G1931="Sim",0,IF(OR(F1931="",L1931=""),"",F1931))</f>
        <v/>
      </c>
      <c r="J1931" s="350">
        <f>IF(G1931="Sim",0,IF(OR(F1931="",D1931="",L1931=""),"",IF(L1931="Sim",ROUND(F1931-D1931,2),0)))</f>
        <v/>
      </c>
      <c r="K1931" s="97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inlineStr">
        <is>
          <t>Nao</t>
        </is>
      </c>
      <c r="W1931" s="110" t="inlineStr">
        <is>
          <t>PC em analise</t>
        </is>
      </c>
      <c r="X1931" s="110" t="inlineStr">
        <is>
          <t>Pedido de Compra</t>
        </is>
      </c>
      <c r="Y1931" s="111" t="inlineStr">
        <is>
          <t>Impacto Potencial</t>
        </is>
      </c>
      <c r="Z1931" s="111" t="inlineStr">
        <is>
          <t>PC</t>
        </is>
      </c>
      <c r="AA1931" s="111" t="inlineStr">
        <is>
          <t>Nao</t>
        </is>
      </c>
      <c r="AB1931" s="111" t="inlineStr">
        <is>
          <t>NAO_COMPUTADO</t>
        </is>
      </c>
      <c r="AC1931" s="112" t="inlineStr">
        <is>
          <t>Estrutura Fase 1: sem impacto no VTA oficial</t>
        </is>
      </c>
    </row>
    <row r="1932" ht="25.5" customHeight="1" s="289">
      <c r="A1932" s="205" t="n"/>
      <c r="B1932" s="207" t="n"/>
      <c r="C1932" s="104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348" t="n"/>
      <c r="E1932" s="349">
        <f>IF(C1932="","",IFERROR(VLOOKUP(C1932,parametros!$A$11:$E$15,5,0),""))</f>
        <v/>
      </c>
      <c r="F1932" s="335">
        <f>IF(OR(D1932="",E1932=""),"",ROUND(D1932*E1932,2))</f>
        <v/>
      </c>
      <c r="G1932" s="106" t="n"/>
      <c r="H1932" s="350">
        <f>IF(G1932="Sim",IF(OR(F1932="",D1932="",L1932=""),"",IF(L1932="Sim",ROUND(F1932-D1932,2),0)),0)</f>
        <v/>
      </c>
      <c r="I1932" s="350">
        <f>IF(G1932="Sim",0,IF(OR(F1932="",L1932=""),"",F1932))</f>
        <v/>
      </c>
      <c r="J1932" s="350">
        <f>IF(G1932="Sim",0,IF(OR(F1932="",D1932="",L1932=""),"",IF(L1932="Sim",ROUND(F1932-D1932,2),0)))</f>
        <v/>
      </c>
      <c r="K1932" s="97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inlineStr">
        <is>
          <t>Nao</t>
        </is>
      </c>
      <c r="W1932" s="110" t="inlineStr">
        <is>
          <t>PC em analise</t>
        </is>
      </c>
      <c r="X1932" s="110" t="inlineStr">
        <is>
          <t>Pedido de Compra</t>
        </is>
      </c>
      <c r="Y1932" s="111" t="inlineStr">
        <is>
          <t>Impacto Potencial</t>
        </is>
      </c>
      <c r="Z1932" s="111" t="inlineStr">
        <is>
          <t>PC</t>
        </is>
      </c>
      <c r="AA1932" s="111" t="inlineStr">
        <is>
          <t>Nao</t>
        </is>
      </c>
      <c r="AB1932" s="111" t="inlineStr">
        <is>
          <t>NAO_COMPUTADO</t>
        </is>
      </c>
      <c r="AC1932" s="112" t="inlineStr">
        <is>
          <t>Estrutura Fase 1: sem impacto no VTA oficial</t>
        </is>
      </c>
    </row>
    <row r="1933" ht="25.5" customHeight="1" s="289">
      <c r="A1933" s="205" t="n"/>
      <c r="B1933" s="207" t="n"/>
      <c r="C1933" s="104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348" t="n"/>
      <c r="E1933" s="349">
        <f>IF(C1933="","",IFERROR(VLOOKUP(C1933,parametros!$A$11:$E$15,5,0),""))</f>
        <v/>
      </c>
      <c r="F1933" s="335">
        <f>IF(OR(D1933="",E1933=""),"",ROUND(D1933*E1933,2))</f>
        <v/>
      </c>
      <c r="G1933" s="106" t="n"/>
      <c r="H1933" s="350">
        <f>IF(G1933="Sim",IF(OR(F1933="",D1933="",L1933=""),"",IF(L1933="Sim",ROUND(F1933-D1933,2),0)),0)</f>
        <v/>
      </c>
      <c r="I1933" s="350">
        <f>IF(G1933="Sim",0,IF(OR(F1933="",L1933=""),"",F1933))</f>
        <v/>
      </c>
      <c r="J1933" s="350">
        <f>IF(G1933="Sim",0,IF(OR(F1933="",D1933="",L1933=""),"",IF(L1933="Sim",ROUND(F1933-D1933,2),0)))</f>
        <v/>
      </c>
      <c r="K1933" s="97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inlineStr">
        <is>
          <t>Nao</t>
        </is>
      </c>
      <c r="W1933" s="110" t="inlineStr">
        <is>
          <t>PC em analise</t>
        </is>
      </c>
      <c r="X1933" s="110" t="inlineStr">
        <is>
          <t>Pedido de Compra</t>
        </is>
      </c>
      <c r="Y1933" s="111" t="inlineStr">
        <is>
          <t>Impacto Potencial</t>
        </is>
      </c>
      <c r="Z1933" s="111" t="inlineStr">
        <is>
          <t>PC</t>
        </is>
      </c>
      <c r="AA1933" s="111" t="inlineStr">
        <is>
          <t>Nao</t>
        </is>
      </c>
      <c r="AB1933" s="111" t="inlineStr">
        <is>
          <t>NAO_COMPUTADO</t>
        </is>
      </c>
      <c r="AC1933" s="112" t="inlineStr">
        <is>
          <t>Estrutura Fase 1: sem impacto no VTA oficial</t>
        </is>
      </c>
    </row>
    <row r="1934" ht="25.5" customHeight="1" s="289">
      <c r="A1934" s="205" t="n"/>
      <c r="B1934" s="207" t="n"/>
      <c r="C1934" s="104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348" t="n"/>
      <c r="E1934" s="349">
        <f>IF(C1934="","",IFERROR(VLOOKUP(C1934,parametros!$A$11:$E$15,5,0),""))</f>
        <v/>
      </c>
      <c r="F1934" s="335">
        <f>IF(OR(D1934="",E1934=""),"",ROUND(D1934*E1934,2))</f>
        <v/>
      </c>
      <c r="G1934" s="106" t="n"/>
      <c r="H1934" s="350">
        <f>IF(G1934="Sim",IF(OR(F1934="",D1934="",L1934=""),"",IF(L1934="Sim",ROUND(F1934-D1934,2),0)),0)</f>
        <v/>
      </c>
      <c r="I1934" s="350">
        <f>IF(G1934="Sim",0,IF(OR(F1934="",L1934=""),"",F1934))</f>
        <v/>
      </c>
      <c r="J1934" s="350">
        <f>IF(G1934="Sim",0,IF(OR(F1934="",D1934="",L1934=""),"",IF(L1934="Sim",ROUND(F1934-D1934,2),0)))</f>
        <v/>
      </c>
      <c r="K1934" s="97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inlineStr">
        <is>
          <t>Nao</t>
        </is>
      </c>
      <c r="W1934" s="110" t="inlineStr">
        <is>
          <t>PC em analise</t>
        </is>
      </c>
      <c r="X1934" s="110" t="inlineStr">
        <is>
          <t>Pedido de Compra</t>
        </is>
      </c>
      <c r="Y1934" s="111" t="inlineStr">
        <is>
          <t>Impacto Potencial</t>
        </is>
      </c>
      <c r="Z1934" s="111" t="inlineStr">
        <is>
          <t>PC</t>
        </is>
      </c>
      <c r="AA1934" s="111" t="inlineStr">
        <is>
          <t>Nao</t>
        </is>
      </c>
      <c r="AB1934" s="111" t="inlineStr">
        <is>
          <t>NAO_COMPUTADO</t>
        </is>
      </c>
      <c r="AC1934" s="112" t="inlineStr">
        <is>
          <t>Estrutura Fase 1: sem impacto no VTA oficial</t>
        </is>
      </c>
    </row>
    <row r="1935" ht="25.5" customHeight="1" s="289">
      <c r="A1935" s="205" t="n"/>
      <c r="B1935" s="207" t="n"/>
      <c r="C1935" s="104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348" t="n"/>
      <c r="E1935" s="349">
        <f>IF(C1935="","",IFERROR(VLOOKUP(C1935,parametros!$A$11:$E$15,5,0),""))</f>
        <v/>
      </c>
      <c r="F1935" s="335">
        <f>IF(OR(D1935="",E1935=""),"",ROUND(D1935*E1935,2))</f>
        <v/>
      </c>
      <c r="G1935" s="106" t="n"/>
      <c r="H1935" s="350">
        <f>IF(G1935="Sim",IF(OR(F1935="",D1935="",L1935=""),"",IF(L1935="Sim",ROUND(F1935-D1935,2),0)),0)</f>
        <v/>
      </c>
      <c r="I1935" s="350">
        <f>IF(G1935="Sim",0,IF(OR(F1935="",L1935=""),"",F1935))</f>
        <v/>
      </c>
      <c r="J1935" s="350">
        <f>IF(G1935="Sim",0,IF(OR(F1935="",D1935="",L1935=""),"",IF(L1935="Sim",ROUND(F1935-D1935,2),0)))</f>
        <v/>
      </c>
      <c r="K1935" s="97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inlineStr">
        <is>
          <t>Nao</t>
        </is>
      </c>
      <c r="W1935" s="110" t="inlineStr">
        <is>
          <t>PC em analise</t>
        </is>
      </c>
      <c r="X1935" s="110" t="inlineStr">
        <is>
          <t>Pedido de Compra</t>
        </is>
      </c>
      <c r="Y1935" s="111" t="inlineStr">
        <is>
          <t>Impacto Potencial</t>
        </is>
      </c>
      <c r="Z1935" s="111" t="inlineStr">
        <is>
          <t>PC</t>
        </is>
      </c>
      <c r="AA1935" s="111" t="inlineStr">
        <is>
          <t>Nao</t>
        </is>
      </c>
      <c r="AB1935" s="111" t="inlineStr">
        <is>
          <t>NAO_COMPUTADO</t>
        </is>
      </c>
      <c r="AC1935" s="112" t="inlineStr">
        <is>
          <t>Estrutura Fase 1: sem impacto no VTA oficial</t>
        </is>
      </c>
    </row>
    <row r="1936" ht="25.5" customHeight="1" s="289">
      <c r="A1936" s="205" t="n"/>
      <c r="B1936" s="207" t="n"/>
      <c r="C1936" s="104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348" t="n"/>
      <c r="E1936" s="349">
        <f>IF(C1936="","",IFERROR(VLOOKUP(C1936,parametros!$A$11:$E$15,5,0),""))</f>
        <v/>
      </c>
      <c r="F1936" s="335">
        <f>IF(OR(D1936="",E1936=""),"",ROUND(D1936*E1936,2))</f>
        <v/>
      </c>
      <c r="G1936" s="106" t="n"/>
      <c r="H1936" s="350">
        <f>IF(G1936="Sim",IF(OR(F1936="",D1936="",L1936=""),"",IF(L1936="Sim",ROUND(F1936-D1936,2),0)),0)</f>
        <v/>
      </c>
      <c r="I1936" s="350">
        <f>IF(G1936="Sim",0,IF(OR(F1936="",L1936=""),"",F1936))</f>
        <v/>
      </c>
      <c r="J1936" s="350">
        <f>IF(G1936="Sim",0,IF(OR(F1936="",D1936="",L1936=""),"",IF(L1936="Sim",ROUND(F1936-D1936,2),0)))</f>
        <v/>
      </c>
      <c r="K1936" s="97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inlineStr">
        <is>
          <t>Nao</t>
        </is>
      </c>
      <c r="W1936" s="110" t="inlineStr">
        <is>
          <t>PC em analise</t>
        </is>
      </c>
      <c r="X1936" s="110" t="inlineStr">
        <is>
          <t>Pedido de Compra</t>
        </is>
      </c>
      <c r="Y1936" s="111" t="inlineStr">
        <is>
          <t>Impacto Potencial</t>
        </is>
      </c>
      <c r="Z1936" s="111" t="inlineStr">
        <is>
          <t>PC</t>
        </is>
      </c>
      <c r="AA1936" s="111" t="inlineStr">
        <is>
          <t>Nao</t>
        </is>
      </c>
      <c r="AB1936" s="111" t="inlineStr">
        <is>
          <t>NAO_COMPUTADO</t>
        </is>
      </c>
      <c r="AC1936" s="112" t="inlineStr">
        <is>
          <t>Estrutura Fase 1: sem impacto no VTA oficial</t>
        </is>
      </c>
    </row>
    <row r="1937" ht="25.5" customHeight="1" s="289">
      <c r="A1937" s="205" t="n"/>
      <c r="B1937" s="207" t="n"/>
      <c r="C1937" s="104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348" t="n"/>
      <c r="E1937" s="349">
        <f>IF(C1937="","",IFERROR(VLOOKUP(C1937,parametros!$A$11:$E$15,5,0),""))</f>
        <v/>
      </c>
      <c r="F1937" s="335">
        <f>IF(OR(D1937="",E1937=""),"",ROUND(D1937*E1937,2))</f>
        <v/>
      </c>
      <c r="G1937" s="106" t="n"/>
      <c r="H1937" s="350">
        <f>IF(G1937="Sim",IF(OR(F1937="",D1937="",L1937=""),"",IF(L1937="Sim",ROUND(F1937-D1937,2),0)),0)</f>
        <v/>
      </c>
      <c r="I1937" s="350">
        <f>IF(G1937="Sim",0,IF(OR(F1937="",L1937=""),"",F1937))</f>
        <v/>
      </c>
      <c r="J1937" s="350">
        <f>IF(G1937="Sim",0,IF(OR(F1937="",D1937="",L1937=""),"",IF(L1937="Sim",ROUND(F1937-D1937,2),0)))</f>
        <v/>
      </c>
      <c r="K1937" s="97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inlineStr">
        <is>
          <t>Nao</t>
        </is>
      </c>
      <c r="W1937" s="110" t="inlineStr">
        <is>
          <t>PC em analise</t>
        </is>
      </c>
      <c r="X1937" s="110" t="inlineStr">
        <is>
          <t>Pedido de Compra</t>
        </is>
      </c>
      <c r="Y1937" s="111" t="inlineStr">
        <is>
          <t>Impacto Potencial</t>
        </is>
      </c>
      <c r="Z1937" s="111" t="inlineStr">
        <is>
          <t>PC</t>
        </is>
      </c>
      <c r="AA1937" s="111" t="inlineStr">
        <is>
          <t>Nao</t>
        </is>
      </c>
      <c r="AB1937" s="111" t="inlineStr">
        <is>
          <t>NAO_COMPUTADO</t>
        </is>
      </c>
      <c r="AC1937" s="112" t="inlineStr">
        <is>
          <t>Estrutura Fase 1: sem impacto no VTA oficial</t>
        </is>
      </c>
    </row>
    <row r="1938" ht="25.5" customHeight="1" s="289">
      <c r="A1938" s="205" t="n"/>
      <c r="B1938" s="207" t="n"/>
      <c r="C1938" s="104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348" t="n"/>
      <c r="E1938" s="349">
        <f>IF(C1938="","",IFERROR(VLOOKUP(C1938,parametros!$A$11:$E$15,5,0),""))</f>
        <v/>
      </c>
      <c r="F1938" s="335">
        <f>IF(OR(D1938="",E1938=""),"",ROUND(D1938*E1938,2))</f>
        <v/>
      </c>
      <c r="G1938" s="106" t="n"/>
      <c r="H1938" s="350">
        <f>IF(G1938="Sim",IF(OR(F1938="",D1938="",L1938=""),"",IF(L1938="Sim",ROUND(F1938-D1938,2),0)),0)</f>
        <v/>
      </c>
      <c r="I1938" s="350">
        <f>IF(G1938="Sim",0,IF(OR(F1938="",L1938=""),"",F1938))</f>
        <v/>
      </c>
      <c r="J1938" s="350">
        <f>IF(G1938="Sim",0,IF(OR(F1938="",D1938="",L1938=""),"",IF(L1938="Sim",ROUND(F1938-D1938,2),0)))</f>
        <v/>
      </c>
      <c r="K1938" s="97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inlineStr">
        <is>
          <t>Nao</t>
        </is>
      </c>
      <c r="W1938" s="110" t="inlineStr">
        <is>
          <t>PC em analise</t>
        </is>
      </c>
      <c r="X1938" s="110" t="inlineStr">
        <is>
          <t>Pedido de Compra</t>
        </is>
      </c>
      <c r="Y1938" s="111" t="inlineStr">
        <is>
          <t>Impacto Potencial</t>
        </is>
      </c>
      <c r="Z1938" s="111" t="inlineStr">
        <is>
          <t>PC</t>
        </is>
      </c>
      <c r="AA1938" s="111" t="inlineStr">
        <is>
          <t>Nao</t>
        </is>
      </c>
      <c r="AB1938" s="111" t="inlineStr">
        <is>
          <t>NAO_COMPUTADO</t>
        </is>
      </c>
      <c r="AC1938" s="112" t="inlineStr">
        <is>
          <t>Estrutura Fase 1: sem impacto no VTA oficial</t>
        </is>
      </c>
    </row>
    <row r="1939" ht="25.5" customHeight="1" s="289">
      <c r="A1939" s="205" t="n"/>
      <c r="B1939" s="207" t="n"/>
      <c r="C1939" s="104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348" t="n"/>
      <c r="E1939" s="349">
        <f>IF(C1939="","",IFERROR(VLOOKUP(C1939,parametros!$A$11:$E$15,5,0),""))</f>
        <v/>
      </c>
      <c r="F1939" s="335">
        <f>IF(OR(D1939="",E1939=""),"",ROUND(D1939*E1939,2))</f>
        <v/>
      </c>
      <c r="G1939" s="106" t="n"/>
      <c r="H1939" s="350">
        <f>IF(G1939="Sim",IF(OR(F1939="",D1939="",L1939=""),"",IF(L1939="Sim",ROUND(F1939-D1939,2),0)),0)</f>
        <v/>
      </c>
      <c r="I1939" s="350">
        <f>IF(G1939="Sim",0,IF(OR(F1939="",L1939=""),"",F1939))</f>
        <v/>
      </c>
      <c r="J1939" s="350">
        <f>IF(G1939="Sim",0,IF(OR(F1939="",D1939="",L1939=""),"",IF(L1939="Sim",ROUND(F1939-D1939,2),0)))</f>
        <v/>
      </c>
      <c r="K1939" s="97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inlineStr">
        <is>
          <t>Nao</t>
        </is>
      </c>
      <c r="W1939" s="110" t="inlineStr">
        <is>
          <t>PC em analise</t>
        </is>
      </c>
      <c r="X1939" s="110" t="inlineStr">
        <is>
          <t>Pedido de Compra</t>
        </is>
      </c>
      <c r="Y1939" s="111" t="inlineStr">
        <is>
          <t>Impacto Potencial</t>
        </is>
      </c>
      <c r="Z1939" s="111" t="inlineStr">
        <is>
          <t>PC</t>
        </is>
      </c>
      <c r="AA1939" s="111" t="inlineStr">
        <is>
          <t>Nao</t>
        </is>
      </c>
      <c r="AB1939" s="111" t="inlineStr">
        <is>
          <t>NAO_COMPUTADO</t>
        </is>
      </c>
      <c r="AC1939" s="112" t="inlineStr">
        <is>
          <t>Estrutura Fase 1: sem impacto no VTA oficial</t>
        </is>
      </c>
    </row>
    <row r="1940" ht="25.5" customHeight="1" s="289">
      <c r="A1940" s="205" t="n"/>
      <c r="B1940" s="207" t="n"/>
      <c r="C1940" s="104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348" t="n"/>
      <c r="E1940" s="349">
        <f>IF(C1940="","",IFERROR(VLOOKUP(C1940,parametros!$A$11:$E$15,5,0),""))</f>
        <v/>
      </c>
      <c r="F1940" s="335">
        <f>IF(OR(D1940="",E1940=""),"",ROUND(D1940*E1940,2))</f>
        <v/>
      </c>
      <c r="G1940" s="106" t="n"/>
      <c r="H1940" s="350">
        <f>IF(G1940="Sim",IF(OR(F1940="",D1940="",L1940=""),"",IF(L1940="Sim",ROUND(F1940-D1940,2),0)),0)</f>
        <v/>
      </c>
      <c r="I1940" s="350">
        <f>IF(G1940="Sim",0,IF(OR(F1940="",L1940=""),"",F1940))</f>
        <v/>
      </c>
      <c r="J1940" s="350">
        <f>IF(G1940="Sim",0,IF(OR(F1940="",D1940="",L1940=""),"",IF(L1940="Sim",ROUND(F1940-D1940,2),0)))</f>
        <v/>
      </c>
      <c r="K1940" s="97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inlineStr">
        <is>
          <t>Nao</t>
        </is>
      </c>
      <c r="W1940" s="110" t="inlineStr">
        <is>
          <t>PC em analise</t>
        </is>
      </c>
      <c r="X1940" s="110" t="inlineStr">
        <is>
          <t>Pedido de Compra</t>
        </is>
      </c>
      <c r="Y1940" s="111" t="inlineStr">
        <is>
          <t>Impacto Potencial</t>
        </is>
      </c>
      <c r="Z1940" s="111" t="inlineStr">
        <is>
          <t>PC</t>
        </is>
      </c>
      <c r="AA1940" s="111" t="inlineStr">
        <is>
          <t>Nao</t>
        </is>
      </c>
      <c r="AB1940" s="111" t="inlineStr">
        <is>
          <t>NAO_COMPUTADO</t>
        </is>
      </c>
      <c r="AC1940" s="112" t="inlineStr">
        <is>
          <t>Estrutura Fase 1: sem impacto no VTA oficial</t>
        </is>
      </c>
    </row>
    <row r="1941" ht="25.5" customHeight="1" s="289">
      <c r="A1941" s="205" t="n"/>
      <c r="B1941" s="207" t="n"/>
      <c r="C1941" s="104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348" t="n"/>
      <c r="E1941" s="349">
        <f>IF(C1941="","",IFERROR(VLOOKUP(C1941,parametros!$A$11:$E$15,5,0),""))</f>
        <v/>
      </c>
      <c r="F1941" s="335">
        <f>IF(OR(D1941="",E1941=""),"",ROUND(D1941*E1941,2))</f>
        <v/>
      </c>
      <c r="G1941" s="106" t="n"/>
      <c r="H1941" s="350">
        <f>IF(G1941="Sim",IF(OR(F1941="",D1941="",L1941=""),"",IF(L1941="Sim",ROUND(F1941-D1941,2),0)),0)</f>
        <v/>
      </c>
      <c r="I1941" s="350">
        <f>IF(G1941="Sim",0,IF(OR(F1941="",L1941=""),"",F1941))</f>
        <v/>
      </c>
      <c r="J1941" s="350">
        <f>IF(G1941="Sim",0,IF(OR(F1941="",D1941="",L1941=""),"",IF(L1941="Sim",ROUND(F1941-D1941,2),0)))</f>
        <v/>
      </c>
      <c r="K1941" s="97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inlineStr">
        <is>
          <t>Nao</t>
        </is>
      </c>
      <c r="W1941" s="110" t="inlineStr">
        <is>
          <t>PC em analise</t>
        </is>
      </c>
      <c r="X1941" s="110" t="inlineStr">
        <is>
          <t>Pedido de Compra</t>
        </is>
      </c>
      <c r="Y1941" s="111" t="inlineStr">
        <is>
          <t>Impacto Potencial</t>
        </is>
      </c>
      <c r="Z1941" s="111" t="inlineStr">
        <is>
          <t>PC</t>
        </is>
      </c>
      <c r="AA1941" s="111" t="inlineStr">
        <is>
          <t>Nao</t>
        </is>
      </c>
      <c r="AB1941" s="111" t="inlineStr">
        <is>
          <t>NAO_COMPUTADO</t>
        </is>
      </c>
      <c r="AC1941" s="112" t="inlineStr">
        <is>
          <t>Estrutura Fase 1: sem impacto no VTA oficial</t>
        </is>
      </c>
    </row>
    <row r="1942" ht="25.5" customHeight="1" s="289">
      <c r="A1942" s="205" t="n"/>
      <c r="B1942" s="207" t="n"/>
      <c r="C1942" s="104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348" t="n"/>
      <c r="E1942" s="349">
        <f>IF(C1942="","",IFERROR(VLOOKUP(C1942,parametros!$A$11:$E$15,5,0),""))</f>
        <v/>
      </c>
      <c r="F1942" s="335">
        <f>IF(OR(D1942="",E1942=""),"",ROUND(D1942*E1942,2))</f>
        <v/>
      </c>
      <c r="G1942" s="106" t="n"/>
      <c r="H1942" s="350">
        <f>IF(G1942="Sim",IF(OR(F1942="",D1942="",L1942=""),"",IF(L1942="Sim",ROUND(F1942-D1942,2),0)),0)</f>
        <v/>
      </c>
      <c r="I1942" s="350">
        <f>IF(G1942="Sim",0,IF(OR(F1942="",L1942=""),"",F1942))</f>
        <v/>
      </c>
      <c r="J1942" s="350">
        <f>IF(G1942="Sim",0,IF(OR(F1942="",D1942="",L1942=""),"",IF(L1942="Sim",ROUND(F1942-D1942,2),0)))</f>
        <v/>
      </c>
      <c r="K1942" s="97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inlineStr">
        <is>
          <t>Nao</t>
        </is>
      </c>
      <c r="W1942" s="110" t="inlineStr">
        <is>
          <t>PC em analise</t>
        </is>
      </c>
      <c r="X1942" s="110" t="inlineStr">
        <is>
          <t>Pedido de Compra</t>
        </is>
      </c>
      <c r="Y1942" s="111" t="inlineStr">
        <is>
          <t>Impacto Potencial</t>
        </is>
      </c>
      <c r="Z1942" s="111" t="inlineStr">
        <is>
          <t>PC</t>
        </is>
      </c>
      <c r="AA1942" s="111" t="inlineStr">
        <is>
          <t>Nao</t>
        </is>
      </c>
      <c r="AB1942" s="111" t="inlineStr">
        <is>
          <t>NAO_COMPUTADO</t>
        </is>
      </c>
      <c r="AC1942" s="112" t="inlineStr">
        <is>
          <t>Estrutura Fase 1: sem impacto no VTA oficial</t>
        </is>
      </c>
    </row>
    <row r="1943" ht="25.5" customHeight="1" s="289">
      <c r="A1943" s="205" t="n"/>
      <c r="B1943" s="207" t="n"/>
      <c r="C1943" s="104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348" t="n"/>
      <c r="E1943" s="349">
        <f>IF(C1943="","",IFERROR(VLOOKUP(C1943,parametros!$A$11:$E$15,5,0),""))</f>
        <v/>
      </c>
      <c r="F1943" s="335">
        <f>IF(OR(D1943="",E1943=""),"",ROUND(D1943*E1943,2))</f>
        <v/>
      </c>
      <c r="G1943" s="106" t="n"/>
      <c r="H1943" s="350">
        <f>IF(G1943="Sim",IF(OR(F1943="",D1943="",L1943=""),"",IF(L1943="Sim",ROUND(F1943-D1943,2),0)),0)</f>
        <v/>
      </c>
      <c r="I1943" s="350">
        <f>IF(G1943="Sim",0,IF(OR(F1943="",L1943=""),"",F1943))</f>
        <v/>
      </c>
      <c r="J1943" s="350">
        <f>IF(G1943="Sim",0,IF(OR(F1943="",D1943="",L1943=""),"",IF(L1943="Sim",ROUND(F1943-D1943,2),0)))</f>
        <v/>
      </c>
      <c r="K1943" s="97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inlineStr">
        <is>
          <t>Nao</t>
        </is>
      </c>
      <c r="W1943" s="110" t="inlineStr">
        <is>
          <t>PC em analise</t>
        </is>
      </c>
      <c r="X1943" s="110" t="inlineStr">
        <is>
          <t>Pedido de Compra</t>
        </is>
      </c>
      <c r="Y1943" s="111" t="inlineStr">
        <is>
          <t>Impacto Potencial</t>
        </is>
      </c>
      <c r="Z1943" s="111" t="inlineStr">
        <is>
          <t>PC</t>
        </is>
      </c>
      <c r="AA1943" s="111" t="inlineStr">
        <is>
          <t>Nao</t>
        </is>
      </c>
      <c r="AB1943" s="111" t="inlineStr">
        <is>
          <t>NAO_COMPUTADO</t>
        </is>
      </c>
      <c r="AC1943" s="112" t="inlineStr">
        <is>
          <t>Estrutura Fase 1: sem impacto no VTA oficial</t>
        </is>
      </c>
    </row>
    <row r="1944" ht="25.5" customHeight="1" s="289">
      <c r="A1944" s="205" t="n"/>
      <c r="B1944" s="207" t="n"/>
      <c r="C1944" s="104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348" t="n"/>
      <c r="E1944" s="349">
        <f>IF(C1944="","",IFERROR(VLOOKUP(C1944,parametros!$A$11:$E$15,5,0),""))</f>
        <v/>
      </c>
      <c r="F1944" s="335">
        <f>IF(OR(D1944="",E1944=""),"",ROUND(D1944*E1944,2))</f>
        <v/>
      </c>
      <c r="G1944" s="106" t="n"/>
      <c r="H1944" s="350">
        <f>IF(G1944="Sim",IF(OR(F1944="",D1944="",L1944=""),"",IF(L1944="Sim",ROUND(F1944-D1944,2),0)),0)</f>
        <v/>
      </c>
      <c r="I1944" s="350">
        <f>IF(G1944="Sim",0,IF(OR(F1944="",L1944=""),"",F1944))</f>
        <v/>
      </c>
      <c r="J1944" s="350">
        <f>IF(G1944="Sim",0,IF(OR(F1944="",D1944="",L1944=""),"",IF(L1944="Sim",ROUND(F1944-D1944,2),0)))</f>
        <v/>
      </c>
      <c r="K1944" s="97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inlineStr">
        <is>
          <t>Nao</t>
        </is>
      </c>
      <c r="W1944" s="110" t="inlineStr">
        <is>
          <t>PC em analise</t>
        </is>
      </c>
      <c r="X1944" s="110" t="inlineStr">
        <is>
          <t>Pedido de Compra</t>
        </is>
      </c>
      <c r="Y1944" s="111" t="inlineStr">
        <is>
          <t>Impacto Potencial</t>
        </is>
      </c>
      <c r="Z1944" s="111" t="inlineStr">
        <is>
          <t>PC</t>
        </is>
      </c>
      <c r="AA1944" s="111" t="inlineStr">
        <is>
          <t>Nao</t>
        </is>
      </c>
      <c r="AB1944" s="111" t="inlineStr">
        <is>
          <t>NAO_COMPUTADO</t>
        </is>
      </c>
      <c r="AC1944" s="112" t="inlineStr">
        <is>
          <t>Estrutura Fase 1: sem impacto no VTA oficial</t>
        </is>
      </c>
    </row>
    <row r="1945" ht="25.5" customHeight="1" s="289">
      <c r="A1945" s="205" t="n"/>
      <c r="B1945" s="207" t="n"/>
      <c r="C1945" s="104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348" t="n"/>
      <c r="E1945" s="349">
        <f>IF(C1945="","",IFERROR(VLOOKUP(C1945,parametros!$A$11:$E$15,5,0),""))</f>
        <v/>
      </c>
      <c r="F1945" s="335">
        <f>IF(OR(D1945="",E1945=""),"",ROUND(D1945*E1945,2))</f>
        <v/>
      </c>
      <c r="G1945" s="106" t="n"/>
      <c r="H1945" s="350">
        <f>IF(G1945="Sim",IF(OR(F1945="",D1945="",L1945=""),"",IF(L1945="Sim",ROUND(F1945-D1945,2),0)),0)</f>
        <v/>
      </c>
      <c r="I1945" s="350">
        <f>IF(G1945="Sim",0,IF(OR(F1945="",L1945=""),"",F1945))</f>
        <v/>
      </c>
      <c r="J1945" s="350">
        <f>IF(G1945="Sim",0,IF(OR(F1945="",D1945="",L1945=""),"",IF(L1945="Sim",ROUND(F1945-D1945,2),0)))</f>
        <v/>
      </c>
      <c r="K1945" s="97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inlineStr">
        <is>
          <t>Nao</t>
        </is>
      </c>
      <c r="W1945" s="110" t="inlineStr">
        <is>
          <t>PC em analise</t>
        </is>
      </c>
      <c r="X1945" s="110" t="inlineStr">
        <is>
          <t>Pedido de Compra</t>
        </is>
      </c>
      <c r="Y1945" s="111" t="inlineStr">
        <is>
          <t>Impacto Potencial</t>
        </is>
      </c>
      <c r="Z1945" s="111" t="inlineStr">
        <is>
          <t>PC</t>
        </is>
      </c>
      <c r="AA1945" s="111" t="inlineStr">
        <is>
          <t>Nao</t>
        </is>
      </c>
      <c r="AB1945" s="111" t="inlineStr">
        <is>
          <t>NAO_COMPUTADO</t>
        </is>
      </c>
      <c r="AC1945" s="112" t="inlineStr">
        <is>
          <t>Estrutura Fase 1: sem impacto no VTA oficial</t>
        </is>
      </c>
    </row>
    <row r="1946" ht="25.5" customHeight="1" s="289">
      <c r="A1946" s="205" t="n"/>
      <c r="B1946" s="207" t="n"/>
      <c r="C1946" s="104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348" t="n"/>
      <c r="E1946" s="349">
        <f>IF(C1946="","",IFERROR(VLOOKUP(C1946,parametros!$A$11:$E$15,5,0),""))</f>
        <v/>
      </c>
      <c r="F1946" s="335">
        <f>IF(OR(D1946="",E1946=""),"",ROUND(D1946*E1946,2))</f>
        <v/>
      </c>
      <c r="G1946" s="106" t="n"/>
      <c r="H1946" s="350">
        <f>IF(G1946="Sim",IF(OR(F1946="",D1946="",L1946=""),"",IF(L1946="Sim",ROUND(F1946-D1946,2),0)),0)</f>
        <v/>
      </c>
      <c r="I1946" s="350">
        <f>IF(G1946="Sim",0,IF(OR(F1946="",L1946=""),"",F1946))</f>
        <v/>
      </c>
      <c r="J1946" s="350">
        <f>IF(G1946="Sim",0,IF(OR(F1946="",D1946="",L1946=""),"",IF(L1946="Sim",ROUND(F1946-D1946,2),0)))</f>
        <v/>
      </c>
      <c r="K1946" s="97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inlineStr">
        <is>
          <t>Nao</t>
        </is>
      </c>
      <c r="W1946" s="110" t="inlineStr">
        <is>
          <t>PC em analise</t>
        </is>
      </c>
      <c r="X1946" s="110" t="inlineStr">
        <is>
          <t>Pedido de Compra</t>
        </is>
      </c>
      <c r="Y1946" s="111" t="inlineStr">
        <is>
          <t>Impacto Potencial</t>
        </is>
      </c>
      <c r="Z1946" s="111" t="inlineStr">
        <is>
          <t>PC</t>
        </is>
      </c>
      <c r="AA1946" s="111" t="inlineStr">
        <is>
          <t>Nao</t>
        </is>
      </c>
      <c r="AB1946" s="111" t="inlineStr">
        <is>
          <t>NAO_COMPUTADO</t>
        </is>
      </c>
      <c r="AC1946" s="112" t="inlineStr">
        <is>
          <t>Estrutura Fase 1: sem impacto no VTA oficial</t>
        </is>
      </c>
    </row>
    <row r="1947" ht="25.5" customHeight="1" s="289">
      <c r="A1947" s="205" t="n"/>
      <c r="B1947" s="207" t="n"/>
      <c r="C1947" s="104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348" t="n"/>
      <c r="E1947" s="349">
        <f>IF(C1947="","",IFERROR(VLOOKUP(C1947,parametros!$A$11:$E$15,5,0),""))</f>
        <v/>
      </c>
      <c r="F1947" s="335">
        <f>IF(OR(D1947="",E1947=""),"",ROUND(D1947*E1947,2))</f>
        <v/>
      </c>
      <c r="G1947" s="106" t="n"/>
      <c r="H1947" s="350">
        <f>IF(G1947="Sim",IF(OR(F1947="",D1947="",L1947=""),"",IF(L1947="Sim",ROUND(F1947-D1947,2),0)),0)</f>
        <v/>
      </c>
      <c r="I1947" s="350">
        <f>IF(G1947="Sim",0,IF(OR(F1947="",L1947=""),"",F1947))</f>
        <v/>
      </c>
      <c r="J1947" s="350">
        <f>IF(G1947="Sim",0,IF(OR(F1947="",D1947="",L1947=""),"",IF(L1947="Sim",ROUND(F1947-D1947,2),0)))</f>
        <v/>
      </c>
      <c r="K1947" s="97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inlineStr">
        <is>
          <t>Nao</t>
        </is>
      </c>
      <c r="W1947" s="110" t="inlineStr">
        <is>
          <t>PC em analise</t>
        </is>
      </c>
      <c r="X1947" s="110" t="inlineStr">
        <is>
          <t>Pedido de Compra</t>
        </is>
      </c>
      <c r="Y1947" s="111" t="inlineStr">
        <is>
          <t>Impacto Potencial</t>
        </is>
      </c>
      <c r="Z1947" s="111" t="inlineStr">
        <is>
          <t>PC</t>
        </is>
      </c>
      <c r="AA1947" s="111" t="inlineStr">
        <is>
          <t>Nao</t>
        </is>
      </c>
      <c r="AB1947" s="111" t="inlineStr">
        <is>
          <t>NAO_COMPUTADO</t>
        </is>
      </c>
      <c r="AC1947" s="112" t="inlineStr">
        <is>
          <t>Estrutura Fase 1: sem impacto no VTA oficial</t>
        </is>
      </c>
    </row>
    <row r="1948" ht="25.5" customHeight="1" s="289">
      <c r="A1948" s="205" t="n"/>
      <c r="B1948" s="207" t="n"/>
      <c r="C1948" s="104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348" t="n"/>
      <c r="E1948" s="349">
        <f>IF(C1948="","",IFERROR(VLOOKUP(C1948,parametros!$A$11:$E$15,5,0),""))</f>
        <v/>
      </c>
      <c r="F1948" s="335">
        <f>IF(OR(D1948="",E1948=""),"",ROUND(D1948*E1948,2))</f>
        <v/>
      </c>
      <c r="G1948" s="106" t="n"/>
      <c r="H1948" s="350">
        <f>IF(G1948="Sim",IF(OR(F1948="",D1948="",L1948=""),"",IF(L1948="Sim",ROUND(F1948-D1948,2),0)),0)</f>
        <v/>
      </c>
      <c r="I1948" s="350">
        <f>IF(G1948="Sim",0,IF(OR(F1948="",L1948=""),"",F1948))</f>
        <v/>
      </c>
      <c r="J1948" s="350">
        <f>IF(G1948="Sim",0,IF(OR(F1948="",D1948="",L1948=""),"",IF(L1948="Sim",ROUND(F1948-D1948,2),0)))</f>
        <v/>
      </c>
      <c r="K1948" s="97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inlineStr">
        <is>
          <t>Nao</t>
        </is>
      </c>
      <c r="W1948" s="110" t="inlineStr">
        <is>
          <t>PC em analise</t>
        </is>
      </c>
      <c r="X1948" s="110" t="inlineStr">
        <is>
          <t>Pedido de Compra</t>
        </is>
      </c>
      <c r="Y1948" s="111" t="inlineStr">
        <is>
          <t>Impacto Potencial</t>
        </is>
      </c>
      <c r="Z1948" s="111" t="inlineStr">
        <is>
          <t>PC</t>
        </is>
      </c>
      <c r="AA1948" s="111" t="inlineStr">
        <is>
          <t>Nao</t>
        </is>
      </c>
      <c r="AB1948" s="111" t="inlineStr">
        <is>
          <t>NAO_COMPUTADO</t>
        </is>
      </c>
      <c r="AC1948" s="112" t="inlineStr">
        <is>
          <t>Estrutura Fase 1: sem impacto no VTA oficial</t>
        </is>
      </c>
    </row>
    <row r="1949" ht="25.5" customHeight="1" s="289">
      <c r="A1949" s="205" t="n"/>
      <c r="B1949" s="207" t="n"/>
      <c r="C1949" s="104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348" t="n"/>
      <c r="E1949" s="349">
        <f>IF(C1949="","",IFERROR(VLOOKUP(C1949,parametros!$A$11:$E$15,5,0),""))</f>
        <v/>
      </c>
      <c r="F1949" s="335">
        <f>IF(OR(D1949="",E1949=""),"",ROUND(D1949*E1949,2))</f>
        <v/>
      </c>
      <c r="G1949" s="106" t="n"/>
      <c r="H1949" s="350">
        <f>IF(G1949="Sim",IF(OR(F1949="",D1949="",L1949=""),"",IF(L1949="Sim",ROUND(F1949-D1949,2),0)),0)</f>
        <v/>
      </c>
      <c r="I1949" s="350">
        <f>IF(G1949="Sim",0,IF(OR(F1949="",L1949=""),"",F1949))</f>
        <v/>
      </c>
      <c r="J1949" s="350">
        <f>IF(G1949="Sim",0,IF(OR(F1949="",D1949="",L1949=""),"",IF(L1949="Sim",ROUND(F1949-D1949,2),0)))</f>
        <v/>
      </c>
      <c r="K1949" s="97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inlineStr">
        <is>
          <t>Nao</t>
        </is>
      </c>
      <c r="W1949" s="110" t="inlineStr">
        <is>
          <t>PC em analise</t>
        </is>
      </c>
      <c r="X1949" s="110" t="inlineStr">
        <is>
          <t>Pedido de Compra</t>
        </is>
      </c>
      <c r="Y1949" s="111" t="inlineStr">
        <is>
          <t>Impacto Potencial</t>
        </is>
      </c>
      <c r="Z1949" s="111" t="inlineStr">
        <is>
          <t>PC</t>
        </is>
      </c>
      <c r="AA1949" s="111" t="inlineStr">
        <is>
          <t>Nao</t>
        </is>
      </c>
      <c r="AB1949" s="111" t="inlineStr">
        <is>
          <t>NAO_COMPUTADO</t>
        </is>
      </c>
      <c r="AC1949" s="112" t="inlineStr">
        <is>
          <t>Estrutura Fase 1: sem impacto no VTA oficial</t>
        </is>
      </c>
    </row>
    <row r="1950" ht="25.5" customHeight="1" s="289">
      <c r="A1950" s="205" t="n"/>
      <c r="B1950" s="207" t="n"/>
      <c r="C1950" s="104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348" t="n"/>
      <c r="E1950" s="349">
        <f>IF(C1950="","",IFERROR(VLOOKUP(C1950,parametros!$A$11:$E$15,5,0),""))</f>
        <v/>
      </c>
      <c r="F1950" s="335">
        <f>IF(OR(D1950="",E1950=""),"",ROUND(D1950*E1950,2))</f>
        <v/>
      </c>
      <c r="G1950" s="106" t="n"/>
      <c r="H1950" s="350">
        <f>IF(G1950="Sim",IF(OR(F1950="",D1950="",L1950=""),"",IF(L1950="Sim",ROUND(F1950-D1950,2),0)),0)</f>
        <v/>
      </c>
      <c r="I1950" s="350">
        <f>IF(G1950="Sim",0,IF(OR(F1950="",L1950=""),"",F1950))</f>
        <v/>
      </c>
      <c r="J1950" s="350">
        <f>IF(G1950="Sim",0,IF(OR(F1950="",D1950="",L1950=""),"",IF(L1950="Sim",ROUND(F1950-D1950,2),0)))</f>
        <v/>
      </c>
      <c r="K1950" s="97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inlineStr">
        <is>
          <t>Nao</t>
        </is>
      </c>
      <c r="W1950" s="110" t="inlineStr">
        <is>
          <t>PC em analise</t>
        </is>
      </c>
      <c r="X1950" s="110" t="inlineStr">
        <is>
          <t>Pedido de Compra</t>
        </is>
      </c>
      <c r="Y1950" s="111" t="inlineStr">
        <is>
          <t>Impacto Potencial</t>
        </is>
      </c>
      <c r="Z1950" s="111" t="inlineStr">
        <is>
          <t>PC</t>
        </is>
      </c>
      <c r="AA1950" s="111" t="inlineStr">
        <is>
          <t>Nao</t>
        </is>
      </c>
      <c r="AB1950" s="111" t="inlineStr">
        <is>
          <t>NAO_COMPUTADO</t>
        </is>
      </c>
      <c r="AC1950" s="112" t="inlineStr">
        <is>
          <t>Estrutura Fase 1: sem impacto no VTA oficial</t>
        </is>
      </c>
    </row>
    <row r="1951" ht="25.5" customHeight="1" s="289">
      <c r="A1951" s="205" t="n"/>
      <c r="B1951" s="207" t="n"/>
      <c r="C1951" s="104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348" t="n"/>
      <c r="E1951" s="349">
        <f>IF(C1951="","",IFERROR(VLOOKUP(C1951,parametros!$A$11:$E$15,5,0),""))</f>
        <v/>
      </c>
      <c r="F1951" s="335">
        <f>IF(OR(D1951="",E1951=""),"",ROUND(D1951*E1951,2))</f>
        <v/>
      </c>
      <c r="G1951" s="106" t="n"/>
      <c r="H1951" s="350">
        <f>IF(G1951="Sim",IF(OR(F1951="",D1951="",L1951=""),"",IF(L1951="Sim",ROUND(F1951-D1951,2),0)),0)</f>
        <v/>
      </c>
      <c r="I1951" s="350">
        <f>IF(G1951="Sim",0,IF(OR(F1951="",L1951=""),"",F1951))</f>
        <v/>
      </c>
      <c r="J1951" s="350">
        <f>IF(G1951="Sim",0,IF(OR(F1951="",D1951="",L1951=""),"",IF(L1951="Sim",ROUND(F1951-D1951,2),0)))</f>
        <v/>
      </c>
      <c r="K1951" s="97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inlineStr">
        <is>
          <t>Nao</t>
        </is>
      </c>
      <c r="W1951" s="110" t="inlineStr">
        <is>
          <t>PC em analise</t>
        </is>
      </c>
      <c r="X1951" s="110" t="inlineStr">
        <is>
          <t>Pedido de Compra</t>
        </is>
      </c>
      <c r="Y1951" s="111" t="inlineStr">
        <is>
          <t>Impacto Potencial</t>
        </is>
      </c>
      <c r="Z1951" s="111" t="inlineStr">
        <is>
          <t>PC</t>
        </is>
      </c>
      <c r="AA1951" s="111" t="inlineStr">
        <is>
          <t>Nao</t>
        </is>
      </c>
      <c r="AB1951" s="111" t="inlineStr">
        <is>
          <t>NAO_COMPUTADO</t>
        </is>
      </c>
      <c r="AC1951" s="112" t="inlineStr">
        <is>
          <t>Estrutura Fase 1: sem impacto no VTA oficial</t>
        </is>
      </c>
    </row>
    <row r="1952" ht="25.5" customHeight="1" s="289">
      <c r="A1952" s="205" t="n"/>
      <c r="B1952" s="207" t="n"/>
      <c r="C1952" s="104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348" t="n"/>
      <c r="E1952" s="349">
        <f>IF(C1952="","",IFERROR(VLOOKUP(C1952,parametros!$A$11:$E$15,5,0),""))</f>
        <v/>
      </c>
      <c r="F1952" s="335">
        <f>IF(OR(D1952="",E1952=""),"",ROUND(D1952*E1952,2))</f>
        <v/>
      </c>
      <c r="G1952" s="106" t="n"/>
      <c r="H1952" s="350">
        <f>IF(G1952="Sim",IF(OR(F1952="",D1952="",L1952=""),"",IF(L1952="Sim",ROUND(F1952-D1952,2),0)),0)</f>
        <v/>
      </c>
      <c r="I1952" s="350">
        <f>IF(G1952="Sim",0,IF(OR(F1952="",L1952=""),"",F1952))</f>
        <v/>
      </c>
      <c r="J1952" s="350">
        <f>IF(G1952="Sim",0,IF(OR(F1952="",D1952="",L1952=""),"",IF(L1952="Sim",ROUND(F1952-D1952,2),0)))</f>
        <v/>
      </c>
      <c r="K1952" s="97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inlineStr">
        <is>
          <t>Nao</t>
        </is>
      </c>
      <c r="W1952" s="110" t="inlineStr">
        <is>
          <t>PC em analise</t>
        </is>
      </c>
      <c r="X1952" s="110" t="inlineStr">
        <is>
          <t>Pedido de Compra</t>
        </is>
      </c>
      <c r="Y1952" s="111" t="inlineStr">
        <is>
          <t>Impacto Potencial</t>
        </is>
      </c>
      <c r="Z1952" s="111" t="inlineStr">
        <is>
          <t>PC</t>
        </is>
      </c>
      <c r="AA1952" s="111" t="inlineStr">
        <is>
          <t>Nao</t>
        </is>
      </c>
      <c r="AB1952" s="111" t="inlineStr">
        <is>
          <t>NAO_COMPUTADO</t>
        </is>
      </c>
      <c r="AC1952" s="112" t="inlineStr">
        <is>
          <t>Estrutura Fase 1: sem impacto no VTA oficial</t>
        </is>
      </c>
    </row>
    <row r="1953" ht="25.5" customHeight="1" s="289">
      <c r="A1953" s="205" t="n"/>
      <c r="B1953" s="207" t="n"/>
      <c r="C1953" s="104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348" t="n"/>
      <c r="E1953" s="349">
        <f>IF(C1953="","",IFERROR(VLOOKUP(C1953,parametros!$A$11:$E$15,5,0),""))</f>
        <v/>
      </c>
      <c r="F1953" s="335">
        <f>IF(OR(D1953="",E1953=""),"",ROUND(D1953*E1953,2))</f>
        <v/>
      </c>
      <c r="G1953" s="106" t="n"/>
      <c r="H1953" s="350">
        <f>IF(G1953="Sim",IF(OR(F1953="",D1953="",L1953=""),"",IF(L1953="Sim",ROUND(F1953-D1953,2),0)),0)</f>
        <v/>
      </c>
      <c r="I1953" s="350">
        <f>IF(G1953="Sim",0,IF(OR(F1953="",L1953=""),"",F1953))</f>
        <v/>
      </c>
      <c r="J1953" s="350">
        <f>IF(G1953="Sim",0,IF(OR(F1953="",D1953="",L1953=""),"",IF(L1953="Sim",ROUND(F1953-D1953,2),0)))</f>
        <v/>
      </c>
      <c r="K1953" s="97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inlineStr">
        <is>
          <t>Nao</t>
        </is>
      </c>
      <c r="W1953" s="110" t="inlineStr">
        <is>
          <t>PC em analise</t>
        </is>
      </c>
      <c r="X1953" s="110" t="inlineStr">
        <is>
          <t>Pedido de Compra</t>
        </is>
      </c>
      <c r="Y1953" s="111" t="inlineStr">
        <is>
          <t>Impacto Potencial</t>
        </is>
      </c>
      <c r="Z1953" s="111" t="inlineStr">
        <is>
          <t>PC</t>
        </is>
      </c>
      <c r="AA1953" s="111" t="inlineStr">
        <is>
          <t>Nao</t>
        </is>
      </c>
      <c r="AB1953" s="111" t="inlineStr">
        <is>
          <t>NAO_COMPUTADO</t>
        </is>
      </c>
      <c r="AC1953" s="112" t="inlineStr">
        <is>
          <t>Estrutura Fase 1: sem impacto no VTA oficial</t>
        </is>
      </c>
    </row>
    <row r="1954" ht="25.5" customHeight="1" s="289">
      <c r="A1954" s="205" t="n"/>
      <c r="B1954" s="207" t="n"/>
      <c r="C1954" s="104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348" t="n"/>
      <c r="E1954" s="349">
        <f>IF(C1954="","",IFERROR(VLOOKUP(C1954,parametros!$A$11:$E$15,5,0),""))</f>
        <v/>
      </c>
      <c r="F1954" s="335">
        <f>IF(OR(D1954="",E1954=""),"",ROUND(D1954*E1954,2))</f>
        <v/>
      </c>
      <c r="G1954" s="106" t="n"/>
      <c r="H1954" s="350">
        <f>IF(G1954="Sim",IF(OR(F1954="",D1954="",L1954=""),"",IF(L1954="Sim",ROUND(F1954-D1954,2),0)),0)</f>
        <v/>
      </c>
      <c r="I1954" s="350">
        <f>IF(G1954="Sim",0,IF(OR(F1954="",L1954=""),"",F1954))</f>
        <v/>
      </c>
      <c r="J1954" s="350">
        <f>IF(G1954="Sim",0,IF(OR(F1954="",D1954="",L1954=""),"",IF(L1954="Sim",ROUND(F1954-D1954,2),0)))</f>
        <v/>
      </c>
      <c r="K1954" s="97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inlineStr">
        <is>
          <t>Nao</t>
        </is>
      </c>
      <c r="W1954" s="110" t="inlineStr">
        <is>
          <t>PC em analise</t>
        </is>
      </c>
      <c r="X1954" s="110" t="inlineStr">
        <is>
          <t>Pedido de Compra</t>
        </is>
      </c>
      <c r="Y1954" s="111" t="inlineStr">
        <is>
          <t>Impacto Potencial</t>
        </is>
      </c>
      <c r="Z1954" s="111" t="inlineStr">
        <is>
          <t>PC</t>
        </is>
      </c>
      <c r="AA1954" s="111" t="inlineStr">
        <is>
          <t>Nao</t>
        </is>
      </c>
      <c r="AB1954" s="111" t="inlineStr">
        <is>
          <t>NAO_COMPUTADO</t>
        </is>
      </c>
      <c r="AC1954" s="112" t="inlineStr">
        <is>
          <t>Estrutura Fase 1: sem impacto no VTA oficial</t>
        </is>
      </c>
    </row>
    <row r="1955" ht="25.5" customHeight="1" s="289">
      <c r="A1955" s="205" t="n"/>
      <c r="B1955" s="207" t="n"/>
      <c r="C1955" s="104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348" t="n"/>
      <c r="E1955" s="349">
        <f>IF(C1955="","",IFERROR(VLOOKUP(C1955,parametros!$A$11:$E$15,5,0),""))</f>
        <v/>
      </c>
      <c r="F1955" s="335">
        <f>IF(OR(D1955="",E1955=""),"",ROUND(D1955*E1955,2))</f>
        <v/>
      </c>
      <c r="G1955" s="106" t="n"/>
      <c r="H1955" s="350">
        <f>IF(G1955="Sim",IF(OR(F1955="",D1955="",L1955=""),"",IF(L1955="Sim",ROUND(F1955-D1955,2),0)),0)</f>
        <v/>
      </c>
      <c r="I1955" s="350">
        <f>IF(G1955="Sim",0,IF(OR(F1955="",L1955=""),"",F1955))</f>
        <v/>
      </c>
      <c r="J1955" s="350">
        <f>IF(G1955="Sim",0,IF(OR(F1955="",D1955="",L1955=""),"",IF(L1955="Sim",ROUND(F1955-D1955,2),0)))</f>
        <v/>
      </c>
      <c r="K1955" s="97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inlineStr">
        <is>
          <t>Nao</t>
        </is>
      </c>
      <c r="W1955" s="110" t="inlineStr">
        <is>
          <t>PC em analise</t>
        </is>
      </c>
      <c r="X1955" s="110" t="inlineStr">
        <is>
          <t>Pedido de Compra</t>
        </is>
      </c>
      <c r="Y1955" s="111" t="inlineStr">
        <is>
          <t>Impacto Potencial</t>
        </is>
      </c>
      <c r="Z1955" s="111" t="inlineStr">
        <is>
          <t>PC</t>
        </is>
      </c>
      <c r="AA1955" s="111" t="inlineStr">
        <is>
          <t>Nao</t>
        </is>
      </c>
      <c r="AB1955" s="111" t="inlineStr">
        <is>
          <t>NAO_COMPUTADO</t>
        </is>
      </c>
      <c r="AC1955" s="112" t="inlineStr">
        <is>
          <t>Estrutura Fase 1: sem impacto no VTA oficial</t>
        </is>
      </c>
    </row>
    <row r="1956" ht="25.5" customHeight="1" s="289">
      <c r="A1956" s="205" t="n"/>
      <c r="B1956" s="207" t="n"/>
      <c r="C1956" s="104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348" t="n"/>
      <c r="E1956" s="349">
        <f>IF(C1956="","",IFERROR(VLOOKUP(C1956,parametros!$A$11:$E$15,5,0),""))</f>
        <v/>
      </c>
      <c r="F1956" s="335">
        <f>IF(OR(D1956="",E1956=""),"",ROUND(D1956*E1956,2))</f>
        <v/>
      </c>
      <c r="G1956" s="106" t="n"/>
      <c r="H1956" s="350">
        <f>IF(G1956="Sim",IF(OR(F1956="",D1956="",L1956=""),"",IF(L1956="Sim",ROUND(F1956-D1956,2),0)),0)</f>
        <v/>
      </c>
      <c r="I1956" s="350">
        <f>IF(G1956="Sim",0,IF(OR(F1956="",L1956=""),"",F1956))</f>
        <v/>
      </c>
      <c r="J1956" s="350">
        <f>IF(G1956="Sim",0,IF(OR(F1956="",D1956="",L1956=""),"",IF(L1956="Sim",ROUND(F1956-D1956,2),0)))</f>
        <v/>
      </c>
      <c r="K1956" s="97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inlineStr">
        <is>
          <t>Nao</t>
        </is>
      </c>
      <c r="W1956" s="110" t="inlineStr">
        <is>
          <t>PC em analise</t>
        </is>
      </c>
      <c r="X1956" s="110" t="inlineStr">
        <is>
          <t>Pedido de Compra</t>
        </is>
      </c>
      <c r="Y1956" s="111" t="inlineStr">
        <is>
          <t>Impacto Potencial</t>
        </is>
      </c>
      <c r="Z1956" s="111" t="inlineStr">
        <is>
          <t>PC</t>
        </is>
      </c>
      <c r="AA1956" s="111" t="inlineStr">
        <is>
          <t>Nao</t>
        </is>
      </c>
      <c r="AB1956" s="111" t="inlineStr">
        <is>
          <t>NAO_COMPUTADO</t>
        </is>
      </c>
      <c r="AC1956" s="112" t="inlineStr">
        <is>
          <t>Estrutura Fase 1: sem impacto no VTA oficial</t>
        </is>
      </c>
    </row>
    <row r="1957" ht="25.5" customHeight="1" s="289">
      <c r="A1957" s="205" t="n"/>
      <c r="B1957" s="207" t="n"/>
      <c r="C1957" s="104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348" t="n"/>
      <c r="E1957" s="349">
        <f>IF(C1957="","",IFERROR(VLOOKUP(C1957,parametros!$A$11:$E$15,5,0),""))</f>
        <v/>
      </c>
      <c r="F1957" s="335">
        <f>IF(OR(D1957="",E1957=""),"",ROUND(D1957*E1957,2))</f>
        <v/>
      </c>
      <c r="G1957" s="106" t="n"/>
      <c r="H1957" s="350">
        <f>IF(G1957="Sim",IF(OR(F1957="",D1957="",L1957=""),"",IF(L1957="Sim",ROUND(F1957-D1957,2),0)),0)</f>
        <v/>
      </c>
      <c r="I1957" s="350">
        <f>IF(G1957="Sim",0,IF(OR(F1957="",L1957=""),"",F1957))</f>
        <v/>
      </c>
      <c r="J1957" s="350">
        <f>IF(G1957="Sim",0,IF(OR(F1957="",D1957="",L1957=""),"",IF(L1957="Sim",ROUND(F1957-D1957,2),0)))</f>
        <v/>
      </c>
      <c r="K1957" s="97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inlineStr">
        <is>
          <t>Nao</t>
        </is>
      </c>
      <c r="W1957" s="110" t="inlineStr">
        <is>
          <t>PC em analise</t>
        </is>
      </c>
      <c r="X1957" s="110" t="inlineStr">
        <is>
          <t>Pedido de Compra</t>
        </is>
      </c>
      <c r="Y1957" s="111" t="inlineStr">
        <is>
          <t>Impacto Potencial</t>
        </is>
      </c>
      <c r="Z1957" s="111" t="inlineStr">
        <is>
          <t>PC</t>
        </is>
      </c>
      <c r="AA1957" s="111" t="inlineStr">
        <is>
          <t>Nao</t>
        </is>
      </c>
      <c r="AB1957" s="111" t="inlineStr">
        <is>
          <t>NAO_COMPUTADO</t>
        </is>
      </c>
      <c r="AC1957" s="112" t="inlineStr">
        <is>
          <t>Estrutura Fase 1: sem impacto no VTA oficial</t>
        </is>
      </c>
    </row>
    <row r="1958" ht="25.5" customHeight="1" s="289">
      <c r="A1958" s="205" t="n"/>
      <c r="B1958" s="207" t="n"/>
      <c r="C1958" s="104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348" t="n"/>
      <c r="E1958" s="349">
        <f>IF(C1958="","",IFERROR(VLOOKUP(C1958,parametros!$A$11:$E$15,5,0),""))</f>
        <v/>
      </c>
      <c r="F1958" s="335">
        <f>IF(OR(D1958="",E1958=""),"",ROUND(D1958*E1958,2))</f>
        <v/>
      </c>
      <c r="G1958" s="106" t="n"/>
      <c r="H1958" s="350">
        <f>IF(G1958="Sim",IF(OR(F1958="",D1958="",L1958=""),"",IF(L1958="Sim",ROUND(F1958-D1958,2),0)),0)</f>
        <v/>
      </c>
      <c r="I1958" s="350">
        <f>IF(G1958="Sim",0,IF(OR(F1958="",L1958=""),"",F1958))</f>
        <v/>
      </c>
      <c r="J1958" s="350">
        <f>IF(G1958="Sim",0,IF(OR(F1958="",D1958="",L1958=""),"",IF(L1958="Sim",ROUND(F1958-D1958,2),0)))</f>
        <v/>
      </c>
      <c r="K1958" s="97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inlineStr">
        <is>
          <t>Nao</t>
        </is>
      </c>
      <c r="W1958" s="110" t="inlineStr">
        <is>
          <t>PC em analise</t>
        </is>
      </c>
      <c r="X1958" s="110" t="inlineStr">
        <is>
          <t>Pedido de Compra</t>
        </is>
      </c>
      <c r="Y1958" s="111" t="inlineStr">
        <is>
          <t>Impacto Potencial</t>
        </is>
      </c>
      <c r="Z1958" s="111" t="inlineStr">
        <is>
          <t>PC</t>
        </is>
      </c>
      <c r="AA1958" s="111" t="inlineStr">
        <is>
          <t>Nao</t>
        </is>
      </c>
      <c r="AB1958" s="111" t="inlineStr">
        <is>
          <t>NAO_COMPUTADO</t>
        </is>
      </c>
      <c r="AC1958" s="112" t="inlineStr">
        <is>
          <t>Estrutura Fase 1: sem impacto no VTA oficial</t>
        </is>
      </c>
    </row>
    <row r="1959" ht="25.5" customHeight="1" s="289">
      <c r="A1959" s="205" t="n"/>
      <c r="B1959" s="207" t="n"/>
      <c r="C1959" s="104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348" t="n"/>
      <c r="E1959" s="349">
        <f>IF(C1959="","",IFERROR(VLOOKUP(C1959,parametros!$A$11:$E$15,5,0),""))</f>
        <v/>
      </c>
      <c r="F1959" s="335">
        <f>IF(OR(D1959="",E1959=""),"",ROUND(D1959*E1959,2))</f>
        <v/>
      </c>
      <c r="G1959" s="106" t="n"/>
      <c r="H1959" s="350">
        <f>IF(G1959="Sim",IF(OR(F1959="",D1959="",L1959=""),"",IF(L1959="Sim",ROUND(F1959-D1959,2),0)),0)</f>
        <v/>
      </c>
      <c r="I1959" s="350">
        <f>IF(G1959="Sim",0,IF(OR(F1959="",L1959=""),"",F1959))</f>
        <v/>
      </c>
      <c r="J1959" s="350">
        <f>IF(G1959="Sim",0,IF(OR(F1959="",D1959="",L1959=""),"",IF(L1959="Sim",ROUND(F1959-D1959,2),0)))</f>
        <v/>
      </c>
      <c r="K1959" s="97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inlineStr">
        <is>
          <t>Nao</t>
        </is>
      </c>
      <c r="W1959" s="110" t="inlineStr">
        <is>
          <t>PC em analise</t>
        </is>
      </c>
      <c r="X1959" s="110" t="inlineStr">
        <is>
          <t>Pedido de Compra</t>
        </is>
      </c>
      <c r="Y1959" s="111" t="inlineStr">
        <is>
          <t>Impacto Potencial</t>
        </is>
      </c>
      <c r="Z1959" s="111" t="inlineStr">
        <is>
          <t>PC</t>
        </is>
      </c>
      <c r="AA1959" s="111" t="inlineStr">
        <is>
          <t>Nao</t>
        </is>
      </c>
      <c r="AB1959" s="111" t="inlineStr">
        <is>
          <t>NAO_COMPUTADO</t>
        </is>
      </c>
      <c r="AC1959" s="112" t="inlineStr">
        <is>
          <t>Estrutura Fase 1: sem impacto no VTA oficial</t>
        </is>
      </c>
    </row>
    <row r="1960" ht="25.5" customHeight="1" s="289">
      <c r="A1960" s="205" t="n"/>
      <c r="B1960" s="207" t="n"/>
      <c r="C1960" s="104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348" t="n"/>
      <c r="E1960" s="349">
        <f>IF(C1960="","",IFERROR(VLOOKUP(C1960,parametros!$A$11:$E$15,5,0),""))</f>
        <v/>
      </c>
      <c r="F1960" s="335">
        <f>IF(OR(D1960="",E1960=""),"",ROUND(D1960*E1960,2))</f>
        <v/>
      </c>
      <c r="G1960" s="106" t="n"/>
      <c r="H1960" s="350">
        <f>IF(G1960="Sim",IF(OR(F1960="",D1960="",L1960=""),"",IF(L1960="Sim",ROUND(F1960-D1960,2),0)),0)</f>
        <v/>
      </c>
      <c r="I1960" s="350">
        <f>IF(G1960="Sim",0,IF(OR(F1960="",L1960=""),"",F1960))</f>
        <v/>
      </c>
      <c r="J1960" s="350">
        <f>IF(G1960="Sim",0,IF(OR(F1960="",D1960="",L1960=""),"",IF(L1960="Sim",ROUND(F1960-D1960,2),0)))</f>
        <v/>
      </c>
      <c r="K1960" s="97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inlineStr">
        <is>
          <t>Nao</t>
        </is>
      </c>
      <c r="W1960" s="110" t="inlineStr">
        <is>
          <t>PC em analise</t>
        </is>
      </c>
      <c r="X1960" s="110" t="inlineStr">
        <is>
          <t>Pedido de Compra</t>
        </is>
      </c>
      <c r="Y1960" s="111" t="inlineStr">
        <is>
          <t>Impacto Potencial</t>
        </is>
      </c>
      <c r="Z1960" s="111" t="inlineStr">
        <is>
          <t>PC</t>
        </is>
      </c>
      <c r="AA1960" s="111" t="inlineStr">
        <is>
          <t>Nao</t>
        </is>
      </c>
      <c r="AB1960" s="111" t="inlineStr">
        <is>
          <t>NAO_COMPUTADO</t>
        </is>
      </c>
      <c r="AC1960" s="112" t="inlineStr">
        <is>
          <t>Estrutura Fase 1: sem impacto no VTA oficial</t>
        </is>
      </c>
    </row>
    <row r="1961" ht="25.5" customHeight="1" s="289">
      <c r="A1961" s="205" t="n"/>
      <c r="B1961" s="207" t="n"/>
      <c r="C1961" s="104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348" t="n"/>
      <c r="E1961" s="349">
        <f>IF(C1961="","",IFERROR(VLOOKUP(C1961,parametros!$A$11:$E$15,5,0),""))</f>
        <v/>
      </c>
      <c r="F1961" s="335">
        <f>IF(OR(D1961="",E1961=""),"",ROUND(D1961*E1961,2))</f>
        <v/>
      </c>
      <c r="G1961" s="106" t="n"/>
      <c r="H1961" s="350">
        <f>IF(G1961="Sim",IF(OR(F1961="",D1961="",L1961=""),"",IF(L1961="Sim",ROUND(F1961-D1961,2),0)),0)</f>
        <v/>
      </c>
      <c r="I1961" s="350">
        <f>IF(G1961="Sim",0,IF(OR(F1961="",L1961=""),"",F1961))</f>
        <v/>
      </c>
      <c r="J1961" s="350">
        <f>IF(G1961="Sim",0,IF(OR(F1961="",D1961="",L1961=""),"",IF(L1961="Sim",ROUND(F1961-D1961,2),0)))</f>
        <v/>
      </c>
      <c r="K1961" s="97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inlineStr">
        <is>
          <t>Nao</t>
        </is>
      </c>
      <c r="W1961" s="110" t="inlineStr">
        <is>
          <t>PC em analise</t>
        </is>
      </c>
      <c r="X1961" s="110" t="inlineStr">
        <is>
          <t>Pedido de Compra</t>
        </is>
      </c>
      <c r="Y1961" s="111" t="inlineStr">
        <is>
          <t>Impacto Potencial</t>
        </is>
      </c>
      <c r="Z1961" s="111" t="inlineStr">
        <is>
          <t>PC</t>
        </is>
      </c>
      <c r="AA1961" s="111" t="inlineStr">
        <is>
          <t>Nao</t>
        </is>
      </c>
      <c r="AB1961" s="111" t="inlineStr">
        <is>
          <t>NAO_COMPUTADO</t>
        </is>
      </c>
      <c r="AC1961" s="112" t="inlineStr">
        <is>
          <t>Estrutura Fase 1: sem impacto no VTA oficial</t>
        </is>
      </c>
    </row>
    <row r="1962" ht="25.5" customHeight="1" s="289">
      <c r="A1962" s="205" t="n"/>
      <c r="B1962" s="207" t="n"/>
      <c r="C1962" s="104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348" t="n"/>
      <c r="E1962" s="349">
        <f>IF(C1962="","",IFERROR(VLOOKUP(C1962,parametros!$A$11:$E$15,5,0),""))</f>
        <v/>
      </c>
      <c r="F1962" s="335">
        <f>IF(OR(D1962="",E1962=""),"",ROUND(D1962*E1962,2))</f>
        <v/>
      </c>
      <c r="G1962" s="106" t="n"/>
      <c r="H1962" s="350">
        <f>IF(G1962="Sim",IF(OR(F1962="",D1962="",L1962=""),"",IF(L1962="Sim",ROUND(F1962-D1962,2),0)),0)</f>
        <v/>
      </c>
      <c r="I1962" s="350">
        <f>IF(G1962="Sim",0,IF(OR(F1962="",L1962=""),"",F1962))</f>
        <v/>
      </c>
      <c r="J1962" s="350">
        <f>IF(G1962="Sim",0,IF(OR(F1962="",D1962="",L1962=""),"",IF(L1962="Sim",ROUND(F1962-D1962,2),0)))</f>
        <v/>
      </c>
      <c r="K1962" s="97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inlineStr">
        <is>
          <t>Nao</t>
        </is>
      </c>
      <c r="W1962" s="110" t="inlineStr">
        <is>
          <t>PC em analise</t>
        </is>
      </c>
      <c r="X1962" s="110" t="inlineStr">
        <is>
          <t>Pedido de Compra</t>
        </is>
      </c>
      <c r="Y1962" s="111" t="inlineStr">
        <is>
          <t>Impacto Potencial</t>
        </is>
      </c>
      <c r="Z1962" s="111" t="inlineStr">
        <is>
          <t>PC</t>
        </is>
      </c>
      <c r="AA1962" s="111" t="inlineStr">
        <is>
          <t>Nao</t>
        </is>
      </c>
      <c r="AB1962" s="111" t="inlineStr">
        <is>
          <t>NAO_COMPUTADO</t>
        </is>
      </c>
      <c r="AC1962" s="112" t="inlineStr">
        <is>
          <t>Estrutura Fase 1: sem impacto no VTA oficial</t>
        </is>
      </c>
    </row>
    <row r="1963" ht="25.5" customHeight="1" s="289">
      <c r="A1963" s="205" t="n"/>
      <c r="B1963" s="207" t="n"/>
      <c r="C1963" s="104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348" t="n"/>
      <c r="E1963" s="349">
        <f>IF(C1963="","",IFERROR(VLOOKUP(C1963,parametros!$A$11:$E$15,5,0),""))</f>
        <v/>
      </c>
      <c r="F1963" s="335">
        <f>IF(OR(D1963="",E1963=""),"",ROUND(D1963*E1963,2))</f>
        <v/>
      </c>
      <c r="G1963" s="106" t="n"/>
      <c r="H1963" s="350">
        <f>IF(G1963="Sim",IF(OR(F1963="",D1963="",L1963=""),"",IF(L1963="Sim",ROUND(F1963-D1963,2),0)),0)</f>
        <v/>
      </c>
      <c r="I1963" s="350">
        <f>IF(G1963="Sim",0,IF(OR(F1963="",L1963=""),"",F1963))</f>
        <v/>
      </c>
      <c r="J1963" s="350">
        <f>IF(G1963="Sim",0,IF(OR(F1963="",D1963="",L1963=""),"",IF(L1963="Sim",ROUND(F1963-D1963,2),0)))</f>
        <v/>
      </c>
      <c r="K1963" s="97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inlineStr">
        <is>
          <t>Nao</t>
        </is>
      </c>
      <c r="W1963" s="110" t="inlineStr">
        <is>
          <t>PC em analise</t>
        </is>
      </c>
      <c r="X1963" s="110" t="inlineStr">
        <is>
          <t>Pedido de Compra</t>
        </is>
      </c>
      <c r="Y1963" s="111" t="inlineStr">
        <is>
          <t>Impacto Potencial</t>
        </is>
      </c>
      <c r="Z1963" s="111" t="inlineStr">
        <is>
          <t>PC</t>
        </is>
      </c>
      <c r="AA1963" s="111" t="inlineStr">
        <is>
          <t>Nao</t>
        </is>
      </c>
      <c r="AB1963" s="111" t="inlineStr">
        <is>
          <t>NAO_COMPUTADO</t>
        </is>
      </c>
      <c r="AC1963" s="112" t="inlineStr">
        <is>
          <t>Estrutura Fase 1: sem impacto no VTA oficial</t>
        </is>
      </c>
    </row>
    <row r="1964" ht="25.5" customHeight="1" s="289">
      <c r="A1964" s="205" t="n"/>
      <c r="B1964" s="207" t="n"/>
      <c r="C1964" s="104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348" t="n"/>
      <c r="E1964" s="349">
        <f>IF(C1964="","",IFERROR(VLOOKUP(C1964,parametros!$A$11:$E$15,5,0),""))</f>
        <v/>
      </c>
      <c r="F1964" s="335">
        <f>IF(OR(D1964="",E1964=""),"",ROUND(D1964*E1964,2))</f>
        <v/>
      </c>
      <c r="G1964" s="106" t="n"/>
      <c r="H1964" s="350">
        <f>IF(G1964="Sim",IF(OR(F1964="",D1964="",L1964=""),"",IF(L1964="Sim",ROUND(F1964-D1964,2),0)),0)</f>
        <v/>
      </c>
      <c r="I1964" s="350">
        <f>IF(G1964="Sim",0,IF(OR(F1964="",L1964=""),"",F1964))</f>
        <v/>
      </c>
      <c r="J1964" s="350">
        <f>IF(G1964="Sim",0,IF(OR(F1964="",D1964="",L1964=""),"",IF(L1964="Sim",ROUND(F1964-D1964,2),0)))</f>
        <v/>
      </c>
      <c r="K1964" s="97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inlineStr">
        <is>
          <t>Nao</t>
        </is>
      </c>
      <c r="W1964" s="110" t="inlineStr">
        <is>
          <t>PC em analise</t>
        </is>
      </c>
      <c r="X1964" s="110" t="inlineStr">
        <is>
          <t>Pedido de Compra</t>
        </is>
      </c>
      <c r="Y1964" s="111" t="inlineStr">
        <is>
          <t>Impacto Potencial</t>
        </is>
      </c>
      <c r="Z1964" s="111" t="inlineStr">
        <is>
          <t>PC</t>
        </is>
      </c>
      <c r="AA1964" s="111" t="inlineStr">
        <is>
          <t>Nao</t>
        </is>
      </c>
      <c r="AB1964" s="111" t="inlineStr">
        <is>
          <t>NAO_COMPUTADO</t>
        </is>
      </c>
      <c r="AC1964" s="112" t="inlineStr">
        <is>
          <t>Estrutura Fase 1: sem impacto no VTA oficial</t>
        </is>
      </c>
    </row>
    <row r="1965" ht="25.5" customHeight="1" s="289">
      <c r="A1965" s="205" t="n"/>
      <c r="B1965" s="207" t="n"/>
      <c r="C1965" s="104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348" t="n"/>
      <c r="E1965" s="349">
        <f>IF(C1965="","",IFERROR(VLOOKUP(C1965,parametros!$A$11:$E$15,5,0),""))</f>
        <v/>
      </c>
      <c r="F1965" s="335">
        <f>IF(OR(D1965="",E1965=""),"",ROUND(D1965*E1965,2))</f>
        <v/>
      </c>
      <c r="G1965" s="106" t="n"/>
      <c r="H1965" s="350">
        <f>IF(G1965="Sim",IF(OR(F1965="",D1965="",L1965=""),"",IF(L1965="Sim",ROUND(F1965-D1965,2),0)),0)</f>
        <v/>
      </c>
      <c r="I1965" s="350">
        <f>IF(G1965="Sim",0,IF(OR(F1965="",L1965=""),"",F1965))</f>
        <v/>
      </c>
      <c r="J1965" s="350">
        <f>IF(G1965="Sim",0,IF(OR(F1965="",D1965="",L1965=""),"",IF(L1965="Sim",ROUND(F1965-D1965,2),0)))</f>
        <v/>
      </c>
      <c r="K1965" s="97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inlineStr">
        <is>
          <t>Nao</t>
        </is>
      </c>
      <c r="W1965" s="110" t="inlineStr">
        <is>
          <t>PC em analise</t>
        </is>
      </c>
      <c r="X1965" s="110" t="inlineStr">
        <is>
          <t>Pedido de Compra</t>
        </is>
      </c>
      <c r="Y1965" s="111" t="inlineStr">
        <is>
          <t>Impacto Potencial</t>
        </is>
      </c>
      <c r="Z1965" s="111" t="inlineStr">
        <is>
          <t>PC</t>
        </is>
      </c>
      <c r="AA1965" s="111" t="inlineStr">
        <is>
          <t>Nao</t>
        </is>
      </c>
      <c r="AB1965" s="111" t="inlineStr">
        <is>
          <t>NAO_COMPUTADO</t>
        </is>
      </c>
      <c r="AC1965" s="112" t="inlineStr">
        <is>
          <t>Estrutura Fase 1: sem impacto no VTA oficial</t>
        </is>
      </c>
    </row>
    <row r="1966" ht="25.5" customHeight="1" s="289">
      <c r="A1966" s="205" t="n"/>
      <c r="B1966" s="207" t="n"/>
      <c r="C1966" s="104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348" t="n"/>
      <c r="E1966" s="349">
        <f>IF(C1966="","",IFERROR(VLOOKUP(C1966,parametros!$A$11:$E$15,5,0),""))</f>
        <v/>
      </c>
      <c r="F1966" s="335">
        <f>IF(OR(D1966="",E1966=""),"",ROUND(D1966*E1966,2))</f>
        <v/>
      </c>
      <c r="G1966" s="106" t="n"/>
      <c r="H1966" s="350">
        <f>IF(G1966="Sim",IF(OR(F1966="",D1966="",L1966=""),"",IF(L1966="Sim",ROUND(F1966-D1966,2),0)),0)</f>
        <v/>
      </c>
      <c r="I1966" s="350">
        <f>IF(G1966="Sim",0,IF(OR(F1966="",L1966=""),"",F1966))</f>
        <v/>
      </c>
      <c r="J1966" s="350">
        <f>IF(G1966="Sim",0,IF(OR(F1966="",D1966="",L1966=""),"",IF(L1966="Sim",ROUND(F1966-D1966,2),0)))</f>
        <v/>
      </c>
      <c r="K1966" s="97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inlineStr">
        <is>
          <t>Nao</t>
        </is>
      </c>
      <c r="W1966" s="110" t="inlineStr">
        <is>
          <t>PC em analise</t>
        </is>
      </c>
      <c r="X1966" s="110" t="inlineStr">
        <is>
          <t>Pedido de Compra</t>
        </is>
      </c>
      <c r="Y1966" s="111" t="inlineStr">
        <is>
          <t>Impacto Potencial</t>
        </is>
      </c>
      <c r="Z1966" s="111" t="inlineStr">
        <is>
          <t>PC</t>
        </is>
      </c>
      <c r="AA1966" s="111" t="inlineStr">
        <is>
          <t>Nao</t>
        </is>
      </c>
      <c r="AB1966" s="111" t="inlineStr">
        <is>
          <t>NAO_COMPUTADO</t>
        </is>
      </c>
      <c r="AC1966" s="112" t="inlineStr">
        <is>
          <t>Estrutura Fase 1: sem impacto no VTA oficial</t>
        </is>
      </c>
    </row>
    <row r="1967" ht="25.5" customHeight="1" s="289">
      <c r="A1967" s="205" t="n"/>
      <c r="B1967" s="207" t="n"/>
      <c r="C1967" s="104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348" t="n"/>
      <c r="E1967" s="349">
        <f>IF(C1967="","",IFERROR(VLOOKUP(C1967,parametros!$A$11:$E$15,5,0),""))</f>
        <v/>
      </c>
      <c r="F1967" s="335">
        <f>IF(OR(D1967="",E1967=""),"",ROUND(D1967*E1967,2))</f>
        <v/>
      </c>
      <c r="G1967" s="106" t="n"/>
      <c r="H1967" s="350">
        <f>IF(G1967="Sim",IF(OR(F1967="",D1967="",L1967=""),"",IF(L1967="Sim",ROUND(F1967-D1967,2),0)),0)</f>
        <v/>
      </c>
      <c r="I1967" s="350">
        <f>IF(G1967="Sim",0,IF(OR(F1967="",L1967=""),"",F1967))</f>
        <v/>
      </c>
      <c r="J1967" s="350">
        <f>IF(G1967="Sim",0,IF(OR(F1967="",D1967="",L1967=""),"",IF(L1967="Sim",ROUND(F1967-D1967,2),0)))</f>
        <v/>
      </c>
      <c r="K1967" s="97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inlineStr">
        <is>
          <t>Nao</t>
        </is>
      </c>
      <c r="W1967" s="110" t="inlineStr">
        <is>
          <t>PC em analise</t>
        </is>
      </c>
      <c r="X1967" s="110" t="inlineStr">
        <is>
          <t>Pedido de Compra</t>
        </is>
      </c>
      <c r="Y1967" s="111" t="inlineStr">
        <is>
          <t>Impacto Potencial</t>
        </is>
      </c>
      <c r="Z1967" s="111" t="inlineStr">
        <is>
          <t>PC</t>
        </is>
      </c>
      <c r="AA1967" s="111" t="inlineStr">
        <is>
          <t>Nao</t>
        </is>
      </c>
      <c r="AB1967" s="111" t="inlineStr">
        <is>
          <t>NAO_COMPUTADO</t>
        </is>
      </c>
      <c r="AC1967" s="112" t="inlineStr">
        <is>
          <t>Estrutura Fase 1: sem impacto no VTA oficial</t>
        </is>
      </c>
    </row>
    <row r="1968" ht="25.5" customHeight="1" s="289">
      <c r="A1968" s="205" t="n"/>
      <c r="B1968" s="207" t="n"/>
      <c r="C1968" s="104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348" t="n"/>
      <c r="E1968" s="349">
        <f>IF(C1968="","",IFERROR(VLOOKUP(C1968,parametros!$A$11:$E$15,5,0),""))</f>
        <v/>
      </c>
      <c r="F1968" s="335">
        <f>IF(OR(D1968="",E1968=""),"",ROUND(D1968*E1968,2))</f>
        <v/>
      </c>
      <c r="G1968" s="106" t="n"/>
      <c r="H1968" s="350">
        <f>IF(G1968="Sim",IF(OR(F1968="",D1968="",L1968=""),"",IF(L1968="Sim",ROUND(F1968-D1968,2),0)),0)</f>
        <v/>
      </c>
      <c r="I1968" s="350">
        <f>IF(G1968="Sim",0,IF(OR(F1968="",L1968=""),"",F1968))</f>
        <v/>
      </c>
      <c r="J1968" s="350">
        <f>IF(G1968="Sim",0,IF(OR(F1968="",D1968="",L1968=""),"",IF(L1968="Sim",ROUND(F1968-D1968,2),0)))</f>
        <v/>
      </c>
      <c r="K1968" s="97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inlineStr">
        <is>
          <t>Nao</t>
        </is>
      </c>
      <c r="W1968" s="110" t="inlineStr">
        <is>
          <t>PC em analise</t>
        </is>
      </c>
      <c r="X1968" s="110" t="inlineStr">
        <is>
          <t>Pedido de Compra</t>
        </is>
      </c>
      <c r="Y1968" s="111" t="inlineStr">
        <is>
          <t>Impacto Potencial</t>
        </is>
      </c>
      <c r="Z1968" s="111" t="inlineStr">
        <is>
          <t>PC</t>
        </is>
      </c>
      <c r="AA1968" s="111" t="inlineStr">
        <is>
          <t>Nao</t>
        </is>
      </c>
      <c r="AB1968" s="111" t="inlineStr">
        <is>
          <t>NAO_COMPUTADO</t>
        </is>
      </c>
      <c r="AC1968" s="112" t="inlineStr">
        <is>
          <t>Estrutura Fase 1: sem impacto no VTA oficial</t>
        </is>
      </c>
    </row>
    <row r="1969" ht="25.5" customHeight="1" s="289">
      <c r="A1969" s="205" t="n"/>
      <c r="B1969" s="207" t="n"/>
      <c r="C1969" s="104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348" t="n"/>
      <c r="E1969" s="349">
        <f>IF(C1969="","",IFERROR(VLOOKUP(C1969,parametros!$A$11:$E$15,5,0),""))</f>
        <v/>
      </c>
      <c r="F1969" s="335">
        <f>IF(OR(D1969="",E1969=""),"",ROUND(D1969*E1969,2))</f>
        <v/>
      </c>
      <c r="G1969" s="106" t="n"/>
      <c r="H1969" s="350">
        <f>IF(G1969="Sim",IF(OR(F1969="",D1969="",L1969=""),"",IF(L1969="Sim",ROUND(F1969-D1969,2),0)),0)</f>
        <v/>
      </c>
      <c r="I1969" s="350">
        <f>IF(G1969="Sim",0,IF(OR(F1969="",L1969=""),"",F1969))</f>
        <v/>
      </c>
      <c r="J1969" s="350">
        <f>IF(G1969="Sim",0,IF(OR(F1969="",D1969="",L1969=""),"",IF(L1969="Sim",ROUND(F1969-D1969,2),0)))</f>
        <v/>
      </c>
      <c r="K1969" s="97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inlineStr">
        <is>
          <t>Nao</t>
        </is>
      </c>
      <c r="W1969" s="110" t="inlineStr">
        <is>
          <t>PC em analise</t>
        </is>
      </c>
      <c r="X1969" s="110" t="inlineStr">
        <is>
          <t>Pedido de Compra</t>
        </is>
      </c>
      <c r="Y1969" s="111" t="inlineStr">
        <is>
          <t>Impacto Potencial</t>
        </is>
      </c>
      <c r="Z1969" s="111" t="inlineStr">
        <is>
          <t>PC</t>
        </is>
      </c>
      <c r="AA1969" s="111" t="inlineStr">
        <is>
          <t>Nao</t>
        </is>
      </c>
      <c r="AB1969" s="111" t="inlineStr">
        <is>
          <t>NAO_COMPUTADO</t>
        </is>
      </c>
      <c r="AC1969" s="112" t="inlineStr">
        <is>
          <t>Estrutura Fase 1: sem impacto no VTA oficial</t>
        </is>
      </c>
    </row>
    <row r="1970" ht="25.5" customHeight="1" s="289">
      <c r="A1970" s="205" t="n"/>
      <c r="B1970" s="207" t="n"/>
      <c r="C1970" s="104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348" t="n"/>
      <c r="E1970" s="349">
        <f>IF(C1970="","",IFERROR(VLOOKUP(C1970,parametros!$A$11:$E$15,5,0),""))</f>
        <v/>
      </c>
      <c r="F1970" s="335">
        <f>IF(OR(D1970="",E1970=""),"",ROUND(D1970*E1970,2))</f>
        <v/>
      </c>
      <c r="G1970" s="106" t="n"/>
      <c r="H1970" s="350">
        <f>IF(G1970="Sim",IF(OR(F1970="",D1970="",L1970=""),"",IF(L1970="Sim",ROUND(F1970-D1970,2),0)),0)</f>
        <v/>
      </c>
      <c r="I1970" s="350">
        <f>IF(G1970="Sim",0,IF(OR(F1970="",L1970=""),"",F1970))</f>
        <v/>
      </c>
      <c r="J1970" s="350">
        <f>IF(G1970="Sim",0,IF(OR(F1970="",D1970="",L1970=""),"",IF(L1970="Sim",ROUND(F1970-D1970,2),0)))</f>
        <v/>
      </c>
      <c r="K1970" s="97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inlineStr">
        <is>
          <t>Nao</t>
        </is>
      </c>
      <c r="W1970" s="110" t="inlineStr">
        <is>
          <t>PC em analise</t>
        </is>
      </c>
      <c r="X1970" s="110" t="inlineStr">
        <is>
          <t>Pedido de Compra</t>
        </is>
      </c>
      <c r="Y1970" s="111" t="inlineStr">
        <is>
          <t>Impacto Potencial</t>
        </is>
      </c>
      <c r="Z1970" s="111" t="inlineStr">
        <is>
          <t>PC</t>
        </is>
      </c>
      <c r="AA1970" s="111" t="inlineStr">
        <is>
          <t>Nao</t>
        </is>
      </c>
      <c r="AB1970" s="111" t="inlineStr">
        <is>
          <t>NAO_COMPUTADO</t>
        </is>
      </c>
      <c r="AC1970" s="112" t="inlineStr">
        <is>
          <t>Estrutura Fase 1: sem impacto no VTA oficial</t>
        </is>
      </c>
    </row>
    <row r="1971" ht="25.5" customHeight="1" s="289">
      <c r="A1971" s="205" t="n"/>
      <c r="B1971" s="207" t="n"/>
      <c r="C1971" s="104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348" t="n"/>
      <c r="E1971" s="349">
        <f>IF(C1971="","",IFERROR(VLOOKUP(C1971,parametros!$A$11:$E$15,5,0),""))</f>
        <v/>
      </c>
      <c r="F1971" s="335">
        <f>IF(OR(D1971="",E1971=""),"",ROUND(D1971*E1971,2))</f>
        <v/>
      </c>
      <c r="G1971" s="106" t="n"/>
      <c r="H1971" s="350">
        <f>IF(G1971="Sim",IF(OR(F1971="",D1971="",L1971=""),"",IF(L1971="Sim",ROUND(F1971-D1971,2),0)),0)</f>
        <v/>
      </c>
      <c r="I1971" s="350">
        <f>IF(G1971="Sim",0,IF(OR(F1971="",L1971=""),"",F1971))</f>
        <v/>
      </c>
      <c r="J1971" s="350">
        <f>IF(G1971="Sim",0,IF(OR(F1971="",D1971="",L1971=""),"",IF(L1971="Sim",ROUND(F1971-D1971,2),0)))</f>
        <v/>
      </c>
      <c r="K1971" s="97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inlineStr">
        <is>
          <t>Nao</t>
        </is>
      </c>
      <c r="W1971" s="110" t="inlineStr">
        <is>
          <t>PC em analise</t>
        </is>
      </c>
      <c r="X1971" s="110" t="inlineStr">
        <is>
          <t>Pedido de Compra</t>
        </is>
      </c>
      <c r="Y1971" s="111" t="inlineStr">
        <is>
          <t>Impacto Potencial</t>
        </is>
      </c>
      <c r="Z1971" s="111" t="inlineStr">
        <is>
          <t>PC</t>
        </is>
      </c>
      <c r="AA1971" s="111" t="inlineStr">
        <is>
          <t>Nao</t>
        </is>
      </c>
      <c r="AB1971" s="111" t="inlineStr">
        <is>
          <t>NAO_COMPUTADO</t>
        </is>
      </c>
      <c r="AC1971" s="112" t="inlineStr">
        <is>
          <t>Estrutura Fase 1: sem impacto no VTA oficial</t>
        </is>
      </c>
    </row>
    <row r="1972" ht="25.5" customHeight="1" s="289">
      <c r="A1972" s="205" t="n"/>
      <c r="B1972" s="207" t="n"/>
      <c r="C1972" s="104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348" t="n"/>
      <c r="E1972" s="349">
        <f>IF(C1972="","",IFERROR(VLOOKUP(C1972,parametros!$A$11:$E$15,5,0),""))</f>
        <v/>
      </c>
      <c r="F1972" s="335">
        <f>IF(OR(D1972="",E1972=""),"",ROUND(D1972*E1972,2))</f>
        <v/>
      </c>
      <c r="G1972" s="106" t="n"/>
      <c r="H1972" s="350">
        <f>IF(G1972="Sim",IF(OR(F1972="",D1972="",L1972=""),"",IF(L1972="Sim",ROUND(F1972-D1972,2),0)),0)</f>
        <v/>
      </c>
      <c r="I1972" s="350">
        <f>IF(G1972="Sim",0,IF(OR(F1972="",L1972=""),"",F1972))</f>
        <v/>
      </c>
      <c r="J1972" s="350">
        <f>IF(G1972="Sim",0,IF(OR(F1972="",D1972="",L1972=""),"",IF(L1972="Sim",ROUND(F1972-D1972,2),0)))</f>
        <v/>
      </c>
      <c r="K1972" s="97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inlineStr">
        <is>
          <t>Nao</t>
        </is>
      </c>
      <c r="W1972" s="110" t="inlineStr">
        <is>
          <t>PC em analise</t>
        </is>
      </c>
      <c r="X1972" s="110" t="inlineStr">
        <is>
          <t>Pedido de Compra</t>
        </is>
      </c>
      <c r="Y1972" s="111" t="inlineStr">
        <is>
          <t>Impacto Potencial</t>
        </is>
      </c>
      <c r="Z1972" s="111" t="inlineStr">
        <is>
          <t>PC</t>
        </is>
      </c>
      <c r="AA1972" s="111" t="inlineStr">
        <is>
          <t>Nao</t>
        </is>
      </c>
      <c r="AB1972" s="111" t="inlineStr">
        <is>
          <t>NAO_COMPUTADO</t>
        </is>
      </c>
      <c r="AC1972" s="112" t="inlineStr">
        <is>
          <t>Estrutura Fase 1: sem impacto no VTA oficial</t>
        </is>
      </c>
    </row>
    <row r="1973" ht="25.5" customHeight="1" s="289">
      <c r="A1973" s="205" t="n"/>
      <c r="B1973" s="207" t="n"/>
      <c r="C1973" s="104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348" t="n"/>
      <c r="E1973" s="349">
        <f>IF(C1973="","",IFERROR(VLOOKUP(C1973,parametros!$A$11:$E$15,5,0),""))</f>
        <v/>
      </c>
      <c r="F1973" s="335">
        <f>IF(OR(D1973="",E1973=""),"",ROUND(D1973*E1973,2))</f>
        <v/>
      </c>
      <c r="G1973" s="106" t="n"/>
      <c r="H1973" s="350">
        <f>IF(G1973="Sim",IF(OR(F1973="",D1973="",L1973=""),"",IF(L1973="Sim",ROUND(F1973-D1973,2),0)),0)</f>
        <v/>
      </c>
      <c r="I1973" s="350">
        <f>IF(G1973="Sim",0,IF(OR(F1973="",L1973=""),"",F1973))</f>
        <v/>
      </c>
      <c r="J1973" s="350">
        <f>IF(G1973="Sim",0,IF(OR(F1973="",D1973="",L1973=""),"",IF(L1973="Sim",ROUND(F1973-D1973,2),0)))</f>
        <v/>
      </c>
      <c r="K1973" s="97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inlineStr">
        <is>
          <t>Nao</t>
        </is>
      </c>
      <c r="W1973" s="110" t="inlineStr">
        <is>
          <t>PC em analise</t>
        </is>
      </c>
      <c r="X1973" s="110" t="inlineStr">
        <is>
          <t>Pedido de Compra</t>
        </is>
      </c>
      <c r="Y1973" s="111" t="inlineStr">
        <is>
          <t>Impacto Potencial</t>
        </is>
      </c>
      <c r="Z1973" s="111" t="inlineStr">
        <is>
          <t>PC</t>
        </is>
      </c>
      <c r="AA1973" s="111" t="inlineStr">
        <is>
          <t>Nao</t>
        </is>
      </c>
      <c r="AB1973" s="111" t="inlineStr">
        <is>
          <t>NAO_COMPUTADO</t>
        </is>
      </c>
      <c r="AC1973" s="112" t="inlineStr">
        <is>
          <t>Estrutura Fase 1: sem impacto no VTA oficial</t>
        </is>
      </c>
    </row>
    <row r="1974" ht="25.5" customHeight="1" s="289">
      <c r="A1974" s="205" t="n"/>
      <c r="B1974" s="207" t="n"/>
      <c r="C1974" s="104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348" t="n"/>
      <c r="E1974" s="349">
        <f>IF(C1974="","",IFERROR(VLOOKUP(C1974,parametros!$A$11:$E$15,5,0),""))</f>
        <v/>
      </c>
      <c r="F1974" s="335">
        <f>IF(OR(D1974="",E1974=""),"",ROUND(D1974*E1974,2))</f>
        <v/>
      </c>
      <c r="G1974" s="106" t="n"/>
      <c r="H1974" s="350">
        <f>IF(G1974="Sim",IF(OR(F1974="",D1974="",L1974=""),"",IF(L1974="Sim",ROUND(F1974-D1974,2),0)),0)</f>
        <v/>
      </c>
      <c r="I1974" s="350">
        <f>IF(G1974="Sim",0,IF(OR(F1974="",L1974=""),"",F1974))</f>
        <v/>
      </c>
      <c r="J1974" s="350">
        <f>IF(G1974="Sim",0,IF(OR(F1974="",D1974="",L1974=""),"",IF(L1974="Sim",ROUND(F1974-D1974,2),0)))</f>
        <v/>
      </c>
      <c r="K1974" s="97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inlineStr">
        <is>
          <t>Nao</t>
        </is>
      </c>
      <c r="W1974" s="110" t="inlineStr">
        <is>
          <t>PC em analise</t>
        </is>
      </c>
      <c r="X1974" s="110" t="inlineStr">
        <is>
          <t>Pedido de Compra</t>
        </is>
      </c>
      <c r="Y1974" s="111" t="inlineStr">
        <is>
          <t>Impacto Potencial</t>
        </is>
      </c>
      <c r="Z1974" s="111" t="inlineStr">
        <is>
          <t>PC</t>
        </is>
      </c>
      <c r="AA1974" s="111" t="inlineStr">
        <is>
          <t>Nao</t>
        </is>
      </c>
      <c r="AB1974" s="111" t="inlineStr">
        <is>
          <t>NAO_COMPUTADO</t>
        </is>
      </c>
      <c r="AC1974" s="112" t="inlineStr">
        <is>
          <t>Estrutura Fase 1: sem impacto no VTA oficial</t>
        </is>
      </c>
    </row>
    <row r="1975" ht="25.5" customHeight="1" s="289">
      <c r="A1975" s="205" t="n"/>
      <c r="B1975" s="207" t="n"/>
      <c r="C1975" s="104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348" t="n"/>
      <c r="E1975" s="349">
        <f>IF(C1975="","",IFERROR(VLOOKUP(C1975,parametros!$A$11:$E$15,5,0),""))</f>
        <v/>
      </c>
      <c r="F1975" s="335">
        <f>IF(OR(D1975="",E1975=""),"",ROUND(D1975*E1975,2))</f>
        <v/>
      </c>
      <c r="G1975" s="106" t="n"/>
      <c r="H1975" s="350">
        <f>IF(G1975="Sim",IF(OR(F1975="",D1975="",L1975=""),"",IF(L1975="Sim",ROUND(F1975-D1975,2),0)),0)</f>
        <v/>
      </c>
      <c r="I1975" s="350">
        <f>IF(G1975="Sim",0,IF(OR(F1975="",L1975=""),"",F1975))</f>
        <v/>
      </c>
      <c r="J1975" s="350">
        <f>IF(G1975="Sim",0,IF(OR(F1975="",D1975="",L1975=""),"",IF(L1975="Sim",ROUND(F1975-D1975,2),0)))</f>
        <v/>
      </c>
      <c r="K1975" s="97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inlineStr">
        <is>
          <t>Nao</t>
        </is>
      </c>
      <c r="W1975" s="110" t="inlineStr">
        <is>
          <t>PC em analise</t>
        </is>
      </c>
      <c r="X1975" s="110" t="inlineStr">
        <is>
          <t>Pedido de Compra</t>
        </is>
      </c>
      <c r="Y1975" s="111" t="inlineStr">
        <is>
          <t>Impacto Potencial</t>
        </is>
      </c>
      <c r="Z1975" s="111" t="inlineStr">
        <is>
          <t>PC</t>
        </is>
      </c>
      <c r="AA1975" s="111" t="inlineStr">
        <is>
          <t>Nao</t>
        </is>
      </c>
      <c r="AB1975" s="111" t="inlineStr">
        <is>
          <t>NAO_COMPUTADO</t>
        </is>
      </c>
      <c r="AC1975" s="112" t="inlineStr">
        <is>
          <t>Estrutura Fase 1: sem impacto no VTA oficial</t>
        </is>
      </c>
    </row>
    <row r="1976" ht="25.5" customHeight="1" s="289">
      <c r="A1976" s="205" t="n"/>
      <c r="B1976" s="207" t="n"/>
      <c r="C1976" s="104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348" t="n"/>
      <c r="E1976" s="349">
        <f>IF(C1976="","",IFERROR(VLOOKUP(C1976,parametros!$A$11:$E$15,5,0),""))</f>
        <v/>
      </c>
      <c r="F1976" s="335">
        <f>IF(OR(D1976="",E1976=""),"",ROUND(D1976*E1976,2))</f>
        <v/>
      </c>
      <c r="G1976" s="106" t="n"/>
      <c r="H1976" s="350">
        <f>IF(G1976="Sim",IF(OR(F1976="",D1976="",L1976=""),"",IF(L1976="Sim",ROUND(F1976-D1976,2),0)),0)</f>
        <v/>
      </c>
      <c r="I1976" s="350">
        <f>IF(G1976="Sim",0,IF(OR(F1976="",L1976=""),"",F1976))</f>
        <v/>
      </c>
      <c r="J1976" s="350">
        <f>IF(G1976="Sim",0,IF(OR(F1976="",D1976="",L1976=""),"",IF(L1976="Sim",ROUND(F1976-D1976,2),0)))</f>
        <v/>
      </c>
      <c r="K1976" s="97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inlineStr">
        <is>
          <t>Nao</t>
        </is>
      </c>
      <c r="W1976" s="110" t="inlineStr">
        <is>
          <t>PC em analise</t>
        </is>
      </c>
      <c r="X1976" s="110" t="inlineStr">
        <is>
          <t>Pedido de Compra</t>
        </is>
      </c>
      <c r="Y1976" s="111" t="inlineStr">
        <is>
          <t>Impacto Potencial</t>
        </is>
      </c>
      <c r="Z1976" s="111" t="inlineStr">
        <is>
          <t>PC</t>
        </is>
      </c>
      <c r="AA1976" s="111" t="inlineStr">
        <is>
          <t>Nao</t>
        </is>
      </c>
      <c r="AB1976" s="111" t="inlineStr">
        <is>
          <t>NAO_COMPUTADO</t>
        </is>
      </c>
      <c r="AC1976" s="112" t="inlineStr">
        <is>
          <t>Estrutura Fase 1: sem impacto no VTA oficial</t>
        </is>
      </c>
    </row>
    <row r="1977" ht="25.5" customHeight="1" s="289">
      <c r="A1977" s="205" t="n"/>
      <c r="B1977" s="207" t="n"/>
      <c r="C1977" s="104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348" t="n"/>
      <c r="E1977" s="349">
        <f>IF(C1977="","",IFERROR(VLOOKUP(C1977,parametros!$A$11:$E$15,5,0),""))</f>
        <v/>
      </c>
      <c r="F1977" s="335">
        <f>IF(OR(D1977="",E1977=""),"",ROUND(D1977*E1977,2))</f>
        <v/>
      </c>
      <c r="G1977" s="106" t="n"/>
      <c r="H1977" s="350">
        <f>IF(G1977="Sim",IF(OR(F1977="",D1977="",L1977=""),"",IF(L1977="Sim",ROUND(F1977-D1977,2),0)),0)</f>
        <v/>
      </c>
      <c r="I1977" s="350">
        <f>IF(G1977="Sim",0,IF(OR(F1977="",L1977=""),"",F1977))</f>
        <v/>
      </c>
      <c r="J1977" s="350">
        <f>IF(G1977="Sim",0,IF(OR(F1977="",D1977="",L1977=""),"",IF(L1977="Sim",ROUND(F1977-D1977,2),0)))</f>
        <v/>
      </c>
      <c r="K1977" s="97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inlineStr">
        <is>
          <t>Nao</t>
        </is>
      </c>
      <c r="W1977" s="110" t="inlineStr">
        <is>
          <t>PC em analise</t>
        </is>
      </c>
      <c r="X1977" s="110" t="inlineStr">
        <is>
          <t>Pedido de Compra</t>
        </is>
      </c>
      <c r="Y1977" s="111" t="inlineStr">
        <is>
          <t>Impacto Potencial</t>
        </is>
      </c>
      <c r="Z1977" s="111" t="inlineStr">
        <is>
          <t>PC</t>
        </is>
      </c>
      <c r="AA1977" s="111" t="inlineStr">
        <is>
          <t>Nao</t>
        </is>
      </c>
      <c r="AB1977" s="111" t="inlineStr">
        <is>
          <t>NAO_COMPUTADO</t>
        </is>
      </c>
      <c r="AC1977" s="112" t="inlineStr">
        <is>
          <t>Estrutura Fase 1: sem impacto no VTA oficial</t>
        </is>
      </c>
    </row>
    <row r="1978" ht="25.5" customHeight="1" s="289">
      <c r="A1978" s="205" t="n"/>
      <c r="B1978" s="207" t="n"/>
      <c r="C1978" s="104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348" t="n"/>
      <c r="E1978" s="349">
        <f>IF(C1978="","",IFERROR(VLOOKUP(C1978,parametros!$A$11:$E$15,5,0),""))</f>
        <v/>
      </c>
      <c r="F1978" s="335">
        <f>IF(OR(D1978="",E1978=""),"",ROUND(D1978*E1978,2))</f>
        <v/>
      </c>
      <c r="G1978" s="106" t="n"/>
      <c r="H1978" s="350">
        <f>IF(G1978="Sim",IF(OR(F1978="",D1978="",L1978=""),"",IF(L1978="Sim",ROUND(F1978-D1978,2),0)),0)</f>
        <v/>
      </c>
      <c r="I1978" s="350">
        <f>IF(G1978="Sim",0,IF(OR(F1978="",L1978=""),"",F1978))</f>
        <v/>
      </c>
      <c r="J1978" s="350">
        <f>IF(G1978="Sim",0,IF(OR(F1978="",D1978="",L1978=""),"",IF(L1978="Sim",ROUND(F1978-D1978,2),0)))</f>
        <v/>
      </c>
      <c r="K1978" s="97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inlineStr">
        <is>
          <t>Nao</t>
        </is>
      </c>
      <c r="W1978" s="110" t="inlineStr">
        <is>
          <t>PC em analise</t>
        </is>
      </c>
      <c r="X1978" s="110" t="inlineStr">
        <is>
          <t>Pedido de Compra</t>
        </is>
      </c>
      <c r="Y1978" s="111" t="inlineStr">
        <is>
          <t>Impacto Potencial</t>
        </is>
      </c>
      <c r="Z1978" s="111" t="inlineStr">
        <is>
          <t>PC</t>
        </is>
      </c>
      <c r="AA1978" s="111" t="inlineStr">
        <is>
          <t>Nao</t>
        </is>
      </c>
      <c r="AB1978" s="111" t="inlineStr">
        <is>
          <t>NAO_COMPUTADO</t>
        </is>
      </c>
      <c r="AC1978" s="112" t="inlineStr">
        <is>
          <t>Estrutura Fase 1: sem impacto no VTA oficial</t>
        </is>
      </c>
    </row>
    <row r="1979" ht="25.5" customHeight="1" s="289">
      <c r="A1979" s="205" t="n"/>
      <c r="B1979" s="207" t="n"/>
      <c r="C1979" s="104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348" t="n"/>
      <c r="E1979" s="349">
        <f>IF(C1979="","",IFERROR(VLOOKUP(C1979,parametros!$A$11:$E$15,5,0),""))</f>
        <v/>
      </c>
      <c r="F1979" s="335">
        <f>IF(OR(D1979="",E1979=""),"",ROUND(D1979*E1979,2))</f>
        <v/>
      </c>
      <c r="G1979" s="106" t="n"/>
      <c r="H1979" s="350">
        <f>IF(G1979="Sim",IF(OR(F1979="",D1979="",L1979=""),"",IF(L1979="Sim",ROUND(F1979-D1979,2),0)),0)</f>
        <v/>
      </c>
      <c r="I1979" s="350">
        <f>IF(G1979="Sim",0,IF(OR(F1979="",L1979=""),"",F1979))</f>
        <v/>
      </c>
      <c r="J1979" s="350">
        <f>IF(G1979="Sim",0,IF(OR(F1979="",D1979="",L1979=""),"",IF(L1979="Sim",ROUND(F1979-D1979,2),0)))</f>
        <v/>
      </c>
      <c r="K1979" s="97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inlineStr">
        <is>
          <t>Nao</t>
        </is>
      </c>
      <c r="W1979" s="110" t="inlineStr">
        <is>
          <t>PC em analise</t>
        </is>
      </c>
      <c r="X1979" s="110" t="inlineStr">
        <is>
          <t>Pedido de Compra</t>
        </is>
      </c>
      <c r="Y1979" s="111" t="inlineStr">
        <is>
          <t>Impacto Potencial</t>
        </is>
      </c>
      <c r="Z1979" s="111" t="inlineStr">
        <is>
          <t>PC</t>
        </is>
      </c>
      <c r="AA1979" s="111" t="inlineStr">
        <is>
          <t>Nao</t>
        </is>
      </c>
      <c r="AB1979" s="111" t="inlineStr">
        <is>
          <t>NAO_COMPUTADO</t>
        </is>
      </c>
      <c r="AC1979" s="112" t="inlineStr">
        <is>
          <t>Estrutura Fase 1: sem impacto no VTA oficial</t>
        </is>
      </c>
    </row>
    <row r="1980" ht="25.5" customHeight="1" s="289">
      <c r="A1980" s="205" t="n"/>
      <c r="B1980" s="207" t="n"/>
      <c r="C1980" s="104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348" t="n"/>
      <c r="E1980" s="349">
        <f>IF(C1980="","",IFERROR(VLOOKUP(C1980,parametros!$A$11:$E$15,5,0),""))</f>
        <v/>
      </c>
      <c r="F1980" s="335">
        <f>IF(OR(D1980="",E1980=""),"",ROUND(D1980*E1980,2))</f>
        <v/>
      </c>
      <c r="G1980" s="106" t="n"/>
      <c r="H1980" s="350">
        <f>IF(G1980="Sim",IF(OR(F1980="",D1980="",L1980=""),"",IF(L1980="Sim",ROUND(F1980-D1980,2),0)),0)</f>
        <v/>
      </c>
      <c r="I1980" s="350">
        <f>IF(G1980="Sim",0,IF(OR(F1980="",L1980=""),"",F1980))</f>
        <v/>
      </c>
      <c r="J1980" s="350">
        <f>IF(G1980="Sim",0,IF(OR(F1980="",D1980="",L1980=""),"",IF(L1980="Sim",ROUND(F1980-D1980,2),0)))</f>
        <v/>
      </c>
      <c r="K1980" s="97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inlineStr">
        <is>
          <t>Nao</t>
        </is>
      </c>
      <c r="W1980" s="110" t="inlineStr">
        <is>
          <t>PC em analise</t>
        </is>
      </c>
      <c r="X1980" s="110" t="inlineStr">
        <is>
          <t>Pedido de Compra</t>
        </is>
      </c>
      <c r="Y1980" s="111" t="inlineStr">
        <is>
          <t>Impacto Potencial</t>
        </is>
      </c>
      <c r="Z1980" s="111" t="inlineStr">
        <is>
          <t>PC</t>
        </is>
      </c>
      <c r="AA1980" s="111" t="inlineStr">
        <is>
          <t>Nao</t>
        </is>
      </c>
      <c r="AB1980" s="111" t="inlineStr">
        <is>
          <t>NAO_COMPUTADO</t>
        </is>
      </c>
      <c r="AC1980" s="112" t="inlineStr">
        <is>
          <t>Estrutura Fase 1: sem impacto no VTA oficial</t>
        </is>
      </c>
    </row>
    <row r="1981" ht="25.5" customHeight="1" s="289">
      <c r="A1981" s="205" t="n"/>
      <c r="B1981" s="207" t="n"/>
      <c r="C1981" s="104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348" t="n"/>
      <c r="E1981" s="349">
        <f>IF(C1981="","",IFERROR(VLOOKUP(C1981,parametros!$A$11:$E$15,5,0),""))</f>
        <v/>
      </c>
      <c r="F1981" s="335">
        <f>IF(OR(D1981="",E1981=""),"",ROUND(D1981*E1981,2))</f>
        <v/>
      </c>
      <c r="G1981" s="106" t="n"/>
      <c r="H1981" s="350">
        <f>IF(G1981="Sim",IF(OR(F1981="",D1981="",L1981=""),"",IF(L1981="Sim",ROUND(F1981-D1981,2),0)),0)</f>
        <v/>
      </c>
      <c r="I1981" s="350">
        <f>IF(G1981="Sim",0,IF(OR(F1981="",L1981=""),"",F1981))</f>
        <v/>
      </c>
      <c r="J1981" s="350">
        <f>IF(G1981="Sim",0,IF(OR(F1981="",D1981="",L1981=""),"",IF(L1981="Sim",ROUND(F1981-D1981,2),0)))</f>
        <v/>
      </c>
      <c r="K1981" s="97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inlineStr">
        <is>
          <t>Nao</t>
        </is>
      </c>
      <c r="W1981" s="110" t="inlineStr">
        <is>
          <t>PC em analise</t>
        </is>
      </c>
      <c r="X1981" s="110" t="inlineStr">
        <is>
          <t>Pedido de Compra</t>
        </is>
      </c>
      <c r="Y1981" s="111" t="inlineStr">
        <is>
          <t>Impacto Potencial</t>
        </is>
      </c>
      <c r="Z1981" s="111" t="inlineStr">
        <is>
          <t>PC</t>
        </is>
      </c>
      <c r="AA1981" s="111" t="inlineStr">
        <is>
          <t>Nao</t>
        </is>
      </c>
      <c r="AB1981" s="111" t="inlineStr">
        <is>
          <t>NAO_COMPUTADO</t>
        </is>
      </c>
      <c r="AC1981" s="112" t="inlineStr">
        <is>
          <t>Estrutura Fase 1: sem impacto no VTA oficial</t>
        </is>
      </c>
    </row>
    <row r="1982" ht="25.5" customHeight="1" s="289">
      <c r="A1982" s="205" t="n"/>
      <c r="B1982" s="207" t="n"/>
      <c r="C1982" s="104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348" t="n"/>
      <c r="E1982" s="349">
        <f>IF(C1982="","",IFERROR(VLOOKUP(C1982,parametros!$A$11:$E$15,5,0),""))</f>
        <v/>
      </c>
      <c r="F1982" s="335">
        <f>IF(OR(D1982="",E1982=""),"",ROUND(D1982*E1982,2))</f>
        <v/>
      </c>
      <c r="G1982" s="106" t="n"/>
      <c r="H1982" s="350">
        <f>IF(G1982="Sim",IF(OR(F1982="",D1982="",L1982=""),"",IF(L1982="Sim",ROUND(F1982-D1982,2),0)),0)</f>
        <v/>
      </c>
      <c r="I1982" s="350">
        <f>IF(G1982="Sim",0,IF(OR(F1982="",L1982=""),"",F1982))</f>
        <v/>
      </c>
      <c r="J1982" s="350">
        <f>IF(G1982="Sim",0,IF(OR(F1982="",D1982="",L1982=""),"",IF(L1982="Sim",ROUND(F1982-D1982,2),0)))</f>
        <v/>
      </c>
      <c r="K1982" s="97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inlineStr">
        <is>
          <t>Nao</t>
        </is>
      </c>
      <c r="W1982" s="110" t="inlineStr">
        <is>
          <t>PC em analise</t>
        </is>
      </c>
      <c r="X1982" s="110" t="inlineStr">
        <is>
          <t>Pedido de Compra</t>
        </is>
      </c>
      <c r="Y1982" s="111" t="inlineStr">
        <is>
          <t>Impacto Potencial</t>
        </is>
      </c>
      <c r="Z1982" s="111" t="inlineStr">
        <is>
          <t>PC</t>
        </is>
      </c>
      <c r="AA1982" s="111" t="inlineStr">
        <is>
          <t>Nao</t>
        </is>
      </c>
      <c r="AB1982" s="111" t="inlineStr">
        <is>
          <t>NAO_COMPUTADO</t>
        </is>
      </c>
      <c r="AC1982" s="112" t="inlineStr">
        <is>
          <t>Estrutura Fase 1: sem impacto no VTA oficial</t>
        </is>
      </c>
    </row>
    <row r="1983" ht="25.5" customHeight="1" s="289">
      <c r="A1983" s="205" t="n"/>
      <c r="B1983" s="207" t="n"/>
      <c r="C1983" s="104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348" t="n"/>
      <c r="E1983" s="349">
        <f>IF(C1983="","",IFERROR(VLOOKUP(C1983,parametros!$A$11:$E$15,5,0),""))</f>
        <v/>
      </c>
      <c r="F1983" s="335">
        <f>IF(OR(D1983="",E1983=""),"",ROUND(D1983*E1983,2))</f>
        <v/>
      </c>
      <c r="G1983" s="106" t="n"/>
      <c r="H1983" s="350">
        <f>IF(G1983="Sim",IF(OR(F1983="",D1983="",L1983=""),"",IF(L1983="Sim",ROUND(F1983-D1983,2),0)),0)</f>
        <v/>
      </c>
      <c r="I1983" s="350">
        <f>IF(G1983="Sim",0,IF(OR(F1983="",L1983=""),"",F1983))</f>
        <v/>
      </c>
      <c r="J1983" s="350">
        <f>IF(G1983="Sim",0,IF(OR(F1983="",D1983="",L1983=""),"",IF(L1983="Sim",ROUND(F1983-D1983,2),0)))</f>
        <v/>
      </c>
      <c r="K1983" s="97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inlineStr">
        <is>
          <t>Nao</t>
        </is>
      </c>
      <c r="W1983" s="110" t="inlineStr">
        <is>
          <t>PC em analise</t>
        </is>
      </c>
      <c r="X1983" s="110" t="inlineStr">
        <is>
          <t>Pedido de Compra</t>
        </is>
      </c>
      <c r="Y1983" s="111" t="inlineStr">
        <is>
          <t>Impacto Potencial</t>
        </is>
      </c>
      <c r="Z1983" s="111" t="inlineStr">
        <is>
          <t>PC</t>
        </is>
      </c>
      <c r="AA1983" s="111" t="inlineStr">
        <is>
          <t>Nao</t>
        </is>
      </c>
      <c r="AB1983" s="111" t="inlineStr">
        <is>
          <t>NAO_COMPUTADO</t>
        </is>
      </c>
      <c r="AC1983" s="112" t="inlineStr">
        <is>
          <t>Estrutura Fase 1: sem impacto no VTA oficial</t>
        </is>
      </c>
    </row>
    <row r="1984" ht="25.5" customHeight="1" s="289">
      <c r="A1984" s="205" t="n"/>
      <c r="B1984" s="207" t="n"/>
      <c r="C1984" s="104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348" t="n"/>
      <c r="E1984" s="349">
        <f>IF(C1984="","",IFERROR(VLOOKUP(C1984,parametros!$A$11:$E$15,5,0),""))</f>
        <v/>
      </c>
      <c r="F1984" s="335">
        <f>IF(OR(D1984="",E1984=""),"",ROUND(D1984*E1984,2))</f>
        <v/>
      </c>
      <c r="G1984" s="106" t="n"/>
      <c r="H1984" s="350">
        <f>IF(G1984="Sim",IF(OR(F1984="",D1984="",L1984=""),"",IF(L1984="Sim",ROUND(F1984-D1984,2),0)),0)</f>
        <v/>
      </c>
      <c r="I1984" s="350">
        <f>IF(G1984="Sim",0,IF(OR(F1984="",L1984=""),"",F1984))</f>
        <v/>
      </c>
      <c r="J1984" s="350">
        <f>IF(G1984="Sim",0,IF(OR(F1984="",D1984="",L1984=""),"",IF(L1984="Sim",ROUND(F1984-D1984,2),0)))</f>
        <v/>
      </c>
      <c r="K1984" s="97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inlineStr">
        <is>
          <t>Nao</t>
        </is>
      </c>
      <c r="W1984" s="110" t="inlineStr">
        <is>
          <t>PC em analise</t>
        </is>
      </c>
      <c r="X1984" s="110" t="inlineStr">
        <is>
          <t>Pedido de Compra</t>
        </is>
      </c>
      <c r="Y1984" s="111" t="inlineStr">
        <is>
          <t>Impacto Potencial</t>
        </is>
      </c>
      <c r="Z1984" s="111" t="inlineStr">
        <is>
          <t>PC</t>
        </is>
      </c>
      <c r="AA1984" s="111" t="inlineStr">
        <is>
          <t>Nao</t>
        </is>
      </c>
      <c r="AB1984" s="111" t="inlineStr">
        <is>
          <t>NAO_COMPUTADO</t>
        </is>
      </c>
      <c r="AC1984" s="112" t="inlineStr">
        <is>
          <t>Estrutura Fase 1: sem impacto no VTA oficial</t>
        </is>
      </c>
    </row>
    <row r="1985" ht="25.5" customHeight="1" s="289">
      <c r="A1985" s="205" t="n"/>
      <c r="B1985" s="207" t="n"/>
      <c r="C1985" s="104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348" t="n"/>
      <c r="E1985" s="349">
        <f>IF(C1985="","",IFERROR(VLOOKUP(C1985,parametros!$A$11:$E$15,5,0),""))</f>
        <v/>
      </c>
      <c r="F1985" s="335">
        <f>IF(OR(D1985="",E1985=""),"",ROUND(D1985*E1985,2))</f>
        <v/>
      </c>
      <c r="G1985" s="106" t="n"/>
      <c r="H1985" s="350">
        <f>IF(G1985="Sim",IF(OR(F1985="",D1985="",L1985=""),"",IF(L1985="Sim",ROUND(F1985-D1985,2),0)),0)</f>
        <v/>
      </c>
      <c r="I1985" s="350">
        <f>IF(G1985="Sim",0,IF(OR(F1985="",L1985=""),"",F1985))</f>
        <v/>
      </c>
      <c r="J1985" s="350">
        <f>IF(G1985="Sim",0,IF(OR(F1985="",D1985="",L1985=""),"",IF(L1985="Sim",ROUND(F1985-D1985,2),0)))</f>
        <v/>
      </c>
      <c r="K1985" s="97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inlineStr">
        <is>
          <t>Nao</t>
        </is>
      </c>
      <c r="W1985" s="110" t="inlineStr">
        <is>
          <t>PC em analise</t>
        </is>
      </c>
      <c r="X1985" s="110" t="inlineStr">
        <is>
          <t>Pedido de Compra</t>
        </is>
      </c>
      <c r="Y1985" s="111" t="inlineStr">
        <is>
          <t>Impacto Potencial</t>
        </is>
      </c>
      <c r="Z1985" s="111" t="inlineStr">
        <is>
          <t>PC</t>
        </is>
      </c>
      <c r="AA1985" s="111" t="inlineStr">
        <is>
          <t>Nao</t>
        </is>
      </c>
      <c r="AB1985" s="111" t="inlineStr">
        <is>
          <t>NAO_COMPUTADO</t>
        </is>
      </c>
      <c r="AC1985" s="112" t="inlineStr">
        <is>
          <t>Estrutura Fase 1: sem impacto no VTA oficial</t>
        </is>
      </c>
    </row>
    <row r="1986" ht="25.5" customHeight="1" s="289">
      <c r="A1986" s="205" t="n"/>
      <c r="B1986" s="207" t="n"/>
      <c r="C1986" s="104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348" t="n"/>
      <c r="E1986" s="349">
        <f>IF(C1986="","",IFERROR(VLOOKUP(C1986,parametros!$A$11:$E$15,5,0),""))</f>
        <v/>
      </c>
      <c r="F1986" s="335">
        <f>IF(OR(D1986="",E1986=""),"",ROUND(D1986*E1986,2))</f>
        <v/>
      </c>
      <c r="G1986" s="106" t="n"/>
      <c r="H1986" s="350">
        <f>IF(G1986="Sim",IF(OR(F1986="",D1986="",L1986=""),"",IF(L1986="Sim",ROUND(F1986-D1986,2),0)),0)</f>
        <v/>
      </c>
      <c r="I1986" s="350">
        <f>IF(G1986="Sim",0,IF(OR(F1986="",L1986=""),"",F1986))</f>
        <v/>
      </c>
      <c r="J1986" s="350">
        <f>IF(G1986="Sim",0,IF(OR(F1986="",D1986="",L1986=""),"",IF(L1986="Sim",ROUND(F1986-D1986,2),0)))</f>
        <v/>
      </c>
      <c r="K1986" s="97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inlineStr">
        <is>
          <t>Nao</t>
        </is>
      </c>
      <c r="W1986" s="110" t="inlineStr">
        <is>
          <t>PC em analise</t>
        </is>
      </c>
      <c r="X1986" s="110" t="inlineStr">
        <is>
          <t>Pedido de Compra</t>
        </is>
      </c>
      <c r="Y1986" s="111" t="inlineStr">
        <is>
          <t>Impacto Potencial</t>
        </is>
      </c>
      <c r="Z1986" s="111" t="inlineStr">
        <is>
          <t>PC</t>
        </is>
      </c>
      <c r="AA1986" s="111" t="inlineStr">
        <is>
          <t>Nao</t>
        </is>
      </c>
      <c r="AB1986" s="111" t="inlineStr">
        <is>
          <t>NAO_COMPUTADO</t>
        </is>
      </c>
      <c r="AC1986" s="112" t="inlineStr">
        <is>
          <t>Estrutura Fase 1: sem impacto no VTA oficial</t>
        </is>
      </c>
    </row>
    <row r="1987" ht="25.5" customHeight="1" s="289">
      <c r="A1987" s="205" t="n"/>
      <c r="B1987" s="207" t="n"/>
      <c r="C1987" s="104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348" t="n"/>
      <c r="E1987" s="349">
        <f>IF(C1987="","",IFERROR(VLOOKUP(C1987,parametros!$A$11:$E$15,5,0),""))</f>
        <v/>
      </c>
      <c r="F1987" s="335">
        <f>IF(OR(D1987="",E1987=""),"",ROUND(D1987*E1987,2))</f>
        <v/>
      </c>
      <c r="G1987" s="106" t="n"/>
      <c r="H1987" s="350">
        <f>IF(G1987="Sim",IF(OR(F1987="",D1987="",L1987=""),"",IF(L1987="Sim",ROUND(F1987-D1987,2),0)),0)</f>
        <v/>
      </c>
      <c r="I1987" s="350">
        <f>IF(G1987="Sim",0,IF(OR(F1987="",L1987=""),"",F1987))</f>
        <v/>
      </c>
      <c r="J1987" s="350">
        <f>IF(G1987="Sim",0,IF(OR(F1987="",D1987="",L1987=""),"",IF(L1987="Sim",ROUND(F1987-D1987,2),0)))</f>
        <v/>
      </c>
      <c r="K1987" s="97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inlineStr">
        <is>
          <t>Nao</t>
        </is>
      </c>
      <c r="W1987" s="110" t="inlineStr">
        <is>
          <t>PC em analise</t>
        </is>
      </c>
      <c r="X1987" s="110" t="inlineStr">
        <is>
          <t>Pedido de Compra</t>
        </is>
      </c>
      <c r="Y1987" s="111" t="inlineStr">
        <is>
          <t>Impacto Potencial</t>
        </is>
      </c>
      <c r="Z1987" s="111" t="inlineStr">
        <is>
          <t>PC</t>
        </is>
      </c>
      <c r="AA1987" s="111" t="inlineStr">
        <is>
          <t>Nao</t>
        </is>
      </c>
      <c r="AB1987" s="111" t="inlineStr">
        <is>
          <t>NAO_COMPUTADO</t>
        </is>
      </c>
      <c r="AC1987" s="112" t="inlineStr">
        <is>
          <t>Estrutura Fase 1: sem impacto no VTA oficial</t>
        </is>
      </c>
    </row>
    <row r="1988" ht="25.5" customHeight="1" s="289">
      <c r="A1988" s="205" t="n"/>
      <c r="B1988" s="207" t="n"/>
      <c r="C1988" s="104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348" t="n"/>
      <c r="E1988" s="349">
        <f>IF(C1988="","",IFERROR(VLOOKUP(C1988,parametros!$A$11:$E$15,5,0),""))</f>
        <v/>
      </c>
      <c r="F1988" s="335">
        <f>IF(OR(D1988="",E1988=""),"",ROUND(D1988*E1988,2))</f>
        <v/>
      </c>
      <c r="G1988" s="106" t="n"/>
      <c r="H1988" s="350">
        <f>IF(G1988="Sim",IF(OR(F1988="",D1988="",L1988=""),"",IF(L1988="Sim",ROUND(F1988-D1988,2),0)),0)</f>
        <v/>
      </c>
      <c r="I1988" s="350">
        <f>IF(G1988="Sim",0,IF(OR(F1988="",L1988=""),"",F1988))</f>
        <v/>
      </c>
      <c r="J1988" s="350">
        <f>IF(G1988="Sim",0,IF(OR(F1988="",D1988="",L1988=""),"",IF(L1988="Sim",ROUND(F1988-D1988,2),0)))</f>
        <v/>
      </c>
      <c r="K1988" s="97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inlineStr">
        <is>
          <t>Nao</t>
        </is>
      </c>
      <c r="W1988" s="110" t="inlineStr">
        <is>
          <t>PC em analise</t>
        </is>
      </c>
      <c r="X1988" s="110" t="inlineStr">
        <is>
          <t>Pedido de Compra</t>
        </is>
      </c>
      <c r="Y1988" s="111" t="inlineStr">
        <is>
          <t>Impacto Potencial</t>
        </is>
      </c>
      <c r="Z1988" s="111" t="inlineStr">
        <is>
          <t>PC</t>
        </is>
      </c>
      <c r="AA1988" s="111" t="inlineStr">
        <is>
          <t>Nao</t>
        </is>
      </c>
      <c r="AB1988" s="111" t="inlineStr">
        <is>
          <t>NAO_COMPUTADO</t>
        </is>
      </c>
      <c r="AC1988" s="112" t="inlineStr">
        <is>
          <t>Estrutura Fase 1: sem impacto no VTA oficial</t>
        </is>
      </c>
    </row>
    <row r="1989" ht="25.5" customHeight="1" s="289">
      <c r="A1989" s="205" t="n"/>
      <c r="B1989" s="207" t="n"/>
      <c r="C1989" s="104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348" t="n"/>
      <c r="E1989" s="349">
        <f>IF(C1989="","",IFERROR(VLOOKUP(C1989,parametros!$A$11:$E$15,5,0),""))</f>
        <v/>
      </c>
      <c r="F1989" s="335">
        <f>IF(OR(D1989="",E1989=""),"",ROUND(D1989*E1989,2))</f>
        <v/>
      </c>
      <c r="G1989" s="106" t="n"/>
      <c r="H1989" s="350">
        <f>IF(G1989="Sim",IF(OR(F1989="",D1989="",L1989=""),"",IF(L1989="Sim",ROUND(F1989-D1989,2),0)),0)</f>
        <v/>
      </c>
      <c r="I1989" s="350">
        <f>IF(G1989="Sim",0,IF(OR(F1989="",L1989=""),"",F1989))</f>
        <v/>
      </c>
      <c r="J1989" s="350">
        <f>IF(G1989="Sim",0,IF(OR(F1989="",D1989="",L1989=""),"",IF(L1989="Sim",ROUND(F1989-D1989,2),0)))</f>
        <v/>
      </c>
      <c r="K1989" s="97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inlineStr">
        <is>
          <t>Nao</t>
        </is>
      </c>
      <c r="W1989" s="110" t="inlineStr">
        <is>
          <t>PC em analise</t>
        </is>
      </c>
      <c r="X1989" s="110" t="inlineStr">
        <is>
          <t>Pedido de Compra</t>
        </is>
      </c>
      <c r="Y1989" s="111" t="inlineStr">
        <is>
          <t>Impacto Potencial</t>
        </is>
      </c>
      <c r="Z1989" s="111" t="inlineStr">
        <is>
          <t>PC</t>
        </is>
      </c>
      <c r="AA1989" s="111" t="inlineStr">
        <is>
          <t>Nao</t>
        </is>
      </c>
      <c r="AB1989" s="111" t="inlineStr">
        <is>
          <t>NAO_COMPUTADO</t>
        </is>
      </c>
      <c r="AC1989" s="112" t="inlineStr">
        <is>
          <t>Estrutura Fase 1: sem impacto no VTA oficial</t>
        </is>
      </c>
    </row>
    <row r="1990" ht="25.5" customHeight="1" s="289">
      <c r="A1990" s="205" t="n"/>
      <c r="B1990" s="207" t="n"/>
      <c r="C1990" s="104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348" t="n"/>
      <c r="E1990" s="349">
        <f>IF(C1990="","",IFERROR(VLOOKUP(C1990,parametros!$A$11:$E$15,5,0),""))</f>
        <v/>
      </c>
      <c r="F1990" s="335">
        <f>IF(OR(D1990="",E1990=""),"",ROUND(D1990*E1990,2))</f>
        <v/>
      </c>
      <c r="G1990" s="106" t="n"/>
      <c r="H1990" s="350">
        <f>IF(G1990="Sim",IF(OR(F1990="",D1990="",L1990=""),"",IF(L1990="Sim",ROUND(F1990-D1990,2),0)),0)</f>
        <v/>
      </c>
      <c r="I1990" s="350">
        <f>IF(G1990="Sim",0,IF(OR(F1990="",L1990=""),"",F1990))</f>
        <v/>
      </c>
      <c r="J1990" s="350">
        <f>IF(G1990="Sim",0,IF(OR(F1990="",D1990="",L1990=""),"",IF(L1990="Sim",ROUND(F1990-D1990,2),0)))</f>
        <v/>
      </c>
      <c r="K1990" s="97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inlineStr">
        <is>
          <t>Nao</t>
        </is>
      </c>
      <c r="W1990" s="110" t="inlineStr">
        <is>
          <t>PC em analise</t>
        </is>
      </c>
      <c r="X1990" s="110" t="inlineStr">
        <is>
          <t>Pedido de Compra</t>
        </is>
      </c>
      <c r="Y1990" s="111" t="inlineStr">
        <is>
          <t>Impacto Potencial</t>
        </is>
      </c>
      <c r="Z1990" s="111" t="inlineStr">
        <is>
          <t>PC</t>
        </is>
      </c>
      <c r="AA1990" s="111" t="inlineStr">
        <is>
          <t>Nao</t>
        </is>
      </c>
      <c r="AB1990" s="111" t="inlineStr">
        <is>
          <t>NAO_COMPUTADO</t>
        </is>
      </c>
      <c r="AC1990" s="112" t="inlineStr">
        <is>
          <t>Estrutura Fase 1: sem impacto no VTA oficial</t>
        </is>
      </c>
    </row>
    <row r="1991" ht="25.5" customHeight="1" s="289">
      <c r="A1991" s="205" t="n"/>
      <c r="B1991" s="207" t="n"/>
      <c r="C1991" s="104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348" t="n"/>
      <c r="E1991" s="349">
        <f>IF(C1991="","",IFERROR(VLOOKUP(C1991,parametros!$A$11:$E$15,5,0),""))</f>
        <v/>
      </c>
      <c r="F1991" s="335">
        <f>IF(OR(D1991="",E1991=""),"",ROUND(D1991*E1991,2))</f>
        <v/>
      </c>
      <c r="G1991" s="106" t="n"/>
      <c r="H1991" s="350">
        <f>IF(G1991="Sim",IF(OR(F1991="",D1991="",L1991=""),"",IF(L1991="Sim",ROUND(F1991-D1991,2),0)),0)</f>
        <v/>
      </c>
      <c r="I1991" s="350">
        <f>IF(G1991="Sim",0,IF(OR(F1991="",L1991=""),"",F1991))</f>
        <v/>
      </c>
      <c r="J1991" s="350">
        <f>IF(G1991="Sim",0,IF(OR(F1991="",D1991="",L1991=""),"",IF(L1991="Sim",ROUND(F1991-D1991,2),0)))</f>
        <v/>
      </c>
      <c r="K1991" s="97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inlineStr">
        <is>
          <t>Nao</t>
        </is>
      </c>
      <c r="W1991" s="110" t="inlineStr">
        <is>
          <t>PC em analise</t>
        </is>
      </c>
      <c r="X1991" s="110" t="inlineStr">
        <is>
          <t>Pedido de Compra</t>
        </is>
      </c>
      <c r="Y1991" s="111" t="inlineStr">
        <is>
          <t>Impacto Potencial</t>
        </is>
      </c>
      <c r="Z1991" s="111" t="inlineStr">
        <is>
          <t>PC</t>
        </is>
      </c>
      <c r="AA1991" s="111" t="inlineStr">
        <is>
          <t>Nao</t>
        </is>
      </c>
      <c r="AB1991" s="111" t="inlineStr">
        <is>
          <t>NAO_COMPUTADO</t>
        </is>
      </c>
      <c r="AC1991" s="112" t="inlineStr">
        <is>
          <t>Estrutura Fase 1: sem impacto no VTA oficial</t>
        </is>
      </c>
    </row>
    <row r="1992" ht="25.5" customHeight="1" s="289">
      <c r="A1992" s="205" t="n"/>
      <c r="B1992" s="207" t="n"/>
      <c r="C1992" s="104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348" t="n"/>
      <c r="E1992" s="349">
        <f>IF(C1992="","",IFERROR(VLOOKUP(C1992,parametros!$A$11:$E$15,5,0),""))</f>
        <v/>
      </c>
      <c r="F1992" s="335">
        <f>IF(OR(D1992="",E1992=""),"",ROUND(D1992*E1992,2))</f>
        <v/>
      </c>
      <c r="G1992" s="106" t="n"/>
      <c r="H1992" s="350">
        <f>IF(G1992="Sim",IF(OR(F1992="",D1992="",L1992=""),"",IF(L1992="Sim",ROUND(F1992-D1992,2),0)),0)</f>
        <v/>
      </c>
      <c r="I1992" s="350">
        <f>IF(G1992="Sim",0,IF(OR(F1992="",L1992=""),"",F1992))</f>
        <v/>
      </c>
      <c r="J1992" s="350">
        <f>IF(G1992="Sim",0,IF(OR(F1992="",D1992="",L1992=""),"",IF(L1992="Sim",ROUND(F1992-D1992,2),0)))</f>
        <v/>
      </c>
      <c r="K1992" s="97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inlineStr">
        <is>
          <t>Nao</t>
        </is>
      </c>
      <c r="W1992" s="110" t="inlineStr">
        <is>
          <t>PC em analise</t>
        </is>
      </c>
      <c r="X1992" s="110" t="inlineStr">
        <is>
          <t>Pedido de Compra</t>
        </is>
      </c>
      <c r="Y1992" s="111" t="inlineStr">
        <is>
          <t>Impacto Potencial</t>
        </is>
      </c>
      <c r="Z1992" s="111" t="inlineStr">
        <is>
          <t>PC</t>
        </is>
      </c>
      <c r="AA1992" s="111" t="inlineStr">
        <is>
          <t>Nao</t>
        </is>
      </c>
      <c r="AB1992" s="111" t="inlineStr">
        <is>
          <t>NAO_COMPUTADO</t>
        </is>
      </c>
      <c r="AC1992" s="112" t="inlineStr">
        <is>
          <t>Estrutura Fase 1: sem impacto no VTA oficial</t>
        </is>
      </c>
    </row>
    <row r="1993" ht="25.5" customHeight="1" s="289">
      <c r="A1993" s="205" t="n"/>
      <c r="B1993" s="207" t="n"/>
      <c r="C1993" s="104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348" t="n"/>
      <c r="E1993" s="349">
        <f>IF(C1993="","",IFERROR(VLOOKUP(C1993,parametros!$A$11:$E$15,5,0),""))</f>
        <v/>
      </c>
      <c r="F1993" s="335">
        <f>IF(OR(D1993="",E1993=""),"",ROUND(D1993*E1993,2))</f>
        <v/>
      </c>
      <c r="G1993" s="106" t="n"/>
      <c r="H1993" s="350">
        <f>IF(G1993="Sim",IF(OR(F1993="",D1993="",L1993=""),"",IF(L1993="Sim",ROUND(F1993-D1993,2),0)),0)</f>
        <v/>
      </c>
      <c r="I1993" s="350">
        <f>IF(G1993="Sim",0,IF(OR(F1993="",L1993=""),"",F1993))</f>
        <v/>
      </c>
      <c r="J1993" s="350">
        <f>IF(G1993="Sim",0,IF(OR(F1993="",D1993="",L1993=""),"",IF(L1993="Sim",ROUND(F1993-D1993,2),0)))</f>
        <v/>
      </c>
      <c r="K1993" s="97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inlineStr">
        <is>
          <t>Nao</t>
        </is>
      </c>
      <c r="W1993" s="110" t="inlineStr">
        <is>
          <t>PC em analise</t>
        </is>
      </c>
      <c r="X1993" s="110" t="inlineStr">
        <is>
          <t>Pedido de Compra</t>
        </is>
      </c>
      <c r="Y1993" s="111" t="inlineStr">
        <is>
          <t>Impacto Potencial</t>
        </is>
      </c>
      <c r="Z1993" s="111" t="inlineStr">
        <is>
          <t>PC</t>
        </is>
      </c>
      <c r="AA1993" s="111" t="inlineStr">
        <is>
          <t>Nao</t>
        </is>
      </c>
      <c r="AB1993" s="111" t="inlineStr">
        <is>
          <t>NAO_COMPUTADO</t>
        </is>
      </c>
      <c r="AC1993" s="112" t="inlineStr">
        <is>
          <t>Estrutura Fase 1: sem impacto no VTA oficial</t>
        </is>
      </c>
    </row>
    <row r="1994" ht="25.5" customHeight="1" s="289">
      <c r="A1994" s="205" t="n"/>
      <c r="B1994" s="207" t="n"/>
      <c r="C1994" s="104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348" t="n"/>
      <c r="E1994" s="349">
        <f>IF(C1994="","",IFERROR(VLOOKUP(C1994,parametros!$A$11:$E$15,5,0),""))</f>
        <v/>
      </c>
      <c r="F1994" s="335">
        <f>IF(OR(D1994="",E1994=""),"",ROUND(D1994*E1994,2))</f>
        <v/>
      </c>
      <c r="G1994" s="106" t="n"/>
      <c r="H1994" s="350">
        <f>IF(G1994="Sim",IF(OR(F1994="",D1994="",L1994=""),"",IF(L1994="Sim",ROUND(F1994-D1994,2),0)),0)</f>
        <v/>
      </c>
      <c r="I1994" s="350">
        <f>IF(G1994="Sim",0,IF(OR(F1994="",L1994=""),"",F1994))</f>
        <v/>
      </c>
      <c r="J1994" s="350">
        <f>IF(G1994="Sim",0,IF(OR(F1994="",D1994="",L1994=""),"",IF(L1994="Sim",ROUND(F1994-D1994,2),0)))</f>
        <v/>
      </c>
      <c r="K1994" s="97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inlineStr">
        <is>
          <t>Nao</t>
        </is>
      </c>
      <c r="W1994" s="110" t="inlineStr">
        <is>
          <t>PC em analise</t>
        </is>
      </c>
      <c r="X1994" s="110" t="inlineStr">
        <is>
          <t>Pedido de Compra</t>
        </is>
      </c>
      <c r="Y1994" s="111" t="inlineStr">
        <is>
          <t>Impacto Potencial</t>
        </is>
      </c>
      <c r="Z1994" s="111" t="inlineStr">
        <is>
          <t>PC</t>
        </is>
      </c>
      <c r="AA1994" s="111" t="inlineStr">
        <is>
          <t>Nao</t>
        </is>
      </c>
      <c r="AB1994" s="111" t="inlineStr">
        <is>
          <t>NAO_COMPUTADO</t>
        </is>
      </c>
      <c r="AC1994" s="112" t="inlineStr">
        <is>
          <t>Estrutura Fase 1: sem impacto no VTA oficial</t>
        </is>
      </c>
    </row>
    <row r="1995" ht="25.5" customHeight="1" s="289">
      <c r="A1995" s="205" t="n"/>
      <c r="B1995" s="207" t="n"/>
      <c r="C1995" s="104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348" t="n"/>
      <c r="E1995" s="349">
        <f>IF(C1995="","",IFERROR(VLOOKUP(C1995,parametros!$A$11:$E$15,5,0),""))</f>
        <v/>
      </c>
      <c r="F1995" s="335">
        <f>IF(OR(D1995="",E1995=""),"",ROUND(D1995*E1995,2))</f>
        <v/>
      </c>
      <c r="G1995" s="106" t="n"/>
      <c r="H1995" s="350">
        <f>IF(G1995="Sim",IF(OR(F1995="",D1995="",L1995=""),"",IF(L1995="Sim",ROUND(F1995-D1995,2),0)),0)</f>
        <v/>
      </c>
      <c r="I1995" s="350">
        <f>IF(G1995="Sim",0,IF(OR(F1995="",L1995=""),"",F1995))</f>
        <v/>
      </c>
      <c r="J1995" s="350">
        <f>IF(G1995="Sim",0,IF(OR(F1995="",D1995="",L1995=""),"",IF(L1995="Sim",ROUND(F1995-D1995,2),0)))</f>
        <v/>
      </c>
      <c r="K1995" s="97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inlineStr">
        <is>
          <t>Nao</t>
        </is>
      </c>
      <c r="W1995" s="110" t="inlineStr">
        <is>
          <t>PC em analise</t>
        </is>
      </c>
      <c r="X1995" s="110" t="inlineStr">
        <is>
          <t>Pedido de Compra</t>
        </is>
      </c>
      <c r="Y1995" s="111" t="inlineStr">
        <is>
          <t>Impacto Potencial</t>
        </is>
      </c>
      <c r="Z1995" s="111" t="inlineStr">
        <is>
          <t>PC</t>
        </is>
      </c>
      <c r="AA1995" s="111" t="inlineStr">
        <is>
          <t>Nao</t>
        </is>
      </c>
      <c r="AB1995" s="111" t="inlineStr">
        <is>
          <t>NAO_COMPUTADO</t>
        </is>
      </c>
      <c r="AC1995" s="112" t="inlineStr">
        <is>
          <t>Estrutura Fase 1: sem impacto no VTA oficial</t>
        </is>
      </c>
    </row>
    <row r="1996" ht="25.5" customHeight="1" s="289">
      <c r="A1996" s="205" t="n"/>
      <c r="B1996" s="207" t="n"/>
      <c r="C1996" s="104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348" t="n"/>
      <c r="E1996" s="349">
        <f>IF(C1996="","",IFERROR(VLOOKUP(C1996,parametros!$A$11:$E$15,5,0),""))</f>
        <v/>
      </c>
      <c r="F1996" s="335">
        <f>IF(OR(D1996="",E1996=""),"",ROUND(D1996*E1996,2))</f>
        <v/>
      </c>
      <c r="G1996" s="106" t="n"/>
      <c r="H1996" s="350">
        <f>IF(G1996="Sim",IF(OR(F1996="",D1996="",L1996=""),"",IF(L1996="Sim",ROUND(F1996-D1996,2),0)),0)</f>
        <v/>
      </c>
      <c r="I1996" s="350">
        <f>IF(G1996="Sim",0,IF(OR(F1996="",L1996=""),"",F1996))</f>
        <v/>
      </c>
      <c r="J1996" s="350">
        <f>IF(G1996="Sim",0,IF(OR(F1996="",D1996="",L1996=""),"",IF(L1996="Sim",ROUND(F1996-D1996,2),0)))</f>
        <v/>
      </c>
      <c r="K1996" s="97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inlineStr">
        <is>
          <t>Nao</t>
        </is>
      </c>
      <c r="W1996" s="110" t="inlineStr">
        <is>
          <t>PC em analise</t>
        </is>
      </c>
      <c r="X1996" s="110" t="inlineStr">
        <is>
          <t>Pedido de Compra</t>
        </is>
      </c>
      <c r="Y1996" s="111" t="inlineStr">
        <is>
          <t>Impacto Potencial</t>
        </is>
      </c>
      <c r="Z1996" s="111" t="inlineStr">
        <is>
          <t>PC</t>
        </is>
      </c>
      <c r="AA1996" s="111" t="inlineStr">
        <is>
          <t>Nao</t>
        </is>
      </c>
      <c r="AB1996" s="111" t="inlineStr">
        <is>
          <t>NAO_COMPUTADO</t>
        </is>
      </c>
      <c r="AC1996" s="112" t="inlineStr">
        <is>
          <t>Estrutura Fase 1: sem impacto no VTA oficial</t>
        </is>
      </c>
    </row>
    <row r="1997" ht="25.5" customHeight="1" s="289">
      <c r="A1997" s="205" t="n"/>
      <c r="B1997" s="207" t="n"/>
      <c r="C1997" s="104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348" t="n"/>
      <c r="E1997" s="349">
        <f>IF(C1997="","",IFERROR(VLOOKUP(C1997,parametros!$A$11:$E$15,5,0),""))</f>
        <v/>
      </c>
      <c r="F1997" s="335">
        <f>IF(OR(D1997="",E1997=""),"",ROUND(D1997*E1997,2))</f>
        <v/>
      </c>
      <c r="G1997" s="106" t="n"/>
      <c r="H1997" s="350">
        <f>IF(G1997="Sim",IF(OR(F1997="",D1997="",L1997=""),"",IF(L1997="Sim",ROUND(F1997-D1997,2),0)),0)</f>
        <v/>
      </c>
      <c r="I1997" s="350">
        <f>IF(G1997="Sim",0,IF(OR(F1997="",L1997=""),"",F1997))</f>
        <v/>
      </c>
      <c r="J1997" s="350">
        <f>IF(G1997="Sim",0,IF(OR(F1997="",D1997="",L1997=""),"",IF(L1997="Sim",ROUND(F1997-D1997,2),0)))</f>
        <v/>
      </c>
      <c r="K1997" s="97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inlineStr">
        <is>
          <t>Nao</t>
        </is>
      </c>
      <c r="W1997" s="110" t="inlineStr">
        <is>
          <t>PC em analise</t>
        </is>
      </c>
      <c r="X1997" s="110" t="inlineStr">
        <is>
          <t>Pedido de Compra</t>
        </is>
      </c>
      <c r="Y1997" s="111" t="inlineStr">
        <is>
          <t>Impacto Potencial</t>
        </is>
      </c>
      <c r="Z1997" s="111" t="inlineStr">
        <is>
          <t>PC</t>
        </is>
      </c>
      <c r="AA1997" s="111" t="inlineStr">
        <is>
          <t>Nao</t>
        </is>
      </c>
      <c r="AB1997" s="111" t="inlineStr">
        <is>
          <t>NAO_COMPUTADO</t>
        </is>
      </c>
      <c r="AC1997" s="112" t="inlineStr">
        <is>
          <t>Estrutura Fase 1: sem impacto no VTA oficial</t>
        </is>
      </c>
    </row>
    <row r="1998" ht="25.5" customHeight="1" s="289">
      <c r="A1998" s="205" t="n"/>
      <c r="B1998" s="207" t="n"/>
      <c r="C1998" s="104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348" t="n"/>
      <c r="E1998" s="349">
        <f>IF(C1998="","",IFERROR(VLOOKUP(C1998,parametros!$A$11:$E$15,5,0),""))</f>
        <v/>
      </c>
      <c r="F1998" s="335">
        <f>IF(OR(D1998="",E1998=""),"",ROUND(D1998*E1998,2))</f>
        <v/>
      </c>
      <c r="G1998" s="106" t="n"/>
      <c r="H1998" s="350">
        <f>IF(G1998="Sim",IF(OR(F1998="",D1998="",L1998=""),"",IF(L1998="Sim",ROUND(F1998-D1998,2),0)),0)</f>
        <v/>
      </c>
      <c r="I1998" s="350">
        <f>IF(G1998="Sim",0,IF(OR(F1998="",L1998=""),"",F1998))</f>
        <v/>
      </c>
      <c r="J1998" s="350">
        <f>IF(G1998="Sim",0,IF(OR(F1998="",D1998="",L1998=""),"",IF(L1998="Sim",ROUND(F1998-D1998,2),0)))</f>
        <v/>
      </c>
      <c r="K1998" s="97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inlineStr">
        <is>
          <t>Nao</t>
        </is>
      </c>
      <c r="W1998" s="110" t="inlineStr">
        <is>
          <t>PC em analise</t>
        </is>
      </c>
      <c r="X1998" s="110" t="inlineStr">
        <is>
          <t>Pedido de Compra</t>
        </is>
      </c>
      <c r="Y1998" s="111" t="inlineStr">
        <is>
          <t>Impacto Potencial</t>
        </is>
      </c>
      <c r="Z1998" s="111" t="inlineStr">
        <is>
          <t>PC</t>
        </is>
      </c>
      <c r="AA1998" s="111" t="inlineStr">
        <is>
          <t>Nao</t>
        </is>
      </c>
      <c r="AB1998" s="111" t="inlineStr">
        <is>
          <t>NAO_COMPUTADO</t>
        </is>
      </c>
      <c r="AC1998" s="112" t="inlineStr">
        <is>
          <t>Estrutura Fase 1: sem impacto no VTA oficial</t>
        </is>
      </c>
    </row>
    <row r="1999" ht="25.5" customHeight="1" s="289">
      <c r="A1999" s="205" t="n"/>
      <c r="B1999" s="207" t="n"/>
      <c r="C1999" s="104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348" t="n"/>
      <c r="E1999" s="349">
        <f>IF(C1999="","",IFERROR(VLOOKUP(C1999,parametros!$A$11:$E$15,5,0),""))</f>
        <v/>
      </c>
      <c r="F1999" s="335">
        <f>IF(OR(D1999="",E1999=""),"",ROUND(D1999*E1999,2))</f>
        <v/>
      </c>
      <c r="G1999" s="106" t="n"/>
      <c r="H1999" s="350">
        <f>IF(G1999="Sim",IF(OR(F1999="",D1999="",L1999=""),"",IF(L1999="Sim",ROUND(F1999-D1999,2),0)),0)</f>
        <v/>
      </c>
      <c r="I1999" s="350">
        <f>IF(G1999="Sim",0,IF(OR(F1999="",L1999=""),"",F1999))</f>
        <v/>
      </c>
      <c r="J1999" s="350">
        <f>IF(G1999="Sim",0,IF(OR(F1999="",D1999="",L1999=""),"",IF(L1999="Sim",ROUND(F1999-D1999,2),0)))</f>
        <v/>
      </c>
      <c r="K1999" s="97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inlineStr">
        <is>
          <t>Nao</t>
        </is>
      </c>
      <c r="W1999" s="110" t="inlineStr">
        <is>
          <t>PC em analise</t>
        </is>
      </c>
      <c r="X1999" s="110" t="inlineStr">
        <is>
          <t>Pedido de Compra</t>
        </is>
      </c>
      <c r="Y1999" s="111" t="inlineStr">
        <is>
          <t>Impacto Potencial</t>
        </is>
      </c>
      <c r="Z1999" s="111" t="inlineStr">
        <is>
          <t>PC</t>
        </is>
      </c>
      <c r="AA1999" s="111" t="inlineStr">
        <is>
          <t>Nao</t>
        </is>
      </c>
      <c r="AB1999" s="111" t="inlineStr">
        <is>
          <t>NAO_COMPUTADO</t>
        </is>
      </c>
      <c r="AC1999" s="112" t="inlineStr">
        <is>
          <t>Estrutura Fase 1: sem impacto no VTA oficial</t>
        </is>
      </c>
    </row>
    <row r="2000" ht="25.5" customHeight="1" s="289">
      <c r="A2000" s="205" t="n"/>
      <c r="B2000" s="207" t="n"/>
      <c r="C2000" s="104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348" t="n"/>
      <c r="E2000" s="349">
        <f>IF(C2000="","",IFERROR(VLOOKUP(C2000,parametros!$A$11:$E$15,5,0),""))</f>
        <v/>
      </c>
      <c r="F2000" s="335">
        <f>IF(OR(D2000="",E2000=""),"",ROUND(D2000*E2000,2))</f>
        <v/>
      </c>
      <c r="G2000" s="106" t="n"/>
      <c r="H2000" s="350">
        <f>IF(G2000="Sim",IF(OR(F2000="",D2000="",L2000=""),"",IF(L2000="Sim",ROUND(F2000-D2000,2),0)),0)</f>
        <v/>
      </c>
      <c r="I2000" s="350">
        <f>IF(G2000="Sim",0,IF(OR(F2000="",L2000=""),"",F2000))</f>
        <v/>
      </c>
      <c r="J2000" s="350">
        <f>IF(G2000="Sim",0,IF(OR(F2000="",D2000="",L2000=""),"",IF(L2000="Sim",ROUND(F2000-D2000,2),0)))</f>
        <v/>
      </c>
      <c r="K2000" s="97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inlineStr">
        <is>
          <t>Nao</t>
        </is>
      </c>
      <c r="W2000" s="110" t="inlineStr">
        <is>
          <t>PC em analise</t>
        </is>
      </c>
      <c r="X2000" s="110" t="inlineStr">
        <is>
          <t>Pedido de Compra</t>
        </is>
      </c>
      <c r="Y2000" s="111" t="inlineStr">
        <is>
          <t>Impacto Potencial</t>
        </is>
      </c>
      <c r="Z2000" s="111" t="inlineStr">
        <is>
          <t>PC</t>
        </is>
      </c>
      <c r="AA2000" s="111" t="inlineStr">
        <is>
          <t>Nao</t>
        </is>
      </c>
      <c r="AB2000" s="111" t="inlineStr">
        <is>
          <t>NAO_COMPUTADO</t>
        </is>
      </c>
      <c r="AC2000" s="112" t="inlineStr">
        <is>
          <t>Estrutura Fase 1: sem impacto no VTA oficial</t>
        </is>
      </c>
    </row>
    <row r="2001" ht="25.5" customHeight="1" s="289">
      <c r="A2001" s="205" t="n"/>
      <c r="B2001" s="207" t="n"/>
      <c r="C2001" s="104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348" t="n"/>
      <c r="E2001" s="349">
        <f>IF(C2001="","",IFERROR(VLOOKUP(C2001,parametros!$A$11:$E$15,5,0),""))</f>
        <v/>
      </c>
      <c r="F2001" s="335">
        <f>IF(OR(D2001="",E2001=""),"",ROUND(D2001*E2001,2))</f>
        <v/>
      </c>
      <c r="G2001" s="106" t="n"/>
      <c r="H2001" s="350">
        <f>IF(G2001="Sim",IF(OR(F2001="",D2001="",L2001=""),"",IF(L2001="Sim",ROUND(F2001-D2001,2),0)),0)</f>
        <v/>
      </c>
      <c r="I2001" s="350">
        <f>IF(G2001="Sim",0,IF(OR(F2001="",L2001=""),"",F2001))</f>
        <v/>
      </c>
      <c r="J2001" s="350">
        <f>IF(G2001="Sim",0,IF(OR(F2001="",D2001="",L2001=""),"",IF(L2001="Sim",ROUND(F2001-D2001,2),0)))</f>
        <v/>
      </c>
      <c r="K2001" s="97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inlineStr">
        <is>
          <t>Nao</t>
        </is>
      </c>
      <c r="W2001" s="110" t="inlineStr">
        <is>
          <t>PC em analise</t>
        </is>
      </c>
      <c r="X2001" s="110" t="inlineStr">
        <is>
          <t>Pedido de Compra</t>
        </is>
      </c>
      <c r="Y2001" s="111" t="inlineStr">
        <is>
          <t>Impacto Potencial</t>
        </is>
      </c>
      <c r="Z2001" s="111" t="inlineStr">
        <is>
          <t>PC</t>
        </is>
      </c>
      <c r="AA2001" s="111" t="inlineStr">
        <is>
          <t>Nao</t>
        </is>
      </c>
      <c r="AB2001" s="111" t="inlineStr">
        <is>
          <t>NAO_COMPUTADO</t>
        </is>
      </c>
      <c r="AC2001" s="112" t="inlineStr">
        <is>
          <t>Estrutura Fase 1: sem impacto no VTA oficial</t>
        </is>
      </c>
    </row>
    <row r="2002" ht="25.5" customHeight="1" s="289">
      <c r="A2002" s="205" t="n"/>
      <c r="B2002" s="207" t="n"/>
      <c r="C2002" s="104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348" t="n"/>
      <c r="E2002" s="349">
        <f>IF(C2002="","",IFERROR(VLOOKUP(C2002,parametros!$A$11:$E$15,5,0),""))</f>
        <v/>
      </c>
      <c r="F2002" s="335">
        <f>IF(OR(D2002="",E2002=""),"",ROUND(D2002*E2002,2))</f>
        <v/>
      </c>
      <c r="G2002" s="106" t="n"/>
      <c r="H2002" s="350">
        <f>IF(G2002="Sim",IF(OR(F2002="",D2002="",L2002=""),"",IF(L2002="Sim",ROUND(F2002-D2002,2),0)),0)</f>
        <v/>
      </c>
      <c r="I2002" s="350">
        <f>IF(G2002="Sim",0,IF(OR(F2002="",L2002=""),"",F2002))</f>
        <v/>
      </c>
      <c r="J2002" s="350">
        <f>IF(G2002="Sim",0,IF(OR(F2002="",D2002="",L2002=""),"",IF(L2002="Sim",ROUND(F2002-D2002,2),0)))</f>
        <v/>
      </c>
      <c r="K2002" s="97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inlineStr">
        <is>
          <t>Nao</t>
        </is>
      </c>
      <c r="W2002" s="110" t="inlineStr">
        <is>
          <t>PC em analise</t>
        </is>
      </c>
      <c r="X2002" s="110" t="inlineStr">
        <is>
          <t>Pedido de Compra</t>
        </is>
      </c>
      <c r="Y2002" s="111" t="inlineStr">
        <is>
          <t>Impacto Potencial</t>
        </is>
      </c>
      <c r="Z2002" s="111" t="inlineStr">
        <is>
          <t>PC</t>
        </is>
      </c>
      <c r="AA2002" s="111" t="inlineStr">
        <is>
          <t>Nao</t>
        </is>
      </c>
      <c r="AB2002" s="111" t="inlineStr">
        <is>
          <t>NAO_COMPUTADO</t>
        </is>
      </c>
      <c r="AC2002" s="112" t="inlineStr">
        <is>
          <t>Estrutura Fase 1: sem impacto no VTA oficial</t>
        </is>
      </c>
    </row>
    <row r="2003" ht="25.5" customHeight="1" s="289">
      <c r="A2003" s="205" t="n"/>
      <c r="B2003" s="207" t="n"/>
      <c r="C2003" s="104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348" t="n"/>
      <c r="E2003" s="349">
        <f>IF(C2003="","",IFERROR(VLOOKUP(C2003,parametros!$A$11:$E$15,5,0),""))</f>
        <v/>
      </c>
      <c r="F2003" s="335">
        <f>IF(OR(D2003="",E2003=""),"",ROUND(D2003*E2003,2))</f>
        <v/>
      </c>
      <c r="G2003" s="106" t="n"/>
      <c r="H2003" s="350">
        <f>IF(G2003="Sim",IF(OR(F2003="",D2003="",L2003=""),"",IF(L2003="Sim",ROUND(F2003-D2003,2),0)),0)</f>
        <v/>
      </c>
      <c r="I2003" s="350">
        <f>IF(G2003="Sim",0,IF(OR(F2003="",L2003=""),"",F2003))</f>
        <v/>
      </c>
      <c r="J2003" s="350">
        <f>IF(G2003="Sim",0,IF(OR(F2003="",D2003="",L2003=""),"",IF(L2003="Sim",ROUND(F2003-D2003,2),0)))</f>
        <v/>
      </c>
      <c r="K2003" s="97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inlineStr">
        <is>
          <t>Nao</t>
        </is>
      </c>
      <c r="W2003" s="110" t="inlineStr">
        <is>
          <t>PC em analise</t>
        </is>
      </c>
      <c r="X2003" s="110" t="inlineStr">
        <is>
          <t>Pedido de Compra</t>
        </is>
      </c>
      <c r="Y2003" s="111" t="inlineStr">
        <is>
          <t>Impacto Potencial</t>
        </is>
      </c>
      <c r="Z2003" s="111" t="inlineStr">
        <is>
          <t>PC</t>
        </is>
      </c>
      <c r="AA2003" s="111" t="inlineStr">
        <is>
          <t>Nao</t>
        </is>
      </c>
      <c r="AB2003" s="111" t="inlineStr">
        <is>
          <t>NAO_COMPUTADO</t>
        </is>
      </c>
      <c r="AC2003" s="112" t="inlineStr">
        <is>
          <t>Estrutura Fase 1: sem impacto no VTA oficial</t>
        </is>
      </c>
    </row>
    <row r="2004" ht="25.5" customHeight="1" s="289">
      <c r="A2004" s="205" t="n"/>
      <c r="B2004" s="207" t="n"/>
      <c r="C2004" s="104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348" t="n"/>
      <c r="E2004" s="349">
        <f>IF(C2004="","",IFERROR(VLOOKUP(C2004,parametros!$A$11:$E$15,5,0),""))</f>
        <v/>
      </c>
      <c r="F2004" s="335">
        <f>IF(OR(D2004="",E2004=""),"",ROUND(D2004*E2004,2))</f>
        <v/>
      </c>
      <c r="G2004" s="106" t="n"/>
      <c r="H2004" s="350">
        <f>IF(G2004="Sim",IF(OR(F2004="",D2004="",L2004=""),"",IF(L2004="Sim",ROUND(F2004-D2004,2),0)),0)</f>
        <v/>
      </c>
      <c r="I2004" s="350">
        <f>IF(G2004="Sim",0,IF(OR(F2004="",L2004=""),"",F2004))</f>
        <v/>
      </c>
      <c r="J2004" s="350">
        <f>IF(G2004="Sim",0,IF(OR(F2004="",D2004="",L2004=""),"",IF(L2004="Sim",ROUND(F2004-D2004,2),0)))</f>
        <v/>
      </c>
      <c r="K2004" s="97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inlineStr">
        <is>
          <t>Nao</t>
        </is>
      </c>
      <c r="W2004" s="110" t="inlineStr">
        <is>
          <t>PC em analise</t>
        </is>
      </c>
      <c r="X2004" s="110" t="inlineStr">
        <is>
          <t>Pedido de Compra</t>
        </is>
      </c>
      <c r="Y2004" s="111" t="inlineStr">
        <is>
          <t>Impacto Potencial</t>
        </is>
      </c>
      <c r="Z2004" s="111" t="inlineStr">
        <is>
          <t>PC</t>
        </is>
      </c>
      <c r="AA2004" s="111" t="inlineStr">
        <is>
          <t>Nao</t>
        </is>
      </c>
      <c r="AB2004" s="111" t="inlineStr">
        <is>
          <t>NAO_COMPUTADO</t>
        </is>
      </c>
      <c r="AC2004" s="112" t="inlineStr">
        <is>
          <t>Estrutura Fase 1: sem impacto no VTA oficial</t>
        </is>
      </c>
    </row>
    <row r="2005" ht="25.5" customHeight="1" s="289">
      <c r="A2005" s="205" t="n"/>
      <c r="B2005" s="207" t="n"/>
      <c r="C2005" s="104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348" t="n"/>
      <c r="E2005" s="349">
        <f>IF(C2005="","",IFERROR(VLOOKUP(C2005,parametros!$A$11:$E$15,5,0),""))</f>
        <v/>
      </c>
      <c r="F2005" s="335">
        <f>IF(OR(D2005="",E2005=""),"",ROUND(D2005*E2005,2))</f>
        <v/>
      </c>
      <c r="G2005" s="106" t="n"/>
      <c r="H2005" s="350">
        <f>IF(G2005="Sim",IF(OR(F2005="",D2005="",L2005=""),"",IF(L2005="Sim",ROUND(F2005-D2005,2),0)),0)</f>
        <v/>
      </c>
      <c r="I2005" s="350">
        <f>IF(G2005="Sim",0,IF(OR(F2005="",L2005=""),"",F2005))</f>
        <v/>
      </c>
      <c r="J2005" s="350">
        <f>IF(G2005="Sim",0,IF(OR(F2005="",D2005="",L2005=""),"",IF(L2005="Sim",ROUND(F2005-D2005,2),0)))</f>
        <v/>
      </c>
      <c r="K2005" s="97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inlineStr">
        <is>
          <t>Nao</t>
        </is>
      </c>
      <c r="W2005" s="110" t="inlineStr">
        <is>
          <t>PC em analise</t>
        </is>
      </c>
      <c r="X2005" s="110" t="inlineStr">
        <is>
          <t>Pedido de Compra</t>
        </is>
      </c>
      <c r="Y2005" s="111" t="inlineStr">
        <is>
          <t>Impacto Potencial</t>
        </is>
      </c>
      <c r="Z2005" s="111" t="inlineStr">
        <is>
          <t>PC</t>
        </is>
      </c>
      <c r="AA2005" s="111" t="inlineStr">
        <is>
          <t>Nao</t>
        </is>
      </c>
      <c r="AB2005" s="111" t="inlineStr">
        <is>
          <t>NAO_COMPUTADO</t>
        </is>
      </c>
      <c r="AC2005" s="112" t="inlineStr">
        <is>
          <t>Estrutura Fase 1: sem impacto no VTA oficial</t>
        </is>
      </c>
    </row>
    <row r="2006" ht="25.5" customHeight="1" s="289">
      <c r="A2006" s="205" t="n"/>
      <c r="B2006" s="207" t="n"/>
      <c r="C2006" s="104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348" t="n"/>
      <c r="E2006" s="349">
        <f>IF(C2006="","",IFERROR(VLOOKUP(C2006,parametros!$A$11:$E$15,5,0),""))</f>
        <v/>
      </c>
      <c r="F2006" s="335">
        <f>IF(OR(D2006="",E2006=""),"",ROUND(D2006*E2006,2))</f>
        <v/>
      </c>
      <c r="G2006" s="106" t="n"/>
      <c r="H2006" s="350">
        <f>IF(G2006="Sim",IF(OR(F2006="",D2006="",L2006=""),"",IF(L2006="Sim",ROUND(F2006-D2006,2),0)),0)</f>
        <v/>
      </c>
      <c r="I2006" s="350">
        <f>IF(G2006="Sim",0,IF(OR(F2006="",L2006=""),"",F2006))</f>
        <v/>
      </c>
      <c r="J2006" s="350">
        <f>IF(G2006="Sim",0,IF(OR(F2006="",D2006="",L2006=""),"",IF(L2006="Sim",ROUND(F2006-D2006,2),0)))</f>
        <v/>
      </c>
      <c r="K2006" s="97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inlineStr">
        <is>
          <t>Nao</t>
        </is>
      </c>
      <c r="W2006" s="110" t="inlineStr">
        <is>
          <t>PC em analise</t>
        </is>
      </c>
      <c r="X2006" s="110" t="inlineStr">
        <is>
          <t>Pedido de Compra</t>
        </is>
      </c>
      <c r="Y2006" s="111" t="inlineStr">
        <is>
          <t>Impacto Potencial</t>
        </is>
      </c>
      <c r="Z2006" s="111" t="inlineStr">
        <is>
          <t>PC</t>
        </is>
      </c>
      <c r="AA2006" s="111" t="inlineStr">
        <is>
          <t>Nao</t>
        </is>
      </c>
      <c r="AB2006" s="111" t="inlineStr">
        <is>
          <t>NAO_COMPUTADO</t>
        </is>
      </c>
      <c r="AC2006" s="112" t="inlineStr">
        <is>
          <t>Estrutura Fase 1: sem impacto no VTA oficial</t>
        </is>
      </c>
    </row>
    <row r="2007" ht="25.5" customHeight="1" s="289">
      <c r="A2007" s="205" t="n"/>
      <c r="B2007" s="207" t="n"/>
      <c r="C2007" s="104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348" t="n"/>
      <c r="E2007" s="349">
        <f>IF(C2007="","",IFERROR(VLOOKUP(C2007,parametros!$A$11:$E$15,5,0),""))</f>
        <v/>
      </c>
      <c r="F2007" s="335">
        <f>IF(OR(D2007="",E2007=""),"",ROUND(D2007*E2007,2))</f>
        <v/>
      </c>
      <c r="G2007" s="106" t="n"/>
      <c r="H2007" s="350">
        <f>IF(G2007="Sim",IF(OR(F2007="",D2007="",L2007=""),"",IF(L2007="Sim",ROUND(F2007-D2007,2),0)),0)</f>
        <v/>
      </c>
      <c r="I2007" s="350">
        <f>IF(G2007="Sim",0,IF(OR(F2007="",L2007=""),"",F2007))</f>
        <v/>
      </c>
      <c r="J2007" s="350">
        <f>IF(G2007="Sim",0,IF(OR(F2007="",D2007="",L2007=""),"",IF(L2007="Sim",ROUND(F2007-D2007,2),0)))</f>
        <v/>
      </c>
      <c r="K2007" s="97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inlineStr">
        <is>
          <t>Nao</t>
        </is>
      </c>
      <c r="W2007" s="110" t="inlineStr">
        <is>
          <t>PC em analise</t>
        </is>
      </c>
      <c r="X2007" s="110" t="inlineStr">
        <is>
          <t>Pedido de Compra</t>
        </is>
      </c>
      <c r="Y2007" s="111" t="inlineStr">
        <is>
          <t>Impacto Potencial</t>
        </is>
      </c>
      <c r="Z2007" s="111" t="inlineStr">
        <is>
          <t>PC</t>
        </is>
      </c>
      <c r="AA2007" s="111" t="inlineStr">
        <is>
          <t>Nao</t>
        </is>
      </c>
      <c r="AB2007" s="111" t="inlineStr">
        <is>
          <t>NAO_COMPUTADO</t>
        </is>
      </c>
      <c r="AC2007" s="112" t="inlineStr">
        <is>
          <t>Estrutura Fase 1: sem impacto no VTA oficial</t>
        </is>
      </c>
    </row>
    <row r="2008" ht="25.5" customHeight="1" s="289">
      <c r="A2008" s="205" t="n"/>
      <c r="B2008" s="207" t="n"/>
      <c r="C2008" s="104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348" t="n"/>
      <c r="E2008" s="349">
        <f>IF(C2008="","",IFERROR(VLOOKUP(C2008,parametros!$A$11:$E$15,5,0),""))</f>
        <v/>
      </c>
      <c r="F2008" s="335">
        <f>IF(OR(D2008="",E2008=""),"",ROUND(D2008*E2008,2))</f>
        <v/>
      </c>
      <c r="G2008" s="106" t="n"/>
      <c r="H2008" s="350">
        <f>IF(G2008="Sim",IF(OR(F2008="",D2008="",L2008=""),"",IF(L2008="Sim",ROUND(F2008-D2008,2),0)),0)</f>
        <v/>
      </c>
      <c r="I2008" s="350">
        <f>IF(G2008="Sim",0,IF(OR(F2008="",L2008=""),"",F2008))</f>
        <v/>
      </c>
      <c r="J2008" s="350">
        <f>IF(G2008="Sim",0,IF(OR(F2008="",D2008="",L2008=""),"",IF(L2008="Sim",ROUND(F2008-D2008,2),0)))</f>
        <v/>
      </c>
      <c r="K2008" s="97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inlineStr">
        <is>
          <t>Nao</t>
        </is>
      </c>
      <c r="W2008" s="110" t="inlineStr">
        <is>
          <t>PC em analise</t>
        </is>
      </c>
      <c r="X2008" s="110" t="inlineStr">
        <is>
          <t>Pedido de Compra</t>
        </is>
      </c>
      <c r="Y2008" s="111" t="inlineStr">
        <is>
          <t>Impacto Potencial</t>
        </is>
      </c>
      <c r="Z2008" s="111" t="inlineStr">
        <is>
          <t>PC</t>
        </is>
      </c>
      <c r="AA2008" s="111" t="inlineStr">
        <is>
          <t>Nao</t>
        </is>
      </c>
      <c r="AB2008" s="111" t="inlineStr">
        <is>
          <t>NAO_COMPUTADO</t>
        </is>
      </c>
      <c r="AC2008" s="112" t="inlineStr">
        <is>
          <t>Estrutura Fase 1: sem impacto no VTA oficial</t>
        </is>
      </c>
    </row>
    <row r="2009" ht="25.5" customHeight="1" s="289">
      <c r="A2009" s="205" t="n"/>
      <c r="B2009" s="207" t="n"/>
      <c r="C2009" s="104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348" t="n"/>
      <c r="E2009" s="349">
        <f>IF(C2009="","",IFERROR(VLOOKUP(C2009,parametros!$A$11:$E$15,5,0),""))</f>
        <v/>
      </c>
      <c r="F2009" s="335">
        <f>IF(OR(D2009="",E2009=""),"",ROUND(D2009*E2009,2))</f>
        <v/>
      </c>
      <c r="G2009" s="106" t="n"/>
      <c r="H2009" s="350">
        <f>IF(G2009="Sim",IF(OR(F2009="",D2009="",L2009=""),"",IF(L2009="Sim",ROUND(F2009-D2009,2),0)),0)</f>
        <v/>
      </c>
      <c r="I2009" s="350">
        <f>IF(G2009="Sim",0,IF(OR(F2009="",L2009=""),"",F2009))</f>
        <v/>
      </c>
      <c r="J2009" s="350">
        <f>IF(G2009="Sim",0,IF(OR(F2009="",D2009="",L2009=""),"",IF(L2009="Sim",ROUND(F2009-D2009,2),0)))</f>
        <v/>
      </c>
      <c r="K2009" s="97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inlineStr">
        <is>
          <t>Nao</t>
        </is>
      </c>
      <c r="W2009" s="110" t="inlineStr">
        <is>
          <t>PC em analise</t>
        </is>
      </c>
      <c r="X2009" s="110" t="inlineStr">
        <is>
          <t>Pedido de Compra</t>
        </is>
      </c>
      <c r="Y2009" s="111" t="inlineStr">
        <is>
          <t>Impacto Potencial</t>
        </is>
      </c>
      <c r="Z2009" s="111" t="inlineStr">
        <is>
          <t>PC</t>
        </is>
      </c>
      <c r="AA2009" s="111" t="inlineStr">
        <is>
          <t>Nao</t>
        </is>
      </c>
      <c r="AB2009" s="111" t="inlineStr">
        <is>
          <t>NAO_COMPUTADO</t>
        </is>
      </c>
      <c r="AC2009" s="112" t="inlineStr">
        <is>
          <t>Estrutura Fase 1: sem impacto no VTA oficial</t>
        </is>
      </c>
    </row>
    <row r="2010" ht="25.5" customHeight="1" s="289">
      <c r="A2010" s="205" t="n"/>
      <c r="B2010" s="207" t="n"/>
      <c r="C2010" s="104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348" t="n"/>
      <c r="E2010" s="349">
        <f>IF(C2010="","",IFERROR(VLOOKUP(C2010,parametros!$A$11:$E$15,5,0),""))</f>
        <v/>
      </c>
      <c r="F2010" s="335">
        <f>IF(OR(D2010="",E2010=""),"",ROUND(D2010*E2010,2))</f>
        <v/>
      </c>
      <c r="G2010" s="106" t="n"/>
      <c r="H2010" s="350">
        <f>IF(G2010="Sim",IF(OR(F2010="",D2010="",L2010=""),"",IF(L2010="Sim",ROUND(F2010-D2010,2),0)),0)</f>
        <v/>
      </c>
      <c r="I2010" s="350">
        <f>IF(G2010="Sim",0,IF(OR(F2010="",L2010=""),"",F2010))</f>
        <v/>
      </c>
      <c r="J2010" s="350">
        <f>IF(G2010="Sim",0,IF(OR(F2010="",D2010="",L2010=""),"",IF(L2010="Sim",ROUND(F2010-D2010,2),0)))</f>
        <v/>
      </c>
      <c r="K2010" s="97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inlineStr">
        <is>
          <t>Nao</t>
        </is>
      </c>
      <c r="W2010" s="110" t="inlineStr">
        <is>
          <t>PC em analise</t>
        </is>
      </c>
      <c r="X2010" s="110" t="inlineStr">
        <is>
          <t>Pedido de Compra</t>
        </is>
      </c>
      <c r="Y2010" s="111" t="inlineStr">
        <is>
          <t>Impacto Potencial</t>
        </is>
      </c>
      <c r="Z2010" s="111" t="inlineStr">
        <is>
          <t>PC</t>
        </is>
      </c>
      <c r="AA2010" s="111" t="inlineStr">
        <is>
          <t>Nao</t>
        </is>
      </c>
      <c r="AB2010" s="111" t="inlineStr">
        <is>
          <t>NAO_COMPUTADO</t>
        </is>
      </c>
      <c r="AC2010" s="112" t="inlineStr">
        <is>
          <t>Estrutura Fase 1: sem impacto no VTA oficial</t>
        </is>
      </c>
    </row>
    <row r="2011" ht="25.5" customHeight="1" s="289">
      <c r="A2011" s="205" t="n"/>
      <c r="B2011" s="207" t="n"/>
      <c r="C2011" s="104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348" t="n"/>
      <c r="E2011" s="349">
        <f>IF(C2011="","",IFERROR(VLOOKUP(C2011,parametros!$A$11:$E$15,5,0),""))</f>
        <v/>
      </c>
      <c r="F2011" s="335">
        <f>IF(OR(D2011="",E2011=""),"",ROUND(D2011*E2011,2))</f>
        <v/>
      </c>
      <c r="G2011" s="106" t="n"/>
      <c r="H2011" s="350">
        <f>IF(G2011="Sim",IF(OR(F2011="",D2011="",L2011=""),"",IF(L2011="Sim",ROUND(F2011-D2011,2),0)),0)</f>
        <v/>
      </c>
      <c r="I2011" s="350">
        <f>IF(G2011="Sim",0,IF(OR(F2011="",L2011=""),"",F2011))</f>
        <v/>
      </c>
      <c r="J2011" s="350">
        <f>IF(G2011="Sim",0,IF(OR(F2011="",D2011="",L2011=""),"",IF(L2011="Sim",ROUND(F2011-D2011,2),0)))</f>
        <v/>
      </c>
      <c r="K2011" s="97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inlineStr">
        <is>
          <t>Nao</t>
        </is>
      </c>
      <c r="W2011" s="110" t="inlineStr">
        <is>
          <t>PC em analise</t>
        </is>
      </c>
      <c r="X2011" s="110" t="inlineStr">
        <is>
          <t>Pedido de Compra</t>
        </is>
      </c>
      <c r="Y2011" s="111" t="inlineStr">
        <is>
          <t>Impacto Potencial</t>
        </is>
      </c>
      <c r="Z2011" s="111" t="inlineStr">
        <is>
          <t>PC</t>
        </is>
      </c>
      <c r="AA2011" s="111" t="inlineStr">
        <is>
          <t>Nao</t>
        </is>
      </c>
      <c r="AB2011" s="111" t="inlineStr">
        <is>
          <t>NAO_COMPUTADO</t>
        </is>
      </c>
      <c r="AC2011" s="112" t="inlineStr">
        <is>
          <t>Estrutura Fase 1: sem impacto no VTA oficial</t>
        </is>
      </c>
    </row>
    <row r="2012" ht="25.5" customHeight="1" s="289">
      <c r="A2012" s="205" t="n"/>
      <c r="B2012" s="207" t="n"/>
      <c r="C2012" s="104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348" t="n"/>
      <c r="E2012" s="349">
        <f>IF(C2012="","",IFERROR(VLOOKUP(C2012,parametros!$A$11:$E$15,5,0),""))</f>
        <v/>
      </c>
      <c r="F2012" s="335">
        <f>IF(OR(D2012="",E2012=""),"",ROUND(D2012*E2012,2))</f>
        <v/>
      </c>
      <c r="G2012" s="106" t="n"/>
      <c r="H2012" s="350">
        <f>IF(G2012="Sim",IF(OR(F2012="",D2012="",L2012=""),"",IF(L2012="Sim",ROUND(F2012-D2012,2),0)),0)</f>
        <v/>
      </c>
      <c r="I2012" s="350">
        <f>IF(G2012="Sim",0,IF(OR(F2012="",L2012=""),"",F2012))</f>
        <v/>
      </c>
      <c r="J2012" s="350">
        <f>IF(G2012="Sim",0,IF(OR(F2012="",D2012="",L2012=""),"",IF(L2012="Sim",ROUND(F2012-D2012,2),0)))</f>
        <v/>
      </c>
      <c r="K2012" s="97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inlineStr">
        <is>
          <t>Nao</t>
        </is>
      </c>
      <c r="W2012" s="110" t="inlineStr">
        <is>
          <t>PC em analise</t>
        </is>
      </c>
      <c r="X2012" s="110" t="inlineStr">
        <is>
          <t>Pedido de Compra</t>
        </is>
      </c>
      <c r="Y2012" s="111" t="inlineStr">
        <is>
          <t>Impacto Potencial</t>
        </is>
      </c>
      <c r="Z2012" s="111" t="inlineStr">
        <is>
          <t>PC</t>
        </is>
      </c>
      <c r="AA2012" s="111" t="inlineStr">
        <is>
          <t>Nao</t>
        </is>
      </c>
      <c r="AB2012" s="111" t="inlineStr">
        <is>
          <t>NAO_COMPUTADO</t>
        </is>
      </c>
      <c r="AC2012" s="112" t="inlineStr">
        <is>
          <t>Estrutura Fase 1: sem impacto no VTA oficial</t>
        </is>
      </c>
    </row>
    <row r="2013" ht="25.5" customHeight="1" s="289">
      <c r="A2013" s="205" t="n"/>
      <c r="B2013" s="207" t="n"/>
      <c r="C2013" s="104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348" t="n"/>
      <c r="E2013" s="349">
        <f>IF(C2013="","",IFERROR(VLOOKUP(C2013,parametros!$A$11:$E$15,5,0),""))</f>
        <v/>
      </c>
      <c r="F2013" s="335">
        <f>IF(OR(D2013="",E2013=""),"",ROUND(D2013*E2013,2))</f>
        <v/>
      </c>
      <c r="G2013" s="106" t="n"/>
      <c r="H2013" s="350">
        <f>IF(G2013="Sim",IF(OR(F2013="",D2013="",L2013=""),"",IF(L2013="Sim",ROUND(F2013-D2013,2),0)),0)</f>
        <v/>
      </c>
      <c r="I2013" s="350">
        <f>IF(G2013="Sim",0,IF(OR(F2013="",L2013=""),"",F2013))</f>
        <v/>
      </c>
      <c r="J2013" s="350">
        <f>IF(G2013="Sim",0,IF(OR(F2013="",D2013="",L2013=""),"",IF(L2013="Sim",ROUND(F2013-D2013,2),0)))</f>
        <v/>
      </c>
      <c r="K2013" s="97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inlineStr">
        <is>
          <t>Nao</t>
        </is>
      </c>
      <c r="W2013" s="110" t="inlineStr">
        <is>
          <t>PC em analise</t>
        </is>
      </c>
      <c r="X2013" s="110" t="inlineStr">
        <is>
          <t>Pedido de Compra</t>
        </is>
      </c>
      <c r="Y2013" s="111" t="inlineStr">
        <is>
          <t>Impacto Potencial</t>
        </is>
      </c>
      <c r="Z2013" s="111" t="inlineStr">
        <is>
          <t>PC</t>
        </is>
      </c>
      <c r="AA2013" s="111" t="inlineStr">
        <is>
          <t>Nao</t>
        </is>
      </c>
      <c r="AB2013" s="111" t="inlineStr">
        <is>
          <t>NAO_COMPUTADO</t>
        </is>
      </c>
      <c r="AC2013" s="112" t="inlineStr">
        <is>
          <t>Estrutura Fase 1: sem impacto no VTA oficial</t>
        </is>
      </c>
    </row>
    <row r="2014" ht="25.5" customHeight="1" s="289">
      <c r="A2014" s="205" t="n"/>
      <c r="B2014" s="207" t="n"/>
      <c r="C2014" s="104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348" t="n"/>
      <c r="E2014" s="349">
        <f>IF(C2014="","",IFERROR(VLOOKUP(C2014,parametros!$A$11:$E$15,5,0),""))</f>
        <v/>
      </c>
      <c r="F2014" s="335">
        <f>IF(OR(D2014="",E2014=""),"",ROUND(D2014*E2014,2))</f>
        <v/>
      </c>
      <c r="G2014" s="106" t="n"/>
      <c r="H2014" s="350">
        <f>IF(G2014="Sim",IF(OR(F2014="",D2014="",L2014=""),"",IF(L2014="Sim",ROUND(F2014-D2014,2),0)),0)</f>
        <v/>
      </c>
      <c r="I2014" s="350">
        <f>IF(G2014="Sim",0,IF(OR(F2014="",L2014=""),"",F2014))</f>
        <v/>
      </c>
      <c r="J2014" s="350">
        <f>IF(G2014="Sim",0,IF(OR(F2014="",D2014="",L2014=""),"",IF(L2014="Sim",ROUND(F2014-D2014,2),0)))</f>
        <v/>
      </c>
      <c r="K2014" s="97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inlineStr">
        <is>
          <t>Nao</t>
        </is>
      </c>
      <c r="W2014" s="110" t="inlineStr">
        <is>
          <t>PC em analise</t>
        </is>
      </c>
      <c r="X2014" s="110" t="inlineStr">
        <is>
          <t>Pedido de Compra</t>
        </is>
      </c>
      <c r="Y2014" s="111" t="inlineStr">
        <is>
          <t>Impacto Potencial</t>
        </is>
      </c>
      <c r="Z2014" s="111" t="inlineStr">
        <is>
          <t>PC</t>
        </is>
      </c>
      <c r="AA2014" s="111" t="inlineStr">
        <is>
          <t>Nao</t>
        </is>
      </c>
      <c r="AB2014" s="111" t="inlineStr">
        <is>
          <t>NAO_COMPUTADO</t>
        </is>
      </c>
      <c r="AC2014" s="112" t="inlineStr">
        <is>
          <t>Estrutura Fase 1: sem impacto no VTA oficial</t>
        </is>
      </c>
    </row>
    <row r="2015" ht="25.5" customHeight="1" s="289">
      <c r="A2015" s="205" t="n"/>
      <c r="B2015" s="207" t="n"/>
      <c r="C2015" s="104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348" t="n"/>
      <c r="E2015" s="349">
        <f>IF(C2015="","",IFERROR(VLOOKUP(C2015,parametros!$A$11:$E$15,5,0),""))</f>
        <v/>
      </c>
      <c r="F2015" s="335">
        <f>IF(OR(D2015="",E2015=""),"",ROUND(D2015*E2015,2))</f>
        <v/>
      </c>
      <c r="G2015" s="106" t="n"/>
      <c r="H2015" s="350">
        <f>IF(G2015="Sim",IF(OR(F2015="",D2015="",L2015=""),"",IF(L2015="Sim",ROUND(F2015-D2015,2),0)),0)</f>
        <v/>
      </c>
      <c r="I2015" s="350">
        <f>IF(G2015="Sim",0,IF(OR(F2015="",L2015=""),"",F2015))</f>
        <v/>
      </c>
      <c r="J2015" s="350">
        <f>IF(G2015="Sim",0,IF(OR(F2015="",D2015="",L2015=""),"",IF(L2015="Sim",ROUND(F2015-D2015,2),0)))</f>
        <v/>
      </c>
      <c r="K2015" s="97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inlineStr">
        <is>
          <t>Nao</t>
        </is>
      </c>
      <c r="W2015" s="110" t="inlineStr">
        <is>
          <t>PC em analise</t>
        </is>
      </c>
      <c r="X2015" s="110" t="inlineStr">
        <is>
          <t>Pedido de Compra</t>
        </is>
      </c>
      <c r="Y2015" s="111" t="inlineStr">
        <is>
          <t>Impacto Potencial</t>
        </is>
      </c>
      <c r="Z2015" s="111" t="inlineStr">
        <is>
          <t>PC</t>
        </is>
      </c>
      <c r="AA2015" s="111" t="inlineStr">
        <is>
          <t>Nao</t>
        </is>
      </c>
      <c r="AB2015" s="111" t="inlineStr">
        <is>
          <t>NAO_COMPUTADO</t>
        </is>
      </c>
      <c r="AC2015" s="112" t="inlineStr">
        <is>
          <t>Estrutura Fase 1: sem impacto no VTA oficial</t>
        </is>
      </c>
    </row>
    <row r="2016" ht="25.5" customHeight="1" s="289">
      <c r="A2016" s="205" t="n"/>
      <c r="B2016" s="207" t="n"/>
      <c r="C2016" s="104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348" t="n"/>
      <c r="E2016" s="349">
        <f>IF(C2016="","",IFERROR(VLOOKUP(C2016,parametros!$A$11:$E$15,5,0),""))</f>
        <v/>
      </c>
      <c r="F2016" s="335">
        <f>IF(OR(D2016="",E2016=""),"",ROUND(D2016*E2016,2))</f>
        <v/>
      </c>
      <c r="G2016" s="106" t="n"/>
      <c r="H2016" s="350">
        <f>IF(G2016="Sim",IF(OR(F2016="",D2016="",L2016=""),"",IF(L2016="Sim",ROUND(F2016-D2016,2),0)),0)</f>
        <v/>
      </c>
      <c r="I2016" s="350">
        <f>IF(G2016="Sim",0,IF(OR(F2016="",L2016=""),"",F2016))</f>
        <v/>
      </c>
      <c r="J2016" s="350">
        <f>IF(G2016="Sim",0,IF(OR(F2016="",D2016="",L2016=""),"",IF(L2016="Sim",ROUND(F2016-D2016,2),0)))</f>
        <v/>
      </c>
      <c r="K2016" s="97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inlineStr">
        <is>
          <t>Nao</t>
        </is>
      </c>
      <c r="W2016" s="110" t="inlineStr">
        <is>
          <t>PC em analise</t>
        </is>
      </c>
      <c r="X2016" s="110" t="inlineStr">
        <is>
          <t>Pedido de Compra</t>
        </is>
      </c>
      <c r="Y2016" s="111" t="inlineStr">
        <is>
          <t>Impacto Potencial</t>
        </is>
      </c>
      <c r="Z2016" s="111" t="inlineStr">
        <is>
          <t>PC</t>
        </is>
      </c>
      <c r="AA2016" s="111" t="inlineStr">
        <is>
          <t>Nao</t>
        </is>
      </c>
      <c r="AB2016" s="111" t="inlineStr">
        <is>
          <t>NAO_COMPUTADO</t>
        </is>
      </c>
      <c r="AC2016" s="112" t="inlineStr">
        <is>
          <t>Estrutura Fase 1: sem impacto no VTA oficial</t>
        </is>
      </c>
    </row>
    <row r="2017" ht="25.5" customHeight="1" s="289">
      <c r="A2017" s="205" t="n"/>
      <c r="B2017" s="207" t="n"/>
      <c r="C2017" s="104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348" t="n"/>
      <c r="E2017" s="349">
        <f>IF(C2017="","",IFERROR(VLOOKUP(C2017,parametros!$A$11:$E$15,5,0),""))</f>
        <v/>
      </c>
      <c r="F2017" s="335">
        <f>IF(OR(D2017="",E2017=""),"",ROUND(D2017*E2017,2))</f>
        <v/>
      </c>
      <c r="G2017" s="106" t="n"/>
      <c r="H2017" s="350">
        <f>IF(G2017="Sim",IF(OR(F2017="",D2017="",L2017=""),"",IF(L2017="Sim",ROUND(F2017-D2017,2),0)),0)</f>
        <v/>
      </c>
      <c r="I2017" s="350">
        <f>IF(G2017="Sim",0,IF(OR(F2017="",L2017=""),"",F2017))</f>
        <v/>
      </c>
      <c r="J2017" s="350">
        <f>IF(G2017="Sim",0,IF(OR(F2017="",D2017="",L2017=""),"",IF(L2017="Sim",ROUND(F2017-D2017,2),0)))</f>
        <v/>
      </c>
      <c r="K2017" s="97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inlineStr">
        <is>
          <t>Nao</t>
        </is>
      </c>
      <c r="W2017" s="110" t="inlineStr">
        <is>
          <t>PC em analise</t>
        </is>
      </c>
      <c r="X2017" s="110" t="inlineStr">
        <is>
          <t>Pedido de Compra</t>
        </is>
      </c>
      <c r="Y2017" s="111" t="inlineStr">
        <is>
          <t>Impacto Potencial</t>
        </is>
      </c>
      <c r="Z2017" s="111" t="inlineStr">
        <is>
          <t>PC</t>
        </is>
      </c>
      <c r="AA2017" s="111" t="inlineStr">
        <is>
          <t>Nao</t>
        </is>
      </c>
      <c r="AB2017" s="111" t="inlineStr">
        <is>
          <t>NAO_COMPUTADO</t>
        </is>
      </c>
      <c r="AC2017" s="112" t="inlineStr">
        <is>
          <t>Estrutura Fase 1: sem impacto no VTA oficial</t>
        </is>
      </c>
    </row>
    <row r="2018" ht="25.5" customHeight="1" s="289">
      <c r="A2018" s="205" t="n"/>
      <c r="B2018" s="207" t="n"/>
      <c r="C2018" s="104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348" t="n"/>
      <c r="E2018" s="349">
        <f>IF(C2018="","",IFERROR(VLOOKUP(C2018,parametros!$A$11:$E$15,5,0),""))</f>
        <v/>
      </c>
      <c r="F2018" s="335">
        <f>IF(OR(D2018="",E2018=""),"",ROUND(D2018*E2018,2))</f>
        <v/>
      </c>
      <c r="G2018" s="106" t="n"/>
      <c r="H2018" s="350">
        <f>IF(G2018="Sim",IF(OR(F2018="",D2018="",L2018=""),"",IF(L2018="Sim",ROUND(F2018-D2018,2),0)),0)</f>
        <v/>
      </c>
      <c r="I2018" s="350">
        <f>IF(G2018="Sim",0,IF(OR(F2018="",L2018=""),"",F2018))</f>
        <v/>
      </c>
      <c r="J2018" s="350">
        <f>IF(G2018="Sim",0,IF(OR(F2018="",D2018="",L2018=""),"",IF(L2018="Sim",ROUND(F2018-D2018,2),0)))</f>
        <v/>
      </c>
      <c r="K2018" s="97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inlineStr">
        <is>
          <t>Nao</t>
        </is>
      </c>
      <c r="W2018" s="110" t="inlineStr">
        <is>
          <t>PC em analise</t>
        </is>
      </c>
      <c r="X2018" s="110" t="inlineStr">
        <is>
          <t>Pedido de Compra</t>
        </is>
      </c>
      <c r="Y2018" s="111" t="inlineStr">
        <is>
          <t>Impacto Potencial</t>
        </is>
      </c>
      <c r="Z2018" s="111" t="inlineStr">
        <is>
          <t>PC</t>
        </is>
      </c>
      <c r="AA2018" s="111" t="inlineStr">
        <is>
          <t>Nao</t>
        </is>
      </c>
      <c r="AB2018" s="111" t="inlineStr">
        <is>
          <t>NAO_COMPUTADO</t>
        </is>
      </c>
      <c r="AC2018" s="112" t="inlineStr">
        <is>
          <t>Estrutura Fase 1: sem impacto no VTA oficial</t>
        </is>
      </c>
    </row>
    <row r="2019" ht="25.5" customHeight="1" s="289">
      <c r="A2019" s="205" t="n"/>
      <c r="B2019" s="207" t="n"/>
      <c r="C2019" s="104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348" t="n"/>
      <c r="E2019" s="349">
        <f>IF(C2019="","",IFERROR(VLOOKUP(C2019,parametros!$A$11:$E$15,5,0),""))</f>
        <v/>
      </c>
      <c r="F2019" s="335">
        <f>IF(OR(D2019="",E2019=""),"",ROUND(D2019*E2019,2))</f>
        <v/>
      </c>
      <c r="G2019" s="106" t="n"/>
      <c r="H2019" s="350">
        <f>IF(G2019="Sim",IF(OR(F2019="",D2019="",L2019=""),"",IF(L2019="Sim",ROUND(F2019-D2019,2),0)),0)</f>
        <v/>
      </c>
      <c r="I2019" s="350">
        <f>IF(G2019="Sim",0,IF(OR(F2019="",L2019=""),"",F2019))</f>
        <v/>
      </c>
      <c r="J2019" s="350">
        <f>IF(G2019="Sim",0,IF(OR(F2019="",D2019="",L2019=""),"",IF(L2019="Sim",ROUND(F2019-D2019,2),0)))</f>
        <v/>
      </c>
      <c r="K2019" s="97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inlineStr">
        <is>
          <t>Nao</t>
        </is>
      </c>
      <c r="W2019" s="110" t="inlineStr">
        <is>
          <t>PC em analise</t>
        </is>
      </c>
      <c r="X2019" s="110" t="inlineStr">
        <is>
          <t>Pedido de Compra</t>
        </is>
      </c>
      <c r="Y2019" s="111" t="inlineStr">
        <is>
          <t>Impacto Potencial</t>
        </is>
      </c>
      <c r="Z2019" s="111" t="inlineStr">
        <is>
          <t>PC</t>
        </is>
      </c>
      <c r="AA2019" s="111" t="inlineStr">
        <is>
          <t>Nao</t>
        </is>
      </c>
      <c r="AB2019" s="111" t="inlineStr">
        <is>
          <t>NAO_COMPUTADO</t>
        </is>
      </c>
      <c r="AC2019" s="112" t="inlineStr">
        <is>
          <t>Estrutura Fase 1: sem impacto no VTA oficial</t>
        </is>
      </c>
    </row>
    <row r="2020" ht="25.5" customHeight="1" s="289">
      <c r="A2020" s="205" t="n"/>
      <c r="B2020" s="207" t="n"/>
      <c r="C2020" s="104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348" t="n"/>
      <c r="E2020" s="349">
        <f>IF(C2020="","",IFERROR(VLOOKUP(C2020,parametros!$A$11:$E$15,5,0),""))</f>
        <v/>
      </c>
      <c r="F2020" s="335">
        <f>IF(OR(D2020="",E2020=""),"",ROUND(D2020*E2020,2))</f>
        <v/>
      </c>
      <c r="G2020" s="106" t="n"/>
      <c r="H2020" s="350">
        <f>IF(G2020="Sim",IF(OR(F2020="",D2020="",L2020=""),"",IF(L2020="Sim",ROUND(F2020-D2020,2),0)),0)</f>
        <v/>
      </c>
      <c r="I2020" s="350">
        <f>IF(G2020="Sim",0,IF(OR(F2020="",L2020=""),"",F2020))</f>
        <v/>
      </c>
      <c r="J2020" s="350">
        <f>IF(G2020="Sim",0,IF(OR(F2020="",D2020="",L2020=""),"",IF(L2020="Sim",ROUND(F2020-D2020,2),0)))</f>
        <v/>
      </c>
      <c r="K2020" s="97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inlineStr">
        <is>
          <t>Nao</t>
        </is>
      </c>
      <c r="W2020" s="110" t="inlineStr">
        <is>
          <t>PC em analise</t>
        </is>
      </c>
      <c r="X2020" s="110" t="inlineStr">
        <is>
          <t>Pedido de Compra</t>
        </is>
      </c>
      <c r="Y2020" s="111" t="inlineStr">
        <is>
          <t>Impacto Potencial</t>
        </is>
      </c>
      <c r="Z2020" s="111" t="inlineStr">
        <is>
          <t>PC</t>
        </is>
      </c>
      <c r="AA2020" s="111" t="inlineStr">
        <is>
          <t>Nao</t>
        </is>
      </c>
      <c r="AB2020" s="111" t="inlineStr">
        <is>
          <t>NAO_COMPUTADO</t>
        </is>
      </c>
      <c r="AC2020" s="112" t="inlineStr">
        <is>
          <t>Estrutura Fase 1: sem impacto no VTA oficial</t>
        </is>
      </c>
    </row>
    <row r="2021" ht="25.5" customHeight="1" s="289">
      <c r="A2021" s="205" t="n"/>
      <c r="B2021" s="207" t="n"/>
      <c r="C2021" s="104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348" t="n"/>
      <c r="E2021" s="349">
        <f>IF(C2021="","",IFERROR(VLOOKUP(C2021,parametros!$A$11:$E$15,5,0),""))</f>
        <v/>
      </c>
      <c r="F2021" s="335">
        <f>IF(OR(D2021="",E2021=""),"",ROUND(D2021*E2021,2))</f>
        <v/>
      </c>
      <c r="G2021" s="106" t="n"/>
      <c r="H2021" s="350">
        <f>IF(G2021="Sim",IF(OR(F2021="",D2021="",L2021=""),"",IF(L2021="Sim",ROUND(F2021-D2021,2),0)),0)</f>
        <v/>
      </c>
      <c r="I2021" s="350">
        <f>IF(G2021="Sim",0,IF(OR(F2021="",L2021=""),"",F2021))</f>
        <v/>
      </c>
      <c r="J2021" s="350">
        <f>IF(G2021="Sim",0,IF(OR(F2021="",D2021="",L2021=""),"",IF(L2021="Sim",ROUND(F2021-D2021,2),0)))</f>
        <v/>
      </c>
      <c r="K2021" s="97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inlineStr">
        <is>
          <t>Nao</t>
        </is>
      </c>
      <c r="W2021" s="110" t="inlineStr">
        <is>
          <t>PC em analise</t>
        </is>
      </c>
      <c r="X2021" s="110" t="inlineStr">
        <is>
          <t>Pedido de Compra</t>
        </is>
      </c>
      <c r="Y2021" s="111" t="inlineStr">
        <is>
          <t>Impacto Potencial</t>
        </is>
      </c>
      <c r="Z2021" s="111" t="inlineStr">
        <is>
          <t>PC</t>
        </is>
      </c>
      <c r="AA2021" s="111" t="inlineStr">
        <is>
          <t>Nao</t>
        </is>
      </c>
      <c r="AB2021" s="111" t="inlineStr">
        <is>
          <t>NAO_COMPUTADO</t>
        </is>
      </c>
      <c r="AC2021" s="112" t="inlineStr">
        <is>
          <t>Estrutura Fase 1: sem impacto no VTA oficial</t>
        </is>
      </c>
    </row>
    <row r="2022" ht="25.5" customHeight="1" s="289">
      <c r="A2022" s="205" t="n"/>
      <c r="B2022" s="207" t="n"/>
      <c r="C2022" s="104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348" t="n"/>
      <c r="E2022" s="349">
        <f>IF(C2022="","",IFERROR(VLOOKUP(C2022,parametros!$A$11:$E$15,5,0),""))</f>
        <v/>
      </c>
      <c r="F2022" s="335">
        <f>IF(OR(D2022="",E2022=""),"",ROUND(D2022*E2022,2))</f>
        <v/>
      </c>
      <c r="G2022" s="106" t="n"/>
      <c r="H2022" s="350">
        <f>IF(G2022="Sim",IF(OR(F2022="",D2022="",L2022=""),"",IF(L2022="Sim",ROUND(F2022-D2022,2),0)),0)</f>
        <v/>
      </c>
      <c r="I2022" s="350">
        <f>IF(G2022="Sim",0,IF(OR(F2022="",L2022=""),"",F2022))</f>
        <v/>
      </c>
      <c r="J2022" s="350">
        <f>IF(G2022="Sim",0,IF(OR(F2022="",D2022="",L2022=""),"",IF(L2022="Sim",ROUND(F2022-D2022,2),0)))</f>
        <v/>
      </c>
      <c r="K2022" s="97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inlineStr">
        <is>
          <t>Nao</t>
        </is>
      </c>
      <c r="W2022" s="110" t="inlineStr">
        <is>
          <t>PC em analise</t>
        </is>
      </c>
      <c r="X2022" s="110" t="inlineStr">
        <is>
          <t>Pedido de Compra</t>
        </is>
      </c>
      <c r="Y2022" s="111" t="inlineStr">
        <is>
          <t>Impacto Potencial</t>
        </is>
      </c>
      <c r="Z2022" s="111" t="inlineStr">
        <is>
          <t>PC</t>
        </is>
      </c>
      <c r="AA2022" s="111" t="inlineStr">
        <is>
          <t>Nao</t>
        </is>
      </c>
      <c r="AB2022" s="111" t="inlineStr">
        <is>
          <t>NAO_COMPUTADO</t>
        </is>
      </c>
      <c r="AC2022" s="112" t="inlineStr">
        <is>
          <t>Estrutura Fase 1: sem impacto no VTA oficial</t>
        </is>
      </c>
    </row>
    <row r="2023" ht="25.5" customHeight="1" s="289">
      <c r="A2023" s="205" t="n"/>
      <c r="B2023" s="207" t="n"/>
      <c r="C2023" s="104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348" t="n"/>
      <c r="E2023" s="349">
        <f>IF(C2023="","",IFERROR(VLOOKUP(C2023,parametros!$A$11:$E$15,5,0),""))</f>
        <v/>
      </c>
      <c r="F2023" s="335">
        <f>IF(OR(D2023="",E2023=""),"",ROUND(D2023*E2023,2))</f>
        <v/>
      </c>
      <c r="G2023" s="106" t="n"/>
      <c r="H2023" s="350">
        <f>IF(G2023="Sim",IF(OR(F2023="",D2023="",L2023=""),"",IF(L2023="Sim",ROUND(F2023-D2023,2),0)),0)</f>
        <v/>
      </c>
      <c r="I2023" s="350">
        <f>IF(G2023="Sim",0,IF(OR(F2023="",L2023=""),"",F2023))</f>
        <v/>
      </c>
      <c r="J2023" s="350">
        <f>IF(G2023="Sim",0,IF(OR(F2023="",D2023="",L2023=""),"",IF(L2023="Sim",ROUND(F2023-D2023,2),0)))</f>
        <v/>
      </c>
      <c r="K2023" s="97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inlineStr">
        <is>
          <t>Nao</t>
        </is>
      </c>
      <c r="W2023" s="110" t="inlineStr">
        <is>
          <t>PC em analise</t>
        </is>
      </c>
      <c r="X2023" s="110" t="inlineStr">
        <is>
          <t>Pedido de Compra</t>
        </is>
      </c>
      <c r="Y2023" s="111" t="inlineStr">
        <is>
          <t>Impacto Potencial</t>
        </is>
      </c>
      <c r="Z2023" s="111" t="inlineStr">
        <is>
          <t>PC</t>
        </is>
      </c>
      <c r="AA2023" s="111" t="inlineStr">
        <is>
          <t>Nao</t>
        </is>
      </c>
      <c r="AB2023" s="111" t="inlineStr">
        <is>
          <t>NAO_COMPUTADO</t>
        </is>
      </c>
      <c r="AC2023" s="112" t="inlineStr">
        <is>
          <t>Estrutura Fase 1: sem impacto no VTA oficial</t>
        </is>
      </c>
    </row>
    <row r="2024" ht="25.5" customHeight="1" s="289">
      <c r="A2024" s="205" t="n"/>
      <c r="B2024" s="207" t="n"/>
      <c r="C2024" s="104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348" t="n"/>
      <c r="E2024" s="349">
        <f>IF(C2024="","",IFERROR(VLOOKUP(C2024,parametros!$A$11:$E$15,5,0),""))</f>
        <v/>
      </c>
      <c r="F2024" s="335">
        <f>IF(OR(D2024="",E2024=""),"",ROUND(D2024*E2024,2))</f>
        <v/>
      </c>
      <c r="G2024" s="106" t="n"/>
      <c r="H2024" s="350">
        <f>IF(G2024="Sim",IF(OR(F2024="",D2024="",L2024=""),"",IF(L2024="Sim",ROUND(F2024-D2024,2),0)),0)</f>
        <v/>
      </c>
      <c r="I2024" s="350">
        <f>IF(G2024="Sim",0,IF(OR(F2024="",L2024=""),"",F2024))</f>
        <v/>
      </c>
      <c r="J2024" s="350">
        <f>IF(G2024="Sim",0,IF(OR(F2024="",D2024="",L2024=""),"",IF(L2024="Sim",ROUND(F2024-D2024,2),0)))</f>
        <v/>
      </c>
      <c r="K2024" s="97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inlineStr">
        <is>
          <t>Nao</t>
        </is>
      </c>
      <c r="W2024" s="110" t="inlineStr">
        <is>
          <t>PC em analise</t>
        </is>
      </c>
      <c r="X2024" s="110" t="inlineStr">
        <is>
          <t>Pedido de Compra</t>
        </is>
      </c>
      <c r="Y2024" s="111" t="inlineStr">
        <is>
          <t>Impacto Potencial</t>
        </is>
      </c>
      <c r="Z2024" s="111" t="inlineStr">
        <is>
          <t>PC</t>
        </is>
      </c>
      <c r="AA2024" s="111" t="inlineStr">
        <is>
          <t>Nao</t>
        </is>
      </c>
      <c r="AB2024" s="111" t="inlineStr">
        <is>
          <t>NAO_COMPUTADO</t>
        </is>
      </c>
      <c r="AC2024" s="112" t="inlineStr">
        <is>
          <t>Estrutura Fase 1: sem impacto no VTA oficial</t>
        </is>
      </c>
    </row>
    <row r="2025" ht="25.5" customHeight="1" s="289">
      <c r="A2025" s="205" t="n"/>
      <c r="B2025" s="207" t="n"/>
      <c r="C2025" s="104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348" t="n"/>
      <c r="E2025" s="349">
        <f>IF(C2025="","",IFERROR(VLOOKUP(C2025,parametros!$A$11:$E$15,5,0),""))</f>
        <v/>
      </c>
      <c r="F2025" s="335">
        <f>IF(OR(D2025="",E2025=""),"",ROUND(D2025*E2025,2))</f>
        <v/>
      </c>
      <c r="G2025" s="106" t="n"/>
      <c r="H2025" s="350">
        <f>IF(G2025="Sim",IF(OR(F2025="",D2025="",L2025=""),"",IF(L2025="Sim",ROUND(F2025-D2025,2),0)),0)</f>
        <v/>
      </c>
      <c r="I2025" s="350">
        <f>IF(G2025="Sim",0,IF(OR(F2025="",L2025=""),"",F2025))</f>
        <v/>
      </c>
      <c r="J2025" s="350">
        <f>IF(G2025="Sim",0,IF(OR(F2025="",D2025="",L2025=""),"",IF(L2025="Sim",ROUND(F2025-D2025,2),0)))</f>
        <v/>
      </c>
      <c r="K2025" s="97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inlineStr">
        <is>
          <t>Nao</t>
        </is>
      </c>
      <c r="W2025" s="110" t="inlineStr">
        <is>
          <t>PC em analise</t>
        </is>
      </c>
      <c r="X2025" s="110" t="inlineStr">
        <is>
          <t>Pedido de Compra</t>
        </is>
      </c>
      <c r="Y2025" s="111" t="inlineStr">
        <is>
          <t>Impacto Potencial</t>
        </is>
      </c>
      <c r="Z2025" s="111" t="inlineStr">
        <is>
          <t>PC</t>
        </is>
      </c>
      <c r="AA2025" s="111" t="inlineStr">
        <is>
          <t>Nao</t>
        </is>
      </c>
      <c r="AB2025" s="111" t="inlineStr">
        <is>
          <t>NAO_COMPUTADO</t>
        </is>
      </c>
      <c r="AC2025" s="112" t="inlineStr">
        <is>
          <t>Estrutura Fase 1: sem impacto no VTA oficial</t>
        </is>
      </c>
    </row>
    <row r="2026" ht="25.5" customHeight="1" s="289">
      <c r="A2026" s="205" t="n"/>
      <c r="B2026" s="207" t="n"/>
      <c r="C2026" s="104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348" t="n"/>
      <c r="E2026" s="349">
        <f>IF(C2026="","",IFERROR(VLOOKUP(C2026,parametros!$A$11:$E$15,5,0),""))</f>
        <v/>
      </c>
      <c r="F2026" s="335">
        <f>IF(OR(D2026="",E2026=""),"",ROUND(D2026*E2026,2))</f>
        <v/>
      </c>
      <c r="G2026" s="106" t="n"/>
      <c r="H2026" s="350">
        <f>IF(G2026="Sim",IF(OR(F2026="",D2026="",L2026=""),"",IF(L2026="Sim",ROUND(F2026-D2026,2),0)),0)</f>
        <v/>
      </c>
      <c r="I2026" s="350">
        <f>IF(G2026="Sim",0,IF(OR(F2026="",L2026=""),"",F2026))</f>
        <v/>
      </c>
      <c r="J2026" s="350">
        <f>IF(G2026="Sim",0,IF(OR(F2026="",D2026="",L2026=""),"",IF(L2026="Sim",ROUND(F2026-D2026,2),0)))</f>
        <v/>
      </c>
      <c r="K2026" s="97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inlineStr">
        <is>
          <t>Nao</t>
        </is>
      </c>
      <c r="W2026" s="110" t="inlineStr">
        <is>
          <t>PC em analise</t>
        </is>
      </c>
      <c r="X2026" s="110" t="inlineStr">
        <is>
          <t>Pedido de Compra</t>
        </is>
      </c>
      <c r="Y2026" s="111" t="inlineStr">
        <is>
          <t>Impacto Potencial</t>
        </is>
      </c>
      <c r="Z2026" s="111" t="inlineStr">
        <is>
          <t>PC</t>
        </is>
      </c>
      <c r="AA2026" s="111" t="inlineStr">
        <is>
          <t>Nao</t>
        </is>
      </c>
      <c r="AB2026" s="111" t="inlineStr">
        <is>
          <t>NAO_COMPUTADO</t>
        </is>
      </c>
      <c r="AC2026" s="112" t="inlineStr">
        <is>
          <t>Estrutura Fase 1: sem impacto no VTA oficial</t>
        </is>
      </c>
    </row>
    <row r="2027" ht="25.5" customHeight="1" s="289">
      <c r="A2027" s="205" t="n"/>
      <c r="B2027" s="207" t="n"/>
      <c r="C2027" s="104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348" t="n"/>
      <c r="E2027" s="349">
        <f>IF(C2027="","",IFERROR(VLOOKUP(C2027,parametros!$A$11:$E$15,5,0),""))</f>
        <v/>
      </c>
      <c r="F2027" s="335">
        <f>IF(OR(D2027="",E2027=""),"",ROUND(D2027*E2027,2))</f>
        <v/>
      </c>
      <c r="G2027" s="106" t="n"/>
      <c r="H2027" s="350">
        <f>IF(G2027="Sim",IF(OR(F2027="",D2027="",L2027=""),"",IF(L2027="Sim",ROUND(F2027-D2027,2),0)),0)</f>
        <v/>
      </c>
      <c r="I2027" s="350">
        <f>IF(G2027="Sim",0,IF(OR(F2027="",L2027=""),"",F2027))</f>
        <v/>
      </c>
      <c r="J2027" s="350">
        <f>IF(G2027="Sim",0,IF(OR(F2027="",D2027="",L2027=""),"",IF(L2027="Sim",ROUND(F2027-D2027,2),0)))</f>
        <v/>
      </c>
      <c r="K2027" s="97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inlineStr">
        <is>
          <t>Nao</t>
        </is>
      </c>
      <c r="W2027" s="110" t="inlineStr">
        <is>
          <t>PC em analise</t>
        </is>
      </c>
      <c r="X2027" s="110" t="inlineStr">
        <is>
          <t>Pedido de Compra</t>
        </is>
      </c>
      <c r="Y2027" s="111" t="inlineStr">
        <is>
          <t>Impacto Potencial</t>
        </is>
      </c>
      <c r="Z2027" s="111" t="inlineStr">
        <is>
          <t>PC</t>
        </is>
      </c>
      <c r="AA2027" s="111" t="inlineStr">
        <is>
          <t>Nao</t>
        </is>
      </c>
      <c r="AB2027" s="111" t="inlineStr">
        <is>
          <t>NAO_COMPUTADO</t>
        </is>
      </c>
      <c r="AC2027" s="112" t="inlineStr">
        <is>
          <t>Estrutura Fase 1: sem impacto no VTA oficial</t>
        </is>
      </c>
    </row>
    <row r="2028" ht="25.5" customHeight="1" s="289">
      <c r="A2028" s="205" t="n"/>
      <c r="B2028" s="207" t="n"/>
      <c r="C2028" s="104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348" t="n"/>
      <c r="E2028" s="349">
        <f>IF(C2028="","",IFERROR(VLOOKUP(C2028,parametros!$A$11:$E$15,5,0),""))</f>
        <v/>
      </c>
      <c r="F2028" s="335">
        <f>IF(OR(D2028="",E2028=""),"",ROUND(D2028*E2028,2))</f>
        <v/>
      </c>
      <c r="G2028" s="106" t="n"/>
      <c r="H2028" s="350">
        <f>IF(G2028="Sim",IF(OR(F2028="",D2028="",L2028=""),"",IF(L2028="Sim",ROUND(F2028-D2028,2),0)),0)</f>
        <v/>
      </c>
      <c r="I2028" s="350">
        <f>IF(G2028="Sim",0,IF(OR(F2028="",L2028=""),"",F2028))</f>
        <v/>
      </c>
      <c r="J2028" s="350">
        <f>IF(G2028="Sim",0,IF(OR(F2028="",D2028="",L2028=""),"",IF(L2028="Sim",ROUND(F2028-D2028,2),0)))</f>
        <v/>
      </c>
      <c r="K2028" s="97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inlineStr">
        <is>
          <t>Nao</t>
        </is>
      </c>
      <c r="W2028" s="110" t="inlineStr">
        <is>
          <t>PC em analise</t>
        </is>
      </c>
      <c r="X2028" s="110" t="inlineStr">
        <is>
          <t>Pedido de Compra</t>
        </is>
      </c>
      <c r="Y2028" s="111" t="inlineStr">
        <is>
          <t>Impacto Potencial</t>
        </is>
      </c>
      <c r="Z2028" s="111" t="inlineStr">
        <is>
          <t>PC</t>
        </is>
      </c>
      <c r="AA2028" s="111" t="inlineStr">
        <is>
          <t>Nao</t>
        </is>
      </c>
      <c r="AB2028" s="111" t="inlineStr">
        <is>
          <t>NAO_COMPUTADO</t>
        </is>
      </c>
      <c r="AC2028" s="112" t="inlineStr">
        <is>
          <t>Estrutura Fase 1: sem impacto no VTA oficial</t>
        </is>
      </c>
    </row>
    <row r="2029" ht="25.5" customHeight="1" s="289">
      <c r="A2029" s="205" t="n"/>
      <c r="B2029" s="207" t="n"/>
      <c r="C2029" s="104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348" t="n"/>
      <c r="E2029" s="349">
        <f>IF(C2029="","",IFERROR(VLOOKUP(C2029,parametros!$A$11:$E$15,5,0),""))</f>
        <v/>
      </c>
      <c r="F2029" s="335">
        <f>IF(OR(D2029="",E2029=""),"",ROUND(D2029*E2029,2))</f>
        <v/>
      </c>
      <c r="G2029" s="106" t="n"/>
      <c r="H2029" s="350">
        <f>IF(G2029="Sim",IF(OR(F2029="",D2029="",L2029=""),"",IF(L2029="Sim",ROUND(F2029-D2029,2),0)),0)</f>
        <v/>
      </c>
      <c r="I2029" s="350">
        <f>IF(G2029="Sim",0,IF(OR(F2029="",L2029=""),"",F2029))</f>
        <v/>
      </c>
      <c r="J2029" s="350">
        <f>IF(G2029="Sim",0,IF(OR(F2029="",D2029="",L2029=""),"",IF(L2029="Sim",ROUND(F2029-D2029,2),0)))</f>
        <v/>
      </c>
      <c r="K2029" s="97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inlineStr">
        <is>
          <t>Nao</t>
        </is>
      </c>
      <c r="W2029" s="110" t="inlineStr">
        <is>
          <t>PC em analise</t>
        </is>
      </c>
      <c r="X2029" s="110" t="inlineStr">
        <is>
          <t>Pedido de Compra</t>
        </is>
      </c>
      <c r="Y2029" s="111" t="inlineStr">
        <is>
          <t>Impacto Potencial</t>
        </is>
      </c>
      <c r="Z2029" s="111" t="inlineStr">
        <is>
          <t>PC</t>
        </is>
      </c>
      <c r="AA2029" s="111" t="inlineStr">
        <is>
          <t>Nao</t>
        </is>
      </c>
      <c r="AB2029" s="111" t="inlineStr">
        <is>
          <t>NAO_COMPUTADO</t>
        </is>
      </c>
      <c r="AC2029" s="112" t="inlineStr">
        <is>
          <t>Estrutura Fase 1: sem impacto no VTA oficial</t>
        </is>
      </c>
    </row>
    <row r="2030" ht="25.5" customHeight="1" s="289">
      <c r="A2030" s="205" t="n"/>
      <c r="B2030" s="207" t="n"/>
      <c r="C2030" s="104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348" t="n"/>
      <c r="E2030" s="349">
        <f>IF(C2030="","",IFERROR(VLOOKUP(C2030,parametros!$A$11:$E$15,5,0),""))</f>
        <v/>
      </c>
      <c r="F2030" s="335">
        <f>IF(OR(D2030="",E2030=""),"",ROUND(D2030*E2030,2))</f>
        <v/>
      </c>
      <c r="G2030" s="106" t="n"/>
      <c r="H2030" s="350">
        <f>IF(G2030="Sim",IF(OR(F2030="",D2030="",L2030=""),"",IF(L2030="Sim",ROUND(F2030-D2030,2),0)),0)</f>
        <v/>
      </c>
      <c r="I2030" s="350">
        <f>IF(G2030="Sim",0,IF(OR(F2030="",L2030=""),"",F2030))</f>
        <v/>
      </c>
      <c r="J2030" s="350">
        <f>IF(G2030="Sim",0,IF(OR(F2030="",D2030="",L2030=""),"",IF(L2030="Sim",ROUND(F2030-D2030,2),0)))</f>
        <v/>
      </c>
      <c r="K2030" s="97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inlineStr">
        <is>
          <t>Nao</t>
        </is>
      </c>
      <c r="W2030" s="110" t="inlineStr">
        <is>
          <t>PC em analise</t>
        </is>
      </c>
      <c r="X2030" s="110" t="inlineStr">
        <is>
          <t>Pedido de Compra</t>
        </is>
      </c>
      <c r="Y2030" s="111" t="inlineStr">
        <is>
          <t>Impacto Potencial</t>
        </is>
      </c>
      <c r="Z2030" s="111" t="inlineStr">
        <is>
          <t>PC</t>
        </is>
      </c>
      <c r="AA2030" s="111" t="inlineStr">
        <is>
          <t>Nao</t>
        </is>
      </c>
      <c r="AB2030" s="111" t="inlineStr">
        <is>
          <t>NAO_COMPUTADO</t>
        </is>
      </c>
      <c r="AC2030" s="112" t="inlineStr">
        <is>
          <t>Estrutura Fase 1: sem impacto no VTA oficial</t>
        </is>
      </c>
    </row>
    <row r="2031" ht="25.5" customHeight="1" s="289">
      <c r="A2031" s="205" t="n"/>
      <c r="B2031" s="207" t="n"/>
      <c r="C2031" s="104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348" t="n"/>
      <c r="E2031" s="349">
        <f>IF(C2031="","",IFERROR(VLOOKUP(C2031,parametros!$A$11:$E$15,5,0),""))</f>
        <v/>
      </c>
      <c r="F2031" s="335">
        <f>IF(OR(D2031="",E2031=""),"",ROUND(D2031*E2031,2))</f>
        <v/>
      </c>
      <c r="G2031" s="106" t="n"/>
      <c r="H2031" s="350">
        <f>IF(G2031="Sim",IF(OR(F2031="",D2031="",L2031=""),"",IF(L2031="Sim",ROUND(F2031-D2031,2),0)),0)</f>
        <v/>
      </c>
      <c r="I2031" s="350">
        <f>IF(G2031="Sim",0,IF(OR(F2031="",L2031=""),"",F2031))</f>
        <v/>
      </c>
      <c r="J2031" s="350">
        <f>IF(G2031="Sim",0,IF(OR(F2031="",D2031="",L2031=""),"",IF(L2031="Sim",ROUND(F2031-D2031,2),0)))</f>
        <v/>
      </c>
      <c r="K2031" s="97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inlineStr">
        <is>
          <t>Nao</t>
        </is>
      </c>
      <c r="W2031" s="110" t="inlineStr">
        <is>
          <t>PC em analise</t>
        </is>
      </c>
      <c r="X2031" s="110" t="inlineStr">
        <is>
          <t>Pedido de Compra</t>
        </is>
      </c>
      <c r="Y2031" s="111" t="inlineStr">
        <is>
          <t>Impacto Potencial</t>
        </is>
      </c>
      <c r="Z2031" s="111" t="inlineStr">
        <is>
          <t>PC</t>
        </is>
      </c>
      <c r="AA2031" s="111" t="inlineStr">
        <is>
          <t>Nao</t>
        </is>
      </c>
      <c r="AB2031" s="111" t="inlineStr">
        <is>
          <t>NAO_COMPUTADO</t>
        </is>
      </c>
      <c r="AC2031" s="112" t="inlineStr">
        <is>
          <t>Estrutura Fase 1: sem impacto no VTA oficial</t>
        </is>
      </c>
    </row>
    <row r="2032" ht="25.5" customHeight="1" s="289">
      <c r="A2032" s="205" t="n"/>
      <c r="B2032" s="207" t="n"/>
      <c r="C2032" s="104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348" t="n"/>
      <c r="E2032" s="349">
        <f>IF(C2032="","",IFERROR(VLOOKUP(C2032,parametros!$A$11:$E$15,5,0),""))</f>
        <v/>
      </c>
      <c r="F2032" s="335">
        <f>IF(OR(D2032="",E2032=""),"",ROUND(D2032*E2032,2))</f>
        <v/>
      </c>
      <c r="G2032" s="106" t="n"/>
      <c r="H2032" s="350">
        <f>IF(G2032="Sim",IF(OR(F2032="",D2032="",L2032=""),"",IF(L2032="Sim",ROUND(F2032-D2032,2),0)),0)</f>
        <v/>
      </c>
      <c r="I2032" s="350">
        <f>IF(G2032="Sim",0,IF(OR(F2032="",L2032=""),"",F2032))</f>
        <v/>
      </c>
      <c r="J2032" s="350">
        <f>IF(G2032="Sim",0,IF(OR(F2032="",D2032="",L2032=""),"",IF(L2032="Sim",ROUND(F2032-D2032,2),0)))</f>
        <v/>
      </c>
      <c r="K2032" s="97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inlineStr">
        <is>
          <t>Nao</t>
        </is>
      </c>
      <c r="W2032" s="110" t="inlineStr">
        <is>
          <t>PC em analise</t>
        </is>
      </c>
      <c r="X2032" s="110" t="inlineStr">
        <is>
          <t>Pedido de Compra</t>
        </is>
      </c>
      <c r="Y2032" s="111" t="inlineStr">
        <is>
          <t>Impacto Potencial</t>
        </is>
      </c>
      <c r="Z2032" s="111" t="inlineStr">
        <is>
          <t>PC</t>
        </is>
      </c>
      <c r="AA2032" s="111" t="inlineStr">
        <is>
          <t>Nao</t>
        </is>
      </c>
      <c r="AB2032" s="111" t="inlineStr">
        <is>
          <t>NAO_COMPUTADO</t>
        </is>
      </c>
      <c r="AC2032" s="112" t="inlineStr">
        <is>
          <t>Estrutura Fase 1: sem impacto no VTA oficial</t>
        </is>
      </c>
    </row>
    <row r="2033" ht="25.5" customHeight="1" s="289">
      <c r="A2033" s="205" t="n"/>
      <c r="B2033" s="207" t="n"/>
      <c r="C2033" s="104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348" t="n"/>
      <c r="E2033" s="349">
        <f>IF(C2033="","",IFERROR(VLOOKUP(C2033,parametros!$A$11:$E$15,5,0),""))</f>
        <v/>
      </c>
      <c r="F2033" s="335">
        <f>IF(OR(D2033="",E2033=""),"",ROUND(D2033*E2033,2))</f>
        <v/>
      </c>
      <c r="G2033" s="106" t="n"/>
      <c r="H2033" s="350">
        <f>IF(G2033="Sim",IF(OR(F2033="",D2033="",L2033=""),"",IF(L2033="Sim",ROUND(F2033-D2033,2),0)),0)</f>
        <v/>
      </c>
      <c r="I2033" s="350">
        <f>IF(G2033="Sim",0,IF(OR(F2033="",L2033=""),"",F2033))</f>
        <v/>
      </c>
      <c r="J2033" s="350">
        <f>IF(G2033="Sim",0,IF(OR(F2033="",D2033="",L2033=""),"",IF(L2033="Sim",ROUND(F2033-D2033,2),0)))</f>
        <v/>
      </c>
      <c r="K2033" s="97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inlineStr">
        <is>
          <t>Nao</t>
        </is>
      </c>
      <c r="W2033" s="110" t="inlineStr">
        <is>
          <t>PC em analise</t>
        </is>
      </c>
      <c r="X2033" s="110" t="inlineStr">
        <is>
          <t>Pedido de Compra</t>
        </is>
      </c>
      <c r="Y2033" s="111" t="inlineStr">
        <is>
          <t>Impacto Potencial</t>
        </is>
      </c>
      <c r="Z2033" s="111" t="inlineStr">
        <is>
          <t>PC</t>
        </is>
      </c>
      <c r="AA2033" s="111" t="inlineStr">
        <is>
          <t>Nao</t>
        </is>
      </c>
      <c r="AB2033" s="111" t="inlineStr">
        <is>
          <t>NAO_COMPUTADO</t>
        </is>
      </c>
      <c r="AC2033" s="112" t="inlineStr">
        <is>
          <t>Estrutura Fase 1: sem impacto no VTA oficial</t>
        </is>
      </c>
    </row>
    <row r="2034" ht="25.5" customHeight="1" s="289">
      <c r="A2034" s="205" t="n"/>
      <c r="B2034" s="207" t="n"/>
      <c r="C2034" s="104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348" t="n"/>
      <c r="E2034" s="349">
        <f>IF(C2034="","",IFERROR(VLOOKUP(C2034,parametros!$A$11:$E$15,5,0),""))</f>
        <v/>
      </c>
      <c r="F2034" s="335">
        <f>IF(OR(D2034="",E2034=""),"",ROUND(D2034*E2034,2))</f>
        <v/>
      </c>
      <c r="G2034" s="106" t="n"/>
      <c r="H2034" s="350">
        <f>IF(G2034="Sim",IF(OR(F2034="",D2034="",L2034=""),"",IF(L2034="Sim",ROUND(F2034-D2034,2),0)),0)</f>
        <v/>
      </c>
      <c r="I2034" s="350">
        <f>IF(G2034="Sim",0,IF(OR(F2034="",L2034=""),"",F2034))</f>
        <v/>
      </c>
      <c r="J2034" s="350">
        <f>IF(G2034="Sim",0,IF(OR(F2034="",D2034="",L2034=""),"",IF(L2034="Sim",ROUND(F2034-D2034,2),0)))</f>
        <v/>
      </c>
      <c r="K2034" s="97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inlineStr">
        <is>
          <t>Nao</t>
        </is>
      </c>
      <c r="W2034" s="110" t="inlineStr">
        <is>
          <t>PC em analise</t>
        </is>
      </c>
      <c r="X2034" s="110" t="inlineStr">
        <is>
          <t>Pedido de Compra</t>
        </is>
      </c>
      <c r="Y2034" s="111" t="inlineStr">
        <is>
          <t>Impacto Potencial</t>
        </is>
      </c>
      <c r="Z2034" s="111" t="inlineStr">
        <is>
          <t>PC</t>
        </is>
      </c>
      <c r="AA2034" s="111" t="inlineStr">
        <is>
          <t>Nao</t>
        </is>
      </c>
      <c r="AB2034" s="111" t="inlineStr">
        <is>
          <t>NAO_COMPUTADO</t>
        </is>
      </c>
      <c r="AC2034" s="112" t="inlineStr">
        <is>
          <t>Estrutura Fase 1: sem impacto no VTA oficial</t>
        </is>
      </c>
    </row>
    <row r="2035" ht="25.5" customHeight="1" s="289">
      <c r="A2035" s="205" t="n"/>
      <c r="B2035" s="207" t="n"/>
      <c r="C2035" s="104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348" t="n"/>
      <c r="E2035" s="349">
        <f>IF(C2035="","",IFERROR(VLOOKUP(C2035,parametros!$A$11:$E$15,5,0),""))</f>
        <v/>
      </c>
      <c r="F2035" s="335">
        <f>IF(OR(D2035="",E2035=""),"",ROUND(D2035*E2035,2))</f>
        <v/>
      </c>
      <c r="G2035" s="106" t="n"/>
      <c r="H2035" s="350">
        <f>IF(G2035="Sim",IF(OR(F2035="",D2035="",L2035=""),"",IF(L2035="Sim",ROUND(F2035-D2035,2),0)),0)</f>
        <v/>
      </c>
      <c r="I2035" s="350">
        <f>IF(G2035="Sim",0,IF(OR(F2035="",L2035=""),"",F2035))</f>
        <v/>
      </c>
      <c r="J2035" s="350">
        <f>IF(G2035="Sim",0,IF(OR(F2035="",D2035="",L2035=""),"",IF(L2035="Sim",ROUND(F2035-D2035,2),0)))</f>
        <v/>
      </c>
      <c r="K2035" s="97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inlineStr">
        <is>
          <t>Nao</t>
        </is>
      </c>
      <c r="W2035" s="110" t="inlineStr">
        <is>
          <t>PC em analise</t>
        </is>
      </c>
      <c r="X2035" s="110" t="inlineStr">
        <is>
          <t>Pedido de Compra</t>
        </is>
      </c>
      <c r="Y2035" s="111" t="inlineStr">
        <is>
          <t>Impacto Potencial</t>
        </is>
      </c>
      <c r="Z2035" s="111" t="inlineStr">
        <is>
          <t>PC</t>
        </is>
      </c>
      <c r="AA2035" s="111" t="inlineStr">
        <is>
          <t>Nao</t>
        </is>
      </c>
      <c r="AB2035" s="111" t="inlineStr">
        <is>
          <t>NAO_COMPUTADO</t>
        </is>
      </c>
      <c r="AC2035" s="112" t="inlineStr">
        <is>
          <t>Estrutura Fase 1: sem impacto no VTA oficial</t>
        </is>
      </c>
    </row>
    <row r="2036" ht="25.5" customHeight="1" s="289">
      <c r="A2036" s="205" t="n"/>
      <c r="B2036" s="207" t="n"/>
      <c r="C2036" s="104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348" t="n"/>
      <c r="E2036" s="349">
        <f>IF(C2036="","",IFERROR(VLOOKUP(C2036,parametros!$A$11:$E$15,5,0),""))</f>
        <v/>
      </c>
      <c r="F2036" s="335">
        <f>IF(OR(D2036="",E2036=""),"",ROUND(D2036*E2036,2))</f>
        <v/>
      </c>
      <c r="G2036" s="106" t="n"/>
      <c r="H2036" s="350">
        <f>IF(G2036="Sim",IF(OR(F2036="",D2036="",L2036=""),"",IF(L2036="Sim",ROUND(F2036-D2036,2),0)),0)</f>
        <v/>
      </c>
      <c r="I2036" s="350">
        <f>IF(G2036="Sim",0,IF(OR(F2036="",L2036=""),"",F2036))</f>
        <v/>
      </c>
      <c r="J2036" s="350">
        <f>IF(G2036="Sim",0,IF(OR(F2036="",D2036="",L2036=""),"",IF(L2036="Sim",ROUND(F2036-D2036,2),0)))</f>
        <v/>
      </c>
      <c r="K2036" s="97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inlineStr">
        <is>
          <t>Nao</t>
        </is>
      </c>
      <c r="W2036" s="110" t="inlineStr">
        <is>
          <t>PC em analise</t>
        </is>
      </c>
      <c r="X2036" s="110" t="inlineStr">
        <is>
          <t>Pedido de Compra</t>
        </is>
      </c>
      <c r="Y2036" s="111" t="inlineStr">
        <is>
          <t>Impacto Potencial</t>
        </is>
      </c>
      <c r="Z2036" s="111" t="inlineStr">
        <is>
          <t>PC</t>
        </is>
      </c>
      <c r="AA2036" s="111" t="inlineStr">
        <is>
          <t>Nao</t>
        </is>
      </c>
      <c r="AB2036" s="111" t="inlineStr">
        <is>
          <t>NAO_COMPUTADO</t>
        </is>
      </c>
      <c r="AC2036" s="112" t="inlineStr">
        <is>
          <t>Estrutura Fase 1: sem impacto no VTA oficial</t>
        </is>
      </c>
    </row>
    <row r="2037" ht="25.5" customHeight="1" s="289">
      <c r="A2037" s="205" t="n"/>
      <c r="B2037" s="207" t="n"/>
      <c r="C2037" s="104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348" t="n"/>
      <c r="E2037" s="349">
        <f>IF(C2037="","",IFERROR(VLOOKUP(C2037,parametros!$A$11:$E$15,5,0),""))</f>
        <v/>
      </c>
      <c r="F2037" s="335">
        <f>IF(OR(D2037="",E2037=""),"",ROUND(D2037*E2037,2))</f>
        <v/>
      </c>
      <c r="G2037" s="106" t="n"/>
      <c r="H2037" s="350">
        <f>IF(G2037="Sim",IF(OR(F2037="",D2037="",L2037=""),"",IF(L2037="Sim",ROUND(F2037-D2037,2),0)),0)</f>
        <v/>
      </c>
      <c r="I2037" s="350">
        <f>IF(G2037="Sim",0,IF(OR(F2037="",L2037=""),"",F2037))</f>
        <v/>
      </c>
      <c r="J2037" s="350">
        <f>IF(G2037="Sim",0,IF(OR(F2037="",D2037="",L2037=""),"",IF(L2037="Sim",ROUND(F2037-D2037,2),0)))</f>
        <v/>
      </c>
      <c r="K2037" s="97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inlineStr">
        <is>
          <t>Nao</t>
        </is>
      </c>
      <c r="W2037" s="110" t="inlineStr">
        <is>
          <t>PC em analise</t>
        </is>
      </c>
      <c r="X2037" s="110" t="inlineStr">
        <is>
          <t>Pedido de Compra</t>
        </is>
      </c>
      <c r="Y2037" s="111" t="inlineStr">
        <is>
          <t>Impacto Potencial</t>
        </is>
      </c>
      <c r="Z2037" s="111" t="inlineStr">
        <is>
          <t>PC</t>
        </is>
      </c>
      <c r="AA2037" s="111" t="inlineStr">
        <is>
          <t>Nao</t>
        </is>
      </c>
      <c r="AB2037" s="111" t="inlineStr">
        <is>
          <t>NAO_COMPUTADO</t>
        </is>
      </c>
      <c r="AC2037" s="112" t="inlineStr">
        <is>
          <t>Estrutura Fase 1: sem impacto no VTA oficial</t>
        </is>
      </c>
    </row>
    <row r="2038" ht="25.5" customHeight="1" s="289">
      <c r="A2038" s="205" t="n"/>
      <c r="B2038" s="207" t="n"/>
      <c r="C2038" s="104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348" t="n"/>
      <c r="E2038" s="349">
        <f>IF(C2038="","",IFERROR(VLOOKUP(C2038,parametros!$A$11:$E$15,5,0),""))</f>
        <v/>
      </c>
      <c r="F2038" s="335">
        <f>IF(OR(D2038="",E2038=""),"",ROUND(D2038*E2038,2))</f>
        <v/>
      </c>
      <c r="G2038" s="106" t="n"/>
      <c r="H2038" s="350">
        <f>IF(G2038="Sim",IF(OR(F2038="",D2038="",L2038=""),"",IF(L2038="Sim",ROUND(F2038-D2038,2),0)),0)</f>
        <v/>
      </c>
      <c r="I2038" s="350">
        <f>IF(G2038="Sim",0,IF(OR(F2038="",L2038=""),"",F2038))</f>
        <v/>
      </c>
      <c r="J2038" s="350">
        <f>IF(G2038="Sim",0,IF(OR(F2038="",D2038="",L2038=""),"",IF(L2038="Sim",ROUND(F2038-D2038,2),0)))</f>
        <v/>
      </c>
      <c r="K2038" s="97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inlineStr">
        <is>
          <t>Nao</t>
        </is>
      </c>
      <c r="W2038" s="110" t="inlineStr">
        <is>
          <t>PC em analise</t>
        </is>
      </c>
      <c r="X2038" s="110" t="inlineStr">
        <is>
          <t>Pedido de Compra</t>
        </is>
      </c>
      <c r="Y2038" s="111" t="inlineStr">
        <is>
          <t>Impacto Potencial</t>
        </is>
      </c>
      <c r="Z2038" s="111" t="inlineStr">
        <is>
          <t>PC</t>
        </is>
      </c>
      <c r="AA2038" s="111" t="inlineStr">
        <is>
          <t>Nao</t>
        </is>
      </c>
      <c r="AB2038" s="111" t="inlineStr">
        <is>
          <t>NAO_COMPUTADO</t>
        </is>
      </c>
      <c r="AC2038" s="112" t="inlineStr">
        <is>
          <t>Estrutura Fase 1: sem impacto no VTA oficial</t>
        </is>
      </c>
    </row>
    <row r="2039" ht="25.5" customHeight="1" s="289">
      <c r="A2039" s="205" t="n"/>
      <c r="B2039" s="207" t="n"/>
      <c r="C2039" s="104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348" t="n"/>
      <c r="E2039" s="349">
        <f>IF(C2039="","",IFERROR(VLOOKUP(C2039,parametros!$A$11:$E$15,5,0),""))</f>
        <v/>
      </c>
      <c r="F2039" s="335">
        <f>IF(OR(D2039="",E2039=""),"",ROUND(D2039*E2039,2))</f>
        <v/>
      </c>
      <c r="G2039" s="106" t="n"/>
      <c r="H2039" s="350">
        <f>IF(G2039="Sim",IF(OR(F2039="",D2039="",L2039=""),"",IF(L2039="Sim",ROUND(F2039-D2039,2),0)),0)</f>
        <v/>
      </c>
      <c r="I2039" s="350">
        <f>IF(G2039="Sim",0,IF(OR(F2039="",L2039=""),"",F2039))</f>
        <v/>
      </c>
      <c r="J2039" s="350">
        <f>IF(G2039="Sim",0,IF(OR(F2039="",D2039="",L2039=""),"",IF(L2039="Sim",ROUND(F2039-D2039,2),0)))</f>
        <v/>
      </c>
      <c r="K2039" s="97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inlineStr">
        <is>
          <t>Nao</t>
        </is>
      </c>
      <c r="W2039" s="110" t="inlineStr">
        <is>
          <t>PC em analise</t>
        </is>
      </c>
      <c r="X2039" s="110" t="inlineStr">
        <is>
          <t>Pedido de Compra</t>
        </is>
      </c>
      <c r="Y2039" s="111" t="inlineStr">
        <is>
          <t>Impacto Potencial</t>
        </is>
      </c>
      <c r="Z2039" s="111" t="inlineStr">
        <is>
          <t>PC</t>
        </is>
      </c>
      <c r="AA2039" s="111" t="inlineStr">
        <is>
          <t>Nao</t>
        </is>
      </c>
      <c r="AB2039" s="111" t="inlineStr">
        <is>
          <t>NAO_COMPUTADO</t>
        </is>
      </c>
      <c r="AC2039" s="112" t="inlineStr">
        <is>
          <t>Estrutura Fase 1: sem impacto no VTA oficial</t>
        </is>
      </c>
    </row>
    <row r="2040" ht="25.5" customHeight="1" s="289">
      <c r="A2040" s="205" t="n"/>
      <c r="B2040" s="207" t="n"/>
      <c r="C2040" s="104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348" t="n"/>
      <c r="E2040" s="349">
        <f>IF(C2040="","",IFERROR(VLOOKUP(C2040,parametros!$A$11:$E$15,5,0),""))</f>
        <v/>
      </c>
      <c r="F2040" s="335">
        <f>IF(OR(D2040="",E2040=""),"",ROUND(D2040*E2040,2))</f>
        <v/>
      </c>
      <c r="G2040" s="106" t="n"/>
      <c r="H2040" s="350">
        <f>IF(G2040="Sim",IF(OR(F2040="",D2040="",L2040=""),"",IF(L2040="Sim",ROUND(F2040-D2040,2),0)),0)</f>
        <v/>
      </c>
      <c r="I2040" s="350">
        <f>IF(G2040="Sim",0,IF(OR(F2040="",L2040=""),"",F2040))</f>
        <v/>
      </c>
      <c r="J2040" s="350">
        <f>IF(G2040="Sim",0,IF(OR(F2040="",D2040="",L2040=""),"",IF(L2040="Sim",ROUND(F2040-D2040,2),0)))</f>
        <v/>
      </c>
      <c r="K2040" s="97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inlineStr">
        <is>
          <t>Nao</t>
        </is>
      </c>
      <c r="W2040" s="110" t="inlineStr">
        <is>
          <t>PC em analise</t>
        </is>
      </c>
      <c r="X2040" s="110" t="inlineStr">
        <is>
          <t>Pedido de Compra</t>
        </is>
      </c>
      <c r="Y2040" s="111" t="inlineStr">
        <is>
          <t>Impacto Potencial</t>
        </is>
      </c>
      <c r="Z2040" s="111" t="inlineStr">
        <is>
          <t>PC</t>
        </is>
      </c>
      <c r="AA2040" s="111" t="inlineStr">
        <is>
          <t>Nao</t>
        </is>
      </c>
      <c r="AB2040" s="111" t="inlineStr">
        <is>
          <t>NAO_COMPUTADO</t>
        </is>
      </c>
      <c r="AC2040" s="112" t="inlineStr">
        <is>
          <t>Estrutura Fase 1: sem impacto no VTA oficial</t>
        </is>
      </c>
    </row>
    <row r="2041" ht="25.5" customHeight="1" s="289">
      <c r="A2041" s="205" t="n"/>
      <c r="B2041" s="207" t="n"/>
      <c r="C2041" s="104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348" t="n"/>
      <c r="E2041" s="349">
        <f>IF(C2041="","",IFERROR(VLOOKUP(C2041,parametros!$A$11:$E$15,5,0),""))</f>
        <v/>
      </c>
      <c r="F2041" s="335">
        <f>IF(OR(D2041="",E2041=""),"",ROUND(D2041*E2041,2))</f>
        <v/>
      </c>
      <c r="G2041" s="106" t="n"/>
      <c r="H2041" s="350">
        <f>IF(G2041="Sim",IF(OR(F2041="",D2041="",L2041=""),"",IF(L2041="Sim",ROUND(F2041-D2041,2),0)),0)</f>
        <v/>
      </c>
      <c r="I2041" s="350">
        <f>IF(G2041="Sim",0,IF(OR(F2041="",L2041=""),"",F2041))</f>
        <v/>
      </c>
      <c r="J2041" s="350">
        <f>IF(G2041="Sim",0,IF(OR(F2041="",D2041="",L2041=""),"",IF(L2041="Sim",ROUND(F2041-D2041,2),0)))</f>
        <v/>
      </c>
      <c r="K2041" s="97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inlineStr">
        <is>
          <t>Nao</t>
        </is>
      </c>
      <c r="W2041" s="110" t="inlineStr">
        <is>
          <t>PC em analise</t>
        </is>
      </c>
      <c r="X2041" s="110" t="inlineStr">
        <is>
          <t>Pedido de Compra</t>
        </is>
      </c>
      <c r="Y2041" s="111" t="inlineStr">
        <is>
          <t>Impacto Potencial</t>
        </is>
      </c>
      <c r="Z2041" s="111" t="inlineStr">
        <is>
          <t>PC</t>
        </is>
      </c>
      <c r="AA2041" s="111" t="inlineStr">
        <is>
          <t>Nao</t>
        </is>
      </c>
      <c r="AB2041" s="111" t="inlineStr">
        <is>
          <t>NAO_COMPUTADO</t>
        </is>
      </c>
      <c r="AC2041" s="112" t="inlineStr">
        <is>
          <t>Estrutura Fase 1: sem impacto no VTA oficial</t>
        </is>
      </c>
    </row>
    <row r="2042" ht="25.5" customHeight="1" s="289">
      <c r="A2042" s="205" t="n"/>
      <c r="B2042" s="207" t="n"/>
      <c r="C2042" s="104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348" t="n"/>
      <c r="E2042" s="349">
        <f>IF(C2042="","",IFERROR(VLOOKUP(C2042,parametros!$A$11:$E$15,5,0),""))</f>
        <v/>
      </c>
      <c r="F2042" s="335">
        <f>IF(OR(D2042="",E2042=""),"",ROUND(D2042*E2042,2))</f>
        <v/>
      </c>
      <c r="G2042" s="106" t="n"/>
      <c r="H2042" s="350">
        <f>IF(G2042="Sim",IF(OR(F2042="",D2042="",L2042=""),"",IF(L2042="Sim",ROUND(F2042-D2042,2),0)),0)</f>
        <v/>
      </c>
      <c r="I2042" s="350">
        <f>IF(G2042="Sim",0,IF(OR(F2042="",L2042=""),"",F2042))</f>
        <v/>
      </c>
      <c r="J2042" s="350">
        <f>IF(G2042="Sim",0,IF(OR(F2042="",D2042="",L2042=""),"",IF(L2042="Sim",ROUND(F2042-D2042,2),0)))</f>
        <v/>
      </c>
      <c r="K2042" s="97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inlineStr">
        <is>
          <t>Nao</t>
        </is>
      </c>
      <c r="W2042" s="110" t="inlineStr">
        <is>
          <t>PC em analise</t>
        </is>
      </c>
      <c r="X2042" s="110" t="inlineStr">
        <is>
          <t>Pedido de Compra</t>
        </is>
      </c>
      <c r="Y2042" s="111" t="inlineStr">
        <is>
          <t>Impacto Potencial</t>
        </is>
      </c>
      <c r="Z2042" s="111" t="inlineStr">
        <is>
          <t>PC</t>
        </is>
      </c>
      <c r="AA2042" s="111" t="inlineStr">
        <is>
          <t>Nao</t>
        </is>
      </c>
      <c r="AB2042" s="111" t="inlineStr">
        <is>
          <t>NAO_COMPUTADO</t>
        </is>
      </c>
      <c r="AC2042" s="112" t="inlineStr">
        <is>
          <t>Estrutura Fase 1: sem impacto no VTA oficial</t>
        </is>
      </c>
    </row>
    <row r="2043" ht="25.5" customHeight="1" s="289">
      <c r="A2043" s="205" t="n"/>
      <c r="B2043" s="207" t="n"/>
      <c r="C2043" s="104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348" t="n"/>
      <c r="E2043" s="349">
        <f>IF(C2043="","",IFERROR(VLOOKUP(C2043,parametros!$A$11:$E$15,5,0),""))</f>
        <v/>
      </c>
      <c r="F2043" s="335">
        <f>IF(OR(D2043="",E2043=""),"",ROUND(D2043*E2043,2))</f>
        <v/>
      </c>
      <c r="G2043" s="106" t="n"/>
      <c r="H2043" s="350">
        <f>IF(G2043="Sim",IF(OR(F2043="",D2043="",L2043=""),"",IF(L2043="Sim",ROUND(F2043-D2043,2),0)),0)</f>
        <v/>
      </c>
      <c r="I2043" s="350">
        <f>IF(G2043="Sim",0,IF(OR(F2043="",L2043=""),"",F2043))</f>
        <v/>
      </c>
      <c r="J2043" s="350">
        <f>IF(G2043="Sim",0,IF(OR(F2043="",D2043="",L2043=""),"",IF(L2043="Sim",ROUND(F2043-D2043,2),0)))</f>
        <v/>
      </c>
      <c r="K2043" s="97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inlineStr">
        <is>
          <t>Nao</t>
        </is>
      </c>
      <c r="W2043" s="110" t="inlineStr">
        <is>
          <t>PC em analise</t>
        </is>
      </c>
      <c r="X2043" s="110" t="inlineStr">
        <is>
          <t>Pedido de Compra</t>
        </is>
      </c>
      <c r="Y2043" s="111" t="inlineStr">
        <is>
          <t>Impacto Potencial</t>
        </is>
      </c>
      <c r="Z2043" s="111" t="inlineStr">
        <is>
          <t>PC</t>
        </is>
      </c>
      <c r="AA2043" s="111" t="inlineStr">
        <is>
          <t>Nao</t>
        </is>
      </c>
      <c r="AB2043" s="111" t="inlineStr">
        <is>
          <t>NAO_COMPUTADO</t>
        </is>
      </c>
      <c r="AC2043" s="112" t="inlineStr">
        <is>
          <t>Estrutura Fase 1: sem impacto no VTA oficial</t>
        </is>
      </c>
    </row>
    <row r="2044" ht="25.5" customHeight="1" s="289">
      <c r="A2044" s="205" t="n"/>
      <c r="B2044" s="207" t="n"/>
      <c r="C2044" s="104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348" t="n"/>
      <c r="E2044" s="349">
        <f>IF(C2044="","",IFERROR(VLOOKUP(C2044,parametros!$A$11:$E$15,5,0),""))</f>
        <v/>
      </c>
      <c r="F2044" s="335">
        <f>IF(OR(D2044="",E2044=""),"",ROUND(D2044*E2044,2))</f>
        <v/>
      </c>
      <c r="G2044" s="106" t="n"/>
      <c r="H2044" s="350">
        <f>IF(G2044="Sim",IF(OR(F2044="",D2044="",L2044=""),"",IF(L2044="Sim",ROUND(F2044-D2044,2),0)),0)</f>
        <v/>
      </c>
      <c r="I2044" s="350">
        <f>IF(G2044="Sim",0,IF(OR(F2044="",L2044=""),"",F2044))</f>
        <v/>
      </c>
      <c r="J2044" s="350">
        <f>IF(G2044="Sim",0,IF(OR(F2044="",D2044="",L2044=""),"",IF(L2044="Sim",ROUND(F2044-D2044,2),0)))</f>
        <v/>
      </c>
      <c r="K2044" s="97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inlineStr">
        <is>
          <t>Nao</t>
        </is>
      </c>
      <c r="W2044" s="110" t="inlineStr">
        <is>
          <t>PC em analise</t>
        </is>
      </c>
      <c r="X2044" s="110" t="inlineStr">
        <is>
          <t>Pedido de Compra</t>
        </is>
      </c>
      <c r="Y2044" s="111" t="inlineStr">
        <is>
          <t>Impacto Potencial</t>
        </is>
      </c>
      <c r="Z2044" s="111" t="inlineStr">
        <is>
          <t>PC</t>
        </is>
      </c>
      <c r="AA2044" s="111" t="inlineStr">
        <is>
          <t>Nao</t>
        </is>
      </c>
      <c r="AB2044" s="111" t="inlineStr">
        <is>
          <t>NAO_COMPUTADO</t>
        </is>
      </c>
      <c r="AC2044" s="112" t="inlineStr">
        <is>
          <t>Estrutura Fase 1: sem impacto no VTA oficial</t>
        </is>
      </c>
    </row>
    <row r="2045" ht="25.5" customHeight="1" s="289">
      <c r="A2045" s="205" t="n"/>
      <c r="B2045" s="207" t="n"/>
      <c r="C2045" s="104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348" t="n"/>
      <c r="E2045" s="349">
        <f>IF(C2045="","",IFERROR(VLOOKUP(C2045,parametros!$A$11:$E$15,5,0),""))</f>
        <v/>
      </c>
      <c r="F2045" s="335">
        <f>IF(OR(D2045="",E2045=""),"",ROUND(D2045*E2045,2))</f>
        <v/>
      </c>
      <c r="G2045" s="106" t="n"/>
      <c r="H2045" s="350">
        <f>IF(G2045="Sim",IF(OR(F2045="",D2045="",L2045=""),"",IF(L2045="Sim",ROUND(F2045-D2045,2),0)),0)</f>
        <v/>
      </c>
      <c r="I2045" s="350">
        <f>IF(G2045="Sim",0,IF(OR(F2045="",L2045=""),"",F2045))</f>
        <v/>
      </c>
      <c r="J2045" s="350">
        <f>IF(G2045="Sim",0,IF(OR(F2045="",D2045="",L2045=""),"",IF(L2045="Sim",ROUND(F2045-D2045,2),0)))</f>
        <v/>
      </c>
      <c r="K2045" s="97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inlineStr">
        <is>
          <t>Nao</t>
        </is>
      </c>
      <c r="W2045" s="110" t="inlineStr">
        <is>
          <t>PC em analise</t>
        </is>
      </c>
      <c r="X2045" s="110" t="inlineStr">
        <is>
          <t>Pedido de Compra</t>
        </is>
      </c>
      <c r="Y2045" s="111" t="inlineStr">
        <is>
          <t>Impacto Potencial</t>
        </is>
      </c>
      <c r="Z2045" s="111" t="inlineStr">
        <is>
          <t>PC</t>
        </is>
      </c>
      <c r="AA2045" s="111" t="inlineStr">
        <is>
          <t>Nao</t>
        </is>
      </c>
      <c r="AB2045" s="111" t="inlineStr">
        <is>
          <t>NAO_COMPUTADO</t>
        </is>
      </c>
      <c r="AC2045" s="112" t="inlineStr">
        <is>
          <t>Estrutura Fase 1: sem impacto no VTA oficial</t>
        </is>
      </c>
    </row>
    <row r="2046" ht="25.5" customHeight="1" s="289">
      <c r="A2046" s="205" t="n"/>
      <c r="B2046" s="207" t="n"/>
      <c r="C2046" s="104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348" t="n"/>
      <c r="E2046" s="349">
        <f>IF(C2046="","",IFERROR(VLOOKUP(C2046,parametros!$A$11:$E$15,5,0),""))</f>
        <v/>
      </c>
      <c r="F2046" s="335">
        <f>IF(OR(D2046="",E2046=""),"",ROUND(D2046*E2046,2))</f>
        <v/>
      </c>
      <c r="G2046" s="106" t="n"/>
      <c r="H2046" s="350">
        <f>IF(G2046="Sim",IF(OR(F2046="",D2046="",L2046=""),"",IF(L2046="Sim",ROUND(F2046-D2046,2),0)),0)</f>
        <v/>
      </c>
      <c r="I2046" s="350">
        <f>IF(G2046="Sim",0,IF(OR(F2046="",L2046=""),"",F2046))</f>
        <v/>
      </c>
      <c r="J2046" s="350">
        <f>IF(G2046="Sim",0,IF(OR(F2046="",D2046="",L2046=""),"",IF(L2046="Sim",ROUND(F2046-D2046,2),0)))</f>
        <v/>
      </c>
      <c r="K2046" s="97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inlineStr">
        <is>
          <t>Nao</t>
        </is>
      </c>
      <c r="W2046" s="110" t="inlineStr">
        <is>
          <t>PC em analise</t>
        </is>
      </c>
      <c r="X2046" s="110" t="inlineStr">
        <is>
          <t>Pedido de Compra</t>
        </is>
      </c>
      <c r="Y2046" s="111" t="inlineStr">
        <is>
          <t>Impacto Potencial</t>
        </is>
      </c>
      <c r="Z2046" s="111" t="inlineStr">
        <is>
          <t>PC</t>
        </is>
      </c>
      <c r="AA2046" s="111" t="inlineStr">
        <is>
          <t>Nao</t>
        </is>
      </c>
      <c r="AB2046" s="111" t="inlineStr">
        <is>
          <t>NAO_COMPUTADO</t>
        </is>
      </c>
      <c r="AC2046" s="112" t="inlineStr">
        <is>
          <t>Estrutura Fase 1: sem impacto no VTA oficial</t>
        </is>
      </c>
    </row>
    <row r="2047" ht="25.5" customHeight="1" s="289">
      <c r="A2047" s="205" t="n"/>
      <c r="B2047" s="207" t="n"/>
      <c r="C2047" s="104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348" t="n"/>
      <c r="E2047" s="349">
        <f>IF(C2047="","",IFERROR(VLOOKUP(C2047,parametros!$A$11:$E$15,5,0),""))</f>
        <v/>
      </c>
      <c r="F2047" s="335">
        <f>IF(OR(D2047="",E2047=""),"",ROUND(D2047*E2047,2))</f>
        <v/>
      </c>
      <c r="G2047" s="106" t="n"/>
      <c r="H2047" s="350">
        <f>IF(G2047="Sim",IF(OR(F2047="",D2047="",L2047=""),"",IF(L2047="Sim",ROUND(F2047-D2047,2),0)),0)</f>
        <v/>
      </c>
      <c r="I2047" s="350">
        <f>IF(G2047="Sim",0,IF(OR(F2047="",L2047=""),"",F2047))</f>
        <v/>
      </c>
      <c r="J2047" s="350">
        <f>IF(G2047="Sim",0,IF(OR(F2047="",D2047="",L2047=""),"",IF(L2047="Sim",ROUND(F2047-D2047,2),0)))</f>
        <v/>
      </c>
      <c r="K2047" s="97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inlineStr">
        <is>
          <t>Nao</t>
        </is>
      </c>
      <c r="W2047" s="110" t="inlineStr">
        <is>
          <t>PC em analise</t>
        </is>
      </c>
      <c r="X2047" s="110" t="inlineStr">
        <is>
          <t>Pedido de Compra</t>
        </is>
      </c>
      <c r="Y2047" s="111" t="inlineStr">
        <is>
          <t>Impacto Potencial</t>
        </is>
      </c>
      <c r="Z2047" s="111" t="inlineStr">
        <is>
          <t>PC</t>
        </is>
      </c>
      <c r="AA2047" s="111" t="inlineStr">
        <is>
          <t>Nao</t>
        </is>
      </c>
      <c r="AB2047" s="111" t="inlineStr">
        <is>
          <t>NAO_COMPUTADO</t>
        </is>
      </c>
      <c r="AC2047" s="112" t="inlineStr">
        <is>
          <t>Estrutura Fase 1: sem impacto no VTA oficial</t>
        </is>
      </c>
    </row>
    <row r="2048" ht="25.5" customHeight="1" s="289">
      <c r="A2048" s="205" t="n"/>
      <c r="B2048" s="207" t="n"/>
      <c r="C2048" s="104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348" t="n"/>
      <c r="E2048" s="349">
        <f>IF(C2048="","",IFERROR(VLOOKUP(C2048,parametros!$A$11:$E$15,5,0),""))</f>
        <v/>
      </c>
      <c r="F2048" s="335">
        <f>IF(OR(D2048="",E2048=""),"",ROUND(D2048*E2048,2))</f>
        <v/>
      </c>
      <c r="G2048" s="106" t="n"/>
      <c r="H2048" s="350">
        <f>IF(G2048="Sim",IF(OR(F2048="",D2048="",L2048=""),"",IF(L2048="Sim",ROUND(F2048-D2048,2),0)),0)</f>
        <v/>
      </c>
      <c r="I2048" s="350">
        <f>IF(G2048="Sim",0,IF(OR(F2048="",L2048=""),"",F2048))</f>
        <v/>
      </c>
      <c r="J2048" s="350">
        <f>IF(G2048="Sim",0,IF(OR(F2048="",D2048="",L2048=""),"",IF(L2048="Sim",ROUND(F2048-D2048,2),0)))</f>
        <v/>
      </c>
      <c r="K2048" s="97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inlineStr">
        <is>
          <t>Nao</t>
        </is>
      </c>
      <c r="W2048" s="110" t="inlineStr">
        <is>
          <t>PC em analise</t>
        </is>
      </c>
      <c r="X2048" s="110" t="inlineStr">
        <is>
          <t>Pedido de Compra</t>
        </is>
      </c>
      <c r="Y2048" s="111" t="inlineStr">
        <is>
          <t>Impacto Potencial</t>
        </is>
      </c>
      <c r="Z2048" s="111" t="inlineStr">
        <is>
          <t>PC</t>
        </is>
      </c>
      <c r="AA2048" s="111" t="inlineStr">
        <is>
          <t>Nao</t>
        </is>
      </c>
      <c r="AB2048" s="111" t="inlineStr">
        <is>
          <t>NAO_COMPUTADO</t>
        </is>
      </c>
      <c r="AC2048" s="112" t="inlineStr">
        <is>
          <t>Estrutura Fase 1: sem impacto no VTA oficial</t>
        </is>
      </c>
    </row>
    <row r="2049" ht="25.5" customHeight="1" s="289">
      <c r="A2049" s="205" t="n"/>
      <c r="B2049" s="207" t="n"/>
      <c r="C2049" s="104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348" t="n"/>
      <c r="E2049" s="349">
        <f>IF(C2049="","",IFERROR(VLOOKUP(C2049,parametros!$A$11:$E$15,5,0),""))</f>
        <v/>
      </c>
      <c r="F2049" s="335">
        <f>IF(OR(D2049="",E2049=""),"",ROUND(D2049*E2049,2))</f>
        <v/>
      </c>
      <c r="G2049" s="106" t="n"/>
      <c r="H2049" s="350">
        <f>IF(G2049="Sim",IF(OR(F2049="",D2049="",L2049=""),"",IF(L2049="Sim",ROUND(F2049-D2049,2),0)),0)</f>
        <v/>
      </c>
      <c r="I2049" s="350">
        <f>IF(G2049="Sim",0,IF(OR(F2049="",L2049=""),"",F2049))</f>
        <v/>
      </c>
      <c r="J2049" s="350">
        <f>IF(G2049="Sim",0,IF(OR(F2049="",D2049="",L2049=""),"",IF(L2049="Sim",ROUND(F2049-D2049,2),0)))</f>
        <v/>
      </c>
      <c r="K2049" s="97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inlineStr">
        <is>
          <t>Nao</t>
        </is>
      </c>
      <c r="W2049" s="110" t="inlineStr">
        <is>
          <t>PC em analise</t>
        </is>
      </c>
      <c r="X2049" s="110" t="inlineStr">
        <is>
          <t>Pedido de Compra</t>
        </is>
      </c>
      <c r="Y2049" s="111" t="inlineStr">
        <is>
          <t>Impacto Potencial</t>
        </is>
      </c>
      <c r="Z2049" s="111" t="inlineStr">
        <is>
          <t>PC</t>
        </is>
      </c>
      <c r="AA2049" s="111" t="inlineStr">
        <is>
          <t>Nao</t>
        </is>
      </c>
      <c r="AB2049" s="111" t="inlineStr">
        <is>
          <t>NAO_COMPUTADO</t>
        </is>
      </c>
      <c r="AC2049" s="112" t="inlineStr">
        <is>
          <t>Estrutura Fase 1: sem impacto no VTA oficial</t>
        </is>
      </c>
    </row>
    <row r="2050" ht="25.5" customHeight="1" s="289">
      <c r="A2050" s="205" t="n"/>
      <c r="B2050" s="207" t="n"/>
      <c r="C2050" s="104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348" t="n"/>
      <c r="E2050" s="349">
        <f>IF(C2050="","",IFERROR(VLOOKUP(C2050,parametros!$A$11:$E$15,5,0),""))</f>
        <v/>
      </c>
      <c r="F2050" s="335">
        <f>IF(OR(D2050="",E2050=""),"",ROUND(D2050*E2050,2))</f>
        <v/>
      </c>
      <c r="G2050" s="106" t="n"/>
      <c r="H2050" s="350">
        <f>IF(G2050="Sim",IF(OR(F2050="",D2050="",L2050=""),"",IF(L2050="Sim",ROUND(F2050-D2050,2),0)),0)</f>
        <v/>
      </c>
      <c r="I2050" s="350">
        <f>IF(G2050="Sim",0,IF(OR(F2050="",L2050=""),"",F2050))</f>
        <v/>
      </c>
      <c r="J2050" s="350">
        <f>IF(G2050="Sim",0,IF(OR(F2050="",D2050="",L2050=""),"",IF(L2050="Sim",ROUND(F2050-D2050,2),0)))</f>
        <v/>
      </c>
      <c r="K2050" s="97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inlineStr">
        <is>
          <t>Nao</t>
        </is>
      </c>
      <c r="W2050" s="110" t="inlineStr">
        <is>
          <t>PC em analise</t>
        </is>
      </c>
      <c r="X2050" s="110" t="inlineStr">
        <is>
          <t>Pedido de Compra</t>
        </is>
      </c>
      <c r="Y2050" s="111" t="inlineStr">
        <is>
          <t>Impacto Potencial</t>
        </is>
      </c>
      <c r="Z2050" s="111" t="inlineStr">
        <is>
          <t>PC</t>
        </is>
      </c>
      <c r="AA2050" s="111" t="inlineStr">
        <is>
          <t>Nao</t>
        </is>
      </c>
      <c r="AB2050" s="111" t="inlineStr">
        <is>
          <t>NAO_COMPUTADO</t>
        </is>
      </c>
      <c r="AC2050" s="112" t="inlineStr">
        <is>
          <t>Estrutura Fase 1: sem impacto no VTA oficial</t>
        </is>
      </c>
    </row>
    <row r="2051" ht="25.5" customHeight="1" s="289">
      <c r="A2051" s="205" t="n"/>
      <c r="B2051" s="207" t="n"/>
      <c r="C2051" s="104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348" t="n"/>
      <c r="E2051" s="349">
        <f>IF(C2051="","",IFERROR(VLOOKUP(C2051,parametros!$A$11:$E$15,5,0),""))</f>
        <v/>
      </c>
      <c r="F2051" s="335">
        <f>IF(OR(D2051="",E2051=""),"",ROUND(D2051*E2051,2))</f>
        <v/>
      </c>
      <c r="G2051" s="106" t="n"/>
      <c r="H2051" s="350">
        <f>IF(G2051="Sim",IF(OR(F2051="",D2051="",L2051=""),"",IF(L2051="Sim",ROUND(F2051-D2051,2),0)),0)</f>
        <v/>
      </c>
      <c r="I2051" s="350">
        <f>IF(G2051="Sim",0,IF(OR(F2051="",L2051=""),"",F2051))</f>
        <v/>
      </c>
      <c r="J2051" s="350">
        <f>IF(G2051="Sim",0,IF(OR(F2051="",D2051="",L2051=""),"",IF(L2051="Sim",ROUND(F2051-D2051,2),0)))</f>
        <v/>
      </c>
      <c r="K2051" s="97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inlineStr">
        <is>
          <t>Nao</t>
        </is>
      </c>
      <c r="W2051" s="110" t="inlineStr">
        <is>
          <t>PC em analise</t>
        </is>
      </c>
      <c r="X2051" s="110" t="inlineStr">
        <is>
          <t>Pedido de Compra</t>
        </is>
      </c>
      <c r="Y2051" s="111" t="inlineStr">
        <is>
          <t>Impacto Potencial</t>
        </is>
      </c>
      <c r="Z2051" s="111" t="inlineStr">
        <is>
          <t>PC</t>
        </is>
      </c>
      <c r="AA2051" s="111" t="inlineStr">
        <is>
          <t>Nao</t>
        </is>
      </c>
      <c r="AB2051" s="111" t="inlineStr">
        <is>
          <t>NAO_COMPUTADO</t>
        </is>
      </c>
      <c r="AC2051" s="112" t="inlineStr">
        <is>
          <t>Estrutura Fase 1: sem impacto no VTA oficial</t>
        </is>
      </c>
    </row>
    <row r="2052" ht="25.5" customHeight="1" s="289">
      <c r="A2052" s="205" t="n"/>
      <c r="B2052" s="207" t="n"/>
      <c r="C2052" s="104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348" t="n"/>
      <c r="E2052" s="349">
        <f>IF(C2052="","",IFERROR(VLOOKUP(C2052,parametros!$A$11:$E$15,5,0),""))</f>
        <v/>
      </c>
      <c r="F2052" s="335">
        <f>IF(OR(D2052="",E2052=""),"",ROUND(D2052*E2052,2))</f>
        <v/>
      </c>
      <c r="G2052" s="106" t="n"/>
      <c r="H2052" s="350">
        <f>IF(G2052="Sim",IF(OR(F2052="",D2052="",L2052=""),"",IF(L2052="Sim",ROUND(F2052-D2052,2),0)),0)</f>
        <v/>
      </c>
      <c r="I2052" s="350">
        <f>IF(G2052="Sim",0,IF(OR(F2052="",L2052=""),"",F2052))</f>
        <v/>
      </c>
      <c r="J2052" s="350">
        <f>IF(G2052="Sim",0,IF(OR(F2052="",D2052="",L2052=""),"",IF(L2052="Sim",ROUND(F2052-D2052,2),0)))</f>
        <v/>
      </c>
      <c r="K2052" s="97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inlineStr">
        <is>
          <t>Nao</t>
        </is>
      </c>
      <c r="W2052" s="110" t="inlineStr">
        <is>
          <t>PC em analise</t>
        </is>
      </c>
      <c r="X2052" s="110" t="inlineStr">
        <is>
          <t>Pedido de Compra</t>
        </is>
      </c>
      <c r="Y2052" s="111" t="inlineStr">
        <is>
          <t>Impacto Potencial</t>
        </is>
      </c>
      <c r="Z2052" s="111" t="inlineStr">
        <is>
          <t>PC</t>
        </is>
      </c>
      <c r="AA2052" s="111" t="inlineStr">
        <is>
          <t>Nao</t>
        </is>
      </c>
      <c r="AB2052" s="111" t="inlineStr">
        <is>
          <t>NAO_COMPUTADO</t>
        </is>
      </c>
      <c r="AC2052" s="112" t="inlineStr">
        <is>
          <t>Estrutura Fase 1: sem impacto no VTA oficial</t>
        </is>
      </c>
    </row>
    <row r="2053" ht="25.5" customHeight="1" s="289">
      <c r="A2053" s="205" t="n"/>
      <c r="B2053" s="207" t="n"/>
      <c r="C2053" s="104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348" t="n"/>
      <c r="E2053" s="349">
        <f>IF(C2053="","",IFERROR(VLOOKUP(C2053,parametros!$A$11:$E$15,5,0),""))</f>
        <v/>
      </c>
      <c r="F2053" s="335">
        <f>IF(OR(D2053="",E2053=""),"",ROUND(D2053*E2053,2))</f>
        <v/>
      </c>
      <c r="G2053" s="106" t="n"/>
      <c r="H2053" s="350">
        <f>IF(G2053="Sim",IF(OR(F2053="",D2053="",L2053=""),"",IF(L2053="Sim",ROUND(F2053-D2053,2),0)),0)</f>
        <v/>
      </c>
      <c r="I2053" s="350">
        <f>IF(G2053="Sim",0,IF(OR(F2053="",L2053=""),"",F2053))</f>
        <v/>
      </c>
      <c r="J2053" s="350">
        <f>IF(G2053="Sim",0,IF(OR(F2053="",D2053="",L2053=""),"",IF(L2053="Sim",ROUND(F2053-D2053,2),0)))</f>
        <v/>
      </c>
      <c r="K2053" s="97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inlineStr">
        <is>
          <t>Nao</t>
        </is>
      </c>
      <c r="W2053" s="110" t="inlineStr">
        <is>
          <t>PC em analise</t>
        </is>
      </c>
      <c r="X2053" s="110" t="inlineStr">
        <is>
          <t>Pedido de Compra</t>
        </is>
      </c>
      <c r="Y2053" s="111" t="inlineStr">
        <is>
          <t>Impacto Potencial</t>
        </is>
      </c>
      <c r="Z2053" s="111" t="inlineStr">
        <is>
          <t>PC</t>
        </is>
      </c>
      <c r="AA2053" s="111" t="inlineStr">
        <is>
          <t>Nao</t>
        </is>
      </c>
      <c r="AB2053" s="111" t="inlineStr">
        <is>
          <t>NAO_COMPUTADO</t>
        </is>
      </c>
      <c r="AC2053" s="112" t="inlineStr">
        <is>
          <t>Estrutura Fase 1: sem impacto no VTA oficial</t>
        </is>
      </c>
    </row>
    <row r="2054" ht="25.5" customHeight="1" s="289">
      <c r="A2054" s="205" t="n"/>
      <c r="B2054" s="207" t="n"/>
      <c r="C2054" s="104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348" t="n"/>
      <c r="E2054" s="349">
        <f>IF(C2054="","",IFERROR(VLOOKUP(C2054,parametros!$A$11:$E$15,5,0),""))</f>
        <v/>
      </c>
      <c r="F2054" s="335">
        <f>IF(OR(D2054="",E2054=""),"",ROUND(D2054*E2054,2))</f>
        <v/>
      </c>
      <c r="G2054" s="106" t="n"/>
      <c r="H2054" s="350">
        <f>IF(G2054="Sim",IF(OR(F2054="",D2054="",L2054=""),"",IF(L2054="Sim",ROUND(F2054-D2054,2),0)),0)</f>
        <v/>
      </c>
      <c r="I2054" s="350">
        <f>IF(G2054="Sim",0,IF(OR(F2054="",L2054=""),"",F2054))</f>
        <v/>
      </c>
      <c r="J2054" s="350">
        <f>IF(G2054="Sim",0,IF(OR(F2054="",D2054="",L2054=""),"",IF(L2054="Sim",ROUND(F2054-D2054,2),0)))</f>
        <v/>
      </c>
      <c r="K2054" s="97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inlineStr">
        <is>
          <t>Nao</t>
        </is>
      </c>
      <c r="W2054" s="110" t="inlineStr">
        <is>
          <t>PC em analise</t>
        </is>
      </c>
      <c r="X2054" s="110" t="inlineStr">
        <is>
          <t>Pedido de Compra</t>
        </is>
      </c>
      <c r="Y2054" s="111" t="inlineStr">
        <is>
          <t>Impacto Potencial</t>
        </is>
      </c>
      <c r="Z2054" s="111" t="inlineStr">
        <is>
          <t>PC</t>
        </is>
      </c>
      <c r="AA2054" s="111" t="inlineStr">
        <is>
          <t>Nao</t>
        </is>
      </c>
      <c r="AB2054" s="111" t="inlineStr">
        <is>
          <t>NAO_COMPUTADO</t>
        </is>
      </c>
      <c r="AC2054" s="112" t="inlineStr">
        <is>
          <t>Estrutura Fase 1: sem impacto no VTA oficial</t>
        </is>
      </c>
    </row>
    <row r="2055" ht="25.5" customHeight="1" s="289">
      <c r="A2055" s="205" t="n"/>
      <c r="B2055" s="207" t="n"/>
      <c r="C2055" s="104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348" t="n"/>
      <c r="E2055" s="349">
        <f>IF(C2055="","",IFERROR(VLOOKUP(C2055,parametros!$A$11:$E$15,5,0),""))</f>
        <v/>
      </c>
      <c r="F2055" s="335">
        <f>IF(OR(D2055="",E2055=""),"",ROUND(D2055*E2055,2))</f>
        <v/>
      </c>
      <c r="G2055" s="106" t="n"/>
      <c r="H2055" s="350">
        <f>IF(G2055="Sim",IF(OR(F2055="",D2055="",L2055=""),"",IF(L2055="Sim",ROUND(F2055-D2055,2),0)),0)</f>
        <v/>
      </c>
      <c r="I2055" s="350">
        <f>IF(G2055="Sim",0,IF(OR(F2055="",L2055=""),"",F2055))</f>
        <v/>
      </c>
      <c r="J2055" s="350">
        <f>IF(G2055="Sim",0,IF(OR(F2055="",D2055="",L2055=""),"",IF(L2055="Sim",ROUND(F2055-D2055,2),0)))</f>
        <v/>
      </c>
      <c r="K2055" s="97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inlineStr">
        <is>
          <t>Nao</t>
        </is>
      </c>
      <c r="W2055" s="110" t="inlineStr">
        <is>
          <t>PC em analise</t>
        </is>
      </c>
      <c r="X2055" s="110" t="inlineStr">
        <is>
          <t>Pedido de Compra</t>
        </is>
      </c>
      <c r="Y2055" s="111" t="inlineStr">
        <is>
          <t>Impacto Potencial</t>
        </is>
      </c>
      <c r="Z2055" s="111" t="inlineStr">
        <is>
          <t>PC</t>
        </is>
      </c>
      <c r="AA2055" s="111" t="inlineStr">
        <is>
          <t>Nao</t>
        </is>
      </c>
      <c r="AB2055" s="111" t="inlineStr">
        <is>
          <t>NAO_COMPUTADO</t>
        </is>
      </c>
      <c r="AC2055" s="112" t="inlineStr">
        <is>
          <t>Estrutura Fase 1: sem impacto no VTA oficial</t>
        </is>
      </c>
    </row>
    <row r="2056" ht="25.5" customHeight="1" s="289">
      <c r="A2056" s="205" t="n"/>
      <c r="B2056" s="207" t="n"/>
      <c r="C2056" s="104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348" t="n"/>
      <c r="E2056" s="349">
        <f>IF(C2056="","",IFERROR(VLOOKUP(C2056,parametros!$A$11:$E$15,5,0),""))</f>
        <v/>
      </c>
      <c r="F2056" s="335">
        <f>IF(OR(D2056="",E2056=""),"",ROUND(D2056*E2056,2))</f>
        <v/>
      </c>
      <c r="G2056" s="106" t="n"/>
      <c r="H2056" s="350">
        <f>IF(G2056="Sim",IF(OR(F2056="",D2056="",L2056=""),"",IF(L2056="Sim",ROUND(F2056-D2056,2),0)),0)</f>
        <v/>
      </c>
      <c r="I2056" s="350">
        <f>IF(G2056="Sim",0,IF(OR(F2056="",L2056=""),"",F2056))</f>
        <v/>
      </c>
      <c r="J2056" s="350">
        <f>IF(G2056="Sim",0,IF(OR(F2056="",D2056="",L2056=""),"",IF(L2056="Sim",ROUND(F2056-D2056,2),0)))</f>
        <v/>
      </c>
      <c r="K2056" s="97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inlineStr">
        <is>
          <t>Nao</t>
        </is>
      </c>
      <c r="W2056" s="110" t="inlineStr">
        <is>
          <t>PC em analise</t>
        </is>
      </c>
      <c r="X2056" s="110" t="inlineStr">
        <is>
          <t>Pedido de Compra</t>
        </is>
      </c>
      <c r="Y2056" s="111" t="inlineStr">
        <is>
          <t>Impacto Potencial</t>
        </is>
      </c>
      <c r="Z2056" s="111" t="inlineStr">
        <is>
          <t>PC</t>
        </is>
      </c>
      <c r="AA2056" s="111" t="inlineStr">
        <is>
          <t>Nao</t>
        </is>
      </c>
      <c r="AB2056" s="111" t="inlineStr">
        <is>
          <t>NAO_COMPUTADO</t>
        </is>
      </c>
      <c r="AC2056" s="112" t="inlineStr">
        <is>
          <t>Estrutura Fase 1: sem impacto no VTA oficial</t>
        </is>
      </c>
    </row>
    <row r="2057" ht="25.5" customHeight="1" s="289">
      <c r="A2057" s="205" t="n"/>
      <c r="B2057" s="207" t="n"/>
      <c r="C2057" s="104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348" t="n"/>
      <c r="E2057" s="349">
        <f>IF(C2057="","",IFERROR(VLOOKUP(C2057,parametros!$A$11:$E$15,5,0),""))</f>
        <v/>
      </c>
      <c r="F2057" s="335">
        <f>IF(OR(D2057="",E2057=""),"",ROUND(D2057*E2057,2))</f>
        <v/>
      </c>
      <c r="G2057" s="106" t="n"/>
      <c r="H2057" s="350">
        <f>IF(G2057="Sim",IF(OR(F2057="",D2057="",L2057=""),"",IF(L2057="Sim",ROUND(F2057-D2057,2),0)),0)</f>
        <v/>
      </c>
      <c r="I2057" s="350">
        <f>IF(G2057="Sim",0,IF(OR(F2057="",L2057=""),"",F2057))</f>
        <v/>
      </c>
      <c r="J2057" s="350">
        <f>IF(G2057="Sim",0,IF(OR(F2057="",D2057="",L2057=""),"",IF(L2057="Sim",ROUND(F2057-D2057,2),0)))</f>
        <v/>
      </c>
      <c r="K2057" s="97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inlineStr">
        <is>
          <t>Nao</t>
        </is>
      </c>
      <c r="W2057" s="110" t="inlineStr">
        <is>
          <t>PC em analise</t>
        </is>
      </c>
      <c r="X2057" s="110" t="inlineStr">
        <is>
          <t>Pedido de Compra</t>
        </is>
      </c>
      <c r="Y2057" s="111" t="inlineStr">
        <is>
          <t>Impacto Potencial</t>
        </is>
      </c>
      <c r="Z2057" s="111" t="inlineStr">
        <is>
          <t>PC</t>
        </is>
      </c>
      <c r="AA2057" s="111" t="inlineStr">
        <is>
          <t>Nao</t>
        </is>
      </c>
      <c r="AB2057" s="111" t="inlineStr">
        <is>
          <t>NAO_COMPUTADO</t>
        </is>
      </c>
      <c r="AC2057" s="112" t="inlineStr">
        <is>
          <t>Estrutura Fase 1: sem impacto no VTA oficial</t>
        </is>
      </c>
    </row>
    <row r="2058" ht="25.5" customHeight="1" s="289">
      <c r="A2058" s="205" t="n"/>
      <c r="B2058" s="207" t="n"/>
      <c r="C2058" s="104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348" t="n"/>
      <c r="E2058" s="349">
        <f>IF(C2058="","",IFERROR(VLOOKUP(C2058,parametros!$A$11:$E$15,5,0),""))</f>
        <v/>
      </c>
      <c r="F2058" s="335">
        <f>IF(OR(D2058="",E2058=""),"",ROUND(D2058*E2058,2))</f>
        <v/>
      </c>
      <c r="G2058" s="106" t="n"/>
      <c r="H2058" s="350">
        <f>IF(G2058="Sim",IF(OR(F2058="",D2058="",L2058=""),"",IF(L2058="Sim",ROUND(F2058-D2058,2),0)),0)</f>
        <v/>
      </c>
      <c r="I2058" s="350">
        <f>IF(G2058="Sim",0,IF(OR(F2058="",L2058=""),"",F2058))</f>
        <v/>
      </c>
      <c r="J2058" s="350">
        <f>IF(G2058="Sim",0,IF(OR(F2058="",D2058="",L2058=""),"",IF(L2058="Sim",ROUND(F2058-D2058,2),0)))</f>
        <v/>
      </c>
      <c r="K2058" s="97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inlineStr">
        <is>
          <t>Nao</t>
        </is>
      </c>
      <c r="W2058" s="110" t="inlineStr">
        <is>
          <t>PC em analise</t>
        </is>
      </c>
      <c r="X2058" s="110" t="inlineStr">
        <is>
          <t>Pedido de Compra</t>
        </is>
      </c>
      <c r="Y2058" s="111" t="inlineStr">
        <is>
          <t>Impacto Potencial</t>
        </is>
      </c>
      <c r="Z2058" s="111" t="inlineStr">
        <is>
          <t>PC</t>
        </is>
      </c>
      <c r="AA2058" s="111" t="inlineStr">
        <is>
          <t>Nao</t>
        </is>
      </c>
      <c r="AB2058" s="111" t="inlineStr">
        <is>
          <t>NAO_COMPUTADO</t>
        </is>
      </c>
      <c r="AC2058" s="112" t="inlineStr">
        <is>
          <t>Estrutura Fase 1: sem impacto no VTA oficial</t>
        </is>
      </c>
    </row>
    <row r="2059" ht="25.5" customHeight="1" s="289">
      <c r="A2059" s="205" t="n"/>
      <c r="B2059" s="207" t="n"/>
      <c r="C2059" s="104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348" t="n"/>
      <c r="E2059" s="349">
        <f>IF(C2059="","",IFERROR(VLOOKUP(C2059,parametros!$A$11:$E$15,5,0),""))</f>
        <v/>
      </c>
      <c r="F2059" s="335">
        <f>IF(OR(D2059="",E2059=""),"",ROUND(D2059*E2059,2))</f>
        <v/>
      </c>
      <c r="G2059" s="106" t="n"/>
      <c r="H2059" s="350">
        <f>IF(G2059="Sim",IF(OR(F2059="",D2059="",L2059=""),"",IF(L2059="Sim",ROUND(F2059-D2059,2),0)),0)</f>
        <v/>
      </c>
      <c r="I2059" s="350">
        <f>IF(G2059="Sim",0,IF(OR(F2059="",L2059=""),"",F2059))</f>
        <v/>
      </c>
      <c r="J2059" s="350">
        <f>IF(G2059="Sim",0,IF(OR(F2059="",D2059="",L2059=""),"",IF(L2059="Sim",ROUND(F2059-D2059,2),0)))</f>
        <v/>
      </c>
      <c r="K2059" s="97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inlineStr">
        <is>
          <t>Nao</t>
        </is>
      </c>
      <c r="W2059" s="110" t="inlineStr">
        <is>
          <t>PC em analise</t>
        </is>
      </c>
      <c r="X2059" s="110" t="inlineStr">
        <is>
          <t>Pedido de Compra</t>
        </is>
      </c>
      <c r="Y2059" s="111" t="inlineStr">
        <is>
          <t>Impacto Potencial</t>
        </is>
      </c>
      <c r="Z2059" s="111" t="inlineStr">
        <is>
          <t>PC</t>
        </is>
      </c>
      <c r="AA2059" s="111" t="inlineStr">
        <is>
          <t>Nao</t>
        </is>
      </c>
      <c r="AB2059" s="111" t="inlineStr">
        <is>
          <t>NAO_COMPUTADO</t>
        </is>
      </c>
      <c r="AC2059" s="112" t="inlineStr">
        <is>
          <t>Estrutura Fase 1: sem impacto no VTA oficial</t>
        </is>
      </c>
    </row>
    <row r="2060" ht="25.5" customHeight="1" s="289">
      <c r="A2060" s="205" t="n"/>
      <c r="B2060" s="207" t="n"/>
      <c r="C2060" s="104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348" t="n"/>
      <c r="E2060" s="349">
        <f>IF(C2060="","",IFERROR(VLOOKUP(C2060,parametros!$A$11:$E$15,5,0),""))</f>
        <v/>
      </c>
      <c r="F2060" s="335">
        <f>IF(OR(D2060="",E2060=""),"",ROUND(D2060*E2060,2))</f>
        <v/>
      </c>
      <c r="G2060" s="106" t="n"/>
      <c r="H2060" s="350">
        <f>IF(G2060="Sim",IF(OR(F2060="",D2060="",L2060=""),"",IF(L2060="Sim",ROUND(F2060-D2060,2),0)),0)</f>
        <v/>
      </c>
      <c r="I2060" s="350">
        <f>IF(G2060="Sim",0,IF(OR(F2060="",L2060=""),"",F2060))</f>
        <v/>
      </c>
      <c r="J2060" s="350">
        <f>IF(G2060="Sim",0,IF(OR(F2060="",D2060="",L2060=""),"",IF(L2060="Sim",ROUND(F2060-D2060,2),0)))</f>
        <v/>
      </c>
      <c r="K2060" s="97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inlineStr">
        <is>
          <t>Nao</t>
        </is>
      </c>
      <c r="W2060" s="110" t="inlineStr">
        <is>
          <t>PC em analise</t>
        </is>
      </c>
      <c r="X2060" s="110" t="inlineStr">
        <is>
          <t>Pedido de Compra</t>
        </is>
      </c>
      <c r="Y2060" s="111" t="inlineStr">
        <is>
          <t>Impacto Potencial</t>
        </is>
      </c>
      <c r="Z2060" s="111" t="inlineStr">
        <is>
          <t>PC</t>
        </is>
      </c>
      <c r="AA2060" s="111" t="inlineStr">
        <is>
          <t>Nao</t>
        </is>
      </c>
      <c r="AB2060" s="111" t="inlineStr">
        <is>
          <t>NAO_COMPUTADO</t>
        </is>
      </c>
      <c r="AC2060" s="112" t="inlineStr">
        <is>
          <t>Estrutura Fase 1: sem impacto no VTA oficial</t>
        </is>
      </c>
    </row>
    <row r="2061" ht="25.5" customHeight="1" s="289">
      <c r="A2061" s="205" t="n"/>
      <c r="B2061" s="207" t="n"/>
      <c r="C2061" s="104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348" t="n"/>
      <c r="E2061" s="349">
        <f>IF(C2061="","",IFERROR(VLOOKUP(C2061,parametros!$A$11:$E$15,5,0),""))</f>
        <v/>
      </c>
      <c r="F2061" s="335">
        <f>IF(OR(D2061="",E2061=""),"",ROUND(D2061*E2061,2))</f>
        <v/>
      </c>
      <c r="G2061" s="106" t="n"/>
      <c r="H2061" s="350">
        <f>IF(G2061="Sim",IF(OR(F2061="",D2061="",L2061=""),"",IF(L2061="Sim",ROUND(F2061-D2061,2),0)),0)</f>
        <v/>
      </c>
      <c r="I2061" s="350">
        <f>IF(G2061="Sim",0,IF(OR(F2061="",L2061=""),"",F2061))</f>
        <v/>
      </c>
      <c r="J2061" s="350">
        <f>IF(G2061="Sim",0,IF(OR(F2061="",D2061="",L2061=""),"",IF(L2061="Sim",ROUND(F2061-D2061,2),0)))</f>
        <v/>
      </c>
      <c r="K2061" s="97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inlineStr">
        <is>
          <t>Nao</t>
        </is>
      </c>
      <c r="W2061" s="110" t="inlineStr">
        <is>
          <t>PC em analise</t>
        </is>
      </c>
      <c r="X2061" s="110" t="inlineStr">
        <is>
          <t>Pedido de Compra</t>
        </is>
      </c>
      <c r="Y2061" s="111" t="inlineStr">
        <is>
          <t>Impacto Potencial</t>
        </is>
      </c>
      <c r="Z2061" s="111" t="inlineStr">
        <is>
          <t>PC</t>
        </is>
      </c>
      <c r="AA2061" s="111" t="inlineStr">
        <is>
          <t>Nao</t>
        </is>
      </c>
      <c r="AB2061" s="111" t="inlineStr">
        <is>
          <t>NAO_COMPUTADO</t>
        </is>
      </c>
      <c r="AC2061" s="112" t="inlineStr">
        <is>
          <t>Estrutura Fase 1: sem impacto no VTA oficial</t>
        </is>
      </c>
    </row>
    <row r="2062" ht="25.5" customHeight="1" s="289">
      <c r="A2062" s="205" t="n"/>
      <c r="B2062" s="207" t="n"/>
      <c r="C2062" s="104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348" t="n"/>
      <c r="E2062" s="349">
        <f>IF(C2062="","",IFERROR(VLOOKUP(C2062,parametros!$A$11:$E$15,5,0),""))</f>
        <v/>
      </c>
      <c r="F2062" s="335">
        <f>IF(OR(D2062="",E2062=""),"",ROUND(D2062*E2062,2))</f>
        <v/>
      </c>
      <c r="G2062" s="106" t="n"/>
      <c r="H2062" s="350">
        <f>IF(G2062="Sim",IF(OR(F2062="",D2062="",L2062=""),"",IF(L2062="Sim",ROUND(F2062-D2062,2),0)),0)</f>
        <v/>
      </c>
      <c r="I2062" s="350">
        <f>IF(G2062="Sim",0,IF(OR(F2062="",L2062=""),"",F2062))</f>
        <v/>
      </c>
      <c r="J2062" s="350">
        <f>IF(G2062="Sim",0,IF(OR(F2062="",D2062="",L2062=""),"",IF(L2062="Sim",ROUND(F2062-D2062,2),0)))</f>
        <v/>
      </c>
      <c r="K2062" s="97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inlineStr">
        <is>
          <t>Nao</t>
        </is>
      </c>
      <c r="W2062" s="110" t="inlineStr">
        <is>
          <t>PC em analise</t>
        </is>
      </c>
      <c r="X2062" s="110" t="inlineStr">
        <is>
          <t>Pedido de Compra</t>
        </is>
      </c>
      <c r="Y2062" s="111" t="inlineStr">
        <is>
          <t>Impacto Potencial</t>
        </is>
      </c>
      <c r="Z2062" s="111" t="inlineStr">
        <is>
          <t>PC</t>
        </is>
      </c>
      <c r="AA2062" s="111" t="inlineStr">
        <is>
          <t>Nao</t>
        </is>
      </c>
      <c r="AB2062" s="111" t="inlineStr">
        <is>
          <t>NAO_COMPUTADO</t>
        </is>
      </c>
      <c r="AC2062" s="112" t="inlineStr">
        <is>
          <t>Estrutura Fase 1: sem impacto no VTA oficial</t>
        </is>
      </c>
    </row>
    <row r="2063" ht="25.5" customHeight="1" s="289">
      <c r="A2063" s="205" t="n"/>
      <c r="B2063" s="207" t="n"/>
      <c r="C2063" s="104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348" t="n"/>
      <c r="E2063" s="349">
        <f>IF(C2063="","",IFERROR(VLOOKUP(C2063,parametros!$A$11:$E$15,5,0),""))</f>
        <v/>
      </c>
      <c r="F2063" s="335">
        <f>IF(OR(D2063="",E2063=""),"",ROUND(D2063*E2063,2))</f>
        <v/>
      </c>
      <c r="G2063" s="106" t="n"/>
      <c r="H2063" s="350">
        <f>IF(G2063="Sim",IF(OR(F2063="",D2063="",L2063=""),"",IF(L2063="Sim",ROUND(F2063-D2063,2),0)),0)</f>
        <v/>
      </c>
      <c r="I2063" s="350">
        <f>IF(G2063="Sim",0,IF(OR(F2063="",L2063=""),"",F2063))</f>
        <v/>
      </c>
      <c r="J2063" s="350">
        <f>IF(G2063="Sim",0,IF(OR(F2063="",D2063="",L2063=""),"",IF(L2063="Sim",ROUND(F2063-D2063,2),0)))</f>
        <v/>
      </c>
      <c r="K2063" s="97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inlineStr">
        <is>
          <t>Nao</t>
        </is>
      </c>
      <c r="W2063" s="110" t="inlineStr">
        <is>
          <t>PC em analise</t>
        </is>
      </c>
      <c r="X2063" s="110" t="inlineStr">
        <is>
          <t>Pedido de Compra</t>
        </is>
      </c>
      <c r="Y2063" s="111" t="inlineStr">
        <is>
          <t>Impacto Potencial</t>
        </is>
      </c>
      <c r="Z2063" s="111" t="inlineStr">
        <is>
          <t>PC</t>
        </is>
      </c>
      <c r="AA2063" s="111" t="inlineStr">
        <is>
          <t>Nao</t>
        </is>
      </c>
      <c r="AB2063" s="111" t="inlineStr">
        <is>
          <t>NAO_COMPUTADO</t>
        </is>
      </c>
      <c r="AC2063" s="112" t="inlineStr">
        <is>
          <t>Estrutura Fase 1: sem impacto no VTA oficial</t>
        </is>
      </c>
    </row>
    <row r="2064" ht="25.5" customHeight="1" s="289">
      <c r="A2064" s="205" t="n"/>
      <c r="B2064" s="207" t="n"/>
      <c r="C2064" s="104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348" t="n"/>
      <c r="E2064" s="349">
        <f>IF(C2064="","",IFERROR(VLOOKUP(C2064,parametros!$A$11:$E$15,5,0),""))</f>
        <v/>
      </c>
      <c r="F2064" s="335">
        <f>IF(OR(D2064="",E2064=""),"",ROUND(D2064*E2064,2))</f>
        <v/>
      </c>
      <c r="G2064" s="106" t="n"/>
      <c r="H2064" s="350">
        <f>IF(G2064="Sim",IF(OR(F2064="",D2064="",L2064=""),"",IF(L2064="Sim",ROUND(F2064-D2064,2),0)),0)</f>
        <v/>
      </c>
      <c r="I2064" s="350">
        <f>IF(G2064="Sim",0,IF(OR(F2064="",L2064=""),"",F2064))</f>
        <v/>
      </c>
      <c r="J2064" s="350">
        <f>IF(G2064="Sim",0,IF(OR(F2064="",D2064="",L2064=""),"",IF(L2064="Sim",ROUND(F2064-D2064,2),0)))</f>
        <v/>
      </c>
      <c r="K2064" s="97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inlineStr">
        <is>
          <t>Nao</t>
        </is>
      </c>
      <c r="W2064" s="110" t="inlineStr">
        <is>
          <t>PC em analise</t>
        </is>
      </c>
      <c r="X2064" s="110" t="inlineStr">
        <is>
          <t>Pedido de Compra</t>
        </is>
      </c>
      <c r="Y2064" s="111" t="inlineStr">
        <is>
          <t>Impacto Potencial</t>
        </is>
      </c>
      <c r="Z2064" s="111" t="inlineStr">
        <is>
          <t>PC</t>
        </is>
      </c>
      <c r="AA2064" s="111" t="inlineStr">
        <is>
          <t>Nao</t>
        </is>
      </c>
      <c r="AB2064" s="111" t="inlineStr">
        <is>
          <t>NAO_COMPUTADO</t>
        </is>
      </c>
      <c r="AC2064" s="112" t="inlineStr">
        <is>
          <t>Estrutura Fase 1: sem impacto no VTA oficial</t>
        </is>
      </c>
    </row>
    <row r="2065" ht="25.5" customHeight="1" s="289">
      <c r="A2065" s="205" t="n"/>
      <c r="B2065" s="207" t="n"/>
      <c r="C2065" s="104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348" t="n"/>
      <c r="E2065" s="349">
        <f>IF(C2065="","",IFERROR(VLOOKUP(C2065,parametros!$A$11:$E$15,5,0),""))</f>
        <v/>
      </c>
      <c r="F2065" s="335">
        <f>IF(OR(D2065="",E2065=""),"",ROUND(D2065*E2065,2))</f>
        <v/>
      </c>
      <c r="G2065" s="106" t="n"/>
      <c r="H2065" s="350">
        <f>IF(G2065="Sim",IF(OR(F2065="",D2065="",L2065=""),"",IF(L2065="Sim",ROUND(F2065-D2065,2),0)),0)</f>
        <v/>
      </c>
      <c r="I2065" s="350">
        <f>IF(G2065="Sim",0,IF(OR(F2065="",L2065=""),"",F2065))</f>
        <v/>
      </c>
      <c r="J2065" s="350">
        <f>IF(G2065="Sim",0,IF(OR(F2065="",D2065="",L2065=""),"",IF(L2065="Sim",ROUND(F2065-D2065,2),0)))</f>
        <v/>
      </c>
      <c r="K2065" s="97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inlineStr">
        <is>
          <t>Nao</t>
        </is>
      </c>
      <c r="W2065" s="110" t="inlineStr">
        <is>
          <t>PC em analise</t>
        </is>
      </c>
      <c r="X2065" s="110" t="inlineStr">
        <is>
          <t>Pedido de Compra</t>
        </is>
      </c>
      <c r="Y2065" s="111" t="inlineStr">
        <is>
          <t>Impacto Potencial</t>
        </is>
      </c>
      <c r="Z2065" s="111" t="inlineStr">
        <is>
          <t>PC</t>
        </is>
      </c>
      <c r="AA2065" s="111" t="inlineStr">
        <is>
          <t>Nao</t>
        </is>
      </c>
      <c r="AB2065" s="111" t="inlineStr">
        <is>
          <t>NAO_COMPUTADO</t>
        </is>
      </c>
      <c r="AC2065" s="112" t="inlineStr">
        <is>
          <t>Estrutura Fase 1: sem impacto no VTA oficial</t>
        </is>
      </c>
    </row>
    <row r="2066" ht="25.5" customHeight="1" s="289">
      <c r="A2066" s="205" t="n"/>
      <c r="B2066" s="207" t="n"/>
      <c r="C2066" s="104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348" t="n"/>
      <c r="E2066" s="349">
        <f>IF(C2066="","",IFERROR(VLOOKUP(C2066,parametros!$A$11:$E$15,5,0),""))</f>
        <v/>
      </c>
      <c r="F2066" s="335">
        <f>IF(OR(D2066="",E2066=""),"",ROUND(D2066*E2066,2))</f>
        <v/>
      </c>
      <c r="G2066" s="106" t="n"/>
      <c r="H2066" s="350">
        <f>IF(G2066="Sim",IF(OR(F2066="",D2066="",L2066=""),"",IF(L2066="Sim",ROUND(F2066-D2066,2),0)),0)</f>
        <v/>
      </c>
      <c r="I2066" s="350">
        <f>IF(G2066="Sim",0,IF(OR(F2066="",L2066=""),"",F2066))</f>
        <v/>
      </c>
      <c r="J2066" s="350">
        <f>IF(G2066="Sim",0,IF(OR(F2066="",D2066="",L2066=""),"",IF(L2066="Sim",ROUND(F2066-D2066,2),0)))</f>
        <v/>
      </c>
      <c r="K2066" s="97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inlineStr">
        <is>
          <t>Nao</t>
        </is>
      </c>
      <c r="W2066" s="110" t="inlineStr">
        <is>
          <t>PC em analise</t>
        </is>
      </c>
      <c r="X2066" s="110" t="inlineStr">
        <is>
          <t>Pedido de Compra</t>
        </is>
      </c>
      <c r="Y2066" s="111" t="inlineStr">
        <is>
          <t>Impacto Potencial</t>
        </is>
      </c>
      <c r="Z2066" s="111" t="inlineStr">
        <is>
          <t>PC</t>
        </is>
      </c>
      <c r="AA2066" s="111" t="inlineStr">
        <is>
          <t>Nao</t>
        </is>
      </c>
      <c r="AB2066" s="111" t="inlineStr">
        <is>
          <t>NAO_COMPUTADO</t>
        </is>
      </c>
      <c r="AC2066" s="112" t="inlineStr">
        <is>
          <t>Estrutura Fase 1: sem impacto no VTA oficial</t>
        </is>
      </c>
    </row>
    <row r="2067" ht="25.5" customHeight="1" s="289">
      <c r="A2067" s="205" t="n"/>
      <c r="B2067" s="207" t="n"/>
      <c r="C2067" s="104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348" t="n"/>
      <c r="E2067" s="349">
        <f>IF(C2067="","",IFERROR(VLOOKUP(C2067,parametros!$A$11:$E$15,5,0),""))</f>
        <v/>
      </c>
      <c r="F2067" s="335">
        <f>IF(OR(D2067="",E2067=""),"",ROUND(D2067*E2067,2))</f>
        <v/>
      </c>
      <c r="G2067" s="106" t="n"/>
      <c r="H2067" s="350">
        <f>IF(G2067="Sim",IF(OR(F2067="",D2067="",L2067=""),"",IF(L2067="Sim",ROUND(F2067-D2067,2),0)),0)</f>
        <v/>
      </c>
      <c r="I2067" s="350">
        <f>IF(G2067="Sim",0,IF(OR(F2067="",L2067=""),"",F2067))</f>
        <v/>
      </c>
      <c r="J2067" s="350">
        <f>IF(G2067="Sim",0,IF(OR(F2067="",D2067="",L2067=""),"",IF(L2067="Sim",ROUND(F2067-D2067,2),0)))</f>
        <v/>
      </c>
      <c r="K2067" s="97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inlineStr">
        <is>
          <t>Nao</t>
        </is>
      </c>
      <c r="W2067" s="110" t="inlineStr">
        <is>
          <t>PC em analise</t>
        </is>
      </c>
      <c r="X2067" s="110" t="inlineStr">
        <is>
          <t>Pedido de Compra</t>
        </is>
      </c>
      <c r="Y2067" s="111" t="inlineStr">
        <is>
          <t>Impacto Potencial</t>
        </is>
      </c>
      <c r="Z2067" s="111" t="inlineStr">
        <is>
          <t>PC</t>
        </is>
      </c>
      <c r="AA2067" s="111" t="inlineStr">
        <is>
          <t>Nao</t>
        </is>
      </c>
      <c r="AB2067" s="111" t="inlineStr">
        <is>
          <t>NAO_COMPUTADO</t>
        </is>
      </c>
      <c r="AC2067" s="112" t="inlineStr">
        <is>
          <t>Estrutura Fase 1: sem impacto no VTA oficial</t>
        </is>
      </c>
    </row>
    <row r="2068" ht="25.5" customHeight="1" s="289">
      <c r="A2068" s="205" t="n"/>
      <c r="B2068" s="207" t="n"/>
      <c r="C2068" s="104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348" t="n"/>
      <c r="E2068" s="349">
        <f>IF(C2068="","",IFERROR(VLOOKUP(C2068,parametros!$A$11:$E$15,5,0),""))</f>
        <v/>
      </c>
      <c r="F2068" s="335">
        <f>IF(OR(D2068="",E2068=""),"",ROUND(D2068*E2068,2))</f>
        <v/>
      </c>
      <c r="G2068" s="106" t="n"/>
      <c r="H2068" s="350">
        <f>IF(G2068="Sim",IF(OR(F2068="",D2068="",L2068=""),"",IF(L2068="Sim",ROUND(F2068-D2068,2),0)),0)</f>
        <v/>
      </c>
      <c r="I2068" s="350">
        <f>IF(G2068="Sim",0,IF(OR(F2068="",L2068=""),"",F2068))</f>
        <v/>
      </c>
      <c r="J2068" s="350">
        <f>IF(G2068="Sim",0,IF(OR(F2068="",D2068="",L2068=""),"",IF(L2068="Sim",ROUND(F2068-D2068,2),0)))</f>
        <v/>
      </c>
      <c r="K2068" s="97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inlineStr">
        <is>
          <t>Nao</t>
        </is>
      </c>
      <c r="W2068" s="110" t="inlineStr">
        <is>
          <t>PC em analise</t>
        </is>
      </c>
      <c r="X2068" s="110" t="inlineStr">
        <is>
          <t>Pedido de Compra</t>
        </is>
      </c>
      <c r="Y2068" s="111" t="inlineStr">
        <is>
          <t>Impacto Potencial</t>
        </is>
      </c>
      <c r="Z2068" s="111" t="inlineStr">
        <is>
          <t>PC</t>
        </is>
      </c>
      <c r="AA2068" s="111" t="inlineStr">
        <is>
          <t>Nao</t>
        </is>
      </c>
      <c r="AB2068" s="111" t="inlineStr">
        <is>
          <t>NAO_COMPUTADO</t>
        </is>
      </c>
      <c r="AC2068" s="112" t="inlineStr">
        <is>
          <t>Estrutura Fase 1: sem impacto no VTA oficial</t>
        </is>
      </c>
    </row>
    <row r="2069" ht="25.5" customHeight="1" s="289">
      <c r="A2069" s="205" t="n"/>
      <c r="B2069" s="207" t="n"/>
      <c r="C2069" s="104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348" t="n"/>
      <c r="E2069" s="349">
        <f>IF(C2069="","",IFERROR(VLOOKUP(C2069,parametros!$A$11:$E$15,5,0),""))</f>
        <v/>
      </c>
      <c r="F2069" s="335">
        <f>IF(OR(D2069="",E2069=""),"",ROUND(D2069*E2069,2))</f>
        <v/>
      </c>
      <c r="G2069" s="106" t="n"/>
      <c r="H2069" s="350">
        <f>IF(G2069="Sim",IF(OR(F2069="",D2069="",L2069=""),"",IF(L2069="Sim",ROUND(F2069-D2069,2),0)),0)</f>
        <v/>
      </c>
      <c r="I2069" s="350">
        <f>IF(G2069="Sim",0,IF(OR(F2069="",L2069=""),"",F2069))</f>
        <v/>
      </c>
      <c r="J2069" s="350">
        <f>IF(G2069="Sim",0,IF(OR(F2069="",D2069="",L2069=""),"",IF(L2069="Sim",ROUND(F2069-D2069,2),0)))</f>
        <v/>
      </c>
      <c r="K2069" s="97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inlineStr">
        <is>
          <t>Nao</t>
        </is>
      </c>
      <c r="W2069" s="110" t="inlineStr">
        <is>
          <t>PC em analise</t>
        </is>
      </c>
      <c r="X2069" s="110" t="inlineStr">
        <is>
          <t>Pedido de Compra</t>
        </is>
      </c>
      <c r="Y2069" s="111" t="inlineStr">
        <is>
          <t>Impacto Potencial</t>
        </is>
      </c>
      <c r="Z2069" s="111" t="inlineStr">
        <is>
          <t>PC</t>
        </is>
      </c>
      <c r="AA2069" s="111" t="inlineStr">
        <is>
          <t>Nao</t>
        </is>
      </c>
      <c r="AB2069" s="111" t="inlineStr">
        <is>
          <t>NAO_COMPUTADO</t>
        </is>
      </c>
      <c r="AC2069" s="112" t="inlineStr">
        <is>
          <t>Estrutura Fase 1: sem impacto no VTA oficial</t>
        </is>
      </c>
    </row>
    <row r="2070" ht="25.5" customHeight="1" s="289">
      <c r="A2070" s="205" t="n"/>
      <c r="B2070" s="207" t="n"/>
      <c r="C2070" s="104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348" t="n"/>
      <c r="E2070" s="349">
        <f>IF(C2070="","",IFERROR(VLOOKUP(C2070,parametros!$A$11:$E$15,5,0),""))</f>
        <v/>
      </c>
      <c r="F2070" s="335">
        <f>IF(OR(D2070="",E2070=""),"",ROUND(D2070*E2070,2))</f>
        <v/>
      </c>
      <c r="G2070" s="106" t="n"/>
      <c r="H2070" s="350">
        <f>IF(G2070="Sim",IF(OR(F2070="",D2070="",L2070=""),"",IF(L2070="Sim",ROUND(F2070-D2070,2),0)),0)</f>
        <v/>
      </c>
      <c r="I2070" s="350">
        <f>IF(G2070="Sim",0,IF(OR(F2070="",L2070=""),"",F2070))</f>
        <v/>
      </c>
      <c r="J2070" s="350">
        <f>IF(G2070="Sim",0,IF(OR(F2070="",D2070="",L2070=""),"",IF(L2070="Sim",ROUND(F2070-D2070,2),0)))</f>
        <v/>
      </c>
      <c r="K2070" s="97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inlineStr">
        <is>
          <t>Nao</t>
        </is>
      </c>
      <c r="W2070" s="110" t="inlineStr">
        <is>
          <t>PC em analise</t>
        </is>
      </c>
      <c r="X2070" s="110" t="inlineStr">
        <is>
          <t>Pedido de Compra</t>
        </is>
      </c>
      <c r="Y2070" s="111" t="inlineStr">
        <is>
          <t>Impacto Potencial</t>
        </is>
      </c>
      <c r="Z2070" s="111" t="inlineStr">
        <is>
          <t>PC</t>
        </is>
      </c>
      <c r="AA2070" s="111" t="inlineStr">
        <is>
          <t>Nao</t>
        </is>
      </c>
      <c r="AB2070" s="111" t="inlineStr">
        <is>
          <t>NAO_COMPUTADO</t>
        </is>
      </c>
      <c r="AC2070" s="112" t="inlineStr">
        <is>
          <t>Estrutura Fase 1: sem impacto no VTA oficial</t>
        </is>
      </c>
    </row>
    <row r="2071" ht="25.5" customHeight="1" s="289">
      <c r="A2071" s="205" t="n"/>
      <c r="B2071" s="207" t="n"/>
      <c r="C2071" s="104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348" t="n"/>
      <c r="E2071" s="349">
        <f>IF(C2071="","",IFERROR(VLOOKUP(C2071,parametros!$A$11:$E$15,5,0),""))</f>
        <v/>
      </c>
      <c r="F2071" s="335">
        <f>IF(OR(D2071="",E2071=""),"",ROUND(D2071*E2071,2))</f>
        <v/>
      </c>
      <c r="G2071" s="106" t="n"/>
      <c r="H2071" s="350">
        <f>IF(G2071="Sim",IF(OR(F2071="",D2071="",L2071=""),"",IF(L2071="Sim",ROUND(F2071-D2071,2),0)),0)</f>
        <v/>
      </c>
      <c r="I2071" s="350">
        <f>IF(G2071="Sim",0,IF(OR(F2071="",L2071=""),"",F2071))</f>
        <v/>
      </c>
      <c r="J2071" s="350">
        <f>IF(G2071="Sim",0,IF(OR(F2071="",D2071="",L2071=""),"",IF(L2071="Sim",ROUND(F2071-D2071,2),0)))</f>
        <v/>
      </c>
      <c r="K2071" s="97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inlineStr">
        <is>
          <t>Nao</t>
        </is>
      </c>
      <c r="W2071" s="110" t="inlineStr">
        <is>
          <t>PC em analise</t>
        </is>
      </c>
      <c r="X2071" s="110" t="inlineStr">
        <is>
          <t>Pedido de Compra</t>
        </is>
      </c>
      <c r="Y2071" s="111" t="inlineStr">
        <is>
          <t>Impacto Potencial</t>
        </is>
      </c>
      <c r="Z2071" s="111" t="inlineStr">
        <is>
          <t>PC</t>
        </is>
      </c>
      <c r="AA2071" s="111" t="inlineStr">
        <is>
          <t>Nao</t>
        </is>
      </c>
      <c r="AB2071" s="111" t="inlineStr">
        <is>
          <t>NAO_COMPUTADO</t>
        </is>
      </c>
      <c r="AC2071" s="112" t="inlineStr">
        <is>
          <t>Estrutura Fase 1: sem impacto no VTA oficial</t>
        </is>
      </c>
    </row>
    <row r="2072" ht="25.5" customHeight="1" s="289">
      <c r="A2072" s="205" t="n"/>
      <c r="B2072" s="207" t="n"/>
      <c r="C2072" s="104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348" t="n"/>
      <c r="E2072" s="349">
        <f>IF(C2072="","",IFERROR(VLOOKUP(C2072,parametros!$A$11:$E$15,5,0),""))</f>
        <v/>
      </c>
      <c r="F2072" s="335">
        <f>IF(OR(D2072="",E2072=""),"",ROUND(D2072*E2072,2))</f>
        <v/>
      </c>
      <c r="G2072" s="106" t="n"/>
      <c r="H2072" s="350">
        <f>IF(G2072="Sim",IF(OR(F2072="",D2072="",L2072=""),"",IF(L2072="Sim",ROUND(F2072-D2072,2),0)),0)</f>
        <v/>
      </c>
      <c r="I2072" s="350">
        <f>IF(G2072="Sim",0,IF(OR(F2072="",L2072=""),"",F2072))</f>
        <v/>
      </c>
      <c r="J2072" s="350">
        <f>IF(G2072="Sim",0,IF(OR(F2072="",D2072="",L2072=""),"",IF(L2072="Sim",ROUND(F2072-D2072,2),0)))</f>
        <v/>
      </c>
      <c r="K2072" s="97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inlineStr">
        <is>
          <t>Nao</t>
        </is>
      </c>
      <c r="W2072" s="110" t="inlineStr">
        <is>
          <t>PC em analise</t>
        </is>
      </c>
      <c r="X2072" s="110" t="inlineStr">
        <is>
          <t>Pedido de Compra</t>
        </is>
      </c>
      <c r="Y2072" s="111" t="inlineStr">
        <is>
          <t>Impacto Potencial</t>
        </is>
      </c>
      <c r="Z2072" s="111" t="inlineStr">
        <is>
          <t>PC</t>
        </is>
      </c>
      <c r="AA2072" s="111" t="inlineStr">
        <is>
          <t>Nao</t>
        </is>
      </c>
      <c r="AB2072" s="111" t="inlineStr">
        <is>
          <t>NAO_COMPUTADO</t>
        </is>
      </c>
      <c r="AC2072" s="112" t="inlineStr">
        <is>
          <t>Estrutura Fase 1: sem impacto no VTA oficial</t>
        </is>
      </c>
    </row>
    <row r="2073" ht="25.5" customHeight="1" s="289">
      <c r="A2073" s="205" t="n"/>
      <c r="B2073" s="207" t="n"/>
      <c r="C2073" s="104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348" t="n"/>
      <c r="E2073" s="349">
        <f>IF(C2073="","",IFERROR(VLOOKUP(C2073,parametros!$A$11:$E$15,5,0),""))</f>
        <v/>
      </c>
      <c r="F2073" s="335">
        <f>IF(OR(D2073="",E2073=""),"",ROUND(D2073*E2073,2))</f>
        <v/>
      </c>
      <c r="G2073" s="106" t="n"/>
      <c r="H2073" s="350">
        <f>IF(G2073="Sim",IF(OR(F2073="",D2073="",L2073=""),"",IF(L2073="Sim",ROUND(F2073-D2073,2),0)),0)</f>
        <v/>
      </c>
      <c r="I2073" s="350">
        <f>IF(G2073="Sim",0,IF(OR(F2073="",L2073=""),"",F2073))</f>
        <v/>
      </c>
      <c r="J2073" s="350">
        <f>IF(G2073="Sim",0,IF(OR(F2073="",D2073="",L2073=""),"",IF(L2073="Sim",ROUND(F2073-D2073,2),0)))</f>
        <v/>
      </c>
      <c r="K2073" s="97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inlineStr">
        <is>
          <t>Nao</t>
        </is>
      </c>
      <c r="W2073" s="110" t="inlineStr">
        <is>
          <t>PC em analise</t>
        </is>
      </c>
      <c r="X2073" s="110" t="inlineStr">
        <is>
          <t>Pedido de Compra</t>
        </is>
      </c>
      <c r="Y2073" s="111" t="inlineStr">
        <is>
          <t>Impacto Potencial</t>
        </is>
      </c>
      <c r="Z2073" s="111" t="inlineStr">
        <is>
          <t>PC</t>
        </is>
      </c>
      <c r="AA2073" s="111" t="inlineStr">
        <is>
          <t>Nao</t>
        </is>
      </c>
      <c r="AB2073" s="111" t="inlineStr">
        <is>
          <t>NAO_COMPUTADO</t>
        </is>
      </c>
      <c r="AC2073" s="112" t="inlineStr">
        <is>
          <t>Estrutura Fase 1: sem impacto no VTA oficial</t>
        </is>
      </c>
    </row>
    <row r="2074" ht="25.5" customHeight="1" s="289">
      <c r="A2074" s="205" t="n"/>
      <c r="B2074" s="207" t="n"/>
      <c r="C2074" s="104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348" t="n"/>
      <c r="E2074" s="349">
        <f>IF(C2074="","",IFERROR(VLOOKUP(C2074,parametros!$A$11:$E$15,5,0),""))</f>
        <v/>
      </c>
      <c r="F2074" s="335">
        <f>IF(OR(D2074="",E2074=""),"",ROUND(D2074*E2074,2))</f>
        <v/>
      </c>
      <c r="G2074" s="106" t="n"/>
      <c r="H2074" s="350">
        <f>IF(G2074="Sim",IF(OR(F2074="",D2074="",L2074=""),"",IF(L2074="Sim",ROUND(F2074-D2074,2),0)),0)</f>
        <v/>
      </c>
      <c r="I2074" s="350">
        <f>IF(G2074="Sim",0,IF(OR(F2074="",L2074=""),"",F2074))</f>
        <v/>
      </c>
      <c r="J2074" s="350">
        <f>IF(G2074="Sim",0,IF(OR(F2074="",D2074="",L2074=""),"",IF(L2074="Sim",ROUND(F2074-D2074,2),0)))</f>
        <v/>
      </c>
      <c r="K2074" s="97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inlineStr">
        <is>
          <t>Nao</t>
        </is>
      </c>
      <c r="W2074" s="110" t="inlineStr">
        <is>
          <t>PC em analise</t>
        </is>
      </c>
      <c r="X2074" s="110" t="inlineStr">
        <is>
          <t>Pedido de Compra</t>
        </is>
      </c>
      <c r="Y2074" s="111" t="inlineStr">
        <is>
          <t>Impacto Potencial</t>
        </is>
      </c>
      <c r="Z2074" s="111" t="inlineStr">
        <is>
          <t>PC</t>
        </is>
      </c>
      <c r="AA2074" s="111" t="inlineStr">
        <is>
          <t>Nao</t>
        </is>
      </c>
      <c r="AB2074" s="111" t="inlineStr">
        <is>
          <t>NAO_COMPUTADO</t>
        </is>
      </c>
      <c r="AC2074" s="112" t="inlineStr">
        <is>
          <t>Estrutura Fase 1: sem impacto no VTA oficial</t>
        </is>
      </c>
    </row>
    <row r="2075" ht="25.5" customHeight="1" s="289">
      <c r="A2075" s="205" t="n"/>
      <c r="B2075" s="207" t="n"/>
      <c r="C2075" s="104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348" t="n"/>
      <c r="E2075" s="349">
        <f>IF(C2075="","",IFERROR(VLOOKUP(C2075,parametros!$A$11:$E$15,5,0),""))</f>
        <v/>
      </c>
      <c r="F2075" s="335">
        <f>IF(OR(D2075="",E2075=""),"",ROUND(D2075*E2075,2))</f>
        <v/>
      </c>
      <c r="G2075" s="106" t="n"/>
      <c r="H2075" s="350">
        <f>IF(G2075="Sim",IF(OR(F2075="",D2075="",L2075=""),"",IF(L2075="Sim",ROUND(F2075-D2075,2),0)),0)</f>
        <v/>
      </c>
      <c r="I2075" s="350">
        <f>IF(G2075="Sim",0,IF(OR(F2075="",L2075=""),"",F2075))</f>
        <v/>
      </c>
      <c r="J2075" s="350">
        <f>IF(G2075="Sim",0,IF(OR(F2075="",D2075="",L2075=""),"",IF(L2075="Sim",ROUND(F2075-D2075,2),0)))</f>
        <v/>
      </c>
      <c r="K2075" s="97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inlineStr">
        <is>
          <t>Nao</t>
        </is>
      </c>
      <c r="W2075" s="110" t="inlineStr">
        <is>
          <t>PC em analise</t>
        </is>
      </c>
      <c r="X2075" s="110" t="inlineStr">
        <is>
          <t>Pedido de Compra</t>
        </is>
      </c>
      <c r="Y2075" s="111" t="inlineStr">
        <is>
          <t>Impacto Potencial</t>
        </is>
      </c>
      <c r="Z2075" s="111" t="inlineStr">
        <is>
          <t>PC</t>
        </is>
      </c>
      <c r="AA2075" s="111" t="inlineStr">
        <is>
          <t>Nao</t>
        </is>
      </c>
      <c r="AB2075" s="111" t="inlineStr">
        <is>
          <t>NAO_COMPUTADO</t>
        </is>
      </c>
      <c r="AC2075" s="112" t="inlineStr">
        <is>
          <t>Estrutura Fase 1: sem impacto no VTA oficial</t>
        </is>
      </c>
    </row>
    <row r="2076" ht="25.5" customHeight="1" s="289">
      <c r="A2076" s="205" t="n"/>
      <c r="B2076" s="207" t="n"/>
      <c r="C2076" s="104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348" t="n"/>
      <c r="E2076" s="349">
        <f>IF(C2076="","",IFERROR(VLOOKUP(C2076,parametros!$A$11:$E$15,5,0),""))</f>
        <v/>
      </c>
      <c r="F2076" s="335">
        <f>IF(OR(D2076="",E2076=""),"",ROUND(D2076*E2076,2))</f>
        <v/>
      </c>
      <c r="G2076" s="106" t="n"/>
      <c r="H2076" s="350">
        <f>IF(G2076="Sim",IF(OR(F2076="",D2076="",L2076=""),"",IF(L2076="Sim",ROUND(F2076-D2076,2),0)),0)</f>
        <v/>
      </c>
      <c r="I2076" s="350">
        <f>IF(G2076="Sim",0,IF(OR(F2076="",L2076=""),"",F2076))</f>
        <v/>
      </c>
      <c r="J2076" s="350">
        <f>IF(G2076="Sim",0,IF(OR(F2076="",D2076="",L2076=""),"",IF(L2076="Sim",ROUND(F2076-D2076,2),0)))</f>
        <v/>
      </c>
      <c r="K2076" s="97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inlineStr">
        <is>
          <t>Nao</t>
        </is>
      </c>
      <c r="W2076" s="110" t="inlineStr">
        <is>
          <t>PC em analise</t>
        </is>
      </c>
      <c r="X2076" s="110" t="inlineStr">
        <is>
          <t>Pedido de Compra</t>
        </is>
      </c>
      <c r="Y2076" s="111" t="inlineStr">
        <is>
          <t>Impacto Potencial</t>
        </is>
      </c>
      <c r="Z2076" s="111" t="inlineStr">
        <is>
          <t>PC</t>
        </is>
      </c>
      <c r="AA2076" s="111" t="inlineStr">
        <is>
          <t>Nao</t>
        </is>
      </c>
      <c r="AB2076" s="111" t="inlineStr">
        <is>
          <t>NAO_COMPUTADO</t>
        </is>
      </c>
      <c r="AC2076" s="112" t="inlineStr">
        <is>
          <t>Estrutura Fase 1: sem impacto no VTA oficial</t>
        </is>
      </c>
    </row>
    <row r="2077" ht="25.5" customHeight="1" s="289">
      <c r="A2077" s="205" t="n"/>
      <c r="B2077" s="207" t="n"/>
      <c r="C2077" s="104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348" t="n"/>
      <c r="E2077" s="349">
        <f>IF(C2077="","",IFERROR(VLOOKUP(C2077,parametros!$A$11:$E$15,5,0),""))</f>
        <v/>
      </c>
      <c r="F2077" s="335">
        <f>IF(OR(D2077="",E2077=""),"",ROUND(D2077*E2077,2))</f>
        <v/>
      </c>
      <c r="G2077" s="106" t="n"/>
      <c r="H2077" s="350">
        <f>IF(G2077="Sim",IF(OR(F2077="",D2077="",L2077=""),"",IF(L2077="Sim",ROUND(F2077-D2077,2),0)),0)</f>
        <v/>
      </c>
      <c r="I2077" s="350">
        <f>IF(G2077="Sim",0,IF(OR(F2077="",L2077=""),"",F2077))</f>
        <v/>
      </c>
      <c r="J2077" s="350">
        <f>IF(G2077="Sim",0,IF(OR(F2077="",D2077="",L2077=""),"",IF(L2077="Sim",ROUND(F2077-D2077,2),0)))</f>
        <v/>
      </c>
      <c r="K2077" s="97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inlineStr">
        <is>
          <t>Nao</t>
        </is>
      </c>
      <c r="W2077" s="110" t="inlineStr">
        <is>
          <t>PC em analise</t>
        </is>
      </c>
      <c r="X2077" s="110" t="inlineStr">
        <is>
          <t>Pedido de Compra</t>
        </is>
      </c>
      <c r="Y2077" s="111" t="inlineStr">
        <is>
          <t>Impacto Potencial</t>
        </is>
      </c>
      <c r="Z2077" s="111" t="inlineStr">
        <is>
          <t>PC</t>
        </is>
      </c>
      <c r="AA2077" s="111" t="inlineStr">
        <is>
          <t>Nao</t>
        </is>
      </c>
      <c r="AB2077" s="111" t="inlineStr">
        <is>
          <t>NAO_COMPUTADO</t>
        </is>
      </c>
      <c r="AC2077" s="112" t="inlineStr">
        <is>
          <t>Estrutura Fase 1: sem impacto no VTA oficial</t>
        </is>
      </c>
    </row>
    <row r="2078" ht="25.5" customHeight="1" s="289">
      <c r="A2078" s="205" t="n"/>
      <c r="B2078" s="207" t="n"/>
      <c r="C2078" s="104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348" t="n"/>
      <c r="E2078" s="349">
        <f>IF(C2078="","",IFERROR(VLOOKUP(C2078,parametros!$A$11:$E$15,5,0),""))</f>
        <v/>
      </c>
      <c r="F2078" s="335">
        <f>IF(OR(D2078="",E2078=""),"",ROUND(D2078*E2078,2))</f>
        <v/>
      </c>
      <c r="G2078" s="106" t="n"/>
      <c r="H2078" s="350">
        <f>IF(G2078="Sim",IF(OR(F2078="",D2078="",L2078=""),"",IF(L2078="Sim",ROUND(F2078-D2078,2),0)),0)</f>
        <v/>
      </c>
      <c r="I2078" s="350">
        <f>IF(G2078="Sim",0,IF(OR(F2078="",L2078=""),"",F2078))</f>
        <v/>
      </c>
      <c r="J2078" s="350">
        <f>IF(G2078="Sim",0,IF(OR(F2078="",D2078="",L2078=""),"",IF(L2078="Sim",ROUND(F2078-D2078,2),0)))</f>
        <v/>
      </c>
      <c r="K2078" s="97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inlineStr">
        <is>
          <t>Nao</t>
        </is>
      </c>
      <c r="W2078" s="110" t="inlineStr">
        <is>
          <t>PC em analise</t>
        </is>
      </c>
      <c r="X2078" s="110" t="inlineStr">
        <is>
          <t>Pedido de Compra</t>
        </is>
      </c>
      <c r="Y2078" s="111" t="inlineStr">
        <is>
          <t>Impacto Potencial</t>
        </is>
      </c>
      <c r="Z2078" s="111" t="inlineStr">
        <is>
          <t>PC</t>
        </is>
      </c>
      <c r="AA2078" s="111" t="inlineStr">
        <is>
          <t>Nao</t>
        </is>
      </c>
      <c r="AB2078" s="111" t="inlineStr">
        <is>
          <t>NAO_COMPUTADO</t>
        </is>
      </c>
      <c r="AC2078" s="112" t="inlineStr">
        <is>
          <t>Estrutura Fase 1: sem impacto no VTA oficial</t>
        </is>
      </c>
    </row>
    <row r="2079" ht="25.5" customHeight="1" s="289">
      <c r="A2079" s="205" t="n"/>
      <c r="B2079" s="207" t="n"/>
      <c r="C2079" s="104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348" t="n"/>
      <c r="E2079" s="349">
        <f>IF(C2079="","",IFERROR(VLOOKUP(C2079,parametros!$A$11:$E$15,5,0),""))</f>
        <v/>
      </c>
      <c r="F2079" s="335">
        <f>IF(OR(D2079="",E2079=""),"",ROUND(D2079*E2079,2))</f>
        <v/>
      </c>
      <c r="G2079" s="106" t="n"/>
      <c r="H2079" s="350">
        <f>IF(G2079="Sim",IF(OR(F2079="",D2079="",L2079=""),"",IF(L2079="Sim",ROUND(F2079-D2079,2),0)),0)</f>
        <v/>
      </c>
      <c r="I2079" s="350">
        <f>IF(G2079="Sim",0,IF(OR(F2079="",L2079=""),"",F2079))</f>
        <v/>
      </c>
      <c r="J2079" s="350">
        <f>IF(G2079="Sim",0,IF(OR(F2079="",D2079="",L2079=""),"",IF(L2079="Sim",ROUND(F2079-D2079,2),0)))</f>
        <v/>
      </c>
      <c r="K2079" s="97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inlineStr">
        <is>
          <t>Nao</t>
        </is>
      </c>
      <c r="W2079" s="110" t="inlineStr">
        <is>
          <t>PC em analise</t>
        </is>
      </c>
      <c r="X2079" s="110" t="inlineStr">
        <is>
          <t>Pedido de Compra</t>
        </is>
      </c>
      <c r="Y2079" s="111" t="inlineStr">
        <is>
          <t>Impacto Potencial</t>
        </is>
      </c>
      <c r="Z2079" s="111" t="inlineStr">
        <is>
          <t>PC</t>
        </is>
      </c>
      <c r="AA2079" s="111" t="inlineStr">
        <is>
          <t>Nao</t>
        </is>
      </c>
      <c r="AB2079" s="111" t="inlineStr">
        <is>
          <t>NAO_COMPUTADO</t>
        </is>
      </c>
      <c r="AC2079" s="112" t="inlineStr">
        <is>
          <t>Estrutura Fase 1: sem impacto no VTA oficial</t>
        </is>
      </c>
    </row>
    <row r="2080" ht="25.5" customHeight="1" s="289">
      <c r="A2080" s="205" t="n"/>
      <c r="B2080" s="207" t="n"/>
      <c r="C2080" s="104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348" t="n"/>
      <c r="E2080" s="349">
        <f>IF(C2080="","",IFERROR(VLOOKUP(C2080,parametros!$A$11:$E$15,5,0),""))</f>
        <v/>
      </c>
      <c r="F2080" s="335">
        <f>IF(OR(D2080="",E2080=""),"",ROUND(D2080*E2080,2))</f>
        <v/>
      </c>
      <c r="G2080" s="106" t="n"/>
      <c r="H2080" s="350">
        <f>IF(G2080="Sim",IF(OR(F2080="",D2080="",L2080=""),"",IF(L2080="Sim",ROUND(F2080-D2080,2),0)),0)</f>
        <v/>
      </c>
      <c r="I2080" s="350">
        <f>IF(G2080="Sim",0,IF(OR(F2080="",L2080=""),"",F2080))</f>
        <v/>
      </c>
      <c r="J2080" s="350">
        <f>IF(G2080="Sim",0,IF(OR(F2080="",D2080="",L2080=""),"",IF(L2080="Sim",ROUND(F2080-D2080,2),0)))</f>
        <v/>
      </c>
      <c r="K2080" s="97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inlineStr">
        <is>
          <t>Nao</t>
        </is>
      </c>
      <c r="W2080" s="110" t="inlineStr">
        <is>
          <t>PC em analise</t>
        </is>
      </c>
      <c r="X2080" s="110" t="inlineStr">
        <is>
          <t>Pedido de Compra</t>
        </is>
      </c>
      <c r="Y2080" s="111" t="inlineStr">
        <is>
          <t>Impacto Potencial</t>
        </is>
      </c>
      <c r="Z2080" s="111" t="inlineStr">
        <is>
          <t>PC</t>
        </is>
      </c>
      <c r="AA2080" s="111" t="inlineStr">
        <is>
          <t>Nao</t>
        </is>
      </c>
      <c r="AB2080" s="111" t="inlineStr">
        <is>
          <t>NAO_COMPUTADO</t>
        </is>
      </c>
      <c r="AC2080" s="112" t="inlineStr">
        <is>
          <t>Estrutura Fase 1: sem impacto no VTA oficial</t>
        </is>
      </c>
    </row>
    <row r="2081" ht="25.5" customHeight="1" s="289">
      <c r="A2081" s="205" t="n"/>
      <c r="B2081" s="207" t="n"/>
      <c r="C2081" s="104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348" t="n"/>
      <c r="E2081" s="349">
        <f>IF(C2081="","",IFERROR(VLOOKUP(C2081,parametros!$A$11:$E$15,5,0),""))</f>
        <v/>
      </c>
      <c r="F2081" s="335">
        <f>IF(OR(D2081="",E2081=""),"",ROUND(D2081*E2081,2))</f>
        <v/>
      </c>
      <c r="G2081" s="106" t="n"/>
      <c r="H2081" s="350">
        <f>IF(G2081="Sim",IF(OR(F2081="",D2081="",L2081=""),"",IF(L2081="Sim",ROUND(F2081-D2081,2),0)),0)</f>
        <v/>
      </c>
      <c r="I2081" s="350">
        <f>IF(G2081="Sim",0,IF(OR(F2081="",L2081=""),"",F2081))</f>
        <v/>
      </c>
      <c r="J2081" s="350">
        <f>IF(G2081="Sim",0,IF(OR(F2081="",D2081="",L2081=""),"",IF(L2081="Sim",ROUND(F2081-D2081,2),0)))</f>
        <v/>
      </c>
      <c r="K2081" s="97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inlineStr">
        <is>
          <t>Nao</t>
        </is>
      </c>
      <c r="W2081" s="110" t="inlineStr">
        <is>
          <t>PC em analise</t>
        </is>
      </c>
      <c r="X2081" s="110" t="inlineStr">
        <is>
          <t>Pedido de Compra</t>
        </is>
      </c>
      <c r="Y2081" s="111" t="inlineStr">
        <is>
          <t>Impacto Potencial</t>
        </is>
      </c>
      <c r="Z2081" s="111" t="inlineStr">
        <is>
          <t>PC</t>
        </is>
      </c>
      <c r="AA2081" s="111" t="inlineStr">
        <is>
          <t>Nao</t>
        </is>
      </c>
      <c r="AB2081" s="111" t="inlineStr">
        <is>
          <t>NAO_COMPUTADO</t>
        </is>
      </c>
      <c r="AC2081" s="112" t="inlineStr">
        <is>
          <t>Estrutura Fase 1: sem impacto no VTA oficial</t>
        </is>
      </c>
    </row>
    <row r="2082" ht="25.5" customHeight="1" s="289">
      <c r="A2082" s="205" t="n"/>
      <c r="B2082" s="207" t="n"/>
      <c r="C2082" s="104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348" t="n"/>
      <c r="E2082" s="349">
        <f>IF(C2082="","",IFERROR(VLOOKUP(C2082,parametros!$A$11:$E$15,5,0),""))</f>
        <v/>
      </c>
      <c r="F2082" s="335">
        <f>IF(OR(D2082="",E2082=""),"",ROUND(D2082*E2082,2))</f>
        <v/>
      </c>
      <c r="G2082" s="106" t="n"/>
      <c r="H2082" s="350">
        <f>IF(G2082="Sim",IF(OR(F2082="",D2082="",L2082=""),"",IF(L2082="Sim",ROUND(F2082-D2082,2),0)),0)</f>
        <v/>
      </c>
      <c r="I2082" s="350">
        <f>IF(G2082="Sim",0,IF(OR(F2082="",L2082=""),"",F2082))</f>
        <v/>
      </c>
      <c r="J2082" s="350">
        <f>IF(G2082="Sim",0,IF(OR(F2082="",D2082="",L2082=""),"",IF(L2082="Sim",ROUND(F2082-D2082,2),0)))</f>
        <v/>
      </c>
      <c r="K2082" s="97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inlineStr">
        <is>
          <t>Nao</t>
        </is>
      </c>
      <c r="W2082" s="110" t="inlineStr">
        <is>
          <t>PC em analise</t>
        </is>
      </c>
      <c r="X2082" s="110" t="inlineStr">
        <is>
          <t>Pedido de Compra</t>
        </is>
      </c>
      <c r="Y2082" s="111" t="inlineStr">
        <is>
          <t>Impacto Potencial</t>
        </is>
      </c>
      <c r="Z2082" s="111" t="inlineStr">
        <is>
          <t>PC</t>
        </is>
      </c>
      <c r="AA2082" s="111" t="inlineStr">
        <is>
          <t>Nao</t>
        </is>
      </c>
      <c r="AB2082" s="111" t="inlineStr">
        <is>
          <t>NAO_COMPUTADO</t>
        </is>
      </c>
      <c r="AC2082" s="112" t="inlineStr">
        <is>
          <t>Estrutura Fase 1: sem impacto no VTA oficial</t>
        </is>
      </c>
    </row>
    <row r="2083" ht="25.5" customHeight="1" s="289">
      <c r="A2083" s="205" t="n"/>
      <c r="B2083" s="207" t="n"/>
      <c r="C2083" s="104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348" t="n"/>
      <c r="E2083" s="349">
        <f>IF(C2083="","",IFERROR(VLOOKUP(C2083,parametros!$A$11:$E$15,5,0),""))</f>
        <v/>
      </c>
      <c r="F2083" s="335">
        <f>IF(OR(D2083="",E2083=""),"",ROUND(D2083*E2083,2))</f>
        <v/>
      </c>
      <c r="G2083" s="106" t="n"/>
      <c r="H2083" s="350">
        <f>IF(G2083="Sim",IF(OR(F2083="",D2083="",L2083=""),"",IF(L2083="Sim",ROUND(F2083-D2083,2),0)),0)</f>
        <v/>
      </c>
      <c r="I2083" s="350">
        <f>IF(G2083="Sim",0,IF(OR(F2083="",L2083=""),"",F2083))</f>
        <v/>
      </c>
      <c r="J2083" s="350">
        <f>IF(G2083="Sim",0,IF(OR(F2083="",D2083="",L2083=""),"",IF(L2083="Sim",ROUND(F2083-D2083,2),0)))</f>
        <v/>
      </c>
      <c r="K2083" s="97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inlineStr">
        <is>
          <t>Nao</t>
        </is>
      </c>
      <c r="W2083" s="110" t="inlineStr">
        <is>
          <t>PC em analise</t>
        </is>
      </c>
      <c r="X2083" s="110" t="inlineStr">
        <is>
          <t>Pedido de Compra</t>
        </is>
      </c>
      <c r="Y2083" s="111" t="inlineStr">
        <is>
          <t>Impacto Potencial</t>
        </is>
      </c>
      <c r="Z2083" s="111" t="inlineStr">
        <is>
          <t>PC</t>
        </is>
      </c>
      <c r="AA2083" s="111" t="inlineStr">
        <is>
          <t>Nao</t>
        </is>
      </c>
      <c r="AB2083" s="111" t="inlineStr">
        <is>
          <t>NAO_COMPUTADO</t>
        </is>
      </c>
      <c r="AC2083" s="112" t="inlineStr">
        <is>
          <t>Estrutura Fase 1: sem impacto no VTA oficial</t>
        </is>
      </c>
    </row>
    <row r="2084" ht="25.5" customHeight="1" s="289">
      <c r="A2084" s="205" t="n"/>
      <c r="B2084" s="207" t="n"/>
      <c r="C2084" s="104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348" t="n"/>
      <c r="E2084" s="349">
        <f>IF(C2084="","",IFERROR(VLOOKUP(C2084,parametros!$A$11:$E$15,5,0),""))</f>
        <v/>
      </c>
      <c r="F2084" s="335">
        <f>IF(OR(D2084="",E2084=""),"",ROUND(D2084*E2084,2))</f>
        <v/>
      </c>
      <c r="G2084" s="106" t="n"/>
      <c r="H2084" s="350">
        <f>IF(G2084="Sim",IF(OR(F2084="",D2084="",L2084=""),"",IF(L2084="Sim",ROUND(F2084-D2084,2),0)),0)</f>
        <v/>
      </c>
      <c r="I2084" s="350">
        <f>IF(G2084="Sim",0,IF(OR(F2084="",L2084=""),"",F2084))</f>
        <v/>
      </c>
      <c r="J2084" s="350">
        <f>IF(G2084="Sim",0,IF(OR(F2084="",D2084="",L2084=""),"",IF(L2084="Sim",ROUND(F2084-D2084,2),0)))</f>
        <v/>
      </c>
      <c r="K2084" s="97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inlineStr">
        <is>
          <t>Nao</t>
        </is>
      </c>
      <c r="W2084" s="110" t="inlineStr">
        <is>
          <t>PC em analise</t>
        </is>
      </c>
      <c r="X2084" s="110" t="inlineStr">
        <is>
          <t>Pedido de Compra</t>
        </is>
      </c>
      <c r="Y2084" s="111" t="inlineStr">
        <is>
          <t>Impacto Potencial</t>
        </is>
      </c>
      <c r="Z2084" s="111" t="inlineStr">
        <is>
          <t>PC</t>
        </is>
      </c>
      <c r="AA2084" s="111" t="inlineStr">
        <is>
          <t>Nao</t>
        </is>
      </c>
      <c r="AB2084" s="111" t="inlineStr">
        <is>
          <t>NAO_COMPUTADO</t>
        </is>
      </c>
      <c r="AC2084" s="112" t="inlineStr">
        <is>
          <t>Estrutura Fase 1: sem impacto no VTA oficial</t>
        </is>
      </c>
    </row>
    <row r="2085" ht="25.5" customHeight="1" s="289">
      <c r="A2085" s="205" t="n"/>
      <c r="B2085" s="207" t="n"/>
      <c r="C2085" s="104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348" t="n"/>
      <c r="E2085" s="349">
        <f>IF(C2085="","",IFERROR(VLOOKUP(C2085,parametros!$A$11:$E$15,5,0),""))</f>
        <v/>
      </c>
      <c r="F2085" s="335">
        <f>IF(OR(D2085="",E2085=""),"",ROUND(D2085*E2085,2))</f>
        <v/>
      </c>
      <c r="G2085" s="106" t="n"/>
      <c r="H2085" s="350">
        <f>IF(G2085="Sim",IF(OR(F2085="",D2085="",L2085=""),"",IF(L2085="Sim",ROUND(F2085-D2085,2),0)),0)</f>
        <v/>
      </c>
      <c r="I2085" s="350">
        <f>IF(G2085="Sim",0,IF(OR(F2085="",L2085=""),"",F2085))</f>
        <v/>
      </c>
      <c r="J2085" s="350">
        <f>IF(G2085="Sim",0,IF(OR(F2085="",D2085="",L2085=""),"",IF(L2085="Sim",ROUND(F2085-D2085,2),0)))</f>
        <v/>
      </c>
      <c r="K2085" s="97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inlineStr">
        <is>
          <t>Nao</t>
        </is>
      </c>
      <c r="W2085" s="110" t="inlineStr">
        <is>
          <t>PC em analise</t>
        </is>
      </c>
      <c r="X2085" s="110" t="inlineStr">
        <is>
          <t>Pedido de Compra</t>
        </is>
      </c>
      <c r="Y2085" s="111" t="inlineStr">
        <is>
          <t>Impacto Potencial</t>
        </is>
      </c>
      <c r="Z2085" s="111" t="inlineStr">
        <is>
          <t>PC</t>
        </is>
      </c>
      <c r="AA2085" s="111" t="inlineStr">
        <is>
          <t>Nao</t>
        </is>
      </c>
      <c r="AB2085" s="111" t="inlineStr">
        <is>
          <t>NAO_COMPUTADO</t>
        </is>
      </c>
      <c r="AC2085" s="112" t="inlineStr">
        <is>
          <t>Estrutura Fase 1: sem impacto no VTA oficial</t>
        </is>
      </c>
    </row>
    <row r="2086" ht="25.5" customHeight="1" s="289">
      <c r="A2086" s="205" t="n"/>
      <c r="B2086" s="207" t="n"/>
      <c r="C2086" s="104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348" t="n"/>
      <c r="E2086" s="349">
        <f>IF(C2086="","",IFERROR(VLOOKUP(C2086,parametros!$A$11:$E$15,5,0),""))</f>
        <v/>
      </c>
      <c r="F2086" s="335">
        <f>IF(OR(D2086="",E2086=""),"",ROUND(D2086*E2086,2))</f>
        <v/>
      </c>
      <c r="G2086" s="106" t="n"/>
      <c r="H2086" s="350">
        <f>IF(G2086="Sim",IF(OR(F2086="",D2086="",L2086=""),"",IF(L2086="Sim",ROUND(F2086-D2086,2),0)),0)</f>
        <v/>
      </c>
      <c r="I2086" s="350">
        <f>IF(G2086="Sim",0,IF(OR(F2086="",L2086=""),"",F2086))</f>
        <v/>
      </c>
      <c r="J2086" s="350">
        <f>IF(G2086="Sim",0,IF(OR(F2086="",D2086="",L2086=""),"",IF(L2086="Sim",ROUND(F2086-D2086,2),0)))</f>
        <v/>
      </c>
      <c r="K2086" s="97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inlineStr">
        <is>
          <t>Nao</t>
        </is>
      </c>
      <c r="W2086" s="110" t="inlineStr">
        <is>
          <t>PC em analise</t>
        </is>
      </c>
      <c r="X2086" s="110" t="inlineStr">
        <is>
          <t>Pedido de Compra</t>
        </is>
      </c>
      <c r="Y2086" s="111" t="inlineStr">
        <is>
          <t>Impacto Potencial</t>
        </is>
      </c>
      <c r="Z2086" s="111" t="inlineStr">
        <is>
          <t>PC</t>
        </is>
      </c>
      <c r="AA2086" s="111" t="inlineStr">
        <is>
          <t>Nao</t>
        </is>
      </c>
      <c r="AB2086" s="111" t="inlineStr">
        <is>
          <t>NAO_COMPUTADO</t>
        </is>
      </c>
      <c r="AC2086" s="112" t="inlineStr">
        <is>
          <t>Estrutura Fase 1: sem impacto no VTA oficial</t>
        </is>
      </c>
    </row>
    <row r="2087" ht="25.5" customHeight="1" s="289">
      <c r="A2087" s="205" t="n"/>
      <c r="B2087" s="207" t="n"/>
      <c r="C2087" s="104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348" t="n"/>
      <c r="E2087" s="349">
        <f>IF(C2087="","",IFERROR(VLOOKUP(C2087,parametros!$A$11:$E$15,5,0),""))</f>
        <v/>
      </c>
      <c r="F2087" s="335">
        <f>IF(OR(D2087="",E2087=""),"",ROUND(D2087*E2087,2))</f>
        <v/>
      </c>
      <c r="G2087" s="106" t="n"/>
      <c r="H2087" s="350">
        <f>IF(G2087="Sim",IF(OR(F2087="",D2087="",L2087=""),"",IF(L2087="Sim",ROUND(F2087-D2087,2),0)),0)</f>
        <v/>
      </c>
      <c r="I2087" s="350">
        <f>IF(G2087="Sim",0,IF(OR(F2087="",L2087=""),"",F2087))</f>
        <v/>
      </c>
      <c r="J2087" s="350">
        <f>IF(G2087="Sim",0,IF(OR(F2087="",D2087="",L2087=""),"",IF(L2087="Sim",ROUND(F2087-D2087,2),0)))</f>
        <v/>
      </c>
      <c r="K2087" s="97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inlineStr">
        <is>
          <t>Nao</t>
        </is>
      </c>
      <c r="W2087" s="110" t="inlineStr">
        <is>
          <t>PC em analise</t>
        </is>
      </c>
      <c r="X2087" s="110" t="inlineStr">
        <is>
          <t>Pedido de Compra</t>
        </is>
      </c>
      <c r="Y2087" s="111" t="inlineStr">
        <is>
          <t>Impacto Potencial</t>
        </is>
      </c>
      <c r="Z2087" s="111" t="inlineStr">
        <is>
          <t>PC</t>
        </is>
      </c>
      <c r="AA2087" s="111" t="inlineStr">
        <is>
          <t>Nao</t>
        </is>
      </c>
      <c r="AB2087" s="111" t="inlineStr">
        <is>
          <t>NAO_COMPUTADO</t>
        </is>
      </c>
      <c r="AC2087" s="112" t="inlineStr">
        <is>
          <t>Estrutura Fase 1: sem impacto no VTA oficial</t>
        </is>
      </c>
    </row>
    <row r="2088" ht="25.5" customHeight="1" s="289">
      <c r="A2088" s="205" t="n"/>
      <c r="B2088" s="207" t="n"/>
      <c r="C2088" s="104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348" t="n"/>
      <c r="E2088" s="349">
        <f>IF(C2088="","",IFERROR(VLOOKUP(C2088,parametros!$A$11:$E$15,5,0),""))</f>
        <v/>
      </c>
      <c r="F2088" s="335">
        <f>IF(OR(D2088="",E2088=""),"",ROUND(D2088*E2088,2))</f>
        <v/>
      </c>
      <c r="G2088" s="106" t="n"/>
      <c r="H2088" s="350">
        <f>IF(G2088="Sim",IF(OR(F2088="",D2088="",L2088=""),"",IF(L2088="Sim",ROUND(F2088-D2088,2),0)),0)</f>
        <v/>
      </c>
      <c r="I2088" s="350">
        <f>IF(G2088="Sim",0,IF(OR(F2088="",L2088=""),"",F2088))</f>
        <v/>
      </c>
      <c r="J2088" s="350">
        <f>IF(G2088="Sim",0,IF(OR(F2088="",D2088="",L2088=""),"",IF(L2088="Sim",ROUND(F2088-D2088,2),0)))</f>
        <v/>
      </c>
      <c r="K2088" s="97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inlineStr">
        <is>
          <t>Nao</t>
        </is>
      </c>
      <c r="W2088" s="110" t="inlineStr">
        <is>
          <t>PC em analise</t>
        </is>
      </c>
      <c r="X2088" s="110" t="inlineStr">
        <is>
          <t>Pedido de Compra</t>
        </is>
      </c>
      <c r="Y2088" s="111" t="inlineStr">
        <is>
          <t>Impacto Potencial</t>
        </is>
      </c>
      <c r="Z2088" s="111" t="inlineStr">
        <is>
          <t>PC</t>
        </is>
      </c>
      <c r="AA2088" s="111" t="inlineStr">
        <is>
          <t>Nao</t>
        </is>
      </c>
      <c r="AB2088" s="111" t="inlineStr">
        <is>
          <t>NAO_COMPUTADO</t>
        </is>
      </c>
      <c r="AC2088" s="112" t="inlineStr">
        <is>
          <t>Estrutura Fase 1: sem impacto no VTA oficial</t>
        </is>
      </c>
    </row>
    <row r="2089" ht="25.5" customHeight="1" s="289">
      <c r="A2089" s="205" t="n"/>
      <c r="B2089" s="207" t="n"/>
      <c r="C2089" s="104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348" t="n"/>
      <c r="E2089" s="349">
        <f>IF(C2089="","",IFERROR(VLOOKUP(C2089,parametros!$A$11:$E$15,5,0),""))</f>
        <v/>
      </c>
      <c r="F2089" s="335">
        <f>IF(OR(D2089="",E2089=""),"",ROUND(D2089*E2089,2))</f>
        <v/>
      </c>
      <c r="G2089" s="106" t="n"/>
      <c r="H2089" s="350">
        <f>IF(G2089="Sim",IF(OR(F2089="",D2089="",L2089=""),"",IF(L2089="Sim",ROUND(F2089-D2089,2),0)),0)</f>
        <v/>
      </c>
      <c r="I2089" s="350">
        <f>IF(G2089="Sim",0,IF(OR(F2089="",L2089=""),"",F2089))</f>
        <v/>
      </c>
      <c r="J2089" s="350">
        <f>IF(G2089="Sim",0,IF(OR(F2089="",D2089="",L2089=""),"",IF(L2089="Sim",ROUND(F2089-D2089,2),0)))</f>
        <v/>
      </c>
      <c r="K2089" s="97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inlineStr">
        <is>
          <t>Nao</t>
        </is>
      </c>
      <c r="W2089" s="110" t="inlineStr">
        <is>
          <t>PC em analise</t>
        </is>
      </c>
      <c r="X2089" s="110" t="inlineStr">
        <is>
          <t>Pedido de Compra</t>
        </is>
      </c>
      <c r="Y2089" s="111" t="inlineStr">
        <is>
          <t>Impacto Potencial</t>
        </is>
      </c>
      <c r="Z2089" s="111" t="inlineStr">
        <is>
          <t>PC</t>
        </is>
      </c>
      <c r="AA2089" s="111" t="inlineStr">
        <is>
          <t>Nao</t>
        </is>
      </c>
      <c r="AB2089" s="111" t="inlineStr">
        <is>
          <t>NAO_COMPUTADO</t>
        </is>
      </c>
      <c r="AC2089" s="112" t="inlineStr">
        <is>
          <t>Estrutura Fase 1: sem impacto no VTA oficial</t>
        </is>
      </c>
    </row>
    <row r="2090" ht="25.5" customHeight="1" s="289">
      <c r="A2090" s="205" t="n"/>
      <c r="B2090" s="207" t="n"/>
      <c r="C2090" s="104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348" t="n"/>
      <c r="E2090" s="349">
        <f>IF(C2090="","",IFERROR(VLOOKUP(C2090,parametros!$A$11:$E$15,5,0),""))</f>
        <v/>
      </c>
      <c r="F2090" s="335">
        <f>IF(OR(D2090="",E2090=""),"",ROUND(D2090*E2090,2))</f>
        <v/>
      </c>
      <c r="G2090" s="106" t="n"/>
      <c r="H2090" s="350">
        <f>IF(G2090="Sim",IF(OR(F2090="",D2090="",L2090=""),"",IF(L2090="Sim",ROUND(F2090-D2090,2),0)),0)</f>
        <v/>
      </c>
      <c r="I2090" s="350">
        <f>IF(G2090="Sim",0,IF(OR(F2090="",L2090=""),"",F2090))</f>
        <v/>
      </c>
      <c r="J2090" s="350">
        <f>IF(G2090="Sim",0,IF(OR(F2090="",D2090="",L2090=""),"",IF(L2090="Sim",ROUND(F2090-D2090,2),0)))</f>
        <v/>
      </c>
      <c r="K2090" s="97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inlineStr">
        <is>
          <t>Nao</t>
        </is>
      </c>
      <c r="W2090" s="110" t="inlineStr">
        <is>
          <t>PC em analise</t>
        </is>
      </c>
      <c r="X2090" s="110" t="inlineStr">
        <is>
          <t>Pedido de Compra</t>
        </is>
      </c>
      <c r="Y2090" s="111" t="inlineStr">
        <is>
          <t>Impacto Potencial</t>
        </is>
      </c>
      <c r="Z2090" s="111" t="inlineStr">
        <is>
          <t>PC</t>
        </is>
      </c>
      <c r="AA2090" s="111" t="inlineStr">
        <is>
          <t>Nao</t>
        </is>
      </c>
      <c r="AB2090" s="111" t="inlineStr">
        <is>
          <t>NAO_COMPUTADO</t>
        </is>
      </c>
      <c r="AC2090" s="112" t="inlineStr">
        <is>
          <t>Estrutura Fase 1: sem impacto no VTA oficial</t>
        </is>
      </c>
    </row>
    <row r="2091" ht="25.5" customHeight="1" s="289">
      <c r="A2091" s="205" t="n"/>
      <c r="B2091" s="207" t="n"/>
      <c r="C2091" s="104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348" t="n"/>
      <c r="E2091" s="349">
        <f>IF(C2091="","",IFERROR(VLOOKUP(C2091,parametros!$A$11:$E$15,5,0),""))</f>
        <v/>
      </c>
      <c r="F2091" s="335">
        <f>IF(OR(D2091="",E2091=""),"",ROUND(D2091*E2091,2))</f>
        <v/>
      </c>
      <c r="G2091" s="106" t="n"/>
      <c r="H2091" s="350">
        <f>IF(G2091="Sim",IF(OR(F2091="",D2091="",L2091=""),"",IF(L2091="Sim",ROUND(F2091-D2091,2),0)),0)</f>
        <v/>
      </c>
      <c r="I2091" s="350">
        <f>IF(G2091="Sim",0,IF(OR(F2091="",L2091=""),"",F2091))</f>
        <v/>
      </c>
      <c r="J2091" s="350">
        <f>IF(G2091="Sim",0,IF(OR(F2091="",D2091="",L2091=""),"",IF(L2091="Sim",ROUND(F2091-D2091,2),0)))</f>
        <v/>
      </c>
      <c r="K2091" s="97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inlineStr">
        <is>
          <t>Nao</t>
        </is>
      </c>
      <c r="W2091" s="110" t="inlineStr">
        <is>
          <t>PC em analise</t>
        </is>
      </c>
      <c r="X2091" s="110" t="inlineStr">
        <is>
          <t>Pedido de Compra</t>
        </is>
      </c>
      <c r="Y2091" s="111" t="inlineStr">
        <is>
          <t>Impacto Potencial</t>
        </is>
      </c>
      <c r="Z2091" s="111" t="inlineStr">
        <is>
          <t>PC</t>
        </is>
      </c>
      <c r="AA2091" s="111" t="inlineStr">
        <is>
          <t>Nao</t>
        </is>
      </c>
      <c r="AB2091" s="111" t="inlineStr">
        <is>
          <t>NAO_COMPUTADO</t>
        </is>
      </c>
      <c r="AC2091" s="112" t="inlineStr">
        <is>
          <t>Estrutura Fase 1: sem impacto no VTA oficial</t>
        </is>
      </c>
    </row>
    <row r="2092" ht="25.5" customHeight="1" s="289">
      <c r="A2092" s="205" t="n"/>
      <c r="B2092" s="207" t="n"/>
      <c r="C2092" s="104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348" t="n"/>
      <c r="E2092" s="349">
        <f>IF(C2092="","",IFERROR(VLOOKUP(C2092,parametros!$A$11:$E$15,5,0),""))</f>
        <v/>
      </c>
      <c r="F2092" s="335">
        <f>IF(OR(D2092="",E2092=""),"",ROUND(D2092*E2092,2))</f>
        <v/>
      </c>
      <c r="G2092" s="106" t="n"/>
      <c r="H2092" s="350">
        <f>IF(G2092="Sim",IF(OR(F2092="",D2092="",L2092=""),"",IF(L2092="Sim",ROUND(F2092-D2092,2),0)),0)</f>
        <v/>
      </c>
      <c r="I2092" s="350">
        <f>IF(G2092="Sim",0,IF(OR(F2092="",L2092=""),"",F2092))</f>
        <v/>
      </c>
      <c r="J2092" s="350">
        <f>IF(G2092="Sim",0,IF(OR(F2092="",D2092="",L2092=""),"",IF(L2092="Sim",ROUND(F2092-D2092,2),0)))</f>
        <v/>
      </c>
      <c r="K2092" s="97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inlineStr">
        <is>
          <t>Nao</t>
        </is>
      </c>
      <c r="W2092" s="110" t="inlineStr">
        <is>
          <t>PC em analise</t>
        </is>
      </c>
      <c r="X2092" s="110" t="inlineStr">
        <is>
          <t>Pedido de Compra</t>
        </is>
      </c>
      <c r="Y2092" s="111" t="inlineStr">
        <is>
          <t>Impacto Potencial</t>
        </is>
      </c>
      <c r="Z2092" s="111" t="inlineStr">
        <is>
          <t>PC</t>
        </is>
      </c>
      <c r="AA2092" s="111" t="inlineStr">
        <is>
          <t>Nao</t>
        </is>
      </c>
      <c r="AB2092" s="111" t="inlineStr">
        <is>
          <t>NAO_COMPUTADO</t>
        </is>
      </c>
      <c r="AC2092" s="112" t="inlineStr">
        <is>
          <t>Estrutura Fase 1: sem impacto no VTA oficial</t>
        </is>
      </c>
    </row>
    <row r="2093" ht="25.5" customHeight="1" s="289">
      <c r="A2093" s="205" t="n"/>
      <c r="B2093" s="207" t="n"/>
      <c r="C2093" s="104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348" t="n"/>
      <c r="E2093" s="349">
        <f>IF(C2093="","",IFERROR(VLOOKUP(C2093,parametros!$A$11:$E$15,5,0),""))</f>
        <v/>
      </c>
      <c r="F2093" s="335">
        <f>IF(OR(D2093="",E2093=""),"",ROUND(D2093*E2093,2))</f>
        <v/>
      </c>
      <c r="G2093" s="106" t="n"/>
      <c r="H2093" s="350">
        <f>IF(G2093="Sim",IF(OR(F2093="",D2093="",L2093=""),"",IF(L2093="Sim",ROUND(F2093-D2093,2),0)),0)</f>
        <v/>
      </c>
      <c r="I2093" s="350">
        <f>IF(G2093="Sim",0,IF(OR(F2093="",L2093=""),"",F2093))</f>
        <v/>
      </c>
      <c r="J2093" s="350">
        <f>IF(G2093="Sim",0,IF(OR(F2093="",D2093="",L2093=""),"",IF(L2093="Sim",ROUND(F2093-D2093,2),0)))</f>
        <v/>
      </c>
      <c r="K2093" s="97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inlineStr">
        <is>
          <t>Nao</t>
        </is>
      </c>
      <c r="W2093" s="110" t="inlineStr">
        <is>
          <t>PC em analise</t>
        </is>
      </c>
      <c r="X2093" s="110" t="inlineStr">
        <is>
          <t>Pedido de Compra</t>
        </is>
      </c>
      <c r="Y2093" s="111" t="inlineStr">
        <is>
          <t>Impacto Potencial</t>
        </is>
      </c>
      <c r="Z2093" s="111" t="inlineStr">
        <is>
          <t>PC</t>
        </is>
      </c>
      <c r="AA2093" s="111" t="inlineStr">
        <is>
          <t>Nao</t>
        </is>
      </c>
      <c r="AB2093" s="111" t="inlineStr">
        <is>
          <t>NAO_COMPUTADO</t>
        </is>
      </c>
      <c r="AC2093" s="112" t="inlineStr">
        <is>
          <t>Estrutura Fase 1: sem impacto no VTA oficial</t>
        </is>
      </c>
    </row>
    <row r="2094" ht="25.5" customHeight="1" s="289">
      <c r="A2094" s="205" t="n"/>
      <c r="B2094" s="207" t="n"/>
      <c r="C2094" s="104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348" t="n"/>
      <c r="E2094" s="349">
        <f>IF(C2094="","",IFERROR(VLOOKUP(C2094,parametros!$A$11:$E$15,5,0),""))</f>
        <v/>
      </c>
      <c r="F2094" s="335">
        <f>IF(OR(D2094="",E2094=""),"",ROUND(D2094*E2094,2))</f>
        <v/>
      </c>
      <c r="G2094" s="106" t="n"/>
      <c r="H2094" s="350">
        <f>IF(G2094="Sim",IF(OR(F2094="",D2094="",L2094=""),"",IF(L2094="Sim",ROUND(F2094-D2094,2),0)),0)</f>
        <v/>
      </c>
      <c r="I2094" s="350">
        <f>IF(G2094="Sim",0,IF(OR(F2094="",L2094=""),"",F2094))</f>
        <v/>
      </c>
      <c r="J2094" s="350">
        <f>IF(G2094="Sim",0,IF(OR(F2094="",D2094="",L2094=""),"",IF(L2094="Sim",ROUND(F2094-D2094,2),0)))</f>
        <v/>
      </c>
      <c r="K2094" s="97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inlineStr">
        <is>
          <t>Nao</t>
        </is>
      </c>
      <c r="W2094" s="110" t="inlineStr">
        <is>
          <t>PC em analise</t>
        </is>
      </c>
      <c r="X2094" s="110" t="inlineStr">
        <is>
          <t>Pedido de Compra</t>
        </is>
      </c>
      <c r="Y2094" s="111" t="inlineStr">
        <is>
          <t>Impacto Potencial</t>
        </is>
      </c>
      <c r="Z2094" s="111" t="inlineStr">
        <is>
          <t>PC</t>
        </is>
      </c>
      <c r="AA2094" s="111" t="inlineStr">
        <is>
          <t>Nao</t>
        </is>
      </c>
      <c r="AB2094" s="111" t="inlineStr">
        <is>
          <t>NAO_COMPUTADO</t>
        </is>
      </c>
      <c r="AC2094" s="112" t="inlineStr">
        <is>
          <t>Estrutura Fase 1: sem impacto no VTA oficial</t>
        </is>
      </c>
    </row>
    <row r="2095" ht="25.5" customHeight="1" s="289">
      <c r="A2095" s="205" t="n"/>
      <c r="B2095" s="207" t="n"/>
      <c r="C2095" s="104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348" t="n"/>
      <c r="E2095" s="349">
        <f>IF(C2095="","",IFERROR(VLOOKUP(C2095,parametros!$A$11:$E$15,5,0),""))</f>
        <v/>
      </c>
      <c r="F2095" s="335">
        <f>IF(OR(D2095="",E2095=""),"",ROUND(D2095*E2095,2))</f>
        <v/>
      </c>
      <c r="G2095" s="106" t="n"/>
      <c r="H2095" s="350">
        <f>IF(G2095="Sim",IF(OR(F2095="",D2095="",L2095=""),"",IF(L2095="Sim",ROUND(F2095-D2095,2),0)),0)</f>
        <v/>
      </c>
      <c r="I2095" s="350">
        <f>IF(G2095="Sim",0,IF(OR(F2095="",L2095=""),"",F2095))</f>
        <v/>
      </c>
      <c r="J2095" s="350">
        <f>IF(G2095="Sim",0,IF(OR(F2095="",D2095="",L2095=""),"",IF(L2095="Sim",ROUND(F2095-D2095,2),0)))</f>
        <v/>
      </c>
      <c r="K2095" s="97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inlineStr">
        <is>
          <t>Nao</t>
        </is>
      </c>
      <c r="W2095" s="110" t="inlineStr">
        <is>
          <t>PC em analise</t>
        </is>
      </c>
      <c r="X2095" s="110" t="inlineStr">
        <is>
          <t>Pedido de Compra</t>
        </is>
      </c>
      <c r="Y2095" s="111" t="inlineStr">
        <is>
          <t>Impacto Potencial</t>
        </is>
      </c>
      <c r="Z2095" s="111" t="inlineStr">
        <is>
          <t>PC</t>
        </is>
      </c>
      <c r="AA2095" s="111" t="inlineStr">
        <is>
          <t>Nao</t>
        </is>
      </c>
      <c r="AB2095" s="111" t="inlineStr">
        <is>
          <t>NAO_COMPUTADO</t>
        </is>
      </c>
      <c r="AC2095" s="112" t="inlineStr">
        <is>
          <t>Estrutura Fase 1: sem impacto no VTA oficial</t>
        </is>
      </c>
    </row>
    <row r="2096" ht="25.5" customHeight="1" s="289">
      <c r="A2096" s="205" t="n"/>
      <c r="B2096" s="207" t="n"/>
      <c r="C2096" s="104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348" t="n"/>
      <c r="E2096" s="349">
        <f>IF(C2096="","",IFERROR(VLOOKUP(C2096,parametros!$A$11:$E$15,5,0),""))</f>
        <v/>
      </c>
      <c r="F2096" s="335">
        <f>IF(OR(D2096="",E2096=""),"",ROUND(D2096*E2096,2))</f>
        <v/>
      </c>
      <c r="G2096" s="106" t="n"/>
      <c r="H2096" s="350">
        <f>IF(G2096="Sim",IF(OR(F2096="",D2096="",L2096=""),"",IF(L2096="Sim",ROUND(F2096-D2096,2),0)),0)</f>
        <v/>
      </c>
      <c r="I2096" s="350">
        <f>IF(G2096="Sim",0,IF(OR(F2096="",L2096=""),"",F2096))</f>
        <v/>
      </c>
      <c r="J2096" s="350">
        <f>IF(G2096="Sim",0,IF(OR(F2096="",D2096="",L2096=""),"",IF(L2096="Sim",ROUND(F2096-D2096,2),0)))</f>
        <v/>
      </c>
      <c r="K2096" s="97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inlineStr">
        <is>
          <t>Nao</t>
        </is>
      </c>
      <c r="W2096" s="110" t="inlineStr">
        <is>
          <t>PC em analise</t>
        </is>
      </c>
      <c r="X2096" s="110" t="inlineStr">
        <is>
          <t>Pedido de Compra</t>
        </is>
      </c>
      <c r="Y2096" s="111" t="inlineStr">
        <is>
          <t>Impacto Potencial</t>
        </is>
      </c>
      <c r="Z2096" s="111" t="inlineStr">
        <is>
          <t>PC</t>
        </is>
      </c>
      <c r="AA2096" s="111" t="inlineStr">
        <is>
          <t>Nao</t>
        </is>
      </c>
      <c r="AB2096" s="111" t="inlineStr">
        <is>
          <t>NAO_COMPUTADO</t>
        </is>
      </c>
      <c r="AC2096" s="112" t="inlineStr">
        <is>
          <t>Estrutura Fase 1: sem impacto no VTA oficial</t>
        </is>
      </c>
    </row>
    <row r="2097" ht="25.5" customHeight="1" s="289">
      <c r="A2097" s="205" t="n"/>
      <c r="B2097" s="207" t="n"/>
      <c r="C2097" s="104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348" t="n"/>
      <c r="E2097" s="349">
        <f>IF(C2097="","",IFERROR(VLOOKUP(C2097,parametros!$A$11:$E$15,5,0),""))</f>
        <v/>
      </c>
      <c r="F2097" s="335">
        <f>IF(OR(D2097="",E2097=""),"",ROUND(D2097*E2097,2))</f>
        <v/>
      </c>
      <c r="G2097" s="106" t="n"/>
      <c r="H2097" s="350">
        <f>IF(G2097="Sim",IF(OR(F2097="",D2097="",L2097=""),"",IF(L2097="Sim",ROUND(F2097-D2097,2),0)),0)</f>
        <v/>
      </c>
      <c r="I2097" s="350">
        <f>IF(G2097="Sim",0,IF(OR(F2097="",L2097=""),"",F2097))</f>
        <v/>
      </c>
      <c r="J2097" s="350">
        <f>IF(G2097="Sim",0,IF(OR(F2097="",D2097="",L2097=""),"",IF(L2097="Sim",ROUND(F2097-D2097,2),0)))</f>
        <v/>
      </c>
      <c r="K2097" s="97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inlineStr">
        <is>
          <t>Nao</t>
        </is>
      </c>
      <c r="W2097" s="110" t="inlineStr">
        <is>
          <t>PC em analise</t>
        </is>
      </c>
      <c r="X2097" s="110" t="inlineStr">
        <is>
          <t>Pedido de Compra</t>
        </is>
      </c>
      <c r="Y2097" s="111" t="inlineStr">
        <is>
          <t>Impacto Potencial</t>
        </is>
      </c>
      <c r="Z2097" s="111" t="inlineStr">
        <is>
          <t>PC</t>
        </is>
      </c>
      <c r="AA2097" s="111" t="inlineStr">
        <is>
          <t>Nao</t>
        </is>
      </c>
      <c r="AB2097" s="111" t="inlineStr">
        <is>
          <t>NAO_COMPUTADO</t>
        </is>
      </c>
      <c r="AC2097" s="112" t="inlineStr">
        <is>
          <t>Estrutura Fase 1: sem impacto no VTA oficial</t>
        </is>
      </c>
    </row>
    <row r="2098" ht="25.5" customHeight="1" s="289">
      <c r="A2098" s="205" t="n"/>
      <c r="B2098" s="207" t="n"/>
      <c r="C2098" s="104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348" t="n"/>
      <c r="E2098" s="349">
        <f>IF(C2098="","",IFERROR(VLOOKUP(C2098,parametros!$A$11:$E$15,5,0),""))</f>
        <v/>
      </c>
      <c r="F2098" s="335">
        <f>IF(OR(D2098="",E2098=""),"",ROUND(D2098*E2098,2))</f>
        <v/>
      </c>
      <c r="G2098" s="106" t="n"/>
      <c r="H2098" s="350">
        <f>IF(G2098="Sim",IF(OR(F2098="",D2098="",L2098=""),"",IF(L2098="Sim",ROUND(F2098-D2098,2),0)),0)</f>
        <v/>
      </c>
      <c r="I2098" s="350">
        <f>IF(G2098="Sim",0,IF(OR(F2098="",L2098=""),"",F2098))</f>
        <v/>
      </c>
      <c r="J2098" s="350">
        <f>IF(G2098="Sim",0,IF(OR(F2098="",D2098="",L2098=""),"",IF(L2098="Sim",ROUND(F2098-D2098,2),0)))</f>
        <v/>
      </c>
      <c r="K2098" s="97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inlineStr">
        <is>
          <t>Nao</t>
        </is>
      </c>
      <c r="W2098" s="110" t="inlineStr">
        <is>
          <t>PC em analise</t>
        </is>
      </c>
      <c r="X2098" s="110" t="inlineStr">
        <is>
          <t>Pedido de Compra</t>
        </is>
      </c>
      <c r="Y2098" s="111" t="inlineStr">
        <is>
          <t>Impacto Potencial</t>
        </is>
      </c>
      <c r="Z2098" s="111" t="inlineStr">
        <is>
          <t>PC</t>
        </is>
      </c>
      <c r="AA2098" s="111" t="inlineStr">
        <is>
          <t>Nao</t>
        </is>
      </c>
      <c r="AB2098" s="111" t="inlineStr">
        <is>
          <t>NAO_COMPUTADO</t>
        </is>
      </c>
      <c r="AC2098" s="112" t="inlineStr">
        <is>
          <t>Estrutura Fase 1: sem impacto no VTA oficial</t>
        </is>
      </c>
    </row>
    <row r="2099" ht="25.5" customHeight="1" s="289">
      <c r="A2099" s="205" t="n"/>
      <c r="B2099" s="207" t="n"/>
      <c r="C2099" s="104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348" t="n"/>
      <c r="E2099" s="349">
        <f>IF(C2099="","",IFERROR(VLOOKUP(C2099,parametros!$A$11:$E$15,5,0),""))</f>
        <v/>
      </c>
      <c r="F2099" s="335">
        <f>IF(OR(D2099="",E2099=""),"",ROUND(D2099*E2099,2))</f>
        <v/>
      </c>
      <c r="G2099" s="106" t="n"/>
      <c r="H2099" s="350">
        <f>IF(G2099="Sim",IF(OR(F2099="",D2099="",L2099=""),"",IF(L2099="Sim",ROUND(F2099-D2099,2),0)),0)</f>
        <v/>
      </c>
      <c r="I2099" s="350">
        <f>IF(G2099="Sim",0,IF(OR(F2099="",L2099=""),"",F2099))</f>
        <v/>
      </c>
      <c r="J2099" s="350">
        <f>IF(G2099="Sim",0,IF(OR(F2099="",D2099="",L2099=""),"",IF(L2099="Sim",ROUND(F2099-D2099,2),0)))</f>
        <v/>
      </c>
      <c r="K2099" s="97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inlineStr">
        <is>
          <t>Nao</t>
        </is>
      </c>
      <c r="W2099" s="110" t="inlineStr">
        <is>
          <t>PC em analise</t>
        </is>
      </c>
      <c r="X2099" s="110" t="inlineStr">
        <is>
          <t>Pedido de Compra</t>
        </is>
      </c>
      <c r="Y2099" s="111" t="inlineStr">
        <is>
          <t>Impacto Potencial</t>
        </is>
      </c>
      <c r="Z2099" s="111" t="inlineStr">
        <is>
          <t>PC</t>
        </is>
      </c>
      <c r="AA2099" s="111" t="inlineStr">
        <is>
          <t>Nao</t>
        </is>
      </c>
      <c r="AB2099" s="111" t="inlineStr">
        <is>
          <t>NAO_COMPUTADO</t>
        </is>
      </c>
      <c r="AC2099" s="112" t="inlineStr">
        <is>
          <t>Estrutura Fase 1: sem impacto no VTA oficial</t>
        </is>
      </c>
    </row>
    <row r="2100" ht="25.5" customHeight="1" s="289">
      <c r="A2100" s="205" t="n"/>
      <c r="B2100" s="207" t="n"/>
      <c r="C2100" s="104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348" t="n"/>
      <c r="E2100" s="349">
        <f>IF(C2100="","",IFERROR(VLOOKUP(C2100,parametros!$A$11:$E$15,5,0),""))</f>
        <v/>
      </c>
      <c r="F2100" s="335">
        <f>IF(OR(D2100="",E2100=""),"",ROUND(D2100*E2100,2))</f>
        <v/>
      </c>
      <c r="G2100" s="106" t="n"/>
      <c r="H2100" s="350">
        <f>IF(G2100="Sim",IF(OR(F2100="",D2100="",L2100=""),"",IF(L2100="Sim",ROUND(F2100-D2100,2),0)),0)</f>
        <v/>
      </c>
      <c r="I2100" s="350">
        <f>IF(G2100="Sim",0,IF(OR(F2100="",L2100=""),"",F2100))</f>
        <v/>
      </c>
      <c r="J2100" s="350">
        <f>IF(G2100="Sim",0,IF(OR(F2100="",D2100="",L2100=""),"",IF(L2100="Sim",ROUND(F2100-D2100,2),0)))</f>
        <v/>
      </c>
      <c r="K2100" s="97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inlineStr">
        <is>
          <t>Nao</t>
        </is>
      </c>
      <c r="W2100" s="110" t="inlineStr">
        <is>
          <t>PC em analise</t>
        </is>
      </c>
      <c r="X2100" s="110" t="inlineStr">
        <is>
          <t>Pedido de Compra</t>
        </is>
      </c>
      <c r="Y2100" s="111" t="inlineStr">
        <is>
          <t>Impacto Potencial</t>
        </is>
      </c>
      <c r="Z2100" s="111" t="inlineStr">
        <is>
          <t>PC</t>
        </is>
      </c>
      <c r="AA2100" s="111" t="inlineStr">
        <is>
          <t>Nao</t>
        </is>
      </c>
      <c r="AB2100" s="111" t="inlineStr">
        <is>
          <t>NAO_COMPUTADO</t>
        </is>
      </c>
      <c r="AC2100" s="112" t="inlineStr">
        <is>
          <t>Estrutura Fase 1: sem impacto no VTA oficial</t>
        </is>
      </c>
    </row>
    <row r="2101" ht="25.5" customHeight="1" s="289">
      <c r="A2101" s="205" t="n"/>
      <c r="B2101" s="207" t="n"/>
      <c r="C2101" s="104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348" t="n"/>
      <c r="E2101" s="349">
        <f>IF(C2101="","",IFERROR(VLOOKUP(C2101,parametros!$A$11:$E$15,5,0),""))</f>
        <v/>
      </c>
      <c r="F2101" s="335">
        <f>IF(OR(D2101="",E2101=""),"",ROUND(D2101*E2101,2))</f>
        <v/>
      </c>
      <c r="G2101" s="106" t="n"/>
      <c r="H2101" s="350">
        <f>IF(G2101="Sim",IF(OR(F2101="",D2101="",L2101=""),"",IF(L2101="Sim",ROUND(F2101-D2101,2),0)),0)</f>
        <v/>
      </c>
      <c r="I2101" s="350">
        <f>IF(G2101="Sim",0,IF(OR(F2101="",L2101=""),"",F2101))</f>
        <v/>
      </c>
      <c r="J2101" s="350">
        <f>IF(G2101="Sim",0,IF(OR(F2101="",D2101="",L2101=""),"",IF(L2101="Sim",ROUND(F2101-D2101,2),0)))</f>
        <v/>
      </c>
      <c r="K2101" s="97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inlineStr">
        <is>
          <t>Nao</t>
        </is>
      </c>
      <c r="W2101" s="110" t="inlineStr">
        <is>
          <t>PC em analise</t>
        </is>
      </c>
      <c r="X2101" s="110" t="inlineStr">
        <is>
          <t>Pedido de Compra</t>
        </is>
      </c>
      <c r="Y2101" s="111" t="inlineStr">
        <is>
          <t>Impacto Potencial</t>
        </is>
      </c>
      <c r="Z2101" s="111" t="inlineStr">
        <is>
          <t>PC</t>
        </is>
      </c>
      <c r="AA2101" s="111" t="inlineStr">
        <is>
          <t>Nao</t>
        </is>
      </c>
      <c r="AB2101" s="111" t="inlineStr">
        <is>
          <t>NAO_COMPUTADO</t>
        </is>
      </c>
      <c r="AC2101" s="112" t="inlineStr">
        <is>
          <t>Estrutura Fase 1: sem impacto no VTA oficial</t>
        </is>
      </c>
    </row>
    <row r="2102" ht="25.5" customHeight="1" s="289">
      <c r="A2102" s="205" t="n"/>
      <c r="B2102" s="207" t="n"/>
      <c r="C2102" s="104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348" t="n"/>
      <c r="E2102" s="349">
        <f>IF(C2102="","",IFERROR(VLOOKUP(C2102,parametros!$A$11:$E$15,5,0),""))</f>
        <v/>
      </c>
      <c r="F2102" s="335">
        <f>IF(OR(D2102="",E2102=""),"",ROUND(D2102*E2102,2))</f>
        <v/>
      </c>
      <c r="G2102" s="106" t="n"/>
      <c r="H2102" s="350">
        <f>IF(G2102="Sim",IF(OR(F2102="",D2102="",L2102=""),"",IF(L2102="Sim",ROUND(F2102-D2102,2),0)),0)</f>
        <v/>
      </c>
      <c r="I2102" s="350">
        <f>IF(G2102="Sim",0,IF(OR(F2102="",L2102=""),"",F2102))</f>
        <v/>
      </c>
      <c r="J2102" s="350">
        <f>IF(G2102="Sim",0,IF(OR(F2102="",D2102="",L2102=""),"",IF(L2102="Sim",ROUND(F2102-D2102,2),0)))</f>
        <v/>
      </c>
      <c r="K2102" s="97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inlineStr">
        <is>
          <t>Nao</t>
        </is>
      </c>
      <c r="W2102" s="110" t="inlineStr">
        <is>
          <t>PC em analise</t>
        </is>
      </c>
      <c r="X2102" s="110" t="inlineStr">
        <is>
          <t>Pedido de Compra</t>
        </is>
      </c>
      <c r="Y2102" s="111" t="inlineStr">
        <is>
          <t>Impacto Potencial</t>
        </is>
      </c>
      <c r="Z2102" s="111" t="inlineStr">
        <is>
          <t>PC</t>
        </is>
      </c>
      <c r="AA2102" s="111" t="inlineStr">
        <is>
          <t>Nao</t>
        </is>
      </c>
      <c r="AB2102" s="111" t="inlineStr">
        <is>
          <t>NAO_COMPUTADO</t>
        </is>
      </c>
      <c r="AC2102" s="112" t="inlineStr">
        <is>
          <t>Estrutura Fase 1: sem impacto no VTA oficial</t>
        </is>
      </c>
    </row>
    <row r="2103" ht="25.5" customHeight="1" s="289">
      <c r="A2103" s="205" t="n"/>
      <c r="B2103" s="207" t="n"/>
      <c r="C2103" s="104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348" t="n"/>
      <c r="E2103" s="349">
        <f>IF(C2103="","",IFERROR(VLOOKUP(C2103,parametros!$A$11:$E$15,5,0),""))</f>
        <v/>
      </c>
      <c r="F2103" s="335">
        <f>IF(OR(D2103="",E2103=""),"",ROUND(D2103*E2103,2))</f>
        <v/>
      </c>
      <c r="G2103" s="106" t="n"/>
      <c r="H2103" s="350">
        <f>IF(G2103="Sim",IF(OR(F2103="",D2103="",L2103=""),"",IF(L2103="Sim",ROUND(F2103-D2103,2),0)),0)</f>
        <v/>
      </c>
      <c r="I2103" s="350">
        <f>IF(G2103="Sim",0,IF(OR(F2103="",L2103=""),"",F2103))</f>
        <v/>
      </c>
      <c r="J2103" s="350">
        <f>IF(G2103="Sim",0,IF(OR(F2103="",D2103="",L2103=""),"",IF(L2103="Sim",ROUND(F2103-D2103,2),0)))</f>
        <v/>
      </c>
      <c r="K2103" s="97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inlineStr">
        <is>
          <t>Nao</t>
        </is>
      </c>
      <c r="W2103" s="110" t="inlineStr">
        <is>
          <t>PC em analise</t>
        </is>
      </c>
      <c r="X2103" s="110" t="inlineStr">
        <is>
          <t>Pedido de Compra</t>
        </is>
      </c>
      <c r="Y2103" s="111" t="inlineStr">
        <is>
          <t>Impacto Potencial</t>
        </is>
      </c>
      <c r="Z2103" s="111" t="inlineStr">
        <is>
          <t>PC</t>
        </is>
      </c>
      <c r="AA2103" s="111" t="inlineStr">
        <is>
          <t>Nao</t>
        </is>
      </c>
      <c r="AB2103" s="111" t="inlineStr">
        <is>
          <t>NAO_COMPUTADO</t>
        </is>
      </c>
      <c r="AC2103" s="112" t="inlineStr">
        <is>
          <t>Estrutura Fase 1: sem impacto no VTA oficial</t>
        </is>
      </c>
    </row>
    <row r="2104" ht="25.5" customHeight="1" s="289">
      <c r="A2104" s="205" t="n"/>
      <c r="B2104" s="207" t="n"/>
      <c r="C2104" s="104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348" t="n"/>
      <c r="E2104" s="349">
        <f>IF(C2104="","",IFERROR(VLOOKUP(C2104,parametros!$A$11:$E$15,5,0),""))</f>
        <v/>
      </c>
      <c r="F2104" s="335">
        <f>IF(OR(D2104="",E2104=""),"",ROUND(D2104*E2104,2))</f>
        <v/>
      </c>
      <c r="G2104" s="106" t="n"/>
      <c r="H2104" s="350">
        <f>IF(G2104="Sim",IF(OR(F2104="",D2104="",L2104=""),"",IF(L2104="Sim",ROUND(F2104-D2104,2),0)),0)</f>
        <v/>
      </c>
      <c r="I2104" s="350">
        <f>IF(G2104="Sim",0,IF(OR(F2104="",L2104=""),"",F2104))</f>
        <v/>
      </c>
      <c r="J2104" s="350">
        <f>IF(G2104="Sim",0,IF(OR(F2104="",D2104="",L2104=""),"",IF(L2104="Sim",ROUND(F2104-D2104,2),0)))</f>
        <v/>
      </c>
      <c r="K2104" s="97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inlineStr">
        <is>
          <t>Nao</t>
        </is>
      </c>
      <c r="W2104" s="110" t="inlineStr">
        <is>
          <t>PC em analise</t>
        </is>
      </c>
      <c r="X2104" s="110" t="inlineStr">
        <is>
          <t>Pedido de Compra</t>
        </is>
      </c>
      <c r="Y2104" s="111" t="inlineStr">
        <is>
          <t>Impacto Potencial</t>
        </is>
      </c>
      <c r="Z2104" s="111" t="inlineStr">
        <is>
          <t>PC</t>
        </is>
      </c>
      <c r="AA2104" s="111" t="inlineStr">
        <is>
          <t>Nao</t>
        </is>
      </c>
      <c r="AB2104" s="111" t="inlineStr">
        <is>
          <t>NAO_COMPUTADO</t>
        </is>
      </c>
      <c r="AC2104" s="112" t="inlineStr">
        <is>
          <t>Estrutura Fase 1: sem impacto no VTA oficial</t>
        </is>
      </c>
    </row>
    <row r="2105" ht="25.5" customHeight="1" s="289">
      <c r="A2105" s="205" t="n"/>
      <c r="B2105" s="207" t="n"/>
      <c r="C2105" s="104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348" t="n"/>
      <c r="E2105" s="349">
        <f>IF(C2105="","",IFERROR(VLOOKUP(C2105,parametros!$A$11:$E$15,5,0),""))</f>
        <v/>
      </c>
      <c r="F2105" s="335">
        <f>IF(OR(D2105="",E2105=""),"",ROUND(D2105*E2105,2))</f>
        <v/>
      </c>
      <c r="G2105" s="106" t="n"/>
      <c r="H2105" s="350">
        <f>IF(G2105="Sim",IF(OR(F2105="",D2105="",L2105=""),"",IF(L2105="Sim",ROUND(F2105-D2105,2),0)),0)</f>
        <v/>
      </c>
      <c r="I2105" s="350">
        <f>IF(G2105="Sim",0,IF(OR(F2105="",L2105=""),"",F2105))</f>
        <v/>
      </c>
      <c r="J2105" s="350">
        <f>IF(G2105="Sim",0,IF(OR(F2105="",D2105="",L2105=""),"",IF(L2105="Sim",ROUND(F2105-D2105,2),0)))</f>
        <v/>
      </c>
      <c r="K2105" s="97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inlineStr">
        <is>
          <t>Nao</t>
        </is>
      </c>
      <c r="W2105" s="110" t="inlineStr">
        <is>
          <t>PC em analise</t>
        </is>
      </c>
      <c r="X2105" s="110" t="inlineStr">
        <is>
          <t>Pedido de Compra</t>
        </is>
      </c>
      <c r="Y2105" s="111" t="inlineStr">
        <is>
          <t>Impacto Potencial</t>
        </is>
      </c>
      <c r="Z2105" s="111" t="inlineStr">
        <is>
          <t>PC</t>
        </is>
      </c>
      <c r="AA2105" s="111" t="inlineStr">
        <is>
          <t>Nao</t>
        </is>
      </c>
      <c r="AB2105" s="111" t="inlineStr">
        <is>
          <t>NAO_COMPUTADO</t>
        </is>
      </c>
      <c r="AC2105" s="112" t="inlineStr">
        <is>
          <t>Estrutura Fase 1: sem impacto no VTA oficial</t>
        </is>
      </c>
    </row>
    <row r="2106" ht="25.5" customHeight="1" s="289">
      <c r="A2106" s="205" t="n"/>
      <c r="B2106" s="207" t="n"/>
      <c r="C2106" s="104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348" t="n"/>
      <c r="E2106" s="349">
        <f>IF(C2106="","",IFERROR(VLOOKUP(C2106,parametros!$A$11:$E$15,5,0),""))</f>
        <v/>
      </c>
      <c r="F2106" s="335">
        <f>IF(OR(D2106="",E2106=""),"",ROUND(D2106*E2106,2))</f>
        <v/>
      </c>
      <c r="G2106" s="106" t="n"/>
      <c r="H2106" s="350">
        <f>IF(G2106="Sim",IF(OR(F2106="",D2106="",L2106=""),"",IF(L2106="Sim",ROUND(F2106-D2106,2),0)),0)</f>
        <v/>
      </c>
      <c r="I2106" s="350">
        <f>IF(G2106="Sim",0,IF(OR(F2106="",L2106=""),"",F2106))</f>
        <v/>
      </c>
      <c r="J2106" s="350">
        <f>IF(G2106="Sim",0,IF(OR(F2106="",D2106="",L2106=""),"",IF(L2106="Sim",ROUND(F2106-D2106,2),0)))</f>
        <v/>
      </c>
      <c r="K2106" s="97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inlineStr">
        <is>
          <t>Nao</t>
        </is>
      </c>
      <c r="W2106" s="110" t="inlineStr">
        <is>
          <t>PC em analise</t>
        </is>
      </c>
      <c r="X2106" s="110" t="inlineStr">
        <is>
          <t>Pedido de Compra</t>
        </is>
      </c>
      <c r="Y2106" s="111" t="inlineStr">
        <is>
          <t>Impacto Potencial</t>
        </is>
      </c>
      <c r="Z2106" s="111" t="inlineStr">
        <is>
          <t>PC</t>
        </is>
      </c>
      <c r="AA2106" s="111" t="inlineStr">
        <is>
          <t>Nao</t>
        </is>
      </c>
      <c r="AB2106" s="111" t="inlineStr">
        <is>
          <t>NAO_COMPUTADO</t>
        </is>
      </c>
      <c r="AC2106" s="112" t="inlineStr">
        <is>
          <t>Estrutura Fase 1: sem impacto no VTA oficial</t>
        </is>
      </c>
    </row>
    <row r="2107" ht="25.5" customHeight="1" s="289">
      <c r="A2107" s="205" t="n"/>
      <c r="B2107" s="207" t="n"/>
      <c r="C2107" s="104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348" t="n"/>
      <c r="E2107" s="349">
        <f>IF(C2107="","",IFERROR(VLOOKUP(C2107,parametros!$A$11:$E$15,5,0),""))</f>
        <v/>
      </c>
      <c r="F2107" s="335">
        <f>IF(OR(D2107="",E2107=""),"",ROUND(D2107*E2107,2))</f>
        <v/>
      </c>
      <c r="G2107" s="106" t="n"/>
      <c r="H2107" s="350">
        <f>IF(G2107="Sim",IF(OR(F2107="",D2107="",L2107=""),"",IF(L2107="Sim",ROUND(F2107-D2107,2),0)),0)</f>
        <v/>
      </c>
      <c r="I2107" s="350">
        <f>IF(G2107="Sim",0,IF(OR(F2107="",L2107=""),"",F2107))</f>
        <v/>
      </c>
      <c r="J2107" s="350">
        <f>IF(G2107="Sim",0,IF(OR(F2107="",D2107="",L2107=""),"",IF(L2107="Sim",ROUND(F2107-D2107,2),0)))</f>
        <v/>
      </c>
      <c r="K2107" s="97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inlineStr">
        <is>
          <t>Nao</t>
        </is>
      </c>
      <c r="W2107" s="110" t="inlineStr">
        <is>
          <t>PC em analise</t>
        </is>
      </c>
      <c r="X2107" s="110" t="inlineStr">
        <is>
          <t>Pedido de Compra</t>
        </is>
      </c>
      <c r="Y2107" s="111" t="inlineStr">
        <is>
          <t>Impacto Potencial</t>
        </is>
      </c>
      <c r="Z2107" s="111" t="inlineStr">
        <is>
          <t>PC</t>
        </is>
      </c>
      <c r="AA2107" s="111" t="inlineStr">
        <is>
          <t>Nao</t>
        </is>
      </c>
      <c r="AB2107" s="111" t="inlineStr">
        <is>
          <t>NAO_COMPUTADO</t>
        </is>
      </c>
      <c r="AC2107" s="112" t="inlineStr">
        <is>
          <t>Estrutura Fase 1: sem impacto no VTA oficial</t>
        </is>
      </c>
    </row>
    <row r="2108" ht="25.5" customHeight="1" s="289">
      <c r="A2108" s="205" t="n"/>
      <c r="B2108" s="207" t="n"/>
      <c r="C2108" s="104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348" t="n"/>
      <c r="E2108" s="349">
        <f>IF(C2108="","",IFERROR(VLOOKUP(C2108,parametros!$A$11:$E$15,5,0),""))</f>
        <v/>
      </c>
      <c r="F2108" s="335">
        <f>IF(OR(D2108="",E2108=""),"",ROUND(D2108*E2108,2))</f>
        <v/>
      </c>
      <c r="G2108" s="106" t="n"/>
      <c r="H2108" s="350">
        <f>IF(G2108="Sim",IF(OR(F2108="",D2108="",L2108=""),"",IF(L2108="Sim",ROUND(F2108-D2108,2),0)),0)</f>
        <v/>
      </c>
      <c r="I2108" s="350">
        <f>IF(G2108="Sim",0,IF(OR(F2108="",L2108=""),"",F2108))</f>
        <v/>
      </c>
      <c r="J2108" s="350">
        <f>IF(G2108="Sim",0,IF(OR(F2108="",D2108="",L2108=""),"",IF(L2108="Sim",ROUND(F2108-D2108,2),0)))</f>
        <v/>
      </c>
      <c r="K2108" s="97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inlineStr">
        <is>
          <t>Nao</t>
        </is>
      </c>
      <c r="W2108" s="110" t="inlineStr">
        <is>
          <t>PC em analise</t>
        </is>
      </c>
      <c r="X2108" s="110" t="inlineStr">
        <is>
          <t>Pedido de Compra</t>
        </is>
      </c>
      <c r="Y2108" s="111" t="inlineStr">
        <is>
          <t>Impacto Potencial</t>
        </is>
      </c>
      <c r="Z2108" s="111" t="inlineStr">
        <is>
          <t>PC</t>
        </is>
      </c>
      <c r="AA2108" s="111" t="inlineStr">
        <is>
          <t>Nao</t>
        </is>
      </c>
      <c r="AB2108" s="111" t="inlineStr">
        <is>
          <t>NAO_COMPUTADO</t>
        </is>
      </c>
      <c r="AC2108" s="112" t="inlineStr">
        <is>
          <t>Estrutura Fase 1: sem impacto no VTA oficial</t>
        </is>
      </c>
    </row>
    <row r="2109" ht="25.5" customHeight="1" s="289">
      <c r="A2109" s="205" t="n"/>
      <c r="B2109" s="207" t="n"/>
      <c r="C2109" s="104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348" t="n"/>
      <c r="E2109" s="349">
        <f>IF(C2109="","",IFERROR(VLOOKUP(C2109,parametros!$A$11:$E$15,5,0),""))</f>
        <v/>
      </c>
      <c r="F2109" s="335">
        <f>IF(OR(D2109="",E2109=""),"",ROUND(D2109*E2109,2))</f>
        <v/>
      </c>
      <c r="G2109" s="106" t="n"/>
      <c r="H2109" s="350">
        <f>IF(G2109="Sim",IF(OR(F2109="",D2109="",L2109=""),"",IF(L2109="Sim",ROUND(F2109-D2109,2),0)),0)</f>
        <v/>
      </c>
      <c r="I2109" s="350">
        <f>IF(G2109="Sim",0,IF(OR(F2109="",L2109=""),"",F2109))</f>
        <v/>
      </c>
      <c r="J2109" s="350">
        <f>IF(G2109="Sim",0,IF(OR(F2109="",D2109="",L2109=""),"",IF(L2109="Sim",ROUND(F2109-D2109,2),0)))</f>
        <v/>
      </c>
      <c r="K2109" s="97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inlineStr">
        <is>
          <t>Nao</t>
        </is>
      </c>
      <c r="W2109" s="110" t="inlineStr">
        <is>
          <t>PC em analise</t>
        </is>
      </c>
      <c r="X2109" s="110" t="inlineStr">
        <is>
          <t>Pedido de Compra</t>
        </is>
      </c>
      <c r="Y2109" s="111" t="inlineStr">
        <is>
          <t>Impacto Potencial</t>
        </is>
      </c>
      <c r="Z2109" s="111" t="inlineStr">
        <is>
          <t>PC</t>
        </is>
      </c>
      <c r="AA2109" s="111" t="inlineStr">
        <is>
          <t>Nao</t>
        </is>
      </c>
      <c r="AB2109" s="111" t="inlineStr">
        <is>
          <t>NAO_COMPUTADO</t>
        </is>
      </c>
      <c r="AC2109" s="112" t="inlineStr">
        <is>
          <t>Estrutura Fase 1: sem impacto no VTA oficial</t>
        </is>
      </c>
    </row>
    <row r="2110" ht="25.5" customHeight="1" s="289">
      <c r="A2110" s="205" t="n"/>
      <c r="B2110" s="207" t="n"/>
      <c r="C2110" s="104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348" t="n"/>
      <c r="E2110" s="349">
        <f>IF(C2110="","",IFERROR(VLOOKUP(C2110,parametros!$A$11:$E$15,5,0),""))</f>
        <v/>
      </c>
      <c r="F2110" s="335">
        <f>IF(OR(D2110="",E2110=""),"",ROUND(D2110*E2110,2))</f>
        <v/>
      </c>
      <c r="G2110" s="106" t="n"/>
      <c r="H2110" s="350">
        <f>IF(G2110="Sim",IF(OR(F2110="",D2110="",L2110=""),"",IF(L2110="Sim",ROUND(F2110-D2110,2),0)),0)</f>
        <v/>
      </c>
      <c r="I2110" s="350">
        <f>IF(G2110="Sim",0,IF(OR(F2110="",L2110=""),"",F2110))</f>
        <v/>
      </c>
      <c r="J2110" s="350">
        <f>IF(G2110="Sim",0,IF(OR(F2110="",D2110="",L2110=""),"",IF(L2110="Sim",ROUND(F2110-D2110,2),0)))</f>
        <v/>
      </c>
      <c r="K2110" s="97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inlineStr">
        <is>
          <t>Nao</t>
        </is>
      </c>
      <c r="W2110" s="110" t="inlineStr">
        <is>
          <t>PC em analise</t>
        </is>
      </c>
      <c r="X2110" s="110" t="inlineStr">
        <is>
          <t>Pedido de Compra</t>
        </is>
      </c>
      <c r="Y2110" s="111" t="inlineStr">
        <is>
          <t>Impacto Potencial</t>
        </is>
      </c>
      <c r="Z2110" s="111" t="inlineStr">
        <is>
          <t>PC</t>
        </is>
      </c>
      <c r="AA2110" s="111" t="inlineStr">
        <is>
          <t>Nao</t>
        </is>
      </c>
      <c r="AB2110" s="111" t="inlineStr">
        <is>
          <t>NAO_COMPUTADO</t>
        </is>
      </c>
      <c r="AC2110" s="112" t="inlineStr">
        <is>
          <t>Estrutura Fase 1: sem impacto no VTA oficial</t>
        </is>
      </c>
    </row>
    <row r="2111" ht="25.5" customHeight="1" s="289">
      <c r="A2111" s="205" t="n"/>
      <c r="B2111" s="207" t="n"/>
      <c r="C2111" s="104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348" t="n"/>
      <c r="E2111" s="349">
        <f>IF(C2111="","",IFERROR(VLOOKUP(C2111,parametros!$A$11:$E$15,5,0),""))</f>
        <v/>
      </c>
      <c r="F2111" s="335">
        <f>IF(OR(D2111="",E2111=""),"",ROUND(D2111*E2111,2))</f>
        <v/>
      </c>
      <c r="G2111" s="106" t="n"/>
      <c r="H2111" s="350">
        <f>IF(G2111="Sim",IF(OR(F2111="",D2111="",L2111=""),"",IF(L2111="Sim",ROUND(F2111-D2111,2),0)),0)</f>
        <v/>
      </c>
      <c r="I2111" s="350">
        <f>IF(G2111="Sim",0,IF(OR(F2111="",L2111=""),"",F2111))</f>
        <v/>
      </c>
      <c r="J2111" s="350">
        <f>IF(G2111="Sim",0,IF(OR(F2111="",D2111="",L2111=""),"",IF(L2111="Sim",ROUND(F2111-D2111,2),0)))</f>
        <v/>
      </c>
      <c r="K2111" s="97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inlineStr">
        <is>
          <t>Nao</t>
        </is>
      </c>
      <c r="W2111" s="110" t="inlineStr">
        <is>
          <t>PC em analise</t>
        </is>
      </c>
      <c r="X2111" s="110" t="inlineStr">
        <is>
          <t>Pedido de Compra</t>
        </is>
      </c>
      <c r="Y2111" s="111" t="inlineStr">
        <is>
          <t>Impacto Potencial</t>
        </is>
      </c>
      <c r="Z2111" s="111" t="inlineStr">
        <is>
          <t>PC</t>
        </is>
      </c>
      <c r="AA2111" s="111" t="inlineStr">
        <is>
          <t>Nao</t>
        </is>
      </c>
      <c r="AB2111" s="111" t="inlineStr">
        <is>
          <t>NAO_COMPUTADO</t>
        </is>
      </c>
      <c r="AC2111" s="112" t="inlineStr">
        <is>
          <t>Estrutura Fase 1: sem impacto no VTA oficial</t>
        </is>
      </c>
    </row>
    <row r="2112" ht="25.5" customHeight="1" s="289">
      <c r="A2112" s="205" t="n"/>
      <c r="B2112" s="207" t="n"/>
      <c r="C2112" s="104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348" t="n"/>
      <c r="E2112" s="349">
        <f>IF(C2112="","",IFERROR(VLOOKUP(C2112,parametros!$A$11:$E$15,5,0),""))</f>
        <v/>
      </c>
      <c r="F2112" s="335">
        <f>IF(OR(D2112="",E2112=""),"",ROUND(D2112*E2112,2))</f>
        <v/>
      </c>
      <c r="G2112" s="106" t="n"/>
      <c r="H2112" s="350">
        <f>IF(G2112="Sim",IF(OR(F2112="",D2112="",L2112=""),"",IF(L2112="Sim",ROUND(F2112-D2112,2),0)),0)</f>
        <v/>
      </c>
      <c r="I2112" s="350">
        <f>IF(G2112="Sim",0,IF(OR(F2112="",L2112=""),"",F2112))</f>
        <v/>
      </c>
      <c r="J2112" s="350">
        <f>IF(G2112="Sim",0,IF(OR(F2112="",D2112="",L2112=""),"",IF(L2112="Sim",ROUND(F2112-D2112,2),0)))</f>
        <v/>
      </c>
      <c r="K2112" s="97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inlineStr">
        <is>
          <t>Nao</t>
        </is>
      </c>
      <c r="W2112" s="110" t="inlineStr">
        <is>
          <t>PC em analise</t>
        </is>
      </c>
      <c r="X2112" s="110" t="inlineStr">
        <is>
          <t>Pedido de Compra</t>
        </is>
      </c>
      <c r="Y2112" s="111" t="inlineStr">
        <is>
          <t>Impacto Potencial</t>
        </is>
      </c>
      <c r="Z2112" s="111" t="inlineStr">
        <is>
          <t>PC</t>
        </is>
      </c>
      <c r="AA2112" s="111" t="inlineStr">
        <is>
          <t>Nao</t>
        </is>
      </c>
      <c r="AB2112" s="111" t="inlineStr">
        <is>
          <t>NAO_COMPUTADO</t>
        </is>
      </c>
      <c r="AC2112" s="112" t="inlineStr">
        <is>
          <t>Estrutura Fase 1: sem impacto no VTA oficial</t>
        </is>
      </c>
    </row>
    <row r="2113" ht="25.5" customHeight="1" s="289">
      <c r="A2113" s="205" t="n"/>
      <c r="B2113" s="207" t="n"/>
      <c r="C2113" s="104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348" t="n"/>
      <c r="E2113" s="349">
        <f>IF(C2113="","",IFERROR(VLOOKUP(C2113,parametros!$A$11:$E$15,5,0),""))</f>
        <v/>
      </c>
      <c r="F2113" s="335">
        <f>IF(OR(D2113="",E2113=""),"",ROUND(D2113*E2113,2))</f>
        <v/>
      </c>
      <c r="G2113" s="106" t="n"/>
      <c r="H2113" s="350">
        <f>IF(G2113="Sim",IF(OR(F2113="",D2113="",L2113=""),"",IF(L2113="Sim",ROUND(F2113-D2113,2),0)),0)</f>
        <v/>
      </c>
      <c r="I2113" s="350">
        <f>IF(G2113="Sim",0,IF(OR(F2113="",L2113=""),"",F2113))</f>
        <v/>
      </c>
      <c r="J2113" s="350">
        <f>IF(G2113="Sim",0,IF(OR(F2113="",D2113="",L2113=""),"",IF(L2113="Sim",ROUND(F2113-D2113,2),0)))</f>
        <v/>
      </c>
      <c r="K2113" s="97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inlineStr">
        <is>
          <t>Nao</t>
        </is>
      </c>
      <c r="W2113" s="110" t="inlineStr">
        <is>
          <t>PC em analise</t>
        </is>
      </c>
      <c r="X2113" s="110" t="inlineStr">
        <is>
          <t>Pedido de Compra</t>
        </is>
      </c>
      <c r="Y2113" s="111" t="inlineStr">
        <is>
          <t>Impacto Potencial</t>
        </is>
      </c>
      <c r="Z2113" s="111" t="inlineStr">
        <is>
          <t>PC</t>
        </is>
      </c>
      <c r="AA2113" s="111" t="inlineStr">
        <is>
          <t>Nao</t>
        </is>
      </c>
      <c r="AB2113" s="111" t="inlineStr">
        <is>
          <t>NAO_COMPUTADO</t>
        </is>
      </c>
      <c r="AC2113" s="112" t="inlineStr">
        <is>
          <t>Estrutura Fase 1: sem impacto no VTA oficial</t>
        </is>
      </c>
    </row>
    <row r="2114" ht="25.5" customHeight="1" s="289">
      <c r="A2114" s="205" t="n"/>
      <c r="B2114" s="207" t="n"/>
      <c r="C2114" s="104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348" t="n"/>
      <c r="E2114" s="349">
        <f>IF(C2114="","",IFERROR(VLOOKUP(C2114,parametros!$A$11:$E$15,5,0),""))</f>
        <v/>
      </c>
      <c r="F2114" s="335">
        <f>IF(OR(D2114="",E2114=""),"",ROUND(D2114*E2114,2))</f>
        <v/>
      </c>
      <c r="G2114" s="106" t="n"/>
      <c r="H2114" s="350">
        <f>IF(G2114="Sim",IF(OR(F2114="",D2114="",L2114=""),"",IF(L2114="Sim",ROUND(F2114-D2114,2),0)),0)</f>
        <v/>
      </c>
      <c r="I2114" s="350">
        <f>IF(G2114="Sim",0,IF(OR(F2114="",L2114=""),"",F2114))</f>
        <v/>
      </c>
      <c r="J2114" s="350">
        <f>IF(G2114="Sim",0,IF(OR(F2114="",D2114="",L2114=""),"",IF(L2114="Sim",ROUND(F2114-D2114,2),0)))</f>
        <v/>
      </c>
      <c r="K2114" s="97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inlineStr">
        <is>
          <t>Nao</t>
        </is>
      </c>
      <c r="W2114" s="110" t="inlineStr">
        <is>
          <t>PC em analise</t>
        </is>
      </c>
      <c r="X2114" s="110" t="inlineStr">
        <is>
          <t>Pedido de Compra</t>
        </is>
      </c>
      <c r="Y2114" s="111" t="inlineStr">
        <is>
          <t>Impacto Potencial</t>
        </is>
      </c>
      <c r="Z2114" s="111" t="inlineStr">
        <is>
          <t>PC</t>
        </is>
      </c>
      <c r="AA2114" s="111" t="inlineStr">
        <is>
          <t>Nao</t>
        </is>
      </c>
      <c r="AB2114" s="111" t="inlineStr">
        <is>
          <t>NAO_COMPUTADO</t>
        </is>
      </c>
      <c r="AC2114" s="112" t="inlineStr">
        <is>
          <t>Estrutura Fase 1: sem impacto no VTA oficial</t>
        </is>
      </c>
    </row>
    <row r="2115" ht="25.5" customHeight="1" s="289">
      <c r="A2115" s="205" t="n"/>
      <c r="B2115" s="207" t="n"/>
      <c r="C2115" s="104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348" t="n"/>
      <c r="E2115" s="349">
        <f>IF(C2115="","",IFERROR(VLOOKUP(C2115,parametros!$A$11:$E$15,5,0),""))</f>
        <v/>
      </c>
      <c r="F2115" s="335">
        <f>IF(OR(D2115="",E2115=""),"",ROUND(D2115*E2115,2))</f>
        <v/>
      </c>
      <c r="G2115" s="106" t="n"/>
      <c r="H2115" s="350">
        <f>IF(G2115="Sim",IF(OR(F2115="",D2115="",L2115=""),"",IF(L2115="Sim",ROUND(F2115-D2115,2),0)),0)</f>
        <v/>
      </c>
      <c r="I2115" s="350">
        <f>IF(G2115="Sim",0,IF(OR(F2115="",L2115=""),"",F2115))</f>
        <v/>
      </c>
      <c r="J2115" s="350">
        <f>IF(G2115="Sim",0,IF(OR(F2115="",D2115="",L2115=""),"",IF(L2115="Sim",ROUND(F2115-D2115,2),0)))</f>
        <v/>
      </c>
      <c r="K2115" s="97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inlineStr">
        <is>
          <t>Nao</t>
        </is>
      </c>
      <c r="W2115" s="110" t="inlineStr">
        <is>
          <t>PC em analise</t>
        </is>
      </c>
      <c r="X2115" s="110" t="inlineStr">
        <is>
          <t>Pedido de Compra</t>
        </is>
      </c>
      <c r="Y2115" s="111" t="inlineStr">
        <is>
          <t>Impacto Potencial</t>
        </is>
      </c>
      <c r="Z2115" s="111" t="inlineStr">
        <is>
          <t>PC</t>
        </is>
      </c>
      <c r="AA2115" s="111" t="inlineStr">
        <is>
          <t>Nao</t>
        </is>
      </c>
      <c r="AB2115" s="111" t="inlineStr">
        <is>
          <t>NAO_COMPUTADO</t>
        </is>
      </c>
      <c r="AC2115" s="112" t="inlineStr">
        <is>
          <t>Estrutura Fase 1: sem impacto no VTA oficial</t>
        </is>
      </c>
    </row>
    <row r="2116" ht="25.5" customHeight="1" s="289">
      <c r="A2116" s="205" t="n"/>
      <c r="B2116" s="207" t="n"/>
      <c r="C2116" s="104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348" t="n"/>
      <c r="E2116" s="349">
        <f>IF(C2116="","",IFERROR(VLOOKUP(C2116,parametros!$A$11:$E$15,5,0),""))</f>
        <v/>
      </c>
      <c r="F2116" s="335">
        <f>IF(OR(D2116="",E2116=""),"",ROUND(D2116*E2116,2))</f>
        <v/>
      </c>
      <c r="G2116" s="106" t="n"/>
      <c r="H2116" s="350">
        <f>IF(G2116="Sim",IF(OR(F2116="",D2116="",L2116=""),"",IF(L2116="Sim",ROUND(F2116-D2116,2),0)),0)</f>
        <v/>
      </c>
      <c r="I2116" s="350">
        <f>IF(G2116="Sim",0,IF(OR(F2116="",L2116=""),"",F2116))</f>
        <v/>
      </c>
      <c r="J2116" s="350">
        <f>IF(G2116="Sim",0,IF(OR(F2116="",D2116="",L2116=""),"",IF(L2116="Sim",ROUND(F2116-D2116,2),0)))</f>
        <v/>
      </c>
      <c r="K2116" s="97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inlineStr">
        <is>
          <t>Nao</t>
        </is>
      </c>
      <c r="W2116" s="110" t="inlineStr">
        <is>
          <t>PC em analise</t>
        </is>
      </c>
      <c r="X2116" s="110" t="inlineStr">
        <is>
          <t>Pedido de Compra</t>
        </is>
      </c>
      <c r="Y2116" s="111" t="inlineStr">
        <is>
          <t>Impacto Potencial</t>
        </is>
      </c>
      <c r="Z2116" s="111" t="inlineStr">
        <is>
          <t>PC</t>
        </is>
      </c>
      <c r="AA2116" s="111" t="inlineStr">
        <is>
          <t>Nao</t>
        </is>
      </c>
      <c r="AB2116" s="111" t="inlineStr">
        <is>
          <t>NAO_COMPUTADO</t>
        </is>
      </c>
      <c r="AC2116" s="112" t="inlineStr">
        <is>
          <t>Estrutura Fase 1: sem impacto no VTA oficial</t>
        </is>
      </c>
    </row>
    <row r="2117" ht="25.5" customHeight="1" s="289">
      <c r="A2117" s="205" t="n"/>
      <c r="B2117" s="207" t="n"/>
      <c r="C2117" s="104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348" t="n"/>
      <c r="E2117" s="349">
        <f>IF(C2117="","",IFERROR(VLOOKUP(C2117,parametros!$A$11:$E$15,5,0),""))</f>
        <v/>
      </c>
      <c r="F2117" s="335">
        <f>IF(OR(D2117="",E2117=""),"",ROUND(D2117*E2117,2))</f>
        <v/>
      </c>
      <c r="G2117" s="106" t="n"/>
      <c r="H2117" s="350">
        <f>IF(G2117="Sim",IF(OR(F2117="",D2117="",L2117=""),"",IF(L2117="Sim",ROUND(F2117-D2117,2),0)),0)</f>
        <v/>
      </c>
      <c r="I2117" s="350">
        <f>IF(G2117="Sim",0,IF(OR(F2117="",L2117=""),"",F2117))</f>
        <v/>
      </c>
      <c r="J2117" s="350">
        <f>IF(G2117="Sim",0,IF(OR(F2117="",D2117="",L2117=""),"",IF(L2117="Sim",ROUND(F2117-D2117,2),0)))</f>
        <v/>
      </c>
      <c r="K2117" s="97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inlineStr">
        <is>
          <t>Nao</t>
        </is>
      </c>
      <c r="W2117" s="110" t="inlineStr">
        <is>
          <t>PC em analise</t>
        </is>
      </c>
      <c r="X2117" s="110" t="inlineStr">
        <is>
          <t>Pedido de Compra</t>
        </is>
      </c>
      <c r="Y2117" s="111" t="inlineStr">
        <is>
          <t>Impacto Potencial</t>
        </is>
      </c>
      <c r="Z2117" s="111" t="inlineStr">
        <is>
          <t>PC</t>
        </is>
      </c>
      <c r="AA2117" s="111" t="inlineStr">
        <is>
          <t>Nao</t>
        </is>
      </c>
      <c r="AB2117" s="111" t="inlineStr">
        <is>
          <t>NAO_COMPUTADO</t>
        </is>
      </c>
      <c r="AC2117" s="112" t="inlineStr">
        <is>
          <t>Estrutura Fase 1: sem impacto no VTA oficial</t>
        </is>
      </c>
    </row>
    <row r="2118" ht="25.5" customHeight="1" s="289">
      <c r="A2118" s="205" t="n"/>
      <c r="B2118" s="207" t="n"/>
      <c r="C2118" s="104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348" t="n"/>
      <c r="E2118" s="349">
        <f>IF(C2118="","",IFERROR(VLOOKUP(C2118,parametros!$A$11:$E$15,5,0),""))</f>
        <v/>
      </c>
      <c r="F2118" s="335">
        <f>IF(OR(D2118="",E2118=""),"",ROUND(D2118*E2118,2))</f>
        <v/>
      </c>
      <c r="G2118" s="106" t="n"/>
      <c r="H2118" s="350">
        <f>IF(G2118="Sim",IF(OR(F2118="",D2118="",L2118=""),"",IF(L2118="Sim",ROUND(F2118-D2118,2),0)),0)</f>
        <v/>
      </c>
      <c r="I2118" s="350">
        <f>IF(G2118="Sim",0,IF(OR(F2118="",L2118=""),"",F2118))</f>
        <v/>
      </c>
      <c r="J2118" s="350">
        <f>IF(G2118="Sim",0,IF(OR(F2118="",D2118="",L2118=""),"",IF(L2118="Sim",ROUND(F2118-D2118,2),0)))</f>
        <v/>
      </c>
      <c r="K2118" s="97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inlineStr">
        <is>
          <t>Nao</t>
        </is>
      </c>
      <c r="W2118" s="110" t="inlineStr">
        <is>
          <t>PC em analise</t>
        </is>
      </c>
      <c r="X2118" s="110" t="inlineStr">
        <is>
          <t>Pedido de Compra</t>
        </is>
      </c>
      <c r="Y2118" s="111" t="inlineStr">
        <is>
          <t>Impacto Potencial</t>
        </is>
      </c>
      <c r="Z2118" s="111" t="inlineStr">
        <is>
          <t>PC</t>
        </is>
      </c>
      <c r="AA2118" s="111" t="inlineStr">
        <is>
          <t>Nao</t>
        </is>
      </c>
      <c r="AB2118" s="111" t="inlineStr">
        <is>
          <t>NAO_COMPUTADO</t>
        </is>
      </c>
      <c r="AC2118" s="112" t="inlineStr">
        <is>
          <t>Estrutura Fase 1: sem impacto no VTA oficial</t>
        </is>
      </c>
    </row>
    <row r="2119" ht="25.5" customHeight="1" s="289">
      <c r="A2119" s="205" t="n"/>
      <c r="B2119" s="207" t="n"/>
      <c r="C2119" s="104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348" t="n"/>
      <c r="E2119" s="349">
        <f>IF(C2119="","",IFERROR(VLOOKUP(C2119,parametros!$A$11:$E$15,5,0),""))</f>
        <v/>
      </c>
      <c r="F2119" s="335">
        <f>IF(OR(D2119="",E2119=""),"",ROUND(D2119*E2119,2))</f>
        <v/>
      </c>
      <c r="G2119" s="106" t="n"/>
      <c r="H2119" s="350">
        <f>IF(G2119="Sim",IF(OR(F2119="",D2119="",L2119=""),"",IF(L2119="Sim",ROUND(F2119-D2119,2),0)),0)</f>
        <v/>
      </c>
      <c r="I2119" s="350">
        <f>IF(G2119="Sim",0,IF(OR(F2119="",L2119=""),"",F2119))</f>
        <v/>
      </c>
      <c r="J2119" s="350">
        <f>IF(G2119="Sim",0,IF(OR(F2119="",D2119="",L2119=""),"",IF(L2119="Sim",ROUND(F2119-D2119,2),0)))</f>
        <v/>
      </c>
      <c r="K2119" s="97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inlineStr">
        <is>
          <t>Nao</t>
        </is>
      </c>
      <c r="W2119" s="110" t="inlineStr">
        <is>
          <t>PC em analise</t>
        </is>
      </c>
      <c r="X2119" s="110" t="inlineStr">
        <is>
          <t>Pedido de Compra</t>
        </is>
      </c>
      <c r="Y2119" s="111" t="inlineStr">
        <is>
          <t>Impacto Potencial</t>
        </is>
      </c>
      <c r="Z2119" s="111" t="inlineStr">
        <is>
          <t>PC</t>
        </is>
      </c>
      <c r="AA2119" s="111" t="inlineStr">
        <is>
          <t>Nao</t>
        </is>
      </c>
      <c r="AB2119" s="111" t="inlineStr">
        <is>
          <t>NAO_COMPUTADO</t>
        </is>
      </c>
      <c r="AC2119" s="112" t="inlineStr">
        <is>
          <t>Estrutura Fase 1: sem impacto no VTA oficial</t>
        </is>
      </c>
    </row>
    <row r="2120" ht="25.5" customHeight="1" s="289">
      <c r="A2120" s="205" t="n"/>
      <c r="B2120" s="207" t="n"/>
      <c r="C2120" s="104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348" t="n"/>
      <c r="E2120" s="349">
        <f>IF(C2120="","",IFERROR(VLOOKUP(C2120,parametros!$A$11:$E$15,5,0),""))</f>
        <v/>
      </c>
      <c r="F2120" s="335">
        <f>IF(OR(D2120="",E2120=""),"",ROUND(D2120*E2120,2))</f>
        <v/>
      </c>
      <c r="G2120" s="106" t="n"/>
      <c r="H2120" s="350">
        <f>IF(G2120="Sim",IF(OR(F2120="",D2120="",L2120=""),"",IF(L2120="Sim",ROUND(F2120-D2120,2),0)),0)</f>
        <v/>
      </c>
      <c r="I2120" s="350">
        <f>IF(G2120="Sim",0,IF(OR(F2120="",L2120=""),"",F2120))</f>
        <v/>
      </c>
      <c r="J2120" s="350">
        <f>IF(G2120="Sim",0,IF(OR(F2120="",D2120="",L2120=""),"",IF(L2120="Sim",ROUND(F2120-D2120,2),0)))</f>
        <v/>
      </c>
      <c r="K2120" s="97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inlineStr">
        <is>
          <t>Nao</t>
        </is>
      </c>
      <c r="W2120" s="110" t="inlineStr">
        <is>
          <t>PC em analise</t>
        </is>
      </c>
      <c r="X2120" s="110" t="inlineStr">
        <is>
          <t>Pedido de Compra</t>
        </is>
      </c>
      <c r="Y2120" s="111" t="inlineStr">
        <is>
          <t>Impacto Potencial</t>
        </is>
      </c>
      <c r="Z2120" s="111" t="inlineStr">
        <is>
          <t>PC</t>
        </is>
      </c>
      <c r="AA2120" s="111" t="inlineStr">
        <is>
          <t>Nao</t>
        </is>
      </c>
      <c r="AB2120" s="111" t="inlineStr">
        <is>
          <t>NAO_COMPUTADO</t>
        </is>
      </c>
      <c r="AC2120" s="112" t="inlineStr">
        <is>
          <t>Estrutura Fase 1: sem impacto no VTA oficial</t>
        </is>
      </c>
    </row>
    <row r="2121" ht="25.5" customHeight="1" s="289">
      <c r="A2121" s="205" t="n"/>
      <c r="B2121" s="207" t="n"/>
      <c r="C2121" s="104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348" t="n"/>
      <c r="E2121" s="349">
        <f>IF(C2121="","",IFERROR(VLOOKUP(C2121,parametros!$A$11:$E$15,5,0),""))</f>
        <v/>
      </c>
      <c r="F2121" s="335">
        <f>IF(OR(D2121="",E2121=""),"",ROUND(D2121*E2121,2))</f>
        <v/>
      </c>
      <c r="G2121" s="106" t="n"/>
      <c r="H2121" s="350">
        <f>IF(G2121="Sim",IF(OR(F2121="",D2121="",L2121=""),"",IF(L2121="Sim",ROUND(F2121-D2121,2),0)),0)</f>
        <v/>
      </c>
      <c r="I2121" s="350">
        <f>IF(G2121="Sim",0,IF(OR(F2121="",L2121=""),"",F2121))</f>
        <v/>
      </c>
      <c r="J2121" s="350">
        <f>IF(G2121="Sim",0,IF(OR(F2121="",D2121="",L2121=""),"",IF(L2121="Sim",ROUND(F2121-D2121,2),0)))</f>
        <v/>
      </c>
      <c r="K2121" s="97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inlineStr">
        <is>
          <t>Nao</t>
        </is>
      </c>
      <c r="W2121" s="110" t="inlineStr">
        <is>
          <t>PC em analise</t>
        </is>
      </c>
      <c r="X2121" s="110" t="inlineStr">
        <is>
          <t>Pedido de Compra</t>
        </is>
      </c>
      <c r="Y2121" s="111" t="inlineStr">
        <is>
          <t>Impacto Potencial</t>
        </is>
      </c>
      <c r="Z2121" s="111" t="inlineStr">
        <is>
          <t>PC</t>
        </is>
      </c>
      <c r="AA2121" s="111" t="inlineStr">
        <is>
          <t>Nao</t>
        </is>
      </c>
      <c r="AB2121" s="111" t="inlineStr">
        <is>
          <t>NAO_COMPUTADO</t>
        </is>
      </c>
      <c r="AC2121" s="112" t="inlineStr">
        <is>
          <t>Estrutura Fase 1: sem impacto no VTA oficial</t>
        </is>
      </c>
    </row>
    <row r="2122" ht="25.5" customHeight="1" s="289">
      <c r="A2122" s="205" t="n"/>
      <c r="B2122" s="207" t="n"/>
      <c r="C2122" s="104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348" t="n"/>
      <c r="E2122" s="349">
        <f>IF(C2122="","",IFERROR(VLOOKUP(C2122,parametros!$A$11:$E$15,5,0),""))</f>
        <v/>
      </c>
      <c r="F2122" s="335">
        <f>IF(OR(D2122="",E2122=""),"",ROUND(D2122*E2122,2))</f>
        <v/>
      </c>
      <c r="G2122" s="106" t="n"/>
      <c r="H2122" s="350">
        <f>IF(G2122="Sim",IF(OR(F2122="",D2122="",L2122=""),"",IF(L2122="Sim",ROUND(F2122-D2122,2),0)),0)</f>
        <v/>
      </c>
      <c r="I2122" s="350">
        <f>IF(G2122="Sim",0,IF(OR(F2122="",L2122=""),"",F2122))</f>
        <v/>
      </c>
      <c r="J2122" s="350">
        <f>IF(G2122="Sim",0,IF(OR(F2122="",D2122="",L2122=""),"",IF(L2122="Sim",ROUND(F2122-D2122,2),0)))</f>
        <v/>
      </c>
      <c r="K2122" s="97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inlineStr">
        <is>
          <t>Nao</t>
        </is>
      </c>
      <c r="W2122" s="110" t="inlineStr">
        <is>
          <t>PC em analise</t>
        </is>
      </c>
      <c r="X2122" s="110" t="inlineStr">
        <is>
          <t>Pedido de Compra</t>
        </is>
      </c>
      <c r="Y2122" s="111" t="inlineStr">
        <is>
          <t>Impacto Potencial</t>
        </is>
      </c>
      <c r="Z2122" s="111" t="inlineStr">
        <is>
          <t>PC</t>
        </is>
      </c>
      <c r="AA2122" s="111" t="inlineStr">
        <is>
          <t>Nao</t>
        </is>
      </c>
      <c r="AB2122" s="111" t="inlineStr">
        <is>
          <t>NAO_COMPUTADO</t>
        </is>
      </c>
      <c r="AC2122" s="112" t="inlineStr">
        <is>
          <t>Estrutura Fase 1: sem impacto no VTA oficial</t>
        </is>
      </c>
    </row>
    <row r="2123" ht="25.5" customHeight="1" s="289">
      <c r="A2123" s="205" t="n"/>
      <c r="B2123" s="207" t="n"/>
      <c r="C2123" s="104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348" t="n"/>
      <c r="E2123" s="349">
        <f>IF(C2123="","",IFERROR(VLOOKUP(C2123,parametros!$A$11:$E$15,5,0),""))</f>
        <v/>
      </c>
      <c r="F2123" s="335">
        <f>IF(OR(D2123="",E2123=""),"",ROUND(D2123*E2123,2))</f>
        <v/>
      </c>
      <c r="G2123" s="106" t="n"/>
      <c r="H2123" s="350">
        <f>IF(G2123="Sim",IF(OR(F2123="",D2123="",L2123=""),"",IF(L2123="Sim",ROUND(F2123-D2123,2),0)),0)</f>
        <v/>
      </c>
      <c r="I2123" s="350">
        <f>IF(G2123="Sim",0,IF(OR(F2123="",L2123=""),"",F2123))</f>
        <v/>
      </c>
      <c r="J2123" s="350">
        <f>IF(G2123="Sim",0,IF(OR(F2123="",D2123="",L2123=""),"",IF(L2123="Sim",ROUND(F2123-D2123,2),0)))</f>
        <v/>
      </c>
      <c r="K2123" s="97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inlineStr">
        <is>
          <t>Nao</t>
        </is>
      </c>
      <c r="W2123" s="110" t="inlineStr">
        <is>
          <t>PC em analise</t>
        </is>
      </c>
      <c r="X2123" s="110" t="inlineStr">
        <is>
          <t>Pedido de Compra</t>
        </is>
      </c>
      <c r="Y2123" s="111" t="inlineStr">
        <is>
          <t>Impacto Potencial</t>
        </is>
      </c>
      <c r="Z2123" s="111" t="inlineStr">
        <is>
          <t>PC</t>
        </is>
      </c>
      <c r="AA2123" s="111" t="inlineStr">
        <is>
          <t>Nao</t>
        </is>
      </c>
      <c r="AB2123" s="111" t="inlineStr">
        <is>
          <t>NAO_COMPUTADO</t>
        </is>
      </c>
      <c r="AC2123" s="112" t="inlineStr">
        <is>
          <t>Estrutura Fase 1: sem impacto no VTA oficial</t>
        </is>
      </c>
    </row>
    <row r="2124" ht="25.5" customHeight="1" s="289">
      <c r="A2124" s="205" t="n"/>
      <c r="B2124" s="207" t="n"/>
      <c r="C2124" s="104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348" t="n"/>
      <c r="E2124" s="349">
        <f>IF(C2124="","",IFERROR(VLOOKUP(C2124,parametros!$A$11:$E$15,5,0),""))</f>
        <v/>
      </c>
      <c r="F2124" s="335">
        <f>IF(OR(D2124="",E2124=""),"",ROUND(D2124*E2124,2))</f>
        <v/>
      </c>
      <c r="G2124" s="106" t="n"/>
      <c r="H2124" s="350">
        <f>IF(G2124="Sim",IF(OR(F2124="",D2124="",L2124=""),"",IF(L2124="Sim",ROUND(F2124-D2124,2),0)),0)</f>
        <v/>
      </c>
      <c r="I2124" s="350">
        <f>IF(G2124="Sim",0,IF(OR(F2124="",L2124=""),"",F2124))</f>
        <v/>
      </c>
      <c r="J2124" s="350">
        <f>IF(G2124="Sim",0,IF(OR(F2124="",D2124="",L2124=""),"",IF(L2124="Sim",ROUND(F2124-D2124,2),0)))</f>
        <v/>
      </c>
      <c r="K2124" s="97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inlineStr">
        <is>
          <t>Nao</t>
        </is>
      </c>
      <c r="W2124" s="110" t="inlineStr">
        <is>
          <t>PC em analise</t>
        </is>
      </c>
      <c r="X2124" s="110" t="inlineStr">
        <is>
          <t>Pedido de Compra</t>
        </is>
      </c>
      <c r="Y2124" s="111" t="inlineStr">
        <is>
          <t>Impacto Potencial</t>
        </is>
      </c>
      <c r="Z2124" s="111" t="inlineStr">
        <is>
          <t>PC</t>
        </is>
      </c>
      <c r="AA2124" s="111" t="inlineStr">
        <is>
          <t>Nao</t>
        </is>
      </c>
      <c r="AB2124" s="111" t="inlineStr">
        <is>
          <t>NAO_COMPUTADO</t>
        </is>
      </c>
      <c r="AC2124" s="112" t="inlineStr">
        <is>
          <t>Estrutura Fase 1: sem impacto no VTA oficial</t>
        </is>
      </c>
    </row>
    <row r="2125" ht="25.5" customHeight="1" s="289">
      <c r="A2125" s="205" t="n"/>
      <c r="B2125" s="207" t="n"/>
      <c r="C2125" s="104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348" t="n"/>
      <c r="E2125" s="349">
        <f>IF(C2125="","",IFERROR(VLOOKUP(C2125,parametros!$A$11:$E$15,5,0),""))</f>
        <v/>
      </c>
      <c r="F2125" s="335">
        <f>IF(OR(D2125="",E2125=""),"",ROUND(D2125*E2125,2))</f>
        <v/>
      </c>
      <c r="G2125" s="106" t="n"/>
      <c r="H2125" s="350">
        <f>IF(G2125="Sim",IF(OR(F2125="",D2125="",L2125=""),"",IF(L2125="Sim",ROUND(F2125-D2125,2),0)),0)</f>
        <v/>
      </c>
      <c r="I2125" s="350">
        <f>IF(G2125="Sim",0,IF(OR(F2125="",L2125=""),"",F2125))</f>
        <v/>
      </c>
      <c r="J2125" s="350">
        <f>IF(G2125="Sim",0,IF(OR(F2125="",D2125="",L2125=""),"",IF(L2125="Sim",ROUND(F2125-D2125,2),0)))</f>
        <v/>
      </c>
      <c r="K2125" s="97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inlineStr">
        <is>
          <t>Nao</t>
        </is>
      </c>
      <c r="W2125" s="110" t="inlineStr">
        <is>
          <t>PC em analise</t>
        </is>
      </c>
      <c r="X2125" s="110" t="inlineStr">
        <is>
          <t>Pedido de Compra</t>
        </is>
      </c>
      <c r="Y2125" s="111" t="inlineStr">
        <is>
          <t>Impacto Potencial</t>
        </is>
      </c>
      <c r="Z2125" s="111" t="inlineStr">
        <is>
          <t>PC</t>
        </is>
      </c>
      <c r="AA2125" s="111" t="inlineStr">
        <is>
          <t>Nao</t>
        </is>
      </c>
      <c r="AB2125" s="111" t="inlineStr">
        <is>
          <t>NAO_COMPUTADO</t>
        </is>
      </c>
      <c r="AC2125" s="112" t="inlineStr">
        <is>
          <t>Estrutura Fase 1: sem impacto no VTA oficial</t>
        </is>
      </c>
    </row>
    <row r="2126" ht="25.5" customHeight="1" s="289">
      <c r="A2126" s="205" t="n"/>
      <c r="B2126" s="207" t="n"/>
      <c r="C2126" s="104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348" t="n"/>
      <c r="E2126" s="349">
        <f>IF(C2126="","",IFERROR(VLOOKUP(C2126,parametros!$A$11:$E$15,5,0),""))</f>
        <v/>
      </c>
      <c r="F2126" s="335">
        <f>IF(OR(D2126="",E2126=""),"",ROUND(D2126*E2126,2))</f>
        <v/>
      </c>
      <c r="G2126" s="106" t="n"/>
      <c r="H2126" s="350">
        <f>IF(G2126="Sim",IF(OR(F2126="",D2126="",L2126=""),"",IF(L2126="Sim",ROUND(F2126-D2126,2),0)),0)</f>
        <v/>
      </c>
      <c r="I2126" s="350">
        <f>IF(G2126="Sim",0,IF(OR(F2126="",L2126=""),"",F2126))</f>
        <v/>
      </c>
      <c r="J2126" s="350">
        <f>IF(G2126="Sim",0,IF(OR(F2126="",D2126="",L2126=""),"",IF(L2126="Sim",ROUND(F2126-D2126,2),0)))</f>
        <v/>
      </c>
      <c r="K2126" s="97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inlineStr">
        <is>
          <t>Nao</t>
        </is>
      </c>
      <c r="W2126" s="110" t="inlineStr">
        <is>
          <t>PC em analise</t>
        </is>
      </c>
      <c r="X2126" s="110" t="inlineStr">
        <is>
          <t>Pedido de Compra</t>
        </is>
      </c>
      <c r="Y2126" s="111" t="inlineStr">
        <is>
          <t>Impacto Potencial</t>
        </is>
      </c>
      <c r="Z2126" s="111" t="inlineStr">
        <is>
          <t>PC</t>
        </is>
      </c>
      <c r="AA2126" s="111" t="inlineStr">
        <is>
          <t>Nao</t>
        </is>
      </c>
      <c r="AB2126" s="111" t="inlineStr">
        <is>
          <t>NAO_COMPUTADO</t>
        </is>
      </c>
      <c r="AC2126" s="112" t="inlineStr">
        <is>
          <t>Estrutura Fase 1: sem impacto no VTA oficial</t>
        </is>
      </c>
    </row>
    <row r="2127" ht="25.5" customHeight="1" s="289">
      <c r="A2127" s="205" t="n"/>
      <c r="B2127" s="207" t="n"/>
      <c r="C2127" s="104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348" t="n"/>
      <c r="E2127" s="349">
        <f>IF(C2127="","",IFERROR(VLOOKUP(C2127,parametros!$A$11:$E$15,5,0),""))</f>
        <v/>
      </c>
      <c r="F2127" s="335">
        <f>IF(OR(D2127="",E2127=""),"",ROUND(D2127*E2127,2))</f>
        <v/>
      </c>
      <c r="G2127" s="106" t="n"/>
      <c r="H2127" s="350">
        <f>IF(G2127="Sim",IF(OR(F2127="",D2127="",L2127=""),"",IF(L2127="Sim",ROUND(F2127-D2127,2),0)),0)</f>
        <v/>
      </c>
      <c r="I2127" s="350">
        <f>IF(G2127="Sim",0,IF(OR(F2127="",L2127=""),"",F2127))</f>
        <v/>
      </c>
      <c r="J2127" s="350">
        <f>IF(G2127="Sim",0,IF(OR(F2127="",D2127="",L2127=""),"",IF(L2127="Sim",ROUND(F2127-D2127,2),0)))</f>
        <v/>
      </c>
      <c r="K2127" s="97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inlineStr">
        <is>
          <t>Nao</t>
        </is>
      </c>
      <c r="W2127" s="110" t="inlineStr">
        <is>
          <t>PC em analise</t>
        </is>
      </c>
      <c r="X2127" s="110" t="inlineStr">
        <is>
          <t>Pedido de Compra</t>
        </is>
      </c>
      <c r="Y2127" s="111" t="inlineStr">
        <is>
          <t>Impacto Potencial</t>
        </is>
      </c>
      <c r="Z2127" s="111" t="inlineStr">
        <is>
          <t>PC</t>
        </is>
      </c>
      <c r="AA2127" s="111" t="inlineStr">
        <is>
          <t>Nao</t>
        </is>
      </c>
      <c r="AB2127" s="111" t="inlineStr">
        <is>
          <t>NAO_COMPUTADO</t>
        </is>
      </c>
      <c r="AC2127" s="112" t="inlineStr">
        <is>
          <t>Estrutura Fase 1: sem impacto no VTA oficial</t>
        </is>
      </c>
    </row>
    <row r="2128" ht="25.5" customHeight="1" s="289">
      <c r="A2128" s="205" t="n"/>
      <c r="B2128" s="207" t="n"/>
      <c r="C2128" s="104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348" t="n"/>
      <c r="E2128" s="349">
        <f>IF(C2128="","",IFERROR(VLOOKUP(C2128,parametros!$A$11:$E$15,5,0),""))</f>
        <v/>
      </c>
      <c r="F2128" s="335">
        <f>IF(OR(D2128="",E2128=""),"",ROUND(D2128*E2128,2))</f>
        <v/>
      </c>
      <c r="G2128" s="106" t="n"/>
      <c r="H2128" s="350">
        <f>IF(G2128="Sim",IF(OR(F2128="",D2128="",L2128=""),"",IF(L2128="Sim",ROUND(F2128-D2128,2),0)),0)</f>
        <v/>
      </c>
      <c r="I2128" s="350">
        <f>IF(G2128="Sim",0,IF(OR(F2128="",L2128=""),"",F2128))</f>
        <v/>
      </c>
      <c r="J2128" s="350">
        <f>IF(G2128="Sim",0,IF(OR(F2128="",D2128="",L2128=""),"",IF(L2128="Sim",ROUND(F2128-D2128,2),0)))</f>
        <v/>
      </c>
      <c r="K2128" s="97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inlineStr">
        <is>
          <t>Nao</t>
        </is>
      </c>
      <c r="W2128" s="110" t="inlineStr">
        <is>
          <t>PC em analise</t>
        </is>
      </c>
      <c r="X2128" s="110" t="inlineStr">
        <is>
          <t>Pedido de Compra</t>
        </is>
      </c>
      <c r="Y2128" s="111" t="inlineStr">
        <is>
          <t>Impacto Potencial</t>
        </is>
      </c>
      <c r="Z2128" s="111" t="inlineStr">
        <is>
          <t>PC</t>
        </is>
      </c>
      <c r="AA2128" s="111" t="inlineStr">
        <is>
          <t>Nao</t>
        </is>
      </c>
      <c r="AB2128" s="111" t="inlineStr">
        <is>
          <t>NAO_COMPUTADO</t>
        </is>
      </c>
      <c r="AC2128" s="112" t="inlineStr">
        <is>
          <t>Estrutura Fase 1: sem impacto no VTA oficial</t>
        </is>
      </c>
    </row>
    <row r="2129" ht="25.5" customHeight="1" s="289">
      <c r="A2129" s="205" t="n"/>
      <c r="B2129" s="207" t="n"/>
      <c r="C2129" s="104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348" t="n"/>
      <c r="E2129" s="349">
        <f>IF(C2129="","",IFERROR(VLOOKUP(C2129,parametros!$A$11:$E$15,5,0),""))</f>
        <v/>
      </c>
      <c r="F2129" s="335">
        <f>IF(OR(D2129="",E2129=""),"",ROUND(D2129*E2129,2))</f>
        <v/>
      </c>
      <c r="G2129" s="106" t="n"/>
      <c r="H2129" s="350">
        <f>IF(G2129="Sim",IF(OR(F2129="",D2129="",L2129=""),"",IF(L2129="Sim",ROUND(F2129-D2129,2),0)),0)</f>
        <v/>
      </c>
      <c r="I2129" s="350">
        <f>IF(G2129="Sim",0,IF(OR(F2129="",L2129=""),"",F2129))</f>
        <v/>
      </c>
      <c r="J2129" s="350">
        <f>IF(G2129="Sim",0,IF(OR(F2129="",D2129="",L2129=""),"",IF(L2129="Sim",ROUND(F2129-D2129,2),0)))</f>
        <v/>
      </c>
      <c r="K2129" s="97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inlineStr">
        <is>
          <t>Nao</t>
        </is>
      </c>
      <c r="W2129" s="110" t="inlineStr">
        <is>
          <t>PC em analise</t>
        </is>
      </c>
      <c r="X2129" s="110" t="inlineStr">
        <is>
          <t>Pedido de Compra</t>
        </is>
      </c>
      <c r="Y2129" s="111" t="inlineStr">
        <is>
          <t>Impacto Potencial</t>
        </is>
      </c>
      <c r="Z2129" s="111" t="inlineStr">
        <is>
          <t>PC</t>
        </is>
      </c>
      <c r="AA2129" s="111" t="inlineStr">
        <is>
          <t>Nao</t>
        </is>
      </c>
      <c r="AB2129" s="111" t="inlineStr">
        <is>
          <t>NAO_COMPUTADO</t>
        </is>
      </c>
      <c r="AC2129" s="112" t="inlineStr">
        <is>
          <t>Estrutura Fase 1: sem impacto no VTA oficial</t>
        </is>
      </c>
    </row>
    <row r="2130" ht="25.5" customHeight="1" s="289">
      <c r="A2130" s="205" t="n"/>
      <c r="B2130" s="207" t="n"/>
      <c r="C2130" s="104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348" t="n"/>
      <c r="E2130" s="349">
        <f>IF(C2130="","",IFERROR(VLOOKUP(C2130,parametros!$A$11:$E$15,5,0),""))</f>
        <v/>
      </c>
      <c r="F2130" s="335">
        <f>IF(OR(D2130="",E2130=""),"",ROUND(D2130*E2130,2))</f>
        <v/>
      </c>
      <c r="G2130" s="106" t="n"/>
      <c r="H2130" s="350">
        <f>IF(G2130="Sim",IF(OR(F2130="",D2130="",L2130=""),"",IF(L2130="Sim",ROUND(F2130-D2130,2),0)),0)</f>
        <v/>
      </c>
      <c r="I2130" s="350">
        <f>IF(G2130="Sim",0,IF(OR(F2130="",L2130=""),"",F2130))</f>
        <v/>
      </c>
      <c r="J2130" s="350">
        <f>IF(G2130="Sim",0,IF(OR(F2130="",D2130="",L2130=""),"",IF(L2130="Sim",ROUND(F2130-D2130,2),0)))</f>
        <v/>
      </c>
      <c r="K2130" s="97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inlineStr">
        <is>
          <t>Nao</t>
        </is>
      </c>
      <c r="W2130" s="110" t="inlineStr">
        <is>
          <t>PC em analise</t>
        </is>
      </c>
      <c r="X2130" s="110" t="inlineStr">
        <is>
          <t>Pedido de Compra</t>
        </is>
      </c>
      <c r="Y2130" s="111" t="inlineStr">
        <is>
          <t>Impacto Potencial</t>
        </is>
      </c>
      <c r="Z2130" s="111" t="inlineStr">
        <is>
          <t>PC</t>
        </is>
      </c>
      <c r="AA2130" s="111" t="inlineStr">
        <is>
          <t>Nao</t>
        </is>
      </c>
      <c r="AB2130" s="111" t="inlineStr">
        <is>
          <t>NAO_COMPUTADO</t>
        </is>
      </c>
      <c r="AC2130" s="112" t="inlineStr">
        <is>
          <t>Estrutura Fase 1: sem impacto no VTA oficial</t>
        </is>
      </c>
    </row>
    <row r="2131" ht="25.5" customHeight="1" s="289">
      <c r="A2131" s="205" t="n"/>
      <c r="B2131" s="207" t="n"/>
      <c r="C2131" s="104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348" t="n"/>
      <c r="E2131" s="349">
        <f>IF(C2131="","",IFERROR(VLOOKUP(C2131,parametros!$A$11:$E$15,5,0),""))</f>
        <v/>
      </c>
      <c r="F2131" s="335">
        <f>IF(OR(D2131="",E2131=""),"",ROUND(D2131*E2131,2))</f>
        <v/>
      </c>
      <c r="G2131" s="106" t="n"/>
      <c r="H2131" s="350">
        <f>IF(G2131="Sim",IF(OR(F2131="",D2131="",L2131=""),"",IF(L2131="Sim",ROUND(F2131-D2131,2),0)),0)</f>
        <v/>
      </c>
      <c r="I2131" s="350">
        <f>IF(G2131="Sim",0,IF(OR(F2131="",L2131=""),"",F2131))</f>
        <v/>
      </c>
      <c r="J2131" s="350">
        <f>IF(G2131="Sim",0,IF(OR(F2131="",D2131="",L2131=""),"",IF(L2131="Sim",ROUND(F2131-D2131,2),0)))</f>
        <v/>
      </c>
      <c r="K2131" s="97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inlineStr">
        <is>
          <t>Nao</t>
        </is>
      </c>
      <c r="W2131" s="110" t="inlineStr">
        <is>
          <t>PC em analise</t>
        </is>
      </c>
      <c r="X2131" s="110" t="inlineStr">
        <is>
          <t>Pedido de Compra</t>
        </is>
      </c>
      <c r="Y2131" s="111" t="inlineStr">
        <is>
          <t>Impacto Potencial</t>
        </is>
      </c>
      <c r="Z2131" s="111" t="inlineStr">
        <is>
          <t>PC</t>
        </is>
      </c>
      <c r="AA2131" s="111" t="inlineStr">
        <is>
          <t>Nao</t>
        </is>
      </c>
      <c r="AB2131" s="111" t="inlineStr">
        <is>
          <t>NAO_COMPUTADO</t>
        </is>
      </c>
      <c r="AC2131" s="112" t="inlineStr">
        <is>
          <t>Estrutura Fase 1: sem impacto no VTA oficial</t>
        </is>
      </c>
    </row>
    <row r="2132" ht="25.5" customHeight="1" s="289">
      <c r="A2132" s="205" t="n"/>
      <c r="B2132" s="207" t="n"/>
      <c r="C2132" s="104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348" t="n"/>
      <c r="E2132" s="349">
        <f>IF(C2132="","",IFERROR(VLOOKUP(C2132,parametros!$A$11:$E$15,5,0),""))</f>
        <v/>
      </c>
      <c r="F2132" s="335">
        <f>IF(OR(D2132="",E2132=""),"",ROUND(D2132*E2132,2))</f>
        <v/>
      </c>
      <c r="G2132" s="106" t="n"/>
      <c r="H2132" s="350">
        <f>IF(G2132="Sim",IF(OR(F2132="",D2132="",L2132=""),"",IF(L2132="Sim",ROUND(F2132-D2132,2),0)),0)</f>
        <v/>
      </c>
      <c r="I2132" s="350">
        <f>IF(G2132="Sim",0,IF(OR(F2132="",L2132=""),"",F2132))</f>
        <v/>
      </c>
      <c r="J2132" s="350">
        <f>IF(G2132="Sim",0,IF(OR(F2132="",D2132="",L2132=""),"",IF(L2132="Sim",ROUND(F2132-D2132,2),0)))</f>
        <v/>
      </c>
      <c r="K2132" s="97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inlineStr">
        <is>
          <t>Nao</t>
        </is>
      </c>
      <c r="W2132" s="110" t="inlineStr">
        <is>
          <t>PC em analise</t>
        </is>
      </c>
      <c r="X2132" s="110" t="inlineStr">
        <is>
          <t>Pedido de Compra</t>
        </is>
      </c>
      <c r="Y2132" s="111" t="inlineStr">
        <is>
          <t>Impacto Potencial</t>
        </is>
      </c>
      <c r="Z2132" s="111" t="inlineStr">
        <is>
          <t>PC</t>
        </is>
      </c>
      <c r="AA2132" s="111" t="inlineStr">
        <is>
          <t>Nao</t>
        </is>
      </c>
      <c r="AB2132" s="111" t="inlineStr">
        <is>
          <t>NAO_COMPUTADO</t>
        </is>
      </c>
      <c r="AC2132" s="112" t="inlineStr">
        <is>
          <t>Estrutura Fase 1: sem impacto no VTA oficial</t>
        </is>
      </c>
    </row>
    <row r="2133" ht="25.5" customHeight="1" s="289">
      <c r="A2133" s="205" t="n"/>
      <c r="B2133" s="207" t="n"/>
      <c r="C2133" s="104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348" t="n"/>
      <c r="E2133" s="349">
        <f>IF(C2133="","",IFERROR(VLOOKUP(C2133,parametros!$A$11:$E$15,5,0),""))</f>
        <v/>
      </c>
      <c r="F2133" s="335">
        <f>IF(OR(D2133="",E2133=""),"",ROUND(D2133*E2133,2))</f>
        <v/>
      </c>
      <c r="G2133" s="106" t="n"/>
      <c r="H2133" s="350">
        <f>IF(G2133="Sim",IF(OR(F2133="",D2133="",L2133=""),"",IF(L2133="Sim",ROUND(F2133-D2133,2),0)),0)</f>
        <v/>
      </c>
      <c r="I2133" s="350">
        <f>IF(G2133="Sim",0,IF(OR(F2133="",L2133=""),"",F2133))</f>
        <v/>
      </c>
      <c r="J2133" s="350">
        <f>IF(G2133="Sim",0,IF(OR(F2133="",D2133="",L2133=""),"",IF(L2133="Sim",ROUND(F2133-D2133,2),0)))</f>
        <v/>
      </c>
      <c r="K2133" s="97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inlineStr">
        <is>
          <t>Nao</t>
        </is>
      </c>
      <c r="W2133" s="110" t="inlineStr">
        <is>
          <t>PC em analise</t>
        </is>
      </c>
      <c r="X2133" s="110" t="inlineStr">
        <is>
          <t>Pedido de Compra</t>
        </is>
      </c>
      <c r="Y2133" s="111" t="inlineStr">
        <is>
          <t>Impacto Potencial</t>
        </is>
      </c>
      <c r="Z2133" s="111" t="inlineStr">
        <is>
          <t>PC</t>
        </is>
      </c>
      <c r="AA2133" s="111" t="inlineStr">
        <is>
          <t>Nao</t>
        </is>
      </c>
      <c r="AB2133" s="111" t="inlineStr">
        <is>
          <t>NAO_COMPUTADO</t>
        </is>
      </c>
      <c r="AC2133" s="112" t="inlineStr">
        <is>
          <t>Estrutura Fase 1: sem impacto no VTA oficial</t>
        </is>
      </c>
    </row>
    <row r="2134" ht="25.5" customHeight="1" s="289">
      <c r="A2134" s="205" t="n"/>
      <c r="B2134" s="207" t="n"/>
      <c r="C2134" s="104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348" t="n"/>
      <c r="E2134" s="349">
        <f>IF(C2134="","",IFERROR(VLOOKUP(C2134,parametros!$A$11:$E$15,5,0),""))</f>
        <v/>
      </c>
      <c r="F2134" s="335">
        <f>IF(OR(D2134="",E2134=""),"",ROUND(D2134*E2134,2))</f>
        <v/>
      </c>
      <c r="G2134" s="106" t="n"/>
      <c r="H2134" s="350">
        <f>IF(G2134="Sim",IF(OR(F2134="",D2134="",L2134=""),"",IF(L2134="Sim",ROUND(F2134-D2134,2),0)),0)</f>
        <v/>
      </c>
      <c r="I2134" s="350">
        <f>IF(G2134="Sim",0,IF(OR(F2134="",L2134=""),"",F2134))</f>
        <v/>
      </c>
      <c r="J2134" s="350">
        <f>IF(G2134="Sim",0,IF(OR(F2134="",D2134="",L2134=""),"",IF(L2134="Sim",ROUND(F2134-D2134,2),0)))</f>
        <v/>
      </c>
      <c r="K2134" s="97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inlineStr">
        <is>
          <t>Nao</t>
        </is>
      </c>
      <c r="W2134" s="110" t="inlineStr">
        <is>
          <t>PC em analise</t>
        </is>
      </c>
      <c r="X2134" s="110" t="inlineStr">
        <is>
          <t>Pedido de Compra</t>
        </is>
      </c>
      <c r="Y2134" s="111" t="inlineStr">
        <is>
          <t>Impacto Potencial</t>
        </is>
      </c>
      <c r="Z2134" s="111" t="inlineStr">
        <is>
          <t>PC</t>
        </is>
      </c>
      <c r="AA2134" s="111" t="inlineStr">
        <is>
          <t>Nao</t>
        </is>
      </c>
      <c r="AB2134" s="111" t="inlineStr">
        <is>
          <t>NAO_COMPUTADO</t>
        </is>
      </c>
      <c r="AC2134" s="112" t="inlineStr">
        <is>
          <t>Estrutura Fase 1: sem impacto no VTA oficial</t>
        </is>
      </c>
    </row>
    <row r="2135" ht="25.5" customHeight="1" s="289">
      <c r="A2135" s="205" t="n"/>
      <c r="B2135" s="207" t="n"/>
      <c r="C2135" s="104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348" t="n"/>
      <c r="E2135" s="349">
        <f>IF(C2135="","",IFERROR(VLOOKUP(C2135,parametros!$A$11:$E$15,5,0),""))</f>
        <v/>
      </c>
      <c r="F2135" s="335">
        <f>IF(OR(D2135="",E2135=""),"",ROUND(D2135*E2135,2))</f>
        <v/>
      </c>
      <c r="G2135" s="106" t="n"/>
      <c r="H2135" s="350">
        <f>IF(G2135="Sim",IF(OR(F2135="",D2135="",L2135=""),"",IF(L2135="Sim",ROUND(F2135-D2135,2),0)),0)</f>
        <v/>
      </c>
      <c r="I2135" s="350">
        <f>IF(G2135="Sim",0,IF(OR(F2135="",L2135=""),"",F2135))</f>
        <v/>
      </c>
      <c r="J2135" s="350">
        <f>IF(G2135="Sim",0,IF(OR(F2135="",D2135="",L2135=""),"",IF(L2135="Sim",ROUND(F2135-D2135,2),0)))</f>
        <v/>
      </c>
      <c r="K2135" s="97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inlineStr">
        <is>
          <t>Nao</t>
        </is>
      </c>
      <c r="W2135" s="110" t="inlineStr">
        <is>
          <t>PC em analise</t>
        </is>
      </c>
      <c r="X2135" s="110" t="inlineStr">
        <is>
          <t>Pedido de Compra</t>
        </is>
      </c>
      <c r="Y2135" s="111" t="inlineStr">
        <is>
          <t>Impacto Potencial</t>
        </is>
      </c>
      <c r="Z2135" s="111" t="inlineStr">
        <is>
          <t>PC</t>
        </is>
      </c>
      <c r="AA2135" s="111" t="inlineStr">
        <is>
          <t>Nao</t>
        </is>
      </c>
      <c r="AB2135" s="111" t="inlineStr">
        <is>
          <t>NAO_COMPUTADO</t>
        </is>
      </c>
      <c r="AC2135" s="112" t="inlineStr">
        <is>
          <t>Estrutura Fase 1: sem impacto no VTA oficial</t>
        </is>
      </c>
    </row>
    <row r="2136" ht="25.5" customHeight="1" s="289">
      <c r="A2136" s="205" t="n"/>
      <c r="B2136" s="207" t="n"/>
      <c r="C2136" s="104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348" t="n"/>
      <c r="E2136" s="349">
        <f>IF(C2136="","",IFERROR(VLOOKUP(C2136,parametros!$A$11:$E$15,5,0),""))</f>
        <v/>
      </c>
      <c r="F2136" s="335">
        <f>IF(OR(D2136="",E2136=""),"",ROUND(D2136*E2136,2))</f>
        <v/>
      </c>
      <c r="G2136" s="106" t="n"/>
      <c r="H2136" s="350">
        <f>IF(G2136="Sim",IF(OR(F2136="",D2136="",L2136=""),"",IF(L2136="Sim",ROUND(F2136-D2136,2),0)),0)</f>
        <v/>
      </c>
      <c r="I2136" s="350">
        <f>IF(G2136="Sim",0,IF(OR(F2136="",L2136=""),"",F2136))</f>
        <v/>
      </c>
      <c r="J2136" s="350">
        <f>IF(G2136="Sim",0,IF(OR(F2136="",D2136="",L2136=""),"",IF(L2136="Sim",ROUND(F2136-D2136,2),0)))</f>
        <v/>
      </c>
      <c r="K2136" s="97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inlineStr">
        <is>
          <t>Nao</t>
        </is>
      </c>
      <c r="W2136" s="110" t="inlineStr">
        <is>
          <t>PC em analise</t>
        </is>
      </c>
      <c r="X2136" s="110" t="inlineStr">
        <is>
          <t>Pedido de Compra</t>
        </is>
      </c>
      <c r="Y2136" s="111" t="inlineStr">
        <is>
          <t>Impacto Potencial</t>
        </is>
      </c>
      <c r="Z2136" s="111" t="inlineStr">
        <is>
          <t>PC</t>
        </is>
      </c>
      <c r="AA2136" s="111" t="inlineStr">
        <is>
          <t>Nao</t>
        </is>
      </c>
      <c r="AB2136" s="111" t="inlineStr">
        <is>
          <t>NAO_COMPUTADO</t>
        </is>
      </c>
      <c r="AC2136" s="112" t="inlineStr">
        <is>
          <t>Estrutura Fase 1: sem impacto no VTA oficial</t>
        </is>
      </c>
    </row>
    <row r="2137" ht="25.5" customHeight="1" s="289">
      <c r="A2137" s="205" t="n"/>
      <c r="B2137" s="207" t="n"/>
      <c r="C2137" s="104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348" t="n"/>
      <c r="E2137" s="349">
        <f>IF(C2137="","",IFERROR(VLOOKUP(C2137,parametros!$A$11:$E$15,5,0),""))</f>
        <v/>
      </c>
      <c r="F2137" s="335">
        <f>IF(OR(D2137="",E2137=""),"",ROUND(D2137*E2137,2))</f>
        <v/>
      </c>
      <c r="G2137" s="106" t="n"/>
      <c r="H2137" s="350">
        <f>IF(G2137="Sim",IF(OR(F2137="",D2137="",L2137=""),"",IF(L2137="Sim",ROUND(F2137-D2137,2),0)),0)</f>
        <v/>
      </c>
      <c r="I2137" s="350">
        <f>IF(G2137="Sim",0,IF(OR(F2137="",L2137=""),"",F2137))</f>
        <v/>
      </c>
      <c r="J2137" s="350">
        <f>IF(G2137="Sim",0,IF(OR(F2137="",D2137="",L2137=""),"",IF(L2137="Sim",ROUND(F2137-D2137,2),0)))</f>
        <v/>
      </c>
      <c r="K2137" s="97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inlineStr">
        <is>
          <t>Nao</t>
        </is>
      </c>
      <c r="W2137" s="110" t="inlineStr">
        <is>
          <t>PC em analise</t>
        </is>
      </c>
      <c r="X2137" s="110" t="inlineStr">
        <is>
          <t>Pedido de Compra</t>
        </is>
      </c>
      <c r="Y2137" s="111" t="inlineStr">
        <is>
          <t>Impacto Potencial</t>
        </is>
      </c>
      <c r="Z2137" s="111" t="inlineStr">
        <is>
          <t>PC</t>
        </is>
      </c>
      <c r="AA2137" s="111" t="inlineStr">
        <is>
          <t>Nao</t>
        </is>
      </c>
      <c r="AB2137" s="111" t="inlineStr">
        <is>
          <t>NAO_COMPUTADO</t>
        </is>
      </c>
      <c r="AC2137" s="112" t="inlineStr">
        <is>
          <t>Estrutura Fase 1: sem impacto no VTA oficial</t>
        </is>
      </c>
    </row>
    <row r="2138" ht="25.5" customHeight="1" s="289">
      <c r="A2138" s="205" t="n"/>
      <c r="B2138" s="207" t="n"/>
      <c r="C2138" s="104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348" t="n"/>
      <c r="E2138" s="349">
        <f>IF(C2138="","",IFERROR(VLOOKUP(C2138,parametros!$A$11:$E$15,5,0),""))</f>
        <v/>
      </c>
      <c r="F2138" s="335">
        <f>IF(OR(D2138="",E2138=""),"",ROUND(D2138*E2138,2))</f>
        <v/>
      </c>
      <c r="G2138" s="106" t="n"/>
      <c r="H2138" s="350">
        <f>IF(G2138="Sim",IF(OR(F2138="",D2138="",L2138=""),"",IF(L2138="Sim",ROUND(F2138-D2138,2),0)),0)</f>
        <v/>
      </c>
      <c r="I2138" s="350">
        <f>IF(G2138="Sim",0,IF(OR(F2138="",L2138=""),"",F2138))</f>
        <v/>
      </c>
      <c r="J2138" s="350">
        <f>IF(G2138="Sim",0,IF(OR(F2138="",D2138="",L2138=""),"",IF(L2138="Sim",ROUND(F2138-D2138,2),0)))</f>
        <v/>
      </c>
      <c r="K2138" s="97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inlineStr">
        <is>
          <t>Nao</t>
        </is>
      </c>
      <c r="W2138" s="110" t="inlineStr">
        <is>
          <t>PC em analise</t>
        </is>
      </c>
      <c r="X2138" s="110" t="inlineStr">
        <is>
          <t>Pedido de Compra</t>
        </is>
      </c>
      <c r="Y2138" s="111" t="inlineStr">
        <is>
          <t>Impacto Potencial</t>
        </is>
      </c>
      <c r="Z2138" s="111" t="inlineStr">
        <is>
          <t>PC</t>
        </is>
      </c>
      <c r="AA2138" s="111" t="inlineStr">
        <is>
          <t>Nao</t>
        </is>
      </c>
      <c r="AB2138" s="111" t="inlineStr">
        <is>
          <t>NAO_COMPUTADO</t>
        </is>
      </c>
      <c r="AC2138" s="112" t="inlineStr">
        <is>
          <t>Estrutura Fase 1: sem impacto no VTA oficial</t>
        </is>
      </c>
    </row>
    <row r="2139" ht="25.5" customHeight="1" s="289">
      <c r="A2139" s="205" t="n"/>
      <c r="B2139" s="207" t="n"/>
      <c r="C2139" s="104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348" t="n"/>
      <c r="E2139" s="349">
        <f>IF(C2139="","",IFERROR(VLOOKUP(C2139,parametros!$A$11:$E$15,5,0),""))</f>
        <v/>
      </c>
      <c r="F2139" s="335">
        <f>IF(OR(D2139="",E2139=""),"",ROUND(D2139*E2139,2))</f>
        <v/>
      </c>
      <c r="G2139" s="106" t="n"/>
      <c r="H2139" s="350">
        <f>IF(G2139="Sim",IF(OR(F2139="",D2139="",L2139=""),"",IF(L2139="Sim",ROUND(F2139-D2139,2),0)),0)</f>
        <v/>
      </c>
      <c r="I2139" s="350">
        <f>IF(G2139="Sim",0,IF(OR(F2139="",L2139=""),"",F2139))</f>
        <v/>
      </c>
      <c r="J2139" s="350">
        <f>IF(G2139="Sim",0,IF(OR(F2139="",D2139="",L2139=""),"",IF(L2139="Sim",ROUND(F2139-D2139,2),0)))</f>
        <v/>
      </c>
      <c r="K2139" s="97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inlineStr">
        <is>
          <t>Nao</t>
        </is>
      </c>
      <c r="W2139" s="110" t="inlineStr">
        <is>
          <t>PC em analise</t>
        </is>
      </c>
      <c r="X2139" s="110" t="inlineStr">
        <is>
          <t>Pedido de Compra</t>
        </is>
      </c>
      <c r="Y2139" s="111" t="inlineStr">
        <is>
          <t>Impacto Potencial</t>
        </is>
      </c>
      <c r="Z2139" s="111" t="inlineStr">
        <is>
          <t>PC</t>
        </is>
      </c>
      <c r="AA2139" s="111" t="inlineStr">
        <is>
          <t>Nao</t>
        </is>
      </c>
      <c r="AB2139" s="111" t="inlineStr">
        <is>
          <t>NAO_COMPUTADO</t>
        </is>
      </c>
      <c r="AC2139" s="112" t="inlineStr">
        <is>
          <t>Estrutura Fase 1: sem impacto no VTA oficial</t>
        </is>
      </c>
    </row>
    <row r="2140" ht="25.5" customHeight="1" s="289">
      <c r="A2140" s="205" t="n"/>
      <c r="B2140" s="207" t="n"/>
      <c r="C2140" s="104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348" t="n"/>
      <c r="E2140" s="349">
        <f>IF(C2140="","",IFERROR(VLOOKUP(C2140,parametros!$A$11:$E$15,5,0),""))</f>
        <v/>
      </c>
      <c r="F2140" s="335">
        <f>IF(OR(D2140="",E2140=""),"",ROUND(D2140*E2140,2))</f>
        <v/>
      </c>
      <c r="G2140" s="106" t="n"/>
      <c r="H2140" s="350">
        <f>IF(G2140="Sim",IF(OR(F2140="",D2140="",L2140=""),"",IF(L2140="Sim",ROUND(F2140-D2140,2),0)),0)</f>
        <v/>
      </c>
      <c r="I2140" s="350">
        <f>IF(G2140="Sim",0,IF(OR(F2140="",L2140=""),"",F2140))</f>
        <v/>
      </c>
      <c r="J2140" s="350">
        <f>IF(G2140="Sim",0,IF(OR(F2140="",D2140="",L2140=""),"",IF(L2140="Sim",ROUND(F2140-D2140,2),0)))</f>
        <v/>
      </c>
      <c r="K2140" s="97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inlineStr">
        <is>
          <t>Nao</t>
        </is>
      </c>
      <c r="W2140" s="110" t="inlineStr">
        <is>
          <t>PC em analise</t>
        </is>
      </c>
      <c r="X2140" s="110" t="inlineStr">
        <is>
          <t>Pedido de Compra</t>
        </is>
      </c>
      <c r="Y2140" s="111" t="inlineStr">
        <is>
          <t>Impacto Potencial</t>
        </is>
      </c>
      <c r="Z2140" s="111" t="inlineStr">
        <is>
          <t>PC</t>
        </is>
      </c>
      <c r="AA2140" s="111" t="inlineStr">
        <is>
          <t>Nao</t>
        </is>
      </c>
      <c r="AB2140" s="111" t="inlineStr">
        <is>
          <t>NAO_COMPUTADO</t>
        </is>
      </c>
      <c r="AC2140" s="112" t="inlineStr">
        <is>
          <t>Estrutura Fase 1: sem impacto no VTA oficial</t>
        </is>
      </c>
    </row>
    <row r="2141" ht="25.5" customHeight="1" s="289">
      <c r="A2141" s="205" t="n"/>
      <c r="B2141" s="207" t="n"/>
      <c r="C2141" s="104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348" t="n"/>
      <c r="E2141" s="349">
        <f>IF(C2141="","",IFERROR(VLOOKUP(C2141,parametros!$A$11:$E$15,5,0),""))</f>
        <v/>
      </c>
      <c r="F2141" s="335">
        <f>IF(OR(D2141="",E2141=""),"",ROUND(D2141*E2141,2))</f>
        <v/>
      </c>
      <c r="G2141" s="106" t="n"/>
      <c r="H2141" s="350">
        <f>IF(G2141="Sim",IF(OR(F2141="",D2141="",L2141=""),"",IF(L2141="Sim",ROUND(F2141-D2141,2),0)),0)</f>
        <v/>
      </c>
      <c r="I2141" s="350">
        <f>IF(G2141="Sim",0,IF(OR(F2141="",L2141=""),"",F2141))</f>
        <v/>
      </c>
      <c r="J2141" s="350">
        <f>IF(G2141="Sim",0,IF(OR(F2141="",D2141="",L2141=""),"",IF(L2141="Sim",ROUND(F2141-D2141,2),0)))</f>
        <v/>
      </c>
      <c r="K2141" s="97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inlineStr">
        <is>
          <t>Nao</t>
        </is>
      </c>
      <c r="W2141" s="110" t="inlineStr">
        <is>
          <t>PC em analise</t>
        </is>
      </c>
      <c r="X2141" s="110" t="inlineStr">
        <is>
          <t>Pedido de Compra</t>
        </is>
      </c>
      <c r="Y2141" s="111" t="inlineStr">
        <is>
          <t>Impacto Potencial</t>
        </is>
      </c>
      <c r="Z2141" s="111" t="inlineStr">
        <is>
          <t>PC</t>
        </is>
      </c>
      <c r="AA2141" s="111" t="inlineStr">
        <is>
          <t>Nao</t>
        </is>
      </c>
      <c r="AB2141" s="111" t="inlineStr">
        <is>
          <t>NAO_COMPUTADO</t>
        </is>
      </c>
      <c r="AC2141" s="112" t="inlineStr">
        <is>
          <t>Estrutura Fase 1: sem impacto no VTA oficial</t>
        </is>
      </c>
    </row>
    <row r="2142" ht="25.5" customHeight="1" s="289">
      <c r="A2142" s="205" t="n"/>
      <c r="B2142" s="207" t="n"/>
      <c r="C2142" s="104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348" t="n"/>
      <c r="E2142" s="349">
        <f>IF(C2142="","",IFERROR(VLOOKUP(C2142,parametros!$A$11:$E$15,5,0),""))</f>
        <v/>
      </c>
      <c r="F2142" s="335">
        <f>IF(OR(D2142="",E2142=""),"",ROUND(D2142*E2142,2))</f>
        <v/>
      </c>
      <c r="G2142" s="106" t="n"/>
      <c r="H2142" s="350">
        <f>IF(G2142="Sim",IF(OR(F2142="",D2142="",L2142=""),"",IF(L2142="Sim",ROUND(F2142-D2142,2),0)),0)</f>
        <v/>
      </c>
      <c r="I2142" s="350">
        <f>IF(G2142="Sim",0,IF(OR(F2142="",L2142=""),"",F2142))</f>
        <v/>
      </c>
      <c r="J2142" s="350">
        <f>IF(G2142="Sim",0,IF(OR(F2142="",D2142="",L2142=""),"",IF(L2142="Sim",ROUND(F2142-D2142,2),0)))</f>
        <v/>
      </c>
      <c r="K2142" s="97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inlineStr">
        <is>
          <t>Nao</t>
        </is>
      </c>
      <c r="W2142" s="110" t="inlineStr">
        <is>
          <t>PC em analise</t>
        </is>
      </c>
      <c r="X2142" s="110" t="inlineStr">
        <is>
          <t>Pedido de Compra</t>
        </is>
      </c>
      <c r="Y2142" s="111" t="inlineStr">
        <is>
          <t>Impacto Potencial</t>
        </is>
      </c>
      <c r="Z2142" s="111" t="inlineStr">
        <is>
          <t>PC</t>
        </is>
      </c>
      <c r="AA2142" s="111" t="inlineStr">
        <is>
          <t>Nao</t>
        </is>
      </c>
      <c r="AB2142" s="111" t="inlineStr">
        <is>
          <t>NAO_COMPUTADO</t>
        </is>
      </c>
      <c r="AC2142" s="112" t="inlineStr">
        <is>
          <t>Estrutura Fase 1: sem impacto no VTA oficial</t>
        </is>
      </c>
    </row>
    <row r="2143" ht="25.5" customHeight="1" s="289">
      <c r="A2143" s="205" t="n"/>
      <c r="B2143" s="207" t="n"/>
      <c r="C2143" s="104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348" t="n"/>
      <c r="E2143" s="349">
        <f>IF(C2143="","",IFERROR(VLOOKUP(C2143,parametros!$A$11:$E$15,5,0),""))</f>
        <v/>
      </c>
      <c r="F2143" s="335">
        <f>IF(OR(D2143="",E2143=""),"",ROUND(D2143*E2143,2))</f>
        <v/>
      </c>
      <c r="G2143" s="106" t="n"/>
      <c r="H2143" s="350">
        <f>IF(G2143="Sim",IF(OR(F2143="",D2143="",L2143=""),"",IF(L2143="Sim",ROUND(F2143-D2143,2),0)),0)</f>
        <v/>
      </c>
      <c r="I2143" s="350">
        <f>IF(G2143="Sim",0,IF(OR(F2143="",L2143=""),"",F2143))</f>
        <v/>
      </c>
      <c r="J2143" s="350">
        <f>IF(G2143="Sim",0,IF(OR(F2143="",D2143="",L2143=""),"",IF(L2143="Sim",ROUND(F2143-D2143,2),0)))</f>
        <v/>
      </c>
      <c r="K2143" s="97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inlineStr">
        <is>
          <t>Nao</t>
        </is>
      </c>
      <c r="W2143" s="110" t="inlineStr">
        <is>
          <t>PC em analise</t>
        </is>
      </c>
      <c r="X2143" s="110" t="inlineStr">
        <is>
          <t>Pedido de Compra</t>
        </is>
      </c>
      <c r="Y2143" s="111" t="inlineStr">
        <is>
          <t>Impacto Potencial</t>
        </is>
      </c>
      <c r="Z2143" s="111" t="inlineStr">
        <is>
          <t>PC</t>
        </is>
      </c>
      <c r="AA2143" s="111" t="inlineStr">
        <is>
          <t>Nao</t>
        </is>
      </c>
      <c r="AB2143" s="111" t="inlineStr">
        <is>
          <t>NAO_COMPUTADO</t>
        </is>
      </c>
      <c r="AC2143" s="112" t="inlineStr">
        <is>
          <t>Estrutura Fase 1: sem impacto no VTA oficial</t>
        </is>
      </c>
    </row>
    <row r="2144" ht="25.5" customHeight="1" s="289">
      <c r="A2144" s="205" t="n"/>
      <c r="B2144" s="207" t="n"/>
      <c r="C2144" s="104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348" t="n"/>
      <c r="E2144" s="349">
        <f>IF(C2144="","",IFERROR(VLOOKUP(C2144,parametros!$A$11:$E$15,5,0),""))</f>
        <v/>
      </c>
      <c r="F2144" s="335">
        <f>IF(OR(D2144="",E2144=""),"",ROUND(D2144*E2144,2))</f>
        <v/>
      </c>
      <c r="G2144" s="106" t="n"/>
      <c r="H2144" s="350">
        <f>IF(G2144="Sim",IF(OR(F2144="",D2144="",L2144=""),"",IF(L2144="Sim",ROUND(F2144-D2144,2),0)),0)</f>
        <v/>
      </c>
      <c r="I2144" s="350">
        <f>IF(G2144="Sim",0,IF(OR(F2144="",L2144=""),"",F2144))</f>
        <v/>
      </c>
      <c r="J2144" s="350">
        <f>IF(G2144="Sim",0,IF(OR(F2144="",D2144="",L2144=""),"",IF(L2144="Sim",ROUND(F2144-D2144,2),0)))</f>
        <v/>
      </c>
      <c r="K2144" s="97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inlineStr">
        <is>
          <t>Nao</t>
        </is>
      </c>
      <c r="W2144" s="110" t="inlineStr">
        <is>
          <t>PC em analise</t>
        </is>
      </c>
      <c r="X2144" s="110" t="inlineStr">
        <is>
          <t>Pedido de Compra</t>
        </is>
      </c>
      <c r="Y2144" s="111" t="inlineStr">
        <is>
          <t>Impacto Potencial</t>
        </is>
      </c>
      <c r="Z2144" s="111" t="inlineStr">
        <is>
          <t>PC</t>
        </is>
      </c>
      <c r="AA2144" s="111" t="inlineStr">
        <is>
          <t>Nao</t>
        </is>
      </c>
      <c r="AB2144" s="111" t="inlineStr">
        <is>
          <t>NAO_COMPUTADO</t>
        </is>
      </c>
      <c r="AC2144" s="112" t="inlineStr">
        <is>
          <t>Estrutura Fase 1: sem impacto no VTA oficial</t>
        </is>
      </c>
    </row>
    <row r="2145" ht="25.5" customHeight="1" s="289">
      <c r="A2145" s="205" t="n"/>
      <c r="B2145" s="207" t="n"/>
      <c r="C2145" s="104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348" t="n"/>
      <c r="E2145" s="349">
        <f>IF(C2145="","",IFERROR(VLOOKUP(C2145,parametros!$A$11:$E$15,5,0),""))</f>
        <v/>
      </c>
      <c r="F2145" s="335">
        <f>IF(OR(D2145="",E2145=""),"",ROUND(D2145*E2145,2))</f>
        <v/>
      </c>
      <c r="G2145" s="106" t="n"/>
      <c r="H2145" s="350">
        <f>IF(G2145="Sim",IF(OR(F2145="",D2145="",L2145=""),"",IF(L2145="Sim",ROUND(F2145-D2145,2),0)),0)</f>
        <v/>
      </c>
      <c r="I2145" s="350">
        <f>IF(G2145="Sim",0,IF(OR(F2145="",L2145=""),"",F2145))</f>
        <v/>
      </c>
      <c r="J2145" s="350">
        <f>IF(G2145="Sim",0,IF(OR(F2145="",D2145="",L2145=""),"",IF(L2145="Sim",ROUND(F2145-D2145,2),0)))</f>
        <v/>
      </c>
      <c r="K2145" s="97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inlineStr">
        <is>
          <t>Nao</t>
        </is>
      </c>
      <c r="W2145" s="110" t="inlineStr">
        <is>
          <t>PC em analise</t>
        </is>
      </c>
      <c r="X2145" s="110" t="inlineStr">
        <is>
          <t>Pedido de Compra</t>
        </is>
      </c>
      <c r="Y2145" s="111" t="inlineStr">
        <is>
          <t>Impacto Potencial</t>
        </is>
      </c>
      <c r="Z2145" s="111" t="inlineStr">
        <is>
          <t>PC</t>
        </is>
      </c>
      <c r="AA2145" s="111" t="inlineStr">
        <is>
          <t>Nao</t>
        </is>
      </c>
      <c r="AB2145" s="111" t="inlineStr">
        <is>
          <t>NAO_COMPUTADO</t>
        </is>
      </c>
      <c r="AC2145" s="112" t="inlineStr">
        <is>
          <t>Estrutura Fase 1: sem impacto no VTA oficial</t>
        </is>
      </c>
    </row>
    <row r="2146" ht="25.5" customHeight="1" s="289">
      <c r="A2146" s="205" t="n"/>
      <c r="B2146" s="207" t="n"/>
      <c r="C2146" s="104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348" t="n"/>
      <c r="E2146" s="349">
        <f>IF(C2146="","",IFERROR(VLOOKUP(C2146,parametros!$A$11:$E$15,5,0),""))</f>
        <v/>
      </c>
      <c r="F2146" s="335">
        <f>IF(OR(D2146="",E2146=""),"",ROUND(D2146*E2146,2))</f>
        <v/>
      </c>
      <c r="G2146" s="106" t="n"/>
      <c r="H2146" s="350">
        <f>IF(G2146="Sim",IF(OR(F2146="",D2146="",L2146=""),"",IF(L2146="Sim",ROUND(F2146-D2146,2),0)),0)</f>
        <v/>
      </c>
      <c r="I2146" s="350">
        <f>IF(G2146="Sim",0,IF(OR(F2146="",L2146=""),"",F2146))</f>
        <v/>
      </c>
      <c r="J2146" s="350">
        <f>IF(G2146="Sim",0,IF(OR(F2146="",D2146="",L2146=""),"",IF(L2146="Sim",ROUND(F2146-D2146,2),0)))</f>
        <v/>
      </c>
      <c r="K2146" s="97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inlineStr">
        <is>
          <t>Nao</t>
        </is>
      </c>
      <c r="W2146" s="110" t="inlineStr">
        <is>
          <t>PC em analise</t>
        </is>
      </c>
      <c r="X2146" s="110" t="inlineStr">
        <is>
          <t>Pedido de Compra</t>
        </is>
      </c>
      <c r="Y2146" s="111" t="inlineStr">
        <is>
          <t>Impacto Potencial</t>
        </is>
      </c>
      <c r="Z2146" s="111" t="inlineStr">
        <is>
          <t>PC</t>
        </is>
      </c>
      <c r="AA2146" s="111" t="inlineStr">
        <is>
          <t>Nao</t>
        </is>
      </c>
      <c r="AB2146" s="111" t="inlineStr">
        <is>
          <t>NAO_COMPUTADO</t>
        </is>
      </c>
      <c r="AC2146" s="112" t="inlineStr">
        <is>
          <t>Estrutura Fase 1: sem impacto no VTA oficial</t>
        </is>
      </c>
    </row>
    <row r="2147" ht="25.5" customHeight="1" s="289">
      <c r="A2147" s="205" t="n"/>
      <c r="B2147" s="207" t="n"/>
      <c r="C2147" s="104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348" t="n"/>
      <c r="E2147" s="349">
        <f>IF(C2147="","",IFERROR(VLOOKUP(C2147,parametros!$A$11:$E$15,5,0),""))</f>
        <v/>
      </c>
      <c r="F2147" s="335">
        <f>IF(OR(D2147="",E2147=""),"",ROUND(D2147*E2147,2))</f>
        <v/>
      </c>
      <c r="G2147" s="106" t="n"/>
      <c r="H2147" s="350">
        <f>IF(G2147="Sim",IF(OR(F2147="",D2147="",L2147=""),"",IF(L2147="Sim",ROUND(F2147-D2147,2),0)),0)</f>
        <v/>
      </c>
      <c r="I2147" s="350">
        <f>IF(G2147="Sim",0,IF(OR(F2147="",L2147=""),"",F2147))</f>
        <v/>
      </c>
      <c r="J2147" s="350">
        <f>IF(G2147="Sim",0,IF(OR(F2147="",D2147="",L2147=""),"",IF(L2147="Sim",ROUND(F2147-D2147,2),0)))</f>
        <v/>
      </c>
      <c r="K2147" s="97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inlineStr">
        <is>
          <t>Nao</t>
        </is>
      </c>
      <c r="W2147" s="110" t="inlineStr">
        <is>
          <t>PC em analise</t>
        </is>
      </c>
      <c r="X2147" s="110" t="inlineStr">
        <is>
          <t>Pedido de Compra</t>
        </is>
      </c>
      <c r="Y2147" s="111" t="inlineStr">
        <is>
          <t>Impacto Potencial</t>
        </is>
      </c>
      <c r="Z2147" s="111" t="inlineStr">
        <is>
          <t>PC</t>
        </is>
      </c>
      <c r="AA2147" s="111" t="inlineStr">
        <is>
          <t>Nao</t>
        </is>
      </c>
      <c r="AB2147" s="111" t="inlineStr">
        <is>
          <t>NAO_COMPUTADO</t>
        </is>
      </c>
      <c r="AC2147" s="112" t="inlineStr">
        <is>
          <t>Estrutura Fase 1: sem impacto no VTA oficial</t>
        </is>
      </c>
    </row>
    <row r="2148" ht="25.5" customHeight="1" s="289">
      <c r="A2148" s="205" t="n"/>
      <c r="B2148" s="207" t="n"/>
      <c r="C2148" s="104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348" t="n"/>
      <c r="E2148" s="349">
        <f>IF(C2148="","",IFERROR(VLOOKUP(C2148,parametros!$A$11:$E$15,5,0),""))</f>
        <v/>
      </c>
      <c r="F2148" s="335">
        <f>IF(OR(D2148="",E2148=""),"",ROUND(D2148*E2148,2))</f>
        <v/>
      </c>
      <c r="G2148" s="106" t="n"/>
      <c r="H2148" s="350">
        <f>IF(G2148="Sim",IF(OR(F2148="",D2148="",L2148=""),"",IF(L2148="Sim",ROUND(F2148-D2148,2),0)),0)</f>
        <v/>
      </c>
      <c r="I2148" s="350">
        <f>IF(G2148="Sim",0,IF(OR(F2148="",L2148=""),"",F2148))</f>
        <v/>
      </c>
      <c r="J2148" s="350">
        <f>IF(G2148="Sim",0,IF(OR(F2148="",D2148="",L2148=""),"",IF(L2148="Sim",ROUND(F2148-D2148,2),0)))</f>
        <v/>
      </c>
      <c r="K2148" s="97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inlineStr">
        <is>
          <t>Nao</t>
        </is>
      </c>
      <c r="W2148" s="110" t="inlineStr">
        <is>
          <t>PC em analise</t>
        </is>
      </c>
      <c r="X2148" s="110" t="inlineStr">
        <is>
          <t>Pedido de Compra</t>
        </is>
      </c>
      <c r="Y2148" s="111" t="inlineStr">
        <is>
          <t>Impacto Potencial</t>
        </is>
      </c>
      <c r="Z2148" s="111" t="inlineStr">
        <is>
          <t>PC</t>
        </is>
      </c>
      <c r="AA2148" s="111" t="inlineStr">
        <is>
          <t>Nao</t>
        </is>
      </c>
      <c r="AB2148" s="111" t="inlineStr">
        <is>
          <t>NAO_COMPUTADO</t>
        </is>
      </c>
      <c r="AC2148" s="112" t="inlineStr">
        <is>
          <t>Estrutura Fase 1: sem impacto no VTA oficial</t>
        </is>
      </c>
    </row>
    <row r="2149" ht="25.5" customHeight="1" s="289">
      <c r="A2149" s="205" t="n"/>
      <c r="B2149" s="207" t="n"/>
      <c r="C2149" s="104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348" t="n"/>
      <c r="E2149" s="349">
        <f>IF(C2149="","",IFERROR(VLOOKUP(C2149,parametros!$A$11:$E$15,5,0),""))</f>
        <v/>
      </c>
      <c r="F2149" s="335">
        <f>IF(OR(D2149="",E2149=""),"",ROUND(D2149*E2149,2))</f>
        <v/>
      </c>
      <c r="G2149" s="106" t="n"/>
      <c r="H2149" s="350">
        <f>IF(G2149="Sim",IF(OR(F2149="",D2149="",L2149=""),"",IF(L2149="Sim",ROUND(F2149-D2149,2),0)),0)</f>
        <v/>
      </c>
      <c r="I2149" s="350">
        <f>IF(G2149="Sim",0,IF(OR(F2149="",L2149=""),"",F2149))</f>
        <v/>
      </c>
      <c r="J2149" s="350">
        <f>IF(G2149="Sim",0,IF(OR(F2149="",D2149="",L2149=""),"",IF(L2149="Sim",ROUND(F2149-D2149,2),0)))</f>
        <v/>
      </c>
      <c r="K2149" s="97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inlineStr">
        <is>
          <t>Nao</t>
        </is>
      </c>
      <c r="W2149" s="110" t="inlineStr">
        <is>
          <t>PC em analise</t>
        </is>
      </c>
      <c r="X2149" s="110" t="inlineStr">
        <is>
          <t>Pedido de Compra</t>
        </is>
      </c>
      <c r="Y2149" s="111" t="inlineStr">
        <is>
          <t>Impacto Potencial</t>
        </is>
      </c>
      <c r="Z2149" s="111" t="inlineStr">
        <is>
          <t>PC</t>
        </is>
      </c>
      <c r="AA2149" s="111" t="inlineStr">
        <is>
          <t>Nao</t>
        </is>
      </c>
      <c r="AB2149" s="111" t="inlineStr">
        <is>
          <t>NAO_COMPUTADO</t>
        </is>
      </c>
      <c r="AC2149" s="112" t="inlineStr">
        <is>
          <t>Estrutura Fase 1: sem impacto no VTA oficial</t>
        </is>
      </c>
    </row>
    <row r="2150" ht="25.5" customHeight="1" s="289">
      <c r="A2150" s="205" t="n"/>
      <c r="B2150" s="207" t="n"/>
      <c r="C2150" s="104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348" t="n"/>
      <c r="E2150" s="349">
        <f>IF(C2150="","",IFERROR(VLOOKUP(C2150,parametros!$A$11:$E$15,5,0),""))</f>
        <v/>
      </c>
      <c r="F2150" s="335">
        <f>IF(OR(D2150="",E2150=""),"",ROUND(D2150*E2150,2))</f>
        <v/>
      </c>
      <c r="G2150" s="106" t="n"/>
      <c r="H2150" s="350">
        <f>IF(G2150="Sim",IF(OR(F2150="",D2150="",L2150=""),"",IF(L2150="Sim",ROUND(F2150-D2150,2),0)),0)</f>
        <v/>
      </c>
      <c r="I2150" s="350">
        <f>IF(G2150="Sim",0,IF(OR(F2150="",L2150=""),"",F2150))</f>
        <v/>
      </c>
      <c r="J2150" s="350">
        <f>IF(G2150="Sim",0,IF(OR(F2150="",D2150="",L2150=""),"",IF(L2150="Sim",ROUND(F2150-D2150,2),0)))</f>
        <v/>
      </c>
      <c r="K2150" s="97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inlineStr">
        <is>
          <t>Nao</t>
        </is>
      </c>
      <c r="W2150" s="110" t="inlineStr">
        <is>
          <t>PC em analise</t>
        </is>
      </c>
      <c r="X2150" s="110" t="inlineStr">
        <is>
          <t>Pedido de Compra</t>
        </is>
      </c>
      <c r="Y2150" s="111" t="inlineStr">
        <is>
          <t>Impacto Potencial</t>
        </is>
      </c>
      <c r="Z2150" s="111" t="inlineStr">
        <is>
          <t>PC</t>
        </is>
      </c>
      <c r="AA2150" s="111" t="inlineStr">
        <is>
          <t>Nao</t>
        </is>
      </c>
      <c r="AB2150" s="111" t="inlineStr">
        <is>
          <t>NAO_COMPUTADO</t>
        </is>
      </c>
      <c r="AC2150" s="112" t="inlineStr">
        <is>
          <t>Estrutura Fase 1: sem impacto no VTA oficial</t>
        </is>
      </c>
    </row>
    <row r="2151" ht="25.5" customHeight="1" s="289">
      <c r="A2151" s="205" t="n"/>
      <c r="B2151" s="207" t="n"/>
      <c r="C2151" s="104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348" t="n"/>
      <c r="E2151" s="349">
        <f>IF(C2151="","",IFERROR(VLOOKUP(C2151,parametros!$A$11:$E$15,5,0),""))</f>
        <v/>
      </c>
      <c r="F2151" s="335">
        <f>IF(OR(D2151="",E2151=""),"",ROUND(D2151*E2151,2))</f>
        <v/>
      </c>
      <c r="G2151" s="106" t="n"/>
      <c r="H2151" s="350">
        <f>IF(G2151="Sim",IF(OR(F2151="",D2151="",L2151=""),"",IF(L2151="Sim",ROUND(F2151-D2151,2),0)),0)</f>
        <v/>
      </c>
      <c r="I2151" s="350">
        <f>IF(G2151="Sim",0,IF(OR(F2151="",L2151=""),"",F2151))</f>
        <v/>
      </c>
      <c r="J2151" s="350">
        <f>IF(G2151="Sim",0,IF(OR(F2151="",D2151="",L2151=""),"",IF(L2151="Sim",ROUND(F2151-D2151,2),0)))</f>
        <v/>
      </c>
      <c r="K2151" s="97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inlineStr">
        <is>
          <t>Nao</t>
        </is>
      </c>
      <c r="W2151" s="110" t="inlineStr">
        <is>
          <t>PC em analise</t>
        </is>
      </c>
      <c r="X2151" s="110" t="inlineStr">
        <is>
          <t>Pedido de Compra</t>
        </is>
      </c>
      <c r="Y2151" s="111" t="inlineStr">
        <is>
          <t>Impacto Potencial</t>
        </is>
      </c>
      <c r="Z2151" s="111" t="inlineStr">
        <is>
          <t>PC</t>
        </is>
      </c>
      <c r="AA2151" s="111" t="inlineStr">
        <is>
          <t>Nao</t>
        </is>
      </c>
      <c r="AB2151" s="111" t="inlineStr">
        <is>
          <t>NAO_COMPUTADO</t>
        </is>
      </c>
      <c r="AC2151" s="112" t="inlineStr">
        <is>
          <t>Estrutura Fase 1: sem impacto no VTA oficial</t>
        </is>
      </c>
    </row>
    <row r="2152" ht="25.5" customHeight="1" s="289">
      <c r="A2152" s="205" t="n"/>
      <c r="B2152" s="207" t="n"/>
      <c r="C2152" s="104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348" t="n"/>
      <c r="E2152" s="349">
        <f>IF(C2152="","",IFERROR(VLOOKUP(C2152,parametros!$A$11:$E$15,5,0),""))</f>
        <v/>
      </c>
      <c r="F2152" s="335">
        <f>IF(OR(D2152="",E2152=""),"",ROUND(D2152*E2152,2))</f>
        <v/>
      </c>
      <c r="G2152" s="106" t="n"/>
      <c r="H2152" s="350">
        <f>IF(G2152="Sim",IF(OR(F2152="",D2152="",L2152=""),"",IF(L2152="Sim",ROUND(F2152-D2152,2),0)),0)</f>
        <v/>
      </c>
      <c r="I2152" s="350">
        <f>IF(G2152="Sim",0,IF(OR(F2152="",L2152=""),"",F2152))</f>
        <v/>
      </c>
      <c r="J2152" s="350">
        <f>IF(G2152="Sim",0,IF(OR(F2152="",D2152="",L2152=""),"",IF(L2152="Sim",ROUND(F2152-D2152,2),0)))</f>
        <v/>
      </c>
      <c r="K2152" s="97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inlineStr">
        <is>
          <t>Nao</t>
        </is>
      </c>
      <c r="W2152" s="110" t="inlineStr">
        <is>
          <t>PC em analise</t>
        </is>
      </c>
      <c r="X2152" s="110" t="inlineStr">
        <is>
          <t>Pedido de Compra</t>
        </is>
      </c>
      <c r="Y2152" s="111" t="inlineStr">
        <is>
          <t>Impacto Potencial</t>
        </is>
      </c>
      <c r="Z2152" s="111" t="inlineStr">
        <is>
          <t>PC</t>
        </is>
      </c>
      <c r="AA2152" s="111" t="inlineStr">
        <is>
          <t>Nao</t>
        </is>
      </c>
      <c r="AB2152" s="111" t="inlineStr">
        <is>
          <t>NAO_COMPUTADO</t>
        </is>
      </c>
      <c r="AC2152" s="112" t="inlineStr">
        <is>
          <t>Estrutura Fase 1: sem impacto no VTA oficial</t>
        </is>
      </c>
    </row>
    <row r="2153" ht="25.5" customHeight="1" s="289">
      <c r="A2153" s="205" t="n"/>
      <c r="B2153" s="207" t="n"/>
      <c r="C2153" s="104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348" t="n"/>
      <c r="E2153" s="349">
        <f>IF(C2153="","",IFERROR(VLOOKUP(C2153,parametros!$A$11:$E$15,5,0),""))</f>
        <v/>
      </c>
      <c r="F2153" s="335">
        <f>IF(OR(D2153="",E2153=""),"",ROUND(D2153*E2153,2))</f>
        <v/>
      </c>
      <c r="G2153" s="106" t="n"/>
      <c r="H2153" s="350">
        <f>IF(G2153="Sim",IF(OR(F2153="",D2153="",L2153=""),"",IF(L2153="Sim",ROUND(F2153-D2153,2),0)),0)</f>
        <v/>
      </c>
      <c r="I2153" s="350">
        <f>IF(G2153="Sim",0,IF(OR(F2153="",L2153=""),"",F2153))</f>
        <v/>
      </c>
      <c r="J2153" s="350">
        <f>IF(G2153="Sim",0,IF(OR(F2153="",D2153="",L2153=""),"",IF(L2153="Sim",ROUND(F2153-D2153,2),0)))</f>
        <v/>
      </c>
      <c r="K2153" s="97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inlineStr">
        <is>
          <t>Nao</t>
        </is>
      </c>
      <c r="W2153" s="110" t="inlineStr">
        <is>
          <t>PC em analise</t>
        </is>
      </c>
      <c r="X2153" s="110" t="inlineStr">
        <is>
          <t>Pedido de Compra</t>
        </is>
      </c>
      <c r="Y2153" s="111" t="inlineStr">
        <is>
          <t>Impacto Potencial</t>
        </is>
      </c>
      <c r="Z2153" s="111" t="inlineStr">
        <is>
          <t>PC</t>
        </is>
      </c>
      <c r="AA2153" s="111" t="inlineStr">
        <is>
          <t>Nao</t>
        </is>
      </c>
      <c r="AB2153" s="111" t="inlineStr">
        <is>
          <t>NAO_COMPUTADO</t>
        </is>
      </c>
      <c r="AC2153" s="112" t="inlineStr">
        <is>
          <t>Estrutura Fase 1: sem impacto no VTA oficial</t>
        </is>
      </c>
    </row>
    <row r="2154" ht="25.5" customHeight="1" s="289">
      <c r="A2154" s="205" t="n"/>
      <c r="B2154" s="207" t="n"/>
      <c r="C2154" s="104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348" t="n"/>
      <c r="E2154" s="349">
        <f>IF(C2154="","",IFERROR(VLOOKUP(C2154,parametros!$A$11:$E$15,5,0),""))</f>
        <v/>
      </c>
      <c r="F2154" s="335">
        <f>IF(OR(D2154="",E2154=""),"",ROUND(D2154*E2154,2))</f>
        <v/>
      </c>
      <c r="G2154" s="106" t="n"/>
      <c r="H2154" s="350">
        <f>IF(G2154="Sim",IF(OR(F2154="",D2154="",L2154=""),"",IF(L2154="Sim",ROUND(F2154-D2154,2),0)),0)</f>
        <v/>
      </c>
      <c r="I2154" s="350">
        <f>IF(G2154="Sim",0,IF(OR(F2154="",L2154=""),"",F2154))</f>
        <v/>
      </c>
      <c r="J2154" s="350">
        <f>IF(G2154="Sim",0,IF(OR(F2154="",D2154="",L2154=""),"",IF(L2154="Sim",ROUND(F2154-D2154,2),0)))</f>
        <v/>
      </c>
      <c r="K2154" s="97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inlineStr">
        <is>
          <t>Nao</t>
        </is>
      </c>
      <c r="W2154" s="110" t="inlineStr">
        <is>
          <t>PC em analise</t>
        </is>
      </c>
      <c r="X2154" s="110" t="inlineStr">
        <is>
          <t>Pedido de Compra</t>
        </is>
      </c>
      <c r="Y2154" s="111" t="inlineStr">
        <is>
          <t>Impacto Potencial</t>
        </is>
      </c>
      <c r="Z2154" s="111" t="inlineStr">
        <is>
          <t>PC</t>
        </is>
      </c>
      <c r="AA2154" s="111" t="inlineStr">
        <is>
          <t>Nao</t>
        </is>
      </c>
      <c r="AB2154" s="111" t="inlineStr">
        <is>
          <t>NAO_COMPUTADO</t>
        </is>
      </c>
      <c r="AC2154" s="112" t="inlineStr">
        <is>
          <t>Estrutura Fase 1: sem impacto no VTA oficial</t>
        </is>
      </c>
    </row>
    <row r="2155" ht="25.5" customHeight="1" s="289">
      <c r="A2155" s="205" t="n"/>
      <c r="B2155" s="207" t="n"/>
      <c r="C2155" s="104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348" t="n"/>
      <c r="E2155" s="349">
        <f>IF(C2155="","",IFERROR(VLOOKUP(C2155,parametros!$A$11:$E$15,5,0),""))</f>
        <v/>
      </c>
      <c r="F2155" s="335">
        <f>IF(OR(D2155="",E2155=""),"",ROUND(D2155*E2155,2))</f>
        <v/>
      </c>
      <c r="G2155" s="106" t="n"/>
      <c r="H2155" s="350">
        <f>IF(G2155="Sim",IF(OR(F2155="",D2155="",L2155=""),"",IF(L2155="Sim",ROUND(F2155-D2155,2),0)),0)</f>
        <v/>
      </c>
      <c r="I2155" s="350">
        <f>IF(G2155="Sim",0,IF(OR(F2155="",L2155=""),"",F2155))</f>
        <v/>
      </c>
      <c r="J2155" s="350">
        <f>IF(G2155="Sim",0,IF(OR(F2155="",D2155="",L2155=""),"",IF(L2155="Sim",ROUND(F2155-D2155,2),0)))</f>
        <v/>
      </c>
      <c r="K2155" s="97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inlineStr">
        <is>
          <t>Nao</t>
        </is>
      </c>
      <c r="W2155" s="110" t="inlineStr">
        <is>
          <t>PC em analise</t>
        </is>
      </c>
      <c r="X2155" s="110" t="inlineStr">
        <is>
          <t>Pedido de Compra</t>
        </is>
      </c>
      <c r="Y2155" s="111" t="inlineStr">
        <is>
          <t>Impacto Potencial</t>
        </is>
      </c>
      <c r="Z2155" s="111" t="inlineStr">
        <is>
          <t>PC</t>
        </is>
      </c>
      <c r="AA2155" s="111" t="inlineStr">
        <is>
          <t>Nao</t>
        </is>
      </c>
      <c r="AB2155" s="111" t="inlineStr">
        <is>
          <t>NAO_COMPUTADO</t>
        </is>
      </c>
      <c r="AC2155" s="112" t="inlineStr">
        <is>
          <t>Estrutura Fase 1: sem impacto no VTA oficial</t>
        </is>
      </c>
    </row>
    <row r="2156" ht="25.5" customHeight="1" s="289">
      <c r="A2156" s="205" t="n"/>
      <c r="B2156" s="207" t="n"/>
      <c r="C2156" s="104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348" t="n"/>
      <c r="E2156" s="349">
        <f>IF(C2156="","",IFERROR(VLOOKUP(C2156,parametros!$A$11:$E$15,5,0),""))</f>
        <v/>
      </c>
      <c r="F2156" s="335">
        <f>IF(OR(D2156="",E2156=""),"",ROUND(D2156*E2156,2))</f>
        <v/>
      </c>
      <c r="G2156" s="106" t="n"/>
      <c r="H2156" s="350">
        <f>IF(G2156="Sim",IF(OR(F2156="",D2156="",L2156=""),"",IF(L2156="Sim",ROUND(F2156-D2156,2),0)),0)</f>
        <v/>
      </c>
      <c r="I2156" s="350">
        <f>IF(G2156="Sim",0,IF(OR(F2156="",L2156=""),"",F2156))</f>
        <v/>
      </c>
      <c r="J2156" s="350">
        <f>IF(G2156="Sim",0,IF(OR(F2156="",D2156="",L2156=""),"",IF(L2156="Sim",ROUND(F2156-D2156,2),0)))</f>
        <v/>
      </c>
      <c r="K2156" s="97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inlineStr">
        <is>
          <t>Nao</t>
        </is>
      </c>
      <c r="W2156" s="110" t="inlineStr">
        <is>
          <t>PC em analise</t>
        </is>
      </c>
      <c r="X2156" s="110" t="inlineStr">
        <is>
          <t>Pedido de Compra</t>
        </is>
      </c>
      <c r="Y2156" s="111" t="inlineStr">
        <is>
          <t>Impacto Potencial</t>
        </is>
      </c>
      <c r="Z2156" s="111" t="inlineStr">
        <is>
          <t>PC</t>
        </is>
      </c>
      <c r="AA2156" s="111" t="inlineStr">
        <is>
          <t>Nao</t>
        </is>
      </c>
      <c r="AB2156" s="111" t="inlineStr">
        <is>
          <t>NAO_COMPUTADO</t>
        </is>
      </c>
      <c r="AC2156" s="112" t="inlineStr">
        <is>
          <t>Estrutura Fase 1: sem impacto no VTA oficial</t>
        </is>
      </c>
    </row>
    <row r="2157" ht="25.5" customHeight="1" s="289">
      <c r="A2157" s="205" t="n"/>
      <c r="B2157" s="207" t="n"/>
      <c r="C2157" s="104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348" t="n"/>
      <c r="E2157" s="349">
        <f>IF(C2157="","",IFERROR(VLOOKUP(C2157,parametros!$A$11:$E$15,5,0),""))</f>
        <v/>
      </c>
      <c r="F2157" s="335">
        <f>IF(OR(D2157="",E2157=""),"",ROUND(D2157*E2157,2))</f>
        <v/>
      </c>
      <c r="G2157" s="106" t="n"/>
      <c r="H2157" s="350">
        <f>IF(G2157="Sim",IF(OR(F2157="",D2157="",L2157=""),"",IF(L2157="Sim",ROUND(F2157-D2157,2),0)),0)</f>
        <v/>
      </c>
      <c r="I2157" s="350">
        <f>IF(G2157="Sim",0,IF(OR(F2157="",L2157=""),"",F2157))</f>
        <v/>
      </c>
      <c r="J2157" s="350">
        <f>IF(G2157="Sim",0,IF(OR(F2157="",D2157="",L2157=""),"",IF(L2157="Sim",ROUND(F2157-D2157,2),0)))</f>
        <v/>
      </c>
      <c r="K2157" s="97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inlineStr">
        <is>
          <t>Nao</t>
        </is>
      </c>
      <c r="W2157" s="110" t="inlineStr">
        <is>
          <t>PC em analise</t>
        </is>
      </c>
      <c r="X2157" s="110" t="inlineStr">
        <is>
          <t>Pedido de Compra</t>
        </is>
      </c>
      <c r="Y2157" s="111" t="inlineStr">
        <is>
          <t>Impacto Potencial</t>
        </is>
      </c>
      <c r="Z2157" s="111" t="inlineStr">
        <is>
          <t>PC</t>
        </is>
      </c>
      <c r="AA2157" s="111" t="inlineStr">
        <is>
          <t>Nao</t>
        </is>
      </c>
      <c r="AB2157" s="111" t="inlineStr">
        <is>
          <t>NAO_COMPUTADO</t>
        </is>
      </c>
      <c r="AC2157" s="112" t="inlineStr">
        <is>
          <t>Estrutura Fase 1: sem impacto no VTA oficial</t>
        </is>
      </c>
    </row>
    <row r="2158" ht="25.5" customHeight="1" s="289">
      <c r="A2158" s="205" t="n"/>
      <c r="B2158" s="207" t="n"/>
      <c r="C2158" s="104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348" t="n"/>
      <c r="E2158" s="349">
        <f>IF(C2158="","",IFERROR(VLOOKUP(C2158,parametros!$A$11:$E$15,5,0),""))</f>
        <v/>
      </c>
      <c r="F2158" s="335">
        <f>IF(OR(D2158="",E2158=""),"",ROUND(D2158*E2158,2))</f>
        <v/>
      </c>
      <c r="G2158" s="106" t="n"/>
      <c r="H2158" s="350">
        <f>IF(G2158="Sim",IF(OR(F2158="",D2158="",L2158=""),"",IF(L2158="Sim",ROUND(F2158-D2158,2),0)),0)</f>
        <v/>
      </c>
      <c r="I2158" s="350">
        <f>IF(G2158="Sim",0,IF(OR(F2158="",L2158=""),"",F2158))</f>
        <v/>
      </c>
      <c r="J2158" s="350">
        <f>IF(G2158="Sim",0,IF(OR(F2158="",D2158="",L2158=""),"",IF(L2158="Sim",ROUND(F2158-D2158,2),0)))</f>
        <v/>
      </c>
      <c r="K2158" s="97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inlineStr">
        <is>
          <t>Nao</t>
        </is>
      </c>
      <c r="W2158" s="110" t="inlineStr">
        <is>
          <t>PC em analise</t>
        </is>
      </c>
      <c r="X2158" s="110" t="inlineStr">
        <is>
          <t>Pedido de Compra</t>
        </is>
      </c>
      <c r="Y2158" s="111" t="inlineStr">
        <is>
          <t>Impacto Potencial</t>
        </is>
      </c>
      <c r="Z2158" s="111" t="inlineStr">
        <is>
          <t>PC</t>
        </is>
      </c>
      <c r="AA2158" s="111" t="inlineStr">
        <is>
          <t>Nao</t>
        </is>
      </c>
      <c r="AB2158" s="111" t="inlineStr">
        <is>
          <t>NAO_COMPUTADO</t>
        </is>
      </c>
      <c r="AC2158" s="112" t="inlineStr">
        <is>
          <t>Estrutura Fase 1: sem impacto no VTA oficial</t>
        </is>
      </c>
    </row>
    <row r="2159" ht="25.5" customHeight="1" s="289">
      <c r="A2159" s="205" t="n"/>
      <c r="B2159" s="207" t="n"/>
      <c r="C2159" s="104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348" t="n"/>
      <c r="E2159" s="349">
        <f>IF(C2159="","",IFERROR(VLOOKUP(C2159,parametros!$A$11:$E$15,5,0),""))</f>
        <v/>
      </c>
      <c r="F2159" s="335">
        <f>IF(OR(D2159="",E2159=""),"",ROUND(D2159*E2159,2))</f>
        <v/>
      </c>
      <c r="G2159" s="106" t="n"/>
      <c r="H2159" s="350">
        <f>IF(G2159="Sim",IF(OR(F2159="",D2159="",L2159=""),"",IF(L2159="Sim",ROUND(F2159-D2159,2),0)),0)</f>
        <v/>
      </c>
      <c r="I2159" s="350">
        <f>IF(G2159="Sim",0,IF(OR(F2159="",L2159=""),"",F2159))</f>
        <v/>
      </c>
      <c r="J2159" s="350">
        <f>IF(G2159="Sim",0,IF(OR(F2159="",D2159="",L2159=""),"",IF(L2159="Sim",ROUND(F2159-D2159,2),0)))</f>
        <v/>
      </c>
      <c r="K2159" s="97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inlineStr">
        <is>
          <t>Nao</t>
        </is>
      </c>
      <c r="W2159" s="110" t="inlineStr">
        <is>
          <t>PC em analise</t>
        </is>
      </c>
      <c r="X2159" s="110" t="inlineStr">
        <is>
          <t>Pedido de Compra</t>
        </is>
      </c>
      <c r="Y2159" s="111" t="inlineStr">
        <is>
          <t>Impacto Potencial</t>
        </is>
      </c>
      <c r="Z2159" s="111" t="inlineStr">
        <is>
          <t>PC</t>
        </is>
      </c>
      <c r="AA2159" s="111" t="inlineStr">
        <is>
          <t>Nao</t>
        </is>
      </c>
      <c r="AB2159" s="111" t="inlineStr">
        <is>
          <t>NAO_COMPUTADO</t>
        </is>
      </c>
      <c r="AC2159" s="112" t="inlineStr">
        <is>
          <t>Estrutura Fase 1: sem impacto no VTA oficial</t>
        </is>
      </c>
    </row>
    <row r="2160" ht="25.5" customHeight="1" s="289">
      <c r="A2160" s="205" t="n"/>
      <c r="B2160" s="207" t="n"/>
      <c r="C2160" s="104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348" t="n"/>
      <c r="E2160" s="349">
        <f>IF(C2160="","",IFERROR(VLOOKUP(C2160,parametros!$A$11:$E$15,5,0),""))</f>
        <v/>
      </c>
      <c r="F2160" s="335">
        <f>IF(OR(D2160="",E2160=""),"",ROUND(D2160*E2160,2))</f>
        <v/>
      </c>
      <c r="G2160" s="106" t="n"/>
      <c r="H2160" s="350">
        <f>IF(G2160="Sim",IF(OR(F2160="",D2160="",L2160=""),"",IF(L2160="Sim",ROUND(F2160-D2160,2),0)),0)</f>
        <v/>
      </c>
      <c r="I2160" s="350">
        <f>IF(G2160="Sim",0,IF(OR(F2160="",L2160=""),"",F2160))</f>
        <v/>
      </c>
      <c r="J2160" s="350">
        <f>IF(G2160="Sim",0,IF(OR(F2160="",D2160="",L2160=""),"",IF(L2160="Sim",ROUND(F2160-D2160,2),0)))</f>
        <v/>
      </c>
      <c r="K2160" s="97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inlineStr">
        <is>
          <t>Nao</t>
        </is>
      </c>
      <c r="W2160" s="110" t="inlineStr">
        <is>
          <t>PC em analise</t>
        </is>
      </c>
      <c r="X2160" s="110" t="inlineStr">
        <is>
          <t>Pedido de Compra</t>
        </is>
      </c>
      <c r="Y2160" s="111" t="inlineStr">
        <is>
          <t>Impacto Potencial</t>
        </is>
      </c>
      <c r="Z2160" s="111" t="inlineStr">
        <is>
          <t>PC</t>
        </is>
      </c>
      <c r="AA2160" s="111" t="inlineStr">
        <is>
          <t>Nao</t>
        </is>
      </c>
      <c r="AB2160" s="111" t="inlineStr">
        <is>
          <t>NAO_COMPUTADO</t>
        </is>
      </c>
      <c r="AC2160" s="112" t="inlineStr">
        <is>
          <t>Estrutura Fase 1: sem impacto no VTA oficial</t>
        </is>
      </c>
    </row>
    <row r="2161" ht="25.5" customHeight="1" s="289">
      <c r="A2161" s="205" t="n"/>
      <c r="B2161" s="207" t="n"/>
      <c r="C2161" s="104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348" t="n"/>
      <c r="E2161" s="349">
        <f>IF(C2161="","",IFERROR(VLOOKUP(C2161,parametros!$A$11:$E$15,5,0),""))</f>
        <v/>
      </c>
      <c r="F2161" s="335">
        <f>IF(OR(D2161="",E2161=""),"",ROUND(D2161*E2161,2))</f>
        <v/>
      </c>
      <c r="G2161" s="106" t="n"/>
      <c r="H2161" s="350">
        <f>IF(G2161="Sim",IF(OR(F2161="",D2161="",L2161=""),"",IF(L2161="Sim",ROUND(F2161-D2161,2),0)),0)</f>
        <v/>
      </c>
      <c r="I2161" s="350">
        <f>IF(G2161="Sim",0,IF(OR(F2161="",L2161=""),"",F2161))</f>
        <v/>
      </c>
      <c r="J2161" s="350">
        <f>IF(G2161="Sim",0,IF(OR(F2161="",D2161="",L2161=""),"",IF(L2161="Sim",ROUND(F2161-D2161,2),0)))</f>
        <v/>
      </c>
      <c r="K2161" s="97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inlineStr">
        <is>
          <t>Nao</t>
        </is>
      </c>
      <c r="W2161" s="110" t="inlineStr">
        <is>
          <t>PC em analise</t>
        </is>
      </c>
      <c r="X2161" s="110" t="inlineStr">
        <is>
          <t>Pedido de Compra</t>
        </is>
      </c>
      <c r="Y2161" s="111" t="inlineStr">
        <is>
          <t>Impacto Potencial</t>
        </is>
      </c>
      <c r="Z2161" s="111" t="inlineStr">
        <is>
          <t>PC</t>
        </is>
      </c>
      <c r="AA2161" s="111" t="inlineStr">
        <is>
          <t>Nao</t>
        </is>
      </c>
      <c r="AB2161" s="111" t="inlineStr">
        <is>
          <t>NAO_COMPUTADO</t>
        </is>
      </c>
      <c r="AC2161" s="112" t="inlineStr">
        <is>
          <t>Estrutura Fase 1: sem impacto no VTA oficial</t>
        </is>
      </c>
    </row>
    <row r="2162" ht="25.5" customHeight="1" s="289">
      <c r="A2162" s="205" t="n"/>
      <c r="B2162" s="207" t="n"/>
      <c r="C2162" s="104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348" t="n"/>
      <c r="E2162" s="349">
        <f>IF(C2162="","",IFERROR(VLOOKUP(C2162,parametros!$A$11:$E$15,5,0),""))</f>
        <v/>
      </c>
      <c r="F2162" s="335">
        <f>IF(OR(D2162="",E2162=""),"",ROUND(D2162*E2162,2))</f>
        <v/>
      </c>
      <c r="G2162" s="106" t="n"/>
      <c r="H2162" s="350">
        <f>IF(G2162="Sim",IF(OR(F2162="",D2162="",L2162=""),"",IF(L2162="Sim",ROUND(F2162-D2162,2),0)),0)</f>
        <v/>
      </c>
      <c r="I2162" s="350">
        <f>IF(G2162="Sim",0,IF(OR(F2162="",L2162=""),"",F2162))</f>
        <v/>
      </c>
      <c r="J2162" s="350">
        <f>IF(G2162="Sim",0,IF(OR(F2162="",D2162="",L2162=""),"",IF(L2162="Sim",ROUND(F2162-D2162,2),0)))</f>
        <v/>
      </c>
      <c r="K2162" s="97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inlineStr">
        <is>
          <t>Nao</t>
        </is>
      </c>
      <c r="W2162" s="110" t="inlineStr">
        <is>
          <t>PC em analise</t>
        </is>
      </c>
      <c r="X2162" s="110" t="inlineStr">
        <is>
          <t>Pedido de Compra</t>
        </is>
      </c>
      <c r="Y2162" s="111" t="inlineStr">
        <is>
          <t>Impacto Potencial</t>
        </is>
      </c>
      <c r="Z2162" s="111" t="inlineStr">
        <is>
          <t>PC</t>
        </is>
      </c>
      <c r="AA2162" s="111" t="inlineStr">
        <is>
          <t>Nao</t>
        </is>
      </c>
      <c r="AB2162" s="111" t="inlineStr">
        <is>
          <t>NAO_COMPUTADO</t>
        </is>
      </c>
      <c r="AC2162" s="112" t="inlineStr">
        <is>
          <t>Estrutura Fase 1: sem impacto no VTA oficial</t>
        </is>
      </c>
    </row>
    <row r="2163" ht="25.5" customHeight="1" s="289">
      <c r="A2163" s="205" t="n"/>
      <c r="B2163" s="207" t="n"/>
      <c r="C2163" s="104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348" t="n"/>
      <c r="E2163" s="349">
        <f>IF(C2163="","",IFERROR(VLOOKUP(C2163,parametros!$A$11:$E$15,5,0),""))</f>
        <v/>
      </c>
      <c r="F2163" s="335">
        <f>IF(OR(D2163="",E2163=""),"",ROUND(D2163*E2163,2))</f>
        <v/>
      </c>
      <c r="G2163" s="106" t="n"/>
      <c r="H2163" s="350">
        <f>IF(G2163="Sim",IF(OR(F2163="",D2163="",L2163=""),"",IF(L2163="Sim",ROUND(F2163-D2163,2),0)),0)</f>
        <v/>
      </c>
      <c r="I2163" s="350">
        <f>IF(G2163="Sim",0,IF(OR(F2163="",L2163=""),"",F2163))</f>
        <v/>
      </c>
      <c r="J2163" s="350">
        <f>IF(G2163="Sim",0,IF(OR(F2163="",D2163="",L2163=""),"",IF(L2163="Sim",ROUND(F2163-D2163,2),0)))</f>
        <v/>
      </c>
      <c r="K2163" s="97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inlineStr">
        <is>
          <t>Nao</t>
        </is>
      </c>
      <c r="W2163" s="110" t="inlineStr">
        <is>
          <t>PC em analise</t>
        </is>
      </c>
      <c r="X2163" s="110" t="inlineStr">
        <is>
          <t>Pedido de Compra</t>
        </is>
      </c>
      <c r="Y2163" s="111" t="inlineStr">
        <is>
          <t>Impacto Potencial</t>
        </is>
      </c>
      <c r="Z2163" s="111" t="inlineStr">
        <is>
          <t>PC</t>
        </is>
      </c>
      <c r="AA2163" s="111" t="inlineStr">
        <is>
          <t>Nao</t>
        </is>
      </c>
      <c r="AB2163" s="111" t="inlineStr">
        <is>
          <t>NAO_COMPUTADO</t>
        </is>
      </c>
      <c r="AC2163" s="112" t="inlineStr">
        <is>
          <t>Estrutura Fase 1: sem impacto no VTA oficial</t>
        </is>
      </c>
    </row>
    <row r="2164" ht="25.5" customHeight="1" s="289">
      <c r="A2164" s="205" t="n"/>
      <c r="B2164" s="207" t="n"/>
      <c r="C2164" s="104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348" t="n"/>
      <c r="E2164" s="349">
        <f>IF(C2164="","",IFERROR(VLOOKUP(C2164,parametros!$A$11:$E$15,5,0),""))</f>
        <v/>
      </c>
      <c r="F2164" s="335">
        <f>IF(OR(D2164="",E2164=""),"",ROUND(D2164*E2164,2))</f>
        <v/>
      </c>
      <c r="G2164" s="106" t="n"/>
      <c r="H2164" s="350">
        <f>IF(G2164="Sim",IF(OR(F2164="",D2164="",L2164=""),"",IF(L2164="Sim",ROUND(F2164-D2164,2),0)),0)</f>
        <v/>
      </c>
      <c r="I2164" s="350">
        <f>IF(G2164="Sim",0,IF(OR(F2164="",L2164=""),"",F2164))</f>
        <v/>
      </c>
      <c r="J2164" s="350">
        <f>IF(G2164="Sim",0,IF(OR(F2164="",D2164="",L2164=""),"",IF(L2164="Sim",ROUND(F2164-D2164,2),0)))</f>
        <v/>
      </c>
      <c r="K2164" s="97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inlineStr">
        <is>
          <t>Nao</t>
        </is>
      </c>
      <c r="W2164" s="110" t="inlineStr">
        <is>
          <t>PC em analise</t>
        </is>
      </c>
      <c r="X2164" s="110" t="inlineStr">
        <is>
          <t>Pedido de Compra</t>
        </is>
      </c>
      <c r="Y2164" s="111" t="inlineStr">
        <is>
          <t>Impacto Potencial</t>
        </is>
      </c>
      <c r="Z2164" s="111" t="inlineStr">
        <is>
          <t>PC</t>
        </is>
      </c>
      <c r="AA2164" s="111" t="inlineStr">
        <is>
          <t>Nao</t>
        </is>
      </c>
      <c r="AB2164" s="111" t="inlineStr">
        <is>
          <t>NAO_COMPUTADO</t>
        </is>
      </c>
      <c r="AC2164" s="112" t="inlineStr">
        <is>
          <t>Estrutura Fase 1: sem impacto no VTA oficial</t>
        </is>
      </c>
    </row>
    <row r="2165" ht="25.5" customHeight="1" s="289">
      <c r="A2165" s="205" t="n"/>
      <c r="B2165" s="207" t="n"/>
      <c r="C2165" s="104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348" t="n"/>
      <c r="E2165" s="349">
        <f>IF(C2165="","",IFERROR(VLOOKUP(C2165,parametros!$A$11:$E$15,5,0),""))</f>
        <v/>
      </c>
      <c r="F2165" s="335">
        <f>IF(OR(D2165="",E2165=""),"",ROUND(D2165*E2165,2))</f>
        <v/>
      </c>
      <c r="G2165" s="106" t="n"/>
      <c r="H2165" s="350">
        <f>IF(G2165="Sim",IF(OR(F2165="",D2165="",L2165=""),"",IF(L2165="Sim",ROUND(F2165-D2165,2),0)),0)</f>
        <v/>
      </c>
      <c r="I2165" s="350">
        <f>IF(G2165="Sim",0,IF(OR(F2165="",L2165=""),"",F2165))</f>
        <v/>
      </c>
      <c r="J2165" s="350">
        <f>IF(G2165="Sim",0,IF(OR(F2165="",D2165="",L2165=""),"",IF(L2165="Sim",ROUND(F2165-D2165,2),0)))</f>
        <v/>
      </c>
      <c r="K2165" s="97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inlineStr">
        <is>
          <t>Nao</t>
        </is>
      </c>
      <c r="W2165" s="110" t="inlineStr">
        <is>
          <t>PC em analise</t>
        </is>
      </c>
      <c r="X2165" s="110" t="inlineStr">
        <is>
          <t>Pedido de Compra</t>
        </is>
      </c>
      <c r="Y2165" s="111" t="inlineStr">
        <is>
          <t>Impacto Potencial</t>
        </is>
      </c>
      <c r="Z2165" s="111" t="inlineStr">
        <is>
          <t>PC</t>
        </is>
      </c>
      <c r="AA2165" s="111" t="inlineStr">
        <is>
          <t>Nao</t>
        </is>
      </c>
      <c r="AB2165" s="111" t="inlineStr">
        <is>
          <t>NAO_COMPUTADO</t>
        </is>
      </c>
      <c r="AC2165" s="112" t="inlineStr">
        <is>
          <t>Estrutura Fase 1: sem impacto no VTA oficial</t>
        </is>
      </c>
    </row>
    <row r="2166" ht="25.5" customHeight="1" s="289">
      <c r="A2166" s="205" t="n"/>
      <c r="B2166" s="207" t="n"/>
      <c r="C2166" s="104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348" t="n"/>
      <c r="E2166" s="349">
        <f>IF(C2166="","",IFERROR(VLOOKUP(C2166,parametros!$A$11:$E$15,5,0),""))</f>
        <v/>
      </c>
      <c r="F2166" s="335">
        <f>IF(OR(D2166="",E2166=""),"",ROUND(D2166*E2166,2))</f>
        <v/>
      </c>
      <c r="G2166" s="106" t="n"/>
      <c r="H2166" s="350">
        <f>IF(G2166="Sim",IF(OR(F2166="",D2166="",L2166=""),"",IF(L2166="Sim",ROUND(F2166-D2166,2),0)),0)</f>
        <v/>
      </c>
      <c r="I2166" s="350">
        <f>IF(G2166="Sim",0,IF(OR(F2166="",L2166=""),"",F2166))</f>
        <v/>
      </c>
      <c r="J2166" s="350">
        <f>IF(G2166="Sim",0,IF(OR(F2166="",D2166="",L2166=""),"",IF(L2166="Sim",ROUND(F2166-D2166,2),0)))</f>
        <v/>
      </c>
      <c r="K2166" s="97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inlineStr">
        <is>
          <t>Nao</t>
        </is>
      </c>
      <c r="W2166" s="110" t="inlineStr">
        <is>
          <t>PC em analise</t>
        </is>
      </c>
      <c r="X2166" s="110" t="inlineStr">
        <is>
          <t>Pedido de Compra</t>
        </is>
      </c>
      <c r="Y2166" s="111" t="inlineStr">
        <is>
          <t>Impacto Potencial</t>
        </is>
      </c>
      <c r="Z2166" s="111" t="inlineStr">
        <is>
          <t>PC</t>
        </is>
      </c>
      <c r="AA2166" s="111" t="inlineStr">
        <is>
          <t>Nao</t>
        </is>
      </c>
      <c r="AB2166" s="111" t="inlineStr">
        <is>
          <t>NAO_COMPUTADO</t>
        </is>
      </c>
      <c r="AC2166" s="112" t="inlineStr">
        <is>
          <t>Estrutura Fase 1: sem impacto no VTA oficial</t>
        </is>
      </c>
    </row>
    <row r="2167" ht="25.5" customHeight="1" s="289">
      <c r="A2167" s="205" t="n"/>
      <c r="B2167" s="207" t="n"/>
      <c r="C2167" s="104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348" t="n"/>
      <c r="E2167" s="349">
        <f>IF(C2167="","",IFERROR(VLOOKUP(C2167,parametros!$A$11:$E$15,5,0),""))</f>
        <v/>
      </c>
      <c r="F2167" s="335">
        <f>IF(OR(D2167="",E2167=""),"",ROUND(D2167*E2167,2))</f>
        <v/>
      </c>
      <c r="G2167" s="106" t="n"/>
      <c r="H2167" s="350">
        <f>IF(G2167="Sim",IF(OR(F2167="",D2167="",L2167=""),"",IF(L2167="Sim",ROUND(F2167-D2167,2),0)),0)</f>
        <v/>
      </c>
      <c r="I2167" s="350">
        <f>IF(G2167="Sim",0,IF(OR(F2167="",L2167=""),"",F2167))</f>
        <v/>
      </c>
      <c r="J2167" s="350">
        <f>IF(G2167="Sim",0,IF(OR(F2167="",D2167="",L2167=""),"",IF(L2167="Sim",ROUND(F2167-D2167,2),0)))</f>
        <v/>
      </c>
      <c r="K2167" s="97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inlineStr">
        <is>
          <t>Nao</t>
        </is>
      </c>
      <c r="W2167" s="110" t="inlineStr">
        <is>
          <t>PC em analise</t>
        </is>
      </c>
      <c r="X2167" s="110" t="inlineStr">
        <is>
          <t>Pedido de Compra</t>
        </is>
      </c>
      <c r="Y2167" s="111" t="inlineStr">
        <is>
          <t>Impacto Potencial</t>
        </is>
      </c>
      <c r="Z2167" s="111" t="inlineStr">
        <is>
          <t>PC</t>
        </is>
      </c>
      <c r="AA2167" s="111" t="inlineStr">
        <is>
          <t>Nao</t>
        </is>
      </c>
      <c r="AB2167" s="111" t="inlineStr">
        <is>
          <t>NAO_COMPUTADO</t>
        </is>
      </c>
      <c r="AC2167" s="112" t="inlineStr">
        <is>
          <t>Estrutura Fase 1: sem impacto no VTA oficial</t>
        </is>
      </c>
    </row>
    <row r="2168" ht="25.5" customHeight="1" s="289">
      <c r="A2168" s="205" t="n"/>
      <c r="B2168" s="207" t="n"/>
      <c r="C2168" s="104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348" t="n"/>
      <c r="E2168" s="349">
        <f>IF(C2168="","",IFERROR(VLOOKUP(C2168,parametros!$A$11:$E$15,5,0),""))</f>
        <v/>
      </c>
      <c r="F2168" s="335">
        <f>IF(OR(D2168="",E2168=""),"",ROUND(D2168*E2168,2))</f>
        <v/>
      </c>
      <c r="G2168" s="106" t="n"/>
      <c r="H2168" s="350">
        <f>IF(G2168="Sim",IF(OR(F2168="",D2168="",L2168=""),"",IF(L2168="Sim",ROUND(F2168-D2168,2),0)),0)</f>
        <v/>
      </c>
      <c r="I2168" s="350">
        <f>IF(G2168="Sim",0,IF(OR(F2168="",L2168=""),"",F2168))</f>
        <v/>
      </c>
      <c r="J2168" s="350">
        <f>IF(G2168="Sim",0,IF(OR(F2168="",D2168="",L2168=""),"",IF(L2168="Sim",ROUND(F2168-D2168,2),0)))</f>
        <v/>
      </c>
      <c r="K2168" s="97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inlineStr">
        <is>
          <t>Nao</t>
        </is>
      </c>
      <c r="W2168" s="110" t="inlineStr">
        <is>
          <t>PC em analise</t>
        </is>
      </c>
      <c r="X2168" s="110" t="inlineStr">
        <is>
          <t>Pedido de Compra</t>
        </is>
      </c>
      <c r="Y2168" s="111" t="inlineStr">
        <is>
          <t>Impacto Potencial</t>
        </is>
      </c>
      <c r="Z2168" s="111" t="inlineStr">
        <is>
          <t>PC</t>
        </is>
      </c>
      <c r="AA2168" s="111" t="inlineStr">
        <is>
          <t>Nao</t>
        </is>
      </c>
      <c r="AB2168" s="111" t="inlineStr">
        <is>
          <t>NAO_COMPUTADO</t>
        </is>
      </c>
      <c r="AC2168" s="112" t="inlineStr">
        <is>
          <t>Estrutura Fase 1: sem impacto no VTA oficial</t>
        </is>
      </c>
    </row>
    <row r="2169" ht="25.5" customHeight="1" s="289">
      <c r="A2169" s="205" t="n"/>
      <c r="B2169" s="207" t="n"/>
      <c r="C2169" s="104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348" t="n"/>
      <c r="E2169" s="349">
        <f>IF(C2169="","",IFERROR(VLOOKUP(C2169,parametros!$A$11:$E$15,5,0),""))</f>
        <v/>
      </c>
      <c r="F2169" s="335">
        <f>IF(OR(D2169="",E2169=""),"",ROUND(D2169*E2169,2))</f>
        <v/>
      </c>
      <c r="G2169" s="106" t="n"/>
      <c r="H2169" s="350">
        <f>IF(G2169="Sim",IF(OR(F2169="",D2169="",L2169=""),"",IF(L2169="Sim",ROUND(F2169-D2169,2),0)),0)</f>
        <v/>
      </c>
      <c r="I2169" s="350">
        <f>IF(G2169="Sim",0,IF(OR(F2169="",L2169=""),"",F2169))</f>
        <v/>
      </c>
      <c r="J2169" s="350">
        <f>IF(G2169="Sim",0,IF(OR(F2169="",D2169="",L2169=""),"",IF(L2169="Sim",ROUND(F2169-D2169,2),0)))</f>
        <v/>
      </c>
      <c r="K2169" s="97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inlineStr">
        <is>
          <t>Nao</t>
        </is>
      </c>
      <c r="W2169" s="110" t="inlineStr">
        <is>
          <t>PC em analise</t>
        </is>
      </c>
      <c r="X2169" s="110" t="inlineStr">
        <is>
          <t>Pedido de Compra</t>
        </is>
      </c>
      <c r="Y2169" s="111" t="inlineStr">
        <is>
          <t>Impacto Potencial</t>
        </is>
      </c>
      <c r="Z2169" s="111" t="inlineStr">
        <is>
          <t>PC</t>
        </is>
      </c>
      <c r="AA2169" s="111" t="inlineStr">
        <is>
          <t>Nao</t>
        </is>
      </c>
      <c r="AB2169" s="111" t="inlineStr">
        <is>
          <t>NAO_COMPUTADO</t>
        </is>
      </c>
      <c r="AC2169" s="112" t="inlineStr">
        <is>
          <t>Estrutura Fase 1: sem impacto no VTA oficial</t>
        </is>
      </c>
    </row>
    <row r="2170" ht="25.5" customHeight="1" s="289">
      <c r="A2170" s="205" t="n"/>
      <c r="B2170" s="207" t="n"/>
      <c r="C2170" s="104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348" t="n"/>
      <c r="E2170" s="349">
        <f>IF(C2170="","",IFERROR(VLOOKUP(C2170,parametros!$A$11:$E$15,5,0),""))</f>
        <v/>
      </c>
      <c r="F2170" s="335">
        <f>IF(OR(D2170="",E2170=""),"",ROUND(D2170*E2170,2))</f>
        <v/>
      </c>
      <c r="G2170" s="106" t="n"/>
      <c r="H2170" s="350">
        <f>IF(G2170="Sim",IF(OR(F2170="",D2170="",L2170=""),"",IF(L2170="Sim",ROUND(F2170-D2170,2),0)),0)</f>
        <v/>
      </c>
      <c r="I2170" s="350">
        <f>IF(G2170="Sim",0,IF(OR(F2170="",L2170=""),"",F2170))</f>
        <v/>
      </c>
      <c r="J2170" s="350">
        <f>IF(G2170="Sim",0,IF(OR(F2170="",D2170="",L2170=""),"",IF(L2170="Sim",ROUND(F2170-D2170,2),0)))</f>
        <v/>
      </c>
      <c r="K2170" s="97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inlineStr">
        <is>
          <t>Nao</t>
        </is>
      </c>
      <c r="W2170" s="110" t="inlineStr">
        <is>
          <t>PC em analise</t>
        </is>
      </c>
      <c r="X2170" s="110" t="inlineStr">
        <is>
          <t>Pedido de Compra</t>
        </is>
      </c>
      <c r="Y2170" s="111" t="inlineStr">
        <is>
          <t>Impacto Potencial</t>
        </is>
      </c>
      <c r="Z2170" s="111" t="inlineStr">
        <is>
          <t>PC</t>
        </is>
      </c>
      <c r="AA2170" s="111" t="inlineStr">
        <is>
          <t>Nao</t>
        </is>
      </c>
      <c r="AB2170" s="111" t="inlineStr">
        <is>
          <t>NAO_COMPUTADO</t>
        </is>
      </c>
      <c r="AC2170" s="112" t="inlineStr">
        <is>
          <t>Estrutura Fase 1: sem impacto no VTA oficial</t>
        </is>
      </c>
    </row>
    <row r="2171" ht="25.5" customHeight="1" s="289">
      <c r="A2171" s="205" t="n"/>
      <c r="B2171" s="207" t="n"/>
      <c r="C2171" s="104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348" t="n"/>
      <c r="E2171" s="349">
        <f>IF(C2171="","",IFERROR(VLOOKUP(C2171,parametros!$A$11:$E$15,5,0),""))</f>
        <v/>
      </c>
      <c r="F2171" s="335">
        <f>IF(OR(D2171="",E2171=""),"",ROUND(D2171*E2171,2))</f>
        <v/>
      </c>
      <c r="G2171" s="106" t="n"/>
      <c r="H2171" s="350">
        <f>IF(G2171="Sim",IF(OR(F2171="",D2171="",L2171=""),"",IF(L2171="Sim",ROUND(F2171-D2171,2),0)),0)</f>
        <v/>
      </c>
      <c r="I2171" s="350">
        <f>IF(G2171="Sim",0,IF(OR(F2171="",L2171=""),"",F2171))</f>
        <v/>
      </c>
      <c r="J2171" s="350">
        <f>IF(G2171="Sim",0,IF(OR(F2171="",D2171="",L2171=""),"",IF(L2171="Sim",ROUND(F2171-D2171,2),0)))</f>
        <v/>
      </c>
      <c r="K2171" s="97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inlineStr">
        <is>
          <t>Nao</t>
        </is>
      </c>
      <c r="W2171" s="110" t="inlineStr">
        <is>
          <t>PC em analise</t>
        </is>
      </c>
      <c r="X2171" s="110" t="inlineStr">
        <is>
          <t>Pedido de Compra</t>
        </is>
      </c>
      <c r="Y2171" s="111" t="inlineStr">
        <is>
          <t>Impacto Potencial</t>
        </is>
      </c>
      <c r="Z2171" s="111" t="inlineStr">
        <is>
          <t>PC</t>
        </is>
      </c>
      <c r="AA2171" s="111" t="inlineStr">
        <is>
          <t>Nao</t>
        </is>
      </c>
      <c r="AB2171" s="111" t="inlineStr">
        <is>
          <t>NAO_COMPUTADO</t>
        </is>
      </c>
      <c r="AC2171" s="112" t="inlineStr">
        <is>
          <t>Estrutura Fase 1: sem impacto no VTA oficial</t>
        </is>
      </c>
    </row>
    <row r="2172" ht="25.5" customHeight="1" s="289">
      <c r="A2172" s="205" t="n"/>
      <c r="B2172" s="207" t="n"/>
      <c r="C2172" s="104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348" t="n"/>
      <c r="E2172" s="349">
        <f>IF(C2172="","",IFERROR(VLOOKUP(C2172,parametros!$A$11:$E$15,5,0),""))</f>
        <v/>
      </c>
      <c r="F2172" s="335">
        <f>IF(OR(D2172="",E2172=""),"",ROUND(D2172*E2172,2))</f>
        <v/>
      </c>
      <c r="G2172" s="106" t="n"/>
      <c r="H2172" s="350">
        <f>IF(G2172="Sim",IF(OR(F2172="",D2172="",L2172=""),"",IF(L2172="Sim",ROUND(F2172-D2172,2),0)),0)</f>
        <v/>
      </c>
      <c r="I2172" s="350">
        <f>IF(G2172="Sim",0,IF(OR(F2172="",L2172=""),"",F2172))</f>
        <v/>
      </c>
      <c r="J2172" s="350">
        <f>IF(G2172="Sim",0,IF(OR(F2172="",D2172="",L2172=""),"",IF(L2172="Sim",ROUND(F2172-D2172,2),0)))</f>
        <v/>
      </c>
      <c r="K2172" s="97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inlineStr">
        <is>
          <t>Nao</t>
        </is>
      </c>
      <c r="W2172" s="110" t="inlineStr">
        <is>
          <t>PC em analise</t>
        </is>
      </c>
      <c r="X2172" s="110" t="inlineStr">
        <is>
          <t>Pedido de Compra</t>
        </is>
      </c>
      <c r="Y2172" s="111" t="inlineStr">
        <is>
          <t>Impacto Potencial</t>
        </is>
      </c>
      <c r="Z2172" s="111" t="inlineStr">
        <is>
          <t>PC</t>
        </is>
      </c>
      <c r="AA2172" s="111" t="inlineStr">
        <is>
          <t>Nao</t>
        </is>
      </c>
      <c r="AB2172" s="111" t="inlineStr">
        <is>
          <t>NAO_COMPUTADO</t>
        </is>
      </c>
      <c r="AC2172" s="112" t="inlineStr">
        <is>
          <t>Estrutura Fase 1: sem impacto no VTA oficial</t>
        </is>
      </c>
    </row>
    <row r="2173" ht="25.5" customHeight="1" s="289">
      <c r="A2173" s="205" t="n"/>
      <c r="B2173" s="207" t="n"/>
      <c r="C2173" s="104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348" t="n"/>
      <c r="E2173" s="349">
        <f>IF(C2173="","",IFERROR(VLOOKUP(C2173,parametros!$A$11:$E$15,5,0),""))</f>
        <v/>
      </c>
      <c r="F2173" s="335">
        <f>IF(OR(D2173="",E2173=""),"",ROUND(D2173*E2173,2))</f>
        <v/>
      </c>
      <c r="G2173" s="106" t="n"/>
      <c r="H2173" s="350">
        <f>IF(G2173="Sim",IF(OR(F2173="",D2173="",L2173=""),"",IF(L2173="Sim",ROUND(F2173-D2173,2),0)),0)</f>
        <v/>
      </c>
      <c r="I2173" s="350">
        <f>IF(G2173="Sim",0,IF(OR(F2173="",L2173=""),"",F2173))</f>
        <v/>
      </c>
      <c r="J2173" s="350">
        <f>IF(G2173="Sim",0,IF(OR(F2173="",D2173="",L2173=""),"",IF(L2173="Sim",ROUND(F2173-D2173,2),0)))</f>
        <v/>
      </c>
      <c r="K2173" s="97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inlineStr">
        <is>
          <t>Nao</t>
        </is>
      </c>
      <c r="W2173" s="110" t="inlineStr">
        <is>
          <t>PC em analise</t>
        </is>
      </c>
      <c r="X2173" s="110" t="inlineStr">
        <is>
          <t>Pedido de Compra</t>
        </is>
      </c>
      <c r="Y2173" s="111" t="inlineStr">
        <is>
          <t>Impacto Potencial</t>
        </is>
      </c>
      <c r="Z2173" s="111" t="inlineStr">
        <is>
          <t>PC</t>
        </is>
      </c>
      <c r="AA2173" s="111" t="inlineStr">
        <is>
          <t>Nao</t>
        </is>
      </c>
      <c r="AB2173" s="111" t="inlineStr">
        <is>
          <t>NAO_COMPUTADO</t>
        </is>
      </c>
      <c r="AC2173" s="112" t="inlineStr">
        <is>
          <t>Estrutura Fase 1: sem impacto no VTA oficial</t>
        </is>
      </c>
    </row>
    <row r="2174" ht="25.5" customHeight="1" s="289">
      <c r="A2174" s="205" t="n"/>
      <c r="B2174" s="207" t="n"/>
      <c r="C2174" s="104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348" t="n"/>
      <c r="E2174" s="349">
        <f>IF(C2174="","",IFERROR(VLOOKUP(C2174,parametros!$A$11:$E$15,5,0),""))</f>
        <v/>
      </c>
      <c r="F2174" s="335">
        <f>IF(OR(D2174="",E2174=""),"",ROUND(D2174*E2174,2))</f>
        <v/>
      </c>
      <c r="G2174" s="106" t="n"/>
      <c r="H2174" s="350">
        <f>IF(G2174="Sim",IF(OR(F2174="",D2174="",L2174=""),"",IF(L2174="Sim",ROUND(F2174-D2174,2),0)),0)</f>
        <v/>
      </c>
      <c r="I2174" s="350">
        <f>IF(G2174="Sim",0,IF(OR(F2174="",L2174=""),"",F2174))</f>
        <v/>
      </c>
      <c r="J2174" s="350">
        <f>IF(G2174="Sim",0,IF(OR(F2174="",D2174="",L2174=""),"",IF(L2174="Sim",ROUND(F2174-D2174,2),0)))</f>
        <v/>
      </c>
      <c r="K2174" s="97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inlineStr">
        <is>
          <t>Nao</t>
        </is>
      </c>
      <c r="W2174" s="110" t="inlineStr">
        <is>
          <t>PC em analise</t>
        </is>
      </c>
      <c r="X2174" s="110" t="inlineStr">
        <is>
          <t>Pedido de Compra</t>
        </is>
      </c>
      <c r="Y2174" s="111" t="inlineStr">
        <is>
          <t>Impacto Potencial</t>
        </is>
      </c>
      <c r="Z2174" s="111" t="inlineStr">
        <is>
          <t>PC</t>
        </is>
      </c>
      <c r="AA2174" s="111" t="inlineStr">
        <is>
          <t>Nao</t>
        </is>
      </c>
      <c r="AB2174" s="111" t="inlineStr">
        <is>
          <t>NAO_COMPUTADO</t>
        </is>
      </c>
      <c r="AC2174" s="112" t="inlineStr">
        <is>
          <t>Estrutura Fase 1: sem impacto no VTA oficial</t>
        </is>
      </c>
    </row>
    <row r="2175" ht="25.5" customHeight="1" s="289">
      <c r="A2175" s="205" t="n"/>
      <c r="B2175" s="207" t="n"/>
      <c r="C2175" s="104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348" t="n"/>
      <c r="E2175" s="349">
        <f>IF(C2175="","",IFERROR(VLOOKUP(C2175,parametros!$A$11:$E$15,5,0),""))</f>
        <v/>
      </c>
      <c r="F2175" s="335">
        <f>IF(OR(D2175="",E2175=""),"",ROUND(D2175*E2175,2))</f>
        <v/>
      </c>
      <c r="G2175" s="106" t="n"/>
      <c r="H2175" s="350">
        <f>IF(G2175="Sim",IF(OR(F2175="",D2175="",L2175=""),"",IF(L2175="Sim",ROUND(F2175-D2175,2),0)),0)</f>
        <v/>
      </c>
      <c r="I2175" s="350">
        <f>IF(G2175="Sim",0,IF(OR(F2175="",L2175=""),"",F2175))</f>
        <v/>
      </c>
      <c r="J2175" s="350">
        <f>IF(G2175="Sim",0,IF(OR(F2175="",D2175="",L2175=""),"",IF(L2175="Sim",ROUND(F2175-D2175,2),0)))</f>
        <v/>
      </c>
      <c r="K2175" s="97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inlineStr">
        <is>
          <t>Nao</t>
        </is>
      </c>
      <c r="W2175" s="110" t="inlineStr">
        <is>
          <t>PC em analise</t>
        </is>
      </c>
      <c r="X2175" s="110" t="inlineStr">
        <is>
          <t>Pedido de Compra</t>
        </is>
      </c>
      <c r="Y2175" s="111" t="inlineStr">
        <is>
          <t>Impacto Potencial</t>
        </is>
      </c>
      <c r="Z2175" s="111" t="inlineStr">
        <is>
          <t>PC</t>
        </is>
      </c>
      <c r="AA2175" s="111" t="inlineStr">
        <is>
          <t>Nao</t>
        </is>
      </c>
      <c r="AB2175" s="111" t="inlineStr">
        <is>
          <t>NAO_COMPUTADO</t>
        </is>
      </c>
      <c r="AC2175" s="112" t="inlineStr">
        <is>
          <t>Estrutura Fase 1: sem impacto no VTA oficial</t>
        </is>
      </c>
    </row>
    <row r="2176" ht="25.5" customHeight="1" s="289">
      <c r="A2176" s="205" t="n"/>
      <c r="B2176" s="207" t="n"/>
      <c r="C2176" s="104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348" t="n"/>
      <c r="E2176" s="349">
        <f>IF(C2176="","",IFERROR(VLOOKUP(C2176,parametros!$A$11:$E$15,5,0),""))</f>
        <v/>
      </c>
      <c r="F2176" s="335">
        <f>IF(OR(D2176="",E2176=""),"",ROUND(D2176*E2176,2))</f>
        <v/>
      </c>
      <c r="G2176" s="106" t="n"/>
      <c r="H2176" s="350">
        <f>IF(G2176="Sim",IF(OR(F2176="",D2176="",L2176=""),"",IF(L2176="Sim",ROUND(F2176-D2176,2),0)),0)</f>
        <v/>
      </c>
      <c r="I2176" s="350">
        <f>IF(G2176="Sim",0,IF(OR(F2176="",L2176=""),"",F2176))</f>
        <v/>
      </c>
      <c r="J2176" s="350">
        <f>IF(G2176="Sim",0,IF(OR(F2176="",D2176="",L2176=""),"",IF(L2176="Sim",ROUND(F2176-D2176,2),0)))</f>
        <v/>
      </c>
      <c r="K2176" s="97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inlineStr">
        <is>
          <t>Nao</t>
        </is>
      </c>
      <c r="W2176" s="110" t="inlineStr">
        <is>
          <t>PC em analise</t>
        </is>
      </c>
      <c r="X2176" s="110" t="inlineStr">
        <is>
          <t>Pedido de Compra</t>
        </is>
      </c>
      <c r="Y2176" s="111" t="inlineStr">
        <is>
          <t>Impacto Potencial</t>
        </is>
      </c>
      <c r="Z2176" s="111" t="inlineStr">
        <is>
          <t>PC</t>
        </is>
      </c>
      <c r="AA2176" s="111" t="inlineStr">
        <is>
          <t>Nao</t>
        </is>
      </c>
      <c r="AB2176" s="111" t="inlineStr">
        <is>
          <t>NAO_COMPUTADO</t>
        </is>
      </c>
      <c r="AC2176" s="112" t="inlineStr">
        <is>
          <t>Estrutura Fase 1: sem impacto no VTA oficial</t>
        </is>
      </c>
    </row>
    <row r="2177" ht="25.5" customHeight="1" s="289">
      <c r="A2177" s="205" t="n"/>
      <c r="B2177" s="207" t="n"/>
      <c r="C2177" s="104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348" t="n"/>
      <c r="E2177" s="349">
        <f>IF(C2177="","",IFERROR(VLOOKUP(C2177,parametros!$A$11:$E$15,5,0),""))</f>
        <v/>
      </c>
      <c r="F2177" s="335">
        <f>IF(OR(D2177="",E2177=""),"",ROUND(D2177*E2177,2))</f>
        <v/>
      </c>
      <c r="G2177" s="106" t="n"/>
      <c r="H2177" s="350">
        <f>IF(G2177="Sim",IF(OR(F2177="",D2177="",L2177=""),"",IF(L2177="Sim",ROUND(F2177-D2177,2),0)),0)</f>
        <v/>
      </c>
      <c r="I2177" s="350">
        <f>IF(G2177="Sim",0,IF(OR(F2177="",L2177=""),"",F2177))</f>
        <v/>
      </c>
      <c r="J2177" s="350">
        <f>IF(G2177="Sim",0,IF(OR(F2177="",D2177="",L2177=""),"",IF(L2177="Sim",ROUND(F2177-D2177,2),0)))</f>
        <v/>
      </c>
      <c r="K2177" s="97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inlineStr">
        <is>
          <t>Nao</t>
        </is>
      </c>
      <c r="W2177" s="110" t="inlineStr">
        <is>
          <t>PC em analise</t>
        </is>
      </c>
      <c r="X2177" s="110" t="inlineStr">
        <is>
          <t>Pedido de Compra</t>
        </is>
      </c>
      <c r="Y2177" s="111" t="inlineStr">
        <is>
          <t>Impacto Potencial</t>
        </is>
      </c>
      <c r="Z2177" s="111" t="inlineStr">
        <is>
          <t>PC</t>
        </is>
      </c>
      <c r="AA2177" s="111" t="inlineStr">
        <is>
          <t>Nao</t>
        </is>
      </c>
      <c r="AB2177" s="111" t="inlineStr">
        <is>
          <t>NAO_COMPUTADO</t>
        </is>
      </c>
      <c r="AC2177" s="112" t="inlineStr">
        <is>
          <t>Estrutura Fase 1: sem impacto no VTA oficial</t>
        </is>
      </c>
    </row>
    <row r="2178" ht="25.5" customHeight="1" s="289">
      <c r="A2178" s="205" t="n"/>
      <c r="B2178" s="207" t="n"/>
      <c r="C2178" s="104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348" t="n"/>
      <c r="E2178" s="349">
        <f>IF(C2178="","",IFERROR(VLOOKUP(C2178,parametros!$A$11:$E$15,5,0),""))</f>
        <v/>
      </c>
      <c r="F2178" s="335">
        <f>IF(OR(D2178="",E2178=""),"",ROUND(D2178*E2178,2))</f>
        <v/>
      </c>
      <c r="G2178" s="106" t="n"/>
      <c r="H2178" s="350">
        <f>IF(G2178="Sim",IF(OR(F2178="",D2178="",L2178=""),"",IF(L2178="Sim",ROUND(F2178-D2178,2),0)),0)</f>
        <v/>
      </c>
      <c r="I2178" s="350">
        <f>IF(G2178="Sim",0,IF(OR(F2178="",L2178=""),"",F2178))</f>
        <v/>
      </c>
      <c r="J2178" s="350">
        <f>IF(G2178="Sim",0,IF(OR(F2178="",D2178="",L2178=""),"",IF(L2178="Sim",ROUND(F2178-D2178,2),0)))</f>
        <v/>
      </c>
      <c r="K2178" s="97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inlineStr">
        <is>
          <t>Nao</t>
        </is>
      </c>
      <c r="W2178" s="110" t="inlineStr">
        <is>
          <t>PC em analise</t>
        </is>
      </c>
      <c r="X2178" s="110" t="inlineStr">
        <is>
          <t>Pedido de Compra</t>
        </is>
      </c>
      <c r="Y2178" s="111" t="inlineStr">
        <is>
          <t>Impacto Potencial</t>
        </is>
      </c>
      <c r="Z2178" s="111" t="inlineStr">
        <is>
          <t>PC</t>
        </is>
      </c>
      <c r="AA2178" s="111" t="inlineStr">
        <is>
          <t>Nao</t>
        </is>
      </c>
      <c r="AB2178" s="111" t="inlineStr">
        <is>
          <t>NAO_COMPUTADO</t>
        </is>
      </c>
      <c r="AC2178" s="112" t="inlineStr">
        <is>
          <t>Estrutura Fase 1: sem impacto no VTA oficial</t>
        </is>
      </c>
    </row>
    <row r="2179" ht="25.5" customHeight="1" s="289">
      <c r="A2179" s="205" t="n"/>
      <c r="B2179" s="207" t="n"/>
      <c r="C2179" s="104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348" t="n"/>
      <c r="E2179" s="349">
        <f>IF(C2179="","",IFERROR(VLOOKUP(C2179,parametros!$A$11:$E$15,5,0),""))</f>
        <v/>
      </c>
      <c r="F2179" s="335">
        <f>IF(OR(D2179="",E2179=""),"",ROUND(D2179*E2179,2))</f>
        <v/>
      </c>
      <c r="G2179" s="106" t="n"/>
      <c r="H2179" s="350">
        <f>IF(G2179="Sim",IF(OR(F2179="",D2179="",L2179=""),"",IF(L2179="Sim",ROUND(F2179-D2179,2),0)),0)</f>
        <v/>
      </c>
      <c r="I2179" s="350">
        <f>IF(G2179="Sim",0,IF(OR(F2179="",L2179=""),"",F2179))</f>
        <v/>
      </c>
      <c r="J2179" s="350">
        <f>IF(G2179="Sim",0,IF(OR(F2179="",D2179="",L2179=""),"",IF(L2179="Sim",ROUND(F2179-D2179,2),0)))</f>
        <v/>
      </c>
      <c r="K2179" s="97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inlineStr">
        <is>
          <t>Nao</t>
        </is>
      </c>
      <c r="W2179" s="110" t="inlineStr">
        <is>
          <t>PC em analise</t>
        </is>
      </c>
      <c r="X2179" s="110" t="inlineStr">
        <is>
          <t>Pedido de Compra</t>
        </is>
      </c>
      <c r="Y2179" s="111" t="inlineStr">
        <is>
          <t>Impacto Potencial</t>
        </is>
      </c>
      <c r="Z2179" s="111" t="inlineStr">
        <is>
          <t>PC</t>
        </is>
      </c>
      <c r="AA2179" s="111" t="inlineStr">
        <is>
          <t>Nao</t>
        </is>
      </c>
      <c r="AB2179" s="111" t="inlineStr">
        <is>
          <t>NAO_COMPUTADO</t>
        </is>
      </c>
      <c r="AC2179" s="112" t="inlineStr">
        <is>
          <t>Estrutura Fase 1: sem impacto no VTA oficial</t>
        </is>
      </c>
    </row>
    <row r="2180" ht="25.5" customHeight="1" s="289">
      <c r="A2180" s="205" t="n"/>
      <c r="B2180" s="207" t="n"/>
      <c r="C2180" s="104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348" t="n"/>
      <c r="E2180" s="349">
        <f>IF(C2180="","",IFERROR(VLOOKUP(C2180,parametros!$A$11:$E$15,5,0),""))</f>
        <v/>
      </c>
      <c r="F2180" s="335">
        <f>IF(OR(D2180="",E2180=""),"",ROUND(D2180*E2180,2))</f>
        <v/>
      </c>
      <c r="G2180" s="106" t="n"/>
      <c r="H2180" s="350">
        <f>IF(G2180="Sim",IF(OR(F2180="",D2180="",L2180=""),"",IF(L2180="Sim",ROUND(F2180-D2180,2),0)),0)</f>
        <v/>
      </c>
      <c r="I2180" s="350">
        <f>IF(G2180="Sim",0,IF(OR(F2180="",L2180=""),"",F2180))</f>
        <v/>
      </c>
      <c r="J2180" s="350">
        <f>IF(G2180="Sim",0,IF(OR(F2180="",D2180="",L2180=""),"",IF(L2180="Sim",ROUND(F2180-D2180,2),0)))</f>
        <v/>
      </c>
      <c r="K2180" s="97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inlineStr">
        <is>
          <t>Nao</t>
        </is>
      </c>
      <c r="W2180" s="110" t="inlineStr">
        <is>
          <t>PC em analise</t>
        </is>
      </c>
      <c r="X2180" s="110" t="inlineStr">
        <is>
          <t>Pedido de Compra</t>
        </is>
      </c>
      <c r="Y2180" s="111" t="inlineStr">
        <is>
          <t>Impacto Potencial</t>
        </is>
      </c>
      <c r="Z2180" s="111" t="inlineStr">
        <is>
          <t>PC</t>
        </is>
      </c>
      <c r="AA2180" s="111" t="inlineStr">
        <is>
          <t>Nao</t>
        </is>
      </c>
      <c r="AB2180" s="111" t="inlineStr">
        <is>
          <t>NAO_COMPUTADO</t>
        </is>
      </c>
      <c r="AC2180" s="112" t="inlineStr">
        <is>
          <t>Estrutura Fase 1: sem impacto no VTA oficial</t>
        </is>
      </c>
    </row>
    <row r="2181" ht="25.5" customHeight="1" s="289">
      <c r="A2181" s="205" t="n"/>
      <c r="B2181" s="207" t="n"/>
      <c r="C2181" s="104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348" t="n"/>
      <c r="E2181" s="349">
        <f>IF(C2181="","",IFERROR(VLOOKUP(C2181,parametros!$A$11:$E$15,5,0),""))</f>
        <v/>
      </c>
      <c r="F2181" s="335">
        <f>IF(OR(D2181="",E2181=""),"",ROUND(D2181*E2181,2))</f>
        <v/>
      </c>
      <c r="G2181" s="106" t="n"/>
      <c r="H2181" s="350">
        <f>IF(G2181="Sim",IF(OR(F2181="",D2181="",L2181=""),"",IF(L2181="Sim",ROUND(F2181-D2181,2),0)),0)</f>
        <v/>
      </c>
      <c r="I2181" s="350">
        <f>IF(G2181="Sim",0,IF(OR(F2181="",L2181=""),"",F2181))</f>
        <v/>
      </c>
      <c r="J2181" s="350">
        <f>IF(G2181="Sim",0,IF(OR(F2181="",D2181="",L2181=""),"",IF(L2181="Sim",ROUND(F2181-D2181,2),0)))</f>
        <v/>
      </c>
      <c r="K2181" s="97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inlineStr">
        <is>
          <t>Nao</t>
        </is>
      </c>
      <c r="W2181" s="110" t="inlineStr">
        <is>
          <t>PC em analise</t>
        </is>
      </c>
      <c r="X2181" s="110" t="inlineStr">
        <is>
          <t>Pedido de Compra</t>
        </is>
      </c>
      <c r="Y2181" s="111" t="inlineStr">
        <is>
          <t>Impacto Potencial</t>
        </is>
      </c>
      <c r="Z2181" s="111" t="inlineStr">
        <is>
          <t>PC</t>
        </is>
      </c>
      <c r="AA2181" s="111" t="inlineStr">
        <is>
          <t>Nao</t>
        </is>
      </c>
      <c r="AB2181" s="111" t="inlineStr">
        <is>
          <t>NAO_COMPUTADO</t>
        </is>
      </c>
      <c r="AC2181" s="112" t="inlineStr">
        <is>
          <t>Estrutura Fase 1: sem impacto no VTA oficial</t>
        </is>
      </c>
    </row>
    <row r="2182" ht="25.5" customHeight="1" s="289">
      <c r="A2182" s="205" t="n"/>
      <c r="B2182" s="207" t="n"/>
      <c r="C2182" s="104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348" t="n"/>
      <c r="E2182" s="349">
        <f>IF(C2182="","",IFERROR(VLOOKUP(C2182,parametros!$A$11:$E$15,5,0),""))</f>
        <v/>
      </c>
      <c r="F2182" s="335">
        <f>IF(OR(D2182="",E2182=""),"",ROUND(D2182*E2182,2))</f>
        <v/>
      </c>
      <c r="G2182" s="106" t="n"/>
      <c r="H2182" s="350">
        <f>IF(G2182="Sim",IF(OR(F2182="",D2182="",L2182=""),"",IF(L2182="Sim",ROUND(F2182-D2182,2),0)),0)</f>
        <v/>
      </c>
      <c r="I2182" s="350">
        <f>IF(G2182="Sim",0,IF(OR(F2182="",L2182=""),"",F2182))</f>
        <v/>
      </c>
      <c r="J2182" s="350">
        <f>IF(G2182="Sim",0,IF(OR(F2182="",D2182="",L2182=""),"",IF(L2182="Sim",ROUND(F2182-D2182,2),0)))</f>
        <v/>
      </c>
      <c r="K2182" s="97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inlineStr">
        <is>
          <t>Nao</t>
        </is>
      </c>
      <c r="W2182" s="110" t="inlineStr">
        <is>
          <t>PC em analise</t>
        </is>
      </c>
      <c r="X2182" s="110" t="inlineStr">
        <is>
          <t>Pedido de Compra</t>
        </is>
      </c>
      <c r="Y2182" s="111" t="inlineStr">
        <is>
          <t>Impacto Potencial</t>
        </is>
      </c>
      <c r="Z2182" s="111" t="inlineStr">
        <is>
          <t>PC</t>
        </is>
      </c>
      <c r="AA2182" s="111" t="inlineStr">
        <is>
          <t>Nao</t>
        </is>
      </c>
      <c r="AB2182" s="111" t="inlineStr">
        <is>
          <t>NAO_COMPUTADO</t>
        </is>
      </c>
      <c r="AC2182" s="112" t="inlineStr">
        <is>
          <t>Estrutura Fase 1: sem impacto no VTA oficial</t>
        </is>
      </c>
    </row>
    <row r="2183" ht="25.5" customHeight="1" s="289">
      <c r="A2183" s="205" t="n"/>
      <c r="B2183" s="207" t="n"/>
      <c r="C2183" s="104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348" t="n"/>
      <c r="E2183" s="349">
        <f>IF(C2183="","",IFERROR(VLOOKUP(C2183,parametros!$A$11:$E$15,5,0),""))</f>
        <v/>
      </c>
      <c r="F2183" s="335">
        <f>IF(OR(D2183="",E2183=""),"",ROUND(D2183*E2183,2))</f>
        <v/>
      </c>
      <c r="G2183" s="106" t="n"/>
      <c r="H2183" s="350">
        <f>IF(G2183="Sim",IF(OR(F2183="",D2183="",L2183=""),"",IF(L2183="Sim",ROUND(F2183-D2183,2),0)),0)</f>
        <v/>
      </c>
      <c r="I2183" s="350">
        <f>IF(G2183="Sim",0,IF(OR(F2183="",L2183=""),"",F2183))</f>
        <v/>
      </c>
      <c r="J2183" s="350">
        <f>IF(G2183="Sim",0,IF(OR(F2183="",D2183="",L2183=""),"",IF(L2183="Sim",ROUND(F2183-D2183,2),0)))</f>
        <v/>
      </c>
      <c r="K2183" s="97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inlineStr">
        <is>
          <t>Nao</t>
        </is>
      </c>
      <c r="W2183" s="110" t="inlineStr">
        <is>
          <t>PC em analise</t>
        </is>
      </c>
      <c r="X2183" s="110" t="inlineStr">
        <is>
          <t>Pedido de Compra</t>
        </is>
      </c>
      <c r="Y2183" s="111" t="inlineStr">
        <is>
          <t>Impacto Potencial</t>
        </is>
      </c>
      <c r="Z2183" s="111" t="inlineStr">
        <is>
          <t>PC</t>
        </is>
      </c>
      <c r="AA2183" s="111" t="inlineStr">
        <is>
          <t>Nao</t>
        </is>
      </c>
      <c r="AB2183" s="111" t="inlineStr">
        <is>
          <t>NAO_COMPUTADO</t>
        </is>
      </c>
      <c r="AC2183" s="112" t="inlineStr">
        <is>
          <t>Estrutura Fase 1: sem impacto no VTA oficial</t>
        </is>
      </c>
    </row>
    <row r="2184" ht="25.5" customHeight="1" s="289">
      <c r="A2184" s="205" t="n"/>
      <c r="B2184" s="207" t="n"/>
      <c r="C2184" s="104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348" t="n"/>
      <c r="E2184" s="349">
        <f>IF(C2184="","",IFERROR(VLOOKUP(C2184,parametros!$A$11:$E$15,5,0),""))</f>
        <v/>
      </c>
      <c r="F2184" s="335">
        <f>IF(OR(D2184="",E2184=""),"",ROUND(D2184*E2184,2))</f>
        <v/>
      </c>
      <c r="G2184" s="106" t="n"/>
      <c r="H2184" s="350">
        <f>IF(G2184="Sim",IF(OR(F2184="",D2184="",L2184=""),"",IF(L2184="Sim",ROUND(F2184-D2184,2),0)),0)</f>
        <v/>
      </c>
      <c r="I2184" s="350">
        <f>IF(G2184="Sim",0,IF(OR(F2184="",L2184=""),"",F2184))</f>
        <v/>
      </c>
      <c r="J2184" s="350">
        <f>IF(G2184="Sim",0,IF(OR(F2184="",D2184="",L2184=""),"",IF(L2184="Sim",ROUND(F2184-D2184,2),0)))</f>
        <v/>
      </c>
      <c r="K2184" s="97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inlineStr">
        <is>
          <t>Nao</t>
        </is>
      </c>
      <c r="W2184" s="110" t="inlineStr">
        <is>
          <t>PC em analise</t>
        </is>
      </c>
      <c r="X2184" s="110" t="inlineStr">
        <is>
          <t>Pedido de Compra</t>
        </is>
      </c>
      <c r="Y2184" s="111" t="inlineStr">
        <is>
          <t>Impacto Potencial</t>
        </is>
      </c>
      <c r="Z2184" s="111" t="inlineStr">
        <is>
          <t>PC</t>
        </is>
      </c>
      <c r="AA2184" s="111" t="inlineStr">
        <is>
          <t>Nao</t>
        </is>
      </c>
      <c r="AB2184" s="111" t="inlineStr">
        <is>
          <t>NAO_COMPUTADO</t>
        </is>
      </c>
      <c r="AC2184" s="112" t="inlineStr">
        <is>
          <t>Estrutura Fase 1: sem impacto no VTA oficial</t>
        </is>
      </c>
    </row>
    <row r="2185" ht="25.5" customHeight="1" s="289">
      <c r="A2185" s="205" t="n"/>
      <c r="B2185" s="207" t="n"/>
      <c r="C2185" s="104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348" t="n"/>
      <c r="E2185" s="349">
        <f>IF(C2185="","",IFERROR(VLOOKUP(C2185,parametros!$A$11:$E$15,5,0),""))</f>
        <v/>
      </c>
      <c r="F2185" s="335">
        <f>IF(OR(D2185="",E2185=""),"",ROUND(D2185*E2185,2))</f>
        <v/>
      </c>
      <c r="G2185" s="106" t="n"/>
      <c r="H2185" s="350">
        <f>IF(G2185="Sim",IF(OR(F2185="",D2185="",L2185=""),"",IF(L2185="Sim",ROUND(F2185-D2185,2),0)),0)</f>
        <v/>
      </c>
      <c r="I2185" s="350">
        <f>IF(G2185="Sim",0,IF(OR(F2185="",L2185=""),"",F2185))</f>
        <v/>
      </c>
      <c r="J2185" s="350">
        <f>IF(G2185="Sim",0,IF(OR(F2185="",D2185="",L2185=""),"",IF(L2185="Sim",ROUND(F2185-D2185,2),0)))</f>
        <v/>
      </c>
      <c r="K2185" s="97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inlineStr">
        <is>
          <t>Nao</t>
        </is>
      </c>
      <c r="W2185" s="110" t="inlineStr">
        <is>
          <t>PC em analise</t>
        </is>
      </c>
      <c r="X2185" s="110" t="inlineStr">
        <is>
          <t>Pedido de Compra</t>
        </is>
      </c>
      <c r="Y2185" s="111" t="inlineStr">
        <is>
          <t>Impacto Potencial</t>
        </is>
      </c>
      <c r="Z2185" s="111" t="inlineStr">
        <is>
          <t>PC</t>
        </is>
      </c>
      <c r="AA2185" s="111" t="inlineStr">
        <is>
          <t>Nao</t>
        </is>
      </c>
      <c r="AB2185" s="111" t="inlineStr">
        <is>
          <t>NAO_COMPUTADO</t>
        </is>
      </c>
      <c r="AC2185" s="112" t="inlineStr">
        <is>
          <t>Estrutura Fase 1: sem impacto no VTA oficial</t>
        </is>
      </c>
    </row>
    <row r="2186" ht="25.5" customHeight="1" s="289">
      <c r="A2186" s="205" t="n"/>
      <c r="B2186" s="207" t="n"/>
      <c r="C2186" s="104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348" t="n"/>
      <c r="E2186" s="349">
        <f>IF(C2186="","",IFERROR(VLOOKUP(C2186,parametros!$A$11:$E$15,5,0),""))</f>
        <v/>
      </c>
      <c r="F2186" s="335">
        <f>IF(OR(D2186="",E2186=""),"",ROUND(D2186*E2186,2))</f>
        <v/>
      </c>
      <c r="G2186" s="106" t="n"/>
      <c r="H2186" s="350">
        <f>IF(G2186="Sim",IF(OR(F2186="",D2186="",L2186=""),"",IF(L2186="Sim",ROUND(F2186-D2186,2),0)),0)</f>
        <v/>
      </c>
      <c r="I2186" s="350">
        <f>IF(G2186="Sim",0,IF(OR(F2186="",L2186=""),"",F2186))</f>
        <v/>
      </c>
      <c r="J2186" s="350">
        <f>IF(G2186="Sim",0,IF(OR(F2186="",D2186="",L2186=""),"",IF(L2186="Sim",ROUND(F2186-D2186,2),0)))</f>
        <v/>
      </c>
      <c r="K2186" s="97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inlineStr">
        <is>
          <t>Nao</t>
        </is>
      </c>
      <c r="W2186" s="110" t="inlineStr">
        <is>
          <t>PC em analise</t>
        </is>
      </c>
      <c r="X2186" s="110" t="inlineStr">
        <is>
          <t>Pedido de Compra</t>
        </is>
      </c>
      <c r="Y2186" s="111" t="inlineStr">
        <is>
          <t>Impacto Potencial</t>
        </is>
      </c>
      <c r="Z2186" s="111" t="inlineStr">
        <is>
          <t>PC</t>
        </is>
      </c>
      <c r="AA2186" s="111" t="inlineStr">
        <is>
          <t>Nao</t>
        </is>
      </c>
      <c r="AB2186" s="111" t="inlineStr">
        <is>
          <t>NAO_COMPUTADO</t>
        </is>
      </c>
      <c r="AC2186" s="112" t="inlineStr">
        <is>
          <t>Estrutura Fase 1: sem impacto no VTA oficial</t>
        </is>
      </c>
    </row>
    <row r="2187" ht="25.5" customHeight="1" s="289">
      <c r="A2187" s="205" t="n"/>
      <c r="B2187" s="207" t="n"/>
      <c r="C2187" s="104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348" t="n"/>
      <c r="E2187" s="349">
        <f>IF(C2187="","",IFERROR(VLOOKUP(C2187,parametros!$A$11:$E$15,5,0),""))</f>
        <v/>
      </c>
      <c r="F2187" s="335">
        <f>IF(OR(D2187="",E2187=""),"",ROUND(D2187*E2187,2))</f>
        <v/>
      </c>
      <c r="G2187" s="106" t="n"/>
      <c r="H2187" s="350">
        <f>IF(G2187="Sim",IF(OR(F2187="",D2187="",L2187=""),"",IF(L2187="Sim",ROUND(F2187-D2187,2),0)),0)</f>
        <v/>
      </c>
      <c r="I2187" s="350">
        <f>IF(G2187="Sim",0,IF(OR(F2187="",L2187=""),"",F2187))</f>
        <v/>
      </c>
      <c r="J2187" s="350">
        <f>IF(G2187="Sim",0,IF(OR(F2187="",D2187="",L2187=""),"",IF(L2187="Sim",ROUND(F2187-D2187,2),0)))</f>
        <v/>
      </c>
      <c r="K2187" s="97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inlineStr">
        <is>
          <t>Nao</t>
        </is>
      </c>
      <c r="W2187" s="110" t="inlineStr">
        <is>
          <t>PC em analise</t>
        </is>
      </c>
      <c r="X2187" s="110" t="inlineStr">
        <is>
          <t>Pedido de Compra</t>
        </is>
      </c>
      <c r="Y2187" s="111" t="inlineStr">
        <is>
          <t>Impacto Potencial</t>
        </is>
      </c>
      <c r="Z2187" s="111" t="inlineStr">
        <is>
          <t>PC</t>
        </is>
      </c>
      <c r="AA2187" s="111" t="inlineStr">
        <is>
          <t>Nao</t>
        </is>
      </c>
      <c r="AB2187" s="111" t="inlineStr">
        <is>
          <t>NAO_COMPUTADO</t>
        </is>
      </c>
      <c r="AC2187" s="112" t="inlineStr">
        <is>
          <t>Estrutura Fase 1: sem impacto no VTA oficial</t>
        </is>
      </c>
    </row>
    <row r="2188" ht="25.5" customHeight="1" s="289">
      <c r="A2188" s="205" t="n"/>
      <c r="B2188" s="207" t="n"/>
      <c r="C2188" s="104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348" t="n"/>
      <c r="E2188" s="349">
        <f>IF(C2188="","",IFERROR(VLOOKUP(C2188,parametros!$A$11:$E$15,5,0),""))</f>
        <v/>
      </c>
      <c r="F2188" s="335">
        <f>IF(OR(D2188="",E2188=""),"",ROUND(D2188*E2188,2))</f>
        <v/>
      </c>
      <c r="G2188" s="106" t="n"/>
      <c r="H2188" s="350">
        <f>IF(G2188="Sim",IF(OR(F2188="",D2188="",L2188=""),"",IF(L2188="Sim",ROUND(F2188-D2188,2),0)),0)</f>
        <v/>
      </c>
      <c r="I2188" s="350">
        <f>IF(G2188="Sim",0,IF(OR(F2188="",L2188=""),"",F2188))</f>
        <v/>
      </c>
      <c r="J2188" s="350">
        <f>IF(G2188="Sim",0,IF(OR(F2188="",D2188="",L2188=""),"",IF(L2188="Sim",ROUND(F2188-D2188,2),0)))</f>
        <v/>
      </c>
      <c r="K2188" s="97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inlineStr">
        <is>
          <t>Nao</t>
        </is>
      </c>
      <c r="W2188" s="110" t="inlineStr">
        <is>
          <t>PC em analise</t>
        </is>
      </c>
      <c r="X2188" s="110" t="inlineStr">
        <is>
          <t>Pedido de Compra</t>
        </is>
      </c>
      <c r="Y2188" s="111" t="inlineStr">
        <is>
          <t>Impacto Potencial</t>
        </is>
      </c>
      <c r="Z2188" s="111" t="inlineStr">
        <is>
          <t>PC</t>
        </is>
      </c>
      <c r="AA2188" s="111" t="inlineStr">
        <is>
          <t>Nao</t>
        </is>
      </c>
      <c r="AB2188" s="111" t="inlineStr">
        <is>
          <t>NAO_COMPUTADO</t>
        </is>
      </c>
      <c r="AC2188" s="112" t="inlineStr">
        <is>
          <t>Estrutura Fase 1: sem impacto no VTA oficial</t>
        </is>
      </c>
    </row>
    <row r="2189" ht="25.5" customHeight="1" s="289">
      <c r="A2189" s="205" t="n"/>
      <c r="B2189" s="207" t="n"/>
      <c r="C2189" s="104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348" t="n"/>
      <c r="E2189" s="349">
        <f>IF(C2189="","",IFERROR(VLOOKUP(C2189,parametros!$A$11:$E$15,5,0),""))</f>
        <v/>
      </c>
      <c r="F2189" s="335">
        <f>IF(OR(D2189="",E2189=""),"",ROUND(D2189*E2189,2))</f>
        <v/>
      </c>
      <c r="G2189" s="106" t="n"/>
      <c r="H2189" s="350">
        <f>IF(G2189="Sim",IF(OR(F2189="",D2189="",L2189=""),"",IF(L2189="Sim",ROUND(F2189-D2189,2),0)),0)</f>
        <v/>
      </c>
      <c r="I2189" s="350">
        <f>IF(G2189="Sim",0,IF(OR(F2189="",L2189=""),"",F2189))</f>
        <v/>
      </c>
      <c r="J2189" s="350">
        <f>IF(G2189="Sim",0,IF(OR(F2189="",D2189="",L2189=""),"",IF(L2189="Sim",ROUND(F2189-D2189,2),0)))</f>
        <v/>
      </c>
      <c r="K2189" s="97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inlineStr">
        <is>
          <t>Nao</t>
        </is>
      </c>
      <c r="W2189" s="110" t="inlineStr">
        <is>
          <t>PC em analise</t>
        </is>
      </c>
      <c r="X2189" s="110" t="inlineStr">
        <is>
          <t>Pedido de Compra</t>
        </is>
      </c>
      <c r="Y2189" s="111" t="inlineStr">
        <is>
          <t>Impacto Potencial</t>
        </is>
      </c>
      <c r="Z2189" s="111" t="inlineStr">
        <is>
          <t>PC</t>
        </is>
      </c>
      <c r="AA2189" s="111" t="inlineStr">
        <is>
          <t>Nao</t>
        </is>
      </c>
      <c r="AB2189" s="111" t="inlineStr">
        <is>
          <t>NAO_COMPUTADO</t>
        </is>
      </c>
      <c r="AC2189" s="112" t="inlineStr">
        <is>
          <t>Estrutura Fase 1: sem impacto no VTA oficial</t>
        </is>
      </c>
    </row>
    <row r="2190" ht="25.5" customHeight="1" s="289">
      <c r="A2190" s="205" t="n"/>
      <c r="B2190" s="207" t="n"/>
      <c r="C2190" s="104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348" t="n"/>
      <c r="E2190" s="349">
        <f>IF(C2190="","",IFERROR(VLOOKUP(C2190,parametros!$A$11:$E$15,5,0),""))</f>
        <v/>
      </c>
      <c r="F2190" s="335">
        <f>IF(OR(D2190="",E2190=""),"",ROUND(D2190*E2190,2))</f>
        <v/>
      </c>
      <c r="G2190" s="106" t="n"/>
      <c r="H2190" s="350">
        <f>IF(G2190="Sim",IF(OR(F2190="",D2190="",L2190=""),"",IF(L2190="Sim",ROUND(F2190-D2190,2),0)),0)</f>
        <v/>
      </c>
      <c r="I2190" s="350">
        <f>IF(G2190="Sim",0,IF(OR(F2190="",L2190=""),"",F2190))</f>
        <v/>
      </c>
      <c r="J2190" s="350">
        <f>IF(G2190="Sim",0,IF(OR(F2190="",D2190="",L2190=""),"",IF(L2190="Sim",ROUND(F2190-D2190,2),0)))</f>
        <v/>
      </c>
      <c r="K2190" s="97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inlineStr">
        <is>
          <t>Nao</t>
        </is>
      </c>
      <c r="W2190" s="110" t="inlineStr">
        <is>
          <t>PC em analise</t>
        </is>
      </c>
      <c r="X2190" s="110" t="inlineStr">
        <is>
          <t>Pedido de Compra</t>
        </is>
      </c>
      <c r="Y2190" s="111" t="inlineStr">
        <is>
          <t>Impacto Potencial</t>
        </is>
      </c>
      <c r="Z2190" s="111" t="inlineStr">
        <is>
          <t>PC</t>
        </is>
      </c>
      <c r="AA2190" s="111" t="inlineStr">
        <is>
          <t>Nao</t>
        </is>
      </c>
      <c r="AB2190" s="111" t="inlineStr">
        <is>
          <t>NAO_COMPUTADO</t>
        </is>
      </c>
      <c r="AC2190" s="112" t="inlineStr">
        <is>
          <t>Estrutura Fase 1: sem impacto no VTA oficial</t>
        </is>
      </c>
    </row>
    <row r="2191" ht="25.5" customHeight="1" s="289">
      <c r="A2191" s="205" t="n"/>
      <c r="B2191" s="207" t="n"/>
      <c r="C2191" s="104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348" t="n"/>
      <c r="E2191" s="349">
        <f>IF(C2191="","",IFERROR(VLOOKUP(C2191,parametros!$A$11:$E$15,5,0),""))</f>
        <v/>
      </c>
      <c r="F2191" s="335">
        <f>IF(OR(D2191="",E2191=""),"",ROUND(D2191*E2191,2))</f>
        <v/>
      </c>
      <c r="G2191" s="106" t="n"/>
      <c r="H2191" s="350">
        <f>IF(G2191="Sim",IF(OR(F2191="",D2191="",L2191=""),"",IF(L2191="Sim",ROUND(F2191-D2191,2),0)),0)</f>
        <v/>
      </c>
      <c r="I2191" s="350">
        <f>IF(G2191="Sim",0,IF(OR(F2191="",L2191=""),"",F2191))</f>
        <v/>
      </c>
      <c r="J2191" s="350">
        <f>IF(G2191="Sim",0,IF(OR(F2191="",D2191="",L2191=""),"",IF(L2191="Sim",ROUND(F2191-D2191,2),0)))</f>
        <v/>
      </c>
      <c r="K2191" s="97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inlineStr">
        <is>
          <t>Nao</t>
        </is>
      </c>
      <c r="W2191" s="110" t="inlineStr">
        <is>
          <t>PC em analise</t>
        </is>
      </c>
      <c r="X2191" s="110" t="inlineStr">
        <is>
          <t>Pedido de Compra</t>
        </is>
      </c>
      <c r="Y2191" s="111" t="inlineStr">
        <is>
          <t>Impacto Potencial</t>
        </is>
      </c>
      <c r="Z2191" s="111" t="inlineStr">
        <is>
          <t>PC</t>
        </is>
      </c>
      <c r="AA2191" s="111" t="inlineStr">
        <is>
          <t>Nao</t>
        </is>
      </c>
      <c r="AB2191" s="111" t="inlineStr">
        <is>
          <t>NAO_COMPUTADO</t>
        </is>
      </c>
      <c r="AC2191" s="112" t="inlineStr">
        <is>
          <t>Estrutura Fase 1: sem impacto no VTA oficial</t>
        </is>
      </c>
    </row>
    <row r="2192" ht="25.5" customHeight="1" s="289">
      <c r="A2192" s="205" t="n"/>
      <c r="B2192" s="207" t="n"/>
      <c r="C2192" s="104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348" t="n"/>
      <c r="E2192" s="349">
        <f>IF(C2192="","",IFERROR(VLOOKUP(C2192,parametros!$A$11:$E$15,5,0),""))</f>
        <v/>
      </c>
      <c r="F2192" s="335">
        <f>IF(OR(D2192="",E2192=""),"",ROUND(D2192*E2192,2))</f>
        <v/>
      </c>
      <c r="G2192" s="106" t="n"/>
      <c r="H2192" s="350">
        <f>IF(G2192="Sim",IF(OR(F2192="",D2192="",L2192=""),"",IF(L2192="Sim",ROUND(F2192-D2192,2),0)),0)</f>
        <v/>
      </c>
      <c r="I2192" s="350">
        <f>IF(G2192="Sim",0,IF(OR(F2192="",L2192=""),"",F2192))</f>
        <v/>
      </c>
      <c r="J2192" s="350">
        <f>IF(G2192="Sim",0,IF(OR(F2192="",D2192="",L2192=""),"",IF(L2192="Sim",ROUND(F2192-D2192,2),0)))</f>
        <v/>
      </c>
      <c r="K2192" s="97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inlineStr">
        <is>
          <t>Nao</t>
        </is>
      </c>
      <c r="W2192" s="110" t="inlineStr">
        <is>
          <t>PC em analise</t>
        </is>
      </c>
      <c r="X2192" s="110" t="inlineStr">
        <is>
          <t>Pedido de Compra</t>
        </is>
      </c>
      <c r="Y2192" s="111" t="inlineStr">
        <is>
          <t>Impacto Potencial</t>
        </is>
      </c>
      <c r="Z2192" s="111" t="inlineStr">
        <is>
          <t>PC</t>
        </is>
      </c>
      <c r="AA2192" s="111" t="inlineStr">
        <is>
          <t>Nao</t>
        </is>
      </c>
      <c r="AB2192" s="111" t="inlineStr">
        <is>
          <t>NAO_COMPUTADO</t>
        </is>
      </c>
      <c r="AC2192" s="112" t="inlineStr">
        <is>
          <t>Estrutura Fase 1: sem impacto no VTA oficial</t>
        </is>
      </c>
    </row>
    <row r="2193" ht="25.5" customHeight="1" s="289">
      <c r="A2193" s="205" t="n"/>
      <c r="B2193" s="207" t="n"/>
      <c r="C2193" s="104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348" t="n"/>
      <c r="E2193" s="349">
        <f>IF(C2193="","",IFERROR(VLOOKUP(C2193,parametros!$A$11:$E$15,5,0),""))</f>
        <v/>
      </c>
      <c r="F2193" s="335">
        <f>IF(OR(D2193="",E2193=""),"",ROUND(D2193*E2193,2))</f>
        <v/>
      </c>
      <c r="G2193" s="106" t="n"/>
      <c r="H2193" s="350">
        <f>IF(G2193="Sim",IF(OR(F2193="",D2193="",L2193=""),"",IF(L2193="Sim",ROUND(F2193-D2193,2),0)),0)</f>
        <v/>
      </c>
      <c r="I2193" s="350">
        <f>IF(G2193="Sim",0,IF(OR(F2193="",L2193=""),"",F2193))</f>
        <v/>
      </c>
      <c r="J2193" s="350">
        <f>IF(G2193="Sim",0,IF(OR(F2193="",D2193="",L2193=""),"",IF(L2193="Sim",ROUND(F2193-D2193,2),0)))</f>
        <v/>
      </c>
      <c r="K2193" s="97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inlineStr">
        <is>
          <t>Nao</t>
        </is>
      </c>
      <c r="W2193" s="110" t="inlineStr">
        <is>
          <t>PC em analise</t>
        </is>
      </c>
      <c r="X2193" s="110" t="inlineStr">
        <is>
          <t>Pedido de Compra</t>
        </is>
      </c>
      <c r="Y2193" s="111" t="inlineStr">
        <is>
          <t>Impacto Potencial</t>
        </is>
      </c>
      <c r="Z2193" s="111" t="inlineStr">
        <is>
          <t>PC</t>
        </is>
      </c>
      <c r="AA2193" s="111" t="inlineStr">
        <is>
          <t>Nao</t>
        </is>
      </c>
      <c r="AB2193" s="111" t="inlineStr">
        <is>
          <t>NAO_COMPUTADO</t>
        </is>
      </c>
      <c r="AC2193" s="112" t="inlineStr">
        <is>
          <t>Estrutura Fase 1: sem impacto no VTA oficial</t>
        </is>
      </c>
    </row>
    <row r="2194" ht="25.5" customHeight="1" s="289">
      <c r="A2194" s="205" t="n"/>
      <c r="B2194" s="207" t="n"/>
      <c r="C2194" s="104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348" t="n"/>
      <c r="E2194" s="349">
        <f>IF(C2194="","",IFERROR(VLOOKUP(C2194,parametros!$A$11:$E$15,5,0),""))</f>
        <v/>
      </c>
      <c r="F2194" s="335">
        <f>IF(OR(D2194="",E2194=""),"",ROUND(D2194*E2194,2))</f>
        <v/>
      </c>
      <c r="G2194" s="106" t="n"/>
      <c r="H2194" s="350">
        <f>IF(G2194="Sim",IF(OR(F2194="",D2194="",L2194=""),"",IF(L2194="Sim",ROUND(F2194-D2194,2),0)),0)</f>
        <v/>
      </c>
      <c r="I2194" s="350">
        <f>IF(G2194="Sim",0,IF(OR(F2194="",L2194=""),"",F2194))</f>
        <v/>
      </c>
      <c r="J2194" s="350">
        <f>IF(G2194="Sim",0,IF(OR(F2194="",D2194="",L2194=""),"",IF(L2194="Sim",ROUND(F2194-D2194,2),0)))</f>
        <v/>
      </c>
      <c r="K2194" s="97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inlineStr">
        <is>
          <t>Nao</t>
        </is>
      </c>
      <c r="W2194" s="110" t="inlineStr">
        <is>
          <t>PC em analise</t>
        </is>
      </c>
      <c r="X2194" s="110" t="inlineStr">
        <is>
          <t>Pedido de Compra</t>
        </is>
      </c>
      <c r="Y2194" s="111" t="inlineStr">
        <is>
          <t>Impacto Potencial</t>
        </is>
      </c>
      <c r="Z2194" s="111" t="inlineStr">
        <is>
          <t>PC</t>
        </is>
      </c>
      <c r="AA2194" s="111" t="inlineStr">
        <is>
          <t>Nao</t>
        </is>
      </c>
      <c r="AB2194" s="111" t="inlineStr">
        <is>
          <t>NAO_COMPUTADO</t>
        </is>
      </c>
      <c r="AC2194" s="112" t="inlineStr">
        <is>
          <t>Estrutura Fase 1: sem impacto no VTA oficial</t>
        </is>
      </c>
    </row>
    <row r="2195" ht="25.5" customHeight="1" s="289">
      <c r="A2195" s="205" t="n"/>
      <c r="B2195" s="207" t="n"/>
      <c r="C2195" s="104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348" t="n"/>
      <c r="E2195" s="349">
        <f>IF(C2195="","",IFERROR(VLOOKUP(C2195,parametros!$A$11:$E$15,5,0),""))</f>
        <v/>
      </c>
      <c r="F2195" s="335">
        <f>IF(OR(D2195="",E2195=""),"",ROUND(D2195*E2195,2))</f>
        <v/>
      </c>
      <c r="G2195" s="106" t="n"/>
      <c r="H2195" s="350">
        <f>IF(G2195="Sim",IF(OR(F2195="",D2195="",L2195=""),"",IF(L2195="Sim",ROUND(F2195-D2195,2),0)),0)</f>
        <v/>
      </c>
      <c r="I2195" s="350">
        <f>IF(G2195="Sim",0,IF(OR(F2195="",L2195=""),"",F2195))</f>
        <v/>
      </c>
      <c r="J2195" s="350">
        <f>IF(G2195="Sim",0,IF(OR(F2195="",D2195="",L2195=""),"",IF(L2195="Sim",ROUND(F2195-D2195,2),0)))</f>
        <v/>
      </c>
      <c r="K2195" s="97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inlineStr">
        <is>
          <t>Nao</t>
        </is>
      </c>
      <c r="W2195" s="110" t="inlineStr">
        <is>
          <t>PC em analise</t>
        </is>
      </c>
      <c r="X2195" s="110" t="inlineStr">
        <is>
          <t>Pedido de Compra</t>
        </is>
      </c>
      <c r="Y2195" s="111" t="inlineStr">
        <is>
          <t>Impacto Potencial</t>
        </is>
      </c>
      <c r="Z2195" s="111" t="inlineStr">
        <is>
          <t>PC</t>
        </is>
      </c>
      <c r="AA2195" s="111" t="inlineStr">
        <is>
          <t>Nao</t>
        </is>
      </c>
      <c r="AB2195" s="111" t="inlineStr">
        <is>
          <t>NAO_COMPUTADO</t>
        </is>
      </c>
      <c r="AC2195" s="112" t="inlineStr">
        <is>
          <t>Estrutura Fase 1: sem impacto no VTA oficial</t>
        </is>
      </c>
    </row>
    <row r="2196" ht="25.5" customHeight="1" s="289">
      <c r="A2196" s="205" t="n"/>
      <c r="B2196" s="207" t="n"/>
      <c r="C2196" s="104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348" t="n"/>
      <c r="E2196" s="349">
        <f>IF(C2196="","",IFERROR(VLOOKUP(C2196,parametros!$A$11:$E$15,5,0),""))</f>
        <v/>
      </c>
      <c r="F2196" s="335">
        <f>IF(OR(D2196="",E2196=""),"",ROUND(D2196*E2196,2))</f>
        <v/>
      </c>
      <c r="G2196" s="106" t="n"/>
      <c r="H2196" s="350">
        <f>IF(G2196="Sim",IF(OR(F2196="",D2196="",L2196=""),"",IF(L2196="Sim",ROUND(F2196-D2196,2),0)),0)</f>
        <v/>
      </c>
      <c r="I2196" s="350">
        <f>IF(G2196="Sim",0,IF(OR(F2196="",L2196=""),"",F2196))</f>
        <v/>
      </c>
      <c r="J2196" s="350">
        <f>IF(G2196="Sim",0,IF(OR(F2196="",D2196="",L2196=""),"",IF(L2196="Sim",ROUND(F2196-D2196,2),0)))</f>
        <v/>
      </c>
      <c r="K2196" s="97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inlineStr">
        <is>
          <t>Nao</t>
        </is>
      </c>
      <c r="W2196" s="110" t="inlineStr">
        <is>
          <t>PC em analise</t>
        </is>
      </c>
      <c r="X2196" s="110" t="inlineStr">
        <is>
          <t>Pedido de Compra</t>
        </is>
      </c>
      <c r="Y2196" s="111" t="inlineStr">
        <is>
          <t>Impacto Potencial</t>
        </is>
      </c>
      <c r="Z2196" s="111" t="inlineStr">
        <is>
          <t>PC</t>
        </is>
      </c>
      <c r="AA2196" s="111" t="inlineStr">
        <is>
          <t>Nao</t>
        </is>
      </c>
      <c r="AB2196" s="111" t="inlineStr">
        <is>
          <t>NAO_COMPUTADO</t>
        </is>
      </c>
      <c r="AC2196" s="112" t="inlineStr">
        <is>
          <t>Estrutura Fase 1: sem impacto no VTA oficial</t>
        </is>
      </c>
    </row>
    <row r="2197" ht="25.5" customHeight="1" s="289">
      <c r="A2197" s="205" t="n"/>
      <c r="B2197" s="207" t="n"/>
      <c r="C2197" s="104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348" t="n"/>
      <c r="E2197" s="349">
        <f>IF(C2197="","",IFERROR(VLOOKUP(C2197,parametros!$A$11:$E$15,5,0),""))</f>
        <v/>
      </c>
      <c r="F2197" s="335">
        <f>IF(OR(D2197="",E2197=""),"",ROUND(D2197*E2197,2))</f>
        <v/>
      </c>
      <c r="G2197" s="106" t="n"/>
      <c r="H2197" s="350">
        <f>IF(G2197="Sim",IF(OR(F2197="",D2197="",L2197=""),"",IF(L2197="Sim",ROUND(F2197-D2197,2),0)),0)</f>
        <v/>
      </c>
      <c r="I2197" s="350">
        <f>IF(G2197="Sim",0,IF(OR(F2197="",L2197=""),"",F2197))</f>
        <v/>
      </c>
      <c r="J2197" s="350">
        <f>IF(G2197="Sim",0,IF(OR(F2197="",D2197="",L2197=""),"",IF(L2197="Sim",ROUND(F2197-D2197,2),0)))</f>
        <v/>
      </c>
      <c r="K2197" s="97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inlineStr">
        <is>
          <t>Nao</t>
        </is>
      </c>
      <c r="W2197" s="110" t="inlineStr">
        <is>
          <t>PC em analise</t>
        </is>
      </c>
      <c r="X2197" s="110" t="inlineStr">
        <is>
          <t>Pedido de Compra</t>
        </is>
      </c>
      <c r="Y2197" s="111" t="inlineStr">
        <is>
          <t>Impacto Potencial</t>
        </is>
      </c>
      <c r="Z2197" s="111" t="inlineStr">
        <is>
          <t>PC</t>
        </is>
      </c>
      <c r="AA2197" s="111" t="inlineStr">
        <is>
          <t>Nao</t>
        </is>
      </c>
      <c r="AB2197" s="111" t="inlineStr">
        <is>
          <t>NAO_COMPUTADO</t>
        </is>
      </c>
      <c r="AC2197" s="112" t="inlineStr">
        <is>
          <t>Estrutura Fase 1: sem impacto no VTA oficial</t>
        </is>
      </c>
    </row>
    <row r="2198" ht="25.5" customHeight="1" s="289">
      <c r="A2198" s="205" t="n"/>
      <c r="B2198" s="207" t="n"/>
      <c r="C2198" s="104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348" t="n"/>
      <c r="E2198" s="349">
        <f>IF(C2198="","",IFERROR(VLOOKUP(C2198,parametros!$A$11:$E$15,5,0),""))</f>
        <v/>
      </c>
      <c r="F2198" s="335">
        <f>IF(OR(D2198="",E2198=""),"",ROUND(D2198*E2198,2))</f>
        <v/>
      </c>
      <c r="G2198" s="106" t="n"/>
      <c r="H2198" s="350">
        <f>IF(G2198="Sim",IF(OR(F2198="",D2198="",L2198=""),"",IF(L2198="Sim",ROUND(F2198-D2198,2),0)),0)</f>
        <v/>
      </c>
      <c r="I2198" s="350">
        <f>IF(G2198="Sim",0,IF(OR(F2198="",L2198=""),"",F2198))</f>
        <v/>
      </c>
      <c r="J2198" s="350">
        <f>IF(G2198="Sim",0,IF(OR(F2198="",D2198="",L2198=""),"",IF(L2198="Sim",ROUND(F2198-D2198,2),0)))</f>
        <v/>
      </c>
      <c r="K2198" s="97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inlineStr">
        <is>
          <t>Nao</t>
        </is>
      </c>
      <c r="W2198" s="110" t="inlineStr">
        <is>
          <t>PC em analise</t>
        </is>
      </c>
      <c r="X2198" s="110" t="inlineStr">
        <is>
          <t>Pedido de Compra</t>
        </is>
      </c>
      <c r="Y2198" s="111" t="inlineStr">
        <is>
          <t>Impacto Potencial</t>
        </is>
      </c>
      <c r="Z2198" s="111" t="inlineStr">
        <is>
          <t>PC</t>
        </is>
      </c>
      <c r="AA2198" s="111" t="inlineStr">
        <is>
          <t>Nao</t>
        </is>
      </c>
      <c r="AB2198" s="111" t="inlineStr">
        <is>
          <t>NAO_COMPUTADO</t>
        </is>
      </c>
      <c r="AC2198" s="112" t="inlineStr">
        <is>
          <t>Estrutura Fase 1: sem impacto no VTA oficial</t>
        </is>
      </c>
    </row>
    <row r="2199" ht="25.5" customHeight="1" s="289">
      <c r="A2199" s="205" t="n"/>
      <c r="B2199" s="207" t="n"/>
      <c r="C2199" s="104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348" t="n"/>
      <c r="E2199" s="349">
        <f>IF(C2199="","",IFERROR(VLOOKUP(C2199,parametros!$A$11:$E$15,5,0),""))</f>
        <v/>
      </c>
      <c r="F2199" s="335">
        <f>IF(OR(D2199="",E2199=""),"",ROUND(D2199*E2199,2))</f>
        <v/>
      </c>
      <c r="G2199" s="106" t="n"/>
      <c r="H2199" s="350">
        <f>IF(G2199="Sim",IF(OR(F2199="",D2199="",L2199=""),"",IF(L2199="Sim",ROUND(F2199-D2199,2),0)),0)</f>
        <v/>
      </c>
      <c r="I2199" s="350">
        <f>IF(G2199="Sim",0,IF(OR(F2199="",L2199=""),"",F2199))</f>
        <v/>
      </c>
      <c r="J2199" s="350">
        <f>IF(G2199="Sim",0,IF(OR(F2199="",D2199="",L2199=""),"",IF(L2199="Sim",ROUND(F2199-D2199,2),0)))</f>
        <v/>
      </c>
      <c r="K2199" s="97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inlineStr">
        <is>
          <t>Nao</t>
        </is>
      </c>
      <c r="W2199" s="110" t="inlineStr">
        <is>
          <t>PC em analise</t>
        </is>
      </c>
      <c r="X2199" s="110" t="inlineStr">
        <is>
          <t>Pedido de Compra</t>
        </is>
      </c>
      <c r="Y2199" s="111" t="inlineStr">
        <is>
          <t>Impacto Potencial</t>
        </is>
      </c>
      <c r="Z2199" s="111" t="inlineStr">
        <is>
          <t>PC</t>
        </is>
      </c>
      <c r="AA2199" s="111" t="inlineStr">
        <is>
          <t>Nao</t>
        </is>
      </c>
      <c r="AB2199" s="111" t="inlineStr">
        <is>
          <t>NAO_COMPUTADO</t>
        </is>
      </c>
      <c r="AC2199" s="112" t="inlineStr">
        <is>
          <t>Estrutura Fase 1: sem impacto no VTA oficial</t>
        </is>
      </c>
    </row>
    <row r="2200" ht="25.5" customHeight="1" s="289">
      <c r="A2200" s="205" t="n"/>
      <c r="B2200" s="207" t="n"/>
      <c r="C2200" s="104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348" t="n"/>
      <c r="E2200" s="349">
        <f>IF(C2200="","",IFERROR(VLOOKUP(C2200,parametros!$A$11:$E$15,5,0),""))</f>
        <v/>
      </c>
      <c r="F2200" s="335">
        <f>IF(OR(D2200="",E2200=""),"",ROUND(D2200*E2200,2))</f>
        <v/>
      </c>
      <c r="G2200" s="106" t="n"/>
      <c r="H2200" s="350">
        <f>IF(G2200="Sim",IF(OR(F2200="",D2200="",L2200=""),"",IF(L2200="Sim",ROUND(F2200-D2200,2),0)),0)</f>
        <v/>
      </c>
      <c r="I2200" s="350">
        <f>IF(G2200="Sim",0,IF(OR(F2200="",L2200=""),"",F2200))</f>
        <v/>
      </c>
      <c r="J2200" s="350">
        <f>IF(G2200="Sim",0,IF(OR(F2200="",D2200="",L2200=""),"",IF(L2200="Sim",ROUND(F2200-D2200,2),0)))</f>
        <v/>
      </c>
      <c r="K2200" s="97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inlineStr">
        <is>
          <t>Nao</t>
        </is>
      </c>
      <c r="W2200" s="110" t="inlineStr">
        <is>
          <t>PC em analise</t>
        </is>
      </c>
      <c r="X2200" s="110" t="inlineStr">
        <is>
          <t>Pedido de Compra</t>
        </is>
      </c>
      <c r="Y2200" s="111" t="inlineStr">
        <is>
          <t>Impacto Potencial</t>
        </is>
      </c>
      <c r="Z2200" s="111" t="inlineStr">
        <is>
          <t>PC</t>
        </is>
      </c>
      <c r="AA2200" s="111" t="inlineStr">
        <is>
          <t>Nao</t>
        </is>
      </c>
      <c r="AB2200" s="111" t="inlineStr">
        <is>
          <t>NAO_COMPUTADO</t>
        </is>
      </c>
      <c r="AC2200" s="112" t="inlineStr">
        <is>
          <t>Estrutura Fase 1: sem impacto no VTA oficial</t>
        </is>
      </c>
    </row>
    <row r="2201" ht="25.5" customHeight="1" s="289">
      <c r="A2201" s="205" t="n"/>
      <c r="B2201" s="207" t="n"/>
      <c r="C2201" s="104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348" t="n"/>
      <c r="E2201" s="349">
        <f>IF(C2201="","",IFERROR(VLOOKUP(C2201,parametros!$A$11:$E$15,5,0),""))</f>
        <v/>
      </c>
      <c r="F2201" s="335">
        <f>IF(OR(D2201="",E2201=""),"",ROUND(D2201*E2201,2))</f>
        <v/>
      </c>
      <c r="G2201" s="106" t="n"/>
      <c r="H2201" s="350">
        <f>IF(G2201="Sim",IF(OR(F2201="",D2201="",L2201=""),"",IF(L2201="Sim",ROUND(F2201-D2201,2),0)),0)</f>
        <v/>
      </c>
      <c r="I2201" s="350">
        <f>IF(G2201="Sim",0,IF(OR(F2201="",L2201=""),"",F2201))</f>
        <v/>
      </c>
      <c r="J2201" s="350">
        <f>IF(G2201="Sim",0,IF(OR(F2201="",D2201="",L2201=""),"",IF(L2201="Sim",ROUND(F2201-D2201,2),0)))</f>
        <v/>
      </c>
      <c r="K2201" s="97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inlineStr">
        <is>
          <t>Nao</t>
        </is>
      </c>
      <c r="W2201" s="110" t="inlineStr">
        <is>
          <t>PC em analise</t>
        </is>
      </c>
      <c r="X2201" s="110" t="inlineStr">
        <is>
          <t>Pedido de Compra</t>
        </is>
      </c>
      <c r="Y2201" s="111" t="inlineStr">
        <is>
          <t>Impacto Potencial</t>
        </is>
      </c>
      <c r="Z2201" s="111" t="inlineStr">
        <is>
          <t>PC</t>
        </is>
      </c>
      <c r="AA2201" s="111" t="inlineStr">
        <is>
          <t>Nao</t>
        </is>
      </c>
      <c r="AB2201" s="111" t="inlineStr">
        <is>
          <t>NAO_COMPUTADO</t>
        </is>
      </c>
      <c r="AC2201" s="112" t="inlineStr">
        <is>
          <t>Estrutura Fase 1: sem impacto no VTA oficial</t>
        </is>
      </c>
    </row>
    <row r="2202" ht="25.5" customHeight="1" s="289">
      <c r="A2202" s="205" t="n"/>
      <c r="B2202" s="207" t="n"/>
      <c r="C2202" s="104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348" t="n"/>
      <c r="E2202" s="349">
        <f>IF(C2202="","",IFERROR(VLOOKUP(C2202,parametros!$A$11:$E$15,5,0),""))</f>
        <v/>
      </c>
      <c r="F2202" s="335">
        <f>IF(OR(D2202="",E2202=""),"",ROUND(D2202*E2202,2))</f>
        <v/>
      </c>
      <c r="G2202" s="106" t="n"/>
      <c r="H2202" s="350">
        <f>IF(G2202="Sim",IF(OR(F2202="",D2202="",L2202=""),"",IF(L2202="Sim",ROUND(F2202-D2202,2),0)),0)</f>
        <v/>
      </c>
      <c r="I2202" s="350">
        <f>IF(G2202="Sim",0,IF(OR(F2202="",L2202=""),"",F2202))</f>
        <v/>
      </c>
      <c r="J2202" s="350">
        <f>IF(G2202="Sim",0,IF(OR(F2202="",D2202="",L2202=""),"",IF(L2202="Sim",ROUND(F2202-D2202,2),0)))</f>
        <v/>
      </c>
      <c r="K2202" s="97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inlineStr">
        <is>
          <t>Nao</t>
        </is>
      </c>
      <c r="W2202" s="110" t="inlineStr">
        <is>
          <t>PC em analise</t>
        </is>
      </c>
      <c r="X2202" s="110" t="inlineStr">
        <is>
          <t>Pedido de Compra</t>
        </is>
      </c>
      <c r="Y2202" s="111" t="inlineStr">
        <is>
          <t>Impacto Potencial</t>
        </is>
      </c>
      <c r="Z2202" s="111" t="inlineStr">
        <is>
          <t>PC</t>
        </is>
      </c>
      <c r="AA2202" s="111" t="inlineStr">
        <is>
          <t>Nao</t>
        </is>
      </c>
      <c r="AB2202" s="111" t="inlineStr">
        <is>
          <t>NAO_COMPUTADO</t>
        </is>
      </c>
      <c r="AC2202" s="112" t="inlineStr">
        <is>
          <t>Estrutura Fase 1: sem impacto no VTA oficial</t>
        </is>
      </c>
    </row>
    <row r="2203" ht="25.5" customHeight="1" s="289">
      <c r="A2203" s="205" t="n"/>
      <c r="B2203" s="207" t="n"/>
      <c r="C2203" s="104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348" t="n"/>
      <c r="E2203" s="349">
        <f>IF(C2203="","",IFERROR(VLOOKUP(C2203,parametros!$A$11:$E$15,5,0),""))</f>
        <v/>
      </c>
      <c r="F2203" s="335">
        <f>IF(OR(D2203="",E2203=""),"",ROUND(D2203*E2203,2))</f>
        <v/>
      </c>
      <c r="G2203" s="106" t="n"/>
      <c r="H2203" s="350">
        <f>IF(G2203="Sim",IF(OR(F2203="",D2203="",L2203=""),"",IF(L2203="Sim",ROUND(F2203-D2203,2),0)),0)</f>
        <v/>
      </c>
      <c r="I2203" s="350">
        <f>IF(G2203="Sim",0,IF(OR(F2203="",L2203=""),"",F2203))</f>
        <v/>
      </c>
      <c r="J2203" s="350">
        <f>IF(G2203="Sim",0,IF(OR(F2203="",D2203="",L2203=""),"",IF(L2203="Sim",ROUND(F2203-D2203,2),0)))</f>
        <v/>
      </c>
      <c r="K2203" s="97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inlineStr">
        <is>
          <t>Nao</t>
        </is>
      </c>
      <c r="W2203" s="110" t="inlineStr">
        <is>
          <t>PC em analise</t>
        </is>
      </c>
      <c r="X2203" s="110" t="inlineStr">
        <is>
          <t>Pedido de Compra</t>
        </is>
      </c>
      <c r="Y2203" s="111" t="inlineStr">
        <is>
          <t>Impacto Potencial</t>
        </is>
      </c>
      <c r="Z2203" s="111" t="inlineStr">
        <is>
          <t>PC</t>
        </is>
      </c>
      <c r="AA2203" s="111" t="inlineStr">
        <is>
          <t>Nao</t>
        </is>
      </c>
      <c r="AB2203" s="111" t="inlineStr">
        <is>
          <t>NAO_COMPUTADO</t>
        </is>
      </c>
      <c r="AC2203" s="112" t="inlineStr">
        <is>
          <t>Estrutura Fase 1: sem impacto no VTA oficial</t>
        </is>
      </c>
    </row>
    <row r="2204" ht="25.5" customHeight="1" s="289">
      <c r="A2204" s="205" t="n"/>
      <c r="B2204" s="207" t="n"/>
      <c r="C2204" s="104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348" t="n"/>
      <c r="E2204" s="349">
        <f>IF(C2204="","",IFERROR(VLOOKUP(C2204,parametros!$A$11:$E$15,5,0),""))</f>
        <v/>
      </c>
      <c r="F2204" s="335">
        <f>IF(OR(D2204="",E2204=""),"",ROUND(D2204*E2204,2))</f>
        <v/>
      </c>
      <c r="G2204" s="106" t="n"/>
      <c r="H2204" s="350">
        <f>IF(G2204="Sim",IF(OR(F2204="",D2204="",L2204=""),"",IF(L2204="Sim",ROUND(F2204-D2204,2),0)),0)</f>
        <v/>
      </c>
      <c r="I2204" s="350">
        <f>IF(G2204="Sim",0,IF(OR(F2204="",L2204=""),"",F2204))</f>
        <v/>
      </c>
      <c r="J2204" s="350">
        <f>IF(G2204="Sim",0,IF(OR(F2204="",D2204="",L2204=""),"",IF(L2204="Sim",ROUND(F2204-D2204,2),0)))</f>
        <v/>
      </c>
      <c r="K2204" s="97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inlineStr">
        <is>
          <t>Nao</t>
        </is>
      </c>
      <c r="W2204" s="110" t="inlineStr">
        <is>
          <t>PC em analise</t>
        </is>
      </c>
      <c r="X2204" s="110" t="inlineStr">
        <is>
          <t>Pedido de Compra</t>
        </is>
      </c>
      <c r="Y2204" s="111" t="inlineStr">
        <is>
          <t>Impacto Potencial</t>
        </is>
      </c>
      <c r="Z2204" s="111" t="inlineStr">
        <is>
          <t>PC</t>
        </is>
      </c>
      <c r="AA2204" s="111" t="inlineStr">
        <is>
          <t>Nao</t>
        </is>
      </c>
      <c r="AB2204" s="111" t="inlineStr">
        <is>
          <t>NAO_COMPUTADO</t>
        </is>
      </c>
      <c r="AC2204" s="112" t="inlineStr">
        <is>
          <t>Estrutura Fase 1: sem impacto no VTA oficial</t>
        </is>
      </c>
    </row>
    <row r="2205" ht="25.5" customHeight="1" s="289">
      <c r="A2205" s="205" t="n"/>
      <c r="B2205" s="207" t="n"/>
      <c r="C2205" s="104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348" t="n"/>
      <c r="E2205" s="349">
        <f>IF(C2205="","",IFERROR(VLOOKUP(C2205,parametros!$A$11:$E$15,5,0),""))</f>
        <v/>
      </c>
      <c r="F2205" s="335">
        <f>IF(OR(D2205="",E2205=""),"",ROUND(D2205*E2205,2))</f>
        <v/>
      </c>
      <c r="G2205" s="106" t="n"/>
      <c r="H2205" s="350">
        <f>IF(G2205="Sim",IF(OR(F2205="",D2205="",L2205=""),"",IF(L2205="Sim",ROUND(F2205-D2205,2),0)),0)</f>
        <v/>
      </c>
      <c r="I2205" s="350">
        <f>IF(G2205="Sim",0,IF(OR(F2205="",L2205=""),"",F2205))</f>
        <v/>
      </c>
      <c r="J2205" s="350">
        <f>IF(G2205="Sim",0,IF(OR(F2205="",D2205="",L2205=""),"",IF(L2205="Sim",ROUND(F2205-D2205,2),0)))</f>
        <v/>
      </c>
      <c r="K2205" s="97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inlineStr">
        <is>
          <t>Nao</t>
        </is>
      </c>
      <c r="W2205" s="110" t="inlineStr">
        <is>
          <t>PC em analise</t>
        </is>
      </c>
      <c r="X2205" s="110" t="inlineStr">
        <is>
          <t>Pedido de Compra</t>
        </is>
      </c>
      <c r="Y2205" s="111" t="inlineStr">
        <is>
          <t>Impacto Potencial</t>
        </is>
      </c>
      <c r="Z2205" s="111" t="inlineStr">
        <is>
          <t>PC</t>
        </is>
      </c>
      <c r="AA2205" s="111" t="inlineStr">
        <is>
          <t>Nao</t>
        </is>
      </c>
      <c r="AB2205" s="111" t="inlineStr">
        <is>
          <t>NAO_COMPUTADO</t>
        </is>
      </c>
      <c r="AC2205" s="112" t="inlineStr">
        <is>
          <t>Estrutura Fase 1: sem impacto no VTA oficial</t>
        </is>
      </c>
    </row>
    <row r="2206" ht="25.5" customHeight="1" s="289">
      <c r="A2206" s="205" t="n"/>
      <c r="B2206" s="207" t="n"/>
      <c r="C2206" s="104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348" t="n"/>
      <c r="E2206" s="349">
        <f>IF(C2206="","",IFERROR(VLOOKUP(C2206,parametros!$A$11:$E$15,5,0),""))</f>
        <v/>
      </c>
      <c r="F2206" s="335">
        <f>IF(OR(D2206="",E2206=""),"",ROUND(D2206*E2206,2))</f>
        <v/>
      </c>
      <c r="G2206" s="106" t="n"/>
      <c r="H2206" s="350">
        <f>IF(G2206="Sim",IF(OR(F2206="",D2206="",L2206=""),"",IF(L2206="Sim",ROUND(F2206-D2206,2),0)),0)</f>
        <v/>
      </c>
      <c r="I2206" s="350">
        <f>IF(G2206="Sim",0,IF(OR(F2206="",L2206=""),"",F2206))</f>
        <v/>
      </c>
      <c r="J2206" s="350">
        <f>IF(G2206="Sim",0,IF(OR(F2206="",D2206="",L2206=""),"",IF(L2206="Sim",ROUND(F2206-D2206,2),0)))</f>
        <v/>
      </c>
      <c r="K2206" s="97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inlineStr">
        <is>
          <t>Nao</t>
        </is>
      </c>
      <c r="W2206" s="110" t="inlineStr">
        <is>
          <t>PC em analise</t>
        </is>
      </c>
      <c r="X2206" s="110" t="inlineStr">
        <is>
          <t>Pedido de Compra</t>
        </is>
      </c>
      <c r="Y2206" s="111" t="inlineStr">
        <is>
          <t>Impacto Potencial</t>
        </is>
      </c>
      <c r="Z2206" s="111" t="inlineStr">
        <is>
          <t>PC</t>
        </is>
      </c>
      <c r="AA2206" s="111" t="inlineStr">
        <is>
          <t>Nao</t>
        </is>
      </c>
      <c r="AB2206" s="111" t="inlineStr">
        <is>
          <t>NAO_COMPUTADO</t>
        </is>
      </c>
      <c r="AC2206" s="112" t="inlineStr">
        <is>
          <t>Estrutura Fase 1: sem impacto no VTA oficial</t>
        </is>
      </c>
    </row>
    <row r="2207" ht="25.5" customHeight="1" s="289">
      <c r="A2207" s="205" t="n"/>
      <c r="B2207" s="207" t="n"/>
      <c r="C2207" s="104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348" t="n"/>
      <c r="E2207" s="349">
        <f>IF(C2207="","",IFERROR(VLOOKUP(C2207,parametros!$A$11:$E$15,5,0),""))</f>
        <v/>
      </c>
      <c r="F2207" s="335">
        <f>IF(OR(D2207="",E2207=""),"",ROUND(D2207*E2207,2))</f>
        <v/>
      </c>
      <c r="G2207" s="106" t="n"/>
      <c r="H2207" s="350">
        <f>IF(G2207="Sim",IF(OR(F2207="",D2207="",L2207=""),"",IF(L2207="Sim",ROUND(F2207-D2207,2),0)),0)</f>
        <v/>
      </c>
      <c r="I2207" s="350">
        <f>IF(G2207="Sim",0,IF(OR(F2207="",L2207=""),"",F2207))</f>
        <v/>
      </c>
      <c r="J2207" s="350">
        <f>IF(G2207="Sim",0,IF(OR(F2207="",D2207="",L2207=""),"",IF(L2207="Sim",ROUND(F2207-D2207,2),0)))</f>
        <v/>
      </c>
      <c r="K2207" s="97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inlineStr">
        <is>
          <t>Nao</t>
        </is>
      </c>
      <c r="W2207" s="110" t="inlineStr">
        <is>
          <t>PC em analise</t>
        </is>
      </c>
      <c r="X2207" s="110" t="inlineStr">
        <is>
          <t>Pedido de Compra</t>
        </is>
      </c>
      <c r="Y2207" s="111" t="inlineStr">
        <is>
          <t>Impacto Potencial</t>
        </is>
      </c>
      <c r="Z2207" s="111" t="inlineStr">
        <is>
          <t>PC</t>
        </is>
      </c>
      <c r="AA2207" s="111" t="inlineStr">
        <is>
          <t>Nao</t>
        </is>
      </c>
      <c r="AB2207" s="111" t="inlineStr">
        <is>
          <t>NAO_COMPUTADO</t>
        </is>
      </c>
      <c r="AC2207" s="112" t="inlineStr">
        <is>
          <t>Estrutura Fase 1: sem impacto no VTA oficial</t>
        </is>
      </c>
    </row>
    <row r="2208" ht="25.5" customHeight="1" s="289">
      <c r="A2208" s="205" t="n"/>
      <c r="B2208" s="207" t="n"/>
      <c r="C2208" s="104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348" t="n"/>
      <c r="E2208" s="349">
        <f>IF(C2208="","",IFERROR(VLOOKUP(C2208,parametros!$A$11:$E$15,5,0),""))</f>
        <v/>
      </c>
      <c r="F2208" s="335">
        <f>IF(OR(D2208="",E2208=""),"",ROUND(D2208*E2208,2))</f>
        <v/>
      </c>
      <c r="G2208" s="106" t="n"/>
      <c r="H2208" s="350">
        <f>IF(G2208="Sim",IF(OR(F2208="",D2208="",L2208=""),"",IF(L2208="Sim",ROUND(F2208-D2208,2),0)),0)</f>
        <v/>
      </c>
      <c r="I2208" s="350">
        <f>IF(G2208="Sim",0,IF(OR(F2208="",L2208=""),"",F2208))</f>
        <v/>
      </c>
      <c r="J2208" s="350">
        <f>IF(G2208="Sim",0,IF(OR(F2208="",D2208="",L2208=""),"",IF(L2208="Sim",ROUND(F2208-D2208,2),0)))</f>
        <v/>
      </c>
      <c r="K2208" s="97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inlineStr">
        <is>
          <t>Nao</t>
        </is>
      </c>
      <c r="W2208" s="110" t="inlineStr">
        <is>
          <t>PC em analise</t>
        </is>
      </c>
      <c r="X2208" s="110" t="inlineStr">
        <is>
          <t>Pedido de Compra</t>
        </is>
      </c>
      <c r="Y2208" s="111" t="inlineStr">
        <is>
          <t>Impacto Potencial</t>
        </is>
      </c>
      <c r="Z2208" s="111" t="inlineStr">
        <is>
          <t>PC</t>
        </is>
      </c>
      <c r="AA2208" s="111" t="inlineStr">
        <is>
          <t>Nao</t>
        </is>
      </c>
      <c r="AB2208" s="111" t="inlineStr">
        <is>
          <t>NAO_COMPUTADO</t>
        </is>
      </c>
      <c r="AC2208" s="112" t="inlineStr">
        <is>
          <t>Estrutura Fase 1: sem impacto no VTA oficial</t>
        </is>
      </c>
    </row>
    <row r="2209" ht="25.5" customHeight="1" s="289">
      <c r="A2209" s="205" t="n"/>
      <c r="B2209" s="207" t="n"/>
      <c r="C2209" s="104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348" t="n"/>
      <c r="E2209" s="349">
        <f>IF(C2209="","",IFERROR(VLOOKUP(C2209,parametros!$A$11:$E$15,5,0),""))</f>
        <v/>
      </c>
      <c r="F2209" s="335">
        <f>IF(OR(D2209="",E2209=""),"",ROUND(D2209*E2209,2))</f>
        <v/>
      </c>
      <c r="G2209" s="106" t="n"/>
      <c r="H2209" s="350">
        <f>IF(G2209="Sim",IF(OR(F2209="",D2209="",L2209=""),"",IF(L2209="Sim",ROUND(F2209-D2209,2),0)),0)</f>
        <v/>
      </c>
      <c r="I2209" s="350">
        <f>IF(G2209="Sim",0,IF(OR(F2209="",L2209=""),"",F2209))</f>
        <v/>
      </c>
      <c r="J2209" s="350">
        <f>IF(G2209="Sim",0,IF(OR(F2209="",D2209="",L2209=""),"",IF(L2209="Sim",ROUND(F2209-D2209,2),0)))</f>
        <v/>
      </c>
      <c r="K2209" s="97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inlineStr">
        <is>
          <t>Nao</t>
        </is>
      </c>
      <c r="W2209" s="110" t="inlineStr">
        <is>
          <t>PC em analise</t>
        </is>
      </c>
      <c r="X2209" s="110" t="inlineStr">
        <is>
          <t>Pedido de Compra</t>
        </is>
      </c>
      <c r="Y2209" s="111" t="inlineStr">
        <is>
          <t>Impacto Potencial</t>
        </is>
      </c>
      <c r="Z2209" s="111" t="inlineStr">
        <is>
          <t>PC</t>
        </is>
      </c>
      <c r="AA2209" s="111" t="inlineStr">
        <is>
          <t>Nao</t>
        </is>
      </c>
      <c r="AB2209" s="111" t="inlineStr">
        <is>
          <t>NAO_COMPUTADO</t>
        </is>
      </c>
      <c r="AC2209" s="112" t="inlineStr">
        <is>
          <t>Estrutura Fase 1: sem impacto no VTA oficial</t>
        </is>
      </c>
    </row>
    <row r="2210" ht="25.5" customHeight="1" s="289">
      <c r="A2210" s="205" t="n"/>
      <c r="B2210" s="207" t="n"/>
      <c r="C2210" s="104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348" t="n"/>
      <c r="E2210" s="349">
        <f>IF(C2210="","",IFERROR(VLOOKUP(C2210,parametros!$A$11:$E$15,5,0),""))</f>
        <v/>
      </c>
      <c r="F2210" s="335">
        <f>IF(OR(D2210="",E2210=""),"",ROUND(D2210*E2210,2))</f>
        <v/>
      </c>
      <c r="G2210" s="106" t="n"/>
      <c r="H2210" s="350">
        <f>IF(G2210="Sim",IF(OR(F2210="",D2210="",L2210=""),"",IF(L2210="Sim",ROUND(F2210-D2210,2),0)),0)</f>
        <v/>
      </c>
      <c r="I2210" s="350">
        <f>IF(G2210="Sim",0,IF(OR(F2210="",L2210=""),"",F2210))</f>
        <v/>
      </c>
      <c r="J2210" s="350">
        <f>IF(G2210="Sim",0,IF(OR(F2210="",D2210="",L2210=""),"",IF(L2210="Sim",ROUND(F2210-D2210,2),0)))</f>
        <v/>
      </c>
      <c r="K2210" s="97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inlineStr">
        <is>
          <t>Nao</t>
        </is>
      </c>
      <c r="W2210" s="110" t="inlineStr">
        <is>
          <t>PC em analise</t>
        </is>
      </c>
      <c r="X2210" s="110" t="inlineStr">
        <is>
          <t>Pedido de Compra</t>
        </is>
      </c>
      <c r="Y2210" s="111" t="inlineStr">
        <is>
          <t>Impacto Potencial</t>
        </is>
      </c>
      <c r="Z2210" s="111" t="inlineStr">
        <is>
          <t>PC</t>
        </is>
      </c>
      <c r="AA2210" s="111" t="inlineStr">
        <is>
          <t>Nao</t>
        </is>
      </c>
      <c r="AB2210" s="111" t="inlineStr">
        <is>
          <t>NAO_COMPUTADO</t>
        </is>
      </c>
      <c r="AC2210" s="112" t="inlineStr">
        <is>
          <t>Estrutura Fase 1: sem impacto no VTA oficial</t>
        </is>
      </c>
    </row>
    <row r="2211" ht="25.5" customHeight="1" s="289">
      <c r="A2211" s="205" t="n"/>
      <c r="B2211" s="207" t="n"/>
      <c r="C2211" s="104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348" t="n"/>
      <c r="E2211" s="349">
        <f>IF(C2211="","",IFERROR(VLOOKUP(C2211,parametros!$A$11:$E$15,5,0),""))</f>
        <v/>
      </c>
      <c r="F2211" s="335">
        <f>IF(OR(D2211="",E2211=""),"",ROUND(D2211*E2211,2))</f>
        <v/>
      </c>
      <c r="G2211" s="106" t="n"/>
      <c r="H2211" s="350">
        <f>IF(G2211="Sim",IF(OR(F2211="",D2211="",L2211=""),"",IF(L2211="Sim",ROUND(F2211-D2211,2),0)),0)</f>
        <v/>
      </c>
      <c r="I2211" s="350">
        <f>IF(G2211="Sim",0,IF(OR(F2211="",L2211=""),"",F2211))</f>
        <v/>
      </c>
      <c r="J2211" s="350">
        <f>IF(G2211="Sim",0,IF(OR(F2211="",D2211="",L2211=""),"",IF(L2211="Sim",ROUND(F2211-D2211,2),0)))</f>
        <v/>
      </c>
      <c r="K2211" s="97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inlineStr">
        <is>
          <t>Nao</t>
        </is>
      </c>
      <c r="W2211" s="110" t="inlineStr">
        <is>
          <t>PC em analise</t>
        </is>
      </c>
      <c r="X2211" s="110" t="inlineStr">
        <is>
          <t>Pedido de Compra</t>
        </is>
      </c>
      <c r="Y2211" s="111" t="inlineStr">
        <is>
          <t>Impacto Potencial</t>
        </is>
      </c>
      <c r="Z2211" s="111" t="inlineStr">
        <is>
          <t>PC</t>
        </is>
      </c>
      <c r="AA2211" s="111" t="inlineStr">
        <is>
          <t>Nao</t>
        </is>
      </c>
      <c r="AB2211" s="111" t="inlineStr">
        <is>
          <t>NAO_COMPUTADO</t>
        </is>
      </c>
      <c r="AC2211" s="112" t="inlineStr">
        <is>
          <t>Estrutura Fase 1: sem impacto no VTA oficial</t>
        </is>
      </c>
    </row>
    <row r="2212" ht="25.5" customHeight="1" s="289">
      <c r="A2212" s="205" t="n"/>
      <c r="B2212" s="207" t="n"/>
      <c r="C2212" s="104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348" t="n"/>
      <c r="E2212" s="349">
        <f>IF(C2212="","",IFERROR(VLOOKUP(C2212,parametros!$A$11:$E$15,5,0),""))</f>
        <v/>
      </c>
      <c r="F2212" s="335">
        <f>IF(OR(D2212="",E2212=""),"",ROUND(D2212*E2212,2))</f>
        <v/>
      </c>
      <c r="G2212" s="106" t="n"/>
      <c r="H2212" s="350">
        <f>IF(G2212="Sim",IF(OR(F2212="",D2212="",L2212=""),"",IF(L2212="Sim",ROUND(F2212-D2212,2),0)),0)</f>
        <v/>
      </c>
      <c r="I2212" s="350">
        <f>IF(G2212="Sim",0,IF(OR(F2212="",L2212=""),"",F2212))</f>
        <v/>
      </c>
      <c r="J2212" s="350">
        <f>IF(G2212="Sim",0,IF(OR(F2212="",D2212="",L2212=""),"",IF(L2212="Sim",ROUND(F2212-D2212,2),0)))</f>
        <v/>
      </c>
      <c r="K2212" s="97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inlineStr">
        <is>
          <t>Nao</t>
        </is>
      </c>
      <c r="W2212" s="110" t="inlineStr">
        <is>
          <t>PC em analise</t>
        </is>
      </c>
      <c r="X2212" s="110" t="inlineStr">
        <is>
          <t>Pedido de Compra</t>
        </is>
      </c>
      <c r="Y2212" s="111" t="inlineStr">
        <is>
          <t>Impacto Potencial</t>
        </is>
      </c>
      <c r="Z2212" s="111" t="inlineStr">
        <is>
          <t>PC</t>
        </is>
      </c>
      <c r="AA2212" s="111" t="inlineStr">
        <is>
          <t>Nao</t>
        </is>
      </c>
      <c r="AB2212" s="111" t="inlineStr">
        <is>
          <t>NAO_COMPUTADO</t>
        </is>
      </c>
      <c r="AC2212" s="112" t="inlineStr">
        <is>
          <t>Estrutura Fase 1: sem impacto no VTA oficial</t>
        </is>
      </c>
    </row>
    <row r="2213" ht="25.5" customHeight="1" s="289">
      <c r="A2213" s="205" t="n"/>
      <c r="B2213" s="207" t="n"/>
      <c r="C2213" s="104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348" t="n"/>
      <c r="E2213" s="349">
        <f>IF(C2213="","",IFERROR(VLOOKUP(C2213,parametros!$A$11:$E$15,5,0),""))</f>
        <v/>
      </c>
      <c r="F2213" s="335">
        <f>IF(OR(D2213="",E2213=""),"",ROUND(D2213*E2213,2))</f>
        <v/>
      </c>
      <c r="G2213" s="106" t="n"/>
      <c r="H2213" s="350">
        <f>IF(G2213="Sim",IF(OR(F2213="",D2213="",L2213=""),"",IF(L2213="Sim",ROUND(F2213-D2213,2),0)),0)</f>
        <v/>
      </c>
      <c r="I2213" s="350">
        <f>IF(G2213="Sim",0,IF(OR(F2213="",L2213=""),"",F2213))</f>
        <v/>
      </c>
      <c r="J2213" s="350">
        <f>IF(G2213="Sim",0,IF(OR(F2213="",D2213="",L2213=""),"",IF(L2213="Sim",ROUND(F2213-D2213,2),0)))</f>
        <v/>
      </c>
      <c r="K2213" s="97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inlineStr">
        <is>
          <t>Nao</t>
        </is>
      </c>
      <c r="W2213" s="110" t="inlineStr">
        <is>
          <t>PC em analise</t>
        </is>
      </c>
      <c r="X2213" s="110" t="inlineStr">
        <is>
          <t>Pedido de Compra</t>
        </is>
      </c>
      <c r="Y2213" s="111" t="inlineStr">
        <is>
          <t>Impacto Potencial</t>
        </is>
      </c>
      <c r="Z2213" s="111" t="inlineStr">
        <is>
          <t>PC</t>
        </is>
      </c>
      <c r="AA2213" s="111" t="inlineStr">
        <is>
          <t>Nao</t>
        </is>
      </c>
      <c r="AB2213" s="111" t="inlineStr">
        <is>
          <t>NAO_COMPUTADO</t>
        </is>
      </c>
      <c r="AC2213" s="112" t="inlineStr">
        <is>
          <t>Estrutura Fase 1: sem impacto no VTA oficial</t>
        </is>
      </c>
    </row>
    <row r="2214" ht="25.5" customHeight="1" s="289">
      <c r="A2214" s="205" t="n"/>
      <c r="B2214" s="207" t="n"/>
      <c r="C2214" s="104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348" t="n"/>
      <c r="E2214" s="349">
        <f>IF(C2214="","",IFERROR(VLOOKUP(C2214,parametros!$A$11:$E$15,5,0),""))</f>
        <v/>
      </c>
      <c r="F2214" s="335">
        <f>IF(OR(D2214="",E2214=""),"",ROUND(D2214*E2214,2))</f>
        <v/>
      </c>
      <c r="G2214" s="106" t="n"/>
      <c r="H2214" s="350">
        <f>IF(G2214="Sim",IF(OR(F2214="",D2214="",L2214=""),"",IF(L2214="Sim",ROUND(F2214-D2214,2),0)),0)</f>
        <v/>
      </c>
      <c r="I2214" s="350">
        <f>IF(G2214="Sim",0,IF(OR(F2214="",L2214=""),"",F2214))</f>
        <v/>
      </c>
      <c r="J2214" s="350">
        <f>IF(G2214="Sim",0,IF(OR(F2214="",D2214="",L2214=""),"",IF(L2214="Sim",ROUND(F2214-D2214,2),0)))</f>
        <v/>
      </c>
      <c r="K2214" s="97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inlineStr">
        <is>
          <t>Nao</t>
        </is>
      </c>
      <c r="W2214" s="110" t="inlineStr">
        <is>
          <t>PC em analise</t>
        </is>
      </c>
      <c r="X2214" s="110" t="inlineStr">
        <is>
          <t>Pedido de Compra</t>
        </is>
      </c>
      <c r="Y2214" s="111" t="inlineStr">
        <is>
          <t>Impacto Potencial</t>
        </is>
      </c>
      <c r="Z2214" s="111" t="inlineStr">
        <is>
          <t>PC</t>
        </is>
      </c>
      <c r="AA2214" s="111" t="inlineStr">
        <is>
          <t>Nao</t>
        </is>
      </c>
      <c r="AB2214" s="111" t="inlineStr">
        <is>
          <t>NAO_COMPUTADO</t>
        </is>
      </c>
      <c r="AC2214" s="112" t="inlineStr">
        <is>
          <t>Estrutura Fase 1: sem impacto no VTA oficial</t>
        </is>
      </c>
    </row>
    <row r="2215" ht="25.5" customHeight="1" s="289">
      <c r="A2215" s="205" t="n"/>
      <c r="B2215" s="207" t="n"/>
      <c r="C2215" s="104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348" t="n"/>
      <c r="E2215" s="349">
        <f>IF(C2215="","",IFERROR(VLOOKUP(C2215,parametros!$A$11:$E$15,5,0),""))</f>
        <v/>
      </c>
      <c r="F2215" s="335">
        <f>IF(OR(D2215="",E2215=""),"",ROUND(D2215*E2215,2))</f>
        <v/>
      </c>
      <c r="G2215" s="106" t="n"/>
      <c r="H2215" s="350">
        <f>IF(G2215="Sim",IF(OR(F2215="",D2215="",L2215=""),"",IF(L2215="Sim",ROUND(F2215-D2215,2),0)),0)</f>
        <v/>
      </c>
      <c r="I2215" s="350">
        <f>IF(G2215="Sim",0,IF(OR(F2215="",L2215=""),"",F2215))</f>
        <v/>
      </c>
      <c r="J2215" s="350">
        <f>IF(G2215="Sim",0,IF(OR(F2215="",D2215="",L2215=""),"",IF(L2215="Sim",ROUND(F2215-D2215,2),0)))</f>
        <v/>
      </c>
      <c r="K2215" s="97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inlineStr">
        <is>
          <t>Nao</t>
        </is>
      </c>
      <c r="W2215" s="110" t="inlineStr">
        <is>
          <t>PC em analise</t>
        </is>
      </c>
      <c r="X2215" s="110" t="inlineStr">
        <is>
          <t>Pedido de Compra</t>
        </is>
      </c>
      <c r="Y2215" s="111" t="inlineStr">
        <is>
          <t>Impacto Potencial</t>
        </is>
      </c>
      <c r="Z2215" s="111" t="inlineStr">
        <is>
          <t>PC</t>
        </is>
      </c>
      <c r="AA2215" s="111" t="inlineStr">
        <is>
          <t>Nao</t>
        </is>
      </c>
      <c r="AB2215" s="111" t="inlineStr">
        <is>
          <t>NAO_COMPUTADO</t>
        </is>
      </c>
      <c r="AC2215" s="112" t="inlineStr">
        <is>
          <t>Estrutura Fase 1: sem impacto no VTA oficial</t>
        </is>
      </c>
    </row>
    <row r="2216" ht="25.5" customHeight="1" s="289">
      <c r="A2216" s="205" t="n"/>
      <c r="B2216" s="207" t="n"/>
      <c r="C2216" s="104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348" t="n"/>
      <c r="E2216" s="349">
        <f>IF(C2216="","",IFERROR(VLOOKUP(C2216,parametros!$A$11:$E$15,5,0),""))</f>
        <v/>
      </c>
      <c r="F2216" s="335">
        <f>IF(OR(D2216="",E2216=""),"",ROUND(D2216*E2216,2))</f>
        <v/>
      </c>
      <c r="G2216" s="106" t="n"/>
      <c r="H2216" s="350">
        <f>IF(G2216="Sim",IF(OR(F2216="",D2216="",L2216=""),"",IF(L2216="Sim",ROUND(F2216-D2216,2),0)),0)</f>
        <v/>
      </c>
      <c r="I2216" s="350">
        <f>IF(G2216="Sim",0,IF(OR(F2216="",L2216=""),"",F2216))</f>
        <v/>
      </c>
      <c r="J2216" s="350">
        <f>IF(G2216="Sim",0,IF(OR(F2216="",D2216="",L2216=""),"",IF(L2216="Sim",ROUND(F2216-D2216,2),0)))</f>
        <v/>
      </c>
      <c r="K2216" s="97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inlineStr">
        <is>
          <t>Nao</t>
        </is>
      </c>
      <c r="W2216" s="110" t="inlineStr">
        <is>
          <t>PC em analise</t>
        </is>
      </c>
      <c r="X2216" s="110" t="inlineStr">
        <is>
          <t>Pedido de Compra</t>
        </is>
      </c>
      <c r="Y2216" s="111" t="inlineStr">
        <is>
          <t>Impacto Potencial</t>
        </is>
      </c>
      <c r="Z2216" s="111" t="inlineStr">
        <is>
          <t>PC</t>
        </is>
      </c>
      <c r="AA2216" s="111" t="inlineStr">
        <is>
          <t>Nao</t>
        </is>
      </c>
      <c r="AB2216" s="111" t="inlineStr">
        <is>
          <t>NAO_COMPUTADO</t>
        </is>
      </c>
      <c r="AC2216" s="112" t="inlineStr">
        <is>
          <t>Estrutura Fase 1: sem impacto no VTA oficial</t>
        </is>
      </c>
    </row>
    <row r="2217" ht="25.5" customHeight="1" s="289">
      <c r="A2217" s="205" t="n"/>
      <c r="B2217" s="207" t="n"/>
      <c r="C2217" s="104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348" t="n"/>
      <c r="E2217" s="349">
        <f>IF(C2217="","",IFERROR(VLOOKUP(C2217,parametros!$A$11:$E$15,5,0),""))</f>
        <v/>
      </c>
      <c r="F2217" s="335">
        <f>IF(OR(D2217="",E2217=""),"",ROUND(D2217*E2217,2))</f>
        <v/>
      </c>
      <c r="G2217" s="106" t="n"/>
      <c r="H2217" s="350">
        <f>IF(G2217="Sim",IF(OR(F2217="",D2217="",L2217=""),"",IF(L2217="Sim",ROUND(F2217-D2217,2),0)),0)</f>
        <v/>
      </c>
      <c r="I2217" s="350">
        <f>IF(G2217="Sim",0,IF(OR(F2217="",L2217=""),"",F2217))</f>
        <v/>
      </c>
      <c r="J2217" s="350">
        <f>IF(G2217="Sim",0,IF(OR(F2217="",D2217="",L2217=""),"",IF(L2217="Sim",ROUND(F2217-D2217,2),0)))</f>
        <v/>
      </c>
      <c r="K2217" s="97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inlineStr">
        <is>
          <t>Nao</t>
        </is>
      </c>
      <c r="W2217" s="110" t="inlineStr">
        <is>
          <t>PC em analise</t>
        </is>
      </c>
      <c r="X2217" s="110" t="inlineStr">
        <is>
          <t>Pedido de Compra</t>
        </is>
      </c>
      <c r="Y2217" s="111" t="inlineStr">
        <is>
          <t>Impacto Potencial</t>
        </is>
      </c>
      <c r="Z2217" s="111" t="inlineStr">
        <is>
          <t>PC</t>
        </is>
      </c>
      <c r="AA2217" s="111" t="inlineStr">
        <is>
          <t>Nao</t>
        </is>
      </c>
      <c r="AB2217" s="111" t="inlineStr">
        <is>
          <t>NAO_COMPUTADO</t>
        </is>
      </c>
      <c r="AC2217" s="112" t="inlineStr">
        <is>
          <t>Estrutura Fase 1: sem impacto no VTA oficial</t>
        </is>
      </c>
    </row>
    <row r="2218" ht="25.5" customHeight="1" s="289">
      <c r="A2218" s="205" t="n"/>
      <c r="B2218" s="207" t="n"/>
      <c r="C2218" s="104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348" t="n"/>
      <c r="E2218" s="349">
        <f>IF(C2218="","",IFERROR(VLOOKUP(C2218,parametros!$A$11:$E$15,5,0),""))</f>
        <v/>
      </c>
      <c r="F2218" s="335">
        <f>IF(OR(D2218="",E2218=""),"",ROUND(D2218*E2218,2))</f>
        <v/>
      </c>
      <c r="G2218" s="106" t="n"/>
      <c r="H2218" s="350">
        <f>IF(G2218="Sim",IF(OR(F2218="",D2218="",L2218=""),"",IF(L2218="Sim",ROUND(F2218-D2218,2),0)),0)</f>
        <v/>
      </c>
      <c r="I2218" s="350">
        <f>IF(G2218="Sim",0,IF(OR(F2218="",L2218=""),"",F2218))</f>
        <v/>
      </c>
      <c r="J2218" s="350">
        <f>IF(G2218="Sim",0,IF(OR(F2218="",D2218="",L2218=""),"",IF(L2218="Sim",ROUND(F2218-D2218,2),0)))</f>
        <v/>
      </c>
      <c r="K2218" s="97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inlineStr">
        <is>
          <t>Nao</t>
        </is>
      </c>
      <c r="W2218" s="110" t="inlineStr">
        <is>
          <t>PC em analise</t>
        </is>
      </c>
      <c r="X2218" s="110" t="inlineStr">
        <is>
          <t>Pedido de Compra</t>
        </is>
      </c>
      <c r="Y2218" s="111" t="inlineStr">
        <is>
          <t>Impacto Potencial</t>
        </is>
      </c>
      <c r="Z2218" s="111" t="inlineStr">
        <is>
          <t>PC</t>
        </is>
      </c>
      <c r="AA2218" s="111" t="inlineStr">
        <is>
          <t>Nao</t>
        </is>
      </c>
      <c r="AB2218" s="111" t="inlineStr">
        <is>
          <t>NAO_COMPUTADO</t>
        </is>
      </c>
      <c r="AC2218" s="112" t="inlineStr">
        <is>
          <t>Estrutura Fase 1: sem impacto no VTA oficial</t>
        </is>
      </c>
    </row>
    <row r="2219" ht="25.5" customHeight="1" s="289">
      <c r="A2219" s="205" t="n"/>
      <c r="B2219" s="207" t="n"/>
      <c r="C2219" s="104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348" t="n"/>
      <c r="E2219" s="349">
        <f>IF(C2219="","",IFERROR(VLOOKUP(C2219,parametros!$A$11:$E$15,5,0),""))</f>
        <v/>
      </c>
      <c r="F2219" s="335">
        <f>IF(OR(D2219="",E2219=""),"",ROUND(D2219*E2219,2))</f>
        <v/>
      </c>
      <c r="G2219" s="106" t="n"/>
      <c r="H2219" s="350">
        <f>IF(G2219="Sim",IF(OR(F2219="",D2219="",L2219=""),"",IF(L2219="Sim",ROUND(F2219-D2219,2),0)),0)</f>
        <v/>
      </c>
      <c r="I2219" s="350">
        <f>IF(G2219="Sim",0,IF(OR(F2219="",L2219=""),"",F2219))</f>
        <v/>
      </c>
      <c r="J2219" s="350">
        <f>IF(G2219="Sim",0,IF(OR(F2219="",D2219="",L2219=""),"",IF(L2219="Sim",ROUND(F2219-D2219,2),0)))</f>
        <v/>
      </c>
      <c r="K2219" s="97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inlineStr">
        <is>
          <t>Nao</t>
        </is>
      </c>
      <c r="W2219" s="110" t="inlineStr">
        <is>
          <t>PC em analise</t>
        </is>
      </c>
      <c r="X2219" s="110" t="inlineStr">
        <is>
          <t>Pedido de Compra</t>
        </is>
      </c>
      <c r="Y2219" s="111" t="inlineStr">
        <is>
          <t>Impacto Potencial</t>
        </is>
      </c>
      <c r="Z2219" s="111" t="inlineStr">
        <is>
          <t>PC</t>
        </is>
      </c>
      <c r="AA2219" s="111" t="inlineStr">
        <is>
          <t>Nao</t>
        </is>
      </c>
      <c r="AB2219" s="111" t="inlineStr">
        <is>
          <t>NAO_COMPUTADO</t>
        </is>
      </c>
      <c r="AC2219" s="112" t="inlineStr">
        <is>
          <t>Estrutura Fase 1: sem impacto no VTA oficial</t>
        </is>
      </c>
    </row>
    <row r="2220" ht="25.5" customHeight="1" s="289">
      <c r="A2220" s="205" t="n"/>
      <c r="B2220" s="207" t="n"/>
      <c r="C2220" s="104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348" t="n"/>
      <c r="E2220" s="349">
        <f>IF(C2220="","",IFERROR(VLOOKUP(C2220,parametros!$A$11:$E$15,5,0),""))</f>
        <v/>
      </c>
      <c r="F2220" s="335">
        <f>IF(OR(D2220="",E2220=""),"",ROUND(D2220*E2220,2))</f>
        <v/>
      </c>
      <c r="G2220" s="106" t="n"/>
      <c r="H2220" s="350">
        <f>IF(G2220="Sim",IF(OR(F2220="",D2220="",L2220=""),"",IF(L2220="Sim",ROUND(F2220-D2220,2),0)),0)</f>
        <v/>
      </c>
      <c r="I2220" s="350">
        <f>IF(G2220="Sim",0,IF(OR(F2220="",L2220=""),"",F2220))</f>
        <v/>
      </c>
      <c r="J2220" s="350">
        <f>IF(G2220="Sim",0,IF(OR(F2220="",D2220="",L2220=""),"",IF(L2220="Sim",ROUND(F2220-D2220,2),0)))</f>
        <v/>
      </c>
      <c r="K2220" s="97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inlineStr">
        <is>
          <t>Nao</t>
        </is>
      </c>
      <c r="W2220" s="110" t="inlineStr">
        <is>
          <t>PC em analise</t>
        </is>
      </c>
      <c r="X2220" s="110" t="inlineStr">
        <is>
          <t>Pedido de Compra</t>
        </is>
      </c>
      <c r="Y2220" s="111" t="inlineStr">
        <is>
          <t>Impacto Potencial</t>
        </is>
      </c>
      <c r="Z2220" s="111" t="inlineStr">
        <is>
          <t>PC</t>
        </is>
      </c>
      <c r="AA2220" s="111" t="inlineStr">
        <is>
          <t>Nao</t>
        </is>
      </c>
      <c r="AB2220" s="111" t="inlineStr">
        <is>
          <t>NAO_COMPUTADO</t>
        </is>
      </c>
      <c r="AC2220" s="112" t="inlineStr">
        <is>
          <t>Estrutura Fase 1: sem impacto no VTA oficial</t>
        </is>
      </c>
    </row>
    <row r="2221" ht="25.5" customHeight="1" s="289">
      <c r="A2221" s="205" t="n"/>
      <c r="B2221" s="207" t="n"/>
      <c r="C2221" s="104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348" t="n"/>
      <c r="E2221" s="349">
        <f>IF(C2221="","",IFERROR(VLOOKUP(C2221,parametros!$A$11:$E$15,5,0),""))</f>
        <v/>
      </c>
      <c r="F2221" s="335">
        <f>IF(OR(D2221="",E2221=""),"",ROUND(D2221*E2221,2))</f>
        <v/>
      </c>
      <c r="G2221" s="106" t="n"/>
      <c r="H2221" s="350">
        <f>IF(G2221="Sim",IF(OR(F2221="",D2221="",L2221=""),"",IF(L2221="Sim",ROUND(F2221-D2221,2),0)),0)</f>
        <v/>
      </c>
      <c r="I2221" s="350">
        <f>IF(G2221="Sim",0,IF(OR(F2221="",L2221=""),"",F2221))</f>
        <v/>
      </c>
      <c r="J2221" s="350">
        <f>IF(G2221="Sim",0,IF(OR(F2221="",D2221="",L2221=""),"",IF(L2221="Sim",ROUND(F2221-D2221,2),0)))</f>
        <v/>
      </c>
      <c r="K2221" s="97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inlineStr">
        <is>
          <t>Nao</t>
        </is>
      </c>
      <c r="W2221" s="110" t="inlineStr">
        <is>
          <t>PC em analise</t>
        </is>
      </c>
      <c r="X2221" s="110" t="inlineStr">
        <is>
          <t>Pedido de Compra</t>
        </is>
      </c>
      <c r="Y2221" s="111" t="inlineStr">
        <is>
          <t>Impacto Potencial</t>
        </is>
      </c>
      <c r="Z2221" s="111" t="inlineStr">
        <is>
          <t>PC</t>
        </is>
      </c>
      <c r="AA2221" s="111" t="inlineStr">
        <is>
          <t>Nao</t>
        </is>
      </c>
      <c r="AB2221" s="111" t="inlineStr">
        <is>
          <t>NAO_COMPUTADO</t>
        </is>
      </c>
      <c r="AC2221" s="112" t="inlineStr">
        <is>
          <t>Estrutura Fase 1: sem impacto no VTA oficial</t>
        </is>
      </c>
    </row>
    <row r="2222" ht="25.5" customHeight="1" s="289">
      <c r="A2222" s="205" t="n"/>
      <c r="B2222" s="207" t="n"/>
      <c r="C2222" s="104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348" t="n"/>
      <c r="E2222" s="349">
        <f>IF(C2222="","",IFERROR(VLOOKUP(C2222,parametros!$A$11:$E$15,5,0),""))</f>
        <v/>
      </c>
      <c r="F2222" s="335">
        <f>IF(OR(D2222="",E2222=""),"",ROUND(D2222*E2222,2))</f>
        <v/>
      </c>
      <c r="G2222" s="106" t="n"/>
      <c r="H2222" s="350">
        <f>IF(G2222="Sim",IF(OR(F2222="",D2222="",L2222=""),"",IF(L2222="Sim",ROUND(F2222-D2222,2),0)),0)</f>
        <v/>
      </c>
      <c r="I2222" s="350">
        <f>IF(G2222="Sim",0,IF(OR(F2222="",L2222=""),"",F2222))</f>
        <v/>
      </c>
      <c r="J2222" s="350">
        <f>IF(G2222="Sim",0,IF(OR(F2222="",D2222="",L2222=""),"",IF(L2222="Sim",ROUND(F2222-D2222,2),0)))</f>
        <v/>
      </c>
      <c r="K2222" s="97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inlineStr">
        <is>
          <t>Nao</t>
        </is>
      </c>
      <c r="W2222" s="110" t="inlineStr">
        <is>
          <t>PC em analise</t>
        </is>
      </c>
      <c r="X2222" s="110" t="inlineStr">
        <is>
          <t>Pedido de Compra</t>
        </is>
      </c>
      <c r="Y2222" s="111" t="inlineStr">
        <is>
          <t>Impacto Potencial</t>
        </is>
      </c>
      <c r="Z2222" s="111" t="inlineStr">
        <is>
          <t>PC</t>
        </is>
      </c>
      <c r="AA2222" s="111" t="inlineStr">
        <is>
          <t>Nao</t>
        </is>
      </c>
      <c r="AB2222" s="111" t="inlineStr">
        <is>
          <t>NAO_COMPUTADO</t>
        </is>
      </c>
      <c r="AC2222" s="112" t="inlineStr">
        <is>
          <t>Estrutura Fase 1: sem impacto no VTA oficial</t>
        </is>
      </c>
    </row>
    <row r="2223" ht="25.5" customHeight="1" s="289">
      <c r="A2223" s="205" t="n"/>
      <c r="B2223" s="207" t="n"/>
      <c r="C2223" s="104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348" t="n"/>
      <c r="E2223" s="349">
        <f>IF(C2223="","",IFERROR(VLOOKUP(C2223,parametros!$A$11:$E$15,5,0),""))</f>
        <v/>
      </c>
      <c r="F2223" s="335">
        <f>IF(OR(D2223="",E2223=""),"",ROUND(D2223*E2223,2))</f>
        <v/>
      </c>
      <c r="G2223" s="106" t="n"/>
      <c r="H2223" s="350">
        <f>IF(G2223="Sim",IF(OR(F2223="",D2223="",L2223=""),"",IF(L2223="Sim",ROUND(F2223-D2223,2),0)),0)</f>
        <v/>
      </c>
      <c r="I2223" s="350">
        <f>IF(G2223="Sim",0,IF(OR(F2223="",L2223=""),"",F2223))</f>
        <v/>
      </c>
      <c r="J2223" s="350">
        <f>IF(G2223="Sim",0,IF(OR(F2223="",D2223="",L2223=""),"",IF(L2223="Sim",ROUND(F2223-D2223,2),0)))</f>
        <v/>
      </c>
      <c r="K2223" s="97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inlineStr">
        <is>
          <t>Nao</t>
        </is>
      </c>
      <c r="W2223" s="110" t="inlineStr">
        <is>
          <t>PC em analise</t>
        </is>
      </c>
      <c r="X2223" s="110" t="inlineStr">
        <is>
          <t>Pedido de Compra</t>
        </is>
      </c>
      <c r="Y2223" s="111" t="inlineStr">
        <is>
          <t>Impacto Potencial</t>
        </is>
      </c>
      <c r="Z2223" s="111" t="inlineStr">
        <is>
          <t>PC</t>
        </is>
      </c>
      <c r="AA2223" s="111" t="inlineStr">
        <is>
          <t>Nao</t>
        </is>
      </c>
      <c r="AB2223" s="111" t="inlineStr">
        <is>
          <t>NAO_COMPUTADO</t>
        </is>
      </c>
      <c r="AC2223" s="112" t="inlineStr">
        <is>
          <t>Estrutura Fase 1: sem impacto no VTA oficial</t>
        </is>
      </c>
    </row>
    <row r="2224" ht="25.5" customHeight="1" s="289">
      <c r="A2224" s="205" t="n"/>
      <c r="B2224" s="207" t="n"/>
      <c r="C2224" s="104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348" t="n"/>
      <c r="E2224" s="349">
        <f>IF(C2224="","",IFERROR(VLOOKUP(C2224,parametros!$A$11:$E$15,5,0),""))</f>
        <v/>
      </c>
      <c r="F2224" s="335">
        <f>IF(OR(D2224="",E2224=""),"",ROUND(D2224*E2224,2))</f>
        <v/>
      </c>
      <c r="G2224" s="106" t="n"/>
      <c r="H2224" s="350">
        <f>IF(G2224="Sim",IF(OR(F2224="",D2224="",L2224=""),"",IF(L2224="Sim",ROUND(F2224-D2224,2),0)),0)</f>
        <v/>
      </c>
      <c r="I2224" s="350">
        <f>IF(G2224="Sim",0,IF(OR(F2224="",L2224=""),"",F2224))</f>
        <v/>
      </c>
      <c r="J2224" s="350">
        <f>IF(G2224="Sim",0,IF(OR(F2224="",D2224="",L2224=""),"",IF(L2224="Sim",ROUND(F2224-D2224,2),0)))</f>
        <v/>
      </c>
      <c r="K2224" s="97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inlineStr">
        <is>
          <t>Nao</t>
        </is>
      </c>
      <c r="W2224" s="110" t="inlineStr">
        <is>
          <t>PC em analise</t>
        </is>
      </c>
      <c r="X2224" s="110" t="inlineStr">
        <is>
          <t>Pedido de Compra</t>
        </is>
      </c>
      <c r="Y2224" s="111" t="inlineStr">
        <is>
          <t>Impacto Potencial</t>
        </is>
      </c>
      <c r="Z2224" s="111" t="inlineStr">
        <is>
          <t>PC</t>
        </is>
      </c>
      <c r="AA2224" s="111" t="inlineStr">
        <is>
          <t>Nao</t>
        </is>
      </c>
      <c r="AB2224" s="111" t="inlineStr">
        <is>
          <t>NAO_COMPUTADO</t>
        </is>
      </c>
      <c r="AC2224" s="112" t="inlineStr">
        <is>
          <t>Estrutura Fase 1: sem impacto no VTA oficial</t>
        </is>
      </c>
    </row>
    <row r="2225" ht="25.5" customHeight="1" s="289">
      <c r="A2225" s="205" t="n"/>
      <c r="B2225" s="207" t="n"/>
      <c r="C2225" s="104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348" t="n"/>
      <c r="E2225" s="349">
        <f>IF(C2225="","",IFERROR(VLOOKUP(C2225,parametros!$A$11:$E$15,5,0),""))</f>
        <v/>
      </c>
      <c r="F2225" s="335">
        <f>IF(OR(D2225="",E2225=""),"",ROUND(D2225*E2225,2))</f>
        <v/>
      </c>
      <c r="G2225" s="106" t="n"/>
      <c r="H2225" s="350">
        <f>IF(G2225="Sim",IF(OR(F2225="",D2225="",L2225=""),"",IF(L2225="Sim",ROUND(F2225-D2225,2),0)),0)</f>
        <v/>
      </c>
      <c r="I2225" s="350">
        <f>IF(G2225="Sim",0,IF(OR(F2225="",L2225=""),"",F2225))</f>
        <v/>
      </c>
      <c r="J2225" s="350">
        <f>IF(G2225="Sim",0,IF(OR(F2225="",D2225="",L2225=""),"",IF(L2225="Sim",ROUND(F2225-D2225,2),0)))</f>
        <v/>
      </c>
      <c r="K2225" s="97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inlineStr">
        <is>
          <t>Nao</t>
        </is>
      </c>
      <c r="W2225" s="110" t="inlineStr">
        <is>
          <t>PC em analise</t>
        </is>
      </c>
      <c r="X2225" s="110" t="inlineStr">
        <is>
          <t>Pedido de Compra</t>
        </is>
      </c>
      <c r="Y2225" s="111" t="inlineStr">
        <is>
          <t>Impacto Potencial</t>
        </is>
      </c>
      <c r="Z2225" s="111" t="inlineStr">
        <is>
          <t>PC</t>
        </is>
      </c>
      <c r="AA2225" s="111" t="inlineStr">
        <is>
          <t>Nao</t>
        </is>
      </c>
      <c r="AB2225" s="111" t="inlineStr">
        <is>
          <t>NAO_COMPUTADO</t>
        </is>
      </c>
      <c r="AC2225" s="112" t="inlineStr">
        <is>
          <t>Estrutura Fase 1: sem impacto no VTA oficial</t>
        </is>
      </c>
    </row>
    <row r="2226" ht="25.5" customHeight="1" s="289">
      <c r="A2226" s="205" t="n"/>
      <c r="B2226" s="207" t="n"/>
      <c r="C2226" s="104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348" t="n"/>
      <c r="E2226" s="349">
        <f>IF(C2226="","",IFERROR(VLOOKUP(C2226,parametros!$A$11:$E$15,5,0),""))</f>
        <v/>
      </c>
      <c r="F2226" s="335">
        <f>IF(OR(D2226="",E2226=""),"",ROUND(D2226*E2226,2))</f>
        <v/>
      </c>
      <c r="G2226" s="106" t="n"/>
      <c r="H2226" s="350">
        <f>IF(G2226="Sim",IF(OR(F2226="",D2226="",L2226=""),"",IF(L2226="Sim",ROUND(F2226-D2226,2),0)),0)</f>
        <v/>
      </c>
      <c r="I2226" s="350">
        <f>IF(G2226="Sim",0,IF(OR(F2226="",L2226=""),"",F2226))</f>
        <v/>
      </c>
      <c r="J2226" s="350">
        <f>IF(G2226="Sim",0,IF(OR(F2226="",D2226="",L2226=""),"",IF(L2226="Sim",ROUND(F2226-D2226,2),0)))</f>
        <v/>
      </c>
      <c r="K2226" s="97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inlineStr">
        <is>
          <t>Nao</t>
        </is>
      </c>
      <c r="W2226" s="110" t="inlineStr">
        <is>
          <t>PC em analise</t>
        </is>
      </c>
      <c r="X2226" s="110" t="inlineStr">
        <is>
          <t>Pedido de Compra</t>
        </is>
      </c>
      <c r="Y2226" s="111" t="inlineStr">
        <is>
          <t>Impacto Potencial</t>
        </is>
      </c>
      <c r="Z2226" s="111" t="inlineStr">
        <is>
          <t>PC</t>
        </is>
      </c>
      <c r="AA2226" s="111" t="inlineStr">
        <is>
          <t>Nao</t>
        </is>
      </c>
      <c r="AB2226" s="111" t="inlineStr">
        <is>
          <t>NAO_COMPUTADO</t>
        </is>
      </c>
      <c r="AC2226" s="112" t="inlineStr">
        <is>
          <t>Estrutura Fase 1: sem impacto no VTA oficial</t>
        </is>
      </c>
    </row>
    <row r="2227" ht="25.5" customHeight="1" s="289">
      <c r="A2227" s="205" t="n"/>
      <c r="B2227" s="207" t="n"/>
      <c r="C2227" s="104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348" t="n"/>
      <c r="E2227" s="349">
        <f>IF(C2227="","",IFERROR(VLOOKUP(C2227,parametros!$A$11:$E$15,5,0),""))</f>
        <v/>
      </c>
      <c r="F2227" s="335">
        <f>IF(OR(D2227="",E2227=""),"",ROUND(D2227*E2227,2))</f>
        <v/>
      </c>
      <c r="G2227" s="106" t="n"/>
      <c r="H2227" s="350">
        <f>IF(G2227="Sim",IF(OR(F2227="",D2227="",L2227=""),"",IF(L2227="Sim",ROUND(F2227-D2227,2),0)),0)</f>
        <v/>
      </c>
      <c r="I2227" s="350">
        <f>IF(G2227="Sim",0,IF(OR(F2227="",L2227=""),"",F2227))</f>
        <v/>
      </c>
      <c r="J2227" s="350">
        <f>IF(G2227="Sim",0,IF(OR(F2227="",D2227="",L2227=""),"",IF(L2227="Sim",ROUND(F2227-D2227,2),0)))</f>
        <v/>
      </c>
      <c r="K2227" s="97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inlineStr">
        <is>
          <t>Nao</t>
        </is>
      </c>
      <c r="W2227" s="110" t="inlineStr">
        <is>
          <t>PC em analise</t>
        </is>
      </c>
      <c r="X2227" s="110" t="inlineStr">
        <is>
          <t>Pedido de Compra</t>
        </is>
      </c>
      <c r="Y2227" s="111" t="inlineStr">
        <is>
          <t>Impacto Potencial</t>
        </is>
      </c>
      <c r="Z2227" s="111" t="inlineStr">
        <is>
          <t>PC</t>
        </is>
      </c>
      <c r="AA2227" s="111" t="inlineStr">
        <is>
          <t>Nao</t>
        </is>
      </c>
      <c r="AB2227" s="111" t="inlineStr">
        <is>
          <t>NAO_COMPUTADO</t>
        </is>
      </c>
      <c r="AC2227" s="112" t="inlineStr">
        <is>
          <t>Estrutura Fase 1: sem impacto no VTA oficial</t>
        </is>
      </c>
    </row>
    <row r="2228" ht="25.5" customHeight="1" s="289">
      <c r="A2228" s="205" t="n"/>
      <c r="B2228" s="207" t="n"/>
      <c r="C2228" s="104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348" t="n"/>
      <c r="E2228" s="349">
        <f>IF(C2228="","",IFERROR(VLOOKUP(C2228,parametros!$A$11:$E$15,5,0),""))</f>
        <v/>
      </c>
      <c r="F2228" s="335">
        <f>IF(OR(D2228="",E2228=""),"",ROUND(D2228*E2228,2))</f>
        <v/>
      </c>
      <c r="G2228" s="106" t="n"/>
      <c r="H2228" s="350">
        <f>IF(G2228="Sim",IF(OR(F2228="",D2228="",L2228=""),"",IF(L2228="Sim",ROUND(F2228-D2228,2),0)),0)</f>
        <v/>
      </c>
      <c r="I2228" s="350">
        <f>IF(G2228="Sim",0,IF(OR(F2228="",L2228=""),"",F2228))</f>
        <v/>
      </c>
      <c r="J2228" s="350">
        <f>IF(G2228="Sim",0,IF(OR(F2228="",D2228="",L2228=""),"",IF(L2228="Sim",ROUND(F2228-D2228,2),0)))</f>
        <v/>
      </c>
      <c r="K2228" s="97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inlineStr">
        <is>
          <t>Nao</t>
        </is>
      </c>
      <c r="W2228" s="110" t="inlineStr">
        <is>
          <t>PC em analise</t>
        </is>
      </c>
      <c r="X2228" s="110" t="inlineStr">
        <is>
          <t>Pedido de Compra</t>
        </is>
      </c>
      <c r="Y2228" s="111" t="inlineStr">
        <is>
          <t>Impacto Potencial</t>
        </is>
      </c>
      <c r="Z2228" s="111" t="inlineStr">
        <is>
          <t>PC</t>
        </is>
      </c>
      <c r="AA2228" s="111" t="inlineStr">
        <is>
          <t>Nao</t>
        </is>
      </c>
      <c r="AB2228" s="111" t="inlineStr">
        <is>
          <t>NAO_COMPUTADO</t>
        </is>
      </c>
      <c r="AC2228" s="112" t="inlineStr">
        <is>
          <t>Estrutura Fase 1: sem impacto no VTA oficial</t>
        </is>
      </c>
    </row>
    <row r="2229" ht="25.5" customHeight="1" s="289">
      <c r="A2229" s="205" t="n"/>
      <c r="B2229" s="207" t="n"/>
      <c r="C2229" s="104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348" t="n"/>
      <c r="E2229" s="349">
        <f>IF(C2229="","",IFERROR(VLOOKUP(C2229,parametros!$A$11:$E$15,5,0),""))</f>
        <v/>
      </c>
      <c r="F2229" s="335">
        <f>IF(OR(D2229="",E2229=""),"",ROUND(D2229*E2229,2))</f>
        <v/>
      </c>
      <c r="G2229" s="106" t="n"/>
      <c r="H2229" s="350">
        <f>IF(G2229="Sim",IF(OR(F2229="",D2229="",L2229=""),"",IF(L2229="Sim",ROUND(F2229-D2229,2),0)),0)</f>
        <v/>
      </c>
      <c r="I2229" s="350">
        <f>IF(G2229="Sim",0,IF(OR(F2229="",L2229=""),"",F2229))</f>
        <v/>
      </c>
      <c r="J2229" s="350">
        <f>IF(G2229="Sim",0,IF(OR(F2229="",D2229="",L2229=""),"",IF(L2229="Sim",ROUND(F2229-D2229,2),0)))</f>
        <v/>
      </c>
      <c r="K2229" s="97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inlineStr">
        <is>
          <t>Nao</t>
        </is>
      </c>
      <c r="W2229" s="110" t="inlineStr">
        <is>
          <t>PC em analise</t>
        </is>
      </c>
      <c r="X2229" s="110" t="inlineStr">
        <is>
          <t>Pedido de Compra</t>
        </is>
      </c>
      <c r="Y2229" s="111" t="inlineStr">
        <is>
          <t>Impacto Potencial</t>
        </is>
      </c>
      <c r="Z2229" s="111" t="inlineStr">
        <is>
          <t>PC</t>
        </is>
      </c>
      <c r="AA2229" s="111" t="inlineStr">
        <is>
          <t>Nao</t>
        </is>
      </c>
      <c r="AB2229" s="111" t="inlineStr">
        <is>
          <t>NAO_COMPUTADO</t>
        </is>
      </c>
      <c r="AC2229" s="112" t="inlineStr">
        <is>
          <t>Estrutura Fase 1: sem impacto no VTA oficial</t>
        </is>
      </c>
    </row>
    <row r="2230" ht="25.5" customHeight="1" s="289">
      <c r="A2230" s="205" t="n"/>
      <c r="B2230" s="207" t="n"/>
      <c r="C2230" s="104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348" t="n"/>
      <c r="E2230" s="349">
        <f>IF(C2230="","",IFERROR(VLOOKUP(C2230,parametros!$A$11:$E$15,5,0),""))</f>
        <v/>
      </c>
      <c r="F2230" s="335">
        <f>IF(OR(D2230="",E2230=""),"",ROUND(D2230*E2230,2))</f>
        <v/>
      </c>
      <c r="G2230" s="106" t="n"/>
      <c r="H2230" s="350">
        <f>IF(G2230="Sim",IF(OR(F2230="",D2230="",L2230=""),"",IF(L2230="Sim",ROUND(F2230-D2230,2),0)),0)</f>
        <v/>
      </c>
      <c r="I2230" s="350">
        <f>IF(G2230="Sim",0,IF(OR(F2230="",L2230=""),"",F2230))</f>
        <v/>
      </c>
      <c r="J2230" s="350">
        <f>IF(G2230="Sim",0,IF(OR(F2230="",D2230="",L2230=""),"",IF(L2230="Sim",ROUND(F2230-D2230,2),0)))</f>
        <v/>
      </c>
      <c r="K2230" s="97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inlineStr">
        <is>
          <t>Nao</t>
        </is>
      </c>
      <c r="W2230" s="110" t="inlineStr">
        <is>
          <t>PC em analise</t>
        </is>
      </c>
      <c r="X2230" s="110" t="inlineStr">
        <is>
          <t>Pedido de Compra</t>
        </is>
      </c>
      <c r="Y2230" s="111" t="inlineStr">
        <is>
          <t>Impacto Potencial</t>
        </is>
      </c>
      <c r="Z2230" s="111" t="inlineStr">
        <is>
          <t>PC</t>
        </is>
      </c>
      <c r="AA2230" s="111" t="inlineStr">
        <is>
          <t>Nao</t>
        </is>
      </c>
      <c r="AB2230" s="111" t="inlineStr">
        <is>
          <t>NAO_COMPUTADO</t>
        </is>
      </c>
      <c r="AC2230" s="112" t="inlineStr">
        <is>
          <t>Estrutura Fase 1: sem impacto no VTA oficial</t>
        </is>
      </c>
    </row>
    <row r="2231" ht="25.5" customHeight="1" s="289">
      <c r="A2231" s="205" t="n"/>
      <c r="B2231" s="207" t="n"/>
      <c r="C2231" s="104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348" t="n"/>
      <c r="E2231" s="349">
        <f>IF(C2231="","",IFERROR(VLOOKUP(C2231,parametros!$A$11:$E$15,5,0),""))</f>
        <v/>
      </c>
      <c r="F2231" s="335">
        <f>IF(OR(D2231="",E2231=""),"",ROUND(D2231*E2231,2))</f>
        <v/>
      </c>
      <c r="G2231" s="106" t="n"/>
      <c r="H2231" s="350">
        <f>IF(G2231="Sim",IF(OR(F2231="",D2231="",L2231=""),"",IF(L2231="Sim",ROUND(F2231-D2231,2),0)),0)</f>
        <v/>
      </c>
      <c r="I2231" s="350">
        <f>IF(G2231="Sim",0,IF(OR(F2231="",L2231=""),"",F2231))</f>
        <v/>
      </c>
      <c r="J2231" s="350">
        <f>IF(G2231="Sim",0,IF(OR(F2231="",D2231="",L2231=""),"",IF(L2231="Sim",ROUND(F2231-D2231,2),0)))</f>
        <v/>
      </c>
      <c r="K2231" s="97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inlineStr">
        <is>
          <t>Nao</t>
        </is>
      </c>
      <c r="W2231" s="110" t="inlineStr">
        <is>
          <t>PC em analise</t>
        </is>
      </c>
      <c r="X2231" s="110" t="inlineStr">
        <is>
          <t>Pedido de Compra</t>
        </is>
      </c>
      <c r="Y2231" s="111" t="inlineStr">
        <is>
          <t>Impacto Potencial</t>
        </is>
      </c>
      <c r="Z2231" s="111" t="inlineStr">
        <is>
          <t>PC</t>
        </is>
      </c>
      <c r="AA2231" s="111" t="inlineStr">
        <is>
          <t>Nao</t>
        </is>
      </c>
      <c r="AB2231" s="111" t="inlineStr">
        <is>
          <t>NAO_COMPUTADO</t>
        </is>
      </c>
      <c r="AC2231" s="112" t="inlineStr">
        <is>
          <t>Estrutura Fase 1: sem impacto no VTA oficial</t>
        </is>
      </c>
    </row>
    <row r="2232" ht="25.5" customHeight="1" s="289">
      <c r="A2232" s="205" t="n"/>
      <c r="B2232" s="207" t="n"/>
      <c r="C2232" s="104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348" t="n"/>
      <c r="E2232" s="349">
        <f>IF(C2232="","",IFERROR(VLOOKUP(C2232,parametros!$A$11:$E$15,5,0),""))</f>
        <v/>
      </c>
      <c r="F2232" s="335">
        <f>IF(OR(D2232="",E2232=""),"",ROUND(D2232*E2232,2))</f>
        <v/>
      </c>
      <c r="G2232" s="106" t="n"/>
      <c r="H2232" s="350">
        <f>IF(G2232="Sim",IF(OR(F2232="",D2232="",L2232=""),"",IF(L2232="Sim",ROUND(F2232-D2232,2),0)),0)</f>
        <v/>
      </c>
      <c r="I2232" s="350">
        <f>IF(G2232="Sim",0,IF(OR(F2232="",L2232=""),"",F2232))</f>
        <v/>
      </c>
      <c r="J2232" s="350">
        <f>IF(G2232="Sim",0,IF(OR(F2232="",D2232="",L2232=""),"",IF(L2232="Sim",ROUND(F2232-D2232,2),0)))</f>
        <v/>
      </c>
      <c r="K2232" s="97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inlineStr">
        <is>
          <t>Nao</t>
        </is>
      </c>
      <c r="W2232" s="110" t="inlineStr">
        <is>
          <t>PC em analise</t>
        </is>
      </c>
      <c r="X2232" s="110" t="inlineStr">
        <is>
          <t>Pedido de Compra</t>
        </is>
      </c>
      <c r="Y2232" s="111" t="inlineStr">
        <is>
          <t>Impacto Potencial</t>
        </is>
      </c>
      <c r="Z2232" s="111" t="inlineStr">
        <is>
          <t>PC</t>
        </is>
      </c>
      <c r="AA2232" s="111" t="inlineStr">
        <is>
          <t>Nao</t>
        </is>
      </c>
      <c r="AB2232" s="111" t="inlineStr">
        <is>
          <t>NAO_COMPUTADO</t>
        </is>
      </c>
      <c r="AC2232" s="112" t="inlineStr">
        <is>
          <t>Estrutura Fase 1: sem impacto no VTA oficial</t>
        </is>
      </c>
    </row>
    <row r="2233" ht="25.5" customHeight="1" s="289">
      <c r="A2233" s="205" t="n"/>
      <c r="B2233" s="207" t="n"/>
      <c r="C2233" s="104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348" t="n"/>
      <c r="E2233" s="349">
        <f>IF(C2233="","",IFERROR(VLOOKUP(C2233,parametros!$A$11:$E$15,5,0),""))</f>
        <v/>
      </c>
      <c r="F2233" s="335">
        <f>IF(OR(D2233="",E2233=""),"",ROUND(D2233*E2233,2))</f>
        <v/>
      </c>
      <c r="G2233" s="106" t="n"/>
      <c r="H2233" s="350">
        <f>IF(G2233="Sim",IF(OR(F2233="",D2233="",L2233=""),"",IF(L2233="Sim",ROUND(F2233-D2233,2),0)),0)</f>
        <v/>
      </c>
      <c r="I2233" s="350">
        <f>IF(G2233="Sim",0,IF(OR(F2233="",L2233=""),"",F2233))</f>
        <v/>
      </c>
      <c r="J2233" s="350">
        <f>IF(G2233="Sim",0,IF(OR(F2233="",D2233="",L2233=""),"",IF(L2233="Sim",ROUND(F2233-D2233,2),0)))</f>
        <v/>
      </c>
      <c r="K2233" s="97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inlineStr">
        <is>
          <t>Nao</t>
        </is>
      </c>
      <c r="W2233" s="110" t="inlineStr">
        <is>
          <t>PC em analise</t>
        </is>
      </c>
      <c r="X2233" s="110" t="inlineStr">
        <is>
          <t>Pedido de Compra</t>
        </is>
      </c>
      <c r="Y2233" s="111" t="inlineStr">
        <is>
          <t>Impacto Potencial</t>
        </is>
      </c>
      <c r="Z2233" s="111" t="inlineStr">
        <is>
          <t>PC</t>
        </is>
      </c>
      <c r="AA2233" s="111" t="inlineStr">
        <is>
          <t>Nao</t>
        </is>
      </c>
      <c r="AB2233" s="111" t="inlineStr">
        <is>
          <t>NAO_COMPUTADO</t>
        </is>
      </c>
      <c r="AC2233" s="112" t="inlineStr">
        <is>
          <t>Estrutura Fase 1: sem impacto no VTA oficial</t>
        </is>
      </c>
    </row>
    <row r="2234" ht="25.5" customHeight="1" s="289">
      <c r="A2234" s="205" t="n"/>
      <c r="B2234" s="207" t="n"/>
      <c r="C2234" s="104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348" t="n"/>
      <c r="E2234" s="349">
        <f>IF(C2234="","",IFERROR(VLOOKUP(C2234,parametros!$A$11:$E$15,5,0),""))</f>
        <v/>
      </c>
      <c r="F2234" s="335">
        <f>IF(OR(D2234="",E2234=""),"",ROUND(D2234*E2234,2))</f>
        <v/>
      </c>
      <c r="G2234" s="106" t="n"/>
      <c r="H2234" s="350">
        <f>IF(G2234="Sim",IF(OR(F2234="",D2234="",L2234=""),"",IF(L2234="Sim",ROUND(F2234-D2234,2),0)),0)</f>
        <v/>
      </c>
      <c r="I2234" s="350">
        <f>IF(G2234="Sim",0,IF(OR(F2234="",L2234=""),"",F2234))</f>
        <v/>
      </c>
      <c r="J2234" s="350">
        <f>IF(G2234="Sim",0,IF(OR(F2234="",D2234="",L2234=""),"",IF(L2234="Sim",ROUND(F2234-D2234,2),0)))</f>
        <v/>
      </c>
      <c r="K2234" s="97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inlineStr">
        <is>
          <t>Nao</t>
        </is>
      </c>
      <c r="W2234" s="110" t="inlineStr">
        <is>
          <t>PC em analise</t>
        </is>
      </c>
      <c r="X2234" s="110" t="inlineStr">
        <is>
          <t>Pedido de Compra</t>
        </is>
      </c>
      <c r="Y2234" s="111" t="inlineStr">
        <is>
          <t>Impacto Potencial</t>
        </is>
      </c>
      <c r="Z2234" s="111" t="inlineStr">
        <is>
          <t>PC</t>
        </is>
      </c>
      <c r="AA2234" s="111" t="inlineStr">
        <is>
          <t>Nao</t>
        </is>
      </c>
      <c r="AB2234" s="111" t="inlineStr">
        <is>
          <t>NAO_COMPUTADO</t>
        </is>
      </c>
      <c r="AC2234" s="112" t="inlineStr">
        <is>
          <t>Estrutura Fase 1: sem impacto no VTA oficial</t>
        </is>
      </c>
    </row>
    <row r="2235" ht="25.5" customHeight="1" s="289">
      <c r="A2235" s="205" t="n"/>
      <c r="B2235" s="207" t="n"/>
      <c r="C2235" s="104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348" t="n"/>
      <c r="E2235" s="349">
        <f>IF(C2235="","",IFERROR(VLOOKUP(C2235,parametros!$A$11:$E$15,5,0),""))</f>
        <v/>
      </c>
      <c r="F2235" s="335">
        <f>IF(OR(D2235="",E2235=""),"",ROUND(D2235*E2235,2))</f>
        <v/>
      </c>
      <c r="G2235" s="106" t="n"/>
      <c r="H2235" s="350">
        <f>IF(G2235="Sim",IF(OR(F2235="",D2235="",L2235=""),"",IF(L2235="Sim",ROUND(F2235-D2235,2),0)),0)</f>
        <v/>
      </c>
      <c r="I2235" s="350">
        <f>IF(G2235="Sim",0,IF(OR(F2235="",L2235=""),"",F2235))</f>
        <v/>
      </c>
      <c r="J2235" s="350">
        <f>IF(G2235="Sim",0,IF(OR(F2235="",D2235="",L2235=""),"",IF(L2235="Sim",ROUND(F2235-D2235,2),0)))</f>
        <v/>
      </c>
      <c r="K2235" s="97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inlineStr">
        <is>
          <t>Nao</t>
        </is>
      </c>
      <c r="W2235" s="110" t="inlineStr">
        <is>
          <t>PC em analise</t>
        </is>
      </c>
      <c r="X2235" s="110" t="inlineStr">
        <is>
          <t>Pedido de Compra</t>
        </is>
      </c>
      <c r="Y2235" s="111" t="inlineStr">
        <is>
          <t>Impacto Potencial</t>
        </is>
      </c>
      <c r="Z2235" s="111" t="inlineStr">
        <is>
          <t>PC</t>
        </is>
      </c>
      <c r="AA2235" s="111" t="inlineStr">
        <is>
          <t>Nao</t>
        </is>
      </c>
      <c r="AB2235" s="111" t="inlineStr">
        <is>
          <t>NAO_COMPUTADO</t>
        </is>
      </c>
      <c r="AC2235" s="112" t="inlineStr">
        <is>
          <t>Estrutura Fase 1: sem impacto no VTA oficial</t>
        </is>
      </c>
    </row>
    <row r="2236" ht="25.5" customHeight="1" s="289">
      <c r="A2236" s="205" t="n"/>
      <c r="B2236" s="207" t="n"/>
      <c r="C2236" s="104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348" t="n"/>
      <c r="E2236" s="349">
        <f>IF(C2236="","",IFERROR(VLOOKUP(C2236,parametros!$A$11:$E$15,5,0),""))</f>
        <v/>
      </c>
      <c r="F2236" s="335">
        <f>IF(OR(D2236="",E2236=""),"",ROUND(D2236*E2236,2))</f>
        <v/>
      </c>
      <c r="G2236" s="106" t="n"/>
      <c r="H2236" s="350">
        <f>IF(G2236="Sim",IF(OR(F2236="",D2236="",L2236=""),"",IF(L2236="Sim",ROUND(F2236-D2236,2),0)),0)</f>
        <v/>
      </c>
      <c r="I2236" s="350">
        <f>IF(G2236="Sim",0,IF(OR(F2236="",L2236=""),"",F2236))</f>
        <v/>
      </c>
      <c r="J2236" s="350">
        <f>IF(G2236="Sim",0,IF(OR(F2236="",D2236="",L2236=""),"",IF(L2236="Sim",ROUND(F2236-D2236,2),0)))</f>
        <v/>
      </c>
      <c r="K2236" s="97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inlineStr">
        <is>
          <t>Nao</t>
        </is>
      </c>
      <c r="W2236" s="110" t="inlineStr">
        <is>
          <t>PC em analise</t>
        </is>
      </c>
      <c r="X2236" s="110" t="inlineStr">
        <is>
          <t>Pedido de Compra</t>
        </is>
      </c>
      <c r="Y2236" s="111" t="inlineStr">
        <is>
          <t>Impacto Potencial</t>
        </is>
      </c>
      <c r="Z2236" s="111" t="inlineStr">
        <is>
          <t>PC</t>
        </is>
      </c>
      <c r="AA2236" s="111" t="inlineStr">
        <is>
          <t>Nao</t>
        </is>
      </c>
      <c r="AB2236" s="111" t="inlineStr">
        <is>
          <t>NAO_COMPUTADO</t>
        </is>
      </c>
      <c r="AC2236" s="112" t="inlineStr">
        <is>
          <t>Estrutura Fase 1: sem impacto no VTA oficial</t>
        </is>
      </c>
    </row>
    <row r="2237" ht="25.5" customHeight="1" s="289">
      <c r="A2237" s="205" t="n"/>
      <c r="B2237" s="207" t="n"/>
      <c r="C2237" s="104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348" t="n"/>
      <c r="E2237" s="349">
        <f>IF(C2237="","",IFERROR(VLOOKUP(C2237,parametros!$A$11:$E$15,5,0),""))</f>
        <v/>
      </c>
      <c r="F2237" s="335">
        <f>IF(OR(D2237="",E2237=""),"",ROUND(D2237*E2237,2))</f>
        <v/>
      </c>
      <c r="G2237" s="106" t="n"/>
      <c r="H2237" s="350">
        <f>IF(G2237="Sim",IF(OR(F2237="",D2237="",L2237=""),"",IF(L2237="Sim",ROUND(F2237-D2237,2),0)),0)</f>
        <v/>
      </c>
      <c r="I2237" s="350">
        <f>IF(G2237="Sim",0,IF(OR(F2237="",L2237=""),"",F2237))</f>
        <v/>
      </c>
      <c r="J2237" s="350">
        <f>IF(G2237="Sim",0,IF(OR(F2237="",D2237="",L2237=""),"",IF(L2237="Sim",ROUND(F2237-D2237,2),0)))</f>
        <v/>
      </c>
      <c r="K2237" s="97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inlineStr">
        <is>
          <t>Nao</t>
        </is>
      </c>
      <c r="W2237" s="110" t="inlineStr">
        <is>
          <t>PC em analise</t>
        </is>
      </c>
      <c r="X2237" s="110" t="inlineStr">
        <is>
          <t>Pedido de Compra</t>
        </is>
      </c>
      <c r="Y2237" s="111" t="inlineStr">
        <is>
          <t>Impacto Potencial</t>
        </is>
      </c>
      <c r="Z2237" s="111" t="inlineStr">
        <is>
          <t>PC</t>
        </is>
      </c>
      <c r="AA2237" s="111" t="inlineStr">
        <is>
          <t>Nao</t>
        </is>
      </c>
      <c r="AB2237" s="111" t="inlineStr">
        <is>
          <t>NAO_COMPUTADO</t>
        </is>
      </c>
      <c r="AC2237" s="112" t="inlineStr">
        <is>
          <t>Estrutura Fase 1: sem impacto no VTA oficial</t>
        </is>
      </c>
    </row>
    <row r="2238" ht="25.5" customHeight="1" s="289">
      <c r="A2238" s="205" t="n"/>
      <c r="B2238" s="207" t="n"/>
      <c r="C2238" s="104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348" t="n"/>
      <c r="E2238" s="349">
        <f>IF(C2238="","",IFERROR(VLOOKUP(C2238,parametros!$A$11:$E$15,5,0),""))</f>
        <v/>
      </c>
      <c r="F2238" s="335">
        <f>IF(OR(D2238="",E2238=""),"",ROUND(D2238*E2238,2))</f>
        <v/>
      </c>
      <c r="G2238" s="106" t="n"/>
      <c r="H2238" s="350">
        <f>IF(G2238="Sim",IF(OR(F2238="",D2238="",L2238=""),"",IF(L2238="Sim",ROUND(F2238-D2238,2),0)),0)</f>
        <v/>
      </c>
      <c r="I2238" s="350">
        <f>IF(G2238="Sim",0,IF(OR(F2238="",L2238=""),"",F2238))</f>
        <v/>
      </c>
      <c r="J2238" s="350">
        <f>IF(G2238="Sim",0,IF(OR(F2238="",D2238="",L2238=""),"",IF(L2238="Sim",ROUND(F2238-D2238,2),0)))</f>
        <v/>
      </c>
      <c r="K2238" s="97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inlineStr">
        <is>
          <t>Nao</t>
        </is>
      </c>
      <c r="W2238" s="110" t="inlineStr">
        <is>
          <t>PC em analise</t>
        </is>
      </c>
      <c r="X2238" s="110" t="inlineStr">
        <is>
          <t>Pedido de Compra</t>
        </is>
      </c>
      <c r="Y2238" s="111" t="inlineStr">
        <is>
          <t>Impacto Potencial</t>
        </is>
      </c>
      <c r="Z2238" s="111" t="inlineStr">
        <is>
          <t>PC</t>
        </is>
      </c>
      <c r="AA2238" s="111" t="inlineStr">
        <is>
          <t>Nao</t>
        </is>
      </c>
      <c r="AB2238" s="111" t="inlineStr">
        <is>
          <t>NAO_COMPUTADO</t>
        </is>
      </c>
      <c r="AC2238" s="112" t="inlineStr">
        <is>
          <t>Estrutura Fase 1: sem impacto no VTA oficial</t>
        </is>
      </c>
    </row>
    <row r="2239" ht="25.5" customHeight="1" s="289">
      <c r="A2239" s="205" t="n"/>
      <c r="B2239" s="207" t="n"/>
      <c r="C2239" s="104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348" t="n"/>
      <c r="E2239" s="349">
        <f>IF(C2239="","",IFERROR(VLOOKUP(C2239,parametros!$A$11:$E$15,5,0),""))</f>
        <v/>
      </c>
      <c r="F2239" s="335">
        <f>IF(OR(D2239="",E2239=""),"",ROUND(D2239*E2239,2))</f>
        <v/>
      </c>
      <c r="G2239" s="106" t="n"/>
      <c r="H2239" s="350">
        <f>IF(G2239="Sim",IF(OR(F2239="",D2239="",L2239=""),"",IF(L2239="Sim",ROUND(F2239-D2239,2),0)),0)</f>
        <v/>
      </c>
      <c r="I2239" s="350">
        <f>IF(G2239="Sim",0,IF(OR(F2239="",L2239=""),"",F2239))</f>
        <v/>
      </c>
      <c r="J2239" s="350">
        <f>IF(G2239="Sim",0,IF(OR(F2239="",D2239="",L2239=""),"",IF(L2239="Sim",ROUND(F2239-D2239,2),0)))</f>
        <v/>
      </c>
      <c r="K2239" s="97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inlineStr">
        <is>
          <t>Nao</t>
        </is>
      </c>
      <c r="W2239" s="110" t="inlineStr">
        <is>
          <t>PC em analise</t>
        </is>
      </c>
      <c r="X2239" s="110" t="inlineStr">
        <is>
          <t>Pedido de Compra</t>
        </is>
      </c>
      <c r="Y2239" s="111" t="inlineStr">
        <is>
          <t>Impacto Potencial</t>
        </is>
      </c>
      <c r="Z2239" s="111" t="inlineStr">
        <is>
          <t>PC</t>
        </is>
      </c>
      <c r="AA2239" s="111" t="inlineStr">
        <is>
          <t>Nao</t>
        </is>
      </c>
      <c r="AB2239" s="111" t="inlineStr">
        <is>
          <t>NAO_COMPUTADO</t>
        </is>
      </c>
      <c r="AC2239" s="112" t="inlineStr">
        <is>
          <t>Estrutura Fase 1: sem impacto no VTA oficial</t>
        </is>
      </c>
    </row>
    <row r="2240" ht="25.5" customHeight="1" s="289">
      <c r="A2240" s="205" t="n"/>
      <c r="B2240" s="207" t="n"/>
      <c r="C2240" s="104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348" t="n"/>
      <c r="E2240" s="349">
        <f>IF(C2240="","",IFERROR(VLOOKUP(C2240,parametros!$A$11:$E$15,5,0),""))</f>
        <v/>
      </c>
      <c r="F2240" s="335">
        <f>IF(OR(D2240="",E2240=""),"",ROUND(D2240*E2240,2))</f>
        <v/>
      </c>
      <c r="G2240" s="106" t="n"/>
      <c r="H2240" s="350">
        <f>IF(G2240="Sim",IF(OR(F2240="",D2240="",L2240=""),"",IF(L2240="Sim",ROUND(F2240-D2240,2),0)),0)</f>
        <v/>
      </c>
      <c r="I2240" s="350">
        <f>IF(G2240="Sim",0,IF(OR(F2240="",L2240=""),"",F2240))</f>
        <v/>
      </c>
      <c r="J2240" s="350">
        <f>IF(G2240="Sim",0,IF(OR(F2240="",D2240="",L2240=""),"",IF(L2240="Sim",ROUND(F2240-D2240,2),0)))</f>
        <v/>
      </c>
      <c r="K2240" s="97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inlineStr">
        <is>
          <t>Nao</t>
        </is>
      </c>
      <c r="W2240" s="110" t="inlineStr">
        <is>
          <t>PC em analise</t>
        </is>
      </c>
      <c r="X2240" s="110" t="inlineStr">
        <is>
          <t>Pedido de Compra</t>
        </is>
      </c>
      <c r="Y2240" s="111" t="inlineStr">
        <is>
          <t>Impacto Potencial</t>
        </is>
      </c>
      <c r="Z2240" s="111" t="inlineStr">
        <is>
          <t>PC</t>
        </is>
      </c>
      <c r="AA2240" s="111" t="inlineStr">
        <is>
          <t>Nao</t>
        </is>
      </c>
      <c r="AB2240" s="111" t="inlineStr">
        <is>
          <t>NAO_COMPUTADO</t>
        </is>
      </c>
      <c r="AC2240" s="112" t="inlineStr">
        <is>
          <t>Estrutura Fase 1: sem impacto no VTA oficial</t>
        </is>
      </c>
    </row>
    <row r="2241" ht="25.5" customHeight="1" s="289">
      <c r="A2241" s="205" t="n"/>
      <c r="B2241" s="207" t="n"/>
      <c r="C2241" s="104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348" t="n"/>
      <c r="E2241" s="349">
        <f>IF(C2241="","",IFERROR(VLOOKUP(C2241,parametros!$A$11:$E$15,5,0),""))</f>
        <v/>
      </c>
      <c r="F2241" s="335">
        <f>IF(OR(D2241="",E2241=""),"",ROUND(D2241*E2241,2))</f>
        <v/>
      </c>
      <c r="G2241" s="106" t="n"/>
      <c r="H2241" s="350">
        <f>IF(G2241="Sim",IF(OR(F2241="",D2241="",L2241=""),"",IF(L2241="Sim",ROUND(F2241-D2241,2),0)),0)</f>
        <v/>
      </c>
      <c r="I2241" s="350">
        <f>IF(G2241="Sim",0,IF(OR(F2241="",L2241=""),"",F2241))</f>
        <v/>
      </c>
      <c r="J2241" s="350">
        <f>IF(G2241="Sim",0,IF(OR(F2241="",D2241="",L2241=""),"",IF(L2241="Sim",ROUND(F2241-D2241,2),0)))</f>
        <v/>
      </c>
      <c r="K2241" s="97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inlineStr">
        <is>
          <t>Nao</t>
        </is>
      </c>
      <c r="W2241" s="110" t="inlineStr">
        <is>
          <t>PC em analise</t>
        </is>
      </c>
      <c r="X2241" s="110" t="inlineStr">
        <is>
          <t>Pedido de Compra</t>
        </is>
      </c>
      <c r="Y2241" s="111" t="inlineStr">
        <is>
          <t>Impacto Potencial</t>
        </is>
      </c>
      <c r="Z2241" s="111" t="inlineStr">
        <is>
          <t>PC</t>
        </is>
      </c>
      <c r="AA2241" s="111" t="inlineStr">
        <is>
          <t>Nao</t>
        </is>
      </c>
      <c r="AB2241" s="111" t="inlineStr">
        <is>
          <t>NAO_COMPUTADO</t>
        </is>
      </c>
      <c r="AC2241" s="112" t="inlineStr">
        <is>
          <t>Estrutura Fase 1: sem impacto no VTA oficial</t>
        </is>
      </c>
    </row>
    <row r="2242" ht="25.5" customHeight="1" s="289">
      <c r="A2242" s="205" t="n"/>
      <c r="B2242" s="207" t="n"/>
      <c r="C2242" s="104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348" t="n"/>
      <c r="E2242" s="349">
        <f>IF(C2242="","",IFERROR(VLOOKUP(C2242,parametros!$A$11:$E$15,5,0),""))</f>
        <v/>
      </c>
      <c r="F2242" s="335">
        <f>IF(OR(D2242="",E2242=""),"",ROUND(D2242*E2242,2))</f>
        <v/>
      </c>
      <c r="G2242" s="106" t="n"/>
      <c r="H2242" s="350">
        <f>IF(G2242="Sim",IF(OR(F2242="",D2242="",L2242=""),"",IF(L2242="Sim",ROUND(F2242-D2242,2),0)),0)</f>
        <v/>
      </c>
      <c r="I2242" s="350">
        <f>IF(G2242="Sim",0,IF(OR(F2242="",L2242=""),"",F2242))</f>
        <v/>
      </c>
      <c r="J2242" s="350">
        <f>IF(G2242="Sim",0,IF(OR(F2242="",D2242="",L2242=""),"",IF(L2242="Sim",ROUND(F2242-D2242,2),0)))</f>
        <v/>
      </c>
      <c r="K2242" s="97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inlineStr">
        <is>
          <t>Nao</t>
        </is>
      </c>
      <c r="W2242" s="110" t="inlineStr">
        <is>
          <t>PC em analise</t>
        </is>
      </c>
      <c r="X2242" s="110" t="inlineStr">
        <is>
          <t>Pedido de Compra</t>
        </is>
      </c>
      <c r="Y2242" s="111" t="inlineStr">
        <is>
          <t>Impacto Potencial</t>
        </is>
      </c>
      <c r="Z2242" s="111" t="inlineStr">
        <is>
          <t>PC</t>
        </is>
      </c>
      <c r="AA2242" s="111" t="inlineStr">
        <is>
          <t>Nao</t>
        </is>
      </c>
      <c r="AB2242" s="111" t="inlineStr">
        <is>
          <t>NAO_COMPUTADO</t>
        </is>
      </c>
      <c r="AC2242" s="112" t="inlineStr">
        <is>
          <t>Estrutura Fase 1: sem impacto no VTA oficial</t>
        </is>
      </c>
    </row>
    <row r="2243" ht="25.5" customHeight="1" s="289">
      <c r="A2243" s="205" t="n"/>
      <c r="B2243" s="207" t="n"/>
      <c r="C2243" s="104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348" t="n"/>
      <c r="E2243" s="349">
        <f>IF(C2243="","",IFERROR(VLOOKUP(C2243,parametros!$A$11:$E$15,5,0),""))</f>
        <v/>
      </c>
      <c r="F2243" s="335">
        <f>IF(OR(D2243="",E2243=""),"",ROUND(D2243*E2243,2))</f>
        <v/>
      </c>
      <c r="G2243" s="106" t="n"/>
      <c r="H2243" s="350">
        <f>IF(G2243="Sim",IF(OR(F2243="",D2243="",L2243=""),"",IF(L2243="Sim",ROUND(F2243-D2243,2),0)),0)</f>
        <v/>
      </c>
      <c r="I2243" s="350">
        <f>IF(G2243="Sim",0,IF(OR(F2243="",L2243=""),"",F2243))</f>
        <v/>
      </c>
      <c r="J2243" s="350">
        <f>IF(G2243="Sim",0,IF(OR(F2243="",D2243="",L2243=""),"",IF(L2243="Sim",ROUND(F2243-D2243,2),0)))</f>
        <v/>
      </c>
      <c r="K2243" s="97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inlineStr">
        <is>
          <t>Nao</t>
        </is>
      </c>
      <c r="W2243" s="110" t="inlineStr">
        <is>
          <t>PC em analise</t>
        </is>
      </c>
      <c r="X2243" s="110" t="inlineStr">
        <is>
          <t>Pedido de Compra</t>
        </is>
      </c>
      <c r="Y2243" s="111" t="inlineStr">
        <is>
          <t>Impacto Potencial</t>
        </is>
      </c>
      <c r="Z2243" s="111" t="inlineStr">
        <is>
          <t>PC</t>
        </is>
      </c>
      <c r="AA2243" s="111" t="inlineStr">
        <is>
          <t>Nao</t>
        </is>
      </c>
      <c r="AB2243" s="111" t="inlineStr">
        <is>
          <t>NAO_COMPUTADO</t>
        </is>
      </c>
      <c r="AC2243" s="112" t="inlineStr">
        <is>
          <t>Estrutura Fase 1: sem impacto no VTA oficial</t>
        </is>
      </c>
    </row>
    <row r="2244" ht="25.5" customHeight="1" s="289">
      <c r="A2244" s="205" t="n"/>
      <c r="B2244" s="207" t="n"/>
      <c r="C2244" s="104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348" t="n"/>
      <c r="E2244" s="349">
        <f>IF(C2244="","",IFERROR(VLOOKUP(C2244,parametros!$A$11:$E$15,5,0),""))</f>
        <v/>
      </c>
      <c r="F2244" s="335">
        <f>IF(OR(D2244="",E2244=""),"",ROUND(D2244*E2244,2))</f>
        <v/>
      </c>
      <c r="G2244" s="106" t="n"/>
      <c r="H2244" s="350">
        <f>IF(G2244="Sim",IF(OR(F2244="",D2244="",L2244=""),"",IF(L2244="Sim",ROUND(F2244-D2244,2),0)),0)</f>
        <v/>
      </c>
      <c r="I2244" s="350">
        <f>IF(G2244="Sim",0,IF(OR(F2244="",L2244=""),"",F2244))</f>
        <v/>
      </c>
      <c r="J2244" s="350">
        <f>IF(G2244="Sim",0,IF(OR(F2244="",D2244="",L2244=""),"",IF(L2244="Sim",ROUND(F2244-D2244,2),0)))</f>
        <v/>
      </c>
      <c r="K2244" s="97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inlineStr">
        <is>
          <t>Nao</t>
        </is>
      </c>
      <c r="W2244" s="110" t="inlineStr">
        <is>
          <t>PC em analise</t>
        </is>
      </c>
      <c r="X2244" s="110" t="inlineStr">
        <is>
          <t>Pedido de Compra</t>
        </is>
      </c>
      <c r="Y2244" s="111" t="inlineStr">
        <is>
          <t>Impacto Potencial</t>
        </is>
      </c>
      <c r="Z2244" s="111" t="inlineStr">
        <is>
          <t>PC</t>
        </is>
      </c>
      <c r="AA2244" s="111" t="inlineStr">
        <is>
          <t>Nao</t>
        </is>
      </c>
      <c r="AB2244" s="111" t="inlineStr">
        <is>
          <t>NAO_COMPUTADO</t>
        </is>
      </c>
      <c r="AC2244" s="112" t="inlineStr">
        <is>
          <t>Estrutura Fase 1: sem impacto no VTA oficial</t>
        </is>
      </c>
    </row>
    <row r="2245" ht="25.5" customHeight="1" s="289">
      <c r="A2245" s="205" t="n"/>
      <c r="B2245" s="207" t="n"/>
      <c r="C2245" s="104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348" t="n"/>
      <c r="E2245" s="349">
        <f>IF(C2245="","",IFERROR(VLOOKUP(C2245,parametros!$A$11:$E$15,5,0),""))</f>
        <v/>
      </c>
      <c r="F2245" s="335">
        <f>IF(OR(D2245="",E2245=""),"",ROUND(D2245*E2245,2))</f>
        <v/>
      </c>
      <c r="G2245" s="106" t="n"/>
      <c r="H2245" s="350">
        <f>IF(G2245="Sim",IF(OR(F2245="",D2245="",L2245=""),"",IF(L2245="Sim",ROUND(F2245-D2245,2),0)),0)</f>
        <v/>
      </c>
      <c r="I2245" s="350">
        <f>IF(G2245="Sim",0,IF(OR(F2245="",L2245=""),"",F2245))</f>
        <v/>
      </c>
      <c r="J2245" s="350">
        <f>IF(G2245="Sim",0,IF(OR(F2245="",D2245="",L2245=""),"",IF(L2245="Sim",ROUND(F2245-D2245,2),0)))</f>
        <v/>
      </c>
      <c r="K2245" s="97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inlineStr">
        <is>
          <t>Nao</t>
        </is>
      </c>
      <c r="W2245" s="110" t="inlineStr">
        <is>
          <t>PC em analise</t>
        </is>
      </c>
      <c r="X2245" s="110" t="inlineStr">
        <is>
          <t>Pedido de Compra</t>
        </is>
      </c>
      <c r="Y2245" s="111" t="inlineStr">
        <is>
          <t>Impacto Potencial</t>
        </is>
      </c>
      <c r="Z2245" s="111" t="inlineStr">
        <is>
          <t>PC</t>
        </is>
      </c>
      <c r="AA2245" s="111" t="inlineStr">
        <is>
          <t>Nao</t>
        </is>
      </c>
      <c r="AB2245" s="111" t="inlineStr">
        <is>
          <t>NAO_COMPUTADO</t>
        </is>
      </c>
      <c r="AC2245" s="112" t="inlineStr">
        <is>
          <t>Estrutura Fase 1: sem impacto no VTA oficial</t>
        </is>
      </c>
    </row>
    <row r="2246" ht="25.5" customHeight="1" s="289">
      <c r="A2246" s="205" t="n"/>
      <c r="B2246" s="207" t="n"/>
      <c r="C2246" s="104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348" t="n"/>
      <c r="E2246" s="349">
        <f>IF(C2246="","",IFERROR(VLOOKUP(C2246,parametros!$A$11:$E$15,5,0),""))</f>
        <v/>
      </c>
      <c r="F2246" s="335">
        <f>IF(OR(D2246="",E2246=""),"",ROUND(D2246*E2246,2))</f>
        <v/>
      </c>
      <c r="G2246" s="106" t="n"/>
      <c r="H2246" s="350">
        <f>IF(G2246="Sim",IF(OR(F2246="",D2246="",L2246=""),"",IF(L2246="Sim",ROUND(F2246-D2246,2),0)),0)</f>
        <v/>
      </c>
      <c r="I2246" s="350">
        <f>IF(G2246="Sim",0,IF(OR(F2246="",L2246=""),"",F2246))</f>
        <v/>
      </c>
      <c r="J2246" s="350">
        <f>IF(G2246="Sim",0,IF(OR(F2246="",D2246="",L2246=""),"",IF(L2246="Sim",ROUND(F2246-D2246,2),0)))</f>
        <v/>
      </c>
      <c r="K2246" s="97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inlineStr">
        <is>
          <t>Nao</t>
        </is>
      </c>
      <c r="W2246" s="110" t="inlineStr">
        <is>
          <t>PC em analise</t>
        </is>
      </c>
      <c r="X2246" s="110" t="inlineStr">
        <is>
          <t>Pedido de Compra</t>
        </is>
      </c>
      <c r="Y2246" s="111" t="inlineStr">
        <is>
          <t>Impacto Potencial</t>
        </is>
      </c>
      <c r="Z2246" s="111" t="inlineStr">
        <is>
          <t>PC</t>
        </is>
      </c>
      <c r="AA2246" s="111" t="inlineStr">
        <is>
          <t>Nao</t>
        </is>
      </c>
      <c r="AB2246" s="111" t="inlineStr">
        <is>
          <t>NAO_COMPUTADO</t>
        </is>
      </c>
      <c r="AC2246" s="112" t="inlineStr">
        <is>
          <t>Estrutura Fase 1: sem impacto no VTA oficial</t>
        </is>
      </c>
    </row>
    <row r="2247" ht="25.5" customHeight="1" s="289">
      <c r="A2247" s="205" t="n"/>
      <c r="B2247" s="207" t="n"/>
      <c r="C2247" s="104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348" t="n"/>
      <c r="E2247" s="349">
        <f>IF(C2247="","",IFERROR(VLOOKUP(C2247,parametros!$A$11:$E$15,5,0),""))</f>
        <v/>
      </c>
      <c r="F2247" s="335">
        <f>IF(OR(D2247="",E2247=""),"",ROUND(D2247*E2247,2))</f>
        <v/>
      </c>
      <c r="G2247" s="106" t="n"/>
      <c r="H2247" s="350">
        <f>IF(G2247="Sim",IF(OR(F2247="",D2247="",L2247=""),"",IF(L2247="Sim",ROUND(F2247-D2247,2),0)),0)</f>
        <v/>
      </c>
      <c r="I2247" s="350">
        <f>IF(G2247="Sim",0,IF(OR(F2247="",L2247=""),"",F2247))</f>
        <v/>
      </c>
      <c r="J2247" s="350">
        <f>IF(G2247="Sim",0,IF(OR(F2247="",D2247="",L2247=""),"",IF(L2247="Sim",ROUND(F2247-D2247,2),0)))</f>
        <v/>
      </c>
      <c r="K2247" s="97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inlineStr">
        <is>
          <t>Nao</t>
        </is>
      </c>
      <c r="W2247" s="110" t="inlineStr">
        <is>
          <t>PC em analise</t>
        </is>
      </c>
      <c r="X2247" s="110" t="inlineStr">
        <is>
          <t>Pedido de Compra</t>
        </is>
      </c>
      <c r="Y2247" s="111" t="inlineStr">
        <is>
          <t>Impacto Potencial</t>
        </is>
      </c>
      <c r="Z2247" s="111" t="inlineStr">
        <is>
          <t>PC</t>
        </is>
      </c>
      <c r="AA2247" s="111" t="inlineStr">
        <is>
          <t>Nao</t>
        </is>
      </c>
      <c r="AB2247" s="111" t="inlineStr">
        <is>
          <t>NAO_COMPUTADO</t>
        </is>
      </c>
      <c r="AC2247" s="112" t="inlineStr">
        <is>
          <t>Estrutura Fase 1: sem impacto no VTA oficial</t>
        </is>
      </c>
    </row>
    <row r="2248" ht="25.5" customHeight="1" s="289">
      <c r="A2248" s="205" t="n"/>
      <c r="B2248" s="207" t="n"/>
      <c r="C2248" s="104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348" t="n"/>
      <c r="E2248" s="349">
        <f>IF(C2248="","",IFERROR(VLOOKUP(C2248,parametros!$A$11:$E$15,5,0),""))</f>
        <v/>
      </c>
      <c r="F2248" s="335">
        <f>IF(OR(D2248="",E2248=""),"",ROUND(D2248*E2248,2))</f>
        <v/>
      </c>
      <c r="G2248" s="106" t="n"/>
      <c r="H2248" s="350">
        <f>IF(G2248="Sim",IF(OR(F2248="",D2248="",L2248=""),"",IF(L2248="Sim",ROUND(F2248-D2248,2),0)),0)</f>
        <v/>
      </c>
      <c r="I2248" s="350">
        <f>IF(G2248="Sim",0,IF(OR(F2248="",L2248=""),"",F2248))</f>
        <v/>
      </c>
      <c r="J2248" s="350">
        <f>IF(G2248="Sim",0,IF(OR(F2248="",D2248="",L2248=""),"",IF(L2248="Sim",ROUND(F2248-D2248,2),0)))</f>
        <v/>
      </c>
      <c r="K2248" s="97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inlineStr">
        <is>
          <t>Nao</t>
        </is>
      </c>
      <c r="W2248" s="110" t="inlineStr">
        <is>
          <t>PC em analise</t>
        </is>
      </c>
      <c r="X2248" s="110" t="inlineStr">
        <is>
          <t>Pedido de Compra</t>
        </is>
      </c>
      <c r="Y2248" s="111" t="inlineStr">
        <is>
          <t>Impacto Potencial</t>
        </is>
      </c>
      <c r="Z2248" s="111" t="inlineStr">
        <is>
          <t>PC</t>
        </is>
      </c>
      <c r="AA2248" s="111" t="inlineStr">
        <is>
          <t>Nao</t>
        </is>
      </c>
      <c r="AB2248" s="111" t="inlineStr">
        <is>
          <t>NAO_COMPUTADO</t>
        </is>
      </c>
      <c r="AC2248" s="112" t="inlineStr">
        <is>
          <t>Estrutura Fase 1: sem impacto no VTA oficial</t>
        </is>
      </c>
    </row>
    <row r="2249" ht="25.5" customHeight="1" s="289">
      <c r="A2249" s="205" t="n"/>
      <c r="B2249" s="207" t="n"/>
      <c r="C2249" s="104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348" t="n"/>
      <c r="E2249" s="349">
        <f>IF(C2249="","",IFERROR(VLOOKUP(C2249,parametros!$A$11:$E$15,5,0),""))</f>
        <v/>
      </c>
      <c r="F2249" s="335">
        <f>IF(OR(D2249="",E2249=""),"",ROUND(D2249*E2249,2))</f>
        <v/>
      </c>
      <c r="G2249" s="106" t="n"/>
      <c r="H2249" s="350">
        <f>IF(G2249="Sim",IF(OR(F2249="",D2249="",L2249=""),"",IF(L2249="Sim",ROUND(F2249-D2249,2),0)),0)</f>
        <v/>
      </c>
      <c r="I2249" s="350">
        <f>IF(G2249="Sim",0,IF(OR(F2249="",L2249=""),"",F2249))</f>
        <v/>
      </c>
      <c r="J2249" s="350">
        <f>IF(G2249="Sim",0,IF(OR(F2249="",D2249="",L2249=""),"",IF(L2249="Sim",ROUND(F2249-D2249,2),0)))</f>
        <v/>
      </c>
      <c r="K2249" s="97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inlineStr">
        <is>
          <t>Nao</t>
        </is>
      </c>
      <c r="W2249" s="110" t="inlineStr">
        <is>
          <t>PC em analise</t>
        </is>
      </c>
      <c r="X2249" s="110" t="inlineStr">
        <is>
          <t>Pedido de Compra</t>
        </is>
      </c>
      <c r="Y2249" s="111" t="inlineStr">
        <is>
          <t>Impacto Potencial</t>
        </is>
      </c>
      <c r="Z2249" s="111" t="inlineStr">
        <is>
          <t>PC</t>
        </is>
      </c>
      <c r="AA2249" s="111" t="inlineStr">
        <is>
          <t>Nao</t>
        </is>
      </c>
      <c r="AB2249" s="111" t="inlineStr">
        <is>
          <t>NAO_COMPUTADO</t>
        </is>
      </c>
      <c r="AC2249" s="112" t="inlineStr">
        <is>
          <t>Estrutura Fase 1: sem impacto no VTA oficial</t>
        </is>
      </c>
    </row>
    <row r="2250" ht="25.5" customHeight="1" s="289">
      <c r="A2250" s="205" t="n"/>
      <c r="B2250" s="207" t="n"/>
      <c r="C2250" s="104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348" t="n"/>
      <c r="E2250" s="349">
        <f>IF(C2250="","",IFERROR(VLOOKUP(C2250,parametros!$A$11:$E$15,5,0),""))</f>
        <v/>
      </c>
      <c r="F2250" s="335">
        <f>IF(OR(D2250="",E2250=""),"",ROUND(D2250*E2250,2))</f>
        <v/>
      </c>
      <c r="G2250" s="106" t="n"/>
      <c r="H2250" s="350">
        <f>IF(G2250="Sim",IF(OR(F2250="",D2250="",L2250=""),"",IF(L2250="Sim",ROUND(F2250-D2250,2),0)),0)</f>
        <v/>
      </c>
      <c r="I2250" s="350">
        <f>IF(G2250="Sim",0,IF(OR(F2250="",L2250=""),"",F2250))</f>
        <v/>
      </c>
      <c r="J2250" s="350">
        <f>IF(G2250="Sim",0,IF(OR(F2250="",D2250="",L2250=""),"",IF(L2250="Sim",ROUND(F2250-D2250,2),0)))</f>
        <v/>
      </c>
      <c r="K2250" s="97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inlineStr">
        <is>
          <t>Nao</t>
        </is>
      </c>
      <c r="W2250" s="110" t="inlineStr">
        <is>
          <t>PC em analise</t>
        </is>
      </c>
      <c r="X2250" s="110" t="inlineStr">
        <is>
          <t>Pedido de Compra</t>
        </is>
      </c>
      <c r="Y2250" s="111" t="inlineStr">
        <is>
          <t>Impacto Potencial</t>
        </is>
      </c>
      <c r="Z2250" s="111" t="inlineStr">
        <is>
          <t>PC</t>
        </is>
      </c>
      <c r="AA2250" s="111" t="inlineStr">
        <is>
          <t>Nao</t>
        </is>
      </c>
      <c r="AB2250" s="111" t="inlineStr">
        <is>
          <t>NAO_COMPUTADO</t>
        </is>
      </c>
      <c r="AC2250" s="112" t="inlineStr">
        <is>
          <t>Estrutura Fase 1: sem impacto no VTA oficial</t>
        </is>
      </c>
    </row>
    <row r="2251" ht="25.5" customHeight="1" s="289">
      <c r="A2251" s="205" t="n"/>
      <c r="B2251" s="207" t="n"/>
      <c r="C2251" s="104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348" t="n"/>
      <c r="E2251" s="349">
        <f>IF(C2251="","",IFERROR(VLOOKUP(C2251,parametros!$A$11:$E$15,5,0),""))</f>
        <v/>
      </c>
      <c r="F2251" s="335">
        <f>IF(OR(D2251="",E2251=""),"",ROUND(D2251*E2251,2))</f>
        <v/>
      </c>
      <c r="G2251" s="106" t="n"/>
      <c r="H2251" s="350">
        <f>IF(G2251="Sim",IF(OR(F2251="",D2251="",L2251=""),"",IF(L2251="Sim",ROUND(F2251-D2251,2),0)),0)</f>
        <v/>
      </c>
      <c r="I2251" s="350">
        <f>IF(G2251="Sim",0,IF(OR(F2251="",L2251=""),"",F2251))</f>
        <v/>
      </c>
      <c r="J2251" s="350">
        <f>IF(G2251="Sim",0,IF(OR(F2251="",D2251="",L2251=""),"",IF(L2251="Sim",ROUND(F2251-D2251,2),0)))</f>
        <v/>
      </c>
      <c r="K2251" s="97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inlineStr">
        <is>
          <t>Nao</t>
        </is>
      </c>
      <c r="W2251" s="110" t="inlineStr">
        <is>
          <t>PC em analise</t>
        </is>
      </c>
      <c r="X2251" s="110" t="inlineStr">
        <is>
          <t>Pedido de Compra</t>
        </is>
      </c>
      <c r="Y2251" s="111" t="inlineStr">
        <is>
          <t>Impacto Potencial</t>
        </is>
      </c>
      <c r="Z2251" s="111" t="inlineStr">
        <is>
          <t>PC</t>
        </is>
      </c>
      <c r="AA2251" s="111" t="inlineStr">
        <is>
          <t>Nao</t>
        </is>
      </c>
      <c r="AB2251" s="111" t="inlineStr">
        <is>
          <t>NAO_COMPUTADO</t>
        </is>
      </c>
      <c r="AC2251" s="112" t="inlineStr">
        <is>
          <t>Estrutura Fase 1: sem impacto no VTA oficial</t>
        </is>
      </c>
    </row>
    <row r="2252" ht="25.5" customHeight="1" s="289">
      <c r="A2252" s="205" t="n"/>
      <c r="B2252" s="207" t="n"/>
      <c r="C2252" s="104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348" t="n"/>
      <c r="E2252" s="349">
        <f>IF(C2252="","",IFERROR(VLOOKUP(C2252,parametros!$A$11:$E$15,5,0),""))</f>
        <v/>
      </c>
      <c r="F2252" s="335">
        <f>IF(OR(D2252="",E2252=""),"",ROUND(D2252*E2252,2))</f>
        <v/>
      </c>
      <c r="G2252" s="106" t="n"/>
      <c r="H2252" s="350">
        <f>IF(G2252="Sim",IF(OR(F2252="",D2252="",L2252=""),"",IF(L2252="Sim",ROUND(F2252-D2252,2),0)),0)</f>
        <v/>
      </c>
      <c r="I2252" s="350">
        <f>IF(G2252="Sim",0,IF(OR(F2252="",L2252=""),"",F2252))</f>
        <v/>
      </c>
      <c r="J2252" s="350">
        <f>IF(G2252="Sim",0,IF(OR(F2252="",D2252="",L2252=""),"",IF(L2252="Sim",ROUND(F2252-D2252,2),0)))</f>
        <v/>
      </c>
      <c r="K2252" s="97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inlineStr">
        <is>
          <t>Nao</t>
        </is>
      </c>
      <c r="W2252" s="110" t="inlineStr">
        <is>
          <t>PC em analise</t>
        </is>
      </c>
      <c r="X2252" s="110" t="inlineStr">
        <is>
          <t>Pedido de Compra</t>
        </is>
      </c>
      <c r="Y2252" s="111" t="inlineStr">
        <is>
          <t>Impacto Potencial</t>
        </is>
      </c>
      <c r="Z2252" s="111" t="inlineStr">
        <is>
          <t>PC</t>
        </is>
      </c>
      <c r="AA2252" s="111" t="inlineStr">
        <is>
          <t>Nao</t>
        </is>
      </c>
      <c r="AB2252" s="111" t="inlineStr">
        <is>
          <t>NAO_COMPUTADO</t>
        </is>
      </c>
      <c r="AC2252" s="112" t="inlineStr">
        <is>
          <t>Estrutura Fase 1: sem impacto no VTA oficial</t>
        </is>
      </c>
    </row>
    <row r="2253" ht="25.5" customHeight="1" s="289">
      <c r="A2253" s="205" t="n"/>
      <c r="B2253" s="207" t="n"/>
      <c r="C2253" s="104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348" t="n"/>
      <c r="E2253" s="349">
        <f>IF(C2253="","",IFERROR(VLOOKUP(C2253,parametros!$A$11:$E$15,5,0),""))</f>
        <v/>
      </c>
      <c r="F2253" s="335">
        <f>IF(OR(D2253="",E2253=""),"",ROUND(D2253*E2253,2))</f>
        <v/>
      </c>
      <c r="G2253" s="106" t="n"/>
      <c r="H2253" s="350">
        <f>IF(G2253="Sim",IF(OR(F2253="",D2253="",L2253=""),"",IF(L2253="Sim",ROUND(F2253-D2253,2),0)),0)</f>
        <v/>
      </c>
      <c r="I2253" s="350">
        <f>IF(G2253="Sim",0,IF(OR(F2253="",L2253=""),"",F2253))</f>
        <v/>
      </c>
      <c r="J2253" s="350">
        <f>IF(G2253="Sim",0,IF(OR(F2253="",D2253="",L2253=""),"",IF(L2253="Sim",ROUND(F2253-D2253,2),0)))</f>
        <v/>
      </c>
      <c r="K2253" s="97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inlineStr">
        <is>
          <t>Nao</t>
        </is>
      </c>
      <c r="W2253" s="110" t="inlineStr">
        <is>
          <t>PC em analise</t>
        </is>
      </c>
      <c r="X2253" s="110" t="inlineStr">
        <is>
          <t>Pedido de Compra</t>
        </is>
      </c>
      <c r="Y2253" s="111" t="inlineStr">
        <is>
          <t>Impacto Potencial</t>
        </is>
      </c>
      <c r="Z2253" s="111" t="inlineStr">
        <is>
          <t>PC</t>
        </is>
      </c>
      <c r="AA2253" s="111" t="inlineStr">
        <is>
          <t>Nao</t>
        </is>
      </c>
      <c r="AB2253" s="111" t="inlineStr">
        <is>
          <t>NAO_COMPUTADO</t>
        </is>
      </c>
      <c r="AC2253" s="112" t="inlineStr">
        <is>
          <t>Estrutura Fase 1: sem impacto no VTA oficial</t>
        </is>
      </c>
    </row>
    <row r="2254" ht="25.5" customHeight="1" s="289">
      <c r="A2254" s="205" t="n"/>
      <c r="B2254" s="207" t="n"/>
      <c r="C2254" s="104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348" t="n"/>
      <c r="E2254" s="349">
        <f>IF(C2254="","",IFERROR(VLOOKUP(C2254,parametros!$A$11:$E$15,5,0),""))</f>
        <v/>
      </c>
      <c r="F2254" s="335">
        <f>IF(OR(D2254="",E2254=""),"",ROUND(D2254*E2254,2))</f>
        <v/>
      </c>
      <c r="G2254" s="106" t="n"/>
      <c r="H2254" s="350">
        <f>IF(G2254="Sim",IF(OR(F2254="",D2254="",L2254=""),"",IF(L2254="Sim",ROUND(F2254-D2254,2),0)),0)</f>
        <v/>
      </c>
      <c r="I2254" s="350">
        <f>IF(G2254="Sim",0,IF(OR(F2254="",L2254=""),"",F2254))</f>
        <v/>
      </c>
      <c r="J2254" s="350">
        <f>IF(G2254="Sim",0,IF(OR(F2254="",D2254="",L2254=""),"",IF(L2254="Sim",ROUND(F2254-D2254,2),0)))</f>
        <v/>
      </c>
      <c r="K2254" s="97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inlineStr">
        <is>
          <t>Nao</t>
        </is>
      </c>
      <c r="W2254" s="110" t="inlineStr">
        <is>
          <t>PC em analise</t>
        </is>
      </c>
      <c r="X2254" s="110" t="inlineStr">
        <is>
          <t>Pedido de Compra</t>
        </is>
      </c>
      <c r="Y2254" s="111" t="inlineStr">
        <is>
          <t>Impacto Potencial</t>
        </is>
      </c>
      <c r="Z2254" s="111" t="inlineStr">
        <is>
          <t>PC</t>
        </is>
      </c>
      <c r="AA2254" s="111" t="inlineStr">
        <is>
          <t>Nao</t>
        </is>
      </c>
      <c r="AB2254" s="111" t="inlineStr">
        <is>
          <t>NAO_COMPUTADO</t>
        </is>
      </c>
      <c r="AC2254" s="112" t="inlineStr">
        <is>
          <t>Estrutura Fase 1: sem impacto no VTA oficial</t>
        </is>
      </c>
    </row>
    <row r="2255" ht="25.5" customHeight="1" s="289">
      <c r="A2255" s="205" t="n"/>
      <c r="B2255" s="207" t="n"/>
      <c r="C2255" s="104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348" t="n"/>
      <c r="E2255" s="349">
        <f>IF(C2255="","",IFERROR(VLOOKUP(C2255,parametros!$A$11:$E$15,5,0),""))</f>
        <v/>
      </c>
      <c r="F2255" s="335">
        <f>IF(OR(D2255="",E2255=""),"",ROUND(D2255*E2255,2))</f>
        <v/>
      </c>
      <c r="G2255" s="106" t="n"/>
      <c r="H2255" s="350">
        <f>IF(G2255="Sim",IF(OR(F2255="",D2255="",L2255=""),"",IF(L2255="Sim",ROUND(F2255-D2255,2),0)),0)</f>
        <v/>
      </c>
      <c r="I2255" s="350">
        <f>IF(G2255="Sim",0,IF(OR(F2255="",L2255=""),"",F2255))</f>
        <v/>
      </c>
      <c r="J2255" s="350">
        <f>IF(G2255="Sim",0,IF(OR(F2255="",D2255="",L2255=""),"",IF(L2255="Sim",ROUND(F2255-D2255,2),0)))</f>
        <v/>
      </c>
      <c r="K2255" s="97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inlineStr">
        <is>
          <t>Nao</t>
        </is>
      </c>
      <c r="W2255" s="110" t="inlineStr">
        <is>
          <t>PC em analise</t>
        </is>
      </c>
      <c r="X2255" s="110" t="inlineStr">
        <is>
          <t>Pedido de Compra</t>
        </is>
      </c>
      <c r="Y2255" s="111" t="inlineStr">
        <is>
          <t>Impacto Potencial</t>
        </is>
      </c>
      <c r="Z2255" s="111" t="inlineStr">
        <is>
          <t>PC</t>
        </is>
      </c>
      <c r="AA2255" s="111" t="inlineStr">
        <is>
          <t>Nao</t>
        </is>
      </c>
      <c r="AB2255" s="111" t="inlineStr">
        <is>
          <t>NAO_COMPUTADO</t>
        </is>
      </c>
      <c r="AC2255" s="112" t="inlineStr">
        <is>
          <t>Estrutura Fase 1: sem impacto no VTA oficial</t>
        </is>
      </c>
    </row>
    <row r="2256" ht="25.5" customHeight="1" s="289">
      <c r="A2256" s="205" t="n"/>
      <c r="B2256" s="207" t="n"/>
      <c r="C2256" s="104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348" t="n"/>
      <c r="E2256" s="349">
        <f>IF(C2256="","",IFERROR(VLOOKUP(C2256,parametros!$A$11:$E$15,5,0),""))</f>
        <v/>
      </c>
      <c r="F2256" s="335">
        <f>IF(OR(D2256="",E2256=""),"",ROUND(D2256*E2256,2))</f>
        <v/>
      </c>
      <c r="G2256" s="106" t="n"/>
      <c r="H2256" s="350">
        <f>IF(G2256="Sim",IF(OR(F2256="",D2256="",L2256=""),"",IF(L2256="Sim",ROUND(F2256-D2256,2),0)),0)</f>
        <v/>
      </c>
      <c r="I2256" s="350">
        <f>IF(G2256="Sim",0,IF(OR(F2256="",L2256=""),"",F2256))</f>
        <v/>
      </c>
      <c r="J2256" s="350">
        <f>IF(G2256="Sim",0,IF(OR(F2256="",D2256="",L2256=""),"",IF(L2256="Sim",ROUND(F2256-D2256,2),0)))</f>
        <v/>
      </c>
      <c r="K2256" s="97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inlineStr">
        <is>
          <t>Nao</t>
        </is>
      </c>
      <c r="W2256" s="110" t="inlineStr">
        <is>
          <t>PC em analise</t>
        </is>
      </c>
      <c r="X2256" s="110" t="inlineStr">
        <is>
          <t>Pedido de Compra</t>
        </is>
      </c>
      <c r="Y2256" s="111" t="inlineStr">
        <is>
          <t>Impacto Potencial</t>
        </is>
      </c>
      <c r="Z2256" s="111" t="inlineStr">
        <is>
          <t>PC</t>
        </is>
      </c>
      <c r="AA2256" s="111" t="inlineStr">
        <is>
          <t>Nao</t>
        </is>
      </c>
      <c r="AB2256" s="111" t="inlineStr">
        <is>
          <t>NAO_COMPUTADO</t>
        </is>
      </c>
      <c r="AC2256" s="112" t="inlineStr">
        <is>
          <t>Estrutura Fase 1: sem impacto no VTA oficial</t>
        </is>
      </c>
    </row>
    <row r="2257" ht="25.5" customHeight="1" s="289">
      <c r="A2257" s="205" t="n"/>
      <c r="B2257" s="207" t="n"/>
      <c r="C2257" s="104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348" t="n"/>
      <c r="E2257" s="349">
        <f>IF(C2257="","",IFERROR(VLOOKUP(C2257,parametros!$A$11:$E$15,5,0),""))</f>
        <v/>
      </c>
      <c r="F2257" s="335">
        <f>IF(OR(D2257="",E2257=""),"",ROUND(D2257*E2257,2))</f>
        <v/>
      </c>
      <c r="G2257" s="106" t="n"/>
      <c r="H2257" s="350">
        <f>IF(G2257="Sim",IF(OR(F2257="",D2257="",L2257=""),"",IF(L2257="Sim",ROUND(F2257-D2257,2),0)),0)</f>
        <v/>
      </c>
      <c r="I2257" s="350">
        <f>IF(G2257="Sim",0,IF(OR(F2257="",L2257=""),"",F2257))</f>
        <v/>
      </c>
      <c r="J2257" s="350">
        <f>IF(G2257="Sim",0,IF(OR(F2257="",D2257="",L2257=""),"",IF(L2257="Sim",ROUND(F2257-D2257,2),0)))</f>
        <v/>
      </c>
      <c r="K2257" s="97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inlineStr">
        <is>
          <t>Nao</t>
        </is>
      </c>
      <c r="W2257" s="110" t="inlineStr">
        <is>
          <t>PC em analise</t>
        </is>
      </c>
      <c r="X2257" s="110" t="inlineStr">
        <is>
          <t>Pedido de Compra</t>
        </is>
      </c>
      <c r="Y2257" s="111" t="inlineStr">
        <is>
          <t>Impacto Potencial</t>
        </is>
      </c>
      <c r="Z2257" s="111" t="inlineStr">
        <is>
          <t>PC</t>
        </is>
      </c>
      <c r="AA2257" s="111" t="inlineStr">
        <is>
          <t>Nao</t>
        </is>
      </c>
      <c r="AB2257" s="111" t="inlineStr">
        <is>
          <t>NAO_COMPUTADO</t>
        </is>
      </c>
      <c r="AC2257" s="112" t="inlineStr">
        <is>
          <t>Estrutura Fase 1: sem impacto no VTA oficial</t>
        </is>
      </c>
    </row>
    <row r="2258" ht="25.5" customHeight="1" s="289">
      <c r="A2258" s="205" t="n"/>
      <c r="B2258" s="207" t="n"/>
      <c r="C2258" s="104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348" t="n"/>
      <c r="E2258" s="349">
        <f>IF(C2258="","",IFERROR(VLOOKUP(C2258,parametros!$A$11:$E$15,5,0),""))</f>
        <v/>
      </c>
      <c r="F2258" s="335">
        <f>IF(OR(D2258="",E2258=""),"",ROUND(D2258*E2258,2))</f>
        <v/>
      </c>
      <c r="G2258" s="106" t="n"/>
      <c r="H2258" s="350">
        <f>IF(G2258="Sim",IF(OR(F2258="",D2258="",L2258=""),"",IF(L2258="Sim",ROUND(F2258-D2258,2),0)),0)</f>
        <v/>
      </c>
      <c r="I2258" s="350">
        <f>IF(G2258="Sim",0,IF(OR(F2258="",L2258=""),"",F2258))</f>
        <v/>
      </c>
      <c r="J2258" s="350">
        <f>IF(G2258="Sim",0,IF(OR(F2258="",D2258="",L2258=""),"",IF(L2258="Sim",ROUND(F2258-D2258,2),0)))</f>
        <v/>
      </c>
      <c r="K2258" s="97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inlineStr">
        <is>
          <t>Nao</t>
        </is>
      </c>
      <c r="W2258" s="110" t="inlineStr">
        <is>
          <t>PC em analise</t>
        </is>
      </c>
      <c r="X2258" s="110" t="inlineStr">
        <is>
          <t>Pedido de Compra</t>
        </is>
      </c>
      <c r="Y2258" s="111" t="inlineStr">
        <is>
          <t>Impacto Potencial</t>
        </is>
      </c>
      <c r="Z2258" s="111" t="inlineStr">
        <is>
          <t>PC</t>
        </is>
      </c>
      <c r="AA2258" s="111" t="inlineStr">
        <is>
          <t>Nao</t>
        </is>
      </c>
      <c r="AB2258" s="111" t="inlineStr">
        <is>
          <t>NAO_COMPUTADO</t>
        </is>
      </c>
      <c r="AC2258" s="112" t="inlineStr">
        <is>
          <t>Estrutura Fase 1: sem impacto no VTA oficial</t>
        </is>
      </c>
    </row>
    <row r="2259" ht="25.5" customHeight="1" s="289">
      <c r="A2259" s="205" t="n"/>
      <c r="B2259" s="207" t="n"/>
      <c r="C2259" s="104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348" t="n"/>
      <c r="E2259" s="349">
        <f>IF(C2259="","",IFERROR(VLOOKUP(C2259,parametros!$A$11:$E$15,5,0),""))</f>
        <v/>
      </c>
      <c r="F2259" s="335">
        <f>IF(OR(D2259="",E2259=""),"",ROUND(D2259*E2259,2))</f>
        <v/>
      </c>
      <c r="G2259" s="106" t="n"/>
      <c r="H2259" s="350">
        <f>IF(G2259="Sim",IF(OR(F2259="",D2259="",L2259=""),"",IF(L2259="Sim",ROUND(F2259-D2259,2),0)),0)</f>
        <v/>
      </c>
      <c r="I2259" s="350">
        <f>IF(G2259="Sim",0,IF(OR(F2259="",L2259=""),"",F2259))</f>
        <v/>
      </c>
      <c r="J2259" s="350">
        <f>IF(G2259="Sim",0,IF(OR(F2259="",D2259="",L2259=""),"",IF(L2259="Sim",ROUND(F2259-D2259,2),0)))</f>
        <v/>
      </c>
      <c r="K2259" s="97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inlineStr">
        <is>
          <t>Nao</t>
        </is>
      </c>
      <c r="W2259" s="110" t="inlineStr">
        <is>
          <t>PC em analise</t>
        </is>
      </c>
      <c r="X2259" s="110" t="inlineStr">
        <is>
          <t>Pedido de Compra</t>
        </is>
      </c>
      <c r="Y2259" s="111" t="inlineStr">
        <is>
          <t>Impacto Potencial</t>
        </is>
      </c>
      <c r="Z2259" s="111" t="inlineStr">
        <is>
          <t>PC</t>
        </is>
      </c>
      <c r="AA2259" s="111" t="inlineStr">
        <is>
          <t>Nao</t>
        </is>
      </c>
      <c r="AB2259" s="111" t="inlineStr">
        <is>
          <t>NAO_COMPUTADO</t>
        </is>
      </c>
      <c r="AC2259" s="112" t="inlineStr">
        <is>
          <t>Estrutura Fase 1: sem impacto no VTA oficial</t>
        </is>
      </c>
    </row>
    <row r="2260" ht="25.5" customHeight="1" s="289">
      <c r="A2260" s="205" t="n"/>
      <c r="B2260" s="207" t="n"/>
      <c r="C2260" s="104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348" t="n"/>
      <c r="E2260" s="349">
        <f>IF(C2260="","",IFERROR(VLOOKUP(C2260,parametros!$A$11:$E$15,5,0),""))</f>
        <v/>
      </c>
      <c r="F2260" s="335">
        <f>IF(OR(D2260="",E2260=""),"",ROUND(D2260*E2260,2))</f>
        <v/>
      </c>
      <c r="G2260" s="106" t="n"/>
      <c r="H2260" s="350">
        <f>IF(G2260="Sim",IF(OR(F2260="",D2260="",L2260=""),"",IF(L2260="Sim",ROUND(F2260-D2260,2),0)),0)</f>
        <v/>
      </c>
      <c r="I2260" s="350">
        <f>IF(G2260="Sim",0,IF(OR(F2260="",L2260=""),"",F2260))</f>
        <v/>
      </c>
      <c r="J2260" s="350">
        <f>IF(G2260="Sim",0,IF(OR(F2260="",D2260="",L2260=""),"",IF(L2260="Sim",ROUND(F2260-D2260,2),0)))</f>
        <v/>
      </c>
      <c r="K2260" s="97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inlineStr">
        <is>
          <t>Nao</t>
        </is>
      </c>
      <c r="W2260" s="110" t="inlineStr">
        <is>
          <t>PC em analise</t>
        </is>
      </c>
      <c r="X2260" s="110" t="inlineStr">
        <is>
          <t>Pedido de Compra</t>
        </is>
      </c>
      <c r="Y2260" s="111" t="inlineStr">
        <is>
          <t>Impacto Potencial</t>
        </is>
      </c>
      <c r="Z2260" s="111" t="inlineStr">
        <is>
          <t>PC</t>
        </is>
      </c>
      <c r="AA2260" s="111" t="inlineStr">
        <is>
          <t>Nao</t>
        </is>
      </c>
      <c r="AB2260" s="111" t="inlineStr">
        <is>
          <t>NAO_COMPUTADO</t>
        </is>
      </c>
      <c r="AC2260" s="112" t="inlineStr">
        <is>
          <t>Estrutura Fase 1: sem impacto no VTA oficial</t>
        </is>
      </c>
    </row>
    <row r="2261" ht="25.5" customHeight="1" s="289">
      <c r="A2261" s="205" t="n"/>
      <c r="B2261" s="207" t="n"/>
      <c r="C2261" s="104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348" t="n"/>
      <c r="E2261" s="349">
        <f>IF(C2261="","",IFERROR(VLOOKUP(C2261,parametros!$A$11:$E$15,5,0),""))</f>
        <v/>
      </c>
      <c r="F2261" s="335">
        <f>IF(OR(D2261="",E2261=""),"",ROUND(D2261*E2261,2))</f>
        <v/>
      </c>
      <c r="G2261" s="106" t="n"/>
      <c r="H2261" s="350">
        <f>IF(G2261="Sim",IF(OR(F2261="",D2261="",L2261=""),"",IF(L2261="Sim",ROUND(F2261-D2261,2),0)),0)</f>
        <v/>
      </c>
      <c r="I2261" s="350">
        <f>IF(G2261="Sim",0,IF(OR(F2261="",L2261=""),"",F2261))</f>
        <v/>
      </c>
      <c r="J2261" s="350">
        <f>IF(G2261="Sim",0,IF(OR(F2261="",D2261="",L2261=""),"",IF(L2261="Sim",ROUND(F2261-D2261,2),0)))</f>
        <v/>
      </c>
      <c r="K2261" s="97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inlineStr">
        <is>
          <t>Nao</t>
        </is>
      </c>
      <c r="W2261" s="110" t="inlineStr">
        <is>
          <t>PC em analise</t>
        </is>
      </c>
      <c r="X2261" s="110" t="inlineStr">
        <is>
          <t>Pedido de Compra</t>
        </is>
      </c>
      <c r="Y2261" s="111" t="inlineStr">
        <is>
          <t>Impacto Potencial</t>
        </is>
      </c>
      <c r="Z2261" s="111" t="inlineStr">
        <is>
          <t>PC</t>
        </is>
      </c>
      <c r="AA2261" s="111" t="inlineStr">
        <is>
          <t>Nao</t>
        </is>
      </c>
      <c r="AB2261" s="111" t="inlineStr">
        <is>
          <t>NAO_COMPUTADO</t>
        </is>
      </c>
      <c r="AC2261" s="112" t="inlineStr">
        <is>
          <t>Estrutura Fase 1: sem impacto no VTA oficial</t>
        </is>
      </c>
    </row>
    <row r="2262" ht="25.5" customHeight="1" s="289">
      <c r="A2262" s="205" t="n"/>
      <c r="B2262" s="207" t="n"/>
      <c r="C2262" s="104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348" t="n"/>
      <c r="E2262" s="349">
        <f>IF(C2262="","",IFERROR(VLOOKUP(C2262,parametros!$A$11:$E$15,5,0),""))</f>
        <v/>
      </c>
      <c r="F2262" s="335">
        <f>IF(OR(D2262="",E2262=""),"",ROUND(D2262*E2262,2))</f>
        <v/>
      </c>
      <c r="G2262" s="106" t="n"/>
      <c r="H2262" s="350">
        <f>IF(G2262="Sim",IF(OR(F2262="",D2262="",L2262=""),"",IF(L2262="Sim",ROUND(F2262-D2262,2),0)),0)</f>
        <v/>
      </c>
      <c r="I2262" s="350">
        <f>IF(G2262="Sim",0,IF(OR(F2262="",L2262=""),"",F2262))</f>
        <v/>
      </c>
      <c r="J2262" s="350">
        <f>IF(G2262="Sim",0,IF(OR(F2262="",D2262="",L2262=""),"",IF(L2262="Sim",ROUND(F2262-D2262,2),0)))</f>
        <v/>
      </c>
      <c r="K2262" s="97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inlineStr">
        <is>
          <t>Nao</t>
        </is>
      </c>
      <c r="W2262" s="110" t="inlineStr">
        <is>
          <t>PC em analise</t>
        </is>
      </c>
      <c r="X2262" s="110" t="inlineStr">
        <is>
          <t>Pedido de Compra</t>
        </is>
      </c>
      <c r="Y2262" s="111" t="inlineStr">
        <is>
          <t>Impacto Potencial</t>
        </is>
      </c>
      <c r="Z2262" s="111" t="inlineStr">
        <is>
          <t>PC</t>
        </is>
      </c>
      <c r="AA2262" s="111" t="inlineStr">
        <is>
          <t>Nao</t>
        </is>
      </c>
      <c r="AB2262" s="111" t="inlineStr">
        <is>
          <t>NAO_COMPUTADO</t>
        </is>
      </c>
      <c r="AC2262" s="112" t="inlineStr">
        <is>
          <t>Estrutura Fase 1: sem impacto no VTA oficial</t>
        </is>
      </c>
    </row>
    <row r="2263" ht="25.5" customHeight="1" s="289">
      <c r="A2263" s="205" t="n"/>
      <c r="B2263" s="207" t="n"/>
      <c r="C2263" s="104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348" t="n"/>
      <c r="E2263" s="349">
        <f>IF(C2263="","",IFERROR(VLOOKUP(C2263,parametros!$A$11:$E$15,5,0),""))</f>
        <v/>
      </c>
      <c r="F2263" s="335">
        <f>IF(OR(D2263="",E2263=""),"",ROUND(D2263*E2263,2))</f>
        <v/>
      </c>
      <c r="G2263" s="106" t="n"/>
      <c r="H2263" s="350">
        <f>IF(G2263="Sim",IF(OR(F2263="",D2263="",L2263=""),"",IF(L2263="Sim",ROUND(F2263-D2263,2),0)),0)</f>
        <v/>
      </c>
      <c r="I2263" s="350">
        <f>IF(G2263="Sim",0,IF(OR(F2263="",L2263=""),"",F2263))</f>
        <v/>
      </c>
      <c r="J2263" s="350">
        <f>IF(G2263="Sim",0,IF(OR(F2263="",D2263="",L2263=""),"",IF(L2263="Sim",ROUND(F2263-D2263,2),0)))</f>
        <v/>
      </c>
      <c r="K2263" s="97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inlineStr">
        <is>
          <t>Nao</t>
        </is>
      </c>
      <c r="W2263" s="110" t="inlineStr">
        <is>
          <t>PC em analise</t>
        </is>
      </c>
      <c r="X2263" s="110" t="inlineStr">
        <is>
          <t>Pedido de Compra</t>
        </is>
      </c>
      <c r="Y2263" s="111" t="inlineStr">
        <is>
          <t>Impacto Potencial</t>
        </is>
      </c>
      <c r="Z2263" s="111" t="inlineStr">
        <is>
          <t>PC</t>
        </is>
      </c>
      <c r="AA2263" s="111" t="inlineStr">
        <is>
          <t>Nao</t>
        </is>
      </c>
      <c r="AB2263" s="111" t="inlineStr">
        <is>
          <t>NAO_COMPUTADO</t>
        </is>
      </c>
      <c r="AC2263" s="112" t="inlineStr">
        <is>
          <t>Estrutura Fase 1: sem impacto no VTA oficial</t>
        </is>
      </c>
    </row>
    <row r="2264" ht="25.5" customHeight="1" s="289">
      <c r="A2264" s="205" t="n"/>
      <c r="B2264" s="207" t="n"/>
      <c r="C2264" s="104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348" t="n"/>
      <c r="E2264" s="349">
        <f>IF(C2264="","",IFERROR(VLOOKUP(C2264,parametros!$A$11:$E$15,5,0),""))</f>
        <v/>
      </c>
      <c r="F2264" s="335">
        <f>IF(OR(D2264="",E2264=""),"",ROUND(D2264*E2264,2))</f>
        <v/>
      </c>
      <c r="G2264" s="106" t="n"/>
      <c r="H2264" s="350">
        <f>IF(G2264="Sim",IF(OR(F2264="",D2264="",L2264=""),"",IF(L2264="Sim",ROUND(F2264-D2264,2),0)),0)</f>
        <v/>
      </c>
      <c r="I2264" s="350">
        <f>IF(G2264="Sim",0,IF(OR(F2264="",L2264=""),"",F2264))</f>
        <v/>
      </c>
      <c r="J2264" s="350">
        <f>IF(G2264="Sim",0,IF(OR(F2264="",D2264="",L2264=""),"",IF(L2264="Sim",ROUND(F2264-D2264,2),0)))</f>
        <v/>
      </c>
      <c r="K2264" s="97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inlineStr">
        <is>
          <t>Nao</t>
        </is>
      </c>
      <c r="W2264" s="110" t="inlineStr">
        <is>
          <t>PC em analise</t>
        </is>
      </c>
      <c r="X2264" s="110" t="inlineStr">
        <is>
          <t>Pedido de Compra</t>
        </is>
      </c>
      <c r="Y2264" s="111" t="inlineStr">
        <is>
          <t>Impacto Potencial</t>
        </is>
      </c>
      <c r="Z2264" s="111" t="inlineStr">
        <is>
          <t>PC</t>
        </is>
      </c>
      <c r="AA2264" s="111" t="inlineStr">
        <is>
          <t>Nao</t>
        </is>
      </c>
      <c r="AB2264" s="111" t="inlineStr">
        <is>
          <t>NAO_COMPUTADO</t>
        </is>
      </c>
      <c r="AC2264" s="112" t="inlineStr">
        <is>
          <t>Estrutura Fase 1: sem impacto no VTA oficial</t>
        </is>
      </c>
    </row>
    <row r="2265" ht="25.5" customHeight="1" s="289">
      <c r="A2265" s="205" t="n"/>
      <c r="B2265" s="207" t="n"/>
      <c r="C2265" s="104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348" t="n"/>
      <c r="E2265" s="349">
        <f>IF(C2265="","",IFERROR(VLOOKUP(C2265,parametros!$A$11:$E$15,5,0),""))</f>
        <v/>
      </c>
      <c r="F2265" s="335">
        <f>IF(OR(D2265="",E2265=""),"",ROUND(D2265*E2265,2))</f>
        <v/>
      </c>
      <c r="G2265" s="106" t="n"/>
      <c r="H2265" s="350">
        <f>IF(G2265="Sim",IF(OR(F2265="",D2265="",L2265=""),"",IF(L2265="Sim",ROUND(F2265-D2265,2),0)),0)</f>
        <v/>
      </c>
      <c r="I2265" s="350">
        <f>IF(G2265="Sim",0,IF(OR(F2265="",L2265=""),"",F2265))</f>
        <v/>
      </c>
      <c r="J2265" s="350">
        <f>IF(G2265="Sim",0,IF(OR(F2265="",D2265="",L2265=""),"",IF(L2265="Sim",ROUND(F2265-D2265,2),0)))</f>
        <v/>
      </c>
      <c r="K2265" s="97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inlineStr">
        <is>
          <t>Nao</t>
        </is>
      </c>
      <c r="W2265" s="110" t="inlineStr">
        <is>
          <t>PC em analise</t>
        </is>
      </c>
      <c r="X2265" s="110" t="inlineStr">
        <is>
          <t>Pedido de Compra</t>
        </is>
      </c>
      <c r="Y2265" s="111" t="inlineStr">
        <is>
          <t>Impacto Potencial</t>
        </is>
      </c>
      <c r="Z2265" s="111" t="inlineStr">
        <is>
          <t>PC</t>
        </is>
      </c>
      <c r="AA2265" s="111" t="inlineStr">
        <is>
          <t>Nao</t>
        </is>
      </c>
      <c r="AB2265" s="111" t="inlineStr">
        <is>
          <t>NAO_COMPUTADO</t>
        </is>
      </c>
      <c r="AC2265" s="112" t="inlineStr">
        <is>
          <t>Estrutura Fase 1: sem impacto no VTA oficial</t>
        </is>
      </c>
    </row>
    <row r="2266" ht="25.5" customHeight="1" s="289">
      <c r="A2266" s="205" t="n"/>
      <c r="B2266" s="207" t="n"/>
      <c r="C2266" s="104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348" t="n"/>
      <c r="E2266" s="349">
        <f>IF(C2266="","",IFERROR(VLOOKUP(C2266,parametros!$A$11:$E$15,5,0),""))</f>
        <v/>
      </c>
      <c r="F2266" s="335">
        <f>IF(OR(D2266="",E2266=""),"",ROUND(D2266*E2266,2))</f>
        <v/>
      </c>
      <c r="G2266" s="106" t="n"/>
      <c r="H2266" s="350">
        <f>IF(G2266="Sim",IF(OR(F2266="",D2266="",L2266=""),"",IF(L2266="Sim",ROUND(F2266-D2266,2),0)),0)</f>
        <v/>
      </c>
      <c r="I2266" s="350">
        <f>IF(G2266="Sim",0,IF(OR(F2266="",L2266=""),"",F2266))</f>
        <v/>
      </c>
      <c r="J2266" s="350">
        <f>IF(G2266="Sim",0,IF(OR(F2266="",D2266="",L2266=""),"",IF(L2266="Sim",ROUND(F2266-D2266,2),0)))</f>
        <v/>
      </c>
      <c r="K2266" s="97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inlineStr">
        <is>
          <t>Nao</t>
        </is>
      </c>
      <c r="W2266" s="110" t="inlineStr">
        <is>
          <t>PC em analise</t>
        </is>
      </c>
      <c r="X2266" s="110" t="inlineStr">
        <is>
          <t>Pedido de Compra</t>
        </is>
      </c>
      <c r="Y2266" s="111" t="inlineStr">
        <is>
          <t>Impacto Potencial</t>
        </is>
      </c>
      <c r="Z2266" s="111" t="inlineStr">
        <is>
          <t>PC</t>
        </is>
      </c>
      <c r="AA2266" s="111" t="inlineStr">
        <is>
          <t>Nao</t>
        </is>
      </c>
      <c r="AB2266" s="111" t="inlineStr">
        <is>
          <t>NAO_COMPUTADO</t>
        </is>
      </c>
      <c r="AC2266" s="112" t="inlineStr">
        <is>
          <t>Estrutura Fase 1: sem impacto no VTA oficial</t>
        </is>
      </c>
    </row>
    <row r="2267" ht="25.5" customHeight="1" s="289">
      <c r="A2267" s="205" t="n"/>
      <c r="B2267" s="207" t="n"/>
      <c r="C2267" s="104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348" t="n"/>
      <c r="E2267" s="349">
        <f>IF(C2267="","",IFERROR(VLOOKUP(C2267,parametros!$A$11:$E$15,5,0),""))</f>
        <v/>
      </c>
      <c r="F2267" s="335">
        <f>IF(OR(D2267="",E2267=""),"",ROUND(D2267*E2267,2))</f>
        <v/>
      </c>
      <c r="G2267" s="106" t="n"/>
      <c r="H2267" s="350">
        <f>IF(G2267="Sim",IF(OR(F2267="",D2267="",L2267=""),"",IF(L2267="Sim",ROUND(F2267-D2267,2),0)),0)</f>
        <v/>
      </c>
      <c r="I2267" s="350">
        <f>IF(G2267="Sim",0,IF(OR(F2267="",L2267=""),"",F2267))</f>
        <v/>
      </c>
      <c r="J2267" s="350">
        <f>IF(G2267="Sim",0,IF(OR(F2267="",D2267="",L2267=""),"",IF(L2267="Sim",ROUND(F2267-D2267,2),0)))</f>
        <v/>
      </c>
      <c r="K2267" s="97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inlineStr">
        <is>
          <t>Nao</t>
        </is>
      </c>
      <c r="W2267" s="110" t="inlineStr">
        <is>
          <t>PC em analise</t>
        </is>
      </c>
      <c r="X2267" s="110" t="inlineStr">
        <is>
          <t>Pedido de Compra</t>
        </is>
      </c>
      <c r="Y2267" s="111" t="inlineStr">
        <is>
          <t>Impacto Potencial</t>
        </is>
      </c>
      <c r="Z2267" s="111" t="inlineStr">
        <is>
          <t>PC</t>
        </is>
      </c>
      <c r="AA2267" s="111" t="inlineStr">
        <is>
          <t>Nao</t>
        </is>
      </c>
      <c r="AB2267" s="111" t="inlineStr">
        <is>
          <t>NAO_COMPUTADO</t>
        </is>
      </c>
      <c r="AC2267" s="112" t="inlineStr">
        <is>
          <t>Estrutura Fase 1: sem impacto no VTA oficial</t>
        </is>
      </c>
    </row>
    <row r="2268" ht="25.5" customHeight="1" s="289">
      <c r="A2268" s="205" t="n"/>
      <c r="B2268" s="207" t="n"/>
      <c r="C2268" s="104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348" t="n"/>
      <c r="E2268" s="349">
        <f>IF(C2268="","",IFERROR(VLOOKUP(C2268,parametros!$A$11:$E$15,5,0),""))</f>
        <v/>
      </c>
      <c r="F2268" s="335">
        <f>IF(OR(D2268="",E2268=""),"",ROUND(D2268*E2268,2))</f>
        <v/>
      </c>
      <c r="G2268" s="106" t="n"/>
      <c r="H2268" s="350">
        <f>IF(G2268="Sim",IF(OR(F2268="",D2268="",L2268=""),"",IF(L2268="Sim",ROUND(F2268-D2268,2),0)),0)</f>
        <v/>
      </c>
      <c r="I2268" s="350">
        <f>IF(G2268="Sim",0,IF(OR(F2268="",L2268=""),"",F2268))</f>
        <v/>
      </c>
      <c r="J2268" s="350">
        <f>IF(G2268="Sim",0,IF(OR(F2268="",D2268="",L2268=""),"",IF(L2268="Sim",ROUND(F2268-D2268,2),0)))</f>
        <v/>
      </c>
      <c r="K2268" s="97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inlineStr">
        <is>
          <t>Nao</t>
        </is>
      </c>
      <c r="W2268" s="110" t="inlineStr">
        <is>
          <t>PC em analise</t>
        </is>
      </c>
      <c r="X2268" s="110" t="inlineStr">
        <is>
          <t>Pedido de Compra</t>
        </is>
      </c>
      <c r="Y2268" s="111" t="inlineStr">
        <is>
          <t>Impacto Potencial</t>
        </is>
      </c>
      <c r="Z2268" s="111" t="inlineStr">
        <is>
          <t>PC</t>
        </is>
      </c>
      <c r="AA2268" s="111" t="inlineStr">
        <is>
          <t>Nao</t>
        </is>
      </c>
      <c r="AB2268" s="111" t="inlineStr">
        <is>
          <t>NAO_COMPUTADO</t>
        </is>
      </c>
      <c r="AC2268" s="112" t="inlineStr">
        <is>
          <t>Estrutura Fase 1: sem impacto no VTA oficial</t>
        </is>
      </c>
    </row>
    <row r="2269" ht="25.5" customHeight="1" s="289">
      <c r="A2269" s="205" t="n"/>
      <c r="B2269" s="207" t="n"/>
      <c r="C2269" s="104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348" t="n"/>
      <c r="E2269" s="349">
        <f>IF(C2269="","",IFERROR(VLOOKUP(C2269,parametros!$A$11:$E$15,5,0),""))</f>
        <v/>
      </c>
      <c r="F2269" s="335">
        <f>IF(OR(D2269="",E2269=""),"",ROUND(D2269*E2269,2))</f>
        <v/>
      </c>
      <c r="G2269" s="106" t="n"/>
      <c r="H2269" s="350">
        <f>IF(G2269="Sim",IF(OR(F2269="",D2269="",L2269=""),"",IF(L2269="Sim",ROUND(F2269-D2269,2),0)),0)</f>
        <v/>
      </c>
      <c r="I2269" s="350">
        <f>IF(G2269="Sim",0,IF(OR(F2269="",L2269=""),"",F2269))</f>
        <v/>
      </c>
      <c r="J2269" s="350">
        <f>IF(G2269="Sim",0,IF(OR(F2269="",D2269="",L2269=""),"",IF(L2269="Sim",ROUND(F2269-D2269,2),0)))</f>
        <v/>
      </c>
      <c r="K2269" s="97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inlineStr">
        <is>
          <t>Nao</t>
        </is>
      </c>
      <c r="W2269" s="110" t="inlineStr">
        <is>
          <t>PC em analise</t>
        </is>
      </c>
      <c r="X2269" s="110" t="inlineStr">
        <is>
          <t>Pedido de Compra</t>
        </is>
      </c>
      <c r="Y2269" s="111" t="inlineStr">
        <is>
          <t>Impacto Potencial</t>
        </is>
      </c>
      <c r="Z2269" s="111" t="inlineStr">
        <is>
          <t>PC</t>
        </is>
      </c>
      <c r="AA2269" s="111" t="inlineStr">
        <is>
          <t>Nao</t>
        </is>
      </c>
      <c r="AB2269" s="111" t="inlineStr">
        <is>
          <t>NAO_COMPUTADO</t>
        </is>
      </c>
      <c r="AC2269" s="112" t="inlineStr">
        <is>
          <t>Estrutura Fase 1: sem impacto no VTA oficial</t>
        </is>
      </c>
    </row>
    <row r="2270" ht="25.5" customHeight="1" s="289">
      <c r="A2270" s="205" t="n"/>
      <c r="B2270" s="207" t="n"/>
      <c r="C2270" s="104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348" t="n"/>
      <c r="E2270" s="349">
        <f>IF(C2270="","",IFERROR(VLOOKUP(C2270,parametros!$A$11:$E$15,5,0),""))</f>
        <v/>
      </c>
      <c r="F2270" s="335">
        <f>IF(OR(D2270="",E2270=""),"",ROUND(D2270*E2270,2))</f>
        <v/>
      </c>
      <c r="G2270" s="106" t="n"/>
      <c r="H2270" s="350">
        <f>IF(G2270="Sim",IF(OR(F2270="",D2270="",L2270=""),"",IF(L2270="Sim",ROUND(F2270-D2270,2),0)),0)</f>
        <v/>
      </c>
      <c r="I2270" s="350">
        <f>IF(G2270="Sim",0,IF(OR(F2270="",L2270=""),"",F2270))</f>
        <v/>
      </c>
      <c r="J2270" s="350">
        <f>IF(G2270="Sim",0,IF(OR(F2270="",D2270="",L2270=""),"",IF(L2270="Sim",ROUND(F2270-D2270,2),0)))</f>
        <v/>
      </c>
      <c r="K2270" s="97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inlineStr">
        <is>
          <t>Nao</t>
        </is>
      </c>
      <c r="W2270" s="110" t="inlineStr">
        <is>
          <t>PC em analise</t>
        </is>
      </c>
      <c r="X2270" s="110" t="inlineStr">
        <is>
          <t>Pedido de Compra</t>
        </is>
      </c>
      <c r="Y2270" s="111" t="inlineStr">
        <is>
          <t>Impacto Potencial</t>
        </is>
      </c>
      <c r="Z2270" s="111" t="inlineStr">
        <is>
          <t>PC</t>
        </is>
      </c>
      <c r="AA2270" s="111" t="inlineStr">
        <is>
          <t>Nao</t>
        </is>
      </c>
      <c r="AB2270" s="111" t="inlineStr">
        <is>
          <t>NAO_COMPUTADO</t>
        </is>
      </c>
      <c r="AC2270" s="112" t="inlineStr">
        <is>
          <t>Estrutura Fase 1: sem impacto no VTA oficial</t>
        </is>
      </c>
    </row>
    <row r="2271" ht="25.5" customHeight="1" s="289">
      <c r="A2271" s="205" t="n"/>
      <c r="B2271" s="207" t="n"/>
      <c r="C2271" s="104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348" t="n"/>
      <c r="E2271" s="349">
        <f>IF(C2271="","",IFERROR(VLOOKUP(C2271,parametros!$A$11:$E$15,5,0),""))</f>
        <v/>
      </c>
      <c r="F2271" s="335">
        <f>IF(OR(D2271="",E2271=""),"",ROUND(D2271*E2271,2))</f>
        <v/>
      </c>
      <c r="G2271" s="106" t="n"/>
      <c r="H2271" s="350">
        <f>IF(G2271="Sim",IF(OR(F2271="",D2271="",L2271=""),"",IF(L2271="Sim",ROUND(F2271-D2271,2),0)),0)</f>
        <v/>
      </c>
      <c r="I2271" s="350">
        <f>IF(G2271="Sim",0,IF(OR(F2271="",L2271=""),"",F2271))</f>
        <v/>
      </c>
      <c r="J2271" s="350">
        <f>IF(G2271="Sim",0,IF(OR(F2271="",D2271="",L2271=""),"",IF(L2271="Sim",ROUND(F2271-D2271,2),0)))</f>
        <v/>
      </c>
      <c r="K2271" s="97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inlineStr">
        <is>
          <t>Nao</t>
        </is>
      </c>
      <c r="W2271" s="110" t="inlineStr">
        <is>
          <t>PC em analise</t>
        </is>
      </c>
      <c r="X2271" s="110" t="inlineStr">
        <is>
          <t>Pedido de Compra</t>
        </is>
      </c>
      <c r="Y2271" s="111" t="inlineStr">
        <is>
          <t>Impacto Potencial</t>
        </is>
      </c>
      <c r="Z2271" s="111" t="inlineStr">
        <is>
          <t>PC</t>
        </is>
      </c>
      <c r="AA2271" s="111" t="inlineStr">
        <is>
          <t>Nao</t>
        </is>
      </c>
      <c r="AB2271" s="111" t="inlineStr">
        <is>
          <t>NAO_COMPUTADO</t>
        </is>
      </c>
      <c r="AC2271" s="112" t="inlineStr">
        <is>
          <t>Estrutura Fase 1: sem impacto no VTA oficial</t>
        </is>
      </c>
    </row>
    <row r="2272" ht="25.5" customHeight="1" s="289">
      <c r="A2272" s="205" t="n"/>
      <c r="B2272" s="207" t="n"/>
      <c r="C2272" s="104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348" t="n"/>
      <c r="E2272" s="349">
        <f>IF(C2272="","",IFERROR(VLOOKUP(C2272,parametros!$A$11:$E$15,5,0),""))</f>
        <v/>
      </c>
      <c r="F2272" s="335">
        <f>IF(OR(D2272="",E2272=""),"",ROUND(D2272*E2272,2))</f>
        <v/>
      </c>
      <c r="G2272" s="106" t="n"/>
      <c r="H2272" s="350">
        <f>IF(G2272="Sim",IF(OR(F2272="",D2272="",L2272=""),"",IF(L2272="Sim",ROUND(F2272-D2272,2),0)),0)</f>
        <v/>
      </c>
      <c r="I2272" s="350">
        <f>IF(G2272="Sim",0,IF(OR(F2272="",L2272=""),"",F2272))</f>
        <v/>
      </c>
      <c r="J2272" s="350">
        <f>IF(G2272="Sim",0,IF(OR(F2272="",D2272="",L2272=""),"",IF(L2272="Sim",ROUND(F2272-D2272,2),0)))</f>
        <v/>
      </c>
      <c r="K2272" s="97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inlineStr">
        <is>
          <t>Nao</t>
        </is>
      </c>
      <c r="W2272" s="110" t="inlineStr">
        <is>
          <t>PC em analise</t>
        </is>
      </c>
      <c r="X2272" s="110" t="inlineStr">
        <is>
          <t>Pedido de Compra</t>
        </is>
      </c>
      <c r="Y2272" s="111" t="inlineStr">
        <is>
          <t>Impacto Potencial</t>
        </is>
      </c>
      <c r="Z2272" s="111" t="inlineStr">
        <is>
          <t>PC</t>
        </is>
      </c>
      <c r="AA2272" s="111" t="inlineStr">
        <is>
          <t>Nao</t>
        </is>
      </c>
      <c r="AB2272" s="111" t="inlineStr">
        <is>
          <t>NAO_COMPUTADO</t>
        </is>
      </c>
      <c r="AC2272" s="112" t="inlineStr">
        <is>
          <t>Estrutura Fase 1: sem impacto no VTA oficial</t>
        </is>
      </c>
    </row>
    <row r="2273" ht="25.5" customHeight="1" s="289">
      <c r="A2273" s="205" t="n"/>
      <c r="B2273" s="207" t="n"/>
      <c r="C2273" s="104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348" t="n"/>
      <c r="E2273" s="349">
        <f>IF(C2273="","",IFERROR(VLOOKUP(C2273,parametros!$A$11:$E$15,5,0),""))</f>
        <v/>
      </c>
      <c r="F2273" s="335">
        <f>IF(OR(D2273="",E2273=""),"",ROUND(D2273*E2273,2))</f>
        <v/>
      </c>
      <c r="G2273" s="106" t="n"/>
      <c r="H2273" s="350">
        <f>IF(G2273="Sim",IF(OR(F2273="",D2273="",L2273=""),"",IF(L2273="Sim",ROUND(F2273-D2273,2),0)),0)</f>
        <v/>
      </c>
      <c r="I2273" s="350">
        <f>IF(G2273="Sim",0,IF(OR(F2273="",L2273=""),"",F2273))</f>
        <v/>
      </c>
      <c r="J2273" s="350">
        <f>IF(G2273="Sim",0,IF(OR(F2273="",D2273="",L2273=""),"",IF(L2273="Sim",ROUND(F2273-D2273,2),0)))</f>
        <v/>
      </c>
      <c r="K2273" s="97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inlineStr">
        <is>
          <t>Nao</t>
        </is>
      </c>
      <c r="W2273" s="110" t="inlineStr">
        <is>
          <t>PC em analise</t>
        </is>
      </c>
      <c r="X2273" s="110" t="inlineStr">
        <is>
          <t>Pedido de Compra</t>
        </is>
      </c>
      <c r="Y2273" s="111" t="inlineStr">
        <is>
          <t>Impacto Potencial</t>
        </is>
      </c>
      <c r="Z2273" s="111" t="inlineStr">
        <is>
          <t>PC</t>
        </is>
      </c>
      <c r="AA2273" s="111" t="inlineStr">
        <is>
          <t>Nao</t>
        </is>
      </c>
      <c r="AB2273" s="111" t="inlineStr">
        <is>
          <t>NAO_COMPUTADO</t>
        </is>
      </c>
      <c r="AC2273" s="112" t="inlineStr">
        <is>
          <t>Estrutura Fase 1: sem impacto no VTA oficial</t>
        </is>
      </c>
    </row>
    <row r="2274" ht="25.5" customHeight="1" s="289">
      <c r="A2274" s="205" t="n"/>
      <c r="B2274" s="207" t="n"/>
      <c r="C2274" s="104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348" t="n"/>
      <c r="E2274" s="349">
        <f>IF(C2274="","",IFERROR(VLOOKUP(C2274,parametros!$A$11:$E$15,5,0),""))</f>
        <v/>
      </c>
      <c r="F2274" s="335">
        <f>IF(OR(D2274="",E2274=""),"",ROUND(D2274*E2274,2))</f>
        <v/>
      </c>
      <c r="G2274" s="106" t="n"/>
      <c r="H2274" s="350">
        <f>IF(G2274="Sim",IF(OR(F2274="",D2274="",L2274=""),"",IF(L2274="Sim",ROUND(F2274-D2274,2),0)),0)</f>
        <v/>
      </c>
      <c r="I2274" s="350">
        <f>IF(G2274="Sim",0,IF(OR(F2274="",L2274=""),"",F2274))</f>
        <v/>
      </c>
      <c r="J2274" s="350">
        <f>IF(G2274="Sim",0,IF(OR(F2274="",D2274="",L2274=""),"",IF(L2274="Sim",ROUND(F2274-D2274,2),0)))</f>
        <v/>
      </c>
      <c r="K2274" s="97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inlineStr">
        <is>
          <t>Nao</t>
        </is>
      </c>
      <c r="W2274" s="110" t="inlineStr">
        <is>
          <t>PC em analise</t>
        </is>
      </c>
      <c r="X2274" s="110" t="inlineStr">
        <is>
          <t>Pedido de Compra</t>
        </is>
      </c>
      <c r="Y2274" s="111" t="inlineStr">
        <is>
          <t>Impacto Potencial</t>
        </is>
      </c>
      <c r="Z2274" s="111" t="inlineStr">
        <is>
          <t>PC</t>
        </is>
      </c>
      <c r="AA2274" s="111" t="inlineStr">
        <is>
          <t>Nao</t>
        </is>
      </c>
      <c r="AB2274" s="111" t="inlineStr">
        <is>
          <t>NAO_COMPUTADO</t>
        </is>
      </c>
      <c r="AC2274" s="112" t="inlineStr">
        <is>
          <t>Estrutura Fase 1: sem impacto no VTA oficial</t>
        </is>
      </c>
    </row>
    <row r="2275" ht="25.5" customHeight="1" s="289">
      <c r="A2275" s="205" t="n"/>
      <c r="B2275" s="207" t="n"/>
      <c r="C2275" s="104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348" t="n"/>
      <c r="E2275" s="349">
        <f>IF(C2275="","",IFERROR(VLOOKUP(C2275,parametros!$A$11:$E$15,5,0),""))</f>
        <v/>
      </c>
      <c r="F2275" s="335">
        <f>IF(OR(D2275="",E2275=""),"",ROUND(D2275*E2275,2))</f>
        <v/>
      </c>
      <c r="G2275" s="106" t="n"/>
      <c r="H2275" s="350">
        <f>IF(G2275="Sim",IF(OR(F2275="",D2275="",L2275=""),"",IF(L2275="Sim",ROUND(F2275-D2275,2),0)),0)</f>
        <v/>
      </c>
      <c r="I2275" s="350">
        <f>IF(G2275="Sim",0,IF(OR(F2275="",L2275=""),"",F2275))</f>
        <v/>
      </c>
      <c r="J2275" s="350">
        <f>IF(G2275="Sim",0,IF(OR(F2275="",D2275="",L2275=""),"",IF(L2275="Sim",ROUND(F2275-D2275,2),0)))</f>
        <v/>
      </c>
      <c r="K2275" s="97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inlineStr">
        <is>
          <t>Nao</t>
        </is>
      </c>
      <c r="W2275" s="110" t="inlineStr">
        <is>
          <t>PC em analise</t>
        </is>
      </c>
      <c r="X2275" s="110" t="inlineStr">
        <is>
          <t>Pedido de Compra</t>
        </is>
      </c>
      <c r="Y2275" s="111" t="inlineStr">
        <is>
          <t>Impacto Potencial</t>
        </is>
      </c>
      <c r="Z2275" s="111" t="inlineStr">
        <is>
          <t>PC</t>
        </is>
      </c>
      <c r="AA2275" s="111" t="inlineStr">
        <is>
          <t>Nao</t>
        </is>
      </c>
      <c r="AB2275" s="111" t="inlineStr">
        <is>
          <t>NAO_COMPUTADO</t>
        </is>
      </c>
      <c r="AC2275" s="112" t="inlineStr">
        <is>
          <t>Estrutura Fase 1: sem impacto no VTA oficial</t>
        </is>
      </c>
    </row>
    <row r="2276" ht="25.5" customHeight="1" s="289">
      <c r="A2276" s="205" t="n"/>
      <c r="B2276" s="207" t="n"/>
      <c r="C2276" s="104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348" t="n"/>
      <c r="E2276" s="349">
        <f>IF(C2276="","",IFERROR(VLOOKUP(C2276,parametros!$A$11:$E$15,5,0),""))</f>
        <v/>
      </c>
      <c r="F2276" s="335">
        <f>IF(OR(D2276="",E2276=""),"",ROUND(D2276*E2276,2))</f>
        <v/>
      </c>
      <c r="G2276" s="106" t="n"/>
      <c r="H2276" s="350">
        <f>IF(G2276="Sim",IF(OR(F2276="",D2276="",L2276=""),"",IF(L2276="Sim",ROUND(F2276-D2276,2),0)),0)</f>
        <v/>
      </c>
      <c r="I2276" s="350">
        <f>IF(G2276="Sim",0,IF(OR(F2276="",L2276=""),"",F2276))</f>
        <v/>
      </c>
      <c r="J2276" s="350">
        <f>IF(G2276="Sim",0,IF(OR(F2276="",D2276="",L2276=""),"",IF(L2276="Sim",ROUND(F2276-D2276,2),0)))</f>
        <v/>
      </c>
      <c r="K2276" s="97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inlineStr">
        <is>
          <t>Nao</t>
        </is>
      </c>
      <c r="W2276" s="110" t="inlineStr">
        <is>
          <t>PC em analise</t>
        </is>
      </c>
      <c r="X2276" s="110" t="inlineStr">
        <is>
          <t>Pedido de Compra</t>
        </is>
      </c>
      <c r="Y2276" s="111" t="inlineStr">
        <is>
          <t>Impacto Potencial</t>
        </is>
      </c>
      <c r="Z2276" s="111" t="inlineStr">
        <is>
          <t>PC</t>
        </is>
      </c>
      <c r="AA2276" s="111" t="inlineStr">
        <is>
          <t>Nao</t>
        </is>
      </c>
      <c r="AB2276" s="111" t="inlineStr">
        <is>
          <t>NAO_COMPUTADO</t>
        </is>
      </c>
      <c r="AC2276" s="112" t="inlineStr">
        <is>
          <t>Estrutura Fase 1: sem impacto no VTA oficial</t>
        </is>
      </c>
    </row>
    <row r="2277" ht="25.5" customHeight="1" s="289">
      <c r="A2277" s="205" t="n"/>
      <c r="B2277" s="207" t="n"/>
      <c r="C2277" s="104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348" t="n"/>
      <c r="E2277" s="349">
        <f>IF(C2277="","",IFERROR(VLOOKUP(C2277,parametros!$A$11:$E$15,5,0),""))</f>
        <v/>
      </c>
      <c r="F2277" s="335">
        <f>IF(OR(D2277="",E2277=""),"",ROUND(D2277*E2277,2))</f>
        <v/>
      </c>
      <c r="G2277" s="106" t="n"/>
      <c r="H2277" s="350">
        <f>IF(G2277="Sim",IF(OR(F2277="",D2277="",L2277=""),"",IF(L2277="Sim",ROUND(F2277-D2277,2),0)),0)</f>
        <v/>
      </c>
      <c r="I2277" s="350">
        <f>IF(G2277="Sim",0,IF(OR(F2277="",L2277=""),"",F2277))</f>
        <v/>
      </c>
      <c r="J2277" s="350">
        <f>IF(G2277="Sim",0,IF(OR(F2277="",D2277="",L2277=""),"",IF(L2277="Sim",ROUND(F2277-D2277,2),0)))</f>
        <v/>
      </c>
      <c r="K2277" s="97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inlineStr">
        <is>
          <t>Nao</t>
        </is>
      </c>
      <c r="W2277" s="110" t="inlineStr">
        <is>
          <t>PC em analise</t>
        </is>
      </c>
      <c r="X2277" s="110" t="inlineStr">
        <is>
          <t>Pedido de Compra</t>
        </is>
      </c>
      <c r="Y2277" s="111" t="inlineStr">
        <is>
          <t>Impacto Potencial</t>
        </is>
      </c>
      <c r="Z2277" s="111" t="inlineStr">
        <is>
          <t>PC</t>
        </is>
      </c>
      <c r="AA2277" s="111" t="inlineStr">
        <is>
          <t>Nao</t>
        </is>
      </c>
      <c r="AB2277" s="111" t="inlineStr">
        <is>
          <t>NAO_COMPUTADO</t>
        </is>
      </c>
      <c r="AC2277" s="112" t="inlineStr">
        <is>
          <t>Estrutura Fase 1: sem impacto no VTA oficial</t>
        </is>
      </c>
    </row>
    <row r="2278" ht="25.5" customHeight="1" s="289">
      <c r="A2278" s="205" t="n"/>
      <c r="B2278" s="207" t="n"/>
      <c r="C2278" s="104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348" t="n"/>
      <c r="E2278" s="349">
        <f>IF(C2278="","",IFERROR(VLOOKUP(C2278,parametros!$A$11:$E$15,5,0),""))</f>
        <v/>
      </c>
      <c r="F2278" s="335">
        <f>IF(OR(D2278="",E2278=""),"",ROUND(D2278*E2278,2))</f>
        <v/>
      </c>
      <c r="G2278" s="106" t="n"/>
      <c r="H2278" s="350">
        <f>IF(G2278="Sim",IF(OR(F2278="",D2278="",L2278=""),"",IF(L2278="Sim",ROUND(F2278-D2278,2),0)),0)</f>
        <v/>
      </c>
      <c r="I2278" s="350">
        <f>IF(G2278="Sim",0,IF(OR(F2278="",L2278=""),"",F2278))</f>
        <v/>
      </c>
      <c r="J2278" s="350">
        <f>IF(G2278="Sim",0,IF(OR(F2278="",D2278="",L2278=""),"",IF(L2278="Sim",ROUND(F2278-D2278,2),0)))</f>
        <v/>
      </c>
      <c r="K2278" s="97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inlineStr">
        <is>
          <t>Nao</t>
        </is>
      </c>
      <c r="W2278" s="110" t="inlineStr">
        <is>
          <t>PC em analise</t>
        </is>
      </c>
      <c r="X2278" s="110" t="inlineStr">
        <is>
          <t>Pedido de Compra</t>
        </is>
      </c>
      <c r="Y2278" s="111" t="inlineStr">
        <is>
          <t>Impacto Potencial</t>
        </is>
      </c>
      <c r="Z2278" s="111" t="inlineStr">
        <is>
          <t>PC</t>
        </is>
      </c>
      <c r="AA2278" s="111" t="inlineStr">
        <is>
          <t>Nao</t>
        </is>
      </c>
      <c r="AB2278" s="111" t="inlineStr">
        <is>
          <t>NAO_COMPUTADO</t>
        </is>
      </c>
      <c r="AC2278" s="112" t="inlineStr">
        <is>
          <t>Estrutura Fase 1: sem impacto no VTA oficial</t>
        </is>
      </c>
    </row>
    <row r="2279" ht="25.5" customHeight="1" s="289">
      <c r="A2279" s="205" t="n"/>
      <c r="B2279" s="207" t="n"/>
      <c r="C2279" s="104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348" t="n"/>
      <c r="E2279" s="349">
        <f>IF(C2279="","",IFERROR(VLOOKUP(C2279,parametros!$A$11:$E$15,5,0),""))</f>
        <v/>
      </c>
      <c r="F2279" s="335">
        <f>IF(OR(D2279="",E2279=""),"",ROUND(D2279*E2279,2))</f>
        <v/>
      </c>
      <c r="G2279" s="106" t="n"/>
      <c r="H2279" s="350">
        <f>IF(G2279="Sim",IF(OR(F2279="",D2279="",L2279=""),"",IF(L2279="Sim",ROUND(F2279-D2279,2),0)),0)</f>
        <v/>
      </c>
      <c r="I2279" s="350">
        <f>IF(G2279="Sim",0,IF(OR(F2279="",L2279=""),"",F2279))</f>
        <v/>
      </c>
      <c r="J2279" s="350">
        <f>IF(G2279="Sim",0,IF(OR(F2279="",D2279="",L2279=""),"",IF(L2279="Sim",ROUND(F2279-D2279,2),0)))</f>
        <v/>
      </c>
      <c r="K2279" s="97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inlineStr">
        <is>
          <t>Nao</t>
        </is>
      </c>
      <c r="W2279" s="110" t="inlineStr">
        <is>
          <t>PC em analise</t>
        </is>
      </c>
      <c r="X2279" s="110" t="inlineStr">
        <is>
          <t>Pedido de Compra</t>
        </is>
      </c>
      <c r="Y2279" s="111" t="inlineStr">
        <is>
          <t>Impacto Potencial</t>
        </is>
      </c>
      <c r="Z2279" s="111" t="inlineStr">
        <is>
          <t>PC</t>
        </is>
      </c>
      <c r="AA2279" s="111" t="inlineStr">
        <is>
          <t>Nao</t>
        </is>
      </c>
      <c r="AB2279" s="111" t="inlineStr">
        <is>
          <t>NAO_COMPUTADO</t>
        </is>
      </c>
      <c r="AC2279" s="112" t="inlineStr">
        <is>
          <t>Estrutura Fase 1: sem impacto no VTA oficial</t>
        </is>
      </c>
    </row>
    <row r="2280" ht="25.5" customHeight="1" s="289">
      <c r="A2280" s="205" t="n"/>
      <c r="B2280" s="207" t="n"/>
      <c r="C2280" s="104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348" t="n"/>
      <c r="E2280" s="349">
        <f>IF(C2280="","",IFERROR(VLOOKUP(C2280,parametros!$A$11:$E$15,5,0),""))</f>
        <v/>
      </c>
      <c r="F2280" s="335">
        <f>IF(OR(D2280="",E2280=""),"",ROUND(D2280*E2280,2))</f>
        <v/>
      </c>
      <c r="G2280" s="106" t="n"/>
      <c r="H2280" s="350">
        <f>IF(G2280="Sim",IF(OR(F2280="",D2280="",L2280=""),"",IF(L2280="Sim",ROUND(F2280-D2280,2),0)),0)</f>
        <v/>
      </c>
      <c r="I2280" s="350">
        <f>IF(G2280="Sim",0,IF(OR(F2280="",L2280=""),"",F2280))</f>
        <v/>
      </c>
      <c r="J2280" s="350">
        <f>IF(G2280="Sim",0,IF(OR(F2280="",D2280="",L2280=""),"",IF(L2280="Sim",ROUND(F2280-D2280,2),0)))</f>
        <v/>
      </c>
      <c r="K2280" s="97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inlineStr">
        <is>
          <t>Nao</t>
        </is>
      </c>
      <c r="W2280" s="110" t="inlineStr">
        <is>
          <t>PC em analise</t>
        </is>
      </c>
      <c r="X2280" s="110" t="inlineStr">
        <is>
          <t>Pedido de Compra</t>
        </is>
      </c>
      <c r="Y2280" s="111" t="inlineStr">
        <is>
          <t>Impacto Potencial</t>
        </is>
      </c>
      <c r="Z2280" s="111" t="inlineStr">
        <is>
          <t>PC</t>
        </is>
      </c>
      <c r="AA2280" s="111" t="inlineStr">
        <is>
          <t>Nao</t>
        </is>
      </c>
      <c r="AB2280" s="111" t="inlineStr">
        <is>
          <t>NAO_COMPUTADO</t>
        </is>
      </c>
      <c r="AC2280" s="112" t="inlineStr">
        <is>
          <t>Estrutura Fase 1: sem impacto no VTA oficial</t>
        </is>
      </c>
    </row>
    <row r="2281" ht="25.5" customHeight="1" s="289">
      <c r="A2281" s="205" t="n"/>
      <c r="B2281" s="207" t="n"/>
      <c r="C2281" s="104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348" t="n"/>
      <c r="E2281" s="349">
        <f>IF(C2281="","",IFERROR(VLOOKUP(C2281,parametros!$A$11:$E$15,5,0),""))</f>
        <v/>
      </c>
      <c r="F2281" s="335">
        <f>IF(OR(D2281="",E2281=""),"",ROUND(D2281*E2281,2))</f>
        <v/>
      </c>
      <c r="G2281" s="106" t="n"/>
      <c r="H2281" s="350">
        <f>IF(G2281="Sim",IF(OR(F2281="",D2281="",L2281=""),"",IF(L2281="Sim",ROUND(F2281-D2281,2),0)),0)</f>
        <v/>
      </c>
      <c r="I2281" s="350">
        <f>IF(G2281="Sim",0,IF(OR(F2281="",L2281=""),"",F2281))</f>
        <v/>
      </c>
      <c r="J2281" s="350">
        <f>IF(G2281="Sim",0,IF(OR(F2281="",D2281="",L2281=""),"",IF(L2281="Sim",ROUND(F2281-D2281,2),0)))</f>
        <v/>
      </c>
      <c r="K2281" s="97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inlineStr">
        <is>
          <t>Nao</t>
        </is>
      </c>
      <c r="W2281" s="110" t="inlineStr">
        <is>
          <t>PC em analise</t>
        </is>
      </c>
      <c r="X2281" s="110" t="inlineStr">
        <is>
          <t>Pedido de Compra</t>
        </is>
      </c>
      <c r="Y2281" s="111" t="inlineStr">
        <is>
          <t>Impacto Potencial</t>
        </is>
      </c>
      <c r="Z2281" s="111" t="inlineStr">
        <is>
          <t>PC</t>
        </is>
      </c>
      <c r="AA2281" s="111" t="inlineStr">
        <is>
          <t>Nao</t>
        </is>
      </c>
      <c r="AB2281" s="111" t="inlineStr">
        <is>
          <t>NAO_COMPUTADO</t>
        </is>
      </c>
      <c r="AC2281" s="112" t="inlineStr">
        <is>
          <t>Estrutura Fase 1: sem impacto no VTA oficial</t>
        </is>
      </c>
    </row>
    <row r="2282" ht="25.5" customHeight="1" s="289">
      <c r="A2282" s="205" t="n"/>
      <c r="B2282" s="207" t="n"/>
      <c r="C2282" s="104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348" t="n"/>
      <c r="E2282" s="349">
        <f>IF(C2282="","",IFERROR(VLOOKUP(C2282,parametros!$A$11:$E$15,5,0),""))</f>
        <v/>
      </c>
      <c r="F2282" s="335">
        <f>IF(OR(D2282="",E2282=""),"",ROUND(D2282*E2282,2))</f>
        <v/>
      </c>
      <c r="G2282" s="106" t="n"/>
      <c r="H2282" s="350">
        <f>IF(G2282="Sim",IF(OR(F2282="",D2282="",L2282=""),"",IF(L2282="Sim",ROUND(F2282-D2282,2),0)),0)</f>
        <v/>
      </c>
      <c r="I2282" s="350">
        <f>IF(G2282="Sim",0,IF(OR(F2282="",L2282=""),"",F2282))</f>
        <v/>
      </c>
      <c r="J2282" s="350">
        <f>IF(G2282="Sim",0,IF(OR(F2282="",D2282="",L2282=""),"",IF(L2282="Sim",ROUND(F2282-D2282,2),0)))</f>
        <v/>
      </c>
      <c r="K2282" s="97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inlineStr">
        <is>
          <t>Nao</t>
        </is>
      </c>
      <c r="W2282" s="110" t="inlineStr">
        <is>
          <t>PC em analise</t>
        </is>
      </c>
      <c r="X2282" s="110" t="inlineStr">
        <is>
          <t>Pedido de Compra</t>
        </is>
      </c>
      <c r="Y2282" s="111" t="inlineStr">
        <is>
          <t>Impacto Potencial</t>
        </is>
      </c>
      <c r="Z2282" s="111" t="inlineStr">
        <is>
          <t>PC</t>
        </is>
      </c>
      <c r="AA2282" s="111" t="inlineStr">
        <is>
          <t>Nao</t>
        </is>
      </c>
      <c r="AB2282" s="111" t="inlineStr">
        <is>
          <t>NAO_COMPUTADO</t>
        </is>
      </c>
      <c r="AC2282" s="112" t="inlineStr">
        <is>
          <t>Estrutura Fase 1: sem impacto no VTA oficial</t>
        </is>
      </c>
    </row>
    <row r="2283" ht="25.5" customHeight="1" s="289">
      <c r="A2283" s="205" t="n"/>
      <c r="B2283" s="207" t="n"/>
      <c r="C2283" s="104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348" t="n"/>
      <c r="E2283" s="349">
        <f>IF(C2283="","",IFERROR(VLOOKUP(C2283,parametros!$A$11:$E$15,5,0),""))</f>
        <v/>
      </c>
      <c r="F2283" s="335">
        <f>IF(OR(D2283="",E2283=""),"",ROUND(D2283*E2283,2))</f>
        <v/>
      </c>
      <c r="G2283" s="106" t="n"/>
      <c r="H2283" s="350">
        <f>IF(G2283="Sim",IF(OR(F2283="",D2283="",L2283=""),"",IF(L2283="Sim",ROUND(F2283-D2283,2),0)),0)</f>
        <v/>
      </c>
      <c r="I2283" s="350">
        <f>IF(G2283="Sim",0,IF(OR(F2283="",L2283=""),"",F2283))</f>
        <v/>
      </c>
      <c r="J2283" s="350">
        <f>IF(G2283="Sim",0,IF(OR(F2283="",D2283="",L2283=""),"",IF(L2283="Sim",ROUND(F2283-D2283,2),0)))</f>
        <v/>
      </c>
      <c r="K2283" s="97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inlineStr">
        <is>
          <t>Nao</t>
        </is>
      </c>
      <c r="W2283" s="110" t="inlineStr">
        <is>
          <t>PC em analise</t>
        </is>
      </c>
      <c r="X2283" s="110" t="inlineStr">
        <is>
          <t>Pedido de Compra</t>
        </is>
      </c>
      <c r="Y2283" s="111" t="inlineStr">
        <is>
          <t>Impacto Potencial</t>
        </is>
      </c>
      <c r="Z2283" s="111" t="inlineStr">
        <is>
          <t>PC</t>
        </is>
      </c>
      <c r="AA2283" s="111" t="inlineStr">
        <is>
          <t>Nao</t>
        </is>
      </c>
      <c r="AB2283" s="111" t="inlineStr">
        <is>
          <t>NAO_COMPUTADO</t>
        </is>
      </c>
      <c r="AC2283" s="112" t="inlineStr">
        <is>
          <t>Estrutura Fase 1: sem impacto no VTA oficial</t>
        </is>
      </c>
    </row>
    <row r="2284" ht="25.5" customHeight="1" s="289">
      <c r="A2284" s="205" t="n"/>
      <c r="B2284" s="207" t="n"/>
      <c r="C2284" s="104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348" t="n"/>
      <c r="E2284" s="349">
        <f>IF(C2284="","",IFERROR(VLOOKUP(C2284,parametros!$A$11:$E$15,5,0),""))</f>
        <v/>
      </c>
      <c r="F2284" s="335">
        <f>IF(OR(D2284="",E2284=""),"",ROUND(D2284*E2284,2))</f>
        <v/>
      </c>
      <c r="G2284" s="106" t="n"/>
      <c r="H2284" s="350">
        <f>IF(G2284="Sim",IF(OR(F2284="",D2284="",L2284=""),"",IF(L2284="Sim",ROUND(F2284-D2284,2),0)),0)</f>
        <v/>
      </c>
      <c r="I2284" s="350">
        <f>IF(G2284="Sim",0,IF(OR(F2284="",L2284=""),"",F2284))</f>
        <v/>
      </c>
      <c r="J2284" s="350">
        <f>IF(G2284="Sim",0,IF(OR(F2284="",D2284="",L2284=""),"",IF(L2284="Sim",ROUND(F2284-D2284,2),0)))</f>
        <v/>
      </c>
      <c r="K2284" s="97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inlineStr">
        <is>
          <t>Nao</t>
        </is>
      </c>
      <c r="W2284" s="110" t="inlineStr">
        <is>
          <t>PC em analise</t>
        </is>
      </c>
      <c r="X2284" s="110" t="inlineStr">
        <is>
          <t>Pedido de Compra</t>
        </is>
      </c>
      <c r="Y2284" s="111" t="inlineStr">
        <is>
          <t>Impacto Potencial</t>
        </is>
      </c>
      <c r="Z2284" s="111" t="inlineStr">
        <is>
          <t>PC</t>
        </is>
      </c>
      <c r="AA2284" s="111" t="inlineStr">
        <is>
          <t>Nao</t>
        </is>
      </c>
      <c r="AB2284" s="111" t="inlineStr">
        <is>
          <t>NAO_COMPUTADO</t>
        </is>
      </c>
      <c r="AC2284" s="112" t="inlineStr">
        <is>
          <t>Estrutura Fase 1: sem impacto no VTA oficial</t>
        </is>
      </c>
    </row>
    <row r="2285" ht="25.5" customHeight="1" s="289">
      <c r="A2285" s="205" t="n"/>
      <c r="B2285" s="207" t="n"/>
      <c r="C2285" s="104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348" t="n"/>
      <c r="E2285" s="349">
        <f>IF(C2285="","",IFERROR(VLOOKUP(C2285,parametros!$A$11:$E$15,5,0),""))</f>
        <v/>
      </c>
      <c r="F2285" s="335">
        <f>IF(OR(D2285="",E2285=""),"",ROUND(D2285*E2285,2))</f>
        <v/>
      </c>
      <c r="G2285" s="106" t="n"/>
      <c r="H2285" s="350">
        <f>IF(G2285="Sim",IF(OR(F2285="",D2285="",L2285=""),"",IF(L2285="Sim",ROUND(F2285-D2285,2),0)),0)</f>
        <v/>
      </c>
      <c r="I2285" s="350">
        <f>IF(G2285="Sim",0,IF(OR(F2285="",L2285=""),"",F2285))</f>
        <v/>
      </c>
      <c r="J2285" s="350">
        <f>IF(G2285="Sim",0,IF(OR(F2285="",D2285="",L2285=""),"",IF(L2285="Sim",ROUND(F2285-D2285,2),0)))</f>
        <v/>
      </c>
      <c r="K2285" s="97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inlineStr">
        <is>
          <t>Nao</t>
        </is>
      </c>
      <c r="W2285" s="110" t="inlineStr">
        <is>
          <t>PC em analise</t>
        </is>
      </c>
      <c r="X2285" s="110" t="inlineStr">
        <is>
          <t>Pedido de Compra</t>
        </is>
      </c>
      <c r="Y2285" s="111" t="inlineStr">
        <is>
          <t>Impacto Potencial</t>
        </is>
      </c>
      <c r="Z2285" s="111" t="inlineStr">
        <is>
          <t>PC</t>
        </is>
      </c>
      <c r="AA2285" s="111" t="inlineStr">
        <is>
          <t>Nao</t>
        </is>
      </c>
      <c r="AB2285" s="111" t="inlineStr">
        <is>
          <t>NAO_COMPUTADO</t>
        </is>
      </c>
      <c r="AC2285" s="112" t="inlineStr">
        <is>
          <t>Estrutura Fase 1: sem impacto no VTA oficial</t>
        </is>
      </c>
    </row>
    <row r="2286" ht="25.5" customHeight="1" s="289">
      <c r="A2286" s="205" t="n"/>
      <c r="B2286" s="207" t="n"/>
      <c r="C2286" s="104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348" t="n"/>
      <c r="E2286" s="349">
        <f>IF(C2286="","",IFERROR(VLOOKUP(C2286,parametros!$A$11:$E$15,5,0),""))</f>
        <v/>
      </c>
      <c r="F2286" s="335">
        <f>IF(OR(D2286="",E2286=""),"",ROUND(D2286*E2286,2))</f>
        <v/>
      </c>
      <c r="G2286" s="106" t="n"/>
      <c r="H2286" s="350">
        <f>IF(G2286="Sim",IF(OR(F2286="",D2286="",L2286=""),"",IF(L2286="Sim",ROUND(F2286-D2286,2),0)),0)</f>
        <v/>
      </c>
      <c r="I2286" s="350">
        <f>IF(G2286="Sim",0,IF(OR(F2286="",L2286=""),"",F2286))</f>
        <v/>
      </c>
      <c r="J2286" s="350">
        <f>IF(G2286="Sim",0,IF(OR(F2286="",D2286="",L2286=""),"",IF(L2286="Sim",ROUND(F2286-D2286,2),0)))</f>
        <v/>
      </c>
      <c r="K2286" s="97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inlineStr">
        <is>
          <t>Nao</t>
        </is>
      </c>
      <c r="W2286" s="110" t="inlineStr">
        <is>
          <t>PC em analise</t>
        </is>
      </c>
      <c r="X2286" s="110" t="inlineStr">
        <is>
          <t>Pedido de Compra</t>
        </is>
      </c>
      <c r="Y2286" s="111" t="inlineStr">
        <is>
          <t>Impacto Potencial</t>
        </is>
      </c>
      <c r="Z2286" s="111" t="inlineStr">
        <is>
          <t>PC</t>
        </is>
      </c>
      <c r="AA2286" s="111" t="inlineStr">
        <is>
          <t>Nao</t>
        </is>
      </c>
      <c r="AB2286" s="111" t="inlineStr">
        <is>
          <t>NAO_COMPUTADO</t>
        </is>
      </c>
      <c r="AC2286" s="112" t="inlineStr">
        <is>
          <t>Estrutura Fase 1: sem impacto no VTA oficial</t>
        </is>
      </c>
    </row>
    <row r="2287" ht="25.5" customHeight="1" s="289">
      <c r="A2287" s="205" t="n"/>
      <c r="B2287" s="207" t="n"/>
      <c r="C2287" s="104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348" t="n"/>
      <c r="E2287" s="349">
        <f>IF(C2287="","",IFERROR(VLOOKUP(C2287,parametros!$A$11:$E$15,5,0),""))</f>
        <v/>
      </c>
      <c r="F2287" s="335">
        <f>IF(OR(D2287="",E2287=""),"",ROUND(D2287*E2287,2))</f>
        <v/>
      </c>
      <c r="G2287" s="106" t="n"/>
      <c r="H2287" s="350">
        <f>IF(G2287="Sim",IF(OR(F2287="",D2287="",L2287=""),"",IF(L2287="Sim",ROUND(F2287-D2287,2),0)),0)</f>
        <v/>
      </c>
      <c r="I2287" s="350">
        <f>IF(G2287="Sim",0,IF(OR(F2287="",L2287=""),"",F2287))</f>
        <v/>
      </c>
      <c r="J2287" s="350">
        <f>IF(G2287="Sim",0,IF(OR(F2287="",D2287="",L2287=""),"",IF(L2287="Sim",ROUND(F2287-D2287,2),0)))</f>
        <v/>
      </c>
      <c r="K2287" s="97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inlineStr">
        <is>
          <t>Nao</t>
        </is>
      </c>
      <c r="W2287" s="110" t="inlineStr">
        <is>
          <t>PC em analise</t>
        </is>
      </c>
      <c r="X2287" s="110" t="inlineStr">
        <is>
          <t>Pedido de Compra</t>
        </is>
      </c>
      <c r="Y2287" s="111" t="inlineStr">
        <is>
          <t>Impacto Potencial</t>
        </is>
      </c>
      <c r="Z2287" s="111" t="inlineStr">
        <is>
          <t>PC</t>
        </is>
      </c>
      <c r="AA2287" s="111" t="inlineStr">
        <is>
          <t>Nao</t>
        </is>
      </c>
      <c r="AB2287" s="111" t="inlineStr">
        <is>
          <t>NAO_COMPUTADO</t>
        </is>
      </c>
      <c r="AC2287" s="112" t="inlineStr">
        <is>
          <t>Estrutura Fase 1: sem impacto no VTA oficial</t>
        </is>
      </c>
    </row>
    <row r="2288" ht="25.5" customHeight="1" s="289">
      <c r="A2288" s="205" t="n"/>
      <c r="B2288" s="207" t="n"/>
      <c r="C2288" s="104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348" t="n"/>
      <c r="E2288" s="349">
        <f>IF(C2288="","",IFERROR(VLOOKUP(C2288,parametros!$A$11:$E$15,5,0),""))</f>
        <v/>
      </c>
      <c r="F2288" s="335">
        <f>IF(OR(D2288="",E2288=""),"",ROUND(D2288*E2288,2))</f>
        <v/>
      </c>
      <c r="G2288" s="106" t="n"/>
      <c r="H2288" s="350">
        <f>IF(G2288="Sim",IF(OR(F2288="",D2288="",L2288=""),"",IF(L2288="Sim",ROUND(F2288-D2288,2),0)),0)</f>
        <v/>
      </c>
      <c r="I2288" s="350">
        <f>IF(G2288="Sim",0,IF(OR(F2288="",L2288=""),"",F2288))</f>
        <v/>
      </c>
      <c r="J2288" s="350">
        <f>IF(G2288="Sim",0,IF(OR(F2288="",D2288="",L2288=""),"",IF(L2288="Sim",ROUND(F2288-D2288,2),0)))</f>
        <v/>
      </c>
      <c r="K2288" s="97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inlineStr">
        <is>
          <t>Nao</t>
        </is>
      </c>
      <c r="W2288" s="110" t="inlineStr">
        <is>
          <t>PC em analise</t>
        </is>
      </c>
      <c r="X2288" s="110" t="inlineStr">
        <is>
          <t>Pedido de Compra</t>
        </is>
      </c>
      <c r="Y2288" s="111" t="inlineStr">
        <is>
          <t>Impacto Potencial</t>
        </is>
      </c>
      <c r="Z2288" s="111" t="inlineStr">
        <is>
          <t>PC</t>
        </is>
      </c>
      <c r="AA2288" s="111" t="inlineStr">
        <is>
          <t>Nao</t>
        </is>
      </c>
      <c r="AB2288" s="111" t="inlineStr">
        <is>
          <t>NAO_COMPUTADO</t>
        </is>
      </c>
      <c r="AC2288" s="112" t="inlineStr">
        <is>
          <t>Estrutura Fase 1: sem impacto no VTA oficial</t>
        </is>
      </c>
    </row>
    <row r="2289" ht="25.5" customHeight="1" s="289">
      <c r="A2289" s="205" t="n"/>
      <c r="B2289" s="207" t="n"/>
      <c r="C2289" s="104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348" t="n"/>
      <c r="E2289" s="349">
        <f>IF(C2289="","",IFERROR(VLOOKUP(C2289,parametros!$A$11:$E$15,5,0),""))</f>
        <v/>
      </c>
      <c r="F2289" s="335">
        <f>IF(OR(D2289="",E2289=""),"",ROUND(D2289*E2289,2))</f>
        <v/>
      </c>
      <c r="G2289" s="106" t="n"/>
      <c r="H2289" s="350">
        <f>IF(G2289="Sim",IF(OR(F2289="",D2289="",L2289=""),"",IF(L2289="Sim",ROUND(F2289-D2289,2),0)),0)</f>
        <v/>
      </c>
      <c r="I2289" s="350">
        <f>IF(G2289="Sim",0,IF(OR(F2289="",L2289=""),"",F2289))</f>
        <v/>
      </c>
      <c r="J2289" s="350">
        <f>IF(G2289="Sim",0,IF(OR(F2289="",D2289="",L2289=""),"",IF(L2289="Sim",ROUND(F2289-D2289,2),0)))</f>
        <v/>
      </c>
      <c r="K2289" s="97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inlineStr">
        <is>
          <t>Nao</t>
        </is>
      </c>
      <c r="W2289" s="110" t="inlineStr">
        <is>
          <t>PC em analise</t>
        </is>
      </c>
      <c r="X2289" s="110" t="inlineStr">
        <is>
          <t>Pedido de Compra</t>
        </is>
      </c>
      <c r="Y2289" s="111" t="inlineStr">
        <is>
          <t>Impacto Potencial</t>
        </is>
      </c>
      <c r="Z2289" s="111" t="inlineStr">
        <is>
          <t>PC</t>
        </is>
      </c>
      <c r="AA2289" s="111" t="inlineStr">
        <is>
          <t>Nao</t>
        </is>
      </c>
      <c r="AB2289" s="111" t="inlineStr">
        <is>
          <t>NAO_COMPUTADO</t>
        </is>
      </c>
      <c r="AC2289" s="112" t="inlineStr">
        <is>
          <t>Estrutura Fase 1: sem impacto no VTA oficial</t>
        </is>
      </c>
    </row>
    <row r="2290" ht="25.5" customHeight="1" s="289">
      <c r="A2290" s="205" t="n"/>
      <c r="B2290" s="207" t="n"/>
      <c r="C2290" s="104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348" t="n"/>
      <c r="E2290" s="349">
        <f>IF(C2290="","",IFERROR(VLOOKUP(C2290,parametros!$A$11:$E$15,5,0),""))</f>
        <v/>
      </c>
      <c r="F2290" s="335">
        <f>IF(OR(D2290="",E2290=""),"",ROUND(D2290*E2290,2))</f>
        <v/>
      </c>
      <c r="G2290" s="106" t="n"/>
      <c r="H2290" s="350">
        <f>IF(G2290="Sim",IF(OR(F2290="",D2290="",L2290=""),"",IF(L2290="Sim",ROUND(F2290-D2290,2),0)),0)</f>
        <v/>
      </c>
      <c r="I2290" s="350">
        <f>IF(G2290="Sim",0,IF(OR(F2290="",L2290=""),"",F2290))</f>
        <v/>
      </c>
      <c r="J2290" s="350">
        <f>IF(G2290="Sim",0,IF(OR(F2290="",D2290="",L2290=""),"",IF(L2290="Sim",ROUND(F2290-D2290,2),0)))</f>
        <v/>
      </c>
      <c r="K2290" s="97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inlineStr">
        <is>
          <t>Nao</t>
        </is>
      </c>
      <c r="W2290" s="110" t="inlineStr">
        <is>
          <t>PC em analise</t>
        </is>
      </c>
      <c r="X2290" s="110" t="inlineStr">
        <is>
          <t>Pedido de Compra</t>
        </is>
      </c>
      <c r="Y2290" s="111" t="inlineStr">
        <is>
          <t>Impacto Potencial</t>
        </is>
      </c>
      <c r="Z2290" s="111" t="inlineStr">
        <is>
          <t>PC</t>
        </is>
      </c>
      <c r="AA2290" s="111" t="inlineStr">
        <is>
          <t>Nao</t>
        </is>
      </c>
      <c r="AB2290" s="111" t="inlineStr">
        <is>
          <t>NAO_COMPUTADO</t>
        </is>
      </c>
      <c r="AC2290" s="112" t="inlineStr">
        <is>
          <t>Estrutura Fase 1: sem impacto no VTA oficial</t>
        </is>
      </c>
    </row>
    <row r="2291" ht="25.5" customHeight="1" s="289">
      <c r="A2291" s="205" t="n"/>
      <c r="B2291" s="207" t="n"/>
      <c r="C2291" s="104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348" t="n"/>
      <c r="E2291" s="349">
        <f>IF(C2291="","",IFERROR(VLOOKUP(C2291,parametros!$A$11:$E$15,5,0),""))</f>
        <v/>
      </c>
      <c r="F2291" s="335">
        <f>IF(OR(D2291="",E2291=""),"",ROUND(D2291*E2291,2))</f>
        <v/>
      </c>
      <c r="G2291" s="106" t="n"/>
      <c r="H2291" s="350">
        <f>IF(G2291="Sim",IF(OR(F2291="",D2291="",L2291=""),"",IF(L2291="Sim",ROUND(F2291-D2291,2),0)),0)</f>
        <v/>
      </c>
      <c r="I2291" s="350">
        <f>IF(G2291="Sim",0,IF(OR(F2291="",L2291=""),"",F2291))</f>
        <v/>
      </c>
      <c r="J2291" s="350">
        <f>IF(G2291="Sim",0,IF(OR(F2291="",D2291="",L2291=""),"",IF(L2291="Sim",ROUND(F2291-D2291,2),0)))</f>
        <v/>
      </c>
      <c r="K2291" s="97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inlineStr">
        <is>
          <t>Nao</t>
        </is>
      </c>
      <c r="W2291" s="110" t="inlineStr">
        <is>
          <t>PC em analise</t>
        </is>
      </c>
      <c r="X2291" s="110" t="inlineStr">
        <is>
          <t>Pedido de Compra</t>
        </is>
      </c>
      <c r="Y2291" s="111" t="inlineStr">
        <is>
          <t>Impacto Potencial</t>
        </is>
      </c>
      <c r="Z2291" s="111" t="inlineStr">
        <is>
          <t>PC</t>
        </is>
      </c>
      <c r="AA2291" s="111" t="inlineStr">
        <is>
          <t>Nao</t>
        </is>
      </c>
      <c r="AB2291" s="111" t="inlineStr">
        <is>
          <t>NAO_COMPUTADO</t>
        </is>
      </c>
      <c r="AC2291" s="112" t="inlineStr">
        <is>
          <t>Estrutura Fase 1: sem impacto no VTA oficial</t>
        </is>
      </c>
    </row>
    <row r="2292" ht="25.5" customHeight="1" s="289">
      <c r="A2292" s="205" t="n"/>
      <c r="B2292" s="207" t="n"/>
      <c r="C2292" s="104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348" t="n"/>
      <c r="E2292" s="349">
        <f>IF(C2292="","",IFERROR(VLOOKUP(C2292,parametros!$A$11:$E$15,5,0),""))</f>
        <v/>
      </c>
      <c r="F2292" s="335">
        <f>IF(OR(D2292="",E2292=""),"",ROUND(D2292*E2292,2))</f>
        <v/>
      </c>
      <c r="G2292" s="106" t="n"/>
      <c r="H2292" s="350">
        <f>IF(G2292="Sim",IF(OR(F2292="",D2292="",L2292=""),"",IF(L2292="Sim",ROUND(F2292-D2292,2),0)),0)</f>
        <v/>
      </c>
      <c r="I2292" s="350">
        <f>IF(G2292="Sim",0,IF(OR(F2292="",L2292=""),"",F2292))</f>
        <v/>
      </c>
      <c r="J2292" s="350">
        <f>IF(G2292="Sim",0,IF(OR(F2292="",D2292="",L2292=""),"",IF(L2292="Sim",ROUND(F2292-D2292,2),0)))</f>
        <v/>
      </c>
      <c r="K2292" s="97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inlineStr">
        <is>
          <t>Nao</t>
        </is>
      </c>
      <c r="W2292" s="110" t="inlineStr">
        <is>
          <t>PC em analise</t>
        </is>
      </c>
      <c r="X2292" s="110" t="inlineStr">
        <is>
          <t>Pedido de Compra</t>
        </is>
      </c>
      <c r="Y2292" s="111" t="inlineStr">
        <is>
          <t>Impacto Potencial</t>
        </is>
      </c>
      <c r="Z2292" s="111" t="inlineStr">
        <is>
          <t>PC</t>
        </is>
      </c>
      <c r="AA2292" s="111" t="inlineStr">
        <is>
          <t>Nao</t>
        </is>
      </c>
      <c r="AB2292" s="111" t="inlineStr">
        <is>
          <t>NAO_COMPUTADO</t>
        </is>
      </c>
      <c r="AC2292" s="112" t="inlineStr">
        <is>
          <t>Estrutura Fase 1: sem impacto no VTA oficial</t>
        </is>
      </c>
    </row>
    <row r="2293" ht="25.5" customHeight="1" s="289">
      <c r="A2293" s="205" t="n"/>
      <c r="B2293" s="207" t="n"/>
      <c r="C2293" s="104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348" t="n"/>
      <c r="E2293" s="349">
        <f>IF(C2293="","",IFERROR(VLOOKUP(C2293,parametros!$A$11:$E$15,5,0),""))</f>
        <v/>
      </c>
      <c r="F2293" s="335">
        <f>IF(OR(D2293="",E2293=""),"",ROUND(D2293*E2293,2))</f>
        <v/>
      </c>
      <c r="G2293" s="106" t="n"/>
      <c r="H2293" s="350">
        <f>IF(G2293="Sim",IF(OR(F2293="",D2293="",L2293=""),"",IF(L2293="Sim",ROUND(F2293-D2293,2),0)),0)</f>
        <v/>
      </c>
      <c r="I2293" s="350">
        <f>IF(G2293="Sim",0,IF(OR(F2293="",L2293=""),"",F2293))</f>
        <v/>
      </c>
      <c r="J2293" s="350">
        <f>IF(G2293="Sim",0,IF(OR(F2293="",D2293="",L2293=""),"",IF(L2293="Sim",ROUND(F2293-D2293,2),0)))</f>
        <v/>
      </c>
      <c r="K2293" s="97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inlineStr">
        <is>
          <t>Nao</t>
        </is>
      </c>
      <c r="W2293" s="110" t="inlineStr">
        <is>
          <t>PC em analise</t>
        </is>
      </c>
      <c r="X2293" s="110" t="inlineStr">
        <is>
          <t>Pedido de Compra</t>
        </is>
      </c>
      <c r="Y2293" s="111" t="inlineStr">
        <is>
          <t>Impacto Potencial</t>
        </is>
      </c>
      <c r="Z2293" s="111" t="inlineStr">
        <is>
          <t>PC</t>
        </is>
      </c>
      <c r="AA2293" s="111" t="inlineStr">
        <is>
          <t>Nao</t>
        </is>
      </c>
      <c r="AB2293" s="111" t="inlineStr">
        <is>
          <t>NAO_COMPUTADO</t>
        </is>
      </c>
      <c r="AC2293" s="112" t="inlineStr">
        <is>
          <t>Estrutura Fase 1: sem impacto no VTA oficial</t>
        </is>
      </c>
    </row>
    <row r="2294" ht="25.5" customHeight="1" s="289">
      <c r="A2294" s="205" t="n"/>
      <c r="B2294" s="207" t="n"/>
      <c r="C2294" s="104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348" t="n"/>
      <c r="E2294" s="349">
        <f>IF(C2294="","",IFERROR(VLOOKUP(C2294,parametros!$A$11:$E$15,5,0),""))</f>
        <v/>
      </c>
      <c r="F2294" s="335">
        <f>IF(OR(D2294="",E2294=""),"",ROUND(D2294*E2294,2))</f>
        <v/>
      </c>
      <c r="G2294" s="106" t="n"/>
      <c r="H2294" s="350">
        <f>IF(G2294="Sim",IF(OR(F2294="",D2294="",L2294=""),"",IF(L2294="Sim",ROUND(F2294-D2294,2),0)),0)</f>
        <v/>
      </c>
      <c r="I2294" s="350">
        <f>IF(G2294="Sim",0,IF(OR(F2294="",L2294=""),"",F2294))</f>
        <v/>
      </c>
      <c r="J2294" s="350">
        <f>IF(G2294="Sim",0,IF(OR(F2294="",D2294="",L2294=""),"",IF(L2294="Sim",ROUND(F2294-D2294,2),0)))</f>
        <v/>
      </c>
      <c r="K2294" s="97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inlineStr">
        <is>
          <t>Nao</t>
        </is>
      </c>
      <c r="W2294" s="110" t="inlineStr">
        <is>
          <t>PC em analise</t>
        </is>
      </c>
      <c r="X2294" s="110" t="inlineStr">
        <is>
          <t>Pedido de Compra</t>
        </is>
      </c>
      <c r="Y2294" s="111" t="inlineStr">
        <is>
          <t>Impacto Potencial</t>
        </is>
      </c>
      <c r="Z2294" s="111" t="inlineStr">
        <is>
          <t>PC</t>
        </is>
      </c>
      <c r="AA2294" s="111" t="inlineStr">
        <is>
          <t>Nao</t>
        </is>
      </c>
      <c r="AB2294" s="111" t="inlineStr">
        <is>
          <t>NAO_COMPUTADO</t>
        </is>
      </c>
      <c r="AC2294" s="112" t="inlineStr">
        <is>
          <t>Estrutura Fase 1: sem impacto no VTA oficial</t>
        </is>
      </c>
    </row>
    <row r="2295" ht="25.5" customHeight="1" s="289">
      <c r="A2295" s="205" t="n"/>
      <c r="B2295" s="207" t="n"/>
      <c r="C2295" s="104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348" t="n"/>
      <c r="E2295" s="349">
        <f>IF(C2295="","",IFERROR(VLOOKUP(C2295,parametros!$A$11:$E$15,5,0),""))</f>
        <v/>
      </c>
      <c r="F2295" s="335">
        <f>IF(OR(D2295="",E2295=""),"",ROUND(D2295*E2295,2))</f>
        <v/>
      </c>
      <c r="G2295" s="106" t="n"/>
      <c r="H2295" s="350">
        <f>IF(G2295="Sim",IF(OR(F2295="",D2295="",L2295=""),"",IF(L2295="Sim",ROUND(F2295-D2295,2),0)),0)</f>
        <v/>
      </c>
      <c r="I2295" s="350">
        <f>IF(G2295="Sim",0,IF(OR(F2295="",L2295=""),"",F2295))</f>
        <v/>
      </c>
      <c r="J2295" s="350">
        <f>IF(G2295="Sim",0,IF(OR(F2295="",D2295="",L2295=""),"",IF(L2295="Sim",ROUND(F2295-D2295,2),0)))</f>
        <v/>
      </c>
      <c r="K2295" s="97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inlineStr">
        <is>
          <t>Nao</t>
        </is>
      </c>
      <c r="W2295" s="110" t="inlineStr">
        <is>
          <t>PC em analise</t>
        </is>
      </c>
      <c r="X2295" s="110" t="inlineStr">
        <is>
          <t>Pedido de Compra</t>
        </is>
      </c>
      <c r="Y2295" s="111" t="inlineStr">
        <is>
          <t>Impacto Potencial</t>
        </is>
      </c>
      <c r="Z2295" s="111" t="inlineStr">
        <is>
          <t>PC</t>
        </is>
      </c>
      <c r="AA2295" s="111" t="inlineStr">
        <is>
          <t>Nao</t>
        </is>
      </c>
      <c r="AB2295" s="111" t="inlineStr">
        <is>
          <t>NAO_COMPUTADO</t>
        </is>
      </c>
      <c r="AC2295" s="112" t="inlineStr">
        <is>
          <t>Estrutura Fase 1: sem impacto no VTA oficial</t>
        </is>
      </c>
    </row>
    <row r="2296" ht="25.5" customHeight="1" s="289">
      <c r="A2296" s="205" t="n"/>
      <c r="B2296" s="207" t="n"/>
      <c r="C2296" s="104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348" t="n"/>
      <c r="E2296" s="349">
        <f>IF(C2296="","",IFERROR(VLOOKUP(C2296,parametros!$A$11:$E$15,5,0),""))</f>
        <v/>
      </c>
      <c r="F2296" s="335">
        <f>IF(OR(D2296="",E2296=""),"",ROUND(D2296*E2296,2))</f>
        <v/>
      </c>
      <c r="G2296" s="106" t="n"/>
      <c r="H2296" s="350">
        <f>IF(G2296="Sim",IF(OR(F2296="",D2296="",L2296=""),"",IF(L2296="Sim",ROUND(F2296-D2296,2),0)),0)</f>
        <v/>
      </c>
      <c r="I2296" s="350">
        <f>IF(G2296="Sim",0,IF(OR(F2296="",L2296=""),"",F2296))</f>
        <v/>
      </c>
      <c r="J2296" s="350">
        <f>IF(G2296="Sim",0,IF(OR(F2296="",D2296="",L2296=""),"",IF(L2296="Sim",ROUND(F2296-D2296,2),0)))</f>
        <v/>
      </c>
      <c r="K2296" s="97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inlineStr">
        <is>
          <t>Nao</t>
        </is>
      </c>
      <c r="W2296" s="110" t="inlineStr">
        <is>
          <t>PC em analise</t>
        </is>
      </c>
      <c r="X2296" s="110" t="inlineStr">
        <is>
          <t>Pedido de Compra</t>
        </is>
      </c>
      <c r="Y2296" s="111" t="inlineStr">
        <is>
          <t>Impacto Potencial</t>
        </is>
      </c>
      <c r="Z2296" s="111" t="inlineStr">
        <is>
          <t>PC</t>
        </is>
      </c>
      <c r="AA2296" s="111" t="inlineStr">
        <is>
          <t>Nao</t>
        </is>
      </c>
      <c r="AB2296" s="111" t="inlineStr">
        <is>
          <t>NAO_COMPUTADO</t>
        </is>
      </c>
      <c r="AC2296" s="112" t="inlineStr">
        <is>
          <t>Estrutura Fase 1: sem impacto no VTA oficial</t>
        </is>
      </c>
    </row>
    <row r="2297" ht="25.5" customHeight="1" s="289">
      <c r="A2297" s="205" t="n"/>
      <c r="B2297" s="207" t="n"/>
      <c r="C2297" s="104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348" t="n"/>
      <c r="E2297" s="349">
        <f>IF(C2297="","",IFERROR(VLOOKUP(C2297,parametros!$A$11:$E$15,5,0),""))</f>
        <v/>
      </c>
      <c r="F2297" s="335">
        <f>IF(OR(D2297="",E2297=""),"",ROUND(D2297*E2297,2))</f>
        <v/>
      </c>
      <c r="G2297" s="106" t="n"/>
      <c r="H2297" s="350">
        <f>IF(G2297="Sim",IF(OR(F2297="",D2297="",L2297=""),"",IF(L2297="Sim",ROUND(F2297-D2297,2),0)),0)</f>
        <v/>
      </c>
      <c r="I2297" s="350">
        <f>IF(G2297="Sim",0,IF(OR(F2297="",L2297=""),"",F2297))</f>
        <v/>
      </c>
      <c r="J2297" s="350">
        <f>IF(G2297="Sim",0,IF(OR(F2297="",D2297="",L2297=""),"",IF(L2297="Sim",ROUND(F2297-D2297,2),0)))</f>
        <v/>
      </c>
      <c r="K2297" s="97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inlineStr">
        <is>
          <t>Nao</t>
        </is>
      </c>
      <c r="W2297" s="110" t="inlineStr">
        <is>
          <t>PC em analise</t>
        </is>
      </c>
      <c r="X2297" s="110" t="inlineStr">
        <is>
          <t>Pedido de Compra</t>
        </is>
      </c>
      <c r="Y2297" s="111" t="inlineStr">
        <is>
          <t>Impacto Potencial</t>
        </is>
      </c>
      <c r="Z2297" s="111" t="inlineStr">
        <is>
          <t>PC</t>
        </is>
      </c>
      <c r="AA2297" s="111" t="inlineStr">
        <is>
          <t>Nao</t>
        </is>
      </c>
      <c r="AB2297" s="111" t="inlineStr">
        <is>
          <t>NAO_COMPUTADO</t>
        </is>
      </c>
      <c r="AC2297" s="112" t="inlineStr">
        <is>
          <t>Estrutura Fase 1: sem impacto no VTA oficial</t>
        </is>
      </c>
    </row>
    <row r="2298" ht="25.5" customHeight="1" s="289">
      <c r="A2298" s="205" t="n"/>
      <c r="B2298" s="207" t="n"/>
      <c r="C2298" s="104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348" t="n"/>
      <c r="E2298" s="349">
        <f>IF(C2298="","",IFERROR(VLOOKUP(C2298,parametros!$A$11:$E$15,5,0),""))</f>
        <v/>
      </c>
      <c r="F2298" s="335">
        <f>IF(OR(D2298="",E2298=""),"",ROUND(D2298*E2298,2))</f>
        <v/>
      </c>
      <c r="G2298" s="106" t="n"/>
      <c r="H2298" s="350">
        <f>IF(G2298="Sim",IF(OR(F2298="",D2298="",L2298=""),"",IF(L2298="Sim",ROUND(F2298-D2298,2),0)),0)</f>
        <v/>
      </c>
      <c r="I2298" s="350">
        <f>IF(G2298="Sim",0,IF(OR(F2298="",L2298=""),"",F2298))</f>
        <v/>
      </c>
      <c r="J2298" s="350">
        <f>IF(G2298="Sim",0,IF(OR(F2298="",D2298="",L2298=""),"",IF(L2298="Sim",ROUND(F2298-D2298,2),0)))</f>
        <v/>
      </c>
      <c r="K2298" s="97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inlineStr">
        <is>
          <t>Nao</t>
        </is>
      </c>
      <c r="W2298" s="110" t="inlineStr">
        <is>
          <t>PC em analise</t>
        </is>
      </c>
      <c r="X2298" s="110" t="inlineStr">
        <is>
          <t>Pedido de Compra</t>
        </is>
      </c>
      <c r="Y2298" s="111" t="inlineStr">
        <is>
          <t>Impacto Potencial</t>
        </is>
      </c>
      <c r="Z2298" s="111" t="inlineStr">
        <is>
          <t>PC</t>
        </is>
      </c>
      <c r="AA2298" s="111" t="inlineStr">
        <is>
          <t>Nao</t>
        </is>
      </c>
      <c r="AB2298" s="111" t="inlineStr">
        <is>
          <t>NAO_COMPUTADO</t>
        </is>
      </c>
      <c r="AC2298" s="112" t="inlineStr">
        <is>
          <t>Estrutura Fase 1: sem impacto no VTA oficial</t>
        </is>
      </c>
    </row>
    <row r="2299" ht="25.5" customHeight="1" s="289">
      <c r="A2299" s="205" t="n"/>
      <c r="B2299" s="207" t="n"/>
      <c r="C2299" s="104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348" t="n"/>
      <c r="E2299" s="349">
        <f>IF(C2299="","",IFERROR(VLOOKUP(C2299,parametros!$A$11:$E$15,5,0),""))</f>
        <v/>
      </c>
      <c r="F2299" s="335">
        <f>IF(OR(D2299="",E2299=""),"",ROUND(D2299*E2299,2))</f>
        <v/>
      </c>
      <c r="G2299" s="106" t="n"/>
      <c r="H2299" s="350">
        <f>IF(G2299="Sim",IF(OR(F2299="",D2299="",L2299=""),"",IF(L2299="Sim",ROUND(F2299-D2299,2),0)),0)</f>
        <v/>
      </c>
      <c r="I2299" s="350">
        <f>IF(G2299="Sim",0,IF(OR(F2299="",L2299=""),"",F2299))</f>
        <v/>
      </c>
      <c r="J2299" s="350">
        <f>IF(G2299="Sim",0,IF(OR(F2299="",D2299="",L2299=""),"",IF(L2299="Sim",ROUND(F2299-D2299,2),0)))</f>
        <v/>
      </c>
      <c r="K2299" s="97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inlineStr">
        <is>
          <t>Nao</t>
        </is>
      </c>
      <c r="W2299" s="110" t="inlineStr">
        <is>
          <t>PC em analise</t>
        </is>
      </c>
      <c r="X2299" s="110" t="inlineStr">
        <is>
          <t>Pedido de Compra</t>
        </is>
      </c>
      <c r="Y2299" s="111" t="inlineStr">
        <is>
          <t>Impacto Potencial</t>
        </is>
      </c>
      <c r="Z2299" s="111" t="inlineStr">
        <is>
          <t>PC</t>
        </is>
      </c>
      <c r="AA2299" s="111" t="inlineStr">
        <is>
          <t>Nao</t>
        </is>
      </c>
      <c r="AB2299" s="111" t="inlineStr">
        <is>
          <t>NAO_COMPUTADO</t>
        </is>
      </c>
      <c r="AC2299" s="112" t="inlineStr">
        <is>
          <t>Estrutura Fase 1: sem impacto no VTA oficial</t>
        </is>
      </c>
    </row>
    <row r="2300" ht="25.5" customHeight="1" s="289">
      <c r="A2300" s="205" t="n"/>
      <c r="B2300" s="207" t="n"/>
      <c r="C2300" s="104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348" t="n"/>
      <c r="E2300" s="349">
        <f>IF(C2300="","",IFERROR(VLOOKUP(C2300,parametros!$A$11:$E$15,5,0),""))</f>
        <v/>
      </c>
      <c r="F2300" s="335">
        <f>IF(OR(D2300="",E2300=""),"",ROUND(D2300*E2300,2))</f>
        <v/>
      </c>
      <c r="G2300" s="106" t="n"/>
      <c r="H2300" s="350">
        <f>IF(G2300="Sim",IF(OR(F2300="",D2300="",L2300=""),"",IF(L2300="Sim",ROUND(F2300-D2300,2),0)),0)</f>
        <v/>
      </c>
      <c r="I2300" s="350">
        <f>IF(G2300="Sim",0,IF(OR(F2300="",L2300=""),"",F2300))</f>
        <v/>
      </c>
      <c r="J2300" s="350">
        <f>IF(G2300="Sim",0,IF(OR(F2300="",D2300="",L2300=""),"",IF(L2300="Sim",ROUND(F2300-D2300,2),0)))</f>
        <v/>
      </c>
      <c r="K2300" s="97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inlineStr">
        <is>
          <t>Nao</t>
        </is>
      </c>
      <c r="W2300" s="110" t="inlineStr">
        <is>
          <t>PC em analise</t>
        </is>
      </c>
      <c r="X2300" s="110" t="inlineStr">
        <is>
          <t>Pedido de Compra</t>
        </is>
      </c>
      <c r="Y2300" s="111" t="inlineStr">
        <is>
          <t>Impacto Potencial</t>
        </is>
      </c>
      <c r="Z2300" s="111" t="inlineStr">
        <is>
          <t>PC</t>
        </is>
      </c>
      <c r="AA2300" s="111" t="inlineStr">
        <is>
          <t>Nao</t>
        </is>
      </c>
      <c r="AB2300" s="111" t="inlineStr">
        <is>
          <t>NAO_COMPUTADO</t>
        </is>
      </c>
      <c r="AC2300" s="112" t="inlineStr">
        <is>
          <t>Estrutura Fase 1: sem impacto no VTA oficial</t>
        </is>
      </c>
    </row>
    <row r="2301" ht="25.5" customHeight="1" s="289">
      <c r="A2301" s="205" t="n"/>
      <c r="B2301" s="207" t="n"/>
      <c r="C2301" s="104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348" t="n"/>
      <c r="E2301" s="349">
        <f>IF(C2301="","",IFERROR(VLOOKUP(C2301,parametros!$A$11:$E$15,5,0),""))</f>
        <v/>
      </c>
      <c r="F2301" s="335">
        <f>IF(OR(D2301="",E2301=""),"",ROUND(D2301*E2301,2))</f>
        <v/>
      </c>
      <c r="G2301" s="106" t="n"/>
      <c r="H2301" s="350">
        <f>IF(G2301="Sim",IF(OR(F2301="",D2301="",L2301=""),"",IF(L2301="Sim",ROUND(F2301-D2301,2),0)),0)</f>
        <v/>
      </c>
      <c r="I2301" s="350">
        <f>IF(G2301="Sim",0,IF(OR(F2301="",L2301=""),"",F2301))</f>
        <v/>
      </c>
      <c r="J2301" s="350">
        <f>IF(G2301="Sim",0,IF(OR(F2301="",D2301="",L2301=""),"",IF(L2301="Sim",ROUND(F2301-D2301,2),0)))</f>
        <v/>
      </c>
      <c r="K2301" s="97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inlineStr">
        <is>
          <t>Nao</t>
        </is>
      </c>
      <c r="W2301" s="110" t="inlineStr">
        <is>
          <t>PC em analise</t>
        </is>
      </c>
      <c r="X2301" s="110" t="inlineStr">
        <is>
          <t>Pedido de Compra</t>
        </is>
      </c>
      <c r="Y2301" s="111" t="inlineStr">
        <is>
          <t>Impacto Potencial</t>
        </is>
      </c>
      <c r="Z2301" s="111" t="inlineStr">
        <is>
          <t>PC</t>
        </is>
      </c>
      <c r="AA2301" s="111" t="inlineStr">
        <is>
          <t>Nao</t>
        </is>
      </c>
      <c r="AB2301" s="111" t="inlineStr">
        <is>
          <t>NAO_COMPUTADO</t>
        </is>
      </c>
      <c r="AC2301" s="112" t="inlineStr">
        <is>
          <t>Estrutura Fase 1: sem impacto no VTA oficial</t>
        </is>
      </c>
    </row>
    <row r="2302" ht="25.5" customHeight="1" s="289">
      <c r="A2302" s="205" t="n"/>
      <c r="B2302" s="207" t="n"/>
      <c r="C2302" s="104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348" t="n"/>
      <c r="E2302" s="349">
        <f>IF(C2302="","",IFERROR(VLOOKUP(C2302,parametros!$A$11:$E$15,5,0),""))</f>
        <v/>
      </c>
      <c r="F2302" s="335">
        <f>IF(OR(D2302="",E2302=""),"",ROUND(D2302*E2302,2))</f>
        <v/>
      </c>
      <c r="G2302" s="106" t="n"/>
      <c r="H2302" s="350">
        <f>IF(G2302="Sim",IF(OR(F2302="",D2302="",L2302=""),"",IF(L2302="Sim",ROUND(F2302-D2302,2),0)),0)</f>
        <v/>
      </c>
      <c r="I2302" s="350">
        <f>IF(G2302="Sim",0,IF(OR(F2302="",L2302=""),"",F2302))</f>
        <v/>
      </c>
      <c r="J2302" s="350">
        <f>IF(G2302="Sim",0,IF(OR(F2302="",D2302="",L2302=""),"",IF(L2302="Sim",ROUND(F2302-D2302,2),0)))</f>
        <v/>
      </c>
      <c r="K2302" s="97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inlineStr">
        <is>
          <t>Nao</t>
        </is>
      </c>
      <c r="W2302" s="110" t="inlineStr">
        <is>
          <t>PC em analise</t>
        </is>
      </c>
      <c r="X2302" s="110" t="inlineStr">
        <is>
          <t>Pedido de Compra</t>
        </is>
      </c>
      <c r="Y2302" s="111" t="inlineStr">
        <is>
          <t>Impacto Potencial</t>
        </is>
      </c>
      <c r="Z2302" s="111" t="inlineStr">
        <is>
          <t>PC</t>
        </is>
      </c>
      <c r="AA2302" s="111" t="inlineStr">
        <is>
          <t>Nao</t>
        </is>
      </c>
      <c r="AB2302" s="111" t="inlineStr">
        <is>
          <t>NAO_COMPUTADO</t>
        </is>
      </c>
      <c r="AC2302" s="112" t="inlineStr">
        <is>
          <t>Estrutura Fase 1: sem impacto no VTA oficial</t>
        </is>
      </c>
    </row>
    <row r="2303" ht="25.5" customHeight="1" s="289">
      <c r="A2303" s="205" t="n"/>
      <c r="B2303" s="207" t="n"/>
      <c r="C2303" s="104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348" t="n"/>
      <c r="E2303" s="349">
        <f>IF(C2303="","",IFERROR(VLOOKUP(C2303,parametros!$A$11:$E$15,5,0),""))</f>
        <v/>
      </c>
      <c r="F2303" s="335">
        <f>IF(OR(D2303="",E2303=""),"",ROUND(D2303*E2303,2))</f>
        <v/>
      </c>
      <c r="G2303" s="106" t="n"/>
      <c r="H2303" s="350">
        <f>IF(G2303="Sim",IF(OR(F2303="",D2303="",L2303=""),"",IF(L2303="Sim",ROUND(F2303-D2303,2),0)),0)</f>
        <v/>
      </c>
      <c r="I2303" s="350">
        <f>IF(G2303="Sim",0,IF(OR(F2303="",L2303=""),"",F2303))</f>
        <v/>
      </c>
      <c r="J2303" s="350">
        <f>IF(G2303="Sim",0,IF(OR(F2303="",D2303="",L2303=""),"",IF(L2303="Sim",ROUND(F2303-D2303,2),0)))</f>
        <v/>
      </c>
      <c r="K2303" s="97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inlineStr">
        <is>
          <t>Nao</t>
        </is>
      </c>
      <c r="W2303" s="110" t="inlineStr">
        <is>
          <t>PC em analise</t>
        </is>
      </c>
      <c r="X2303" s="110" t="inlineStr">
        <is>
          <t>Pedido de Compra</t>
        </is>
      </c>
      <c r="Y2303" s="111" t="inlineStr">
        <is>
          <t>Impacto Potencial</t>
        </is>
      </c>
      <c r="Z2303" s="111" t="inlineStr">
        <is>
          <t>PC</t>
        </is>
      </c>
      <c r="AA2303" s="111" t="inlineStr">
        <is>
          <t>Nao</t>
        </is>
      </c>
      <c r="AB2303" s="111" t="inlineStr">
        <is>
          <t>NAO_COMPUTADO</t>
        </is>
      </c>
      <c r="AC2303" s="112" t="inlineStr">
        <is>
          <t>Estrutura Fase 1: sem impacto no VTA oficial</t>
        </is>
      </c>
    </row>
    <row r="2304" ht="25.5" customHeight="1" s="289">
      <c r="A2304" s="205" t="n"/>
      <c r="B2304" s="207" t="n"/>
      <c r="C2304" s="104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348" t="n"/>
      <c r="E2304" s="349">
        <f>IF(C2304="","",IFERROR(VLOOKUP(C2304,parametros!$A$11:$E$15,5,0),""))</f>
        <v/>
      </c>
      <c r="F2304" s="335">
        <f>IF(OR(D2304="",E2304=""),"",ROUND(D2304*E2304,2))</f>
        <v/>
      </c>
      <c r="G2304" s="106" t="n"/>
      <c r="H2304" s="350">
        <f>IF(G2304="Sim",IF(OR(F2304="",D2304="",L2304=""),"",IF(L2304="Sim",ROUND(F2304-D2304,2),0)),0)</f>
        <v/>
      </c>
      <c r="I2304" s="350">
        <f>IF(G2304="Sim",0,IF(OR(F2304="",L2304=""),"",F2304))</f>
        <v/>
      </c>
      <c r="J2304" s="350">
        <f>IF(G2304="Sim",0,IF(OR(F2304="",D2304="",L2304=""),"",IF(L2304="Sim",ROUND(F2304-D2304,2),0)))</f>
        <v/>
      </c>
      <c r="K2304" s="97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inlineStr">
        <is>
          <t>Nao</t>
        </is>
      </c>
      <c r="W2304" s="110" t="inlineStr">
        <is>
          <t>PC em analise</t>
        </is>
      </c>
      <c r="X2304" s="110" t="inlineStr">
        <is>
          <t>Pedido de Compra</t>
        </is>
      </c>
      <c r="Y2304" s="111" t="inlineStr">
        <is>
          <t>Impacto Potencial</t>
        </is>
      </c>
      <c r="Z2304" s="111" t="inlineStr">
        <is>
          <t>PC</t>
        </is>
      </c>
      <c r="AA2304" s="111" t="inlineStr">
        <is>
          <t>Nao</t>
        </is>
      </c>
      <c r="AB2304" s="111" t="inlineStr">
        <is>
          <t>NAO_COMPUTADO</t>
        </is>
      </c>
      <c r="AC2304" s="112" t="inlineStr">
        <is>
          <t>Estrutura Fase 1: sem impacto no VTA oficial</t>
        </is>
      </c>
    </row>
    <row r="2305" ht="25.5" customHeight="1" s="289">
      <c r="A2305" s="205" t="n"/>
      <c r="B2305" s="207" t="n"/>
      <c r="C2305" s="104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348" t="n"/>
      <c r="E2305" s="349">
        <f>IF(C2305="","",IFERROR(VLOOKUP(C2305,parametros!$A$11:$E$15,5,0),""))</f>
        <v/>
      </c>
      <c r="F2305" s="335">
        <f>IF(OR(D2305="",E2305=""),"",ROUND(D2305*E2305,2))</f>
        <v/>
      </c>
      <c r="G2305" s="106" t="n"/>
      <c r="H2305" s="350">
        <f>IF(G2305="Sim",IF(OR(F2305="",D2305="",L2305=""),"",IF(L2305="Sim",ROUND(F2305-D2305,2),0)),0)</f>
        <v/>
      </c>
      <c r="I2305" s="350">
        <f>IF(G2305="Sim",0,IF(OR(F2305="",L2305=""),"",F2305))</f>
        <v/>
      </c>
      <c r="J2305" s="350">
        <f>IF(G2305="Sim",0,IF(OR(F2305="",D2305="",L2305=""),"",IF(L2305="Sim",ROUND(F2305-D2305,2),0)))</f>
        <v/>
      </c>
      <c r="K2305" s="97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inlineStr">
        <is>
          <t>Nao</t>
        </is>
      </c>
      <c r="W2305" s="110" t="inlineStr">
        <is>
          <t>PC em analise</t>
        </is>
      </c>
      <c r="X2305" s="110" t="inlineStr">
        <is>
          <t>Pedido de Compra</t>
        </is>
      </c>
      <c r="Y2305" s="111" t="inlineStr">
        <is>
          <t>Impacto Potencial</t>
        </is>
      </c>
      <c r="Z2305" s="111" t="inlineStr">
        <is>
          <t>PC</t>
        </is>
      </c>
      <c r="AA2305" s="111" t="inlineStr">
        <is>
          <t>Nao</t>
        </is>
      </c>
      <c r="AB2305" s="111" t="inlineStr">
        <is>
          <t>NAO_COMPUTADO</t>
        </is>
      </c>
      <c r="AC2305" s="112" t="inlineStr">
        <is>
          <t>Estrutura Fase 1: sem impacto no VTA oficial</t>
        </is>
      </c>
    </row>
    <row r="2306" ht="25.5" customHeight="1" s="289">
      <c r="A2306" s="205" t="n"/>
      <c r="B2306" s="207" t="n"/>
      <c r="C2306" s="104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348" t="n"/>
      <c r="E2306" s="349">
        <f>IF(C2306="","",IFERROR(VLOOKUP(C2306,parametros!$A$11:$E$15,5,0),""))</f>
        <v/>
      </c>
      <c r="F2306" s="335">
        <f>IF(OR(D2306="",E2306=""),"",ROUND(D2306*E2306,2))</f>
        <v/>
      </c>
      <c r="G2306" s="106" t="n"/>
      <c r="H2306" s="350">
        <f>IF(G2306="Sim",IF(OR(F2306="",D2306="",L2306=""),"",IF(L2306="Sim",ROUND(F2306-D2306,2),0)),0)</f>
        <v/>
      </c>
      <c r="I2306" s="350">
        <f>IF(G2306="Sim",0,IF(OR(F2306="",L2306=""),"",F2306))</f>
        <v/>
      </c>
      <c r="J2306" s="350">
        <f>IF(G2306="Sim",0,IF(OR(F2306="",D2306="",L2306=""),"",IF(L2306="Sim",ROUND(F2306-D2306,2),0)))</f>
        <v/>
      </c>
      <c r="K2306" s="97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inlineStr">
        <is>
          <t>Nao</t>
        </is>
      </c>
      <c r="W2306" s="110" t="inlineStr">
        <is>
          <t>PC em analise</t>
        </is>
      </c>
      <c r="X2306" s="110" t="inlineStr">
        <is>
          <t>Pedido de Compra</t>
        </is>
      </c>
      <c r="Y2306" s="111" t="inlineStr">
        <is>
          <t>Impacto Potencial</t>
        </is>
      </c>
      <c r="Z2306" s="111" t="inlineStr">
        <is>
          <t>PC</t>
        </is>
      </c>
      <c r="AA2306" s="111" t="inlineStr">
        <is>
          <t>Nao</t>
        </is>
      </c>
      <c r="AB2306" s="111" t="inlineStr">
        <is>
          <t>NAO_COMPUTADO</t>
        </is>
      </c>
      <c r="AC2306" s="112" t="inlineStr">
        <is>
          <t>Estrutura Fase 1: sem impacto no VTA oficial</t>
        </is>
      </c>
    </row>
    <row r="2307" ht="25.5" customHeight="1" s="289">
      <c r="A2307" s="205" t="n"/>
      <c r="B2307" s="207" t="n"/>
      <c r="C2307" s="104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348" t="n"/>
      <c r="E2307" s="349">
        <f>IF(C2307="","",IFERROR(VLOOKUP(C2307,parametros!$A$11:$E$15,5,0),""))</f>
        <v/>
      </c>
      <c r="F2307" s="335">
        <f>IF(OR(D2307="",E2307=""),"",ROUND(D2307*E2307,2))</f>
        <v/>
      </c>
      <c r="G2307" s="106" t="n"/>
      <c r="H2307" s="350">
        <f>IF(G2307="Sim",IF(OR(F2307="",D2307="",L2307=""),"",IF(L2307="Sim",ROUND(F2307-D2307,2),0)),0)</f>
        <v/>
      </c>
      <c r="I2307" s="350">
        <f>IF(G2307="Sim",0,IF(OR(F2307="",L2307=""),"",F2307))</f>
        <v/>
      </c>
      <c r="J2307" s="350">
        <f>IF(G2307="Sim",0,IF(OR(F2307="",D2307="",L2307=""),"",IF(L2307="Sim",ROUND(F2307-D2307,2),0)))</f>
        <v/>
      </c>
      <c r="K2307" s="97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inlineStr">
        <is>
          <t>Nao</t>
        </is>
      </c>
      <c r="W2307" s="110" t="inlineStr">
        <is>
          <t>PC em analise</t>
        </is>
      </c>
      <c r="X2307" s="110" t="inlineStr">
        <is>
          <t>Pedido de Compra</t>
        </is>
      </c>
      <c r="Y2307" s="111" t="inlineStr">
        <is>
          <t>Impacto Potencial</t>
        </is>
      </c>
      <c r="Z2307" s="111" t="inlineStr">
        <is>
          <t>PC</t>
        </is>
      </c>
      <c r="AA2307" s="111" t="inlineStr">
        <is>
          <t>Nao</t>
        </is>
      </c>
      <c r="AB2307" s="111" t="inlineStr">
        <is>
          <t>NAO_COMPUTADO</t>
        </is>
      </c>
      <c r="AC2307" s="112" t="inlineStr">
        <is>
          <t>Estrutura Fase 1: sem impacto no VTA oficial</t>
        </is>
      </c>
    </row>
    <row r="2308" ht="25.5" customHeight="1" s="289">
      <c r="A2308" s="205" t="n"/>
      <c r="B2308" s="207" t="n"/>
      <c r="C2308" s="104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348" t="n"/>
      <c r="E2308" s="349">
        <f>IF(C2308="","",IFERROR(VLOOKUP(C2308,parametros!$A$11:$E$15,5,0),""))</f>
        <v/>
      </c>
      <c r="F2308" s="335">
        <f>IF(OR(D2308="",E2308=""),"",ROUND(D2308*E2308,2))</f>
        <v/>
      </c>
      <c r="G2308" s="106" t="n"/>
      <c r="H2308" s="350">
        <f>IF(G2308="Sim",IF(OR(F2308="",D2308="",L2308=""),"",IF(L2308="Sim",ROUND(F2308-D2308,2),0)),0)</f>
        <v/>
      </c>
      <c r="I2308" s="350">
        <f>IF(G2308="Sim",0,IF(OR(F2308="",L2308=""),"",F2308))</f>
        <v/>
      </c>
      <c r="J2308" s="350">
        <f>IF(G2308="Sim",0,IF(OR(F2308="",D2308="",L2308=""),"",IF(L2308="Sim",ROUND(F2308-D2308,2),0)))</f>
        <v/>
      </c>
      <c r="K2308" s="97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inlineStr">
        <is>
          <t>Nao</t>
        </is>
      </c>
      <c r="W2308" s="110" t="inlineStr">
        <is>
          <t>PC em analise</t>
        </is>
      </c>
      <c r="X2308" s="110" t="inlineStr">
        <is>
          <t>Pedido de Compra</t>
        </is>
      </c>
      <c r="Y2308" s="111" t="inlineStr">
        <is>
          <t>Impacto Potencial</t>
        </is>
      </c>
      <c r="Z2308" s="111" t="inlineStr">
        <is>
          <t>PC</t>
        </is>
      </c>
      <c r="AA2308" s="111" t="inlineStr">
        <is>
          <t>Nao</t>
        </is>
      </c>
      <c r="AB2308" s="111" t="inlineStr">
        <is>
          <t>NAO_COMPUTADO</t>
        </is>
      </c>
      <c r="AC2308" s="112" t="inlineStr">
        <is>
          <t>Estrutura Fase 1: sem impacto no VTA oficial</t>
        </is>
      </c>
    </row>
    <row r="2309" ht="25.5" customHeight="1" s="289">
      <c r="A2309" s="205" t="n"/>
      <c r="B2309" s="207" t="n"/>
      <c r="C2309" s="104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348" t="n"/>
      <c r="E2309" s="349">
        <f>IF(C2309="","",IFERROR(VLOOKUP(C2309,parametros!$A$11:$E$15,5,0),""))</f>
        <v/>
      </c>
      <c r="F2309" s="335">
        <f>IF(OR(D2309="",E2309=""),"",ROUND(D2309*E2309,2))</f>
        <v/>
      </c>
      <c r="G2309" s="106" t="n"/>
      <c r="H2309" s="350">
        <f>IF(G2309="Sim",IF(OR(F2309="",D2309="",L2309=""),"",IF(L2309="Sim",ROUND(F2309-D2309,2),0)),0)</f>
        <v/>
      </c>
      <c r="I2309" s="350">
        <f>IF(G2309="Sim",0,IF(OR(F2309="",L2309=""),"",F2309))</f>
        <v/>
      </c>
      <c r="J2309" s="350">
        <f>IF(G2309="Sim",0,IF(OR(F2309="",D2309="",L2309=""),"",IF(L2309="Sim",ROUND(F2309-D2309,2),0)))</f>
        <v/>
      </c>
      <c r="K2309" s="97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inlineStr">
        <is>
          <t>Nao</t>
        </is>
      </c>
      <c r="W2309" s="110" t="inlineStr">
        <is>
          <t>PC em analise</t>
        </is>
      </c>
      <c r="X2309" s="110" t="inlineStr">
        <is>
          <t>Pedido de Compra</t>
        </is>
      </c>
      <c r="Y2309" s="111" t="inlineStr">
        <is>
          <t>Impacto Potencial</t>
        </is>
      </c>
      <c r="Z2309" s="111" t="inlineStr">
        <is>
          <t>PC</t>
        </is>
      </c>
      <c r="AA2309" s="111" t="inlineStr">
        <is>
          <t>Nao</t>
        </is>
      </c>
      <c r="AB2309" s="111" t="inlineStr">
        <is>
          <t>NAO_COMPUTADO</t>
        </is>
      </c>
      <c r="AC2309" s="112" t="inlineStr">
        <is>
          <t>Estrutura Fase 1: sem impacto no VTA oficial</t>
        </is>
      </c>
    </row>
    <row r="2310" ht="25.5" customHeight="1" s="289">
      <c r="A2310" s="205" t="n"/>
      <c r="B2310" s="207" t="n"/>
      <c r="C2310" s="104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348" t="n"/>
      <c r="E2310" s="349">
        <f>IF(C2310="","",IFERROR(VLOOKUP(C2310,parametros!$A$11:$E$15,5,0),""))</f>
        <v/>
      </c>
      <c r="F2310" s="335">
        <f>IF(OR(D2310="",E2310=""),"",ROUND(D2310*E2310,2))</f>
        <v/>
      </c>
      <c r="G2310" s="106" t="n"/>
      <c r="H2310" s="350">
        <f>IF(G2310="Sim",IF(OR(F2310="",D2310="",L2310=""),"",IF(L2310="Sim",ROUND(F2310-D2310,2),0)),0)</f>
        <v/>
      </c>
      <c r="I2310" s="350">
        <f>IF(G2310="Sim",0,IF(OR(F2310="",L2310=""),"",F2310))</f>
        <v/>
      </c>
      <c r="J2310" s="350">
        <f>IF(G2310="Sim",0,IF(OR(F2310="",D2310="",L2310=""),"",IF(L2310="Sim",ROUND(F2310-D2310,2),0)))</f>
        <v/>
      </c>
      <c r="K2310" s="97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inlineStr">
        <is>
          <t>Nao</t>
        </is>
      </c>
      <c r="W2310" s="110" t="inlineStr">
        <is>
          <t>PC em analise</t>
        </is>
      </c>
      <c r="X2310" s="110" t="inlineStr">
        <is>
          <t>Pedido de Compra</t>
        </is>
      </c>
      <c r="Y2310" s="111" t="inlineStr">
        <is>
          <t>Impacto Potencial</t>
        </is>
      </c>
      <c r="Z2310" s="111" t="inlineStr">
        <is>
          <t>PC</t>
        </is>
      </c>
      <c r="AA2310" s="111" t="inlineStr">
        <is>
          <t>Nao</t>
        </is>
      </c>
      <c r="AB2310" s="111" t="inlineStr">
        <is>
          <t>NAO_COMPUTADO</t>
        </is>
      </c>
      <c r="AC2310" s="112" t="inlineStr">
        <is>
          <t>Estrutura Fase 1: sem impacto no VTA oficial</t>
        </is>
      </c>
    </row>
    <row r="2311" ht="25.5" customHeight="1" s="289">
      <c r="A2311" s="205" t="n"/>
      <c r="B2311" s="207" t="n"/>
      <c r="C2311" s="104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348" t="n"/>
      <c r="E2311" s="349">
        <f>IF(C2311="","",IFERROR(VLOOKUP(C2311,parametros!$A$11:$E$15,5,0),""))</f>
        <v/>
      </c>
      <c r="F2311" s="335">
        <f>IF(OR(D2311="",E2311=""),"",ROUND(D2311*E2311,2))</f>
        <v/>
      </c>
      <c r="G2311" s="106" t="n"/>
      <c r="H2311" s="350">
        <f>IF(G2311="Sim",IF(OR(F2311="",D2311="",L2311=""),"",IF(L2311="Sim",ROUND(F2311-D2311,2),0)),0)</f>
        <v/>
      </c>
      <c r="I2311" s="350">
        <f>IF(G2311="Sim",0,IF(OR(F2311="",L2311=""),"",F2311))</f>
        <v/>
      </c>
      <c r="J2311" s="350">
        <f>IF(G2311="Sim",0,IF(OR(F2311="",D2311="",L2311=""),"",IF(L2311="Sim",ROUND(F2311-D2311,2),0)))</f>
        <v/>
      </c>
      <c r="K2311" s="97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inlineStr">
        <is>
          <t>Nao</t>
        </is>
      </c>
      <c r="W2311" s="110" t="inlineStr">
        <is>
          <t>PC em analise</t>
        </is>
      </c>
      <c r="X2311" s="110" t="inlineStr">
        <is>
          <t>Pedido de Compra</t>
        </is>
      </c>
      <c r="Y2311" s="111" t="inlineStr">
        <is>
          <t>Impacto Potencial</t>
        </is>
      </c>
      <c r="Z2311" s="111" t="inlineStr">
        <is>
          <t>PC</t>
        </is>
      </c>
      <c r="AA2311" s="111" t="inlineStr">
        <is>
          <t>Nao</t>
        </is>
      </c>
      <c r="AB2311" s="111" t="inlineStr">
        <is>
          <t>NAO_COMPUTADO</t>
        </is>
      </c>
      <c r="AC2311" s="112" t="inlineStr">
        <is>
          <t>Estrutura Fase 1: sem impacto no VTA oficial</t>
        </is>
      </c>
    </row>
    <row r="2312" ht="25.5" customHeight="1" s="289">
      <c r="A2312" s="205" t="n"/>
      <c r="B2312" s="207" t="n"/>
      <c r="C2312" s="104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348" t="n"/>
      <c r="E2312" s="349">
        <f>IF(C2312="","",IFERROR(VLOOKUP(C2312,parametros!$A$11:$E$15,5,0),""))</f>
        <v/>
      </c>
      <c r="F2312" s="335">
        <f>IF(OR(D2312="",E2312=""),"",ROUND(D2312*E2312,2))</f>
        <v/>
      </c>
      <c r="G2312" s="106" t="n"/>
      <c r="H2312" s="350">
        <f>IF(G2312="Sim",IF(OR(F2312="",D2312="",L2312=""),"",IF(L2312="Sim",ROUND(F2312-D2312,2),0)),0)</f>
        <v/>
      </c>
      <c r="I2312" s="350">
        <f>IF(G2312="Sim",0,IF(OR(F2312="",L2312=""),"",F2312))</f>
        <v/>
      </c>
      <c r="J2312" s="350">
        <f>IF(G2312="Sim",0,IF(OR(F2312="",D2312="",L2312=""),"",IF(L2312="Sim",ROUND(F2312-D2312,2),0)))</f>
        <v/>
      </c>
      <c r="K2312" s="97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inlineStr">
        <is>
          <t>Nao</t>
        </is>
      </c>
      <c r="W2312" s="110" t="inlineStr">
        <is>
          <t>PC em analise</t>
        </is>
      </c>
      <c r="X2312" s="110" t="inlineStr">
        <is>
          <t>Pedido de Compra</t>
        </is>
      </c>
      <c r="Y2312" s="111" t="inlineStr">
        <is>
          <t>Impacto Potencial</t>
        </is>
      </c>
      <c r="Z2312" s="111" t="inlineStr">
        <is>
          <t>PC</t>
        </is>
      </c>
      <c r="AA2312" s="111" t="inlineStr">
        <is>
          <t>Nao</t>
        </is>
      </c>
      <c r="AB2312" s="111" t="inlineStr">
        <is>
          <t>NAO_COMPUTADO</t>
        </is>
      </c>
      <c r="AC2312" s="112" t="inlineStr">
        <is>
          <t>Estrutura Fase 1: sem impacto no VTA oficial</t>
        </is>
      </c>
    </row>
    <row r="2313" ht="25.5" customHeight="1" s="289">
      <c r="A2313" s="205" t="n"/>
      <c r="B2313" s="207" t="n"/>
      <c r="C2313" s="104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348" t="n"/>
      <c r="E2313" s="349">
        <f>IF(C2313="","",IFERROR(VLOOKUP(C2313,parametros!$A$11:$E$15,5,0),""))</f>
        <v/>
      </c>
      <c r="F2313" s="335">
        <f>IF(OR(D2313="",E2313=""),"",ROUND(D2313*E2313,2))</f>
        <v/>
      </c>
      <c r="G2313" s="106" t="n"/>
      <c r="H2313" s="350">
        <f>IF(G2313="Sim",IF(OR(F2313="",D2313="",L2313=""),"",IF(L2313="Sim",ROUND(F2313-D2313,2),0)),0)</f>
        <v/>
      </c>
      <c r="I2313" s="350">
        <f>IF(G2313="Sim",0,IF(OR(F2313="",L2313=""),"",F2313))</f>
        <v/>
      </c>
      <c r="J2313" s="350">
        <f>IF(G2313="Sim",0,IF(OR(F2313="",D2313="",L2313=""),"",IF(L2313="Sim",ROUND(F2313-D2313,2),0)))</f>
        <v/>
      </c>
      <c r="K2313" s="97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inlineStr">
        <is>
          <t>Nao</t>
        </is>
      </c>
      <c r="W2313" s="110" t="inlineStr">
        <is>
          <t>PC em analise</t>
        </is>
      </c>
      <c r="X2313" s="110" t="inlineStr">
        <is>
          <t>Pedido de Compra</t>
        </is>
      </c>
      <c r="Y2313" s="111" t="inlineStr">
        <is>
          <t>Impacto Potencial</t>
        </is>
      </c>
      <c r="Z2313" s="111" t="inlineStr">
        <is>
          <t>PC</t>
        </is>
      </c>
      <c r="AA2313" s="111" t="inlineStr">
        <is>
          <t>Nao</t>
        </is>
      </c>
      <c r="AB2313" s="111" t="inlineStr">
        <is>
          <t>NAO_COMPUTADO</t>
        </is>
      </c>
      <c r="AC2313" s="112" t="inlineStr">
        <is>
          <t>Estrutura Fase 1: sem impacto no VTA oficial</t>
        </is>
      </c>
    </row>
    <row r="2314" ht="25.5" customHeight="1" s="289">
      <c r="A2314" s="205" t="n"/>
      <c r="B2314" s="207" t="n"/>
      <c r="C2314" s="104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348" t="n"/>
      <c r="E2314" s="349">
        <f>IF(C2314="","",IFERROR(VLOOKUP(C2314,parametros!$A$11:$E$15,5,0),""))</f>
        <v/>
      </c>
      <c r="F2314" s="335">
        <f>IF(OR(D2314="",E2314=""),"",ROUND(D2314*E2314,2))</f>
        <v/>
      </c>
      <c r="G2314" s="106" t="n"/>
      <c r="H2314" s="350">
        <f>IF(G2314="Sim",IF(OR(F2314="",D2314="",L2314=""),"",IF(L2314="Sim",ROUND(F2314-D2314,2),0)),0)</f>
        <v/>
      </c>
      <c r="I2314" s="350">
        <f>IF(G2314="Sim",0,IF(OR(F2314="",L2314=""),"",F2314))</f>
        <v/>
      </c>
      <c r="J2314" s="350">
        <f>IF(G2314="Sim",0,IF(OR(F2314="",D2314="",L2314=""),"",IF(L2314="Sim",ROUND(F2314-D2314,2),0)))</f>
        <v/>
      </c>
      <c r="K2314" s="97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inlineStr">
        <is>
          <t>Nao</t>
        </is>
      </c>
      <c r="W2314" s="110" t="inlineStr">
        <is>
          <t>PC em analise</t>
        </is>
      </c>
      <c r="X2314" s="110" t="inlineStr">
        <is>
          <t>Pedido de Compra</t>
        </is>
      </c>
      <c r="Y2314" s="111" t="inlineStr">
        <is>
          <t>Impacto Potencial</t>
        </is>
      </c>
      <c r="Z2314" s="111" t="inlineStr">
        <is>
          <t>PC</t>
        </is>
      </c>
      <c r="AA2314" s="111" t="inlineStr">
        <is>
          <t>Nao</t>
        </is>
      </c>
      <c r="AB2314" s="111" t="inlineStr">
        <is>
          <t>NAO_COMPUTADO</t>
        </is>
      </c>
      <c r="AC2314" s="112" t="inlineStr">
        <is>
          <t>Estrutura Fase 1: sem impacto no VTA oficial</t>
        </is>
      </c>
    </row>
    <row r="2315" ht="25.5" customHeight="1" s="289">
      <c r="A2315" s="205" t="n"/>
      <c r="B2315" s="207" t="n"/>
      <c r="C2315" s="104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348" t="n"/>
      <c r="E2315" s="349">
        <f>IF(C2315="","",IFERROR(VLOOKUP(C2315,parametros!$A$11:$E$15,5,0),""))</f>
        <v/>
      </c>
      <c r="F2315" s="335">
        <f>IF(OR(D2315="",E2315=""),"",ROUND(D2315*E2315,2))</f>
        <v/>
      </c>
      <c r="G2315" s="106" t="n"/>
      <c r="H2315" s="350">
        <f>IF(G2315="Sim",IF(OR(F2315="",D2315="",L2315=""),"",IF(L2315="Sim",ROUND(F2315-D2315,2),0)),0)</f>
        <v/>
      </c>
      <c r="I2315" s="350">
        <f>IF(G2315="Sim",0,IF(OR(F2315="",L2315=""),"",F2315))</f>
        <v/>
      </c>
      <c r="J2315" s="350">
        <f>IF(G2315="Sim",0,IF(OR(F2315="",D2315="",L2315=""),"",IF(L2315="Sim",ROUND(F2315-D2315,2),0)))</f>
        <v/>
      </c>
      <c r="K2315" s="97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inlineStr">
        <is>
          <t>Nao</t>
        </is>
      </c>
      <c r="W2315" s="110" t="inlineStr">
        <is>
          <t>PC em analise</t>
        </is>
      </c>
      <c r="X2315" s="110" t="inlineStr">
        <is>
          <t>Pedido de Compra</t>
        </is>
      </c>
      <c r="Y2315" s="111" t="inlineStr">
        <is>
          <t>Impacto Potencial</t>
        </is>
      </c>
      <c r="Z2315" s="111" t="inlineStr">
        <is>
          <t>PC</t>
        </is>
      </c>
      <c r="AA2315" s="111" t="inlineStr">
        <is>
          <t>Nao</t>
        </is>
      </c>
      <c r="AB2315" s="111" t="inlineStr">
        <is>
          <t>NAO_COMPUTADO</t>
        </is>
      </c>
      <c r="AC2315" s="112" t="inlineStr">
        <is>
          <t>Estrutura Fase 1: sem impacto no VTA oficial</t>
        </is>
      </c>
    </row>
    <row r="2316" ht="25.5" customHeight="1" s="289">
      <c r="A2316" s="205" t="n"/>
      <c r="B2316" s="207" t="n"/>
      <c r="C2316" s="104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348" t="n"/>
      <c r="E2316" s="349">
        <f>IF(C2316="","",IFERROR(VLOOKUP(C2316,parametros!$A$11:$E$15,5,0),""))</f>
        <v/>
      </c>
      <c r="F2316" s="335">
        <f>IF(OR(D2316="",E2316=""),"",ROUND(D2316*E2316,2))</f>
        <v/>
      </c>
      <c r="G2316" s="106" t="n"/>
      <c r="H2316" s="350">
        <f>IF(G2316="Sim",IF(OR(F2316="",D2316="",L2316=""),"",IF(L2316="Sim",ROUND(F2316-D2316,2),0)),0)</f>
        <v/>
      </c>
      <c r="I2316" s="350">
        <f>IF(G2316="Sim",0,IF(OR(F2316="",L2316=""),"",F2316))</f>
        <v/>
      </c>
      <c r="J2316" s="350">
        <f>IF(G2316="Sim",0,IF(OR(F2316="",D2316="",L2316=""),"",IF(L2316="Sim",ROUND(F2316-D2316,2),0)))</f>
        <v/>
      </c>
      <c r="K2316" s="97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inlineStr">
        <is>
          <t>Nao</t>
        </is>
      </c>
      <c r="W2316" s="110" t="inlineStr">
        <is>
          <t>PC em analise</t>
        </is>
      </c>
      <c r="X2316" s="110" t="inlineStr">
        <is>
          <t>Pedido de Compra</t>
        </is>
      </c>
      <c r="Y2316" s="111" t="inlineStr">
        <is>
          <t>Impacto Potencial</t>
        </is>
      </c>
      <c r="Z2316" s="111" t="inlineStr">
        <is>
          <t>PC</t>
        </is>
      </c>
      <c r="AA2316" s="111" t="inlineStr">
        <is>
          <t>Nao</t>
        </is>
      </c>
      <c r="AB2316" s="111" t="inlineStr">
        <is>
          <t>NAO_COMPUTADO</t>
        </is>
      </c>
      <c r="AC2316" s="112" t="inlineStr">
        <is>
          <t>Estrutura Fase 1: sem impacto no VTA oficial</t>
        </is>
      </c>
    </row>
    <row r="2317" ht="25.5" customHeight="1" s="289">
      <c r="A2317" s="205" t="n"/>
      <c r="B2317" s="207" t="n"/>
      <c r="C2317" s="104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348" t="n"/>
      <c r="E2317" s="349">
        <f>IF(C2317="","",IFERROR(VLOOKUP(C2317,parametros!$A$11:$E$15,5,0),""))</f>
        <v/>
      </c>
      <c r="F2317" s="335">
        <f>IF(OR(D2317="",E2317=""),"",ROUND(D2317*E2317,2))</f>
        <v/>
      </c>
      <c r="G2317" s="106" t="n"/>
      <c r="H2317" s="350">
        <f>IF(G2317="Sim",IF(OR(F2317="",D2317="",L2317=""),"",IF(L2317="Sim",ROUND(F2317-D2317,2),0)),0)</f>
        <v/>
      </c>
      <c r="I2317" s="350">
        <f>IF(G2317="Sim",0,IF(OR(F2317="",L2317=""),"",F2317))</f>
        <v/>
      </c>
      <c r="J2317" s="350">
        <f>IF(G2317="Sim",0,IF(OR(F2317="",D2317="",L2317=""),"",IF(L2317="Sim",ROUND(F2317-D2317,2),0)))</f>
        <v/>
      </c>
      <c r="K2317" s="97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inlineStr">
        <is>
          <t>Nao</t>
        </is>
      </c>
      <c r="W2317" s="110" t="inlineStr">
        <is>
          <t>PC em analise</t>
        </is>
      </c>
      <c r="X2317" s="110" t="inlineStr">
        <is>
          <t>Pedido de Compra</t>
        </is>
      </c>
      <c r="Y2317" s="111" t="inlineStr">
        <is>
          <t>Impacto Potencial</t>
        </is>
      </c>
      <c r="Z2317" s="111" t="inlineStr">
        <is>
          <t>PC</t>
        </is>
      </c>
      <c r="AA2317" s="111" t="inlineStr">
        <is>
          <t>Nao</t>
        </is>
      </c>
      <c r="AB2317" s="111" t="inlineStr">
        <is>
          <t>NAO_COMPUTADO</t>
        </is>
      </c>
      <c r="AC2317" s="112" t="inlineStr">
        <is>
          <t>Estrutura Fase 1: sem impacto no VTA oficial</t>
        </is>
      </c>
    </row>
    <row r="2318" ht="25.5" customHeight="1" s="289">
      <c r="A2318" s="205" t="n"/>
      <c r="B2318" s="207" t="n"/>
      <c r="C2318" s="104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348" t="n"/>
      <c r="E2318" s="349">
        <f>IF(C2318="","",IFERROR(VLOOKUP(C2318,parametros!$A$11:$E$15,5,0),""))</f>
        <v/>
      </c>
      <c r="F2318" s="335">
        <f>IF(OR(D2318="",E2318=""),"",ROUND(D2318*E2318,2))</f>
        <v/>
      </c>
      <c r="G2318" s="106" t="n"/>
      <c r="H2318" s="350">
        <f>IF(G2318="Sim",IF(OR(F2318="",D2318="",L2318=""),"",IF(L2318="Sim",ROUND(F2318-D2318,2),0)),0)</f>
        <v/>
      </c>
      <c r="I2318" s="350">
        <f>IF(G2318="Sim",0,IF(OR(F2318="",L2318=""),"",F2318))</f>
        <v/>
      </c>
      <c r="J2318" s="350">
        <f>IF(G2318="Sim",0,IF(OR(F2318="",D2318="",L2318=""),"",IF(L2318="Sim",ROUND(F2318-D2318,2),0)))</f>
        <v/>
      </c>
      <c r="K2318" s="97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inlineStr">
        <is>
          <t>Nao</t>
        </is>
      </c>
      <c r="W2318" s="110" t="inlineStr">
        <is>
          <t>PC em analise</t>
        </is>
      </c>
      <c r="X2318" s="110" t="inlineStr">
        <is>
          <t>Pedido de Compra</t>
        </is>
      </c>
      <c r="Y2318" s="111" t="inlineStr">
        <is>
          <t>Impacto Potencial</t>
        </is>
      </c>
      <c r="Z2318" s="111" t="inlineStr">
        <is>
          <t>PC</t>
        </is>
      </c>
      <c r="AA2318" s="111" t="inlineStr">
        <is>
          <t>Nao</t>
        </is>
      </c>
      <c r="AB2318" s="111" t="inlineStr">
        <is>
          <t>NAO_COMPUTADO</t>
        </is>
      </c>
      <c r="AC2318" s="112" t="inlineStr">
        <is>
          <t>Estrutura Fase 1: sem impacto no VTA oficial</t>
        </is>
      </c>
    </row>
    <row r="2319" ht="25.5" customHeight="1" s="289">
      <c r="A2319" s="205" t="n"/>
      <c r="B2319" s="207" t="n"/>
      <c r="C2319" s="104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348" t="n"/>
      <c r="E2319" s="349">
        <f>IF(C2319="","",IFERROR(VLOOKUP(C2319,parametros!$A$11:$E$15,5,0),""))</f>
        <v/>
      </c>
      <c r="F2319" s="335">
        <f>IF(OR(D2319="",E2319=""),"",ROUND(D2319*E2319,2))</f>
        <v/>
      </c>
      <c r="G2319" s="106" t="n"/>
      <c r="H2319" s="350">
        <f>IF(G2319="Sim",IF(OR(F2319="",D2319="",L2319=""),"",IF(L2319="Sim",ROUND(F2319-D2319,2),0)),0)</f>
        <v/>
      </c>
      <c r="I2319" s="350">
        <f>IF(G2319="Sim",0,IF(OR(F2319="",L2319=""),"",F2319))</f>
        <v/>
      </c>
      <c r="J2319" s="350">
        <f>IF(G2319="Sim",0,IF(OR(F2319="",D2319="",L2319=""),"",IF(L2319="Sim",ROUND(F2319-D2319,2),0)))</f>
        <v/>
      </c>
      <c r="K2319" s="97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inlineStr">
        <is>
          <t>Nao</t>
        </is>
      </c>
      <c r="W2319" s="110" t="inlineStr">
        <is>
          <t>PC em analise</t>
        </is>
      </c>
      <c r="X2319" s="110" t="inlineStr">
        <is>
          <t>Pedido de Compra</t>
        </is>
      </c>
      <c r="Y2319" s="111" t="inlineStr">
        <is>
          <t>Impacto Potencial</t>
        </is>
      </c>
      <c r="Z2319" s="111" t="inlineStr">
        <is>
          <t>PC</t>
        </is>
      </c>
      <c r="AA2319" s="111" t="inlineStr">
        <is>
          <t>Nao</t>
        </is>
      </c>
      <c r="AB2319" s="111" t="inlineStr">
        <is>
          <t>NAO_COMPUTADO</t>
        </is>
      </c>
      <c r="AC2319" s="112" t="inlineStr">
        <is>
          <t>Estrutura Fase 1: sem impacto no VTA oficial</t>
        </is>
      </c>
    </row>
    <row r="2320" ht="25.5" customHeight="1" s="289">
      <c r="A2320" s="205" t="n"/>
      <c r="B2320" s="207" t="n"/>
      <c r="C2320" s="104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348" t="n"/>
      <c r="E2320" s="349">
        <f>IF(C2320="","",IFERROR(VLOOKUP(C2320,parametros!$A$11:$E$15,5,0),""))</f>
        <v/>
      </c>
      <c r="F2320" s="335">
        <f>IF(OR(D2320="",E2320=""),"",ROUND(D2320*E2320,2))</f>
        <v/>
      </c>
      <c r="G2320" s="106" t="n"/>
      <c r="H2320" s="350">
        <f>IF(G2320="Sim",IF(OR(F2320="",D2320="",L2320=""),"",IF(L2320="Sim",ROUND(F2320-D2320,2),0)),0)</f>
        <v/>
      </c>
      <c r="I2320" s="350">
        <f>IF(G2320="Sim",0,IF(OR(F2320="",L2320=""),"",F2320))</f>
        <v/>
      </c>
      <c r="J2320" s="350">
        <f>IF(G2320="Sim",0,IF(OR(F2320="",D2320="",L2320=""),"",IF(L2320="Sim",ROUND(F2320-D2320,2),0)))</f>
        <v/>
      </c>
      <c r="K2320" s="97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inlineStr">
        <is>
          <t>Nao</t>
        </is>
      </c>
      <c r="W2320" s="110" t="inlineStr">
        <is>
          <t>PC em analise</t>
        </is>
      </c>
      <c r="X2320" s="110" t="inlineStr">
        <is>
          <t>Pedido de Compra</t>
        </is>
      </c>
      <c r="Y2320" s="111" t="inlineStr">
        <is>
          <t>Impacto Potencial</t>
        </is>
      </c>
      <c r="Z2320" s="111" t="inlineStr">
        <is>
          <t>PC</t>
        </is>
      </c>
      <c r="AA2320" s="111" t="inlineStr">
        <is>
          <t>Nao</t>
        </is>
      </c>
      <c r="AB2320" s="111" t="inlineStr">
        <is>
          <t>NAO_COMPUTADO</t>
        </is>
      </c>
      <c r="AC2320" s="112" t="inlineStr">
        <is>
          <t>Estrutura Fase 1: sem impacto no VTA oficial</t>
        </is>
      </c>
    </row>
    <row r="2321" ht="25.5" customHeight="1" s="289">
      <c r="A2321" s="205" t="n"/>
      <c r="B2321" s="207" t="n"/>
      <c r="C2321" s="104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348" t="n"/>
      <c r="E2321" s="349">
        <f>IF(C2321="","",IFERROR(VLOOKUP(C2321,parametros!$A$11:$E$15,5,0),""))</f>
        <v/>
      </c>
      <c r="F2321" s="335">
        <f>IF(OR(D2321="",E2321=""),"",ROUND(D2321*E2321,2))</f>
        <v/>
      </c>
      <c r="G2321" s="106" t="n"/>
      <c r="H2321" s="350">
        <f>IF(G2321="Sim",IF(OR(F2321="",D2321="",L2321=""),"",IF(L2321="Sim",ROUND(F2321-D2321,2),0)),0)</f>
        <v/>
      </c>
      <c r="I2321" s="350">
        <f>IF(G2321="Sim",0,IF(OR(F2321="",L2321=""),"",F2321))</f>
        <v/>
      </c>
      <c r="J2321" s="350">
        <f>IF(G2321="Sim",0,IF(OR(F2321="",D2321="",L2321=""),"",IF(L2321="Sim",ROUND(F2321-D2321,2),0)))</f>
        <v/>
      </c>
      <c r="K2321" s="97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inlineStr">
        <is>
          <t>Nao</t>
        </is>
      </c>
      <c r="W2321" s="110" t="inlineStr">
        <is>
          <t>PC em analise</t>
        </is>
      </c>
      <c r="X2321" s="110" t="inlineStr">
        <is>
          <t>Pedido de Compra</t>
        </is>
      </c>
      <c r="Y2321" s="111" t="inlineStr">
        <is>
          <t>Impacto Potencial</t>
        </is>
      </c>
      <c r="Z2321" s="111" t="inlineStr">
        <is>
          <t>PC</t>
        </is>
      </c>
      <c r="AA2321" s="111" t="inlineStr">
        <is>
          <t>Nao</t>
        </is>
      </c>
      <c r="AB2321" s="111" t="inlineStr">
        <is>
          <t>NAO_COMPUTADO</t>
        </is>
      </c>
      <c r="AC2321" s="112" t="inlineStr">
        <is>
          <t>Estrutura Fase 1: sem impacto no VTA oficial</t>
        </is>
      </c>
    </row>
    <row r="2322" ht="25.5" customHeight="1" s="289">
      <c r="A2322" s="205" t="n"/>
      <c r="B2322" s="207" t="n"/>
      <c r="C2322" s="104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348" t="n"/>
      <c r="E2322" s="349">
        <f>IF(C2322="","",IFERROR(VLOOKUP(C2322,parametros!$A$11:$E$15,5,0),""))</f>
        <v/>
      </c>
      <c r="F2322" s="335">
        <f>IF(OR(D2322="",E2322=""),"",ROUND(D2322*E2322,2))</f>
        <v/>
      </c>
      <c r="G2322" s="106" t="n"/>
      <c r="H2322" s="350">
        <f>IF(G2322="Sim",IF(OR(F2322="",D2322="",L2322=""),"",IF(L2322="Sim",ROUND(F2322-D2322,2),0)),0)</f>
        <v/>
      </c>
      <c r="I2322" s="350">
        <f>IF(G2322="Sim",0,IF(OR(F2322="",L2322=""),"",F2322))</f>
        <v/>
      </c>
      <c r="J2322" s="350">
        <f>IF(G2322="Sim",0,IF(OR(F2322="",D2322="",L2322=""),"",IF(L2322="Sim",ROUND(F2322-D2322,2),0)))</f>
        <v/>
      </c>
      <c r="K2322" s="97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inlineStr">
        <is>
          <t>Nao</t>
        </is>
      </c>
      <c r="W2322" s="110" t="inlineStr">
        <is>
          <t>PC em analise</t>
        </is>
      </c>
      <c r="X2322" s="110" t="inlineStr">
        <is>
          <t>Pedido de Compra</t>
        </is>
      </c>
      <c r="Y2322" s="111" t="inlineStr">
        <is>
          <t>Impacto Potencial</t>
        </is>
      </c>
      <c r="Z2322" s="111" t="inlineStr">
        <is>
          <t>PC</t>
        </is>
      </c>
      <c r="AA2322" s="111" t="inlineStr">
        <is>
          <t>Nao</t>
        </is>
      </c>
      <c r="AB2322" s="111" t="inlineStr">
        <is>
          <t>NAO_COMPUTADO</t>
        </is>
      </c>
      <c r="AC2322" s="112" t="inlineStr">
        <is>
          <t>Estrutura Fase 1: sem impacto no VTA oficial</t>
        </is>
      </c>
    </row>
    <row r="2323" ht="25.5" customHeight="1" s="289">
      <c r="A2323" s="205" t="n"/>
      <c r="B2323" s="207" t="n"/>
      <c r="C2323" s="104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348" t="n"/>
      <c r="E2323" s="349">
        <f>IF(C2323="","",IFERROR(VLOOKUP(C2323,parametros!$A$11:$E$15,5,0),""))</f>
        <v/>
      </c>
      <c r="F2323" s="335">
        <f>IF(OR(D2323="",E2323=""),"",ROUND(D2323*E2323,2))</f>
        <v/>
      </c>
      <c r="G2323" s="106" t="n"/>
      <c r="H2323" s="350">
        <f>IF(G2323="Sim",IF(OR(F2323="",D2323="",L2323=""),"",IF(L2323="Sim",ROUND(F2323-D2323,2),0)),0)</f>
        <v/>
      </c>
      <c r="I2323" s="350">
        <f>IF(G2323="Sim",0,IF(OR(F2323="",L2323=""),"",F2323))</f>
        <v/>
      </c>
      <c r="J2323" s="350">
        <f>IF(G2323="Sim",0,IF(OR(F2323="",D2323="",L2323=""),"",IF(L2323="Sim",ROUND(F2323-D2323,2),0)))</f>
        <v/>
      </c>
      <c r="K2323" s="97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inlineStr">
        <is>
          <t>Nao</t>
        </is>
      </c>
      <c r="W2323" s="110" t="inlineStr">
        <is>
          <t>PC em analise</t>
        </is>
      </c>
      <c r="X2323" s="110" t="inlineStr">
        <is>
          <t>Pedido de Compra</t>
        </is>
      </c>
      <c r="Y2323" s="111" t="inlineStr">
        <is>
          <t>Impacto Potencial</t>
        </is>
      </c>
      <c r="Z2323" s="111" t="inlineStr">
        <is>
          <t>PC</t>
        </is>
      </c>
      <c r="AA2323" s="111" t="inlineStr">
        <is>
          <t>Nao</t>
        </is>
      </c>
      <c r="AB2323" s="111" t="inlineStr">
        <is>
          <t>NAO_COMPUTADO</t>
        </is>
      </c>
      <c r="AC2323" s="112" t="inlineStr">
        <is>
          <t>Estrutura Fase 1: sem impacto no VTA oficial</t>
        </is>
      </c>
    </row>
    <row r="2324" ht="25.5" customHeight="1" s="289">
      <c r="A2324" s="205" t="n"/>
      <c r="B2324" s="207" t="n"/>
      <c r="C2324" s="104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348" t="n"/>
      <c r="E2324" s="349">
        <f>IF(C2324="","",IFERROR(VLOOKUP(C2324,parametros!$A$11:$E$15,5,0),""))</f>
        <v/>
      </c>
      <c r="F2324" s="335">
        <f>IF(OR(D2324="",E2324=""),"",ROUND(D2324*E2324,2))</f>
        <v/>
      </c>
      <c r="G2324" s="106" t="n"/>
      <c r="H2324" s="350">
        <f>IF(G2324="Sim",IF(OR(F2324="",D2324="",L2324=""),"",IF(L2324="Sim",ROUND(F2324-D2324,2),0)),0)</f>
        <v/>
      </c>
      <c r="I2324" s="350">
        <f>IF(G2324="Sim",0,IF(OR(F2324="",L2324=""),"",F2324))</f>
        <v/>
      </c>
      <c r="J2324" s="350">
        <f>IF(G2324="Sim",0,IF(OR(F2324="",D2324="",L2324=""),"",IF(L2324="Sim",ROUND(F2324-D2324,2),0)))</f>
        <v/>
      </c>
      <c r="K2324" s="97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inlineStr">
        <is>
          <t>Nao</t>
        </is>
      </c>
      <c r="W2324" s="110" t="inlineStr">
        <is>
          <t>PC em analise</t>
        </is>
      </c>
      <c r="X2324" s="110" t="inlineStr">
        <is>
          <t>Pedido de Compra</t>
        </is>
      </c>
      <c r="Y2324" s="111" t="inlineStr">
        <is>
          <t>Impacto Potencial</t>
        </is>
      </c>
      <c r="Z2324" s="111" t="inlineStr">
        <is>
          <t>PC</t>
        </is>
      </c>
      <c r="AA2324" s="111" t="inlineStr">
        <is>
          <t>Nao</t>
        </is>
      </c>
      <c r="AB2324" s="111" t="inlineStr">
        <is>
          <t>NAO_COMPUTADO</t>
        </is>
      </c>
      <c r="AC2324" s="112" t="inlineStr">
        <is>
          <t>Estrutura Fase 1: sem impacto no VTA oficial</t>
        </is>
      </c>
    </row>
    <row r="2325" ht="25.5" customHeight="1" s="289">
      <c r="A2325" s="205" t="n"/>
      <c r="B2325" s="207" t="n"/>
      <c r="C2325" s="104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348" t="n"/>
      <c r="E2325" s="349">
        <f>IF(C2325="","",IFERROR(VLOOKUP(C2325,parametros!$A$11:$E$15,5,0),""))</f>
        <v/>
      </c>
      <c r="F2325" s="335">
        <f>IF(OR(D2325="",E2325=""),"",ROUND(D2325*E2325,2))</f>
        <v/>
      </c>
      <c r="G2325" s="106" t="n"/>
      <c r="H2325" s="350">
        <f>IF(G2325="Sim",IF(OR(F2325="",D2325="",L2325=""),"",IF(L2325="Sim",ROUND(F2325-D2325,2),0)),0)</f>
        <v/>
      </c>
      <c r="I2325" s="350">
        <f>IF(G2325="Sim",0,IF(OR(F2325="",L2325=""),"",F2325))</f>
        <v/>
      </c>
      <c r="J2325" s="350">
        <f>IF(G2325="Sim",0,IF(OR(F2325="",D2325="",L2325=""),"",IF(L2325="Sim",ROUND(F2325-D2325,2),0)))</f>
        <v/>
      </c>
      <c r="K2325" s="97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inlineStr">
        <is>
          <t>Nao</t>
        </is>
      </c>
      <c r="W2325" s="110" t="inlineStr">
        <is>
          <t>PC em analise</t>
        </is>
      </c>
      <c r="X2325" s="110" t="inlineStr">
        <is>
          <t>Pedido de Compra</t>
        </is>
      </c>
      <c r="Y2325" s="111" t="inlineStr">
        <is>
          <t>Impacto Potencial</t>
        </is>
      </c>
      <c r="Z2325" s="111" t="inlineStr">
        <is>
          <t>PC</t>
        </is>
      </c>
      <c r="AA2325" s="111" t="inlineStr">
        <is>
          <t>Nao</t>
        </is>
      </c>
      <c r="AB2325" s="111" t="inlineStr">
        <is>
          <t>NAO_COMPUTADO</t>
        </is>
      </c>
      <c r="AC2325" s="112" t="inlineStr">
        <is>
          <t>Estrutura Fase 1: sem impacto no VTA oficial</t>
        </is>
      </c>
    </row>
    <row r="2326" ht="25.5" customHeight="1" s="289">
      <c r="A2326" s="205" t="n"/>
      <c r="B2326" s="207" t="n"/>
      <c r="C2326" s="104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348" t="n"/>
      <c r="E2326" s="349">
        <f>IF(C2326="","",IFERROR(VLOOKUP(C2326,parametros!$A$11:$E$15,5,0),""))</f>
        <v/>
      </c>
      <c r="F2326" s="335">
        <f>IF(OR(D2326="",E2326=""),"",ROUND(D2326*E2326,2))</f>
        <v/>
      </c>
      <c r="G2326" s="106" t="n"/>
      <c r="H2326" s="350">
        <f>IF(G2326="Sim",IF(OR(F2326="",D2326="",L2326=""),"",IF(L2326="Sim",ROUND(F2326-D2326,2),0)),0)</f>
        <v/>
      </c>
      <c r="I2326" s="350">
        <f>IF(G2326="Sim",0,IF(OR(F2326="",L2326=""),"",F2326))</f>
        <v/>
      </c>
      <c r="J2326" s="350">
        <f>IF(G2326="Sim",0,IF(OR(F2326="",D2326="",L2326=""),"",IF(L2326="Sim",ROUND(F2326-D2326,2),0)))</f>
        <v/>
      </c>
      <c r="K2326" s="97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inlineStr">
        <is>
          <t>Nao</t>
        </is>
      </c>
      <c r="W2326" s="110" t="inlineStr">
        <is>
          <t>PC em analise</t>
        </is>
      </c>
      <c r="X2326" s="110" t="inlineStr">
        <is>
          <t>Pedido de Compra</t>
        </is>
      </c>
      <c r="Y2326" s="111" t="inlineStr">
        <is>
          <t>Impacto Potencial</t>
        </is>
      </c>
      <c r="Z2326" s="111" t="inlineStr">
        <is>
          <t>PC</t>
        </is>
      </c>
      <c r="AA2326" s="111" t="inlineStr">
        <is>
          <t>Nao</t>
        </is>
      </c>
      <c r="AB2326" s="111" t="inlineStr">
        <is>
          <t>NAO_COMPUTADO</t>
        </is>
      </c>
      <c r="AC2326" s="112" t="inlineStr">
        <is>
          <t>Estrutura Fase 1: sem impacto no VTA oficial</t>
        </is>
      </c>
    </row>
    <row r="2327" ht="25.5" customHeight="1" s="289">
      <c r="A2327" s="205" t="n"/>
      <c r="B2327" s="207" t="n"/>
      <c r="C2327" s="104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348" t="n"/>
      <c r="E2327" s="349">
        <f>IF(C2327="","",IFERROR(VLOOKUP(C2327,parametros!$A$11:$E$15,5,0),""))</f>
        <v/>
      </c>
      <c r="F2327" s="335">
        <f>IF(OR(D2327="",E2327=""),"",ROUND(D2327*E2327,2))</f>
        <v/>
      </c>
      <c r="G2327" s="106" t="n"/>
      <c r="H2327" s="350">
        <f>IF(G2327="Sim",IF(OR(F2327="",D2327="",L2327=""),"",IF(L2327="Sim",ROUND(F2327-D2327,2),0)),0)</f>
        <v/>
      </c>
      <c r="I2327" s="350">
        <f>IF(G2327="Sim",0,IF(OR(F2327="",L2327=""),"",F2327))</f>
        <v/>
      </c>
      <c r="J2327" s="350">
        <f>IF(G2327="Sim",0,IF(OR(F2327="",D2327="",L2327=""),"",IF(L2327="Sim",ROUND(F2327-D2327,2),0)))</f>
        <v/>
      </c>
      <c r="K2327" s="97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inlineStr">
        <is>
          <t>Nao</t>
        </is>
      </c>
      <c r="W2327" s="110" t="inlineStr">
        <is>
          <t>PC em analise</t>
        </is>
      </c>
      <c r="X2327" s="110" t="inlineStr">
        <is>
          <t>Pedido de Compra</t>
        </is>
      </c>
      <c r="Y2327" s="111" t="inlineStr">
        <is>
          <t>Impacto Potencial</t>
        </is>
      </c>
      <c r="Z2327" s="111" t="inlineStr">
        <is>
          <t>PC</t>
        </is>
      </c>
      <c r="AA2327" s="111" t="inlineStr">
        <is>
          <t>Nao</t>
        </is>
      </c>
      <c r="AB2327" s="111" t="inlineStr">
        <is>
          <t>NAO_COMPUTADO</t>
        </is>
      </c>
      <c r="AC2327" s="112" t="inlineStr">
        <is>
          <t>Estrutura Fase 1: sem impacto no VTA oficial</t>
        </is>
      </c>
    </row>
    <row r="2328" ht="25.5" customHeight="1" s="289">
      <c r="A2328" s="205" t="n"/>
      <c r="B2328" s="207" t="n"/>
      <c r="C2328" s="104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348" t="n"/>
      <c r="E2328" s="349">
        <f>IF(C2328="","",IFERROR(VLOOKUP(C2328,parametros!$A$11:$E$15,5,0),""))</f>
        <v/>
      </c>
      <c r="F2328" s="335">
        <f>IF(OR(D2328="",E2328=""),"",ROUND(D2328*E2328,2))</f>
        <v/>
      </c>
      <c r="G2328" s="106" t="n"/>
      <c r="H2328" s="350">
        <f>IF(G2328="Sim",IF(OR(F2328="",D2328="",L2328=""),"",IF(L2328="Sim",ROUND(F2328-D2328,2),0)),0)</f>
        <v/>
      </c>
      <c r="I2328" s="350">
        <f>IF(G2328="Sim",0,IF(OR(F2328="",L2328=""),"",F2328))</f>
        <v/>
      </c>
      <c r="J2328" s="350">
        <f>IF(G2328="Sim",0,IF(OR(F2328="",D2328="",L2328=""),"",IF(L2328="Sim",ROUND(F2328-D2328,2),0)))</f>
        <v/>
      </c>
      <c r="K2328" s="97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inlineStr">
        <is>
          <t>Nao</t>
        </is>
      </c>
      <c r="W2328" s="110" t="inlineStr">
        <is>
          <t>PC em analise</t>
        </is>
      </c>
      <c r="X2328" s="110" t="inlineStr">
        <is>
          <t>Pedido de Compra</t>
        </is>
      </c>
      <c r="Y2328" s="111" t="inlineStr">
        <is>
          <t>Impacto Potencial</t>
        </is>
      </c>
      <c r="Z2328" s="111" t="inlineStr">
        <is>
          <t>PC</t>
        </is>
      </c>
      <c r="AA2328" s="111" t="inlineStr">
        <is>
          <t>Nao</t>
        </is>
      </c>
      <c r="AB2328" s="111" t="inlineStr">
        <is>
          <t>NAO_COMPUTADO</t>
        </is>
      </c>
      <c r="AC2328" s="112" t="inlineStr">
        <is>
          <t>Estrutura Fase 1: sem impacto no VTA oficial</t>
        </is>
      </c>
    </row>
    <row r="2329" ht="25.5" customHeight="1" s="289">
      <c r="A2329" s="205" t="n"/>
      <c r="B2329" s="207" t="n"/>
      <c r="C2329" s="104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348" t="n"/>
      <c r="E2329" s="349">
        <f>IF(C2329="","",IFERROR(VLOOKUP(C2329,parametros!$A$11:$E$15,5,0),""))</f>
        <v/>
      </c>
      <c r="F2329" s="335">
        <f>IF(OR(D2329="",E2329=""),"",ROUND(D2329*E2329,2))</f>
        <v/>
      </c>
      <c r="G2329" s="106" t="n"/>
      <c r="H2329" s="350">
        <f>IF(G2329="Sim",IF(OR(F2329="",D2329="",L2329=""),"",IF(L2329="Sim",ROUND(F2329-D2329,2),0)),0)</f>
        <v/>
      </c>
      <c r="I2329" s="350">
        <f>IF(G2329="Sim",0,IF(OR(F2329="",L2329=""),"",F2329))</f>
        <v/>
      </c>
      <c r="J2329" s="350">
        <f>IF(G2329="Sim",0,IF(OR(F2329="",D2329="",L2329=""),"",IF(L2329="Sim",ROUND(F2329-D2329,2),0)))</f>
        <v/>
      </c>
      <c r="K2329" s="97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inlineStr">
        <is>
          <t>Nao</t>
        </is>
      </c>
      <c r="W2329" s="110" t="inlineStr">
        <is>
          <t>PC em analise</t>
        </is>
      </c>
      <c r="X2329" s="110" t="inlineStr">
        <is>
          <t>Pedido de Compra</t>
        </is>
      </c>
      <c r="Y2329" s="111" t="inlineStr">
        <is>
          <t>Impacto Potencial</t>
        </is>
      </c>
      <c r="Z2329" s="111" t="inlineStr">
        <is>
          <t>PC</t>
        </is>
      </c>
      <c r="AA2329" s="111" t="inlineStr">
        <is>
          <t>Nao</t>
        </is>
      </c>
      <c r="AB2329" s="111" t="inlineStr">
        <is>
          <t>NAO_COMPUTADO</t>
        </is>
      </c>
      <c r="AC2329" s="112" t="inlineStr">
        <is>
          <t>Estrutura Fase 1: sem impacto no VTA oficial</t>
        </is>
      </c>
    </row>
    <row r="2330" ht="25.5" customHeight="1" s="289">
      <c r="A2330" s="205" t="n"/>
      <c r="B2330" s="207" t="n"/>
      <c r="C2330" s="104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348" t="n"/>
      <c r="E2330" s="349">
        <f>IF(C2330="","",IFERROR(VLOOKUP(C2330,parametros!$A$11:$E$15,5,0),""))</f>
        <v/>
      </c>
      <c r="F2330" s="335">
        <f>IF(OR(D2330="",E2330=""),"",ROUND(D2330*E2330,2))</f>
        <v/>
      </c>
      <c r="G2330" s="106" t="n"/>
      <c r="H2330" s="350">
        <f>IF(G2330="Sim",IF(OR(F2330="",D2330="",L2330=""),"",IF(L2330="Sim",ROUND(F2330-D2330,2),0)),0)</f>
        <v/>
      </c>
      <c r="I2330" s="350">
        <f>IF(G2330="Sim",0,IF(OR(F2330="",L2330=""),"",F2330))</f>
        <v/>
      </c>
      <c r="J2330" s="350">
        <f>IF(G2330="Sim",0,IF(OR(F2330="",D2330="",L2330=""),"",IF(L2330="Sim",ROUND(F2330-D2330,2),0)))</f>
        <v/>
      </c>
      <c r="K2330" s="97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inlineStr">
        <is>
          <t>Nao</t>
        </is>
      </c>
      <c r="W2330" s="110" t="inlineStr">
        <is>
          <t>PC em analise</t>
        </is>
      </c>
      <c r="X2330" s="110" t="inlineStr">
        <is>
          <t>Pedido de Compra</t>
        </is>
      </c>
      <c r="Y2330" s="111" t="inlineStr">
        <is>
          <t>Impacto Potencial</t>
        </is>
      </c>
      <c r="Z2330" s="111" t="inlineStr">
        <is>
          <t>PC</t>
        </is>
      </c>
      <c r="AA2330" s="111" t="inlineStr">
        <is>
          <t>Nao</t>
        </is>
      </c>
      <c r="AB2330" s="111" t="inlineStr">
        <is>
          <t>NAO_COMPUTADO</t>
        </is>
      </c>
      <c r="AC2330" s="112" t="inlineStr">
        <is>
          <t>Estrutura Fase 1: sem impacto no VTA oficial</t>
        </is>
      </c>
    </row>
    <row r="2331" ht="25.5" customHeight="1" s="289">
      <c r="A2331" s="205" t="n"/>
      <c r="B2331" s="207" t="n"/>
      <c r="C2331" s="104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348" t="n"/>
      <c r="E2331" s="349">
        <f>IF(C2331="","",IFERROR(VLOOKUP(C2331,parametros!$A$11:$E$15,5,0),""))</f>
        <v/>
      </c>
      <c r="F2331" s="335">
        <f>IF(OR(D2331="",E2331=""),"",ROUND(D2331*E2331,2))</f>
        <v/>
      </c>
      <c r="G2331" s="106" t="n"/>
      <c r="H2331" s="350">
        <f>IF(G2331="Sim",IF(OR(F2331="",D2331="",L2331=""),"",IF(L2331="Sim",ROUND(F2331-D2331,2),0)),0)</f>
        <v/>
      </c>
      <c r="I2331" s="350">
        <f>IF(G2331="Sim",0,IF(OR(F2331="",L2331=""),"",F2331))</f>
        <v/>
      </c>
      <c r="J2331" s="350">
        <f>IF(G2331="Sim",0,IF(OR(F2331="",D2331="",L2331=""),"",IF(L2331="Sim",ROUND(F2331-D2331,2),0)))</f>
        <v/>
      </c>
      <c r="K2331" s="97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inlineStr">
        <is>
          <t>Nao</t>
        </is>
      </c>
      <c r="W2331" s="110" t="inlineStr">
        <is>
          <t>PC em analise</t>
        </is>
      </c>
      <c r="X2331" s="110" t="inlineStr">
        <is>
          <t>Pedido de Compra</t>
        </is>
      </c>
      <c r="Y2331" s="111" t="inlineStr">
        <is>
          <t>Impacto Potencial</t>
        </is>
      </c>
      <c r="Z2331" s="111" t="inlineStr">
        <is>
          <t>PC</t>
        </is>
      </c>
      <c r="AA2331" s="111" t="inlineStr">
        <is>
          <t>Nao</t>
        </is>
      </c>
      <c r="AB2331" s="111" t="inlineStr">
        <is>
          <t>NAO_COMPUTADO</t>
        </is>
      </c>
      <c r="AC2331" s="112" t="inlineStr">
        <is>
          <t>Estrutura Fase 1: sem impacto no VTA oficial</t>
        </is>
      </c>
    </row>
    <row r="2332" ht="25.5" customHeight="1" s="289">
      <c r="A2332" s="205" t="n"/>
      <c r="B2332" s="207" t="n"/>
      <c r="C2332" s="104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348" t="n"/>
      <c r="E2332" s="349">
        <f>IF(C2332="","",IFERROR(VLOOKUP(C2332,parametros!$A$11:$E$15,5,0),""))</f>
        <v/>
      </c>
      <c r="F2332" s="335">
        <f>IF(OR(D2332="",E2332=""),"",ROUND(D2332*E2332,2))</f>
        <v/>
      </c>
      <c r="G2332" s="106" t="n"/>
      <c r="H2332" s="350">
        <f>IF(G2332="Sim",IF(OR(F2332="",D2332="",L2332=""),"",IF(L2332="Sim",ROUND(F2332-D2332,2),0)),0)</f>
        <v/>
      </c>
      <c r="I2332" s="350">
        <f>IF(G2332="Sim",0,IF(OR(F2332="",L2332=""),"",F2332))</f>
        <v/>
      </c>
      <c r="J2332" s="350">
        <f>IF(G2332="Sim",0,IF(OR(F2332="",D2332="",L2332=""),"",IF(L2332="Sim",ROUND(F2332-D2332,2),0)))</f>
        <v/>
      </c>
      <c r="K2332" s="97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inlineStr">
        <is>
          <t>Nao</t>
        </is>
      </c>
      <c r="W2332" s="110" t="inlineStr">
        <is>
          <t>PC em analise</t>
        </is>
      </c>
      <c r="X2332" s="110" t="inlineStr">
        <is>
          <t>Pedido de Compra</t>
        </is>
      </c>
      <c r="Y2332" s="111" t="inlineStr">
        <is>
          <t>Impacto Potencial</t>
        </is>
      </c>
      <c r="Z2332" s="111" t="inlineStr">
        <is>
          <t>PC</t>
        </is>
      </c>
      <c r="AA2332" s="111" t="inlineStr">
        <is>
          <t>Nao</t>
        </is>
      </c>
      <c r="AB2332" s="111" t="inlineStr">
        <is>
          <t>NAO_COMPUTADO</t>
        </is>
      </c>
      <c r="AC2332" s="112" t="inlineStr">
        <is>
          <t>Estrutura Fase 1: sem impacto no VTA oficial</t>
        </is>
      </c>
    </row>
    <row r="2333" ht="25.5" customHeight="1" s="289">
      <c r="A2333" s="205" t="n"/>
      <c r="B2333" s="207" t="n"/>
      <c r="C2333" s="104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348" t="n"/>
      <c r="E2333" s="349">
        <f>IF(C2333="","",IFERROR(VLOOKUP(C2333,parametros!$A$11:$E$15,5,0),""))</f>
        <v/>
      </c>
      <c r="F2333" s="335">
        <f>IF(OR(D2333="",E2333=""),"",ROUND(D2333*E2333,2))</f>
        <v/>
      </c>
      <c r="G2333" s="106" t="n"/>
      <c r="H2333" s="350">
        <f>IF(G2333="Sim",IF(OR(F2333="",D2333="",L2333=""),"",IF(L2333="Sim",ROUND(F2333-D2333,2),0)),0)</f>
        <v/>
      </c>
      <c r="I2333" s="350">
        <f>IF(G2333="Sim",0,IF(OR(F2333="",L2333=""),"",F2333))</f>
        <v/>
      </c>
      <c r="J2333" s="350">
        <f>IF(G2333="Sim",0,IF(OR(F2333="",D2333="",L2333=""),"",IF(L2333="Sim",ROUND(F2333-D2333,2),0)))</f>
        <v/>
      </c>
      <c r="K2333" s="97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inlineStr">
        <is>
          <t>Nao</t>
        </is>
      </c>
      <c r="W2333" s="110" t="inlineStr">
        <is>
          <t>PC em analise</t>
        </is>
      </c>
      <c r="X2333" s="110" t="inlineStr">
        <is>
          <t>Pedido de Compra</t>
        </is>
      </c>
      <c r="Y2333" s="111" t="inlineStr">
        <is>
          <t>Impacto Potencial</t>
        </is>
      </c>
      <c r="Z2333" s="111" t="inlineStr">
        <is>
          <t>PC</t>
        </is>
      </c>
      <c r="AA2333" s="111" t="inlineStr">
        <is>
          <t>Nao</t>
        </is>
      </c>
      <c r="AB2333" s="111" t="inlineStr">
        <is>
          <t>NAO_COMPUTADO</t>
        </is>
      </c>
      <c r="AC2333" s="112" t="inlineStr">
        <is>
          <t>Estrutura Fase 1: sem impacto no VTA oficial</t>
        </is>
      </c>
    </row>
    <row r="2334" ht="25.5" customHeight="1" s="289">
      <c r="A2334" s="205" t="n"/>
      <c r="B2334" s="207" t="n"/>
      <c r="C2334" s="104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348" t="n"/>
      <c r="E2334" s="349">
        <f>IF(C2334="","",IFERROR(VLOOKUP(C2334,parametros!$A$11:$E$15,5,0),""))</f>
        <v/>
      </c>
      <c r="F2334" s="335">
        <f>IF(OR(D2334="",E2334=""),"",ROUND(D2334*E2334,2))</f>
        <v/>
      </c>
      <c r="G2334" s="106" t="n"/>
      <c r="H2334" s="350">
        <f>IF(G2334="Sim",IF(OR(F2334="",D2334="",L2334=""),"",IF(L2334="Sim",ROUND(F2334-D2334,2),0)),0)</f>
        <v/>
      </c>
      <c r="I2334" s="350">
        <f>IF(G2334="Sim",0,IF(OR(F2334="",L2334=""),"",F2334))</f>
        <v/>
      </c>
      <c r="J2334" s="350">
        <f>IF(G2334="Sim",0,IF(OR(F2334="",D2334="",L2334=""),"",IF(L2334="Sim",ROUND(F2334-D2334,2),0)))</f>
        <v/>
      </c>
      <c r="K2334" s="97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inlineStr">
        <is>
          <t>Nao</t>
        </is>
      </c>
      <c r="W2334" s="110" t="inlineStr">
        <is>
          <t>PC em analise</t>
        </is>
      </c>
      <c r="X2334" s="110" t="inlineStr">
        <is>
          <t>Pedido de Compra</t>
        </is>
      </c>
      <c r="Y2334" s="111" t="inlineStr">
        <is>
          <t>Impacto Potencial</t>
        </is>
      </c>
      <c r="Z2334" s="111" t="inlineStr">
        <is>
          <t>PC</t>
        </is>
      </c>
      <c r="AA2334" s="111" t="inlineStr">
        <is>
          <t>Nao</t>
        </is>
      </c>
      <c r="AB2334" s="111" t="inlineStr">
        <is>
          <t>NAO_COMPUTADO</t>
        </is>
      </c>
      <c r="AC2334" s="112" t="inlineStr">
        <is>
          <t>Estrutura Fase 1: sem impacto no VTA oficial</t>
        </is>
      </c>
    </row>
    <row r="2335" ht="25.5" customHeight="1" s="289">
      <c r="A2335" s="205" t="n"/>
      <c r="B2335" s="207" t="n"/>
      <c r="C2335" s="104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348" t="n"/>
      <c r="E2335" s="349">
        <f>IF(C2335="","",IFERROR(VLOOKUP(C2335,parametros!$A$11:$E$15,5,0),""))</f>
        <v/>
      </c>
      <c r="F2335" s="335">
        <f>IF(OR(D2335="",E2335=""),"",ROUND(D2335*E2335,2))</f>
        <v/>
      </c>
      <c r="G2335" s="106" t="n"/>
      <c r="H2335" s="350">
        <f>IF(G2335="Sim",IF(OR(F2335="",D2335="",L2335=""),"",IF(L2335="Sim",ROUND(F2335-D2335,2),0)),0)</f>
        <v/>
      </c>
      <c r="I2335" s="350">
        <f>IF(G2335="Sim",0,IF(OR(F2335="",L2335=""),"",F2335))</f>
        <v/>
      </c>
      <c r="J2335" s="350">
        <f>IF(G2335="Sim",0,IF(OR(F2335="",D2335="",L2335=""),"",IF(L2335="Sim",ROUND(F2335-D2335,2),0)))</f>
        <v/>
      </c>
      <c r="K2335" s="97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inlineStr">
        <is>
          <t>Nao</t>
        </is>
      </c>
      <c r="W2335" s="110" t="inlineStr">
        <is>
          <t>PC em analise</t>
        </is>
      </c>
      <c r="X2335" s="110" t="inlineStr">
        <is>
          <t>Pedido de Compra</t>
        </is>
      </c>
      <c r="Y2335" s="111" t="inlineStr">
        <is>
          <t>Impacto Potencial</t>
        </is>
      </c>
      <c r="Z2335" s="111" t="inlineStr">
        <is>
          <t>PC</t>
        </is>
      </c>
      <c r="AA2335" s="111" t="inlineStr">
        <is>
          <t>Nao</t>
        </is>
      </c>
      <c r="AB2335" s="111" t="inlineStr">
        <is>
          <t>NAO_COMPUTADO</t>
        </is>
      </c>
      <c r="AC2335" s="112" t="inlineStr">
        <is>
          <t>Estrutura Fase 1: sem impacto no VTA oficial</t>
        </is>
      </c>
    </row>
    <row r="2336" ht="25.5" customHeight="1" s="289">
      <c r="A2336" s="205" t="n"/>
      <c r="B2336" s="207" t="n"/>
      <c r="C2336" s="104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348" t="n"/>
      <c r="E2336" s="349">
        <f>IF(C2336="","",IFERROR(VLOOKUP(C2336,parametros!$A$11:$E$15,5,0),""))</f>
        <v/>
      </c>
      <c r="F2336" s="335">
        <f>IF(OR(D2336="",E2336=""),"",ROUND(D2336*E2336,2))</f>
        <v/>
      </c>
      <c r="G2336" s="106" t="n"/>
      <c r="H2336" s="350">
        <f>IF(G2336="Sim",IF(OR(F2336="",D2336="",L2336=""),"",IF(L2336="Sim",ROUND(F2336-D2336,2),0)),0)</f>
        <v/>
      </c>
      <c r="I2336" s="350">
        <f>IF(G2336="Sim",0,IF(OR(F2336="",L2336=""),"",F2336))</f>
        <v/>
      </c>
      <c r="J2336" s="350">
        <f>IF(G2336="Sim",0,IF(OR(F2336="",D2336="",L2336=""),"",IF(L2336="Sim",ROUND(F2336-D2336,2),0)))</f>
        <v/>
      </c>
      <c r="K2336" s="97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inlineStr">
        <is>
          <t>Nao</t>
        </is>
      </c>
      <c r="W2336" s="110" t="inlineStr">
        <is>
          <t>PC em analise</t>
        </is>
      </c>
      <c r="X2336" s="110" t="inlineStr">
        <is>
          <t>Pedido de Compra</t>
        </is>
      </c>
      <c r="Y2336" s="111" t="inlineStr">
        <is>
          <t>Impacto Potencial</t>
        </is>
      </c>
      <c r="Z2336" s="111" t="inlineStr">
        <is>
          <t>PC</t>
        </is>
      </c>
      <c r="AA2336" s="111" t="inlineStr">
        <is>
          <t>Nao</t>
        </is>
      </c>
      <c r="AB2336" s="111" t="inlineStr">
        <is>
          <t>NAO_COMPUTADO</t>
        </is>
      </c>
      <c r="AC2336" s="112" t="inlineStr">
        <is>
          <t>Estrutura Fase 1: sem impacto no VTA oficial</t>
        </is>
      </c>
    </row>
    <row r="2337" ht="25.5" customHeight="1" s="289">
      <c r="A2337" s="205" t="n"/>
      <c r="B2337" s="207" t="n"/>
      <c r="C2337" s="104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348" t="n"/>
      <c r="E2337" s="349">
        <f>IF(C2337="","",IFERROR(VLOOKUP(C2337,parametros!$A$11:$E$15,5,0),""))</f>
        <v/>
      </c>
      <c r="F2337" s="335">
        <f>IF(OR(D2337="",E2337=""),"",ROUND(D2337*E2337,2))</f>
        <v/>
      </c>
      <c r="G2337" s="106" t="n"/>
      <c r="H2337" s="350">
        <f>IF(G2337="Sim",IF(OR(F2337="",D2337="",L2337=""),"",IF(L2337="Sim",ROUND(F2337-D2337,2),0)),0)</f>
        <v/>
      </c>
      <c r="I2337" s="350">
        <f>IF(G2337="Sim",0,IF(OR(F2337="",L2337=""),"",F2337))</f>
        <v/>
      </c>
      <c r="J2337" s="350">
        <f>IF(G2337="Sim",0,IF(OR(F2337="",D2337="",L2337=""),"",IF(L2337="Sim",ROUND(F2337-D2337,2),0)))</f>
        <v/>
      </c>
      <c r="K2337" s="97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inlineStr">
        <is>
          <t>Nao</t>
        </is>
      </c>
      <c r="W2337" s="110" t="inlineStr">
        <is>
          <t>PC em analise</t>
        </is>
      </c>
      <c r="X2337" s="110" t="inlineStr">
        <is>
          <t>Pedido de Compra</t>
        </is>
      </c>
      <c r="Y2337" s="111" t="inlineStr">
        <is>
          <t>Impacto Potencial</t>
        </is>
      </c>
      <c r="Z2337" s="111" t="inlineStr">
        <is>
          <t>PC</t>
        </is>
      </c>
      <c r="AA2337" s="111" t="inlineStr">
        <is>
          <t>Nao</t>
        </is>
      </c>
      <c r="AB2337" s="111" t="inlineStr">
        <is>
          <t>NAO_COMPUTADO</t>
        </is>
      </c>
      <c r="AC2337" s="112" t="inlineStr">
        <is>
          <t>Estrutura Fase 1: sem impacto no VTA oficial</t>
        </is>
      </c>
    </row>
    <row r="2338" ht="25.5" customHeight="1" s="289">
      <c r="A2338" s="205" t="n"/>
      <c r="B2338" s="207" t="n"/>
      <c r="C2338" s="104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348" t="n"/>
      <c r="E2338" s="349">
        <f>IF(C2338="","",IFERROR(VLOOKUP(C2338,parametros!$A$11:$E$15,5,0),""))</f>
        <v/>
      </c>
      <c r="F2338" s="335">
        <f>IF(OR(D2338="",E2338=""),"",ROUND(D2338*E2338,2))</f>
        <v/>
      </c>
      <c r="G2338" s="106" t="n"/>
      <c r="H2338" s="350">
        <f>IF(G2338="Sim",IF(OR(F2338="",D2338="",L2338=""),"",IF(L2338="Sim",ROUND(F2338-D2338,2),0)),0)</f>
        <v/>
      </c>
      <c r="I2338" s="350">
        <f>IF(G2338="Sim",0,IF(OR(F2338="",L2338=""),"",F2338))</f>
        <v/>
      </c>
      <c r="J2338" s="350">
        <f>IF(G2338="Sim",0,IF(OR(F2338="",D2338="",L2338=""),"",IF(L2338="Sim",ROUND(F2338-D2338,2),0)))</f>
        <v/>
      </c>
      <c r="K2338" s="97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inlineStr">
        <is>
          <t>Nao</t>
        </is>
      </c>
      <c r="W2338" s="110" t="inlineStr">
        <is>
          <t>PC em analise</t>
        </is>
      </c>
      <c r="X2338" s="110" t="inlineStr">
        <is>
          <t>Pedido de Compra</t>
        </is>
      </c>
      <c r="Y2338" s="111" t="inlineStr">
        <is>
          <t>Impacto Potencial</t>
        </is>
      </c>
      <c r="Z2338" s="111" t="inlineStr">
        <is>
          <t>PC</t>
        </is>
      </c>
      <c r="AA2338" s="111" t="inlineStr">
        <is>
          <t>Nao</t>
        </is>
      </c>
      <c r="AB2338" s="111" t="inlineStr">
        <is>
          <t>NAO_COMPUTADO</t>
        </is>
      </c>
      <c r="AC2338" s="112" t="inlineStr">
        <is>
          <t>Estrutura Fase 1: sem impacto no VTA oficial</t>
        </is>
      </c>
    </row>
    <row r="2339" ht="25.5" customHeight="1" s="289">
      <c r="A2339" s="205" t="n"/>
      <c r="B2339" s="207" t="n"/>
      <c r="C2339" s="104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348" t="n"/>
      <c r="E2339" s="349">
        <f>IF(C2339="","",IFERROR(VLOOKUP(C2339,parametros!$A$11:$E$15,5,0),""))</f>
        <v/>
      </c>
      <c r="F2339" s="335">
        <f>IF(OR(D2339="",E2339=""),"",ROUND(D2339*E2339,2))</f>
        <v/>
      </c>
      <c r="G2339" s="106" t="n"/>
      <c r="H2339" s="350">
        <f>IF(G2339="Sim",IF(OR(F2339="",D2339="",L2339=""),"",IF(L2339="Sim",ROUND(F2339-D2339,2),0)),0)</f>
        <v/>
      </c>
      <c r="I2339" s="350">
        <f>IF(G2339="Sim",0,IF(OR(F2339="",L2339=""),"",F2339))</f>
        <v/>
      </c>
      <c r="J2339" s="350">
        <f>IF(G2339="Sim",0,IF(OR(F2339="",D2339="",L2339=""),"",IF(L2339="Sim",ROUND(F2339-D2339,2),0)))</f>
        <v/>
      </c>
      <c r="K2339" s="97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inlineStr">
        <is>
          <t>Nao</t>
        </is>
      </c>
      <c r="W2339" s="110" t="inlineStr">
        <is>
          <t>PC em analise</t>
        </is>
      </c>
      <c r="X2339" s="110" t="inlineStr">
        <is>
          <t>Pedido de Compra</t>
        </is>
      </c>
      <c r="Y2339" s="111" t="inlineStr">
        <is>
          <t>Impacto Potencial</t>
        </is>
      </c>
      <c r="Z2339" s="111" t="inlineStr">
        <is>
          <t>PC</t>
        </is>
      </c>
      <c r="AA2339" s="111" t="inlineStr">
        <is>
          <t>Nao</t>
        </is>
      </c>
      <c r="AB2339" s="111" t="inlineStr">
        <is>
          <t>NAO_COMPUTADO</t>
        </is>
      </c>
      <c r="AC2339" s="112" t="inlineStr">
        <is>
          <t>Estrutura Fase 1: sem impacto no VTA oficial</t>
        </is>
      </c>
    </row>
    <row r="2340" ht="25.5" customHeight="1" s="289">
      <c r="A2340" s="205" t="n"/>
      <c r="B2340" s="207" t="n"/>
      <c r="C2340" s="104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348" t="n"/>
      <c r="E2340" s="349">
        <f>IF(C2340="","",IFERROR(VLOOKUP(C2340,parametros!$A$11:$E$15,5,0),""))</f>
        <v/>
      </c>
      <c r="F2340" s="335">
        <f>IF(OR(D2340="",E2340=""),"",ROUND(D2340*E2340,2))</f>
        <v/>
      </c>
      <c r="G2340" s="106" t="n"/>
      <c r="H2340" s="350">
        <f>IF(G2340="Sim",IF(OR(F2340="",D2340="",L2340=""),"",IF(L2340="Sim",ROUND(F2340-D2340,2),0)),0)</f>
        <v/>
      </c>
      <c r="I2340" s="350">
        <f>IF(G2340="Sim",0,IF(OR(F2340="",L2340=""),"",F2340))</f>
        <v/>
      </c>
      <c r="J2340" s="350">
        <f>IF(G2340="Sim",0,IF(OR(F2340="",D2340="",L2340=""),"",IF(L2340="Sim",ROUND(F2340-D2340,2),0)))</f>
        <v/>
      </c>
      <c r="K2340" s="97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inlineStr">
        <is>
          <t>Nao</t>
        </is>
      </c>
      <c r="W2340" s="110" t="inlineStr">
        <is>
          <t>PC em analise</t>
        </is>
      </c>
      <c r="X2340" s="110" t="inlineStr">
        <is>
          <t>Pedido de Compra</t>
        </is>
      </c>
      <c r="Y2340" s="111" t="inlineStr">
        <is>
          <t>Impacto Potencial</t>
        </is>
      </c>
      <c r="Z2340" s="111" t="inlineStr">
        <is>
          <t>PC</t>
        </is>
      </c>
      <c r="AA2340" s="111" t="inlineStr">
        <is>
          <t>Nao</t>
        </is>
      </c>
      <c r="AB2340" s="111" t="inlineStr">
        <is>
          <t>NAO_COMPUTADO</t>
        </is>
      </c>
      <c r="AC2340" s="112" t="inlineStr">
        <is>
          <t>Estrutura Fase 1: sem impacto no VTA oficial</t>
        </is>
      </c>
    </row>
    <row r="2341" ht="25.5" customHeight="1" s="289">
      <c r="A2341" s="205" t="n"/>
      <c r="B2341" s="207" t="n"/>
      <c r="C2341" s="104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348" t="n"/>
      <c r="E2341" s="349">
        <f>IF(C2341="","",IFERROR(VLOOKUP(C2341,parametros!$A$11:$E$15,5,0),""))</f>
        <v/>
      </c>
      <c r="F2341" s="335">
        <f>IF(OR(D2341="",E2341=""),"",ROUND(D2341*E2341,2))</f>
        <v/>
      </c>
      <c r="G2341" s="106" t="n"/>
      <c r="H2341" s="350">
        <f>IF(G2341="Sim",IF(OR(F2341="",D2341="",L2341=""),"",IF(L2341="Sim",ROUND(F2341-D2341,2),0)),0)</f>
        <v/>
      </c>
      <c r="I2341" s="350">
        <f>IF(G2341="Sim",0,IF(OR(F2341="",L2341=""),"",F2341))</f>
        <v/>
      </c>
      <c r="J2341" s="350">
        <f>IF(G2341="Sim",0,IF(OR(F2341="",D2341="",L2341=""),"",IF(L2341="Sim",ROUND(F2341-D2341,2),0)))</f>
        <v/>
      </c>
      <c r="K2341" s="97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inlineStr">
        <is>
          <t>Nao</t>
        </is>
      </c>
      <c r="W2341" s="110" t="inlineStr">
        <is>
          <t>PC em analise</t>
        </is>
      </c>
      <c r="X2341" s="110" t="inlineStr">
        <is>
          <t>Pedido de Compra</t>
        </is>
      </c>
      <c r="Y2341" s="111" t="inlineStr">
        <is>
          <t>Impacto Potencial</t>
        </is>
      </c>
      <c r="Z2341" s="111" t="inlineStr">
        <is>
          <t>PC</t>
        </is>
      </c>
      <c r="AA2341" s="111" t="inlineStr">
        <is>
          <t>Nao</t>
        </is>
      </c>
      <c r="AB2341" s="111" t="inlineStr">
        <is>
          <t>NAO_COMPUTADO</t>
        </is>
      </c>
      <c r="AC2341" s="112" t="inlineStr">
        <is>
          <t>Estrutura Fase 1: sem impacto no VTA oficial</t>
        </is>
      </c>
    </row>
    <row r="2342" ht="25.5" customHeight="1" s="289">
      <c r="A2342" s="205" t="n"/>
      <c r="B2342" s="207" t="n"/>
      <c r="C2342" s="104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348" t="n"/>
      <c r="E2342" s="349">
        <f>IF(C2342="","",IFERROR(VLOOKUP(C2342,parametros!$A$11:$E$15,5,0),""))</f>
        <v/>
      </c>
      <c r="F2342" s="335">
        <f>IF(OR(D2342="",E2342=""),"",ROUND(D2342*E2342,2))</f>
        <v/>
      </c>
      <c r="G2342" s="106" t="n"/>
      <c r="H2342" s="350">
        <f>IF(G2342="Sim",IF(OR(F2342="",D2342="",L2342=""),"",IF(L2342="Sim",ROUND(F2342-D2342,2),0)),0)</f>
        <v/>
      </c>
      <c r="I2342" s="350">
        <f>IF(G2342="Sim",0,IF(OR(F2342="",L2342=""),"",F2342))</f>
        <v/>
      </c>
      <c r="J2342" s="350">
        <f>IF(G2342="Sim",0,IF(OR(F2342="",D2342="",L2342=""),"",IF(L2342="Sim",ROUND(F2342-D2342,2),0)))</f>
        <v/>
      </c>
      <c r="K2342" s="97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inlineStr">
        <is>
          <t>Nao</t>
        </is>
      </c>
      <c r="W2342" s="110" t="inlineStr">
        <is>
          <t>PC em analise</t>
        </is>
      </c>
      <c r="X2342" s="110" t="inlineStr">
        <is>
          <t>Pedido de Compra</t>
        </is>
      </c>
      <c r="Y2342" s="111" t="inlineStr">
        <is>
          <t>Impacto Potencial</t>
        </is>
      </c>
      <c r="Z2342" s="111" t="inlineStr">
        <is>
          <t>PC</t>
        </is>
      </c>
      <c r="AA2342" s="111" t="inlineStr">
        <is>
          <t>Nao</t>
        </is>
      </c>
      <c r="AB2342" s="111" t="inlineStr">
        <is>
          <t>NAO_COMPUTADO</t>
        </is>
      </c>
      <c r="AC2342" s="112" t="inlineStr">
        <is>
          <t>Estrutura Fase 1: sem impacto no VTA oficial</t>
        </is>
      </c>
    </row>
    <row r="2343" ht="25.5" customHeight="1" s="289">
      <c r="A2343" s="205" t="n"/>
      <c r="B2343" s="207" t="n"/>
      <c r="C2343" s="104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348" t="n"/>
      <c r="E2343" s="349">
        <f>IF(C2343="","",IFERROR(VLOOKUP(C2343,parametros!$A$11:$E$15,5,0),""))</f>
        <v/>
      </c>
      <c r="F2343" s="335">
        <f>IF(OR(D2343="",E2343=""),"",ROUND(D2343*E2343,2))</f>
        <v/>
      </c>
      <c r="G2343" s="106" t="n"/>
      <c r="H2343" s="350">
        <f>IF(G2343="Sim",IF(OR(F2343="",D2343="",L2343=""),"",IF(L2343="Sim",ROUND(F2343-D2343,2),0)),0)</f>
        <v/>
      </c>
      <c r="I2343" s="350">
        <f>IF(G2343="Sim",0,IF(OR(F2343="",L2343=""),"",F2343))</f>
        <v/>
      </c>
      <c r="J2343" s="350">
        <f>IF(G2343="Sim",0,IF(OR(F2343="",D2343="",L2343=""),"",IF(L2343="Sim",ROUND(F2343-D2343,2),0)))</f>
        <v/>
      </c>
      <c r="K2343" s="97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inlineStr">
        <is>
          <t>Nao</t>
        </is>
      </c>
      <c r="W2343" s="110" t="inlineStr">
        <is>
          <t>PC em analise</t>
        </is>
      </c>
      <c r="X2343" s="110" t="inlineStr">
        <is>
          <t>Pedido de Compra</t>
        </is>
      </c>
      <c r="Y2343" s="111" t="inlineStr">
        <is>
          <t>Impacto Potencial</t>
        </is>
      </c>
      <c r="Z2343" s="111" t="inlineStr">
        <is>
          <t>PC</t>
        </is>
      </c>
      <c r="AA2343" s="111" t="inlineStr">
        <is>
          <t>Nao</t>
        </is>
      </c>
      <c r="AB2343" s="111" t="inlineStr">
        <is>
          <t>NAO_COMPUTADO</t>
        </is>
      </c>
      <c r="AC2343" s="112" t="inlineStr">
        <is>
          <t>Estrutura Fase 1: sem impacto no VTA oficial</t>
        </is>
      </c>
    </row>
    <row r="2344" ht="25.5" customHeight="1" s="289">
      <c r="A2344" s="205" t="n"/>
      <c r="B2344" s="207" t="n"/>
      <c r="C2344" s="104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348" t="n"/>
      <c r="E2344" s="349">
        <f>IF(C2344="","",IFERROR(VLOOKUP(C2344,parametros!$A$11:$E$15,5,0),""))</f>
        <v/>
      </c>
      <c r="F2344" s="335">
        <f>IF(OR(D2344="",E2344=""),"",ROUND(D2344*E2344,2))</f>
        <v/>
      </c>
      <c r="G2344" s="106" t="n"/>
      <c r="H2344" s="350">
        <f>IF(G2344="Sim",IF(OR(F2344="",D2344="",L2344=""),"",IF(L2344="Sim",ROUND(F2344-D2344,2),0)),0)</f>
        <v/>
      </c>
      <c r="I2344" s="350">
        <f>IF(G2344="Sim",0,IF(OR(F2344="",L2344=""),"",F2344))</f>
        <v/>
      </c>
      <c r="J2344" s="350">
        <f>IF(G2344="Sim",0,IF(OR(F2344="",D2344="",L2344=""),"",IF(L2344="Sim",ROUND(F2344-D2344,2),0)))</f>
        <v/>
      </c>
      <c r="K2344" s="97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inlineStr">
        <is>
          <t>Nao</t>
        </is>
      </c>
      <c r="W2344" s="110" t="inlineStr">
        <is>
          <t>PC em analise</t>
        </is>
      </c>
      <c r="X2344" s="110" t="inlineStr">
        <is>
          <t>Pedido de Compra</t>
        </is>
      </c>
      <c r="Y2344" s="111" t="inlineStr">
        <is>
          <t>Impacto Potencial</t>
        </is>
      </c>
      <c r="Z2344" s="111" t="inlineStr">
        <is>
          <t>PC</t>
        </is>
      </c>
      <c r="AA2344" s="111" t="inlineStr">
        <is>
          <t>Nao</t>
        </is>
      </c>
      <c r="AB2344" s="111" t="inlineStr">
        <is>
          <t>NAO_COMPUTADO</t>
        </is>
      </c>
      <c r="AC2344" s="112" t="inlineStr">
        <is>
          <t>Estrutura Fase 1: sem impacto no VTA oficial</t>
        </is>
      </c>
    </row>
    <row r="2345" ht="25.5" customHeight="1" s="289">
      <c r="A2345" s="205" t="n"/>
      <c r="B2345" s="207" t="n"/>
      <c r="C2345" s="104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348" t="n"/>
      <c r="E2345" s="349">
        <f>IF(C2345="","",IFERROR(VLOOKUP(C2345,parametros!$A$11:$E$15,5,0),""))</f>
        <v/>
      </c>
      <c r="F2345" s="335">
        <f>IF(OR(D2345="",E2345=""),"",ROUND(D2345*E2345,2))</f>
        <v/>
      </c>
      <c r="G2345" s="106" t="n"/>
      <c r="H2345" s="350">
        <f>IF(G2345="Sim",IF(OR(F2345="",D2345="",L2345=""),"",IF(L2345="Sim",ROUND(F2345-D2345,2),0)),0)</f>
        <v/>
      </c>
      <c r="I2345" s="350">
        <f>IF(G2345="Sim",0,IF(OR(F2345="",L2345=""),"",F2345))</f>
        <v/>
      </c>
      <c r="J2345" s="350">
        <f>IF(G2345="Sim",0,IF(OR(F2345="",D2345="",L2345=""),"",IF(L2345="Sim",ROUND(F2345-D2345,2),0)))</f>
        <v/>
      </c>
      <c r="K2345" s="97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inlineStr">
        <is>
          <t>Nao</t>
        </is>
      </c>
      <c r="W2345" s="110" t="inlineStr">
        <is>
          <t>PC em analise</t>
        </is>
      </c>
      <c r="X2345" s="110" t="inlineStr">
        <is>
          <t>Pedido de Compra</t>
        </is>
      </c>
      <c r="Y2345" s="111" t="inlineStr">
        <is>
          <t>Impacto Potencial</t>
        </is>
      </c>
      <c r="Z2345" s="111" t="inlineStr">
        <is>
          <t>PC</t>
        </is>
      </c>
      <c r="AA2345" s="111" t="inlineStr">
        <is>
          <t>Nao</t>
        </is>
      </c>
      <c r="AB2345" s="111" t="inlineStr">
        <is>
          <t>NAO_COMPUTADO</t>
        </is>
      </c>
      <c r="AC2345" s="112" t="inlineStr">
        <is>
          <t>Estrutura Fase 1: sem impacto no VTA oficial</t>
        </is>
      </c>
    </row>
    <row r="2346" ht="25.5" customHeight="1" s="289">
      <c r="A2346" s="205" t="n"/>
      <c r="B2346" s="207" t="n"/>
      <c r="C2346" s="104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348" t="n"/>
      <c r="E2346" s="349">
        <f>IF(C2346="","",IFERROR(VLOOKUP(C2346,parametros!$A$11:$E$15,5,0),""))</f>
        <v/>
      </c>
      <c r="F2346" s="335">
        <f>IF(OR(D2346="",E2346=""),"",ROUND(D2346*E2346,2))</f>
        <v/>
      </c>
      <c r="G2346" s="106" t="n"/>
      <c r="H2346" s="350">
        <f>IF(G2346="Sim",IF(OR(F2346="",D2346="",L2346=""),"",IF(L2346="Sim",ROUND(F2346-D2346,2),0)),0)</f>
        <v/>
      </c>
      <c r="I2346" s="350">
        <f>IF(G2346="Sim",0,IF(OR(F2346="",L2346=""),"",F2346))</f>
        <v/>
      </c>
      <c r="J2346" s="350">
        <f>IF(G2346="Sim",0,IF(OR(F2346="",D2346="",L2346=""),"",IF(L2346="Sim",ROUND(F2346-D2346,2),0)))</f>
        <v/>
      </c>
      <c r="K2346" s="97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inlineStr">
        <is>
          <t>Nao</t>
        </is>
      </c>
      <c r="W2346" s="110" t="inlineStr">
        <is>
          <t>PC em analise</t>
        </is>
      </c>
      <c r="X2346" s="110" t="inlineStr">
        <is>
          <t>Pedido de Compra</t>
        </is>
      </c>
      <c r="Y2346" s="111" t="inlineStr">
        <is>
          <t>Impacto Potencial</t>
        </is>
      </c>
      <c r="Z2346" s="111" t="inlineStr">
        <is>
          <t>PC</t>
        </is>
      </c>
      <c r="AA2346" s="111" t="inlineStr">
        <is>
          <t>Nao</t>
        </is>
      </c>
      <c r="AB2346" s="111" t="inlineStr">
        <is>
          <t>NAO_COMPUTADO</t>
        </is>
      </c>
      <c r="AC2346" s="112" t="inlineStr">
        <is>
          <t>Estrutura Fase 1: sem impacto no VTA oficial</t>
        </is>
      </c>
    </row>
    <row r="2347" ht="25.5" customHeight="1" s="289">
      <c r="A2347" s="205" t="n"/>
      <c r="B2347" s="207" t="n"/>
      <c r="C2347" s="104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348" t="n"/>
      <c r="E2347" s="349">
        <f>IF(C2347="","",IFERROR(VLOOKUP(C2347,parametros!$A$11:$E$15,5,0),""))</f>
        <v/>
      </c>
      <c r="F2347" s="335">
        <f>IF(OR(D2347="",E2347=""),"",ROUND(D2347*E2347,2))</f>
        <v/>
      </c>
      <c r="G2347" s="106" t="n"/>
      <c r="H2347" s="350">
        <f>IF(G2347="Sim",IF(OR(F2347="",D2347="",L2347=""),"",IF(L2347="Sim",ROUND(F2347-D2347,2),0)),0)</f>
        <v/>
      </c>
      <c r="I2347" s="350">
        <f>IF(G2347="Sim",0,IF(OR(F2347="",L2347=""),"",F2347))</f>
        <v/>
      </c>
      <c r="J2347" s="350">
        <f>IF(G2347="Sim",0,IF(OR(F2347="",D2347="",L2347=""),"",IF(L2347="Sim",ROUND(F2347-D2347,2),0)))</f>
        <v/>
      </c>
      <c r="K2347" s="97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inlineStr">
        <is>
          <t>Nao</t>
        </is>
      </c>
      <c r="W2347" s="110" t="inlineStr">
        <is>
          <t>PC em analise</t>
        </is>
      </c>
      <c r="X2347" s="110" t="inlineStr">
        <is>
          <t>Pedido de Compra</t>
        </is>
      </c>
      <c r="Y2347" s="111" t="inlineStr">
        <is>
          <t>Impacto Potencial</t>
        </is>
      </c>
      <c r="Z2347" s="111" t="inlineStr">
        <is>
          <t>PC</t>
        </is>
      </c>
      <c r="AA2347" s="111" t="inlineStr">
        <is>
          <t>Nao</t>
        </is>
      </c>
      <c r="AB2347" s="111" t="inlineStr">
        <is>
          <t>NAO_COMPUTADO</t>
        </is>
      </c>
      <c r="AC2347" s="112" t="inlineStr">
        <is>
          <t>Estrutura Fase 1: sem impacto no VTA oficial</t>
        </is>
      </c>
    </row>
    <row r="2348" ht="25.5" customHeight="1" s="289">
      <c r="A2348" s="205" t="n"/>
      <c r="B2348" s="207" t="n"/>
      <c r="C2348" s="104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348" t="n"/>
      <c r="E2348" s="349">
        <f>IF(C2348="","",IFERROR(VLOOKUP(C2348,parametros!$A$11:$E$15,5,0),""))</f>
        <v/>
      </c>
      <c r="F2348" s="335">
        <f>IF(OR(D2348="",E2348=""),"",ROUND(D2348*E2348,2))</f>
        <v/>
      </c>
      <c r="G2348" s="106" t="n"/>
      <c r="H2348" s="350">
        <f>IF(G2348="Sim",IF(OR(F2348="",D2348="",L2348=""),"",IF(L2348="Sim",ROUND(F2348-D2348,2),0)),0)</f>
        <v/>
      </c>
      <c r="I2348" s="350">
        <f>IF(G2348="Sim",0,IF(OR(F2348="",L2348=""),"",F2348))</f>
        <v/>
      </c>
      <c r="J2348" s="350">
        <f>IF(G2348="Sim",0,IF(OR(F2348="",D2348="",L2348=""),"",IF(L2348="Sim",ROUND(F2348-D2348,2),0)))</f>
        <v/>
      </c>
      <c r="K2348" s="97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inlineStr">
        <is>
          <t>Nao</t>
        </is>
      </c>
      <c r="W2348" s="110" t="inlineStr">
        <is>
          <t>PC em analise</t>
        </is>
      </c>
      <c r="X2348" s="110" t="inlineStr">
        <is>
          <t>Pedido de Compra</t>
        </is>
      </c>
      <c r="Y2348" s="111" t="inlineStr">
        <is>
          <t>Impacto Potencial</t>
        </is>
      </c>
      <c r="Z2348" s="111" t="inlineStr">
        <is>
          <t>PC</t>
        </is>
      </c>
      <c r="AA2348" s="111" t="inlineStr">
        <is>
          <t>Nao</t>
        </is>
      </c>
      <c r="AB2348" s="111" t="inlineStr">
        <is>
          <t>NAO_COMPUTADO</t>
        </is>
      </c>
      <c r="AC2348" s="112" t="inlineStr">
        <is>
          <t>Estrutura Fase 1: sem impacto no VTA oficial</t>
        </is>
      </c>
    </row>
    <row r="2349" ht="25.5" customHeight="1" s="289">
      <c r="A2349" s="205" t="n"/>
      <c r="B2349" s="207" t="n"/>
      <c r="C2349" s="104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348" t="n"/>
      <c r="E2349" s="349">
        <f>IF(C2349="","",IFERROR(VLOOKUP(C2349,parametros!$A$11:$E$15,5,0),""))</f>
        <v/>
      </c>
      <c r="F2349" s="335">
        <f>IF(OR(D2349="",E2349=""),"",ROUND(D2349*E2349,2))</f>
        <v/>
      </c>
      <c r="G2349" s="106" t="n"/>
      <c r="H2349" s="350">
        <f>IF(G2349="Sim",IF(OR(F2349="",D2349="",L2349=""),"",IF(L2349="Sim",ROUND(F2349-D2349,2),0)),0)</f>
        <v/>
      </c>
      <c r="I2349" s="350">
        <f>IF(G2349="Sim",0,IF(OR(F2349="",L2349=""),"",F2349))</f>
        <v/>
      </c>
      <c r="J2349" s="350">
        <f>IF(G2349="Sim",0,IF(OR(F2349="",D2349="",L2349=""),"",IF(L2349="Sim",ROUND(F2349-D2349,2),0)))</f>
        <v/>
      </c>
      <c r="K2349" s="97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inlineStr">
        <is>
          <t>Nao</t>
        </is>
      </c>
      <c r="W2349" s="110" t="inlineStr">
        <is>
          <t>PC em analise</t>
        </is>
      </c>
      <c r="X2349" s="110" t="inlineStr">
        <is>
          <t>Pedido de Compra</t>
        </is>
      </c>
      <c r="Y2349" s="111" t="inlineStr">
        <is>
          <t>Impacto Potencial</t>
        </is>
      </c>
      <c r="Z2349" s="111" t="inlineStr">
        <is>
          <t>PC</t>
        </is>
      </c>
      <c r="AA2349" s="111" t="inlineStr">
        <is>
          <t>Nao</t>
        </is>
      </c>
      <c r="AB2349" s="111" t="inlineStr">
        <is>
          <t>NAO_COMPUTADO</t>
        </is>
      </c>
      <c r="AC2349" s="112" t="inlineStr">
        <is>
          <t>Estrutura Fase 1: sem impacto no VTA oficial</t>
        </is>
      </c>
    </row>
    <row r="2350" ht="25.5" customHeight="1" s="289">
      <c r="A2350" s="205" t="n"/>
      <c r="B2350" s="207" t="n"/>
      <c r="C2350" s="104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348" t="n"/>
      <c r="E2350" s="349">
        <f>IF(C2350="","",IFERROR(VLOOKUP(C2350,parametros!$A$11:$E$15,5,0),""))</f>
        <v/>
      </c>
      <c r="F2350" s="335">
        <f>IF(OR(D2350="",E2350=""),"",ROUND(D2350*E2350,2))</f>
        <v/>
      </c>
      <c r="G2350" s="106" t="n"/>
      <c r="H2350" s="350">
        <f>IF(G2350="Sim",IF(OR(F2350="",D2350="",L2350=""),"",IF(L2350="Sim",ROUND(F2350-D2350,2),0)),0)</f>
        <v/>
      </c>
      <c r="I2350" s="350">
        <f>IF(G2350="Sim",0,IF(OR(F2350="",L2350=""),"",F2350))</f>
        <v/>
      </c>
      <c r="J2350" s="350">
        <f>IF(G2350="Sim",0,IF(OR(F2350="",D2350="",L2350=""),"",IF(L2350="Sim",ROUND(F2350-D2350,2),0)))</f>
        <v/>
      </c>
      <c r="K2350" s="97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inlineStr">
        <is>
          <t>Nao</t>
        </is>
      </c>
      <c r="W2350" s="110" t="inlineStr">
        <is>
          <t>PC em analise</t>
        </is>
      </c>
      <c r="X2350" s="110" t="inlineStr">
        <is>
          <t>Pedido de Compra</t>
        </is>
      </c>
      <c r="Y2350" s="111" t="inlineStr">
        <is>
          <t>Impacto Potencial</t>
        </is>
      </c>
      <c r="Z2350" s="111" t="inlineStr">
        <is>
          <t>PC</t>
        </is>
      </c>
      <c r="AA2350" s="111" t="inlineStr">
        <is>
          <t>Nao</t>
        </is>
      </c>
      <c r="AB2350" s="111" t="inlineStr">
        <is>
          <t>NAO_COMPUTADO</t>
        </is>
      </c>
      <c r="AC2350" s="112" t="inlineStr">
        <is>
          <t>Estrutura Fase 1: sem impacto no VTA oficial</t>
        </is>
      </c>
    </row>
    <row r="2351" ht="25.5" customHeight="1" s="289">
      <c r="A2351" s="205" t="n"/>
      <c r="B2351" s="207" t="n"/>
      <c r="C2351" s="104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348" t="n"/>
      <c r="E2351" s="349">
        <f>IF(C2351="","",IFERROR(VLOOKUP(C2351,parametros!$A$11:$E$15,5,0),""))</f>
        <v/>
      </c>
      <c r="F2351" s="335">
        <f>IF(OR(D2351="",E2351=""),"",ROUND(D2351*E2351,2))</f>
        <v/>
      </c>
      <c r="G2351" s="106" t="n"/>
      <c r="H2351" s="350">
        <f>IF(G2351="Sim",IF(OR(F2351="",D2351="",L2351=""),"",IF(L2351="Sim",ROUND(F2351-D2351,2),0)),0)</f>
        <v/>
      </c>
      <c r="I2351" s="350">
        <f>IF(G2351="Sim",0,IF(OR(F2351="",L2351=""),"",F2351))</f>
        <v/>
      </c>
      <c r="J2351" s="350">
        <f>IF(G2351="Sim",0,IF(OR(F2351="",D2351="",L2351=""),"",IF(L2351="Sim",ROUND(F2351-D2351,2),0)))</f>
        <v/>
      </c>
      <c r="K2351" s="97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inlineStr">
        <is>
          <t>Nao</t>
        </is>
      </c>
      <c r="W2351" s="110" t="inlineStr">
        <is>
          <t>PC em analise</t>
        </is>
      </c>
      <c r="X2351" s="110" t="inlineStr">
        <is>
          <t>Pedido de Compra</t>
        </is>
      </c>
      <c r="Y2351" s="111" t="inlineStr">
        <is>
          <t>Impacto Potencial</t>
        </is>
      </c>
      <c r="Z2351" s="111" t="inlineStr">
        <is>
          <t>PC</t>
        </is>
      </c>
      <c r="AA2351" s="111" t="inlineStr">
        <is>
          <t>Nao</t>
        </is>
      </c>
      <c r="AB2351" s="111" t="inlineStr">
        <is>
          <t>NAO_COMPUTADO</t>
        </is>
      </c>
      <c r="AC2351" s="112" t="inlineStr">
        <is>
          <t>Estrutura Fase 1: sem impacto no VTA oficial</t>
        </is>
      </c>
    </row>
    <row r="2352" ht="25.5" customHeight="1" s="289">
      <c r="A2352" s="205" t="n"/>
      <c r="B2352" s="207" t="n"/>
      <c r="C2352" s="104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348" t="n"/>
      <c r="E2352" s="349">
        <f>IF(C2352="","",IFERROR(VLOOKUP(C2352,parametros!$A$11:$E$15,5,0),""))</f>
        <v/>
      </c>
      <c r="F2352" s="335">
        <f>IF(OR(D2352="",E2352=""),"",ROUND(D2352*E2352,2))</f>
        <v/>
      </c>
      <c r="G2352" s="106" t="n"/>
      <c r="H2352" s="350">
        <f>IF(G2352="Sim",IF(OR(F2352="",D2352="",L2352=""),"",IF(L2352="Sim",ROUND(F2352-D2352,2),0)),0)</f>
        <v/>
      </c>
      <c r="I2352" s="350">
        <f>IF(G2352="Sim",0,IF(OR(F2352="",L2352=""),"",F2352))</f>
        <v/>
      </c>
      <c r="J2352" s="350">
        <f>IF(G2352="Sim",0,IF(OR(F2352="",D2352="",L2352=""),"",IF(L2352="Sim",ROUND(F2352-D2352,2),0)))</f>
        <v/>
      </c>
      <c r="K2352" s="97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inlineStr">
        <is>
          <t>Nao</t>
        </is>
      </c>
      <c r="W2352" s="110" t="inlineStr">
        <is>
          <t>PC em analise</t>
        </is>
      </c>
      <c r="X2352" s="110" t="inlineStr">
        <is>
          <t>Pedido de Compra</t>
        </is>
      </c>
      <c r="Y2352" s="111" t="inlineStr">
        <is>
          <t>Impacto Potencial</t>
        </is>
      </c>
      <c r="Z2352" s="111" t="inlineStr">
        <is>
          <t>PC</t>
        </is>
      </c>
      <c r="AA2352" s="111" t="inlineStr">
        <is>
          <t>Nao</t>
        </is>
      </c>
      <c r="AB2352" s="111" t="inlineStr">
        <is>
          <t>NAO_COMPUTADO</t>
        </is>
      </c>
      <c r="AC2352" s="112" t="inlineStr">
        <is>
          <t>Estrutura Fase 1: sem impacto no VTA oficial</t>
        </is>
      </c>
    </row>
    <row r="2353" ht="25.5" customHeight="1" s="289">
      <c r="A2353" s="205" t="n"/>
      <c r="B2353" s="207" t="n"/>
      <c r="C2353" s="104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348" t="n"/>
      <c r="E2353" s="349">
        <f>IF(C2353="","",IFERROR(VLOOKUP(C2353,parametros!$A$11:$E$15,5,0),""))</f>
        <v/>
      </c>
      <c r="F2353" s="335">
        <f>IF(OR(D2353="",E2353=""),"",ROUND(D2353*E2353,2))</f>
        <v/>
      </c>
      <c r="G2353" s="106" t="n"/>
      <c r="H2353" s="350">
        <f>IF(G2353="Sim",IF(OR(F2353="",D2353="",L2353=""),"",IF(L2353="Sim",ROUND(F2353-D2353,2),0)),0)</f>
        <v/>
      </c>
      <c r="I2353" s="350">
        <f>IF(G2353="Sim",0,IF(OR(F2353="",L2353=""),"",F2353))</f>
        <v/>
      </c>
      <c r="J2353" s="350">
        <f>IF(G2353="Sim",0,IF(OR(F2353="",D2353="",L2353=""),"",IF(L2353="Sim",ROUND(F2353-D2353,2),0)))</f>
        <v/>
      </c>
      <c r="K2353" s="97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inlineStr">
        <is>
          <t>Nao</t>
        </is>
      </c>
      <c r="W2353" s="110" t="inlineStr">
        <is>
          <t>PC em analise</t>
        </is>
      </c>
      <c r="X2353" s="110" t="inlineStr">
        <is>
          <t>Pedido de Compra</t>
        </is>
      </c>
      <c r="Y2353" s="111" t="inlineStr">
        <is>
          <t>Impacto Potencial</t>
        </is>
      </c>
      <c r="Z2353" s="111" t="inlineStr">
        <is>
          <t>PC</t>
        </is>
      </c>
      <c r="AA2353" s="111" t="inlineStr">
        <is>
          <t>Nao</t>
        </is>
      </c>
      <c r="AB2353" s="111" t="inlineStr">
        <is>
          <t>NAO_COMPUTADO</t>
        </is>
      </c>
      <c r="AC2353" s="112" t="inlineStr">
        <is>
          <t>Estrutura Fase 1: sem impacto no VTA oficial</t>
        </is>
      </c>
    </row>
    <row r="2354" ht="25.5" customHeight="1" s="289">
      <c r="A2354" s="205" t="n"/>
      <c r="B2354" s="207" t="n"/>
      <c r="C2354" s="104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348" t="n"/>
      <c r="E2354" s="349">
        <f>IF(C2354="","",IFERROR(VLOOKUP(C2354,parametros!$A$11:$E$15,5,0),""))</f>
        <v/>
      </c>
      <c r="F2354" s="335">
        <f>IF(OR(D2354="",E2354=""),"",ROUND(D2354*E2354,2))</f>
        <v/>
      </c>
      <c r="G2354" s="106" t="n"/>
      <c r="H2354" s="350">
        <f>IF(G2354="Sim",IF(OR(F2354="",D2354="",L2354=""),"",IF(L2354="Sim",ROUND(F2354-D2354,2),0)),0)</f>
        <v/>
      </c>
      <c r="I2354" s="350">
        <f>IF(G2354="Sim",0,IF(OR(F2354="",L2354=""),"",F2354))</f>
        <v/>
      </c>
      <c r="J2354" s="350">
        <f>IF(G2354="Sim",0,IF(OR(F2354="",D2354="",L2354=""),"",IF(L2354="Sim",ROUND(F2354-D2354,2),0)))</f>
        <v/>
      </c>
      <c r="K2354" s="97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inlineStr">
        <is>
          <t>Nao</t>
        </is>
      </c>
      <c r="W2354" s="110" t="inlineStr">
        <is>
          <t>PC em analise</t>
        </is>
      </c>
      <c r="X2354" s="110" t="inlineStr">
        <is>
          <t>Pedido de Compra</t>
        </is>
      </c>
      <c r="Y2354" s="111" t="inlineStr">
        <is>
          <t>Impacto Potencial</t>
        </is>
      </c>
      <c r="Z2354" s="111" t="inlineStr">
        <is>
          <t>PC</t>
        </is>
      </c>
      <c r="AA2354" s="111" t="inlineStr">
        <is>
          <t>Nao</t>
        </is>
      </c>
      <c r="AB2354" s="111" t="inlineStr">
        <is>
          <t>NAO_COMPUTADO</t>
        </is>
      </c>
      <c r="AC2354" s="112" t="inlineStr">
        <is>
          <t>Estrutura Fase 1: sem impacto no VTA oficial</t>
        </is>
      </c>
    </row>
    <row r="2355" ht="25.5" customHeight="1" s="289">
      <c r="A2355" s="205" t="n"/>
      <c r="B2355" s="207" t="n"/>
      <c r="C2355" s="104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348" t="n"/>
      <c r="E2355" s="349">
        <f>IF(C2355="","",IFERROR(VLOOKUP(C2355,parametros!$A$11:$E$15,5,0),""))</f>
        <v/>
      </c>
      <c r="F2355" s="335">
        <f>IF(OR(D2355="",E2355=""),"",ROUND(D2355*E2355,2))</f>
        <v/>
      </c>
      <c r="G2355" s="106" t="n"/>
      <c r="H2355" s="350">
        <f>IF(G2355="Sim",IF(OR(F2355="",D2355="",L2355=""),"",IF(L2355="Sim",ROUND(F2355-D2355,2),0)),0)</f>
        <v/>
      </c>
      <c r="I2355" s="350">
        <f>IF(G2355="Sim",0,IF(OR(F2355="",L2355=""),"",F2355))</f>
        <v/>
      </c>
      <c r="J2355" s="350">
        <f>IF(G2355="Sim",0,IF(OR(F2355="",D2355="",L2355=""),"",IF(L2355="Sim",ROUND(F2355-D2355,2),0)))</f>
        <v/>
      </c>
      <c r="K2355" s="97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inlineStr">
        <is>
          <t>Nao</t>
        </is>
      </c>
      <c r="W2355" s="110" t="inlineStr">
        <is>
          <t>PC em analise</t>
        </is>
      </c>
      <c r="X2355" s="110" t="inlineStr">
        <is>
          <t>Pedido de Compra</t>
        </is>
      </c>
      <c r="Y2355" s="111" t="inlineStr">
        <is>
          <t>Impacto Potencial</t>
        </is>
      </c>
      <c r="Z2355" s="111" t="inlineStr">
        <is>
          <t>PC</t>
        </is>
      </c>
      <c r="AA2355" s="111" t="inlineStr">
        <is>
          <t>Nao</t>
        </is>
      </c>
      <c r="AB2355" s="111" t="inlineStr">
        <is>
          <t>NAO_COMPUTADO</t>
        </is>
      </c>
      <c r="AC2355" s="112" t="inlineStr">
        <is>
          <t>Estrutura Fase 1: sem impacto no VTA oficial</t>
        </is>
      </c>
    </row>
    <row r="2356" ht="25.5" customHeight="1" s="289">
      <c r="A2356" s="205" t="n"/>
      <c r="B2356" s="207" t="n"/>
      <c r="C2356" s="104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348" t="n"/>
      <c r="E2356" s="349">
        <f>IF(C2356="","",IFERROR(VLOOKUP(C2356,parametros!$A$11:$E$15,5,0),""))</f>
        <v/>
      </c>
      <c r="F2356" s="335">
        <f>IF(OR(D2356="",E2356=""),"",ROUND(D2356*E2356,2))</f>
        <v/>
      </c>
      <c r="G2356" s="106" t="n"/>
      <c r="H2356" s="350">
        <f>IF(G2356="Sim",IF(OR(F2356="",D2356="",L2356=""),"",IF(L2356="Sim",ROUND(F2356-D2356,2),0)),0)</f>
        <v/>
      </c>
      <c r="I2356" s="350">
        <f>IF(G2356="Sim",0,IF(OR(F2356="",L2356=""),"",F2356))</f>
        <v/>
      </c>
      <c r="J2356" s="350">
        <f>IF(G2356="Sim",0,IF(OR(F2356="",D2356="",L2356=""),"",IF(L2356="Sim",ROUND(F2356-D2356,2),0)))</f>
        <v/>
      </c>
      <c r="K2356" s="97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inlineStr">
        <is>
          <t>Nao</t>
        </is>
      </c>
      <c r="W2356" s="110" t="inlineStr">
        <is>
          <t>PC em analise</t>
        </is>
      </c>
      <c r="X2356" s="110" t="inlineStr">
        <is>
          <t>Pedido de Compra</t>
        </is>
      </c>
      <c r="Y2356" s="111" t="inlineStr">
        <is>
          <t>Impacto Potencial</t>
        </is>
      </c>
      <c r="Z2356" s="111" t="inlineStr">
        <is>
          <t>PC</t>
        </is>
      </c>
      <c r="AA2356" s="111" t="inlineStr">
        <is>
          <t>Nao</t>
        </is>
      </c>
      <c r="AB2356" s="111" t="inlineStr">
        <is>
          <t>NAO_COMPUTADO</t>
        </is>
      </c>
      <c r="AC2356" s="112" t="inlineStr">
        <is>
          <t>Estrutura Fase 1: sem impacto no VTA oficial</t>
        </is>
      </c>
    </row>
    <row r="2357" ht="25.5" customHeight="1" s="289">
      <c r="A2357" s="205" t="n"/>
      <c r="B2357" s="207" t="n"/>
      <c r="C2357" s="104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348" t="n"/>
      <c r="E2357" s="349">
        <f>IF(C2357="","",IFERROR(VLOOKUP(C2357,parametros!$A$11:$E$15,5,0),""))</f>
        <v/>
      </c>
      <c r="F2357" s="335">
        <f>IF(OR(D2357="",E2357=""),"",ROUND(D2357*E2357,2))</f>
        <v/>
      </c>
      <c r="G2357" s="106" t="n"/>
      <c r="H2357" s="350">
        <f>IF(G2357="Sim",IF(OR(F2357="",D2357="",L2357=""),"",IF(L2357="Sim",ROUND(F2357-D2357,2),0)),0)</f>
        <v/>
      </c>
      <c r="I2357" s="350">
        <f>IF(G2357="Sim",0,IF(OR(F2357="",L2357=""),"",F2357))</f>
        <v/>
      </c>
      <c r="J2357" s="350">
        <f>IF(G2357="Sim",0,IF(OR(F2357="",D2357="",L2357=""),"",IF(L2357="Sim",ROUND(F2357-D2357,2),0)))</f>
        <v/>
      </c>
      <c r="K2357" s="97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inlineStr">
        <is>
          <t>Nao</t>
        </is>
      </c>
      <c r="W2357" s="110" t="inlineStr">
        <is>
          <t>PC em analise</t>
        </is>
      </c>
      <c r="X2357" s="110" t="inlineStr">
        <is>
          <t>Pedido de Compra</t>
        </is>
      </c>
      <c r="Y2357" s="111" t="inlineStr">
        <is>
          <t>Impacto Potencial</t>
        </is>
      </c>
      <c r="Z2357" s="111" t="inlineStr">
        <is>
          <t>PC</t>
        </is>
      </c>
      <c r="AA2357" s="111" t="inlineStr">
        <is>
          <t>Nao</t>
        </is>
      </c>
      <c r="AB2357" s="111" t="inlineStr">
        <is>
          <t>NAO_COMPUTADO</t>
        </is>
      </c>
      <c r="AC2357" s="112" t="inlineStr">
        <is>
          <t>Estrutura Fase 1: sem impacto no VTA oficial</t>
        </is>
      </c>
    </row>
    <row r="2358" ht="25.5" customHeight="1" s="289">
      <c r="A2358" s="205" t="n"/>
      <c r="B2358" s="207" t="n"/>
      <c r="C2358" s="104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348" t="n"/>
      <c r="E2358" s="349">
        <f>IF(C2358="","",IFERROR(VLOOKUP(C2358,parametros!$A$11:$E$15,5,0),""))</f>
        <v/>
      </c>
      <c r="F2358" s="335">
        <f>IF(OR(D2358="",E2358=""),"",ROUND(D2358*E2358,2))</f>
        <v/>
      </c>
      <c r="G2358" s="106" t="n"/>
      <c r="H2358" s="350">
        <f>IF(G2358="Sim",IF(OR(F2358="",D2358="",L2358=""),"",IF(L2358="Sim",ROUND(F2358-D2358,2),0)),0)</f>
        <v/>
      </c>
      <c r="I2358" s="350">
        <f>IF(G2358="Sim",0,IF(OR(F2358="",L2358=""),"",F2358))</f>
        <v/>
      </c>
      <c r="J2358" s="350">
        <f>IF(G2358="Sim",0,IF(OR(F2358="",D2358="",L2358=""),"",IF(L2358="Sim",ROUND(F2358-D2358,2),0)))</f>
        <v/>
      </c>
      <c r="K2358" s="97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inlineStr">
        <is>
          <t>Nao</t>
        </is>
      </c>
      <c r="W2358" s="110" t="inlineStr">
        <is>
          <t>PC em analise</t>
        </is>
      </c>
      <c r="X2358" s="110" t="inlineStr">
        <is>
          <t>Pedido de Compra</t>
        </is>
      </c>
      <c r="Y2358" s="111" t="inlineStr">
        <is>
          <t>Impacto Potencial</t>
        </is>
      </c>
      <c r="Z2358" s="111" t="inlineStr">
        <is>
          <t>PC</t>
        </is>
      </c>
      <c r="AA2358" s="111" t="inlineStr">
        <is>
          <t>Nao</t>
        </is>
      </c>
      <c r="AB2358" s="111" t="inlineStr">
        <is>
          <t>NAO_COMPUTADO</t>
        </is>
      </c>
      <c r="AC2358" s="112" t="inlineStr">
        <is>
          <t>Estrutura Fase 1: sem impacto no VTA oficial</t>
        </is>
      </c>
    </row>
    <row r="2359" ht="25.5" customHeight="1" s="289">
      <c r="A2359" s="205" t="n"/>
      <c r="B2359" s="207" t="n"/>
      <c r="C2359" s="104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348" t="n"/>
      <c r="E2359" s="349">
        <f>IF(C2359="","",IFERROR(VLOOKUP(C2359,parametros!$A$11:$E$15,5,0),""))</f>
        <v/>
      </c>
      <c r="F2359" s="335">
        <f>IF(OR(D2359="",E2359=""),"",ROUND(D2359*E2359,2))</f>
        <v/>
      </c>
      <c r="G2359" s="106" t="n"/>
      <c r="H2359" s="350">
        <f>IF(G2359="Sim",IF(OR(F2359="",D2359="",L2359=""),"",IF(L2359="Sim",ROUND(F2359-D2359,2),0)),0)</f>
        <v/>
      </c>
      <c r="I2359" s="350">
        <f>IF(G2359="Sim",0,IF(OR(F2359="",L2359=""),"",F2359))</f>
        <v/>
      </c>
      <c r="J2359" s="350">
        <f>IF(G2359="Sim",0,IF(OR(F2359="",D2359="",L2359=""),"",IF(L2359="Sim",ROUND(F2359-D2359,2),0)))</f>
        <v/>
      </c>
      <c r="K2359" s="97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inlineStr">
        <is>
          <t>Nao</t>
        </is>
      </c>
      <c r="W2359" s="110" t="inlineStr">
        <is>
          <t>PC em analise</t>
        </is>
      </c>
      <c r="X2359" s="110" t="inlineStr">
        <is>
          <t>Pedido de Compra</t>
        </is>
      </c>
      <c r="Y2359" s="111" t="inlineStr">
        <is>
          <t>Impacto Potencial</t>
        </is>
      </c>
      <c r="Z2359" s="111" t="inlineStr">
        <is>
          <t>PC</t>
        </is>
      </c>
      <c r="AA2359" s="111" t="inlineStr">
        <is>
          <t>Nao</t>
        </is>
      </c>
      <c r="AB2359" s="111" t="inlineStr">
        <is>
          <t>NAO_COMPUTADO</t>
        </is>
      </c>
      <c r="AC2359" s="112" t="inlineStr">
        <is>
          <t>Estrutura Fase 1: sem impacto no VTA oficial</t>
        </is>
      </c>
    </row>
    <row r="2360" ht="25.5" customHeight="1" s="289">
      <c r="A2360" s="205" t="n"/>
      <c r="B2360" s="207" t="n"/>
      <c r="C2360" s="104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348" t="n"/>
      <c r="E2360" s="349">
        <f>IF(C2360="","",IFERROR(VLOOKUP(C2360,parametros!$A$11:$E$15,5,0),""))</f>
        <v/>
      </c>
      <c r="F2360" s="335">
        <f>IF(OR(D2360="",E2360=""),"",ROUND(D2360*E2360,2))</f>
        <v/>
      </c>
      <c r="G2360" s="106" t="n"/>
      <c r="H2360" s="350">
        <f>IF(G2360="Sim",IF(OR(F2360="",D2360="",L2360=""),"",IF(L2360="Sim",ROUND(F2360-D2360,2),0)),0)</f>
        <v/>
      </c>
      <c r="I2360" s="350">
        <f>IF(G2360="Sim",0,IF(OR(F2360="",L2360=""),"",F2360))</f>
        <v/>
      </c>
      <c r="J2360" s="350">
        <f>IF(G2360="Sim",0,IF(OR(F2360="",D2360="",L2360=""),"",IF(L2360="Sim",ROUND(F2360-D2360,2),0)))</f>
        <v/>
      </c>
      <c r="K2360" s="97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inlineStr">
        <is>
          <t>Nao</t>
        </is>
      </c>
      <c r="W2360" s="110" t="inlineStr">
        <is>
          <t>PC em analise</t>
        </is>
      </c>
      <c r="X2360" s="110" t="inlineStr">
        <is>
          <t>Pedido de Compra</t>
        </is>
      </c>
      <c r="Y2360" s="111" t="inlineStr">
        <is>
          <t>Impacto Potencial</t>
        </is>
      </c>
      <c r="Z2360" s="111" t="inlineStr">
        <is>
          <t>PC</t>
        </is>
      </c>
      <c r="AA2360" s="111" t="inlineStr">
        <is>
          <t>Nao</t>
        </is>
      </c>
      <c r="AB2360" s="111" t="inlineStr">
        <is>
          <t>NAO_COMPUTADO</t>
        </is>
      </c>
      <c r="AC2360" s="112" t="inlineStr">
        <is>
          <t>Estrutura Fase 1: sem impacto no VTA oficial</t>
        </is>
      </c>
    </row>
    <row r="2361" ht="25.5" customHeight="1" s="289">
      <c r="A2361" s="205" t="n"/>
      <c r="B2361" s="207" t="n"/>
      <c r="C2361" s="104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348" t="n"/>
      <c r="E2361" s="349">
        <f>IF(C2361="","",IFERROR(VLOOKUP(C2361,parametros!$A$11:$E$15,5,0),""))</f>
        <v/>
      </c>
      <c r="F2361" s="335">
        <f>IF(OR(D2361="",E2361=""),"",ROUND(D2361*E2361,2))</f>
        <v/>
      </c>
      <c r="G2361" s="106" t="n"/>
      <c r="H2361" s="350">
        <f>IF(G2361="Sim",IF(OR(F2361="",D2361="",L2361=""),"",IF(L2361="Sim",ROUND(F2361-D2361,2),0)),0)</f>
        <v/>
      </c>
      <c r="I2361" s="350">
        <f>IF(G2361="Sim",0,IF(OR(F2361="",L2361=""),"",F2361))</f>
        <v/>
      </c>
      <c r="J2361" s="350">
        <f>IF(G2361="Sim",0,IF(OR(F2361="",D2361="",L2361=""),"",IF(L2361="Sim",ROUND(F2361-D2361,2),0)))</f>
        <v/>
      </c>
      <c r="K2361" s="97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inlineStr">
        <is>
          <t>Nao</t>
        </is>
      </c>
      <c r="W2361" s="110" t="inlineStr">
        <is>
          <t>PC em analise</t>
        </is>
      </c>
      <c r="X2361" s="110" t="inlineStr">
        <is>
          <t>Pedido de Compra</t>
        </is>
      </c>
      <c r="Y2361" s="111" t="inlineStr">
        <is>
          <t>Impacto Potencial</t>
        </is>
      </c>
      <c r="Z2361" s="111" t="inlineStr">
        <is>
          <t>PC</t>
        </is>
      </c>
      <c r="AA2361" s="111" t="inlineStr">
        <is>
          <t>Nao</t>
        </is>
      </c>
      <c r="AB2361" s="111" t="inlineStr">
        <is>
          <t>NAO_COMPUTADO</t>
        </is>
      </c>
      <c r="AC2361" s="112" t="inlineStr">
        <is>
          <t>Estrutura Fase 1: sem impacto no VTA oficial</t>
        </is>
      </c>
    </row>
    <row r="2362" ht="25.5" customHeight="1" s="289">
      <c r="A2362" s="205" t="n"/>
      <c r="B2362" s="207" t="n"/>
      <c r="C2362" s="104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348" t="n"/>
      <c r="E2362" s="349">
        <f>IF(C2362="","",IFERROR(VLOOKUP(C2362,parametros!$A$11:$E$15,5,0),""))</f>
        <v/>
      </c>
      <c r="F2362" s="335">
        <f>IF(OR(D2362="",E2362=""),"",ROUND(D2362*E2362,2))</f>
        <v/>
      </c>
      <c r="G2362" s="106" t="n"/>
      <c r="H2362" s="350">
        <f>IF(G2362="Sim",IF(OR(F2362="",D2362="",L2362=""),"",IF(L2362="Sim",ROUND(F2362-D2362,2),0)),0)</f>
        <v/>
      </c>
      <c r="I2362" s="350">
        <f>IF(G2362="Sim",0,IF(OR(F2362="",L2362=""),"",F2362))</f>
        <v/>
      </c>
      <c r="J2362" s="350">
        <f>IF(G2362="Sim",0,IF(OR(F2362="",D2362="",L2362=""),"",IF(L2362="Sim",ROUND(F2362-D2362,2),0)))</f>
        <v/>
      </c>
      <c r="K2362" s="97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inlineStr">
        <is>
          <t>Nao</t>
        </is>
      </c>
      <c r="W2362" s="110" t="inlineStr">
        <is>
          <t>PC em analise</t>
        </is>
      </c>
      <c r="X2362" s="110" t="inlineStr">
        <is>
          <t>Pedido de Compra</t>
        </is>
      </c>
      <c r="Y2362" s="111" t="inlineStr">
        <is>
          <t>Impacto Potencial</t>
        </is>
      </c>
      <c r="Z2362" s="111" t="inlineStr">
        <is>
          <t>PC</t>
        </is>
      </c>
      <c r="AA2362" s="111" t="inlineStr">
        <is>
          <t>Nao</t>
        </is>
      </c>
      <c r="AB2362" s="111" t="inlineStr">
        <is>
          <t>NAO_COMPUTADO</t>
        </is>
      </c>
      <c r="AC2362" s="112" t="inlineStr">
        <is>
          <t>Estrutura Fase 1: sem impacto no VTA oficial</t>
        </is>
      </c>
    </row>
    <row r="2363" ht="25.5" customHeight="1" s="289">
      <c r="A2363" s="205" t="n"/>
      <c r="B2363" s="207" t="n"/>
      <c r="C2363" s="104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348" t="n"/>
      <c r="E2363" s="349">
        <f>IF(C2363="","",IFERROR(VLOOKUP(C2363,parametros!$A$11:$E$15,5,0),""))</f>
        <v/>
      </c>
      <c r="F2363" s="335">
        <f>IF(OR(D2363="",E2363=""),"",ROUND(D2363*E2363,2))</f>
        <v/>
      </c>
      <c r="G2363" s="106" t="n"/>
      <c r="H2363" s="350">
        <f>IF(G2363="Sim",IF(OR(F2363="",D2363="",L2363=""),"",IF(L2363="Sim",ROUND(F2363-D2363,2),0)),0)</f>
        <v/>
      </c>
      <c r="I2363" s="350">
        <f>IF(G2363="Sim",0,IF(OR(F2363="",L2363=""),"",F2363))</f>
        <v/>
      </c>
      <c r="J2363" s="350">
        <f>IF(G2363="Sim",0,IF(OR(F2363="",D2363="",L2363=""),"",IF(L2363="Sim",ROUND(F2363-D2363,2),0)))</f>
        <v/>
      </c>
      <c r="K2363" s="97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inlineStr">
        <is>
          <t>Nao</t>
        </is>
      </c>
      <c r="W2363" s="110" t="inlineStr">
        <is>
          <t>PC em analise</t>
        </is>
      </c>
      <c r="X2363" s="110" t="inlineStr">
        <is>
          <t>Pedido de Compra</t>
        </is>
      </c>
      <c r="Y2363" s="111" t="inlineStr">
        <is>
          <t>Impacto Potencial</t>
        </is>
      </c>
      <c r="Z2363" s="111" t="inlineStr">
        <is>
          <t>PC</t>
        </is>
      </c>
      <c r="AA2363" s="111" t="inlineStr">
        <is>
          <t>Nao</t>
        </is>
      </c>
      <c r="AB2363" s="111" t="inlineStr">
        <is>
          <t>NAO_COMPUTADO</t>
        </is>
      </c>
      <c r="AC2363" s="112" t="inlineStr">
        <is>
          <t>Estrutura Fase 1: sem impacto no VTA oficial</t>
        </is>
      </c>
    </row>
    <row r="2364" ht="25.5" customHeight="1" s="289">
      <c r="A2364" s="205" t="n"/>
      <c r="B2364" s="207" t="n"/>
      <c r="C2364" s="104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348" t="n"/>
      <c r="E2364" s="349">
        <f>IF(C2364="","",IFERROR(VLOOKUP(C2364,parametros!$A$11:$E$15,5,0),""))</f>
        <v/>
      </c>
      <c r="F2364" s="335">
        <f>IF(OR(D2364="",E2364=""),"",ROUND(D2364*E2364,2))</f>
        <v/>
      </c>
      <c r="G2364" s="106" t="n"/>
      <c r="H2364" s="350">
        <f>IF(G2364="Sim",IF(OR(F2364="",D2364="",L2364=""),"",IF(L2364="Sim",ROUND(F2364-D2364,2),0)),0)</f>
        <v/>
      </c>
      <c r="I2364" s="350">
        <f>IF(G2364="Sim",0,IF(OR(F2364="",L2364=""),"",F2364))</f>
        <v/>
      </c>
      <c r="J2364" s="350">
        <f>IF(G2364="Sim",0,IF(OR(F2364="",D2364="",L2364=""),"",IF(L2364="Sim",ROUND(F2364-D2364,2),0)))</f>
        <v/>
      </c>
      <c r="K2364" s="97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inlineStr">
        <is>
          <t>Nao</t>
        </is>
      </c>
      <c r="W2364" s="110" t="inlineStr">
        <is>
          <t>PC em analise</t>
        </is>
      </c>
      <c r="X2364" s="110" t="inlineStr">
        <is>
          <t>Pedido de Compra</t>
        </is>
      </c>
      <c r="Y2364" s="111" t="inlineStr">
        <is>
          <t>Impacto Potencial</t>
        </is>
      </c>
      <c r="Z2364" s="111" t="inlineStr">
        <is>
          <t>PC</t>
        </is>
      </c>
      <c r="AA2364" s="111" t="inlineStr">
        <is>
          <t>Nao</t>
        </is>
      </c>
      <c r="AB2364" s="111" t="inlineStr">
        <is>
          <t>NAO_COMPUTADO</t>
        </is>
      </c>
      <c r="AC2364" s="112" t="inlineStr">
        <is>
          <t>Estrutura Fase 1: sem impacto no VTA oficial</t>
        </is>
      </c>
    </row>
    <row r="2365" ht="25.5" customHeight="1" s="289">
      <c r="A2365" s="205" t="n"/>
      <c r="B2365" s="207" t="n"/>
      <c r="C2365" s="104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348" t="n"/>
      <c r="E2365" s="349">
        <f>IF(C2365="","",IFERROR(VLOOKUP(C2365,parametros!$A$11:$E$15,5,0),""))</f>
        <v/>
      </c>
      <c r="F2365" s="335">
        <f>IF(OR(D2365="",E2365=""),"",ROUND(D2365*E2365,2))</f>
        <v/>
      </c>
      <c r="G2365" s="106" t="n"/>
      <c r="H2365" s="350">
        <f>IF(G2365="Sim",IF(OR(F2365="",D2365="",L2365=""),"",IF(L2365="Sim",ROUND(F2365-D2365,2),0)),0)</f>
        <v/>
      </c>
      <c r="I2365" s="350">
        <f>IF(G2365="Sim",0,IF(OR(F2365="",L2365=""),"",F2365))</f>
        <v/>
      </c>
      <c r="J2365" s="350">
        <f>IF(G2365="Sim",0,IF(OR(F2365="",D2365="",L2365=""),"",IF(L2365="Sim",ROUND(F2365-D2365,2),0)))</f>
        <v/>
      </c>
      <c r="K2365" s="97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inlineStr">
        <is>
          <t>Nao</t>
        </is>
      </c>
      <c r="W2365" s="110" t="inlineStr">
        <is>
          <t>PC em analise</t>
        </is>
      </c>
      <c r="X2365" s="110" t="inlineStr">
        <is>
          <t>Pedido de Compra</t>
        </is>
      </c>
      <c r="Y2365" s="111" t="inlineStr">
        <is>
          <t>Impacto Potencial</t>
        </is>
      </c>
      <c r="Z2365" s="111" t="inlineStr">
        <is>
          <t>PC</t>
        </is>
      </c>
      <c r="AA2365" s="111" t="inlineStr">
        <is>
          <t>Nao</t>
        </is>
      </c>
      <c r="AB2365" s="111" t="inlineStr">
        <is>
          <t>NAO_COMPUTADO</t>
        </is>
      </c>
      <c r="AC2365" s="112" t="inlineStr">
        <is>
          <t>Estrutura Fase 1: sem impacto no VTA oficial</t>
        </is>
      </c>
    </row>
    <row r="2366" ht="25.5" customHeight="1" s="289">
      <c r="A2366" s="205" t="n"/>
      <c r="B2366" s="207" t="n"/>
      <c r="C2366" s="104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348" t="n"/>
      <c r="E2366" s="349">
        <f>IF(C2366="","",IFERROR(VLOOKUP(C2366,parametros!$A$11:$E$15,5,0),""))</f>
        <v/>
      </c>
      <c r="F2366" s="335">
        <f>IF(OR(D2366="",E2366=""),"",ROUND(D2366*E2366,2))</f>
        <v/>
      </c>
      <c r="G2366" s="106" t="n"/>
      <c r="H2366" s="350">
        <f>IF(G2366="Sim",IF(OR(F2366="",D2366="",L2366=""),"",IF(L2366="Sim",ROUND(F2366-D2366,2),0)),0)</f>
        <v/>
      </c>
      <c r="I2366" s="350">
        <f>IF(G2366="Sim",0,IF(OR(F2366="",L2366=""),"",F2366))</f>
        <v/>
      </c>
      <c r="J2366" s="350">
        <f>IF(G2366="Sim",0,IF(OR(F2366="",D2366="",L2366=""),"",IF(L2366="Sim",ROUND(F2366-D2366,2),0)))</f>
        <v/>
      </c>
      <c r="K2366" s="97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inlineStr">
        <is>
          <t>Nao</t>
        </is>
      </c>
      <c r="W2366" s="110" t="inlineStr">
        <is>
          <t>PC em analise</t>
        </is>
      </c>
      <c r="X2366" s="110" t="inlineStr">
        <is>
          <t>Pedido de Compra</t>
        </is>
      </c>
      <c r="Y2366" s="111" t="inlineStr">
        <is>
          <t>Impacto Potencial</t>
        </is>
      </c>
      <c r="Z2366" s="111" t="inlineStr">
        <is>
          <t>PC</t>
        </is>
      </c>
      <c r="AA2366" s="111" t="inlineStr">
        <is>
          <t>Nao</t>
        </is>
      </c>
      <c r="AB2366" s="111" t="inlineStr">
        <is>
          <t>NAO_COMPUTADO</t>
        </is>
      </c>
      <c r="AC2366" s="112" t="inlineStr">
        <is>
          <t>Estrutura Fase 1: sem impacto no VTA oficial</t>
        </is>
      </c>
    </row>
    <row r="2367" ht="25.5" customHeight="1" s="289">
      <c r="A2367" s="205" t="n"/>
      <c r="B2367" s="207" t="n"/>
      <c r="C2367" s="104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348" t="n"/>
      <c r="E2367" s="349">
        <f>IF(C2367="","",IFERROR(VLOOKUP(C2367,parametros!$A$11:$E$15,5,0),""))</f>
        <v/>
      </c>
      <c r="F2367" s="335">
        <f>IF(OR(D2367="",E2367=""),"",ROUND(D2367*E2367,2))</f>
        <v/>
      </c>
      <c r="G2367" s="106" t="n"/>
      <c r="H2367" s="350">
        <f>IF(G2367="Sim",IF(OR(F2367="",D2367="",L2367=""),"",IF(L2367="Sim",ROUND(F2367-D2367,2),0)),0)</f>
        <v/>
      </c>
      <c r="I2367" s="350">
        <f>IF(G2367="Sim",0,IF(OR(F2367="",L2367=""),"",F2367))</f>
        <v/>
      </c>
      <c r="J2367" s="350">
        <f>IF(G2367="Sim",0,IF(OR(F2367="",D2367="",L2367=""),"",IF(L2367="Sim",ROUND(F2367-D2367,2),0)))</f>
        <v/>
      </c>
      <c r="K2367" s="97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inlineStr">
        <is>
          <t>Nao</t>
        </is>
      </c>
      <c r="W2367" s="110" t="inlineStr">
        <is>
          <t>PC em analise</t>
        </is>
      </c>
      <c r="X2367" s="110" t="inlineStr">
        <is>
          <t>Pedido de Compra</t>
        </is>
      </c>
      <c r="Y2367" s="111" t="inlineStr">
        <is>
          <t>Impacto Potencial</t>
        </is>
      </c>
      <c r="Z2367" s="111" t="inlineStr">
        <is>
          <t>PC</t>
        </is>
      </c>
      <c r="AA2367" s="111" t="inlineStr">
        <is>
          <t>Nao</t>
        </is>
      </c>
      <c r="AB2367" s="111" t="inlineStr">
        <is>
          <t>NAO_COMPUTADO</t>
        </is>
      </c>
      <c r="AC2367" s="112" t="inlineStr">
        <is>
          <t>Estrutura Fase 1: sem impacto no VTA oficial</t>
        </is>
      </c>
    </row>
    <row r="2368" ht="25.5" customHeight="1" s="289">
      <c r="A2368" s="205" t="n"/>
      <c r="B2368" s="207" t="n"/>
      <c r="C2368" s="104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348" t="n"/>
      <c r="E2368" s="349">
        <f>IF(C2368="","",IFERROR(VLOOKUP(C2368,parametros!$A$11:$E$15,5,0),""))</f>
        <v/>
      </c>
      <c r="F2368" s="335">
        <f>IF(OR(D2368="",E2368=""),"",ROUND(D2368*E2368,2))</f>
        <v/>
      </c>
      <c r="G2368" s="106" t="n"/>
      <c r="H2368" s="350">
        <f>IF(G2368="Sim",IF(OR(F2368="",D2368="",L2368=""),"",IF(L2368="Sim",ROUND(F2368-D2368,2),0)),0)</f>
        <v/>
      </c>
      <c r="I2368" s="350">
        <f>IF(G2368="Sim",0,IF(OR(F2368="",L2368=""),"",F2368))</f>
        <v/>
      </c>
      <c r="J2368" s="350">
        <f>IF(G2368="Sim",0,IF(OR(F2368="",D2368="",L2368=""),"",IF(L2368="Sim",ROUND(F2368-D2368,2),0)))</f>
        <v/>
      </c>
      <c r="K2368" s="97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inlineStr">
        <is>
          <t>Nao</t>
        </is>
      </c>
      <c r="W2368" s="110" t="inlineStr">
        <is>
          <t>PC em analise</t>
        </is>
      </c>
      <c r="X2368" s="110" t="inlineStr">
        <is>
          <t>Pedido de Compra</t>
        </is>
      </c>
      <c r="Y2368" s="111" t="inlineStr">
        <is>
          <t>Impacto Potencial</t>
        </is>
      </c>
      <c r="Z2368" s="111" t="inlineStr">
        <is>
          <t>PC</t>
        </is>
      </c>
      <c r="AA2368" s="111" t="inlineStr">
        <is>
          <t>Nao</t>
        </is>
      </c>
      <c r="AB2368" s="111" t="inlineStr">
        <is>
          <t>NAO_COMPUTADO</t>
        </is>
      </c>
      <c r="AC2368" s="112" t="inlineStr">
        <is>
          <t>Estrutura Fase 1: sem impacto no VTA oficial</t>
        </is>
      </c>
    </row>
    <row r="2369" ht="25.5" customHeight="1" s="289">
      <c r="A2369" s="205" t="n"/>
      <c r="B2369" s="207" t="n"/>
      <c r="C2369" s="104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348" t="n"/>
      <c r="E2369" s="349">
        <f>IF(C2369="","",IFERROR(VLOOKUP(C2369,parametros!$A$11:$E$15,5,0),""))</f>
        <v/>
      </c>
      <c r="F2369" s="335">
        <f>IF(OR(D2369="",E2369=""),"",ROUND(D2369*E2369,2))</f>
        <v/>
      </c>
      <c r="G2369" s="106" t="n"/>
      <c r="H2369" s="350">
        <f>IF(G2369="Sim",IF(OR(F2369="",D2369="",L2369=""),"",IF(L2369="Sim",ROUND(F2369-D2369,2),0)),0)</f>
        <v/>
      </c>
      <c r="I2369" s="350">
        <f>IF(G2369="Sim",0,IF(OR(F2369="",L2369=""),"",F2369))</f>
        <v/>
      </c>
      <c r="J2369" s="350">
        <f>IF(G2369="Sim",0,IF(OR(F2369="",D2369="",L2369=""),"",IF(L2369="Sim",ROUND(F2369-D2369,2),0)))</f>
        <v/>
      </c>
      <c r="K2369" s="97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inlineStr">
        <is>
          <t>Nao</t>
        </is>
      </c>
      <c r="W2369" s="110" t="inlineStr">
        <is>
          <t>PC em analise</t>
        </is>
      </c>
      <c r="X2369" s="110" t="inlineStr">
        <is>
          <t>Pedido de Compra</t>
        </is>
      </c>
      <c r="Y2369" s="111" t="inlineStr">
        <is>
          <t>Impacto Potencial</t>
        </is>
      </c>
      <c r="Z2369" s="111" t="inlineStr">
        <is>
          <t>PC</t>
        </is>
      </c>
      <c r="AA2369" s="111" t="inlineStr">
        <is>
          <t>Nao</t>
        </is>
      </c>
      <c r="AB2369" s="111" t="inlineStr">
        <is>
          <t>NAO_COMPUTADO</t>
        </is>
      </c>
      <c r="AC2369" s="112" t="inlineStr">
        <is>
          <t>Estrutura Fase 1: sem impacto no VTA oficial</t>
        </is>
      </c>
    </row>
    <row r="2370" ht="25.5" customHeight="1" s="289">
      <c r="A2370" s="205" t="n"/>
      <c r="B2370" s="207" t="n"/>
      <c r="C2370" s="104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348" t="n"/>
      <c r="E2370" s="349">
        <f>IF(C2370="","",IFERROR(VLOOKUP(C2370,parametros!$A$11:$E$15,5,0),""))</f>
        <v/>
      </c>
      <c r="F2370" s="335">
        <f>IF(OR(D2370="",E2370=""),"",ROUND(D2370*E2370,2))</f>
        <v/>
      </c>
      <c r="G2370" s="106" t="n"/>
      <c r="H2370" s="350">
        <f>IF(G2370="Sim",IF(OR(F2370="",D2370="",L2370=""),"",IF(L2370="Sim",ROUND(F2370-D2370,2),0)),0)</f>
        <v/>
      </c>
      <c r="I2370" s="350">
        <f>IF(G2370="Sim",0,IF(OR(F2370="",L2370=""),"",F2370))</f>
        <v/>
      </c>
      <c r="J2370" s="350">
        <f>IF(G2370="Sim",0,IF(OR(F2370="",D2370="",L2370=""),"",IF(L2370="Sim",ROUND(F2370-D2370,2),0)))</f>
        <v/>
      </c>
      <c r="K2370" s="97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inlineStr">
        <is>
          <t>Nao</t>
        </is>
      </c>
      <c r="W2370" s="110" t="inlineStr">
        <is>
          <t>PC em analise</t>
        </is>
      </c>
      <c r="X2370" s="110" t="inlineStr">
        <is>
          <t>Pedido de Compra</t>
        </is>
      </c>
      <c r="Y2370" s="111" t="inlineStr">
        <is>
          <t>Impacto Potencial</t>
        </is>
      </c>
      <c r="Z2370" s="111" t="inlineStr">
        <is>
          <t>PC</t>
        </is>
      </c>
      <c r="AA2370" s="111" t="inlineStr">
        <is>
          <t>Nao</t>
        </is>
      </c>
      <c r="AB2370" s="111" t="inlineStr">
        <is>
          <t>NAO_COMPUTADO</t>
        </is>
      </c>
      <c r="AC2370" s="112" t="inlineStr">
        <is>
          <t>Estrutura Fase 1: sem impacto no VTA oficial</t>
        </is>
      </c>
    </row>
    <row r="2371" ht="25.5" customHeight="1" s="289">
      <c r="A2371" s="205" t="n"/>
      <c r="B2371" s="207" t="n"/>
      <c r="C2371" s="104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348" t="n"/>
      <c r="E2371" s="349">
        <f>IF(C2371="","",IFERROR(VLOOKUP(C2371,parametros!$A$11:$E$15,5,0),""))</f>
        <v/>
      </c>
      <c r="F2371" s="335">
        <f>IF(OR(D2371="",E2371=""),"",ROUND(D2371*E2371,2))</f>
        <v/>
      </c>
      <c r="G2371" s="106" t="n"/>
      <c r="H2371" s="350">
        <f>IF(G2371="Sim",IF(OR(F2371="",D2371="",L2371=""),"",IF(L2371="Sim",ROUND(F2371-D2371,2),0)),0)</f>
        <v/>
      </c>
      <c r="I2371" s="350">
        <f>IF(G2371="Sim",0,IF(OR(F2371="",L2371=""),"",F2371))</f>
        <v/>
      </c>
      <c r="J2371" s="350">
        <f>IF(G2371="Sim",0,IF(OR(F2371="",D2371="",L2371=""),"",IF(L2371="Sim",ROUND(F2371-D2371,2),0)))</f>
        <v/>
      </c>
      <c r="K2371" s="97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inlineStr">
        <is>
          <t>Nao</t>
        </is>
      </c>
      <c r="W2371" s="110" t="inlineStr">
        <is>
          <t>PC em analise</t>
        </is>
      </c>
      <c r="X2371" s="110" t="inlineStr">
        <is>
          <t>Pedido de Compra</t>
        </is>
      </c>
      <c r="Y2371" s="111" t="inlineStr">
        <is>
          <t>Impacto Potencial</t>
        </is>
      </c>
      <c r="Z2371" s="111" t="inlineStr">
        <is>
          <t>PC</t>
        </is>
      </c>
      <c r="AA2371" s="111" t="inlineStr">
        <is>
          <t>Nao</t>
        </is>
      </c>
      <c r="AB2371" s="111" t="inlineStr">
        <is>
          <t>NAO_COMPUTADO</t>
        </is>
      </c>
      <c r="AC2371" s="112" t="inlineStr">
        <is>
          <t>Estrutura Fase 1: sem impacto no VTA oficial</t>
        </is>
      </c>
    </row>
    <row r="2372" ht="25.5" customHeight="1" s="289">
      <c r="A2372" s="205" t="n"/>
      <c r="B2372" s="207" t="n"/>
      <c r="C2372" s="104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348" t="n"/>
      <c r="E2372" s="349">
        <f>IF(C2372="","",IFERROR(VLOOKUP(C2372,parametros!$A$11:$E$15,5,0),""))</f>
        <v/>
      </c>
      <c r="F2372" s="335">
        <f>IF(OR(D2372="",E2372=""),"",ROUND(D2372*E2372,2))</f>
        <v/>
      </c>
      <c r="G2372" s="106" t="n"/>
      <c r="H2372" s="350">
        <f>IF(G2372="Sim",IF(OR(F2372="",D2372="",L2372=""),"",IF(L2372="Sim",ROUND(F2372-D2372,2),0)),0)</f>
        <v/>
      </c>
      <c r="I2372" s="350">
        <f>IF(G2372="Sim",0,IF(OR(F2372="",L2372=""),"",F2372))</f>
        <v/>
      </c>
      <c r="J2372" s="350">
        <f>IF(G2372="Sim",0,IF(OR(F2372="",D2372="",L2372=""),"",IF(L2372="Sim",ROUND(F2372-D2372,2),0)))</f>
        <v/>
      </c>
      <c r="K2372" s="97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inlineStr">
        <is>
          <t>Nao</t>
        </is>
      </c>
      <c r="W2372" s="110" t="inlineStr">
        <is>
          <t>PC em analise</t>
        </is>
      </c>
      <c r="X2372" s="110" t="inlineStr">
        <is>
          <t>Pedido de Compra</t>
        </is>
      </c>
      <c r="Y2372" s="111" t="inlineStr">
        <is>
          <t>Impacto Potencial</t>
        </is>
      </c>
      <c r="Z2372" s="111" t="inlineStr">
        <is>
          <t>PC</t>
        </is>
      </c>
      <c r="AA2372" s="111" t="inlineStr">
        <is>
          <t>Nao</t>
        </is>
      </c>
      <c r="AB2372" s="111" t="inlineStr">
        <is>
          <t>NAO_COMPUTADO</t>
        </is>
      </c>
      <c r="AC2372" s="112" t="inlineStr">
        <is>
          <t>Estrutura Fase 1: sem impacto no VTA oficial</t>
        </is>
      </c>
    </row>
    <row r="2373" ht="25.5" customHeight="1" s="289">
      <c r="A2373" s="205" t="n"/>
      <c r="B2373" s="207" t="n"/>
      <c r="C2373" s="104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348" t="n"/>
      <c r="E2373" s="349">
        <f>IF(C2373="","",IFERROR(VLOOKUP(C2373,parametros!$A$11:$E$15,5,0),""))</f>
        <v/>
      </c>
      <c r="F2373" s="335">
        <f>IF(OR(D2373="",E2373=""),"",ROUND(D2373*E2373,2))</f>
        <v/>
      </c>
      <c r="G2373" s="106" t="n"/>
      <c r="H2373" s="350">
        <f>IF(G2373="Sim",IF(OR(F2373="",D2373="",L2373=""),"",IF(L2373="Sim",ROUND(F2373-D2373,2),0)),0)</f>
        <v/>
      </c>
      <c r="I2373" s="350">
        <f>IF(G2373="Sim",0,IF(OR(F2373="",L2373=""),"",F2373))</f>
        <v/>
      </c>
      <c r="J2373" s="350">
        <f>IF(G2373="Sim",0,IF(OR(F2373="",D2373="",L2373=""),"",IF(L2373="Sim",ROUND(F2373-D2373,2),0)))</f>
        <v/>
      </c>
      <c r="K2373" s="97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inlineStr">
        <is>
          <t>Nao</t>
        </is>
      </c>
      <c r="W2373" s="110" t="inlineStr">
        <is>
          <t>PC em analise</t>
        </is>
      </c>
      <c r="X2373" s="110" t="inlineStr">
        <is>
          <t>Pedido de Compra</t>
        </is>
      </c>
      <c r="Y2373" s="111" t="inlineStr">
        <is>
          <t>Impacto Potencial</t>
        </is>
      </c>
      <c r="Z2373" s="111" t="inlineStr">
        <is>
          <t>PC</t>
        </is>
      </c>
      <c r="AA2373" s="111" t="inlineStr">
        <is>
          <t>Nao</t>
        </is>
      </c>
      <c r="AB2373" s="111" t="inlineStr">
        <is>
          <t>NAO_COMPUTADO</t>
        </is>
      </c>
      <c r="AC2373" s="112" t="inlineStr">
        <is>
          <t>Estrutura Fase 1: sem impacto no VTA oficial</t>
        </is>
      </c>
    </row>
    <row r="2374" ht="25.5" customHeight="1" s="289">
      <c r="A2374" s="205" t="n"/>
      <c r="B2374" s="207" t="n"/>
      <c r="C2374" s="104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348" t="n"/>
      <c r="E2374" s="349">
        <f>IF(C2374="","",IFERROR(VLOOKUP(C2374,parametros!$A$11:$E$15,5,0),""))</f>
        <v/>
      </c>
      <c r="F2374" s="335">
        <f>IF(OR(D2374="",E2374=""),"",ROUND(D2374*E2374,2))</f>
        <v/>
      </c>
      <c r="G2374" s="106" t="n"/>
      <c r="H2374" s="350">
        <f>IF(G2374="Sim",IF(OR(F2374="",D2374="",L2374=""),"",IF(L2374="Sim",ROUND(F2374-D2374,2),0)),0)</f>
        <v/>
      </c>
      <c r="I2374" s="350">
        <f>IF(G2374="Sim",0,IF(OR(F2374="",L2374=""),"",F2374))</f>
        <v/>
      </c>
      <c r="J2374" s="350">
        <f>IF(G2374="Sim",0,IF(OR(F2374="",D2374="",L2374=""),"",IF(L2374="Sim",ROUND(F2374-D2374,2),0)))</f>
        <v/>
      </c>
      <c r="K2374" s="97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inlineStr">
        <is>
          <t>Nao</t>
        </is>
      </c>
      <c r="W2374" s="110" t="inlineStr">
        <is>
          <t>PC em analise</t>
        </is>
      </c>
      <c r="X2374" s="110" t="inlineStr">
        <is>
          <t>Pedido de Compra</t>
        </is>
      </c>
      <c r="Y2374" s="111" t="inlineStr">
        <is>
          <t>Impacto Potencial</t>
        </is>
      </c>
      <c r="Z2374" s="111" t="inlineStr">
        <is>
          <t>PC</t>
        </is>
      </c>
      <c r="AA2374" s="111" t="inlineStr">
        <is>
          <t>Nao</t>
        </is>
      </c>
      <c r="AB2374" s="111" t="inlineStr">
        <is>
          <t>NAO_COMPUTADO</t>
        </is>
      </c>
      <c r="AC2374" s="112" t="inlineStr">
        <is>
          <t>Estrutura Fase 1: sem impacto no VTA oficial</t>
        </is>
      </c>
    </row>
    <row r="2375" ht="25.5" customHeight="1" s="289">
      <c r="A2375" s="205" t="n"/>
      <c r="B2375" s="207" t="n"/>
      <c r="C2375" s="104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348" t="n"/>
      <c r="E2375" s="349">
        <f>IF(C2375="","",IFERROR(VLOOKUP(C2375,parametros!$A$11:$E$15,5,0),""))</f>
        <v/>
      </c>
      <c r="F2375" s="335">
        <f>IF(OR(D2375="",E2375=""),"",ROUND(D2375*E2375,2))</f>
        <v/>
      </c>
      <c r="G2375" s="106" t="n"/>
      <c r="H2375" s="350">
        <f>IF(G2375="Sim",IF(OR(F2375="",D2375="",L2375=""),"",IF(L2375="Sim",ROUND(F2375-D2375,2),0)),0)</f>
        <v/>
      </c>
      <c r="I2375" s="350">
        <f>IF(G2375="Sim",0,IF(OR(F2375="",L2375=""),"",F2375))</f>
        <v/>
      </c>
      <c r="J2375" s="350">
        <f>IF(G2375="Sim",0,IF(OR(F2375="",D2375="",L2375=""),"",IF(L2375="Sim",ROUND(F2375-D2375,2),0)))</f>
        <v/>
      </c>
      <c r="K2375" s="97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inlineStr">
        <is>
          <t>Nao</t>
        </is>
      </c>
      <c r="W2375" s="110" t="inlineStr">
        <is>
          <t>PC em analise</t>
        </is>
      </c>
      <c r="X2375" s="110" t="inlineStr">
        <is>
          <t>Pedido de Compra</t>
        </is>
      </c>
      <c r="Y2375" s="111" t="inlineStr">
        <is>
          <t>Impacto Potencial</t>
        </is>
      </c>
      <c r="Z2375" s="111" t="inlineStr">
        <is>
          <t>PC</t>
        </is>
      </c>
      <c r="AA2375" s="111" t="inlineStr">
        <is>
          <t>Nao</t>
        </is>
      </c>
      <c r="AB2375" s="111" t="inlineStr">
        <is>
          <t>NAO_COMPUTADO</t>
        </is>
      </c>
      <c r="AC2375" s="112" t="inlineStr">
        <is>
          <t>Estrutura Fase 1: sem impacto no VTA oficial</t>
        </is>
      </c>
    </row>
    <row r="2376" ht="25.5" customHeight="1" s="289">
      <c r="A2376" s="205" t="n"/>
      <c r="B2376" s="207" t="n"/>
      <c r="C2376" s="104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348" t="n"/>
      <c r="E2376" s="349">
        <f>IF(C2376="","",IFERROR(VLOOKUP(C2376,parametros!$A$11:$E$15,5,0),""))</f>
        <v/>
      </c>
      <c r="F2376" s="335">
        <f>IF(OR(D2376="",E2376=""),"",ROUND(D2376*E2376,2))</f>
        <v/>
      </c>
      <c r="G2376" s="106" t="n"/>
      <c r="H2376" s="350">
        <f>IF(G2376="Sim",IF(OR(F2376="",D2376="",L2376=""),"",IF(L2376="Sim",ROUND(F2376-D2376,2),0)),0)</f>
        <v/>
      </c>
      <c r="I2376" s="350">
        <f>IF(G2376="Sim",0,IF(OR(F2376="",L2376=""),"",F2376))</f>
        <v/>
      </c>
      <c r="J2376" s="350">
        <f>IF(G2376="Sim",0,IF(OR(F2376="",D2376="",L2376=""),"",IF(L2376="Sim",ROUND(F2376-D2376,2),0)))</f>
        <v/>
      </c>
      <c r="K2376" s="97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inlineStr">
        <is>
          <t>Nao</t>
        </is>
      </c>
      <c r="W2376" s="110" t="inlineStr">
        <is>
          <t>PC em analise</t>
        </is>
      </c>
      <c r="X2376" s="110" t="inlineStr">
        <is>
          <t>Pedido de Compra</t>
        </is>
      </c>
      <c r="Y2376" s="111" t="inlineStr">
        <is>
          <t>Impacto Potencial</t>
        </is>
      </c>
      <c r="Z2376" s="111" t="inlineStr">
        <is>
          <t>PC</t>
        </is>
      </c>
      <c r="AA2376" s="111" t="inlineStr">
        <is>
          <t>Nao</t>
        </is>
      </c>
      <c r="AB2376" s="111" t="inlineStr">
        <is>
          <t>NAO_COMPUTADO</t>
        </is>
      </c>
      <c r="AC2376" s="112" t="inlineStr">
        <is>
          <t>Estrutura Fase 1: sem impacto no VTA oficial</t>
        </is>
      </c>
    </row>
    <row r="2377" ht="25.5" customHeight="1" s="289">
      <c r="A2377" s="205" t="n"/>
      <c r="B2377" s="207" t="n"/>
      <c r="C2377" s="104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348" t="n"/>
      <c r="E2377" s="349">
        <f>IF(C2377="","",IFERROR(VLOOKUP(C2377,parametros!$A$11:$E$15,5,0),""))</f>
        <v/>
      </c>
      <c r="F2377" s="335">
        <f>IF(OR(D2377="",E2377=""),"",ROUND(D2377*E2377,2))</f>
        <v/>
      </c>
      <c r="G2377" s="106" t="n"/>
      <c r="H2377" s="350">
        <f>IF(G2377="Sim",IF(OR(F2377="",D2377="",L2377=""),"",IF(L2377="Sim",ROUND(F2377-D2377,2),0)),0)</f>
        <v/>
      </c>
      <c r="I2377" s="350">
        <f>IF(G2377="Sim",0,IF(OR(F2377="",L2377=""),"",F2377))</f>
        <v/>
      </c>
      <c r="J2377" s="350">
        <f>IF(G2377="Sim",0,IF(OR(F2377="",D2377="",L2377=""),"",IF(L2377="Sim",ROUND(F2377-D2377,2),0)))</f>
        <v/>
      </c>
      <c r="K2377" s="97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inlineStr">
        <is>
          <t>Nao</t>
        </is>
      </c>
      <c r="W2377" s="110" t="inlineStr">
        <is>
          <t>PC em analise</t>
        </is>
      </c>
      <c r="X2377" s="110" t="inlineStr">
        <is>
          <t>Pedido de Compra</t>
        </is>
      </c>
      <c r="Y2377" s="111" t="inlineStr">
        <is>
          <t>Impacto Potencial</t>
        </is>
      </c>
      <c r="Z2377" s="111" t="inlineStr">
        <is>
          <t>PC</t>
        </is>
      </c>
      <c r="AA2377" s="111" t="inlineStr">
        <is>
          <t>Nao</t>
        </is>
      </c>
      <c r="AB2377" s="111" t="inlineStr">
        <is>
          <t>NAO_COMPUTADO</t>
        </is>
      </c>
      <c r="AC2377" s="112" t="inlineStr">
        <is>
          <t>Estrutura Fase 1: sem impacto no VTA oficial</t>
        </is>
      </c>
    </row>
    <row r="2378" ht="25.5" customHeight="1" s="289">
      <c r="A2378" s="205" t="n"/>
      <c r="B2378" s="207" t="n"/>
      <c r="C2378" s="104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348" t="n"/>
      <c r="E2378" s="349">
        <f>IF(C2378="","",IFERROR(VLOOKUP(C2378,parametros!$A$11:$E$15,5,0),""))</f>
        <v/>
      </c>
      <c r="F2378" s="335">
        <f>IF(OR(D2378="",E2378=""),"",ROUND(D2378*E2378,2))</f>
        <v/>
      </c>
      <c r="G2378" s="106" t="n"/>
      <c r="H2378" s="350">
        <f>IF(G2378="Sim",IF(OR(F2378="",D2378="",L2378=""),"",IF(L2378="Sim",ROUND(F2378-D2378,2),0)),0)</f>
        <v/>
      </c>
      <c r="I2378" s="350">
        <f>IF(G2378="Sim",0,IF(OR(F2378="",L2378=""),"",F2378))</f>
        <v/>
      </c>
      <c r="J2378" s="350">
        <f>IF(G2378="Sim",0,IF(OR(F2378="",D2378="",L2378=""),"",IF(L2378="Sim",ROUND(F2378-D2378,2),0)))</f>
        <v/>
      </c>
      <c r="K2378" s="97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inlineStr">
        <is>
          <t>Nao</t>
        </is>
      </c>
      <c r="W2378" s="110" t="inlineStr">
        <is>
          <t>PC em analise</t>
        </is>
      </c>
      <c r="X2378" s="110" t="inlineStr">
        <is>
          <t>Pedido de Compra</t>
        </is>
      </c>
      <c r="Y2378" s="111" t="inlineStr">
        <is>
          <t>Impacto Potencial</t>
        </is>
      </c>
      <c r="Z2378" s="111" t="inlineStr">
        <is>
          <t>PC</t>
        </is>
      </c>
      <c r="AA2378" s="111" t="inlineStr">
        <is>
          <t>Nao</t>
        </is>
      </c>
      <c r="AB2378" s="111" t="inlineStr">
        <is>
          <t>NAO_COMPUTADO</t>
        </is>
      </c>
      <c r="AC2378" s="112" t="inlineStr">
        <is>
          <t>Estrutura Fase 1: sem impacto no VTA oficial</t>
        </is>
      </c>
    </row>
    <row r="2379" ht="25.5" customHeight="1" s="289">
      <c r="A2379" s="205" t="n"/>
      <c r="B2379" s="207" t="n"/>
      <c r="C2379" s="104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348" t="n"/>
      <c r="E2379" s="349">
        <f>IF(C2379="","",IFERROR(VLOOKUP(C2379,parametros!$A$11:$E$15,5,0),""))</f>
        <v/>
      </c>
      <c r="F2379" s="335">
        <f>IF(OR(D2379="",E2379=""),"",ROUND(D2379*E2379,2))</f>
        <v/>
      </c>
      <c r="G2379" s="106" t="n"/>
      <c r="H2379" s="350">
        <f>IF(G2379="Sim",IF(OR(F2379="",D2379="",L2379=""),"",IF(L2379="Sim",ROUND(F2379-D2379,2),0)),0)</f>
        <v/>
      </c>
      <c r="I2379" s="350">
        <f>IF(G2379="Sim",0,IF(OR(F2379="",L2379=""),"",F2379))</f>
        <v/>
      </c>
      <c r="J2379" s="350">
        <f>IF(G2379="Sim",0,IF(OR(F2379="",D2379="",L2379=""),"",IF(L2379="Sim",ROUND(F2379-D2379,2),0)))</f>
        <v/>
      </c>
      <c r="K2379" s="97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inlineStr">
        <is>
          <t>Nao</t>
        </is>
      </c>
      <c r="W2379" s="110" t="inlineStr">
        <is>
          <t>PC em analise</t>
        </is>
      </c>
      <c r="X2379" s="110" t="inlineStr">
        <is>
          <t>Pedido de Compra</t>
        </is>
      </c>
      <c r="Y2379" s="111" t="inlineStr">
        <is>
          <t>Impacto Potencial</t>
        </is>
      </c>
      <c r="Z2379" s="111" t="inlineStr">
        <is>
          <t>PC</t>
        </is>
      </c>
      <c r="AA2379" s="111" t="inlineStr">
        <is>
          <t>Nao</t>
        </is>
      </c>
      <c r="AB2379" s="111" t="inlineStr">
        <is>
          <t>NAO_COMPUTADO</t>
        </is>
      </c>
      <c r="AC2379" s="112" t="inlineStr">
        <is>
          <t>Estrutura Fase 1: sem impacto no VTA oficial</t>
        </is>
      </c>
    </row>
    <row r="2380" ht="25.5" customHeight="1" s="289">
      <c r="A2380" s="205" t="n"/>
      <c r="B2380" s="207" t="n"/>
      <c r="C2380" s="104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348" t="n"/>
      <c r="E2380" s="349">
        <f>IF(C2380="","",IFERROR(VLOOKUP(C2380,parametros!$A$11:$E$15,5,0),""))</f>
        <v/>
      </c>
      <c r="F2380" s="335">
        <f>IF(OR(D2380="",E2380=""),"",ROUND(D2380*E2380,2))</f>
        <v/>
      </c>
      <c r="G2380" s="106" t="n"/>
      <c r="H2380" s="350">
        <f>IF(G2380="Sim",IF(OR(F2380="",D2380="",L2380=""),"",IF(L2380="Sim",ROUND(F2380-D2380,2),0)),0)</f>
        <v/>
      </c>
      <c r="I2380" s="350">
        <f>IF(G2380="Sim",0,IF(OR(F2380="",L2380=""),"",F2380))</f>
        <v/>
      </c>
      <c r="J2380" s="350">
        <f>IF(G2380="Sim",0,IF(OR(F2380="",D2380="",L2380=""),"",IF(L2380="Sim",ROUND(F2380-D2380,2),0)))</f>
        <v/>
      </c>
      <c r="K2380" s="97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inlineStr">
        <is>
          <t>Nao</t>
        </is>
      </c>
      <c r="W2380" s="110" t="inlineStr">
        <is>
          <t>PC em analise</t>
        </is>
      </c>
      <c r="X2380" s="110" t="inlineStr">
        <is>
          <t>Pedido de Compra</t>
        </is>
      </c>
      <c r="Y2380" s="111" t="inlineStr">
        <is>
          <t>Impacto Potencial</t>
        </is>
      </c>
      <c r="Z2380" s="111" t="inlineStr">
        <is>
          <t>PC</t>
        </is>
      </c>
      <c r="AA2380" s="111" t="inlineStr">
        <is>
          <t>Nao</t>
        </is>
      </c>
      <c r="AB2380" s="111" t="inlineStr">
        <is>
          <t>NAO_COMPUTADO</t>
        </is>
      </c>
      <c r="AC2380" s="112" t="inlineStr">
        <is>
          <t>Estrutura Fase 1: sem impacto no VTA oficial</t>
        </is>
      </c>
    </row>
    <row r="2381" ht="25.5" customHeight="1" s="289">
      <c r="A2381" s="205" t="n"/>
      <c r="B2381" s="207" t="n"/>
      <c r="C2381" s="104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348" t="n"/>
      <c r="E2381" s="349">
        <f>IF(C2381="","",IFERROR(VLOOKUP(C2381,parametros!$A$11:$E$15,5,0),""))</f>
        <v/>
      </c>
      <c r="F2381" s="335">
        <f>IF(OR(D2381="",E2381=""),"",ROUND(D2381*E2381,2))</f>
        <v/>
      </c>
      <c r="G2381" s="106" t="n"/>
      <c r="H2381" s="350">
        <f>IF(G2381="Sim",IF(OR(F2381="",D2381="",L2381=""),"",IF(L2381="Sim",ROUND(F2381-D2381,2),0)),0)</f>
        <v/>
      </c>
      <c r="I2381" s="350">
        <f>IF(G2381="Sim",0,IF(OR(F2381="",L2381=""),"",F2381))</f>
        <v/>
      </c>
      <c r="J2381" s="350">
        <f>IF(G2381="Sim",0,IF(OR(F2381="",D2381="",L2381=""),"",IF(L2381="Sim",ROUND(F2381-D2381,2),0)))</f>
        <v/>
      </c>
      <c r="K2381" s="97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inlineStr">
        <is>
          <t>Nao</t>
        </is>
      </c>
      <c r="W2381" s="110" t="inlineStr">
        <is>
          <t>PC em analise</t>
        </is>
      </c>
      <c r="X2381" s="110" t="inlineStr">
        <is>
          <t>Pedido de Compra</t>
        </is>
      </c>
      <c r="Y2381" s="111" t="inlineStr">
        <is>
          <t>Impacto Potencial</t>
        </is>
      </c>
      <c r="Z2381" s="111" t="inlineStr">
        <is>
          <t>PC</t>
        </is>
      </c>
      <c r="AA2381" s="111" t="inlineStr">
        <is>
          <t>Nao</t>
        </is>
      </c>
      <c r="AB2381" s="111" t="inlineStr">
        <is>
          <t>NAO_COMPUTADO</t>
        </is>
      </c>
      <c r="AC2381" s="112" t="inlineStr">
        <is>
          <t>Estrutura Fase 1: sem impacto no VTA oficial</t>
        </is>
      </c>
    </row>
    <row r="2382" ht="25.5" customHeight="1" s="289">
      <c r="A2382" s="205" t="n"/>
      <c r="B2382" s="207" t="n"/>
      <c r="C2382" s="104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348" t="n"/>
      <c r="E2382" s="349">
        <f>IF(C2382="","",IFERROR(VLOOKUP(C2382,parametros!$A$11:$E$15,5,0),""))</f>
        <v/>
      </c>
      <c r="F2382" s="335">
        <f>IF(OR(D2382="",E2382=""),"",ROUND(D2382*E2382,2))</f>
        <v/>
      </c>
      <c r="G2382" s="106" t="n"/>
      <c r="H2382" s="350">
        <f>IF(G2382="Sim",IF(OR(F2382="",D2382="",L2382=""),"",IF(L2382="Sim",ROUND(F2382-D2382,2),0)),0)</f>
        <v/>
      </c>
      <c r="I2382" s="350">
        <f>IF(G2382="Sim",0,IF(OR(F2382="",L2382=""),"",F2382))</f>
        <v/>
      </c>
      <c r="J2382" s="350">
        <f>IF(G2382="Sim",0,IF(OR(F2382="",D2382="",L2382=""),"",IF(L2382="Sim",ROUND(F2382-D2382,2),0)))</f>
        <v/>
      </c>
      <c r="K2382" s="97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inlineStr">
        <is>
          <t>Nao</t>
        </is>
      </c>
      <c r="W2382" s="110" t="inlineStr">
        <is>
          <t>PC em analise</t>
        </is>
      </c>
      <c r="X2382" s="110" t="inlineStr">
        <is>
          <t>Pedido de Compra</t>
        </is>
      </c>
      <c r="Y2382" s="111" t="inlineStr">
        <is>
          <t>Impacto Potencial</t>
        </is>
      </c>
      <c r="Z2382" s="111" t="inlineStr">
        <is>
          <t>PC</t>
        </is>
      </c>
      <c r="AA2382" s="111" t="inlineStr">
        <is>
          <t>Nao</t>
        </is>
      </c>
      <c r="AB2382" s="111" t="inlineStr">
        <is>
          <t>NAO_COMPUTADO</t>
        </is>
      </c>
      <c r="AC2382" s="112" t="inlineStr">
        <is>
          <t>Estrutura Fase 1: sem impacto no VTA oficial</t>
        </is>
      </c>
    </row>
    <row r="2383" ht="25.5" customHeight="1" s="289">
      <c r="A2383" s="205" t="n"/>
      <c r="B2383" s="207" t="n"/>
      <c r="C2383" s="104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348" t="n"/>
      <c r="E2383" s="349">
        <f>IF(C2383="","",IFERROR(VLOOKUP(C2383,parametros!$A$11:$E$15,5,0),""))</f>
        <v/>
      </c>
      <c r="F2383" s="335">
        <f>IF(OR(D2383="",E2383=""),"",ROUND(D2383*E2383,2))</f>
        <v/>
      </c>
      <c r="G2383" s="106" t="n"/>
      <c r="H2383" s="350">
        <f>IF(G2383="Sim",IF(OR(F2383="",D2383="",L2383=""),"",IF(L2383="Sim",ROUND(F2383-D2383,2),0)),0)</f>
        <v/>
      </c>
      <c r="I2383" s="350">
        <f>IF(G2383="Sim",0,IF(OR(F2383="",L2383=""),"",F2383))</f>
        <v/>
      </c>
      <c r="J2383" s="350">
        <f>IF(G2383="Sim",0,IF(OR(F2383="",D2383="",L2383=""),"",IF(L2383="Sim",ROUND(F2383-D2383,2),0)))</f>
        <v/>
      </c>
      <c r="K2383" s="97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inlineStr">
        <is>
          <t>Nao</t>
        </is>
      </c>
      <c r="W2383" s="110" t="inlineStr">
        <is>
          <t>PC em analise</t>
        </is>
      </c>
      <c r="X2383" s="110" t="inlineStr">
        <is>
          <t>Pedido de Compra</t>
        </is>
      </c>
      <c r="Y2383" s="111" t="inlineStr">
        <is>
          <t>Impacto Potencial</t>
        </is>
      </c>
      <c r="Z2383" s="111" t="inlineStr">
        <is>
          <t>PC</t>
        </is>
      </c>
      <c r="AA2383" s="111" t="inlineStr">
        <is>
          <t>Nao</t>
        </is>
      </c>
      <c r="AB2383" s="111" t="inlineStr">
        <is>
          <t>NAO_COMPUTADO</t>
        </is>
      </c>
      <c r="AC2383" s="112" t="inlineStr">
        <is>
          <t>Estrutura Fase 1: sem impacto no VTA oficial</t>
        </is>
      </c>
    </row>
    <row r="2384" ht="25.5" customHeight="1" s="289">
      <c r="A2384" s="205" t="n"/>
      <c r="B2384" s="207" t="n"/>
      <c r="C2384" s="104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348" t="n"/>
      <c r="E2384" s="349">
        <f>IF(C2384="","",IFERROR(VLOOKUP(C2384,parametros!$A$11:$E$15,5,0),""))</f>
        <v/>
      </c>
      <c r="F2384" s="335">
        <f>IF(OR(D2384="",E2384=""),"",ROUND(D2384*E2384,2))</f>
        <v/>
      </c>
      <c r="G2384" s="106" t="n"/>
      <c r="H2384" s="350">
        <f>IF(G2384="Sim",IF(OR(F2384="",D2384="",L2384=""),"",IF(L2384="Sim",ROUND(F2384-D2384,2),0)),0)</f>
        <v/>
      </c>
      <c r="I2384" s="350">
        <f>IF(G2384="Sim",0,IF(OR(F2384="",L2384=""),"",F2384))</f>
        <v/>
      </c>
      <c r="J2384" s="350">
        <f>IF(G2384="Sim",0,IF(OR(F2384="",D2384="",L2384=""),"",IF(L2384="Sim",ROUND(F2384-D2384,2),0)))</f>
        <v/>
      </c>
      <c r="K2384" s="97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inlineStr">
        <is>
          <t>Nao</t>
        </is>
      </c>
      <c r="W2384" s="110" t="inlineStr">
        <is>
          <t>PC em analise</t>
        </is>
      </c>
      <c r="X2384" s="110" t="inlineStr">
        <is>
          <t>Pedido de Compra</t>
        </is>
      </c>
      <c r="Y2384" s="111" t="inlineStr">
        <is>
          <t>Impacto Potencial</t>
        </is>
      </c>
      <c r="Z2384" s="111" t="inlineStr">
        <is>
          <t>PC</t>
        </is>
      </c>
      <c r="AA2384" s="111" t="inlineStr">
        <is>
          <t>Nao</t>
        </is>
      </c>
      <c r="AB2384" s="111" t="inlineStr">
        <is>
          <t>NAO_COMPUTADO</t>
        </is>
      </c>
      <c r="AC2384" s="112" t="inlineStr">
        <is>
          <t>Estrutura Fase 1: sem impacto no VTA oficial</t>
        </is>
      </c>
    </row>
    <row r="2385" ht="25.5" customHeight="1" s="289">
      <c r="A2385" s="205" t="n"/>
      <c r="B2385" s="207" t="n"/>
      <c r="C2385" s="104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348" t="n"/>
      <c r="E2385" s="349">
        <f>IF(C2385="","",IFERROR(VLOOKUP(C2385,parametros!$A$11:$E$15,5,0),""))</f>
        <v/>
      </c>
      <c r="F2385" s="335">
        <f>IF(OR(D2385="",E2385=""),"",ROUND(D2385*E2385,2))</f>
        <v/>
      </c>
      <c r="G2385" s="106" t="n"/>
      <c r="H2385" s="350">
        <f>IF(G2385="Sim",IF(OR(F2385="",D2385="",L2385=""),"",IF(L2385="Sim",ROUND(F2385-D2385,2),0)),0)</f>
        <v/>
      </c>
      <c r="I2385" s="350">
        <f>IF(G2385="Sim",0,IF(OR(F2385="",L2385=""),"",F2385))</f>
        <v/>
      </c>
      <c r="J2385" s="350">
        <f>IF(G2385="Sim",0,IF(OR(F2385="",D2385="",L2385=""),"",IF(L2385="Sim",ROUND(F2385-D2385,2),0)))</f>
        <v/>
      </c>
      <c r="K2385" s="97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inlineStr">
        <is>
          <t>Nao</t>
        </is>
      </c>
      <c r="W2385" s="110" t="inlineStr">
        <is>
          <t>PC em analise</t>
        </is>
      </c>
      <c r="X2385" s="110" t="inlineStr">
        <is>
          <t>Pedido de Compra</t>
        </is>
      </c>
      <c r="Y2385" s="111" t="inlineStr">
        <is>
          <t>Impacto Potencial</t>
        </is>
      </c>
      <c r="Z2385" s="111" t="inlineStr">
        <is>
          <t>PC</t>
        </is>
      </c>
      <c r="AA2385" s="111" t="inlineStr">
        <is>
          <t>Nao</t>
        </is>
      </c>
      <c r="AB2385" s="111" t="inlineStr">
        <is>
          <t>NAO_COMPUTADO</t>
        </is>
      </c>
      <c r="AC2385" s="112" t="inlineStr">
        <is>
          <t>Estrutura Fase 1: sem impacto no VTA oficial</t>
        </is>
      </c>
    </row>
    <row r="2386" ht="25.5" customHeight="1" s="289">
      <c r="A2386" s="205" t="n"/>
      <c r="B2386" s="207" t="n"/>
      <c r="C2386" s="104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348" t="n"/>
      <c r="E2386" s="349">
        <f>IF(C2386="","",IFERROR(VLOOKUP(C2386,parametros!$A$11:$E$15,5,0),""))</f>
        <v/>
      </c>
      <c r="F2386" s="335">
        <f>IF(OR(D2386="",E2386=""),"",ROUND(D2386*E2386,2))</f>
        <v/>
      </c>
      <c r="G2386" s="106" t="n"/>
      <c r="H2386" s="350">
        <f>IF(G2386="Sim",IF(OR(F2386="",D2386="",L2386=""),"",IF(L2386="Sim",ROUND(F2386-D2386,2),0)),0)</f>
        <v/>
      </c>
      <c r="I2386" s="350">
        <f>IF(G2386="Sim",0,IF(OR(F2386="",L2386=""),"",F2386))</f>
        <v/>
      </c>
      <c r="J2386" s="350">
        <f>IF(G2386="Sim",0,IF(OR(F2386="",D2386="",L2386=""),"",IF(L2386="Sim",ROUND(F2386-D2386,2),0)))</f>
        <v/>
      </c>
      <c r="K2386" s="97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inlineStr">
        <is>
          <t>Nao</t>
        </is>
      </c>
      <c r="W2386" s="110" t="inlineStr">
        <is>
          <t>PC em analise</t>
        </is>
      </c>
      <c r="X2386" s="110" t="inlineStr">
        <is>
          <t>Pedido de Compra</t>
        </is>
      </c>
      <c r="Y2386" s="111" t="inlineStr">
        <is>
          <t>Impacto Potencial</t>
        </is>
      </c>
      <c r="Z2386" s="111" t="inlineStr">
        <is>
          <t>PC</t>
        </is>
      </c>
      <c r="AA2386" s="111" t="inlineStr">
        <is>
          <t>Nao</t>
        </is>
      </c>
      <c r="AB2386" s="111" t="inlineStr">
        <is>
          <t>NAO_COMPUTADO</t>
        </is>
      </c>
      <c r="AC2386" s="112" t="inlineStr">
        <is>
          <t>Estrutura Fase 1: sem impacto no VTA oficial</t>
        </is>
      </c>
    </row>
    <row r="2387" ht="25.5" customHeight="1" s="289">
      <c r="A2387" s="205" t="n"/>
      <c r="B2387" s="207" t="n"/>
      <c r="C2387" s="104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348" t="n"/>
      <c r="E2387" s="349">
        <f>IF(C2387="","",IFERROR(VLOOKUP(C2387,parametros!$A$11:$E$15,5,0),""))</f>
        <v/>
      </c>
      <c r="F2387" s="335">
        <f>IF(OR(D2387="",E2387=""),"",ROUND(D2387*E2387,2))</f>
        <v/>
      </c>
      <c r="G2387" s="106" t="n"/>
      <c r="H2387" s="350">
        <f>IF(G2387="Sim",IF(OR(F2387="",D2387="",L2387=""),"",IF(L2387="Sim",ROUND(F2387-D2387,2),0)),0)</f>
        <v/>
      </c>
      <c r="I2387" s="350">
        <f>IF(G2387="Sim",0,IF(OR(F2387="",L2387=""),"",F2387))</f>
        <v/>
      </c>
      <c r="J2387" s="350">
        <f>IF(G2387="Sim",0,IF(OR(F2387="",D2387="",L2387=""),"",IF(L2387="Sim",ROUND(F2387-D2387,2),0)))</f>
        <v/>
      </c>
      <c r="K2387" s="97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inlineStr">
        <is>
          <t>Nao</t>
        </is>
      </c>
      <c r="W2387" s="110" t="inlineStr">
        <is>
          <t>PC em analise</t>
        </is>
      </c>
      <c r="X2387" s="110" t="inlineStr">
        <is>
          <t>Pedido de Compra</t>
        </is>
      </c>
      <c r="Y2387" s="111" t="inlineStr">
        <is>
          <t>Impacto Potencial</t>
        </is>
      </c>
      <c r="Z2387" s="111" t="inlineStr">
        <is>
          <t>PC</t>
        </is>
      </c>
      <c r="AA2387" s="111" t="inlineStr">
        <is>
          <t>Nao</t>
        </is>
      </c>
      <c r="AB2387" s="111" t="inlineStr">
        <is>
          <t>NAO_COMPUTADO</t>
        </is>
      </c>
      <c r="AC2387" s="112" t="inlineStr">
        <is>
          <t>Estrutura Fase 1: sem impacto no VTA oficial</t>
        </is>
      </c>
    </row>
    <row r="2388" ht="25.5" customHeight="1" s="289">
      <c r="A2388" s="205" t="n"/>
      <c r="B2388" s="207" t="n"/>
      <c r="C2388" s="104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348" t="n"/>
      <c r="E2388" s="349">
        <f>IF(C2388="","",IFERROR(VLOOKUP(C2388,parametros!$A$11:$E$15,5,0),""))</f>
        <v/>
      </c>
      <c r="F2388" s="335">
        <f>IF(OR(D2388="",E2388=""),"",ROUND(D2388*E2388,2))</f>
        <v/>
      </c>
      <c r="G2388" s="106" t="n"/>
      <c r="H2388" s="350">
        <f>IF(G2388="Sim",IF(OR(F2388="",D2388="",L2388=""),"",IF(L2388="Sim",ROUND(F2388-D2388,2),0)),0)</f>
        <v/>
      </c>
      <c r="I2388" s="350">
        <f>IF(G2388="Sim",0,IF(OR(F2388="",L2388=""),"",F2388))</f>
        <v/>
      </c>
      <c r="J2388" s="350">
        <f>IF(G2388="Sim",0,IF(OR(F2388="",D2388="",L2388=""),"",IF(L2388="Sim",ROUND(F2388-D2388,2),0)))</f>
        <v/>
      </c>
      <c r="K2388" s="97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inlineStr">
        <is>
          <t>Nao</t>
        </is>
      </c>
      <c r="W2388" s="110" t="inlineStr">
        <is>
          <t>PC em analise</t>
        </is>
      </c>
      <c r="X2388" s="110" t="inlineStr">
        <is>
          <t>Pedido de Compra</t>
        </is>
      </c>
      <c r="Y2388" s="111" t="inlineStr">
        <is>
          <t>Impacto Potencial</t>
        </is>
      </c>
      <c r="Z2388" s="111" t="inlineStr">
        <is>
          <t>PC</t>
        </is>
      </c>
      <c r="AA2388" s="111" t="inlineStr">
        <is>
          <t>Nao</t>
        </is>
      </c>
      <c r="AB2388" s="111" t="inlineStr">
        <is>
          <t>NAO_COMPUTADO</t>
        </is>
      </c>
      <c r="AC2388" s="112" t="inlineStr">
        <is>
          <t>Estrutura Fase 1: sem impacto no VTA oficial</t>
        </is>
      </c>
    </row>
    <row r="2389" ht="25.5" customHeight="1" s="289">
      <c r="A2389" s="205" t="n"/>
      <c r="B2389" s="207" t="n"/>
      <c r="C2389" s="104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348" t="n"/>
      <c r="E2389" s="349">
        <f>IF(C2389="","",IFERROR(VLOOKUP(C2389,parametros!$A$11:$E$15,5,0),""))</f>
        <v/>
      </c>
      <c r="F2389" s="335">
        <f>IF(OR(D2389="",E2389=""),"",ROUND(D2389*E2389,2))</f>
        <v/>
      </c>
      <c r="G2389" s="106" t="n"/>
      <c r="H2389" s="350">
        <f>IF(G2389="Sim",IF(OR(F2389="",D2389="",L2389=""),"",IF(L2389="Sim",ROUND(F2389-D2389,2),0)),0)</f>
        <v/>
      </c>
      <c r="I2389" s="350">
        <f>IF(G2389="Sim",0,IF(OR(F2389="",L2389=""),"",F2389))</f>
        <v/>
      </c>
      <c r="J2389" s="350">
        <f>IF(G2389="Sim",0,IF(OR(F2389="",D2389="",L2389=""),"",IF(L2389="Sim",ROUND(F2389-D2389,2),0)))</f>
        <v/>
      </c>
      <c r="K2389" s="97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inlineStr">
        <is>
          <t>Nao</t>
        </is>
      </c>
      <c r="W2389" s="110" t="inlineStr">
        <is>
          <t>PC em analise</t>
        </is>
      </c>
      <c r="X2389" s="110" t="inlineStr">
        <is>
          <t>Pedido de Compra</t>
        </is>
      </c>
      <c r="Y2389" s="111" t="inlineStr">
        <is>
          <t>Impacto Potencial</t>
        </is>
      </c>
      <c r="Z2389" s="111" t="inlineStr">
        <is>
          <t>PC</t>
        </is>
      </c>
      <c r="AA2389" s="111" t="inlineStr">
        <is>
          <t>Nao</t>
        </is>
      </c>
      <c r="AB2389" s="111" t="inlineStr">
        <is>
          <t>NAO_COMPUTADO</t>
        </is>
      </c>
      <c r="AC2389" s="112" t="inlineStr">
        <is>
          <t>Estrutura Fase 1: sem impacto no VTA oficial</t>
        </is>
      </c>
    </row>
    <row r="2390" ht="25.5" customHeight="1" s="289">
      <c r="A2390" s="205" t="n"/>
      <c r="B2390" s="207" t="n"/>
      <c r="C2390" s="104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348" t="n"/>
      <c r="E2390" s="349">
        <f>IF(C2390="","",IFERROR(VLOOKUP(C2390,parametros!$A$11:$E$15,5,0),""))</f>
        <v/>
      </c>
      <c r="F2390" s="335">
        <f>IF(OR(D2390="",E2390=""),"",ROUND(D2390*E2390,2))</f>
        <v/>
      </c>
      <c r="G2390" s="106" t="n"/>
      <c r="H2390" s="350">
        <f>IF(G2390="Sim",IF(OR(F2390="",D2390="",L2390=""),"",IF(L2390="Sim",ROUND(F2390-D2390,2),0)),0)</f>
        <v/>
      </c>
      <c r="I2390" s="350">
        <f>IF(G2390="Sim",0,IF(OR(F2390="",L2390=""),"",F2390))</f>
        <v/>
      </c>
      <c r="J2390" s="350">
        <f>IF(G2390="Sim",0,IF(OR(F2390="",D2390="",L2390=""),"",IF(L2390="Sim",ROUND(F2390-D2390,2),0)))</f>
        <v/>
      </c>
      <c r="K2390" s="97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inlineStr">
        <is>
          <t>Nao</t>
        </is>
      </c>
      <c r="W2390" s="110" t="inlineStr">
        <is>
          <t>PC em analise</t>
        </is>
      </c>
      <c r="X2390" s="110" t="inlineStr">
        <is>
          <t>Pedido de Compra</t>
        </is>
      </c>
      <c r="Y2390" s="111" t="inlineStr">
        <is>
          <t>Impacto Potencial</t>
        </is>
      </c>
      <c r="Z2390" s="111" t="inlineStr">
        <is>
          <t>PC</t>
        </is>
      </c>
      <c r="AA2390" s="111" t="inlineStr">
        <is>
          <t>Nao</t>
        </is>
      </c>
      <c r="AB2390" s="111" t="inlineStr">
        <is>
          <t>NAO_COMPUTADO</t>
        </is>
      </c>
      <c r="AC2390" s="112" t="inlineStr">
        <is>
          <t>Estrutura Fase 1: sem impacto no VTA oficial</t>
        </is>
      </c>
    </row>
    <row r="2391" ht="25.5" customHeight="1" s="289">
      <c r="A2391" s="205" t="n"/>
      <c r="B2391" s="207" t="n"/>
      <c r="C2391" s="104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348" t="n"/>
      <c r="E2391" s="349">
        <f>IF(C2391="","",IFERROR(VLOOKUP(C2391,parametros!$A$11:$E$15,5,0),""))</f>
        <v/>
      </c>
      <c r="F2391" s="335">
        <f>IF(OR(D2391="",E2391=""),"",ROUND(D2391*E2391,2))</f>
        <v/>
      </c>
      <c r="G2391" s="106" t="n"/>
      <c r="H2391" s="350">
        <f>IF(G2391="Sim",IF(OR(F2391="",D2391="",L2391=""),"",IF(L2391="Sim",ROUND(F2391-D2391,2),0)),0)</f>
        <v/>
      </c>
      <c r="I2391" s="350">
        <f>IF(G2391="Sim",0,IF(OR(F2391="",L2391=""),"",F2391))</f>
        <v/>
      </c>
      <c r="J2391" s="350">
        <f>IF(G2391="Sim",0,IF(OR(F2391="",D2391="",L2391=""),"",IF(L2391="Sim",ROUND(F2391-D2391,2),0)))</f>
        <v/>
      </c>
      <c r="K2391" s="97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inlineStr">
        <is>
          <t>Nao</t>
        </is>
      </c>
      <c r="W2391" s="110" t="inlineStr">
        <is>
          <t>PC em analise</t>
        </is>
      </c>
      <c r="X2391" s="110" t="inlineStr">
        <is>
          <t>Pedido de Compra</t>
        </is>
      </c>
      <c r="Y2391" s="111" t="inlineStr">
        <is>
          <t>Impacto Potencial</t>
        </is>
      </c>
      <c r="Z2391" s="111" t="inlineStr">
        <is>
          <t>PC</t>
        </is>
      </c>
      <c r="AA2391" s="111" t="inlineStr">
        <is>
          <t>Nao</t>
        </is>
      </c>
      <c r="AB2391" s="111" t="inlineStr">
        <is>
          <t>NAO_COMPUTADO</t>
        </is>
      </c>
      <c r="AC2391" s="112" t="inlineStr">
        <is>
          <t>Estrutura Fase 1: sem impacto no VTA oficial</t>
        </is>
      </c>
    </row>
    <row r="2392" ht="25.5" customHeight="1" s="289">
      <c r="A2392" s="205" t="n"/>
      <c r="B2392" s="207" t="n"/>
      <c r="C2392" s="104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348" t="n"/>
      <c r="E2392" s="349">
        <f>IF(C2392="","",IFERROR(VLOOKUP(C2392,parametros!$A$11:$E$15,5,0),""))</f>
        <v/>
      </c>
      <c r="F2392" s="335">
        <f>IF(OR(D2392="",E2392=""),"",ROUND(D2392*E2392,2))</f>
        <v/>
      </c>
      <c r="G2392" s="106" t="n"/>
      <c r="H2392" s="350">
        <f>IF(G2392="Sim",IF(OR(F2392="",D2392="",L2392=""),"",IF(L2392="Sim",ROUND(F2392-D2392,2),0)),0)</f>
        <v/>
      </c>
      <c r="I2392" s="350">
        <f>IF(G2392="Sim",0,IF(OR(F2392="",L2392=""),"",F2392))</f>
        <v/>
      </c>
      <c r="J2392" s="350">
        <f>IF(G2392="Sim",0,IF(OR(F2392="",D2392="",L2392=""),"",IF(L2392="Sim",ROUND(F2392-D2392,2),0)))</f>
        <v/>
      </c>
      <c r="K2392" s="97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inlineStr">
        <is>
          <t>Nao</t>
        </is>
      </c>
      <c r="W2392" s="110" t="inlineStr">
        <is>
          <t>PC em analise</t>
        </is>
      </c>
      <c r="X2392" s="110" t="inlineStr">
        <is>
          <t>Pedido de Compra</t>
        </is>
      </c>
      <c r="Y2392" s="111" t="inlineStr">
        <is>
          <t>Impacto Potencial</t>
        </is>
      </c>
      <c r="Z2392" s="111" t="inlineStr">
        <is>
          <t>PC</t>
        </is>
      </c>
      <c r="AA2392" s="111" t="inlineStr">
        <is>
          <t>Nao</t>
        </is>
      </c>
      <c r="AB2392" s="111" t="inlineStr">
        <is>
          <t>NAO_COMPUTADO</t>
        </is>
      </c>
      <c r="AC2392" s="112" t="inlineStr">
        <is>
          <t>Estrutura Fase 1: sem impacto no VTA oficial</t>
        </is>
      </c>
    </row>
    <row r="2393" ht="25.5" customHeight="1" s="289">
      <c r="A2393" s="205" t="n"/>
      <c r="B2393" s="207" t="n"/>
      <c r="C2393" s="104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348" t="n"/>
      <c r="E2393" s="349">
        <f>IF(C2393="","",IFERROR(VLOOKUP(C2393,parametros!$A$11:$E$15,5,0),""))</f>
        <v/>
      </c>
      <c r="F2393" s="335">
        <f>IF(OR(D2393="",E2393=""),"",ROUND(D2393*E2393,2))</f>
        <v/>
      </c>
      <c r="G2393" s="106" t="n"/>
      <c r="H2393" s="350">
        <f>IF(G2393="Sim",IF(OR(F2393="",D2393="",L2393=""),"",IF(L2393="Sim",ROUND(F2393-D2393,2),0)),0)</f>
        <v/>
      </c>
      <c r="I2393" s="350">
        <f>IF(G2393="Sim",0,IF(OR(F2393="",L2393=""),"",F2393))</f>
        <v/>
      </c>
      <c r="J2393" s="350">
        <f>IF(G2393="Sim",0,IF(OR(F2393="",D2393="",L2393=""),"",IF(L2393="Sim",ROUND(F2393-D2393,2),0)))</f>
        <v/>
      </c>
      <c r="K2393" s="97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inlineStr">
        <is>
          <t>Nao</t>
        </is>
      </c>
      <c r="W2393" s="110" t="inlineStr">
        <is>
          <t>PC em analise</t>
        </is>
      </c>
      <c r="X2393" s="110" t="inlineStr">
        <is>
          <t>Pedido de Compra</t>
        </is>
      </c>
      <c r="Y2393" s="111" t="inlineStr">
        <is>
          <t>Impacto Potencial</t>
        </is>
      </c>
      <c r="Z2393" s="111" t="inlineStr">
        <is>
          <t>PC</t>
        </is>
      </c>
      <c r="AA2393" s="111" t="inlineStr">
        <is>
          <t>Nao</t>
        </is>
      </c>
      <c r="AB2393" s="111" t="inlineStr">
        <is>
          <t>NAO_COMPUTADO</t>
        </is>
      </c>
      <c r="AC2393" s="112" t="inlineStr">
        <is>
          <t>Estrutura Fase 1: sem impacto no VTA oficial</t>
        </is>
      </c>
    </row>
    <row r="2394" ht="25.5" customHeight="1" s="289">
      <c r="A2394" s="205" t="n"/>
      <c r="B2394" s="207" t="n"/>
      <c r="C2394" s="104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348" t="n"/>
      <c r="E2394" s="349">
        <f>IF(C2394="","",IFERROR(VLOOKUP(C2394,parametros!$A$11:$E$15,5,0),""))</f>
        <v/>
      </c>
      <c r="F2394" s="335">
        <f>IF(OR(D2394="",E2394=""),"",ROUND(D2394*E2394,2))</f>
        <v/>
      </c>
      <c r="G2394" s="106" t="n"/>
      <c r="H2394" s="350">
        <f>IF(G2394="Sim",IF(OR(F2394="",D2394="",L2394=""),"",IF(L2394="Sim",ROUND(F2394-D2394,2),0)),0)</f>
        <v/>
      </c>
      <c r="I2394" s="350">
        <f>IF(G2394="Sim",0,IF(OR(F2394="",L2394=""),"",F2394))</f>
        <v/>
      </c>
      <c r="J2394" s="350">
        <f>IF(G2394="Sim",0,IF(OR(F2394="",D2394="",L2394=""),"",IF(L2394="Sim",ROUND(F2394-D2394,2),0)))</f>
        <v/>
      </c>
      <c r="K2394" s="97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inlineStr">
        <is>
          <t>Nao</t>
        </is>
      </c>
      <c r="W2394" s="110" t="inlineStr">
        <is>
          <t>PC em analise</t>
        </is>
      </c>
      <c r="X2394" s="110" t="inlineStr">
        <is>
          <t>Pedido de Compra</t>
        </is>
      </c>
      <c r="Y2394" s="111" t="inlineStr">
        <is>
          <t>Impacto Potencial</t>
        </is>
      </c>
      <c r="Z2394" s="111" t="inlineStr">
        <is>
          <t>PC</t>
        </is>
      </c>
      <c r="AA2394" s="111" t="inlineStr">
        <is>
          <t>Nao</t>
        </is>
      </c>
      <c r="AB2394" s="111" t="inlineStr">
        <is>
          <t>NAO_COMPUTADO</t>
        </is>
      </c>
      <c r="AC2394" s="112" t="inlineStr">
        <is>
          <t>Estrutura Fase 1: sem impacto no VTA oficial</t>
        </is>
      </c>
    </row>
    <row r="2395" ht="25.5" customHeight="1" s="289">
      <c r="A2395" s="205" t="n"/>
      <c r="B2395" s="207" t="n"/>
      <c r="C2395" s="104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348" t="n"/>
      <c r="E2395" s="349">
        <f>IF(C2395="","",IFERROR(VLOOKUP(C2395,parametros!$A$11:$E$15,5,0),""))</f>
        <v/>
      </c>
      <c r="F2395" s="335">
        <f>IF(OR(D2395="",E2395=""),"",ROUND(D2395*E2395,2))</f>
        <v/>
      </c>
      <c r="G2395" s="106" t="n"/>
      <c r="H2395" s="350">
        <f>IF(G2395="Sim",IF(OR(F2395="",D2395="",L2395=""),"",IF(L2395="Sim",ROUND(F2395-D2395,2),0)),0)</f>
        <v/>
      </c>
      <c r="I2395" s="350">
        <f>IF(G2395="Sim",0,IF(OR(F2395="",L2395=""),"",F2395))</f>
        <v/>
      </c>
      <c r="J2395" s="350">
        <f>IF(G2395="Sim",0,IF(OR(F2395="",D2395="",L2395=""),"",IF(L2395="Sim",ROUND(F2395-D2395,2),0)))</f>
        <v/>
      </c>
      <c r="K2395" s="97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inlineStr">
        <is>
          <t>Nao</t>
        </is>
      </c>
      <c r="W2395" s="110" t="inlineStr">
        <is>
          <t>PC em analise</t>
        </is>
      </c>
      <c r="X2395" s="110" t="inlineStr">
        <is>
          <t>Pedido de Compra</t>
        </is>
      </c>
      <c r="Y2395" s="111" t="inlineStr">
        <is>
          <t>Impacto Potencial</t>
        </is>
      </c>
      <c r="Z2395" s="111" t="inlineStr">
        <is>
          <t>PC</t>
        </is>
      </c>
      <c r="AA2395" s="111" t="inlineStr">
        <is>
          <t>Nao</t>
        </is>
      </c>
      <c r="AB2395" s="111" t="inlineStr">
        <is>
          <t>NAO_COMPUTADO</t>
        </is>
      </c>
      <c r="AC2395" s="112" t="inlineStr">
        <is>
          <t>Estrutura Fase 1: sem impacto no VTA oficial</t>
        </is>
      </c>
    </row>
    <row r="2396" ht="25.5" customHeight="1" s="289">
      <c r="A2396" s="205" t="n"/>
      <c r="B2396" s="207" t="n"/>
      <c r="C2396" s="104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348" t="n"/>
      <c r="E2396" s="349">
        <f>IF(C2396="","",IFERROR(VLOOKUP(C2396,parametros!$A$11:$E$15,5,0),""))</f>
        <v/>
      </c>
      <c r="F2396" s="335">
        <f>IF(OR(D2396="",E2396=""),"",ROUND(D2396*E2396,2))</f>
        <v/>
      </c>
      <c r="G2396" s="106" t="n"/>
      <c r="H2396" s="350">
        <f>IF(G2396="Sim",IF(OR(F2396="",D2396="",L2396=""),"",IF(L2396="Sim",ROUND(F2396-D2396,2),0)),0)</f>
        <v/>
      </c>
      <c r="I2396" s="350">
        <f>IF(G2396="Sim",0,IF(OR(F2396="",L2396=""),"",F2396))</f>
        <v/>
      </c>
      <c r="J2396" s="350">
        <f>IF(G2396="Sim",0,IF(OR(F2396="",D2396="",L2396=""),"",IF(L2396="Sim",ROUND(F2396-D2396,2),0)))</f>
        <v/>
      </c>
      <c r="K2396" s="97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inlineStr">
        <is>
          <t>Nao</t>
        </is>
      </c>
      <c r="W2396" s="110" t="inlineStr">
        <is>
          <t>PC em analise</t>
        </is>
      </c>
      <c r="X2396" s="110" t="inlineStr">
        <is>
          <t>Pedido de Compra</t>
        </is>
      </c>
      <c r="Y2396" s="111" t="inlineStr">
        <is>
          <t>Impacto Potencial</t>
        </is>
      </c>
      <c r="Z2396" s="111" t="inlineStr">
        <is>
          <t>PC</t>
        </is>
      </c>
      <c r="AA2396" s="111" t="inlineStr">
        <is>
          <t>Nao</t>
        </is>
      </c>
      <c r="AB2396" s="111" t="inlineStr">
        <is>
          <t>NAO_COMPUTADO</t>
        </is>
      </c>
      <c r="AC2396" s="112" t="inlineStr">
        <is>
          <t>Estrutura Fase 1: sem impacto no VTA oficial</t>
        </is>
      </c>
    </row>
    <row r="2397" ht="25.5" customHeight="1" s="289">
      <c r="A2397" s="205" t="n"/>
      <c r="B2397" s="207" t="n"/>
      <c r="C2397" s="104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348" t="n"/>
      <c r="E2397" s="349">
        <f>IF(C2397="","",IFERROR(VLOOKUP(C2397,parametros!$A$11:$E$15,5,0),""))</f>
        <v/>
      </c>
      <c r="F2397" s="335">
        <f>IF(OR(D2397="",E2397=""),"",ROUND(D2397*E2397,2))</f>
        <v/>
      </c>
      <c r="G2397" s="106" t="n"/>
      <c r="H2397" s="350">
        <f>IF(G2397="Sim",IF(OR(F2397="",D2397="",L2397=""),"",IF(L2397="Sim",ROUND(F2397-D2397,2),0)),0)</f>
        <v/>
      </c>
      <c r="I2397" s="350">
        <f>IF(G2397="Sim",0,IF(OR(F2397="",L2397=""),"",F2397))</f>
        <v/>
      </c>
      <c r="J2397" s="350">
        <f>IF(G2397="Sim",0,IF(OR(F2397="",D2397="",L2397=""),"",IF(L2397="Sim",ROUND(F2397-D2397,2),0)))</f>
        <v/>
      </c>
      <c r="K2397" s="97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inlineStr">
        <is>
          <t>Nao</t>
        </is>
      </c>
      <c r="W2397" s="110" t="inlineStr">
        <is>
          <t>PC em analise</t>
        </is>
      </c>
      <c r="X2397" s="110" t="inlineStr">
        <is>
          <t>Pedido de Compra</t>
        </is>
      </c>
      <c r="Y2397" s="111" t="inlineStr">
        <is>
          <t>Impacto Potencial</t>
        </is>
      </c>
      <c r="Z2397" s="111" t="inlineStr">
        <is>
          <t>PC</t>
        </is>
      </c>
      <c r="AA2397" s="111" t="inlineStr">
        <is>
          <t>Nao</t>
        </is>
      </c>
      <c r="AB2397" s="111" t="inlineStr">
        <is>
          <t>NAO_COMPUTADO</t>
        </is>
      </c>
      <c r="AC2397" s="112" t="inlineStr">
        <is>
          <t>Estrutura Fase 1: sem impacto no VTA oficial</t>
        </is>
      </c>
    </row>
    <row r="2398" ht="25.5" customHeight="1" s="289">
      <c r="A2398" s="205" t="n"/>
      <c r="B2398" s="207" t="n"/>
      <c r="C2398" s="104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348" t="n"/>
      <c r="E2398" s="349">
        <f>IF(C2398="","",IFERROR(VLOOKUP(C2398,parametros!$A$11:$E$15,5,0),""))</f>
        <v/>
      </c>
      <c r="F2398" s="335">
        <f>IF(OR(D2398="",E2398=""),"",ROUND(D2398*E2398,2))</f>
        <v/>
      </c>
      <c r="G2398" s="106" t="n"/>
      <c r="H2398" s="350">
        <f>IF(G2398="Sim",IF(OR(F2398="",D2398="",L2398=""),"",IF(L2398="Sim",ROUND(F2398-D2398,2),0)),0)</f>
        <v/>
      </c>
      <c r="I2398" s="350">
        <f>IF(G2398="Sim",0,IF(OR(F2398="",L2398=""),"",F2398))</f>
        <v/>
      </c>
      <c r="J2398" s="350">
        <f>IF(G2398="Sim",0,IF(OR(F2398="",D2398="",L2398=""),"",IF(L2398="Sim",ROUND(F2398-D2398,2),0)))</f>
        <v/>
      </c>
      <c r="K2398" s="97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inlineStr">
        <is>
          <t>Nao</t>
        </is>
      </c>
      <c r="W2398" s="110" t="inlineStr">
        <is>
          <t>PC em analise</t>
        </is>
      </c>
      <c r="X2398" s="110" t="inlineStr">
        <is>
          <t>Pedido de Compra</t>
        </is>
      </c>
      <c r="Y2398" s="111" t="inlineStr">
        <is>
          <t>Impacto Potencial</t>
        </is>
      </c>
      <c r="Z2398" s="111" t="inlineStr">
        <is>
          <t>PC</t>
        </is>
      </c>
      <c r="AA2398" s="111" t="inlineStr">
        <is>
          <t>Nao</t>
        </is>
      </c>
      <c r="AB2398" s="111" t="inlineStr">
        <is>
          <t>NAO_COMPUTADO</t>
        </is>
      </c>
      <c r="AC2398" s="112" t="inlineStr">
        <is>
          <t>Estrutura Fase 1: sem impacto no VTA oficial</t>
        </is>
      </c>
    </row>
    <row r="2399" ht="25.5" customHeight="1" s="289">
      <c r="A2399" s="205" t="n"/>
      <c r="B2399" s="207" t="n"/>
      <c r="C2399" s="104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348" t="n"/>
      <c r="E2399" s="349">
        <f>IF(C2399="","",IFERROR(VLOOKUP(C2399,parametros!$A$11:$E$15,5,0),""))</f>
        <v/>
      </c>
      <c r="F2399" s="335">
        <f>IF(OR(D2399="",E2399=""),"",ROUND(D2399*E2399,2))</f>
        <v/>
      </c>
      <c r="G2399" s="106" t="n"/>
      <c r="H2399" s="350">
        <f>IF(G2399="Sim",IF(OR(F2399="",D2399="",L2399=""),"",IF(L2399="Sim",ROUND(F2399-D2399,2),0)),0)</f>
        <v/>
      </c>
      <c r="I2399" s="350">
        <f>IF(G2399="Sim",0,IF(OR(F2399="",L2399=""),"",F2399))</f>
        <v/>
      </c>
      <c r="J2399" s="350">
        <f>IF(G2399="Sim",0,IF(OR(F2399="",D2399="",L2399=""),"",IF(L2399="Sim",ROUND(F2399-D2399,2),0)))</f>
        <v/>
      </c>
      <c r="K2399" s="97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inlineStr">
        <is>
          <t>Nao</t>
        </is>
      </c>
      <c r="W2399" s="110" t="inlineStr">
        <is>
          <t>PC em analise</t>
        </is>
      </c>
      <c r="X2399" s="110" t="inlineStr">
        <is>
          <t>Pedido de Compra</t>
        </is>
      </c>
      <c r="Y2399" s="111" t="inlineStr">
        <is>
          <t>Impacto Potencial</t>
        </is>
      </c>
      <c r="Z2399" s="111" t="inlineStr">
        <is>
          <t>PC</t>
        </is>
      </c>
      <c r="AA2399" s="111" t="inlineStr">
        <is>
          <t>Nao</t>
        </is>
      </c>
      <c r="AB2399" s="111" t="inlineStr">
        <is>
          <t>NAO_COMPUTADO</t>
        </is>
      </c>
      <c r="AC2399" s="112" t="inlineStr">
        <is>
          <t>Estrutura Fase 1: sem impacto no VTA oficial</t>
        </is>
      </c>
    </row>
    <row r="2400" ht="25.5" customHeight="1" s="289">
      <c r="A2400" s="205" t="n"/>
      <c r="B2400" s="207" t="n"/>
      <c r="C2400" s="104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348" t="n"/>
      <c r="E2400" s="349">
        <f>IF(C2400="","",IFERROR(VLOOKUP(C2400,parametros!$A$11:$E$15,5,0),""))</f>
        <v/>
      </c>
      <c r="F2400" s="335">
        <f>IF(OR(D2400="",E2400=""),"",ROUND(D2400*E2400,2))</f>
        <v/>
      </c>
      <c r="G2400" s="106" t="n"/>
      <c r="H2400" s="350">
        <f>IF(G2400="Sim",IF(OR(F2400="",D2400="",L2400=""),"",IF(L2400="Sim",ROUND(F2400-D2400,2),0)),0)</f>
        <v/>
      </c>
      <c r="I2400" s="350">
        <f>IF(G2400="Sim",0,IF(OR(F2400="",L2400=""),"",F2400))</f>
        <v/>
      </c>
      <c r="J2400" s="350">
        <f>IF(G2400="Sim",0,IF(OR(F2400="",D2400="",L2400=""),"",IF(L2400="Sim",ROUND(F2400-D2400,2),0)))</f>
        <v/>
      </c>
      <c r="K2400" s="97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inlineStr">
        <is>
          <t>Nao</t>
        </is>
      </c>
      <c r="W2400" s="110" t="inlineStr">
        <is>
          <t>PC em analise</t>
        </is>
      </c>
      <c r="X2400" s="110" t="inlineStr">
        <is>
          <t>Pedido de Compra</t>
        </is>
      </c>
      <c r="Y2400" s="111" t="inlineStr">
        <is>
          <t>Impacto Potencial</t>
        </is>
      </c>
      <c r="Z2400" s="111" t="inlineStr">
        <is>
          <t>PC</t>
        </is>
      </c>
      <c r="AA2400" s="111" t="inlineStr">
        <is>
          <t>Nao</t>
        </is>
      </c>
      <c r="AB2400" s="111" t="inlineStr">
        <is>
          <t>NAO_COMPUTADO</t>
        </is>
      </c>
      <c r="AC2400" s="112" t="inlineStr">
        <is>
          <t>Estrutura Fase 1: sem impacto no VTA oficial</t>
        </is>
      </c>
    </row>
    <row r="2401" ht="25.5" customHeight="1" s="289">
      <c r="A2401" s="205" t="n"/>
      <c r="B2401" s="207" t="n"/>
      <c r="C2401" s="104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348" t="n"/>
      <c r="E2401" s="349">
        <f>IF(C2401="","",IFERROR(VLOOKUP(C2401,parametros!$A$11:$E$15,5,0),""))</f>
        <v/>
      </c>
      <c r="F2401" s="335">
        <f>IF(OR(D2401="",E2401=""),"",ROUND(D2401*E2401,2))</f>
        <v/>
      </c>
      <c r="G2401" s="106" t="n"/>
      <c r="H2401" s="350">
        <f>IF(G2401="Sim",IF(OR(F2401="",D2401="",L2401=""),"",IF(L2401="Sim",ROUND(F2401-D2401,2),0)),0)</f>
        <v/>
      </c>
      <c r="I2401" s="350">
        <f>IF(G2401="Sim",0,IF(OR(F2401="",L2401=""),"",F2401))</f>
        <v/>
      </c>
      <c r="J2401" s="350">
        <f>IF(G2401="Sim",0,IF(OR(F2401="",D2401="",L2401=""),"",IF(L2401="Sim",ROUND(F2401-D2401,2),0)))</f>
        <v/>
      </c>
      <c r="K2401" s="97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inlineStr">
        <is>
          <t>Nao</t>
        </is>
      </c>
      <c r="W2401" s="110" t="inlineStr">
        <is>
          <t>PC em analise</t>
        </is>
      </c>
      <c r="X2401" s="110" t="inlineStr">
        <is>
          <t>Pedido de Compra</t>
        </is>
      </c>
      <c r="Y2401" s="111" t="inlineStr">
        <is>
          <t>Impacto Potencial</t>
        </is>
      </c>
      <c r="Z2401" s="111" t="inlineStr">
        <is>
          <t>PC</t>
        </is>
      </c>
      <c r="AA2401" s="111" t="inlineStr">
        <is>
          <t>Nao</t>
        </is>
      </c>
      <c r="AB2401" s="111" t="inlineStr">
        <is>
          <t>NAO_COMPUTADO</t>
        </is>
      </c>
      <c r="AC2401" s="112" t="inlineStr">
        <is>
          <t>Estrutura Fase 1: sem impacto no VTA oficial</t>
        </is>
      </c>
    </row>
    <row r="2402" ht="25.5" customHeight="1" s="289">
      <c r="A2402" s="205" t="n"/>
      <c r="B2402" s="207" t="n"/>
      <c r="C2402" s="104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348" t="n"/>
      <c r="E2402" s="349">
        <f>IF(C2402="","",IFERROR(VLOOKUP(C2402,parametros!$A$11:$E$15,5,0),""))</f>
        <v/>
      </c>
      <c r="F2402" s="335">
        <f>IF(OR(D2402="",E2402=""),"",ROUND(D2402*E2402,2))</f>
        <v/>
      </c>
      <c r="G2402" s="106" t="n"/>
      <c r="H2402" s="350">
        <f>IF(G2402="Sim",IF(OR(F2402="",D2402="",L2402=""),"",IF(L2402="Sim",ROUND(F2402-D2402,2),0)),0)</f>
        <v/>
      </c>
      <c r="I2402" s="350">
        <f>IF(G2402="Sim",0,IF(OR(F2402="",L2402=""),"",F2402))</f>
        <v/>
      </c>
      <c r="J2402" s="350">
        <f>IF(G2402="Sim",0,IF(OR(F2402="",D2402="",L2402=""),"",IF(L2402="Sim",ROUND(F2402-D2402,2),0)))</f>
        <v/>
      </c>
      <c r="K2402" s="97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inlineStr">
        <is>
          <t>Nao</t>
        </is>
      </c>
      <c r="W2402" s="110" t="inlineStr">
        <is>
          <t>PC em analise</t>
        </is>
      </c>
      <c r="X2402" s="110" t="inlineStr">
        <is>
          <t>Pedido de Compra</t>
        </is>
      </c>
      <c r="Y2402" s="111" t="inlineStr">
        <is>
          <t>Impacto Potencial</t>
        </is>
      </c>
      <c r="Z2402" s="111" t="inlineStr">
        <is>
          <t>PC</t>
        </is>
      </c>
      <c r="AA2402" s="111" t="inlineStr">
        <is>
          <t>Nao</t>
        </is>
      </c>
      <c r="AB2402" s="111" t="inlineStr">
        <is>
          <t>NAO_COMPUTADO</t>
        </is>
      </c>
      <c r="AC2402" s="112" t="inlineStr">
        <is>
          <t>Estrutura Fase 1: sem impacto no VTA oficial</t>
        </is>
      </c>
    </row>
    <row r="2403" ht="25.5" customHeight="1" s="289">
      <c r="A2403" s="205" t="n"/>
      <c r="B2403" s="207" t="n"/>
      <c r="C2403" s="104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348" t="n"/>
      <c r="E2403" s="349">
        <f>IF(C2403="","",IFERROR(VLOOKUP(C2403,parametros!$A$11:$E$15,5,0),""))</f>
        <v/>
      </c>
      <c r="F2403" s="335">
        <f>IF(OR(D2403="",E2403=""),"",ROUND(D2403*E2403,2))</f>
        <v/>
      </c>
      <c r="G2403" s="106" t="n"/>
      <c r="H2403" s="350">
        <f>IF(G2403="Sim",IF(OR(F2403="",D2403="",L2403=""),"",IF(L2403="Sim",ROUND(F2403-D2403,2),0)),0)</f>
        <v/>
      </c>
      <c r="I2403" s="350">
        <f>IF(G2403="Sim",0,IF(OR(F2403="",L2403=""),"",F2403))</f>
        <v/>
      </c>
      <c r="J2403" s="350">
        <f>IF(G2403="Sim",0,IF(OR(F2403="",D2403="",L2403=""),"",IF(L2403="Sim",ROUND(F2403-D2403,2),0)))</f>
        <v/>
      </c>
      <c r="K2403" s="97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inlineStr">
        <is>
          <t>Nao</t>
        </is>
      </c>
      <c r="W2403" s="110" t="inlineStr">
        <is>
          <t>PC em analise</t>
        </is>
      </c>
      <c r="X2403" s="110" t="inlineStr">
        <is>
          <t>Pedido de Compra</t>
        </is>
      </c>
      <c r="Y2403" s="111" t="inlineStr">
        <is>
          <t>Impacto Potencial</t>
        </is>
      </c>
      <c r="Z2403" s="111" t="inlineStr">
        <is>
          <t>PC</t>
        </is>
      </c>
      <c r="AA2403" s="111" t="inlineStr">
        <is>
          <t>Nao</t>
        </is>
      </c>
      <c r="AB2403" s="111" t="inlineStr">
        <is>
          <t>NAO_COMPUTADO</t>
        </is>
      </c>
      <c r="AC2403" s="112" t="inlineStr">
        <is>
          <t>Estrutura Fase 1: sem impacto no VTA oficial</t>
        </is>
      </c>
    </row>
    <row r="2404" ht="25.5" customHeight="1" s="289">
      <c r="A2404" s="205" t="n"/>
      <c r="B2404" s="207" t="n"/>
      <c r="C2404" s="104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348" t="n"/>
      <c r="E2404" s="349">
        <f>IF(C2404="","",IFERROR(VLOOKUP(C2404,parametros!$A$11:$E$15,5,0),""))</f>
        <v/>
      </c>
      <c r="F2404" s="335">
        <f>IF(OR(D2404="",E2404=""),"",ROUND(D2404*E2404,2))</f>
        <v/>
      </c>
      <c r="G2404" s="106" t="n"/>
      <c r="H2404" s="350">
        <f>IF(G2404="Sim",IF(OR(F2404="",D2404="",L2404=""),"",IF(L2404="Sim",ROUND(F2404-D2404,2),0)),0)</f>
        <v/>
      </c>
      <c r="I2404" s="350">
        <f>IF(G2404="Sim",0,IF(OR(F2404="",L2404=""),"",F2404))</f>
        <v/>
      </c>
      <c r="J2404" s="350">
        <f>IF(G2404="Sim",0,IF(OR(F2404="",D2404="",L2404=""),"",IF(L2404="Sim",ROUND(F2404-D2404,2),0)))</f>
        <v/>
      </c>
      <c r="K2404" s="97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inlineStr">
        <is>
          <t>Nao</t>
        </is>
      </c>
      <c r="W2404" s="110" t="inlineStr">
        <is>
          <t>PC em analise</t>
        </is>
      </c>
      <c r="X2404" s="110" t="inlineStr">
        <is>
          <t>Pedido de Compra</t>
        </is>
      </c>
      <c r="Y2404" s="111" t="inlineStr">
        <is>
          <t>Impacto Potencial</t>
        </is>
      </c>
      <c r="Z2404" s="111" t="inlineStr">
        <is>
          <t>PC</t>
        </is>
      </c>
      <c r="AA2404" s="111" t="inlineStr">
        <is>
          <t>Nao</t>
        </is>
      </c>
      <c r="AB2404" s="111" t="inlineStr">
        <is>
          <t>NAO_COMPUTADO</t>
        </is>
      </c>
      <c r="AC2404" s="112" t="inlineStr">
        <is>
          <t>Estrutura Fase 1: sem impacto no VTA oficial</t>
        </is>
      </c>
    </row>
    <row r="2405" ht="25.5" customHeight="1" s="289">
      <c r="A2405" s="205" t="n"/>
      <c r="B2405" s="207" t="n"/>
      <c r="C2405" s="104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348" t="n"/>
      <c r="E2405" s="349">
        <f>IF(C2405="","",IFERROR(VLOOKUP(C2405,parametros!$A$11:$E$15,5,0),""))</f>
        <v/>
      </c>
      <c r="F2405" s="335">
        <f>IF(OR(D2405="",E2405=""),"",ROUND(D2405*E2405,2))</f>
        <v/>
      </c>
      <c r="G2405" s="106" t="n"/>
      <c r="H2405" s="350">
        <f>IF(G2405="Sim",IF(OR(F2405="",D2405="",L2405=""),"",IF(L2405="Sim",ROUND(F2405-D2405,2),0)),0)</f>
        <v/>
      </c>
      <c r="I2405" s="350">
        <f>IF(G2405="Sim",0,IF(OR(F2405="",L2405=""),"",F2405))</f>
        <v/>
      </c>
      <c r="J2405" s="350">
        <f>IF(G2405="Sim",0,IF(OR(F2405="",D2405="",L2405=""),"",IF(L2405="Sim",ROUND(F2405-D2405,2),0)))</f>
        <v/>
      </c>
      <c r="K2405" s="97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inlineStr">
        <is>
          <t>Nao</t>
        </is>
      </c>
      <c r="W2405" s="110" t="inlineStr">
        <is>
          <t>PC em analise</t>
        </is>
      </c>
      <c r="X2405" s="110" t="inlineStr">
        <is>
          <t>Pedido de Compra</t>
        </is>
      </c>
      <c r="Y2405" s="111" t="inlineStr">
        <is>
          <t>Impacto Potencial</t>
        </is>
      </c>
      <c r="Z2405" s="111" t="inlineStr">
        <is>
          <t>PC</t>
        </is>
      </c>
      <c r="AA2405" s="111" t="inlineStr">
        <is>
          <t>Nao</t>
        </is>
      </c>
      <c r="AB2405" s="111" t="inlineStr">
        <is>
          <t>NAO_COMPUTADO</t>
        </is>
      </c>
      <c r="AC2405" s="112" t="inlineStr">
        <is>
          <t>Estrutura Fase 1: sem impacto no VTA oficial</t>
        </is>
      </c>
    </row>
    <row r="2406" ht="25.5" customHeight="1" s="289">
      <c r="A2406" s="205" t="n"/>
      <c r="B2406" s="207" t="n"/>
      <c r="C2406" s="104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348" t="n"/>
      <c r="E2406" s="349">
        <f>IF(C2406="","",IFERROR(VLOOKUP(C2406,parametros!$A$11:$E$15,5,0),""))</f>
        <v/>
      </c>
      <c r="F2406" s="335">
        <f>IF(OR(D2406="",E2406=""),"",ROUND(D2406*E2406,2))</f>
        <v/>
      </c>
      <c r="G2406" s="106" t="n"/>
      <c r="H2406" s="350">
        <f>IF(G2406="Sim",IF(OR(F2406="",D2406="",L2406=""),"",IF(L2406="Sim",ROUND(F2406-D2406,2),0)),0)</f>
        <v/>
      </c>
      <c r="I2406" s="350">
        <f>IF(G2406="Sim",0,IF(OR(F2406="",L2406=""),"",F2406))</f>
        <v/>
      </c>
      <c r="J2406" s="350">
        <f>IF(G2406="Sim",0,IF(OR(F2406="",D2406="",L2406=""),"",IF(L2406="Sim",ROUND(F2406-D2406,2),0)))</f>
        <v/>
      </c>
      <c r="K2406" s="97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inlineStr">
        <is>
          <t>Nao</t>
        </is>
      </c>
      <c r="W2406" s="110" t="inlineStr">
        <is>
          <t>PC em analise</t>
        </is>
      </c>
      <c r="X2406" s="110" t="inlineStr">
        <is>
          <t>Pedido de Compra</t>
        </is>
      </c>
      <c r="Y2406" s="111" t="inlineStr">
        <is>
          <t>Impacto Potencial</t>
        </is>
      </c>
      <c r="Z2406" s="111" t="inlineStr">
        <is>
          <t>PC</t>
        </is>
      </c>
      <c r="AA2406" s="111" t="inlineStr">
        <is>
          <t>Nao</t>
        </is>
      </c>
      <c r="AB2406" s="111" t="inlineStr">
        <is>
          <t>NAO_COMPUTADO</t>
        </is>
      </c>
      <c r="AC2406" s="112" t="inlineStr">
        <is>
          <t>Estrutura Fase 1: sem impacto no VTA oficial</t>
        </is>
      </c>
    </row>
    <row r="2407" ht="25.5" customHeight="1" s="289">
      <c r="A2407" s="205" t="n"/>
      <c r="B2407" s="207" t="n"/>
      <c r="C2407" s="104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348" t="n"/>
      <c r="E2407" s="349">
        <f>IF(C2407="","",IFERROR(VLOOKUP(C2407,parametros!$A$11:$E$15,5,0),""))</f>
        <v/>
      </c>
      <c r="F2407" s="335">
        <f>IF(OR(D2407="",E2407=""),"",ROUND(D2407*E2407,2))</f>
        <v/>
      </c>
      <c r="G2407" s="106" t="n"/>
      <c r="H2407" s="350">
        <f>IF(G2407="Sim",IF(OR(F2407="",D2407="",L2407=""),"",IF(L2407="Sim",ROUND(F2407-D2407,2),0)),0)</f>
        <v/>
      </c>
      <c r="I2407" s="350">
        <f>IF(G2407="Sim",0,IF(OR(F2407="",L2407=""),"",F2407))</f>
        <v/>
      </c>
      <c r="J2407" s="350">
        <f>IF(G2407="Sim",0,IF(OR(F2407="",D2407="",L2407=""),"",IF(L2407="Sim",ROUND(F2407-D2407,2),0)))</f>
        <v/>
      </c>
      <c r="K2407" s="97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inlineStr">
        <is>
          <t>Nao</t>
        </is>
      </c>
      <c r="W2407" s="110" t="inlineStr">
        <is>
          <t>PC em analise</t>
        </is>
      </c>
      <c r="X2407" s="110" t="inlineStr">
        <is>
          <t>Pedido de Compra</t>
        </is>
      </c>
      <c r="Y2407" s="111" t="inlineStr">
        <is>
          <t>Impacto Potencial</t>
        </is>
      </c>
      <c r="Z2407" s="111" t="inlineStr">
        <is>
          <t>PC</t>
        </is>
      </c>
      <c r="AA2407" s="111" t="inlineStr">
        <is>
          <t>Nao</t>
        </is>
      </c>
      <c r="AB2407" s="111" t="inlineStr">
        <is>
          <t>NAO_COMPUTADO</t>
        </is>
      </c>
      <c r="AC2407" s="112" t="inlineStr">
        <is>
          <t>Estrutura Fase 1: sem impacto no VTA oficial</t>
        </is>
      </c>
    </row>
    <row r="2408" ht="25.5" customHeight="1" s="289">
      <c r="A2408" s="205" t="n"/>
      <c r="B2408" s="207" t="n"/>
      <c r="C2408" s="104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348" t="n"/>
      <c r="E2408" s="349">
        <f>IF(C2408="","",IFERROR(VLOOKUP(C2408,parametros!$A$11:$E$15,5,0),""))</f>
        <v/>
      </c>
      <c r="F2408" s="335">
        <f>IF(OR(D2408="",E2408=""),"",ROUND(D2408*E2408,2))</f>
        <v/>
      </c>
      <c r="G2408" s="106" t="n"/>
      <c r="H2408" s="350">
        <f>IF(G2408="Sim",IF(OR(F2408="",D2408="",L2408=""),"",IF(L2408="Sim",ROUND(F2408-D2408,2),0)),0)</f>
        <v/>
      </c>
      <c r="I2408" s="350">
        <f>IF(G2408="Sim",0,IF(OR(F2408="",L2408=""),"",F2408))</f>
        <v/>
      </c>
      <c r="J2408" s="350">
        <f>IF(G2408="Sim",0,IF(OR(F2408="",D2408="",L2408=""),"",IF(L2408="Sim",ROUND(F2408-D2408,2),0)))</f>
        <v/>
      </c>
      <c r="K2408" s="97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inlineStr">
        <is>
          <t>Nao</t>
        </is>
      </c>
      <c r="W2408" s="110" t="inlineStr">
        <is>
          <t>PC em analise</t>
        </is>
      </c>
      <c r="X2408" s="110" t="inlineStr">
        <is>
          <t>Pedido de Compra</t>
        </is>
      </c>
      <c r="Y2408" s="111" t="inlineStr">
        <is>
          <t>Impacto Potencial</t>
        </is>
      </c>
      <c r="Z2408" s="111" t="inlineStr">
        <is>
          <t>PC</t>
        </is>
      </c>
      <c r="AA2408" s="111" t="inlineStr">
        <is>
          <t>Nao</t>
        </is>
      </c>
      <c r="AB2408" s="111" t="inlineStr">
        <is>
          <t>NAO_COMPUTADO</t>
        </is>
      </c>
      <c r="AC2408" s="112" t="inlineStr">
        <is>
          <t>Estrutura Fase 1: sem impacto no VTA oficial</t>
        </is>
      </c>
    </row>
    <row r="2409" ht="25.5" customHeight="1" s="289">
      <c r="A2409" s="205" t="n"/>
      <c r="B2409" s="207" t="n"/>
      <c r="C2409" s="104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348" t="n"/>
      <c r="E2409" s="349">
        <f>IF(C2409="","",IFERROR(VLOOKUP(C2409,parametros!$A$11:$E$15,5,0),""))</f>
        <v/>
      </c>
      <c r="F2409" s="335">
        <f>IF(OR(D2409="",E2409=""),"",ROUND(D2409*E2409,2))</f>
        <v/>
      </c>
      <c r="G2409" s="106" t="n"/>
      <c r="H2409" s="350">
        <f>IF(G2409="Sim",IF(OR(F2409="",D2409="",L2409=""),"",IF(L2409="Sim",ROUND(F2409-D2409,2),0)),0)</f>
        <v/>
      </c>
      <c r="I2409" s="350">
        <f>IF(G2409="Sim",0,IF(OR(F2409="",L2409=""),"",F2409))</f>
        <v/>
      </c>
      <c r="J2409" s="350">
        <f>IF(G2409="Sim",0,IF(OR(F2409="",D2409="",L2409=""),"",IF(L2409="Sim",ROUND(F2409-D2409,2),0)))</f>
        <v/>
      </c>
      <c r="K2409" s="97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inlineStr">
        <is>
          <t>Nao</t>
        </is>
      </c>
      <c r="W2409" s="110" t="inlineStr">
        <is>
          <t>PC em analise</t>
        </is>
      </c>
      <c r="X2409" s="110" t="inlineStr">
        <is>
          <t>Pedido de Compra</t>
        </is>
      </c>
      <c r="Y2409" s="111" t="inlineStr">
        <is>
          <t>Impacto Potencial</t>
        </is>
      </c>
      <c r="Z2409" s="111" t="inlineStr">
        <is>
          <t>PC</t>
        </is>
      </c>
      <c r="AA2409" s="111" t="inlineStr">
        <is>
          <t>Nao</t>
        </is>
      </c>
      <c r="AB2409" s="111" t="inlineStr">
        <is>
          <t>NAO_COMPUTADO</t>
        </is>
      </c>
      <c r="AC2409" s="112" t="inlineStr">
        <is>
          <t>Estrutura Fase 1: sem impacto no VTA oficial</t>
        </is>
      </c>
    </row>
    <row r="2410" ht="25.5" customHeight="1" s="289">
      <c r="A2410" s="205" t="n"/>
      <c r="B2410" s="207" t="n"/>
      <c r="C2410" s="104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348" t="n"/>
      <c r="E2410" s="349">
        <f>IF(C2410="","",IFERROR(VLOOKUP(C2410,parametros!$A$11:$E$15,5,0),""))</f>
        <v/>
      </c>
      <c r="F2410" s="335">
        <f>IF(OR(D2410="",E2410=""),"",ROUND(D2410*E2410,2))</f>
        <v/>
      </c>
      <c r="G2410" s="106" t="n"/>
      <c r="H2410" s="350">
        <f>IF(G2410="Sim",IF(OR(F2410="",D2410="",L2410=""),"",IF(L2410="Sim",ROUND(F2410-D2410,2),0)),0)</f>
        <v/>
      </c>
      <c r="I2410" s="350">
        <f>IF(G2410="Sim",0,IF(OR(F2410="",L2410=""),"",F2410))</f>
        <v/>
      </c>
      <c r="J2410" s="350">
        <f>IF(G2410="Sim",0,IF(OR(F2410="",D2410="",L2410=""),"",IF(L2410="Sim",ROUND(F2410-D2410,2),0)))</f>
        <v/>
      </c>
      <c r="K2410" s="97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inlineStr">
        <is>
          <t>Nao</t>
        </is>
      </c>
      <c r="W2410" s="110" t="inlineStr">
        <is>
          <t>PC em analise</t>
        </is>
      </c>
      <c r="X2410" s="110" t="inlineStr">
        <is>
          <t>Pedido de Compra</t>
        </is>
      </c>
      <c r="Y2410" s="111" t="inlineStr">
        <is>
          <t>Impacto Potencial</t>
        </is>
      </c>
      <c r="Z2410" s="111" t="inlineStr">
        <is>
          <t>PC</t>
        </is>
      </c>
      <c r="AA2410" s="111" t="inlineStr">
        <is>
          <t>Nao</t>
        </is>
      </c>
      <c r="AB2410" s="111" t="inlineStr">
        <is>
          <t>NAO_COMPUTADO</t>
        </is>
      </c>
      <c r="AC2410" s="112" t="inlineStr">
        <is>
          <t>Estrutura Fase 1: sem impacto no VTA oficial</t>
        </is>
      </c>
    </row>
    <row r="2411" ht="25.5" customHeight="1" s="289">
      <c r="A2411" s="205" t="n"/>
      <c r="B2411" s="207" t="n"/>
      <c r="C2411" s="104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348" t="n"/>
      <c r="E2411" s="349">
        <f>IF(C2411="","",IFERROR(VLOOKUP(C2411,parametros!$A$11:$E$15,5,0),""))</f>
        <v/>
      </c>
      <c r="F2411" s="335">
        <f>IF(OR(D2411="",E2411=""),"",ROUND(D2411*E2411,2))</f>
        <v/>
      </c>
      <c r="G2411" s="106" t="n"/>
      <c r="H2411" s="350">
        <f>IF(G2411="Sim",IF(OR(F2411="",D2411="",L2411=""),"",IF(L2411="Sim",ROUND(F2411-D2411,2),0)),0)</f>
        <v/>
      </c>
      <c r="I2411" s="350">
        <f>IF(G2411="Sim",0,IF(OR(F2411="",L2411=""),"",F2411))</f>
        <v/>
      </c>
      <c r="J2411" s="350">
        <f>IF(G2411="Sim",0,IF(OR(F2411="",D2411="",L2411=""),"",IF(L2411="Sim",ROUND(F2411-D2411,2),0)))</f>
        <v/>
      </c>
      <c r="K2411" s="97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inlineStr">
        <is>
          <t>Nao</t>
        </is>
      </c>
      <c r="W2411" s="110" t="inlineStr">
        <is>
          <t>PC em analise</t>
        </is>
      </c>
      <c r="X2411" s="110" t="inlineStr">
        <is>
          <t>Pedido de Compra</t>
        </is>
      </c>
      <c r="Y2411" s="111" t="inlineStr">
        <is>
          <t>Impacto Potencial</t>
        </is>
      </c>
      <c r="Z2411" s="111" t="inlineStr">
        <is>
          <t>PC</t>
        </is>
      </c>
      <c r="AA2411" s="111" t="inlineStr">
        <is>
          <t>Nao</t>
        </is>
      </c>
      <c r="AB2411" s="111" t="inlineStr">
        <is>
          <t>NAO_COMPUTADO</t>
        </is>
      </c>
      <c r="AC2411" s="112" t="inlineStr">
        <is>
          <t>Estrutura Fase 1: sem impacto no VTA oficial</t>
        </is>
      </c>
    </row>
    <row r="2412" ht="25.5" customHeight="1" s="289">
      <c r="A2412" s="205" t="n"/>
      <c r="B2412" s="207" t="n"/>
      <c r="C2412" s="104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348" t="n"/>
      <c r="E2412" s="349">
        <f>IF(C2412="","",IFERROR(VLOOKUP(C2412,parametros!$A$11:$E$15,5,0),""))</f>
        <v/>
      </c>
      <c r="F2412" s="335">
        <f>IF(OR(D2412="",E2412=""),"",ROUND(D2412*E2412,2))</f>
        <v/>
      </c>
      <c r="G2412" s="106" t="n"/>
      <c r="H2412" s="350">
        <f>IF(G2412="Sim",IF(OR(F2412="",D2412="",L2412=""),"",IF(L2412="Sim",ROUND(F2412-D2412,2),0)),0)</f>
        <v/>
      </c>
      <c r="I2412" s="350">
        <f>IF(G2412="Sim",0,IF(OR(F2412="",L2412=""),"",F2412))</f>
        <v/>
      </c>
      <c r="J2412" s="350">
        <f>IF(G2412="Sim",0,IF(OR(F2412="",D2412="",L2412=""),"",IF(L2412="Sim",ROUND(F2412-D2412,2),0)))</f>
        <v/>
      </c>
      <c r="K2412" s="97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inlineStr">
        <is>
          <t>Nao</t>
        </is>
      </c>
      <c r="W2412" s="110" t="inlineStr">
        <is>
          <t>PC em analise</t>
        </is>
      </c>
      <c r="X2412" s="110" t="inlineStr">
        <is>
          <t>Pedido de Compra</t>
        </is>
      </c>
      <c r="Y2412" s="111" t="inlineStr">
        <is>
          <t>Impacto Potencial</t>
        </is>
      </c>
      <c r="Z2412" s="111" t="inlineStr">
        <is>
          <t>PC</t>
        </is>
      </c>
      <c r="AA2412" s="111" t="inlineStr">
        <is>
          <t>Nao</t>
        </is>
      </c>
      <c r="AB2412" s="111" t="inlineStr">
        <is>
          <t>NAO_COMPUTADO</t>
        </is>
      </c>
      <c r="AC2412" s="112" t="inlineStr">
        <is>
          <t>Estrutura Fase 1: sem impacto no VTA oficial</t>
        </is>
      </c>
    </row>
    <row r="2413" ht="25.5" customHeight="1" s="289">
      <c r="A2413" s="205" t="n"/>
      <c r="B2413" s="207" t="n"/>
      <c r="C2413" s="104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348" t="n"/>
      <c r="E2413" s="349">
        <f>IF(C2413="","",IFERROR(VLOOKUP(C2413,parametros!$A$11:$E$15,5,0),""))</f>
        <v/>
      </c>
      <c r="F2413" s="335">
        <f>IF(OR(D2413="",E2413=""),"",ROUND(D2413*E2413,2))</f>
        <v/>
      </c>
      <c r="G2413" s="106" t="n"/>
      <c r="H2413" s="350">
        <f>IF(G2413="Sim",IF(OR(F2413="",D2413="",L2413=""),"",IF(L2413="Sim",ROUND(F2413-D2413,2),0)),0)</f>
        <v/>
      </c>
      <c r="I2413" s="350">
        <f>IF(G2413="Sim",0,IF(OR(F2413="",L2413=""),"",F2413))</f>
        <v/>
      </c>
      <c r="J2413" s="350">
        <f>IF(G2413="Sim",0,IF(OR(F2413="",D2413="",L2413=""),"",IF(L2413="Sim",ROUND(F2413-D2413,2),0)))</f>
        <v/>
      </c>
      <c r="K2413" s="97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inlineStr">
        <is>
          <t>Nao</t>
        </is>
      </c>
      <c r="W2413" s="110" t="inlineStr">
        <is>
          <t>PC em analise</t>
        </is>
      </c>
      <c r="X2413" s="110" t="inlineStr">
        <is>
          <t>Pedido de Compra</t>
        </is>
      </c>
      <c r="Y2413" s="111" t="inlineStr">
        <is>
          <t>Impacto Potencial</t>
        </is>
      </c>
      <c r="Z2413" s="111" t="inlineStr">
        <is>
          <t>PC</t>
        </is>
      </c>
      <c r="AA2413" s="111" t="inlineStr">
        <is>
          <t>Nao</t>
        </is>
      </c>
      <c r="AB2413" s="111" t="inlineStr">
        <is>
          <t>NAO_COMPUTADO</t>
        </is>
      </c>
      <c r="AC2413" s="112" t="inlineStr">
        <is>
          <t>Estrutura Fase 1: sem impacto no VTA oficial</t>
        </is>
      </c>
    </row>
    <row r="2414" ht="25.5" customHeight="1" s="289">
      <c r="A2414" s="205" t="n"/>
      <c r="B2414" s="207" t="n"/>
      <c r="C2414" s="104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348" t="n"/>
      <c r="E2414" s="349">
        <f>IF(C2414="","",IFERROR(VLOOKUP(C2414,parametros!$A$11:$E$15,5,0),""))</f>
        <v/>
      </c>
      <c r="F2414" s="335">
        <f>IF(OR(D2414="",E2414=""),"",ROUND(D2414*E2414,2))</f>
        <v/>
      </c>
      <c r="G2414" s="106" t="n"/>
      <c r="H2414" s="350">
        <f>IF(G2414="Sim",IF(OR(F2414="",D2414="",L2414=""),"",IF(L2414="Sim",ROUND(F2414-D2414,2),0)),0)</f>
        <v/>
      </c>
      <c r="I2414" s="350">
        <f>IF(G2414="Sim",0,IF(OR(F2414="",L2414=""),"",F2414))</f>
        <v/>
      </c>
      <c r="J2414" s="350">
        <f>IF(G2414="Sim",0,IF(OR(F2414="",D2414="",L2414=""),"",IF(L2414="Sim",ROUND(F2414-D2414,2),0)))</f>
        <v/>
      </c>
      <c r="K2414" s="97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inlineStr">
        <is>
          <t>Nao</t>
        </is>
      </c>
      <c r="W2414" s="110" t="inlineStr">
        <is>
          <t>PC em analise</t>
        </is>
      </c>
      <c r="X2414" s="110" t="inlineStr">
        <is>
          <t>Pedido de Compra</t>
        </is>
      </c>
      <c r="Y2414" s="111" t="inlineStr">
        <is>
          <t>Impacto Potencial</t>
        </is>
      </c>
      <c r="Z2414" s="111" t="inlineStr">
        <is>
          <t>PC</t>
        </is>
      </c>
      <c r="AA2414" s="111" t="inlineStr">
        <is>
          <t>Nao</t>
        </is>
      </c>
      <c r="AB2414" s="111" t="inlineStr">
        <is>
          <t>NAO_COMPUTADO</t>
        </is>
      </c>
      <c r="AC2414" s="112" t="inlineStr">
        <is>
          <t>Estrutura Fase 1: sem impacto no VTA oficial</t>
        </is>
      </c>
    </row>
    <row r="2415" ht="25.5" customHeight="1" s="289">
      <c r="A2415" s="205" t="n"/>
      <c r="B2415" s="207" t="n"/>
      <c r="C2415" s="104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348" t="n"/>
      <c r="E2415" s="349">
        <f>IF(C2415="","",IFERROR(VLOOKUP(C2415,parametros!$A$11:$E$15,5,0),""))</f>
        <v/>
      </c>
      <c r="F2415" s="335">
        <f>IF(OR(D2415="",E2415=""),"",ROUND(D2415*E2415,2))</f>
        <v/>
      </c>
      <c r="G2415" s="106" t="n"/>
      <c r="H2415" s="350">
        <f>IF(G2415="Sim",IF(OR(F2415="",D2415="",L2415=""),"",IF(L2415="Sim",ROUND(F2415-D2415,2),0)),0)</f>
        <v/>
      </c>
      <c r="I2415" s="350">
        <f>IF(G2415="Sim",0,IF(OR(F2415="",L2415=""),"",F2415))</f>
        <v/>
      </c>
      <c r="J2415" s="350">
        <f>IF(G2415="Sim",0,IF(OR(F2415="",D2415="",L2415=""),"",IF(L2415="Sim",ROUND(F2415-D2415,2),0)))</f>
        <v/>
      </c>
      <c r="K2415" s="97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inlineStr">
        <is>
          <t>Nao</t>
        </is>
      </c>
      <c r="W2415" s="110" t="inlineStr">
        <is>
          <t>PC em analise</t>
        </is>
      </c>
      <c r="X2415" s="110" t="inlineStr">
        <is>
          <t>Pedido de Compra</t>
        </is>
      </c>
      <c r="Y2415" s="111" t="inlineStr">
        <is>
          <t>Impacto Potencial</t>
        </is>
      </c>
      <c r="Z2415" s="111" t="inlineStr">
        <is>
          <t>PC</t>
        </is>
      </c>
      <c r="AA2415" s="111" t="inlineStr">
        <is>
          <t>Nao</t>
        </is>
      </c>
      <c r="AB2415" s="111" t="inlineStr">
        <is>
          <t>NAO_COMPUTADO</t>
        </is>
      </c>
      <c r="AC2415" s="112" t="inlineStr">
        <is>
          <t>Estrutura Fase 1: sem impacto no VTA oficial</t>
        </is>
      </c>
    </row>
    <row r="2416" ht="25.5" customHeight="1" s="289">
      <c r="A2416" s="205" t="n"/>
      <c r="B2416" s="207" t="n"/>
      <c r="C2416" s="104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348" t="n"/>
      <c r="E2416" s="349">
        <f>IF(C2416="","",IFERROR(VLOOKUP(C2416,parametros!$A$11:$E$15,5,0),""))</f>
        <v/>
      </c>
      <c r="F2416" s="335">
        <f>IF(OR(D2416="",E2416=""),"",ROUND(D2416*E2416,2))</f>
        <v/>
      </c>
      <c r="G2416" s="106" t="n"/>
      <c r="H2416" s="350">
        <f>IF(G2416="Sim",IF(OR(F2416="",D2416="",L2416=""),"",IF(L2416="Sim",ROUND(F2416-D2416,2),0)),0)</f>
        <v/>
      </c>
      <c r="I2416" s="350">
        <f>IF(G2416="Sim",0,IF(OR(F2416="",L2416=""),"",F2416))</f>
        <v/>
      </c>
      <c r="J2416" s="350">
        <f>IF(G2416="Sim",0,IF(OR(F2416="",D2416="",L2416=""),"",IF(L2416="Sim",ROUND(F2416-D2416,2),0)))</f>
        <v/>
      </c>
      <c r="K2416" s="97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inlineStr">
        <is>
          <t>Nao</t>
        </is>
      </c>
      <c r="W2416" s="110" t="inlineStr">
        <is>
          <t>PC em analise</t>
        </is>
      </c>
      <c r="X2416" s="110" t="inlineStr">
        <is>
          <t>Pedido de Compra</t>
        </is>
      </c>
      <c r="Y2416" s="111" t="inlineStr">
        <is>
          <t>Impacto Potencial</t>
        </is>
      </c>
      <c r="Z2416" s="111" t="inlineStr">
        <is>
          <t>PC</t>
        </is>
      </c>
      <c r="AA2416" s="111" t="inlineStr">
        <is>
          <t>Nao</t>
        </is>
      </c>
      <c r="AB2416" s="111" t="inlineStr">
        <is>
          <t>NAO_COMPUTADO</t>
        </is>
      </c>
      <c r="AC2416" s="112" t="inlineStr">
        <is>
          <t>Estrutura Fase 1: sem impacto no VTA oficial</t>
        </is>
      </c>
    </row>
    <row r="2417" ht="25.5" customHeight="1" s="289">
      <c r="A2417" s="205" t="n"/>
      <c r="B2417" s="207" t="n"/>
      <c r="C2417" s="104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348" t="n"/>
      <c r="E2417" s="349">
        <f>IF(C2417="","",IFERROR(VLOOKUP(C2417,parametros!$A$11:$E$15,5,0),""))</f>
        <v/>
      </c>
      <c r="F2417" s="335">
        <f>IF(OR(D2417="",E2417=""),"",ROUND(D2417*E2417,2))</f>
        <v/>
      </c>
      <c r="G2417" s="106" t="n"/>
      <c r="H2417" s="350">
        <f>IF(G2417="Sim",IF(OR(F2417="",D2417="",L2417=""),"",IF(L2417="Sim",ROUND(F2417-D2417,2),0)),0)</f>
        <v/>
      </c>
      <c r="I2417" s="350">
        <f>IF(G2417="Sim",0,IF(OR(F2417="",L2417=""),"",F2417))</f>
        <v/>
      </c>
      <c r="J2417" s="350">
        <f>IF(G2417="Sim",0,IF(OR(F2417="",D2417="",L2417=""),"",IF(L2417="Sim",ROUND(F2417-D2417,2),0)))</f>
        <v/>
      </c>
      <c r="K2417" s="97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inlineStr">
        <is>
          <t>Nao</t>
        </is>
      </c>
      <c r="W2417" s="110" t="inlineStr">
        <is>
          <t>PC em analise</t>
        </is>
      </c>
      <c r="X2417" s="110" t="inlineStr">
        <is>
          <t>Pedido de Compra</t>
        </is>
      </c>
      <c r="Y2417" s="111" t="inlineStr">
        <is>
          <t>Impacto Potencial</t>
        </is>
      </c>
      <c r="Z2417" s="111" t="inlineStr">
        <is>
          <t>PC</t>
        </is>
      </c>
      <c r="AA2417" s="111" t="inlineStr">
        <is>
          <t>Nao</t>
        </is>
      </c>
      <c r="AB2417" s="111" t="inlineStr">
        <is>
          <t>NAO_COMPUTADO</t>
        </is>
      </c>
      <c r="AC2417" s="112" t="inlineStr">
        <is>
          <t>Estrutura Fase 1: sem impacto no VTA oficial</t>
        </is>
      </c>
    </row>
    <row r="2418" ht="25.5" customHeight="1" s="289">
      <c r="A2418" s="205" t="n"/>
      <c r="B2418" s="207" t="n"/>
      <c r="C2418" s="104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348" t="n"/>
      <c r="E2418" s="349">
        <f>IF(C2418="","",IFERROR(VLOOKUP(C2418,parametros!$A$11:$E$15,5,0),""))</f>
        <v/>
      </c>
      <c r="F2418" s="335">
        <f>IF(OR(D2418="",E2418=""),"",ROUND(D2418*E2418,2))</f>
        <v/>
      </c>
      <c r="G2418" s="106" t="n"/>
      <c r="H2418" s="350">
        <f>IF(G2418="Sim",IF(OR(F2418="",D2418="",L2418=""),"",IF(L2418="Sim",ROUND(F2418-D2418,2),0)),0)</f>
        <v/>
      </c>
      <c r="I2418" s="350">
        <f>IF(G2418="Sim",0,IF(OR(F2418="",L2418=""),"",F2418))</f>
        <v/>
      </c>
      <c r="J2418" s="350">
        <f>IF(G2418="Sim",0,IF(OR(F2418="",D2418="",L2418=""),"",IF(L2418="Sim",ROUND(F2418-D2418,2),0)))</f>
        <v/>
      </c>
      <c r="K2418" s="97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inlineStr">
        <is>
          <t>Nao</t>
        </is>
      </c>
      <c r="W2418" s="110" t="inlineStr">
        <is>
          <t>PC em analise</t>
        </is>
      </c>
      <c r="X2418" s="110" t="inlineStr">
        <is>
          <t>Pedido de Compra</t>
        </is>
      </c>
      <c r="Y2418" s="111" t="inlineStr">
        <is>
          <t>Impacto Potencial</t>
        </is>
      </c>
      <c r="Z2418" s="111" t="inlineStr">
        <is>
          <t>PC</t>
        </is>
      </c>
      <c r="AA2418" s="111" t="inlineStr">
        <is>
          <t>Nao</t>
        </is>
      </c>
      <c r="AB2418" s="111" t="inlineStr">
        <is>
          <t>NAO_COMPUTADO</t>
        </is>
      </c>
      <c r="AC2418" s="112" t="inlineStr">
        <is>
          <t>Estrutura Fase 1: sem impacto no VTA oficial</t>
        </is>
      </c>
    </row>
    <row r="2419" ht="25.5" customHeight="1" s="289">
      <c r="A2419" s="205" t="n"/>
      <c r="B2419" s="207" t="n"/>
      <c r="C2419" s="104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348" t="n"/>
      <c r="E2419" s="349">
        <f>IF(C2419="","",IFERROR(VLOOKUP(C2419,parametros!$A$11:$E$15,5,0),""))</f>
        <v/>
      </c>
      <c r="F2419" s="335">
        <f>IF(OR(D2419="",E2419=""),"",ROUND(D2419*E2419,2))</f>
        <v/>
      </c>
      <c r="G2419" s="106" t="n"/>
      <c r="H2419" s="350">
        <f>IF(G2419="Sim",IF(OR(F2419="",D2419="",L2419=""),"",IF(L2419="Sim",ROUND(F2419-D2419,2),0)),0)</f>
        <v/>
      </c>
      <c r="I2419" s="350">
        <f>IF(G2419="Sim",0,IF(OR(F2419="",L2419=""),"",F2419))</f>
        <v/>
      </c>
      <c r="J2419" s="350">
        <f>IF(G2419="Sim",0,IF(OR(F2419="",D2419="",L2419=""),"",IF(L2419="Sim",ROUND(F2419-D2419,2),0)))</f>
        <v/>
      </c>
      <c r="K2419" s="97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inlineStr">
        <is>
          <t>Nao</t>
        </is>
      </c>
      <c r="W2419" s="110" t="inlineStr">
        <is>
          <t>PC em analise</t>
        </is>
      </c>
      <c r="X2419" s="110" t="inlineStr">
        <is>
          <t>Pedido de Compra</t>
        </is>
      </c>
      <c r="Y2419" s="111" t="inlineStr">
        <is>
          <t>Impacto Potencial</t>
        </is>
      </c>
      <c r="Z2419" s="111" t="inlineStr">
        <is>
          <t>PC</t>
        </is>
      </c>
      <c r="AA2419" s="111" t="inlineStr">
        <is>
          <t>Nao</t>
        </is>
      </c>
      <c r="AB2419" s="111" t="inlineStr">
        <is>
          <t>NAO_COMPUTADO</t>
        </is>
      </c>
      <c r="AC2419" s="112" t="inlineStr">
        <is>
          <t>Estrutura Fase 1: sem impacto no VTA oficial</t>
        </is>
      </c>
    </row>
    <row r="2420" ht="25.5" customHeight="1" s="289">
      <c r="A2420" s="205" t="n"/>
      <c r="B2420" s="207" t="n"/>
      <c r="C2420" s="104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348" t="n"/>
      <c r="E2420" s="349">
        <f>IF(C2420="","",IFERROR(VLOOKUP(C2420,parametros!$A$11:$E$15,5,0),""))</f>
        <v/>
      </c>
      <c r="F2420" s="335">
        <f>IF(OR(D2420="",E2420=""),"",ROUND(D2420*E2420,2))</f>
        <v/>
      </c>
      <c r="G2420" s="106" t="n"/>
      <c r="H2420" s="350">
        <f>IF(G2420="Sim",IF(OR(F2420="",D2420="",L2420=""),"",IF(L2420="Sim",ROUND(F2420-D2420,2),0)),0)</f>
        <v/>
      </c>
      <c r="I2420" s="350">
        <f>IF(G2420="Sim",0,IF(OR(F2420="",L2420=""),"",F2420))</f>
        <v/>
      </c>
      <c r="J2420" s="350">
        <f>IF(G2420="Sim",0,IF(OR(F2420="",D2420="",L2420=""),"",IF(L2420="Sim",ROUND(F2420-D2420,2),0)))</f>
        <v/>
      </c>
      <c r="K2420" s="97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inlineStr">
        <is>
          <t>Nao</t>
        </is>
      </c>
      <c r="W2420" s="110" t="inlineStr">
        <is>
          <t>PC em analise</t>
        </is>
      </c>
      <c r="X2420" s="110" t="inlineStr">
        <is>
          <t>Pedido de Compra</t>
        </is>
      </c>
      <c r="Y2420" s="111" t="inlineStr">
        <is>
          <t>Impacto Potencial</t>
        </is>
      </c>
      <c r="Z2420" s="111" t="inlineStr">
        <is>
          <t>PC</t>
        </is>
      </c>
      <c r="AA2420" s="111" t="inlineStr">
        <is>
          <t>Nao</t>
        </is>
      </c>
      <c r="AB2420" s="111" t="inlineStr">
        <is>
          <t>NAO_COMPUTADO</t>
        </is>
      </c>
      <c r="AC2420" s="112" t="inlineStr">
        <is>
          <t>Estrutura Fase 1: sem impacto no VTA oficial</t>
        </is>
      </c>
    </row>
    <row r="2421" ht="25.5" customHeight="1" s="289">
      <c r="A2421" s="205" t="n"/>
      <c r="B2421" s="207" t="n"/>
      <c r="C2421" s="104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348" t="n"/>
      <c r="E2421" s="349">
        <f>IF(C2421="","",IFERROR(VLOOKUP(C2421,parametros!$A$11:$E$15,5,0),""))</f>
        <v/>
      </c>
      <c r="F2421" s="335">
        <f>IF(OR(D2421="",E2421=""),"",ROUND(D2421*E2421,2))</f>
        <v/>
      </c>
      <c r="G2421" s="106" t="n"/>
      <c r="H2421" s="350">
        <f>IF(G2421="Sim",IF(OR(F2421="",D2421="",L2421=""),"",IF(L2421="Sim",ROUND(F2421-D2421,2),0)),0)</f>
        <v/>
      </c>
      <c r="I2421" s="350">
        <f>IF(G2421="Sim",0,IF(OR(F2421="",L2421=""),"",F2421))</f>
        <v/>
      </c>
      <c r="J2421" s="350">
        <f>IF(G2421="Sim",0,IF(OR(F2421="",D2421="",L2421=""),"",IF(L2421="Sim",ROUND(F2421-D2421,2),0)))</f>
        <v/>
      </c>
      <c r="K2421" s="97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inlineStr">
        <is>
          <t>Nao</t>
        </is>
      </c>
      <c r="W2421" s="110" t="inlineStr">
        <is>
          <t>PC em analise</t>
        </is>
      </c>
      <c r="X2421" s="110" t="inlineStr">
        <is>
          <t>Pedido de Compra</t>
        </is>
      </c>
      <c r="Y2421" s="111" t="inlineStr">
        <is>
          <t>Impacto Potencial</t>
        </is>
      </c>
      <c r="Z2421" s="111" t="inlineStr">
        <is>
          <t>PC</t>
        </is>
      </c>
      <c r="AA2421" s="111" t="inlineStr">
        <is>
          <t>Nao</t>
        </is>
      </c>
      <c r="AB2421" s="111" t="inlineStr">
        <is>
          <t>NAO_COMPUTADO</t>
        </is>
      </c>
      <c r="AC2421" s="112" t="inlineStr">
        <is>
          <t>Estrutura Fase 1: sem impacto no VTA oficial</t>
        </is>
      </c>
    </row>
    <row r="2422" ht="25.5" customHeight="1" s="289">
      <c r="A2422" s="205" t="n"/>
      <c r="B2422" s="207" t="n"/>
      <c r="C2422" s="104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348" t="n"/>
      <c r="E2422" s="349">
        <f>IF(C2422="","",IFERROR(VLOOKUP(C2422,parametros!$A$11:$E$15,5,0),""))</f>
        <v/>
      </c>
      <c r="F2422" s="335">
        <f>IF(OR(D2422="",E2422=""),"",ROUND(D2422*E2422,2))</f>
        <v/>
      </c>
      <c r="G2422" s="106" t="n"/>
      <c r="H2422" s="350">
        <f>IF(G2422="Sim",IF(OR(F2422="",D2422="",L2422=""),"",IF(L2422="Sim",ROUND(F2422-D2422,2),0)),0)</f>
        <v/>
      </c>
      <c r="I2422" s="350">
        <f>IF(G2422="Sim",0,IF(OR(F2422="",L2422=""),"",F2422))</f>
        <v/>
      </c>
      <c r="J2422" s="350">
        <f>IF(G2422="Sim",0,IF(OR(F2422="",D2422="",L2422=""),"",IF(L2422="Sim",ROUND(F2422-D2422,2),0)))</f>
        <v/>
      </c>
      <c r="K2422" s="97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inlineStr">
        <is>
          <t>Nao</t>
        </is>
      </c>
      <c r="W2422" s="110" t="inlineStr">
        <is>
          <t>PC em analise</t>
        </is>
      </c>
      <c r="X2422" s="110" t="inlineStr">
        <is>
          <t>Pedido de Compra</t>
        </is>
      </c>
      <c r="Y2422" s="111" t="inlineStr">
        <is>
          <t>Impacto Potencial</t>
        </is>
      </c>
      <c r="Z2422" s="111" t="inlineStr">
        <is>
          <t>PC</t>
        </is>
      </c>
      <c r="AA2422" s="111" t="inlineStr">
        <is>
          <t>Nao</t>
        </is>
      </c>
      <c r="AB2422" s="111" t="inlineStr">
        <is>
          <t>NAO_COMPUTADO</t>
        </is>
      </c>
      <c r="AC2422" s="112" t="inlineStr">
        <is>
          <t>Estrutura Fase 1: sem impacto no VTA oficial</t>
        </is>
      </c>
    </row>
    <row r="2423" ht="25.5" customHeight="1" s="289">
      <c r="A2423" s="205" t="n"/>
      <c r="B2423" s="207" t="n"/>
      <c r="C2423" s="104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348" t="n"/>
      <c r="E2423" s="349">
        <f>IF(C2423="","",IFERROR(VLOOKUP(C2423,parametros!$A$11:$E$15,5,0),""))</f>
        <v/>
      </c>
      <c r="F2423" s="335">
        <f>IF(OR(D2423="",E2423=""),"",ROUND(D2423*E2423,2))</f>
        <v/>
      </c>
      <c r="G2423" s="106" t="n"/>
      <c r="H2423" s="350">
        <f>IF(G2423="Sim",IF(OR(F2423="",D2423="",L2423=""),"",IF(L2423="Sim",ROUND(F2423-D2423,2),0)),0)</f>
        <v/>
      </c>
      <c r="I2423" s="350">
        <f>IF(G2423="Sim",0,IF(OR(F2423="",L2423=""),"",F2423))</f>
        <v/>
      </c>
      <c r="J2423" s="350">
        <f>IF(G2423="Sim",0,IF(OR(F2423="",D2423="",L2423=""),"",IF(L2423="Sim",ROUND(F2423-D2423,2),0)))</f>
        <v/>
      </c>
      <c r="K2423" s="97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inlineStr">
        <is>
          <t>Nao</t>
        </is>
      </c>
      <c r="W2423" s="110" t="inlineStr">
        <is>
          <t>PC em analise</t>
        </is>
      </c>
      <c r="X2423" s="110" t="inlineStr">
        <is>
          <t>Pedido de Compra</t>
        </is>
      </c>
      <c r="Y2423" s="111" t="inlineStr">
        <is>
          <t>Impacto Potencial</t>
        </is>
      </c>
      <c r="Z2423" s="111" t="inlineStr">
        <is>
          <t>PC</t>
        </is>
      </c>
      <c r="AA2423" s="111" t="inlineStr">
        <is>
          <t>Nao</t>
        </is>
      </c>
      <c r="AB2423" s="111" t="inlineStr">
        <is>
          <t>NAO_COMPUTADO</t>
        </is>
      </c>
      <c r="AC2423" s="112" t="inlineStr">
        <is>
          <t>Estrutura Fase 1: sem impacto no VTA oficial</t>
        </is>
      </c>
    </row>
    <row r="2424" ht="25.5" customHeight="1" s="289">
      <c r="A2424" s="205" t="n"/>
      <c r="B2424" s="207" t="n"/>
      <c r="C2424" s="104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348" t="n"/>
      <c r="E2424" s="349">
        <f>IF(C2424="","",IFERROR(VLOOKUP(C2424,parametros!$A$11:$E$15,5,0),""))</f>
        <v/>
      </c>
      <c r="F2424" s="335">
        <f>IF(OR(D2424="",E2424=""),"",ROUND(D2424*E2424,2))</f>
        <v/>
      </c>
      <c r="G2424" s="106" t="n"/>
      <c r="H2424" s="350">
        <f>IF(G2424="Sim",IF(OR(F2424="",D2424="",L2424=""),"",IF(L2424="Sim",ROUND(F2424-D2424,2),0)),0)</f>
        <v/>
      </c>
      <c r="I2424" s="350">
        <f>IF(G2424="Sim",0,IF(OR(F2424="",L2424=""),"",F2424))</f>
        <v/>
      </c>
      <c r="J2424" s="350">
        <f>IF(G2424="Sim",0,IF(OR(F2424="",D2424="",L2424=""),"",IF(L2424="Sim",ROUND(F2424-D2424,2),0)))</f>
        <v/>
      </c>
      <c r="K2424" s="97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inlineStr">
        <is>
          <t>Nao</t>
        </is>
      </c>
      <c r="W2424" s="110" t="inlineStr">
        <is>
          <t>PC em analise</t>
        </is>
      </c>
      <c r="X2424" s="110" t="inlineStr">
        <is>
          <t>Pedido de Compra</t>
        </is>
      </c>
      <c r="Y2424" s="111" t="inlineStr">
        <is>
          <t>Impacto Potencial</t>
        </is>
      </c>
      <c r="Z2424" s="111" t="inlineStr">
        <is>
          <t>PC</t>
        </is>
      </c>
      <c r="AA2424" s="111" t="inlineStr">
        <is>
          <t>Nao</t>
        </is>
      </c>
      <c r="AB2424" s="111" t="inlineStr">
        <is>
          <t>NAO_COMPUTADO</t>
        </is>
      </c>
      <c r="AC2424" s="112" t="inlineStr">
        <is>
          <t>Estrutura Fase 1: sem impacto no VTA oficial</t>
        </is>
      </c>
    </row>
    <row r="2425" ht="25.5" customHeight="1" s="289">
      <c r="A2425" s="205" t="n"/>
      <c r="B2425" s="207" t="n"/>
      <c r="C2425" s="104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348" t="n"/>
      <c r="E2425" s="349">
        <f>IF(C2425="","",IFERROR(VLOOKUP(C2425,parametros!$A$11:$E$15,5,0),""))</f>
        <v/>
      </c>
      <c r="F2425" s="335">
        <f>IF(OR(D2425="",E2425=""),"",ROUND(D2425*E2425,2))</f>
        <v/>
      </c>
      <c r="G2425" s="106" t="n"/>
      <c r="H2425" s="350">
        <f>IF(G2425="Sim",IF(OR(F2425="",D2425="",L2425=""),"",IF(L2425="Sim",ROUND(F2425-D2425,2),0)),0)</f>
        <v/>
      </c>
      <c r="I2425" s="350">
        <f>IF(G2425="Sim",0,IF(OR(F2425="",L2425=""),"",F2425))</f>
        <v/>
      </c>
      <c r="J2425" s="350">
        <f>IF(G2425="Sim",0,IF(OR(F2425="",D2425="",L2425=""),"",IF(L2425="Sim",ROUND(F2425-D2425,2),0)))</f>
        <v/>
      </c>
      <c r="K2425" s="97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inlineStr">
        <is>
          <t>Nao</t>
        </is>
      </c>
      <c r="W2425" s="110" t="inlineStr">
        <is>
          <t>PC em analise</t>
        </is>
      </c>
      <c r="X2425" s="110" t="inlineStr">
        <is>
          <t>Pedido de Compra</t>
        </is>
      </c>
      <c r="Y2425" s="111" t="inlineStr">
        <is>
          <t>Impacto Potencial</t>
        </is>
      </c>
      <c r="Z2425" s="111" t="inlineStr">
        <is>
          <t>PC</t>
        </is>
      </c>
      <c r="AA2425" s="111" t="inlineStr">
        <is>
          <t>Nao</t>
        </is>
      </c>
      <c r="AB2425" s="111" t="inlineStr">
        <is>
          <t>NAO_COMPUTADO</t>
        </is>
      </c>
      <c r="AC2425" s="112" t="inlineStr">
        <is>
          <t>Estrutura Fase 1: sem impacto no VTA oficial</t>
        </is>
      </c>
    </row>
    <row r="2426" ht="25.5" customHeight="1" s="289">
      <c r="A2426" s="205" t="n"/>
      <c r="B2426" s="207" t="n"/>
      <c r="C2426" s="104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348" t="n"/>
      <c r="E2426" s="349">
        <f>IF(C2426="","",IFERROR(VLOOKUP(C2426,parametros!$A$11:$E$15,5,0),""))</f>
        <v/>
      </c>
      <c r="F2426" s="335">
        <f>IF(OR(D2426="",E2426=""),"",ROUND(D2426*E2426,2))</f>
        <v/>
      </c>
      <c r="G2426" s="106" t="n"/>
      <c r="H2426" s="350">
        <f>IF(G2426="Sim",IF(OR(F2426="",D2426="",L2426=""),"",IF(L2426="Sim",ROUND(F2426-D2426,2),0)),0)</f>
        <v/>
      </c>
      <c r="I2426" s="350">
        <f>IF(G2426="Sim",0,IF(OR(F2426="",L2426=""),"",F2426))</f>
        <v/>
      </c>
      <c r="J2426" s="350">
        <f>IF(G2426="Sim",0,IF(OR(F2426="",D2426="",L2426=""),"",IF(L2426="Sim",ROUND(F2426-D2426,2),0)))</f>
        <v/>
      </c>
      <c r="K2426" s="97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inlineStr">
        <is>
          <t>Nao</t>
        </is>
      </c>
      <c r="W2426" s="110" t="inlineStr">
        <is>
          <t>PC em analise</t>
        </is>
      </c>
      <c r="X2426" s="110" t="inlineStr">
        <is>
          <t>Pedido de Compra</t>
        </is>
      </c>
      <c r="Y2426" s="111" t="inlineStr">
        <is>
          <t>Impacto Potencial</t>
        </is>
      </c>
      <c r="Z2426" s="111" t="inlineStr">
        <is>
          <t>PC</t>
        </is>
      </c>
      <c r="AA2426" s="111" t="inlineStr">
        <is>
          <t>Nao</t>
        </is>
      </c>
      <c r="AB2426" s="111" t="inlineStr">
        <is>
          <t>NAO_COMPUTADO</t>
        </is>
      </c>
      <c r="AC2426" s="112" t="inlineStr">
        <is>
          <t>Estrutura Fase 1: sem impacto no VTA oficial</t>
        </is>
      </c>
    </row>
    <row r="2427" ht="25.5" customHeight="1" s="289">
      <c r="A2427" s="205" t="n"/>
      <c r="B2427" s="207" t="n"/>
      <c r="C2427" s="104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348" t="n"/>
      <c r="E2427" s="349">
        <f>IF(C2427="","",IFERROR(VLOOKUP(C2427,parametros!$A$11:$E$15,5,0),""))</f>
        <v/>
      </c>
      <c r="F2427" s="335">
        <f>IF(OR(D2427="",E2427=""),"",ROUND(D2427*E2427,2))</f>
        <v/>
      </c>
      <c r="G2427" s="106" t="n"/>
      <c r="H2427" s="350">
        <f>IF(G2427="Sim",IF(OR(F2427="",D2427="",L2427=""),"",IF(L2427="Sim",ROUND(F2427-D2427,2),0)),0)</f>
        <v/>
      </c>
      <c r="I2427" s="350">
        <f>IF(G2427="Sim",0,IF(OR(F2427="",L2427=""),"",F2427))</f>
        <v/>
      </c>
      <c r="J2427" s="350">
        <f>IF(G2427="Sim",0,IF(OR(F2427="",D2427="",L2427=""),"",IF(L2427="Sim",ROUND(F2427-D2427,2),0)))</f>
        <v/>
      </c>
      <c r="K2427" s="97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inlineStr">
        <is>
          <t>Nao</t>
        </is>
      </c>
      <c r="W2427" s="110" t="inlineStr">
        <is>
          <t>PC em analise</t>
        </is>
      </c>
      <c r="X2427" s="110" t="inlineStr">
        <is>
          <t>Pedido de Compra</t>
        </is>
      </c>
      <c r="Y2427" s="111" t="inlineStr">
        <is>
          <t>Impacto Potencial</t>
        </is>
      </c>
      <c r="Z2427" s="111" t="inlineStr">
        <is>
          <t>PC</t>
        </is>
      </c>
      <c r="AA2427" s="111" t="inlineStr">
        <is>
          <t>Nao</t>
        </is>
      </c>
      <c r="AB2427" s="111" t="inlineStr">
        <is>
          <t>NAO_COMPUTADO</t>
        </is>
      </c>
      <c r="AC2427" s="112" t="inlineStr">
        <is>
          <t>Estrutura Fase 1: sem impacto no VTA oficial</t>
        </is>
      </c>
    </row>
    <row r="2428" ht="25.5" customHeight="1" s="289">
      <c r="A2428" s="205" t="n"/>
      <c r="B2428" s="207" t="n"/>
      <c r="C2428" s="104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348" t="n"/>
      <c r="E2428" s="349">
        <f>IF(C2428="","",IFERROR(VLOOKUP(C2428,parametros!$A$11:$E$15,5,0),""))</f>
        <v/>
      </c>
      <c r="F2428" s="335">
        <f>IF(OR(D2428="",E2428=""),"",ROUND(D2428*E2428,2))</f>
        <v/>
      </c>
      <c r="G2428" s="106" t="n"/>
      <c r="H2428" s="350">
        <f>IF(G2428="Sim",IF(OR(F2428="",D2428="",L2428=""),"",IF(L2428="Sim",ROUND(F2428-D2428,2),0)),0)</f>
        <v/>
      </c>
      <c r="I2428" s="350">
        <f>IF(G2428="Sim",0,IF(OR(F2428="",L2428=""),"",F2428))</f>
        <v/>
      </c>
      <c r="J2428" s="350">
        <f>IF(G2428="Sim",0,IF(OR(F2428="",D2428="",L2428=""),"",IF(L2428="Sim",ROUND(F2428-D2428,2),0)))</f>
        <v/>
      </c>
      <c r="K2428" s="97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inlineStr">
        <is>
          <t>Nao</t>
        </is>
      </c>
      <c r="W2428" s="110" t="inlineStr">
        <is>
          <t>PC em analise</t>
        </is>
      </c>
      <c r="X2428" s="110" t="inlineStr">
        <is>
          <t>Pedido de Compra</t>
        </is>
      </c>
      <c r="Y2428" s="111" t="inlineStr">
        <is>
          <t>Impacto Potencial</t>
        </is>
      </c>
      <c r="Z2428" s="111" t="inlineStr">
        <is>
          <t>PC</t>
        </is>
      </c>
      <c r="AA2428" s="111" t="inlineStr">
        <is>
          <t>Nao</t>
        </is>
      </c>
      <c r="AB2428" s="111" t="inlineStr">
        <is>
          <t>NAO_COMPUTADO</t>
        </is>
      </c>
      <c r="AC2428" s="112" t="inlineStr">
        <is>
          <t>Estrutura Fase 1: sem impacto no VTA oficial</t>
        </is>
      </c>
    </row>
    <row r="2429" ht="25.5" customHeight="1" s="289">
      <c r="A2429" s="205" t="n"/>
      <c r="B2429" s="207" t="n"/>
      <c r="C2429" s="104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348" t="n"/>
      <c r="E2429" s="349">
        <f>IF(C2429="","",IFERROR(VLOOKUP(C2429,parametros!$A$11:$E$15,5,0),""))</f>
        <v/>
      </c>
      <c r="F2429" s="335">
        <f>IF(OR(D2429="",E2429=""),"",ROUND(D2429*E2429,2))</f>
        <v/>
      </c>
      <c r="G2429" s="106" t="n"/>
      <c r="H2429" s="350">
        <f>IF(G2429="Sim",IF(OR(F2429="",D2429="",L2429=""),"",IF(L2429="Sim",ROUND(F2429-D2429,2),0)),0)</f>
        <v/>
      </c>
      <c r="I2429" s="350">
        <f>IF(G2429="Sim",0,IF(OR(F2429="",L2429=""),"",F2429))</f>
        <v/>
      </c>
      <c r="J2429" s="350">
        <f>IF(G2429="Sim",0,IF(OR(F2429="",D2429="",L2429=""),"",IF(L2429="Sim",ROUND(F2429-D2429,2),0)))</f>
        <v/>
      </c>
      <c r="K2429" s="97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inlineStr">
        <is>
          <t>Nao</t>
        </is>
      </c>
      <c r="W2429" s="110" t="inlineStr">
        <is>
          <t>PC em analise</t>
        </is>
      </c>
      <c r="X2429" s="110" t="inlineStr">
        <is>
          <t>Pedido de Compra</t>
        </is>
      </c>
      <c r="Y2429" s="111" t="inlineStr">
        <is>
          <t>Impacto Potencial</t>
        </is>
      </c>
      <c r="Z2429" s="111" t="inlineStr">
        <is>
          <t>PC</t>
        </is>
      </c>
      <c r="AA2429" s="111" t="inlineStr">
        <is>
          <t>Nao</t>
        </is>
      </c>
      <c r="AB2429" s="111" t="inlineStr">
        <is>
          <t>NAO_COMPUTADO</t>
        </is>
      </c>
      <c r="AC2429" s="112" t="inlineStr">
        <is>
          <t>Estrutura Fase 1: sem impacto no VTA oficial</t>
        </is>
      </c>
    </row>
    <row r="2430" ht="25.5" customHeight="1" s="289">
      <c r="A2430" s="205" t="n"/>
      <c r="B2430" s="207" t="n"/>
      <c r="C2430" s="104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348" t="n"/>
      <c r="E2430" s="349">
        <f>IF(C2430="","",IFERROR(VLOOKUP(C2430,parametros!$A$11:$E$15,5,0),""))</f>
        <v/>
      </c>
      <c r="F2430" s="335">
        <f>IF(OR(D2430="",E2430=""),"",ROUND(D2430*E2430,2))</f>
        <v/>
      </c>
      <c r="G2430" s="106" t="n"/>
      <c r="H2430" s="350">
        <f>IF(G2430="Sim",IF(OR(F2430="",D2430="",L2430=""),"",IF(L2430="Sim",ROUND(F2430-D2430,2),0)),0)</f>
        <v/>
      </c>
      <c r="I2430" s="350">
        <f>IF(G2430="Sim",0,IF(OR(F2430="",L2430=""),"",F2430))</f>
        <v/>
      </c>
      <c r="J2430" s="350">
        <f>IF(G2430="Sim",0,IF(OR(F2430="",D2430="",L2430=""),"",IF(L2430="Sim",ROUND(F2430-D2430,2),0)))</f>
        <v/>
      </c>
      <c r="K2430" s="97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inlineStr">
        <is>
          <t>Nao</t>
        </is>
      </c>
      <c r="W2430" s="110" t="inlineStr">
        <is>
          <t>PC em analise</t>
        </is>
      </c>
      <c r="X2430" s="110" t="inlineStr">
        <is>
          <t>Pedido de Compra</t>
        </is>
      </c>
      <c r="Y2430" s="111" t="inlineStr">
        <is>
          <t>Impacto Potencial</t>
        </is>
      </c>
      <c r="Z2430" s="111" t="inlineStr">
        <is>
          <t>PC</t>
        </is>
      </c>
      <c r="AA2430" s="111" t="inlineStr">
        <is>
          <t>Nao</t>
        </is>
      </c>
      <c r="AB2430" s="111" t="inlineStr">
        <is>
          <t>NAO_COMPUTADO</t>
        </is>
      </c>
      <c r="AC2430" s="112" t="inlineStr">
        <is>
          <t>Estrutura Fase 1: sem impacto no VTA oficial</t>
        </is>
      </c>
    </row>
    <row r="2431" ht="25.5" customHeight="1" s="289">
      <c r="A2431" s="205" t="n"/>
      <c r="B2431" s="207" t="n"/>
      <c r="C2431" s="104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348" t="n"/>
      <c r="E2431" s="349">
        <f>IF(C2431="","",IFERROR(VLOOKUP(C2431,parametros!$A$11:$E$15,5,0),""))</f>
        <v/>
      </c>
      <c r="F2431" s="335">
        <f>IF(OR(D2431="",E2431=""),"",ROUND(D2431*E2431,2))</f>
        <v/>
      </c>
      <c r="G2431" s="106" t="n"/>
      <c r="H2431" s="350">
        <f>IF(G2431="Sim",IF(OR(F2431="",D2431="",L2431=""),"",IF(L2431="Sim",ROUND(F2431-D2431,2),0)),0)</f>
        <v/>
      </c>
      <c r="I2431" s="350">
        <f>IF(G2431="Sim",0,IF(OR(F2431="",L2431=""),"",F2431))</f>
        <v/>
      </c>
      <c r="J2431" s="350">
        <f>IF(G2431="Sim",0,IF(OR(F2431="",D2431="",L2431=""),"",IF(L2431="Sim",ROUND(F2431-D2431,2),0)))</f>
        <v/>
      </c>
      <c r="K2431" s="97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inlineStr">
        <is>
          <t>Nao</t>
        </is>
      </c>
      <c r="W2431" s="110" t="inlineStr">
        <is>
          <t>PC em analise</t>
        </is>
      </c>
      <c r="X2431" s="110" t="inlineStr">
        <is>
          <t>Pedido de Compra</t>
        </is>
      </c>
      <c r="Y2431" s="111" t="inlineStr">
        <is>
          <t>Impacto Potencial</t>
        </is>
      </c>
      <c r="Z2431" s="111" t="inlineStr">
        <is>
          <t>PC</t>
        </is>
      </c>
      <c r="AA2431" s="111" t="inlineStr">
        <is>
          <t>Nao</t>
        </is>
      </c>
      <c r="AB2431" s="111" t="inlineStr">
        <is>
          <t>NAO_COMPUTADO</t>
        </is>
      </c>
      <c r="AC2431" s="112" t="inlineStr">
        <is>
          <t>Estrutura Fase 1: sem impacto no VTA oficial</t>
        </is>
      </c>
    </row>
    <row r="2432" ht="25.5" customHeight="1" s="289">
      <c r="A2432" s="205" t="n"/>
      <c r="B2432" s="207" t="n"/>
      <c r="C2432" s="104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348" t="n"/>
      <c r="E2432" s="349">
        <f>IF(C2432="","",IFERROR(VLOOKUP(C2432,parametros!$A$11:$E$15,5,0),""))</f>
        <v/>
      </c>
      <c r="F2432" s="335">
        <f>IF(OR(D2432="",E2432=""),"",ROUND(D2432*E2432,2))</f>
        <v/>
      </c>
      <c r="G2432" s="106" t="n"/>
      <c r="H2432" s="350">
        <f>IF(G2432="Sim",IF(OR(F2432="",D2432="",L2432=""),"",IF(L2432="Sim",ROUND(F2432-D2432,2),0)),0)</f>
        <v/>
      </c>
      <c r="I2432" s="350">
        <f>IF(G2432="Sim",0,IF(OR(F2432="",L2432=""),"",F2432))</f>
        <v/>
      </c>
      <c r="J2432" s="350">
        <f>IF(G2432="Sim",0,IF(OR(F2432="",D2432="",L2432=""),"",IF(L2432="Sim",ROUND(F2432-D2432,2),0)))</f>
        <v/>
      </c>
      <c r="K2432" s="97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inlineStr">
        <is>
          <t>Nao</t>
        </is>
      </c>
      <c r="W2432" s="110" t="inlineStr">
        <is>
          <t>PC em analise</t>
        </is>
      </c>
      <c r="X2432" s="110" t="inlineStr">
        <is>
          <t>Pedido de Compra</t>
        </is>
      </c>
      <c r="Y2432" s="111" t="inlineStr">
        <is>
          <t>Impacto Potencial</t>
        </is>
      </c>
      <c r="Z2432" s="111" t="inlineStr">
        <is>
          <t>PC</t>
        </is>
      </c>
      <c r="AA2432" s="111" t="inlineStr">
        <is>
          <t>Nao</t>
        </is>
      </c>
      <c r="AB2432" s="111" t="inlineStr">
        <is>
          <t>NAO_COMPUTADO</t>
        </is>
      </c>
      <c r="AC2432" s="112" t="inlineStr">
        <is>
          <t>Estrutura Fase 1: sem impacto no VTA oficial</t>
        </is>
      </c>
    </row>
    <row r="2433" ht="25.5" customHeight="1" s="289">
      <c r="A2433" s="205" t="n"/>
      <c r="B2433" s="207" t="n"/>
      <c r="C2433" s="104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348" t="n"/>
      <c r="E2433" s="349">
        <f>IF(C2433="","",IFERROR(VLOOKUP(C2433,parametros!$A$11:$E$15,5,0),""))</f>
        <v/>
      </c>
      <c r="F2433" s="335">
        <f>IF(OR(D2433="",E2433=""),"",ROUND(D2433*E2433,2))</f>
        <v/>
      </c>
      <c r="G2433" s="106" t="n"/>
      <c r="H2433" s="350">
        <f>IF(G2433="Sim",IF(OR(F2433="",D2433="",L2433=""),"",IF(L2433="Sim",ROUND(F2433-D2433,2),0)),0)</f>
        <v/>
      </c>
      <c r="I2433" s="350">
        <f>IF(G2433="Sim",0,IF(OR(F2433="",L2433=""),"",F2433))</f>
        <v/>
      </c>
      <c r="J2433" s="350">
        <f>IF(G2433="Sim",0,IF(OR(F2433="",D2433="",L2433=""),"",IF(L2433="Sim",ROUND(F2433-D2433,2),0)))</f>
        <v/>
      </c>
      <c r="K2433" s="97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inlineStr">
        <is>
          <t>Nao</t>
        </is>
      </c>
      <c r="W2433" s="110" t="inlineStr">
        <is>
          <t>PC em analise</t>
        </is>
      </c>
      <c r="X2433" s="110" t="inlineStr">
        <is>
          <t>Pedido de Compra</t>
        </is>
      </c>
      <c r="Y2433" s="111" t="inlineStr">
        <is>
          <t>Impacto Potencial</t>
        </is>
      </c>
      <c r="Z2433" s="111" t="inlineStr">
        <is>
          <t>PC</t>
        </is>
      </c>
      <c r="AA2433" s="111" t="inlineStr">
        <is>
          <t>Nao</t>
        </is>
      </c>
      <c r="AB2433" s="111" t="inlineStr">
        <is>
          <t>NAO_COMPUTADO</t>
        </is>
      </c>
      <c r="AC2433" s="112" t="inlineStr">
        <is>
          <t>Estrutura Fase 1: sem impacto no VTA oficial</t>
        </is>
      </c>
    </row>
    <row r="2434" ht="25.5" customHeight="1" s="289">
      <c r="A2434" s="205" t="n"/>
      <c r="B2434" s="207" t="n"/>
      <c r="C2434" s="104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348" t="n"/>
      <c r="E2434" s="349">
        <f>IF(C2434="","",IFERROR(VLOOKUP(C2434,parametros!$A$11:$E$15,5,0),""))</f>
        <v/>
      </c>
      <c r="F2434" s="335">
        <f>IF(OR(D2434="",E2434=""),"",ROUND(D2434*E2434,2))</f>
        <v/>
      </c>
      <c r="G2434" s="106" t="n"/>
      <c r="H2434" s="350">
        <f>IF(G2434="Sim",IF(OR(F2434="",D2434="",L2434=""),"",IF(L2434="Sim",ROUND(F2434-D2434,2),0)),0)</f>
        <v/>
      </c>
      <c r="I2434" s="350">
        <f>IF(G2434="Sim",0,IF(OR(F2434="",L2434=""),"",F2434))</f>
        <v/>
      </c>
      <c r="J2434" s="350">
        <f>IF(G2434="Sim",0,IF(OR(F2434="",D2434="",L2434=""),"",IF(L2434="Sim",ROUND(F2434-D2434,2),0)))</f>
        <v/>
      </c>
      <c r="K2434" s="97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inlineStr">
        <is>
          <t>Nao</t>
        </is>
      </c>
      <c r="W2434" s="110" t="inlineStr">
        <is>
          <t>PC em analise</t>
        </is>
      </c>
      <c r="X2434" s="110" t="inlineStr">
        <is>
          <t>Pedido de Compra</t>
        </is>
      </c>
      <c r="Y2434" s="111" t="inlineStr">
        <is>
          <t>Impacto Potencial</t>
        </is>
      </c>
      <c r="Z2434" s="111" t="inlineStr">
        <is>
          <t>PC</t>
        </is>
      </c>
      <c r="AA2434" s="111" t="inlineStr">
        <is>
          <t>Nao</t>
        </is>
      </c>
      <c r="AB2434" s="111" t="inlineStr">
        <is>
          <t>NAO_COMPUTADO</t>
        </is>
      </c>
      <c r="AC2434" s="112" t="inlineStr">
        <is>
          <t>Estrutura Fase 1: sem impacto no VTA oficial</t>
        </is>
      </c>
    </row>
    <row r="2435" ht="25.5" customHeight="1" s="289">
      <c r="A2435" s="205" t="n"/>
      <c r="B2435" s="207" t="n"/>
      <c r="C2435" s="104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348" t="n"/>
      <c r="E2435" s="349">
        <f>IF(C2435="","",IFERROR(VLOOKUP(C2435,parametros!$A$11:$E$15,5,0),""))</f>
        <v/>
      </c>
      <c r="F2435" s="335">
        <f>IF(OR(D2435="",E2435=""),"",ROUND(D2435*E2435,2))</f>
        <v/>
      </c>
      <c r="G2435" s="106" t="n"/>
      <c r="H2435" s="350">
        <f>IF(G2435="Sim",IF(OR(F2435="",D2435="",L2435=""),"",IF(L2435="Sim",ROUND(F2435-D2435,2),0)),0)</f>
        <v/>
      </c>
      <c r="I2435" s="350">
        <f>IF(G2435="Sim",0,IF(OR(F2435="",L2435=""),"",F2435))</f>
        <v/>
      </c>
      <c r="J2435" s="350">
        <f>IF(G2435="Sim",0,IF(OR(F2435="",D2435="",L2435=""),"",IF(L2435="Sim",ROUND(F2435-D2435,2),0)))</f>
        <v/>
      </c>
      <c r="K2435" s="97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inlineStr">
        <is>
          <t>Nao</t>
        </is>
      </c>
      <c r="W2435" s="110" t="inlineStr">
        <is>
          <t>PC em analise</t>
        </is>
      </c>
      <c r="X2435" s="110" t="inlineStr">
        <is>
          <t>Pedido de Compra</t>
        </is>
      </c>
      <c r="Y2435" s="111" t="inlineStr">
        <is>
          <t>Impacto Potencial</t>
        </is>
      </c>
      <c r="Z2435" s="111" t="inlineStr">
        <is>
          <t>PC</t>
        </is>
      </c>
      <c r="AA2435" s="111" t="inlineStr">
        <is>
          <t>Nao</t>
        </is>
      </c>
      <c r="AB2435" s="111" t="inlineStr">
        <is>
          <t>NAO_COMPUTADO</t>
        </is>
      </c>
      <c r="AC2435" s="112" t="inlineStr">
        <is>
          <t>Estrutura Fase 1: sem impacto no VTA oficial</t>
        </is>
      </c>
    </row>
    <row r="2436" ht="25.5" customHeight="1" s="289">
      <c r="A2436" s="205" t="n"/>
      <c r="B2436" s="207" t="n"/>
      <c r="C2436" s="104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348" t="n"/>
      <c r="E2436" s="349">
        <f>IF(C2436="","",IFERROR(VLOOKUP(C2436,parametros!$A$11:$E$15,5,0),""))</f>
        <v/>
      </c>
      <c r="F2436" s="335">
        <f>IF(OR(D2436="",E2436=""),"",ROUND(D2436*E2436,2))</f>
        <v/>
      </c>
      <c r="G2436" s="106" t="n"/>
      <c r="H2436" s="350">
        <f>IF(G2436="Sim",IF(OR(F2436="",D2436="",L2436=""),"",IF(L2436="Sim",ROUND(F2436-D2436,2),0)),0)</f>
        <v/>
      </c>
      <c r="I2436" s="350">
        <f>IF(G2436="Sim",0,IF(OR(F2436="",L2436=""),"",F2436))</f>
        <v/>
      </c>
      <c r="J2436" s="350">
        <f>IF(G2436="Sim",0,IF(OR(F2436="",D2436="",L2436=""),"",IF(L2436="Sim",ROUND(F2436-D2436,2),0)))</f>
        <v/>
      </c>
      <c r="K2436" s="97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inlineStr">
        <is>
          <t>Nao</t>
        </is>
      </c>
      <c r="W2436" s="110" t="inlineStr">
        <is>
          <t>PC em analise</t>
        </is>
      </c>
      <c r="X2436" s="110" t="inlineStr">
        <is>
          <t>Pedido de Compra</t>
        </is>
      </c>
      <c r="Y2436" s="111" t="inlineStr">
        <is>
          <t>Impacto Potencial</t>
        </is>
      </c>
      <c r="Z2436" s="111" t="inlineStr">
        <is>
          <t>PC</t>
        </is>
      </c>
      <c r="AA2436" s="111" t="inlineStr">
        <is>
          <t>Nao</t>
        </is>
      </c>
      <c r="AB2436" s="111" t="inlineStr">
        <is>
          <t>NAO_COMPUTADO</t>
        </is>
      </c>
      <c r="AC2436" s="112" t="inlineStr">
        <is>
          <t>Estrutura Fase 1: sem impacto no VTA oficial</t>
        </is>
      </c>
    </row>
    <row r="2437" ht="25.5" customHeight="1" s="289">
      <c r="A2437" s="205" t="n"/>
      <c r="B2437" s="207" t="n"/>
      <c r="C2437" s="104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348" t="n"/>
      <c r="E2437" s="349">
        <f>IF(C2437="","",IFERROR(VLOOKUP(C2437,parametros!$A$11:$E$15,5,0),""))</f>
        <v/>
      </c>
      <c r="F2437" s="335">
        <f>IF(OR(D2437="",E2437=""),"",ROUND(D2437*E2437,2))</f>
        <v/>
      </c>
      <c r="G2437" s="106" t="n"/>
      <c r="H2437" s="350">
        <f>IF(G2437="Sim",IF(OR(F2437="",D2437="",L2437=""),"",IF(L2437="Sim",ROUND(F2437-D2437,2),0)),0)</f>
        <v/>
      </c>
      <c r="I2437" s="350">
        <f>IF(G2437="Sim",0,IF(OR(F2437="",L2437=""),"",F2437))</f>
        <v/>
      </c>
      <c r="J2437" s="350">
        <f>IF(G2437="Sim",0,IF(OR(F2437="",D2437="",L2437=""),"",IF(L2437="Sim",ROUND(F2437-D2437,2),0)))</f>
        <v/>
      </c>
      <c r="K2437" s="97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inlineStr">
        <is>
          <t>Nao</t>
        </is>
      </c>
      <c r="W2437" s="110" t="inlineStr">
        <is>
          <t>PC em analise</t>
        </is>
      </c>
      <c r="X2437" s="110" t="inlineStr">
        <is>
          <t>Pedido de Compra</t>
        </is>
      </c>
      <c r="Y2437" s="111" t="inlineStr">
        <is>
          <t>Impacto Potencial</t>
        </is>
      </c>
      <c r="Z2437" s="111" t="inlineStr">
        <is>
          <t>PC</t>
        </is>
      </c>
      <c r="AA2437" s="111" t="inlineStr">
        <is>
          <t>Nao</t>
        </is>
      </c>
      <c r="AB2437" s="111" t="inlineStr">
        <is>
          <t>NAO_COMPUTADO</t>
        </is>
      </c>
      <c r="AC2437" s="112" t="inlineStr">
        <is>
          <t>Estrutura Fase 1: sem impacto no VTA oficial</t>
        </is>
      </c>
    </row>
    <row r="2438" ht="25.5" customHeight="1" s="289">
      <c r="A2438" s="205" t="n"/>
      <c r="B2438" s="207" t="n"/>
      <c r="C2438" s="104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348" t="n"/>
      <c r="E2438" s="349">
        <f>IF(C2438="","",IFERROR(VLOOKUP(C2438,parametros!$A$11:$E$15,5,0),""))</f>
        <v/>
      </c>
      <c r="F2438" s="335">
        <f>IF(OR(D2438="",E2438=""),"",ROUND(D2438*E2438,2))</f>
        <v/>
      </c>
      <c r="G2438" s="106" t="n"/>
      <c r="H2438" s="350">
        <f>IF(G2438="Sim",IF(OR(F2438="",D2438="",L2438=""),"",IF(L2438="Sim",ROUND(F2438-D2438,2),0)),0)</f>
        <v/>
      </c>
      <c r="I2438" s="350">
        <f>IF(G2438="Sim",0,IF(OR(F2438="",L2438=""),"",F2438))</f>
        <v/>
      </c>
      <c r="J2438" s="350">
        <f>IF(G2438="Sim",0,IF(OR(F2438="",D2438="",L2438=""),"",IF(L2438="Sim",ROUND(F2438-D2438,2),0)))</f>
        <v/>
      </c>
      <c r="K2438" s="97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inlineStr">
        <is>
          <t>Nao</t>
        </is>
      </c>
      <c r="W2438" s="110" t="inlineStr">
        <is>
          <t>PC em analise</t>
        </is>
      </c>
      <c r="X2438" s="110" t="inlineStr">
        <is>
          <t>Pedido de Compra</t>
        </is>
      </c>
      <c r="Y2438" s="111" t="inlineStr">
        <is>
          <t>Impacto Potencial</t>
        </is>
      </c>
      <c r="Z2438" s="111" t="inlineStr">
        <is>
          <t>PC</t>
        </is>
      </c>
      <c r="AA2438" s="111" t="inlineStr">
        <is>
          <t>Nao</t>
        </is>
      </c>
      <c r="AB2438" s="111" t="inlineStr">
        <is>
          <t>NAO_COMPUTADO</t>
        </is>
      </c>
      <c r="AC2438" s="112" t="inlineStr">
        <is>
          <t>Estrutura Fase 1: sem impacto no VTA oficial</t>
        </is>
      </c>
    </row>
    <row r="2439" ht="25.5" customHeight="1" s="289">
      <c r="A2439" s="205" t="n"/>
      <c r="B2439" s="207" t="n"/>
      <c r="C2439" s="104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348" t="n"/>
      <c r="E2439" s="349">
        <f>IF(C2439="","",IFERROR(VLOOKUP(C2439,parametros!$A$11:$E$15,5,0),""))</f>
        <v/>
      </c>
      <c r="F2439" s="335">
        <f>IF(OR(D2439="",E2439=""),"",ROUND(D2439*E2439,2))</f>
        <v/>
      </c>
      <c r="G2439" s="106" t="n"/>
      <c r="H2439" s="350">
        <f>IF(G2439="Sim",IF(OR(F2439="",D2439="",L2439=""),"",IF(L2439="Sim",ROUND(F2439-D2439,2),0)),0)</f>
        <v/>
      </c>
      <c r="I2439" s="350">
        <f>IF(G2439="Sim",0,IF(OR(F2439="",L2439=""),"",F2439))</f>
        <v/>
      </c>
      <c r="J2439" s="350">
        <f>IF(G2439="Sim",0,IF(OR(F2439="",D2439="",L2439=""),"",IF(L2439="Sim",ROUND(F2439-D2439,2),0)))</f>
        <v/>
      </c>
      <c r="K2439" s="97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inlineStr">
        <is>
          <t>Nao</t>
        </is>
      </c>
      <c r="W2439" s="110" t="inlineStr">
        <is>
          <t>PC em analise</t>
        </is>
      </c>
      <c r="X2439" s="110" t="inlineStr">
        <is>
          <t>Pedido de Compra</t>
        </is>
      </c>
      <c r="Y2439" s="111" t="inlineStr">
        <is>
          <t>Impacto Potencial</t>
        </is>
      </c>
      <c r="Z2439" s="111" t="inlineStr">
        <is>
          <t>PC</t>
        </is>
      </c>
      <c r="AA2439" s="111" t="inlineStr">
        <is>
          <t>Nao</t>
        </is>
      </c>
      <c r="AB2439" s="111" t="inlineStr">
        <is>
          <t>NAO_COMPUTADO</t>
        </is>
      </c>
      <c r="AC2439" s="112" t="inlineStr">
        <is>
          <t>Estrutura Fase 1: sem impacto no VTA oficial</t>
        </is>
      </c>
    </row>
    <row r="2440" ht="25.5" customHeight="1" s="289">
      <c r="A2440" s="205" t="n"/>
      <c r="B2440" s="207" t="n"/>
      <c r="C2440" s="104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348" t="n"/>
      <c r="E2440" s="349">
        <f>IF(C2440="","",IFERROR(VLOOKUP(C2440,parametros!$A$11:$E$15,5,0),""))</f>
        <v/>
      </c>
      <c r="F2440" s="335">
        <f>IF(OR(D2440="",E2440=""),"",ROUND(D2440*E2440,2))</f>
        <v/>
      </c>
      <c r="G2440" s="106" t="n"/>
      <c r="H2440" s="350">
        <f>IF(G2440="Sim",IF(OR(F2440="",D2440="",L2440=""),"",IF(L2440="Sim",ROUND(F2440-D2440,2),0)),0)</f>
        <v/>
      </c>
      <c r="I2440" s="350">
        <f>IF(G2440="Sim",0,IF(OR(F2440="",L2440=""),"",F2440))</f>
        <v/>
      </c>
      <c r="J2440" s="350">
        <f>IF(G2440="Sim",0,IF(OR(F2440="",D2440="",L2440=""),"",IF(L2440="Sim",ROUND(F2440-D2440,2),0)))</f>
        <v/>
      </c>
      <c r="K2440" s="97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inlineStr">
        <is>
          <t>Nao</t>
        </is>
      </c>
      <c r="W2440" s="110" t="inlineStr">
        <is>
          <t>PC em analise</t>
        </is>
      </c>
      <c r="X2440" s="110" t="inlineStr">
        <is>
          <t>Pedido de Compra</t>
        </is>
      </c>
      <c r="Y2440" s="111" t="inlineStr">
        <is>
          <t>Impacto Potencial</t>
        </is>
      </c>
      <c r="Z2440" s="111" t="inlineStr">
        <is>
          <t>PC</t>
        </is>
      </c>
      <c r="AA2440" s="111" t="inlineStr">
        <is>
          <t>Nao</t>
        </is>
      </c>
      <c r="AB2440" s="111" t="inlineStr">
        <is>
          <t>NAO_COMPUTADO</t>
        </is>
      </c>
      <c r="AC2440" s="112" t="inlineStr">
        <is>
          <t>Estrutura Fase 1: sem impacto no VTA oficial</t>
        </is>
      </c>
    </row>
    <row r="2441" ht="25.5" customHeight="1" s="289">
      <c r="A2441" s="205" t="n"/>
      <c r="B2441" s="207" t="n"/>
      <c r="C2441" s="104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348" t="n"/>
      <c r="E2441" s="349">
        <f>IF(C2441="","",IFERROR(VLOOKUP(C2441,parametros!$A$11:$E$15,5,0),""))</f>
        <v/>
      </c>
      <c r="F2441" s="335">
        <f>IF(OR(D2441="",E2441=""),"",ROUND(D2441*E2441,2))</f>
        <v/>
      </c>
      <c r="G2441" s="106" t="n"/>
      <c r="H2441" s="350">
        <f>IF(G2441="Sim",IF(OR(F2441="",D2441="",L2441=""),"",IF(L2441="Sim",ROUND(F2441-D2441,2),0)),0)</f>
        <v/>
      </c>
      <c r="I2441" s="350">
        <f>IF(G2441="Sim",0,IF(OR(F2441="",L2441=""),"",F2441))</f>
        <v/>
      </c>
      <c r="J2441" s="350">
        <f>IF(G2441="Sim",0,IF(OR(F2441="",D2441="",L2441=""),"",IF(L2441="Sim",ROUND(F2441-D2441,2),0)))</f>
        <v/>
      </c>
      <c r="K2441" s="97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inlineStr">
        <is>
          <t>Nao</t>
        </is>
      </c>
      <c r="W2441" s="110" t="inlineStr">
        <is>
          <t>PC em analise</t>
        </is>
      </c>
      <c r="X2441" s="110" t="inlineStr">
        <is>
          <t>Pedido de Compra</t>
        </is>
      </c>
      <c r="Y2441" s="111" t="inlineStr">
        <is>
          <t>Impacto Potencial</t>
        </is>
      </c>
      <c r="Z2441" s="111" t="inlineStr">
        <is>
          <t>PC</t>
        </is>
      </c>
      <c r="AA2441" s="111" t="inlineStr">
        <is>
          <t>Nao</t>
        </is>
      </c>
      <c r="AB2441" s="111" t="inlineStr">
        <is>
          <t>NAO_COMPUTADO</t>
        </is>
      </c>
      <c r="AC2441" s="112" t="inlineStr">
        <is>
          <t>Estrutura Fase 1: sem impacto no VTA oficial</t>
        </is>
      </c>
    </row>
    <row r="2442" ht="25.5" customHeight="1" s="289">
      <c r="A2442" s="205" t="n"/>
      <c r="B2442" s="207" t="n"/>
      <c r="C2442" s="104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348" t="n"/>
      <c r="E2442" s="349">
        <f>IF(C2442="","",IFERROR(VLOOKUP(C2442,parametros!$A$11:$E$15,5,0),""))</f>
        <v/>
      </c>
      <c r="F2442" s="335">
        <f>IF(OR(D2442="",E2442=""),"",ROUND(D2442*E2442,2))</f>
        <v/>
      </c>
      <c r="G2442" s="106" t="n"/>
      <c r="H2442" s="350">
        <f>IF(G2442="Sim",IF(OR(F2442="",D2442="",L2442=""),"",IF(L2442="Sim",ROUND(F2442-D2442,2),0)),0)</f>
        <v/>
      </c>
      <c r="I2442" s="350">
        <f>IF(G2442="Sim",0,IF(OR(F2442="",L2442=""),"",F2442))</f>
        <v/>
      </c>
      <c r="J2442" s="350">
        <f>IF(G2442="Sim",0,IF(OR(F2442="",D2442="",L2442=""),"",IF(L2442="Sim",ROUND(F2442-D2442,2),0)))</f>
        <v/>
      </c>
      <c r="K2442" s="97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inlineStr">
        <is>
          <t>Nao</t>
        </is>
      </c>
      <c r="W2442" s="110" t="inlineStr">
        <is>
          <t>PC em analise</t>
        </is>
      </c>
      <c r="X2442" s="110" t="inlineStr">
        <is>
          <t>Pedido de Compra</t>
        </is>
      </c>
      <c r="Y2442" s="111" t="inlineStr">
        <is>
          <t>Impacto Potencial</t>
        </is>
      </c>
      <c r="Z2442" s="111" t="inlineStr">
        <is>
          <t>PC</t>
        </is>
      </c>
      <c r="AA2442" s="111" t="inlineStr">
        <is>
          <t>Nao</t>
        </is>
      </c>
      <c r="AB2442" s="111" t="inlineStr">
        <is>
          <t>NAO_COMPUTADO</t>
        </is>
      </c>
      <c r="AC2442" s="112" t="inlineStr">
        <is>
          <t>Estrutura Fase 1: sem impacto no VTA oficial</t>
        </is>
      </c>
    </row>
    <row r="2443" ht="25.5" customHeight="1" s="289">
      <c r="A2443" s="205" t="n"/>
      <c r="B2443" s="207" t="n"/>
      <c r="C2443" s="104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348" t="n"/>
      <c r="E2443" s="349">
        <f>IF(C2443="","",IFERROR(VLOOKUP(C2443,parametros!$A$11:$E$15,5,0),""))</f>
        <v/>
      </c>
      <c r="F2443" s="335">
        <f>IF(OR(D2443="",E2443=""),"",ROUND(D2443*E2443,2))</f>
        <v/>
      </c>
      <c r="G2443" s="106" t="n"/>
      <c r="H2443" s="350">
        <f>IF(G2443="Sim",IF(OR(F2443="",D2443="",L2443=""),"",IF(L2443="Sim",ROUND(F2443-D2443,2),0)),0)</f>
        <v/>
      </c>
      <c r="I2443" s="350">
        <f>IF(G2443="Sim",0,IF(OR(F2443="",L2443=""),"",F2443))</f>
        <v/>
      </c>
      <c r="J2443" s="350">
        <f>IF(G2443="Sim",0,IF(OR(F2443="",D2443="",L2443=""),"",IF(L2443="Sim",ROUND(F2443-D2443,2),0)))</f>
        <v/>
      </c>
      <c r="K2443" s="97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inlineStr">
        <is>
          <t>Nao</t>
        </is>
      </c>
      <c r="W2443" s="110" t="inlineStr">
        <is>
          <t>PC em analise</t>
        </is>
      </c>
      <c r="X2443" s="110" t="inlineStr">
        <is>
          <t>Pedido de Compra</t>
        </is>
      </c>
      <c r="Y2443" s="111" t="inlineStr">
        <is>
          <t>Impacto Potencial</t>
        </is>
      </c>
      <c r="Z2443" s="111" t="inlineStr">
        <is>
          <t>PC</t>
        </is>
      </c>
      <c r="AA2443" s="111" t="inlineStr">
        <is>
          <t>Nao</t>
        </is>
      </c>
      <c r="AB2443" s="111" t="inlineStr">
        <is>
          <t>NAO_COMPUTADO</t>
        </is>
      </c>
      <c r="AC2443" s="112" t="inlineStr">
        <is>
          <t>Estrutura Fase 1: sem impacto no VTA oficial</t>
        </is>
      </c>
    </row>
    <row r="2444" ht="25.5" customHeight="1" s="289">
      <c r="A2444" s="205" t="n"/>
      <c r="B2444" s="207" t="n"/>
      <c r="C2444" s="104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348" t="n"/>
      <c r="E2444" s="349">
        <f>IF(C2444="","",IFERROR(VLOOKUP(C2444,parametros!$A$11:$E$15,5,0),""))</f>
        <v/>
      </c>
      <c r="F2444" s="335">
        <f>IF(OR(D2444="",E2444=""),"",ROUND(D2444*E2444,2))</f>
        <v/>
      </c>
      <c r="G2444" s="106" t="n"/>
      <c r="H2444" s="350">
        <f>IF(G2444="Sim",IF(OR(F2444="",D2444="",L2444=""),"",IF(L2444="Sim",ROUND(F2444-D2444,2),0)),0)</f>
        <v/>
      </c>
      <c r="I2444" s="350">
        <f>IF(G2444="Sim",0,IF(OR(F2444="",L2444=""),"",F2444))</f>
        <v/>
      </c>
      <c r="J2444" s="350">
        <f>IF(G2444="Sim",0,IF(OR(F2444="",D2444="",L2444=""),"",IF(L2444="Sim",ROUND(F2444-D2444,2),0)))</f>
        <v/>
      </c>
      <c r="K2444" s="97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inlineStr">
        <is>
          <t>Nao</t>
        </is>
      </c>
      <c r="W2444" s="110" t="inlineStr">
        <is>
          <t>PC em analise</t>
        </is>
      </c>
      <c r="X2444" s="110" t="inlineStr">
        <is>
          <t>Pedido de Compra</t>
        </is>
      </c>
      <c r="Y2444" s="111" t="inlineStr">
        <is>
          <t>Impacto Potencial</t>
        </is>
      </c>
      <c r="Z2444" s="111" t="inlineStr">
        <is>
          <t>PC</t>
        </is>
      </c>
      <c r="AA2444" s="111" t="inlineStr">
        <is>
          <t>Nao</t>
        </is>
      </c>
      <c r="AB2444" s="111" t="inlineStr">
        <is>
          <t>NAO_COMPUTADO</t>
        </is>
      </c>
      <c r="AC2444" s="112" t="inlineStr">
        <is>
          <t>Estrutura Fase 1: sem impacto no VTA oficial</t>
        </is>
      </c>
    </row>
    <row r="2445" ht="25.5" customHeight="1" s="289">
      <c r="A2445" s="205" t="n"/>
      <c r="B2445" s="207" t="n"/>
      <c r="C2445" s="104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348" t="n"/>
      <c r="E2445" s="349">
        <f>IF(C2445="","",IFERROR(VLOOKUP(C2445,parametros!$A$11:$E$15,5,0),""))</f>
        <v/>
      </c>
      <c r="F2445" s="335">
        <f>IF(OR(D2445="",E2445=""),"",ROUND(D2445*E2445,2))</f>
        <v/>
      </c>
      <c r="G2445" s="106" t="n"/>
      <c r="H2445" s="350">
        <f>IF(G2445="Sim",IF(OR(F2445="",D2445="",L2445=""),"",IF(L2445="Sim",ROUND(F2445-D2445,2),0)),0)</f>
        <v/>
      </c>
      <c r="I2445" s="350">
        <f>IF(G2445="Sim",0,IF(OR(F2445="",L2445=""),"",F2445))</f>
        <v/>
      </c>
      <c r="J2445" s="350">
        <f>IF(G2445="Sim",0,IF(OR(F2445="",D2445="",L2445=""),"",IF(L2445="Sim",ROUND(F2445-D2445,2),0)))</f>
        <v/>
      </c>
      <c r="K2445" s="97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inlineStr">
        <is>
          <t>Nao</t>
        </is>
      </c>
      <c r="W2445" s="110" t="inlineStr">
        <is>
          <t>PC em analise</t>
        </is>
      </c>
      <c r="X2445" s="110" t="inlineStr">
        <is>
          <t>Pedido de Compra</t>
        </is>
      </c>
      <c r="Y2445" s="111" t="inlineStr">
        <is>
          <t>Impacto Potencial</t>
        </is>
      </c>
      <c r="Z2445" s="111" t="inlineStr">
        <is>
          <t>PC</t>
        </is>
      </c>
      <c r="AA2445" s="111" t="inlineStr">
        <is>
          <t>Nao</t>
        </is>
      </c>
      <c r="AB2445" s="111" t="inlineStr">
        <is>
          <t>NAO_COMPUTADO</t>
        </is>
      </c>
      <c r="AC2445" s="112" t="inlineStr">
        <is>
          <t>Estrutura Fase 1: sem impacto no VTA oficial</t>
        </is>
      </c>
    </row>
    <row r="2446" ht="25.5" customHeight="1" s="289">
      <c r="A2446" s="205" t="n"/>
      <c r="B2446" s="207" t="n"/>
      <c r="C2446" s="104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348" t="n"/>
      <c r="E2446" s="349">
        <f>IF(C2446="","",IFERROR(VLOOKUP(C2446,parametros!$A$11:$E$15,5,0),""))</f>
        <v/>
      </c>
      <c r="F2446" s="335">
        <f>IF(OR(D2446="",E2446=""),"",ROUND(D2446*E2446,2))</f>
        <v/>
      </c>
      <c r="G2446" s="106" t="n"/>
      <c r="H2446" s="350">
        <f>IF(G2446="Sim",IF(OR(F2446="",D2446="",L2446=""),"",IF(L2446="Sim",ROUND(F2446-D2446,2),0)),0)</f>
        <v/>
      </c>
      <c r="I2446" s="350">
        <f>IF(G2446="Sim",0,IF(OR(F2446="",L2446=""),"",F2446))</f>
        <v/>
      </c>
      <c r="J2446" s="350">
        <f>IF(G2446="Sim",0,IF(OR(F2446="",D2446="",L2446=""),"",IF(L2446="Sim",ROUND(F2446-D2446,2),0)))</f>
        <v/>
      </c>
      <c r="K2446" s="97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inlineStr">
        <is>
          <t>Nao</t>
        </is>
      </c>
      <c r="W2446" s="110" t="inlineStr">
        <is>
          <t>PC em analise</t>
        </is>
      </c>
      <c r="X2446" s="110" t="inlineStr">
        <is>
          <t>Pedido de Compra</t>
        </is>
      </c>
      <c r="Y2446" s="111" t="inlineStr">
        <is>
          <t>Impacto Potencial</t>
        </is>
      </c>
      <c r="Z2446" s="111" t="inlineStr">
        <is>
          <t>PC</t>
        </is>
      </c>
      <c r="AA2446" s="111" t="inlineStr">
        <is>
          <t>Nao</t>
        </is>
      </c>
      <c r="AB2446" s="111" t="inlineStr">
        <is>
          <t>NAO_COMPUTADO</t>
        </is>
      </c>
      <c r="AC2446" s="112" t="inlineStr">
        <is>
          <t>Estrutura Fase 1: sem impacto no VTA oficial</t>
        </is>
      </c>
    </row>
    <row r="2447" ht="25.5" customHeight="1" s="289">
      <c r="A2447" s="205" t="n"/>
      <c r="B2447" s="207" t="n"/>
      <c r="C2447" s="104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348" t="n"/>
      <c r="E2447" s="349">
        <f>IF(C2447="","",IFERROR(VLOOKUP(C2447,parametros!$A$11:$E$15,5,0),""))</f>
        <v/>
      </c>
      <c r="F2447" s="335">
        <f>IF(OR(D2447="",E2447=""),"",ROUND(D2447*E2447,2))</f>
        <v/>
      </c>
      <c r="G2447" s="106" t="n"/>
      <c r="H2447" s="350">
        <f>IF(G2447="Sim",IF(OR(F2447="",D2447="",L2447=""),"",IF(L2447="Sim",ROUND(F2447-D2447,2),0)),0)</f>
        <v/>
      </c>
      <c r="I2447" s="350">
        <f>IF(G2447="Sim",0,IF(OR(F2447="",L2447=""),"",F2447))</f>
        <v/>
      </c>
      <c r="J2447" s="350">
        <f>IF(G2447="Sim",0,IF(OR(F2447="",D2447="",L2447=""),"",IF(L2447="Sim",ROUND(F2447-D2447,2),0)))</f>
        <v/>
      </c>
      <c r="K2447" s="97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inlineStr">
        <is>
          <t>Nao</t>
        </is>
      </c>
      <c r="W2447" s="110" t="inlineStr">
        <is>
          <t>PC em analise</t>
        </is>
      </c>
      <c r="X2447" s="110" t="inlineStr">
        <is>
          <t>Pedido de Compra</t>
        </is>
      </c>
      <c r="Y2447" s="111" t="inlineStr">
        <is>
          <t>Impacto Potencial</t>
        </is>
      </c>
      <c r="Z2447" s="111" t="inlineStr">
        <is>
          <t>PC</t>
        </is>
      </c>
      <c r="AA2447" s="111" t="inlineStr">
        <is>
          <t>Nao</t>
        </is>
      </c>
      <c r="AB2447" s="111" t="inlineStr">
        <is>
          <t>NAO_COMPUTADO</t>
        </is>
      </c>
      <c r="AC2447" s="112" t="inlineStr">
        <is>
          <t>Estrutura Fase 1: sem impacto no VTA oficial</t>
        </is>
      </c>
    </row>
    <row r="2448" ht="25.5" customHeight="1" s="289">
      <c r="A2448" s="205" t="n"/>
      <c r="B2448" s="207" t="n"/>
      <c r="C2448" s="104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348" t="n"/>
      <c r="E2448" s="349">
        <f>IF(C2448="","",IFERROR(VLOOKUP(C2448,parametros!$A$11:$E$15,5,0),""))</f>
        <v/>
      </c>
      <c r="F2448" s="335">
        <f>IF(OR(D2448="",E2448=""),"",ROUND(D2448*E2448,2))</f>
        <v/>
      </c>
      <c r="G2448" s="106" t="n"/>
      <c r="H2448" s="350">
        <f>IF(G2448="Sim",IF(OR(F2448="",D2448="",L2448=""),"",IF(L2448="Sim",ROUND(F2448-D2448,2),0)),0)</f>
        <v/>
      </c>
      <c r="I2448" s="350">
        <f>IF(G2448="Sim",0,IF(OR(F2448="",L2448=""),"",F2448))</f>
        <v/>
      </c>
      <c r="J2448" s="350">
        <f>IF(G2448="Sim",0,IF(OR(F2448="",D2448="",L2448=""),"",IF(L2448="Sim",ROUND(F2448-D2448,2),0)))</f>
        <v/>
      </c>
      <c r="K2448" s="97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inlineStr">
        <is>
          <t>Nao</t>
        </is>
      </c>
      <c r="W2448" s="110" t="inlineStr">
        <is>
          <t>PC em analise</t>
        </is>
      </c>
      <c r="X2448" s="110" t="inlineStr">
        <is>
          <t>Pedido de Compra</t>
        </is>
      </c>
      <c r="Y2448" s="111" t="inlineStr">
        <is>
          <t>Impacto Potencial</t>
        </is>
      </c>
      <c r="Z2448" s="111" t="inlineStr">
        <is>
          <t>PC</t>
        </is>
      </c>
      <c r="AA2448" s="111" t="inlineStr">
        <is>
          <t>Nao</t>
        </is>
      </c>
      <c r="AB2448" s="111" t="inlineStr">
        <is>
          <t>NAO_COMPUTADO</t>
        </is>
      </c>
      <c r="AC2448" s="112" t="inlineStr">
        <is>
          <t>Estrutura Fase 1: sem impacto no VTA oficial</t>
        </is>
      </c>
    </row>
    <row r="2449" ht="25.5" customHeight="1" s="289">
      <c r="A2449" s="205" t="n"/>
      <c r="B2449" s="207" t="n"/>
      <c r="C2449" s="104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348" t="n"/>
      <c r="E2449" s="349">
        <f>IF(C2449="","",IFERROR(VLOOKUP(C2449,parametros!$A$11:$E$15,5,0),""))</f>
        <v/>
      </c>
      <c r="F2449" s="335">
        <f>IF(OR(D2449="",E2449=""),"",ROUND(D2449*E2449,2))</f>
        <v/>
      </c>
      <c r="G2449" s="106" t="n"/>
      <c r="H2449" s="350">
        <f>IF(G2449="Sim",IF(OR(F2449="",D2449="",L2449=""),"",IF(L2449="Sim",ROUND(F2449-D2449,2),0)),0)</f>
        <v/>
      </c>
      <c r="I2449" s="350">
        <f>IF(G2449="Sim",0,IF(OR(F2449="",L2449=""),"",F2449))</f>
        <v/>
      </c>
      <c r="J2449" s="350">
        <f>IF(G2449="Sim",0,IF(OR(F2449="",D2449="",L2449=""),"",IF(L2449="Sim",ROUND(F2449-D2449,2),0)))</f>
        <v/>
      </c>
      <c r="K2449" s="97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inlineStr">
        <is>
          <t>Nao</t>
        </is>
      </c>
      <c r="W2449" s="110" t="inlineStr">
        <is>
          <t>PC em analise</t>
        </is>
      </c>
      <c r="X2449" s="110" t="inlineStr">
        <is>
          <t>Pedido de Compra</t>
        </is>
      </c>
      <c r="Y2449" s="111" t="inlineStr">
        <is>
          <t>Impacto Potencial</t>
        </is>
      </c>
      <c r="Z2449" s="111" t="inlineStr">
        <is>
          <t>PC</t>
        </is>
      </c>
      <c r="AA2449" s="111" t="inlineStr">
        <is>
          <t>Nao</t>
        </is>
      </c>
      <c r="AB2449" s="111" t="inlineStr">
        <is>
          <t>NAO_COMPUTADO</t>
        </is>
      </c>
      <c r="AC2449" s="112" t="inlineStr">
        <is>
          <t>Estrutura Fase 1: sem impacto no VTA oficial</t>
        </is>
      </c>
    </row>
    <row r="2450" ht="25.5" customHeight="1" s="289">
      <c r="A2450" s="205" t="n"/>
      <c r="B2450" s="207" t="n"/>
      <c r="C2450" s="104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348" t="n"/>
      <c r="E2450" s="349">
        <f>IF(C2450="","",IFERROR(VLOOKUP(C2450,parametros!$A$11:$E$15,5,0),""))</f>
        <v/>
      </c>
      <c r="F2450" s="335">
        <f>IF(OR(D2450="",E2450=""),"",ROUND(D2450*E2450,2))</f>
        <v/>
      </c>
      <c r="G2450" s="106" t="n"/>
      <c r="H2450" s="350">
        <f>IF(G2450="Sim",IF(OR(F2450="",D2450="",L2450=""),"",IF(L2450="Sim",ROUND(F2450-D2450,2),0)),0)</f>
        <v/>
      </c>
      <c r="I2450" s="350">
        <f>IF(G2450="Sim",0,IF(OR(F2450="",L2450=""),"",F2450))</f>
        <v/>
      </c>
      <c r="J2450" s="350">
        <f>IF(G2450="Sim",0,IF(OR(F2450="",D2450="",L2450=""),"",IF(L2450="Sim",ROUND(F2450-D2450,2),0)))</f>
        <v/>
      </c>
      <c r="K2450" s="97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inlineStr">
        <is>
          <t>Nao</t>
        </is>
      </c>
      <c r="W2450" s="110" t="inlineStr">
        <is>
          <t>PC em analise</t>
        </is>
      </c>
      <c r="X2450" s="110" t="inlineStr">
        <is>
          <t>Pedido de Compra</t>
        </is>
      </c>
      <c r="Y2450" s="111" t="inlineStr">
        <is>
          <t>Impacto Potencial</t>
        </is>
      </c>
      <c r="Z2450" s="111" t="inlineStr">
        <is>
          <t>PC</t>
        </is>
      </c>
      <c r="AA2450" s="111" t="inlineStr">
        <is>
          <t>Nao</t>
        </is>
      </c>
      <c r="AB2450" s="111" t="inlineStr">
        <is>
          <t>NAO_COMPUTADO</t>
        </is>
      </c>
      <c r="AC2450" s="112" t="inlineStr">
        <is>
          <t>Estrutura Fase 1: sem impacto no VTA oficial</t>
        </is>
      </c>
    </row>
    <row r="2451" ht="25.5" customHeight="1" s="289">
      <c r="A2451" s="205" t="n"/>
      <c r="B2451" s="207" t="n"/>
      <c r="C2451" s="104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348" t="n"/>
      <c r="E2451" s="349">
        <f>IF(C2451="","",IFERROR(VLOOKUP(C2451,parametros!$A$11:$E$15,5,0),""))</f>
        <v/>
      </c>
      <c r="F2451" s="335">
        <f>IF(OR(D2451="",E2451=""),"",ROUND(D2451*E2451,2))</f>
        <v/>
      </c>
      <c r="G2451" s="106" t="n"/>
      <c r="H2451" s="350">
        <f>IF(G2451="Sim",IF(OR(F2451="",D2451="",L2451=""),"",IF(L2451="Sim",ROUND(F2451-D2451,2),0)),0)</f>
        <v/>
      </c>
      <c r="I2451" s="350">
        <f>IF(G2451="Sim",0,IF(OR(F2451="",L2451=""),"",F2451))</f>
        <v/>
      </c>
      <c r="J2451" s="350">
        <f>IF(G2451="Sim",0,IF(OR(F2451="",D2451="",L2451=""),"",IF(L2451="Sim",ROUND(F2451-D2451,2),0)))</f>
        <v/>
      </c>
      <c r="K2451" s="97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inlineStr">
        <is>
          <t>Nao</t>
        </is>
      </c>
      <c r="W2451" s="110" t="inlineStr">
        <is>
          <t>PC em analise</t>
        </is>
      </c>
      <c r="X2451" s="110" t="inlineStr">
        <is>
          <t>Pedido de Compra</t>
        </is>
      </c>
      <c r="Y2451" s="111" t="inlineStr">
        <is>
          <t>Impacto Potencial</t>
        </is>
      </c>
      <c r="Z2451" s="111" t="inlineStr">
        <is>
          <t>PC</t>
        </is>
      </c>
      <c r="AA2451" s="111" t="inlineStr">
        <is>
          <t>Nao</t>
        </is>
      </c>
      <c r="AB2451" s="111" t="inlineStr">
        <is>
          <t>NAO_COMPUTADO</t>
        </is>
      </c>
      <c r="AC2451" s="112" t="inlineStr">
        <is>
          <t>Estrutura Fase 1: sem impacto no VTA oficial</t>
        </is>
      </c>
    </row>
    <row r="2452" ht="25.5" customHeight="1" s="289">
      <c r="A2452" s="205" t="n"/>
      <c r="B2452" s="207" t="n"/>
      <c r="C2452" s="104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348" t="n"/>
      <c r="E2452" s="349">
        <f>IF(C2452="","",IFERROR(VLOOKUP(C2452,parametros!$A$11:$E$15,5,0),""))</f>
        <v/>
      </c>
      <c r="F2452" s="335">
        <f>IF(OR(D2452="",E2452=""),"",ROUND(D2452*E2452,2))</f>
        <v/>
      </c>
      <c r="G2452" s="106" t="n"/>
      <c r="H2452" s="350">
        <f>IF(G2452="Sim",IF(OR(F2452="",D2452="",L2452=""),"",IF(L2452="Sim",ROUND(F2452-D2452,2),0)),0)</f>
        <v/>
      </c>
      <c r="I2452" s="350">
        <f>IF(G2452="Sim",0,IF(OR(F2452="",L2452=""),"",F2452))</f>
        <v/>
      </c>
      <c r="J2452" s="350">
        <f>IF(G2452="Sim",0,IF(OR(F2452="",D2452="",L2452=""),"",IF(L2452="Sim",ROUND(F2452-D2452,2),0)))</f>
        <v/>
      </c>
      <c r="K2452" s="97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inlineStr">
        <is>
          <t>Nao</t>
        </is>
      </c>
      <c r="W2452" s="110" t="inlineStr">
        <is>
          <t>PC em analise</t>
        </is>
      </c>
      <c r="X2452" s="110" t="inlineStr">
        <is>
          <t>Pedido de Compra</t>
        </is>
      </c>
      <c r="Y2452" s="111" t="inlineStr">
        <is>
          <t>Impacto Potencial</t>
        </is>
      </c>
      <c r="Z2452" s="111" t="inlineStr">
        <is>
          <t>PC</t>
        </is>
      </c>
      <c r="AA2452" s="111" t="inlineStr">
        <is>
          <t>Nao</t>
        </is>
      </c>
      <c r="AB2452" s="111" t="inlineStr">
        <is>
          <t>NAO_COMPUTADO</t>
        </is>
      </c>
      <c r="AC2452" s="112" t="inlineStr">
        <is>
          <t>Estrutura Fase 1: sem impacto no VTA oficial</t>
        </is>
      </c>
    </row>
    <row r="2453" ht="25.5" customHeight="1" s="289">
      <c r="A2453" s="205" t="n"/>
      <c r="B2453" s="207" t="n"/>
      <c r="C2453" s="104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348" t="n"/>
      <c r="E2453" s="349">
        <f>IF(C2453="","",IFERROR(VLOOKUP(C2453,parametros!$A$11:$E$15,5,0),""))</f>
        <v/>
      </c>
      <c r="F2453" s="335">
        <f>IF(OR(D2453="",E2453=""),"",ROUND(D2453*E2453,2))</f>
        <v/>
      </c>
      <c r="G2453" s="106" t="n"/>
      <c r="H2453" s="350">
        <f>IF(G2453="Sim",IF(OR(F2453="",D2453="",L2453=""),"",IF(L2453="Sim",ROUND(F2453-D2453,2),0)),0)</f>
        <v/>
      </c>
      <c r="I2453" s="350">
        <f>IF(G2453="Sim",0,IF(OR(F2453="",L2453=""),"",F2453))</f>
        <v/>
      </c>
      <c r="J2453" s="350">
        <f>IF(G2453="Sim",0,IF(OR(F2453="",D2453="",L2453=""),"",IF(L2453="Sim",ROUND(F2453-D2453,2),0)))</f>
        <v/>
      </c>
      <c r="K2453" s="97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inlineStr">
        <is>
          <t>Nao</t>
        </is>
      </c>
      <c r="W2453" s="110" t="inlineStr">
        <is>
          <t>PC em analise</t>
        </is>
      </c>
      <c r="X2453" s="110" t="inlineStr">
        <is>
          <t>Pedido de Compra</t>
        </is>
      </c>
      <c r="Y2453" s="111" t="inlineStr">
        <is>
          <t>Impacto Potencial</t>
        </is>
      </c>
      <c r="Z2453" s="111" t="inlineStr">
        <is>
          <t>PC</t>
        </is>
      </c>
      <c r="AA2453" s="111" t="inlineStr">
        <is>
          <t>Nao</t>
        </is>
      </c>
      <c r="AB2453" s="111" t="inlineStr">
        <is>
          <t>NAO_COMPUTADO</t>
        </is>
      </c>
      <c r="AC2453" s="112" t="inlineStr">
        <is>
          <t>Estrutura Fase 1: sem impacto no VTA oficial</t>
        </is>
      </c>
    </row>
    <row r="2454" ht="25.5" customHeight="1" s="289">
      <c r="A2454" s="205" t="n"/>
      <c r="B2454" s="207" t="n"/>
      <c r="C2454" s="104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348" t="n"/>
      <c r="E2454" s="349">
        <f>IF(C2454="","",IFERROR(VLOOKUP(C2454,parametros!$A$11:$E$15,5,0),""))</f>
        <v/>
      </c>
      <c r="F2454" s="335">
        <f>IF(OR(D2454="",E2454=""),"",ROUND(D2454*E2454,2))</f>
        <v/>
      </c>
      <c r="G2454" s="106" t="n"/>
      <c r="H2454" s="350">
        <f>IF(G2454="Sim",IF(OR(F2454="",D2454="",L2454=""),"",IF(L2454="Sim",ROUND(F2454-D2454,2),0)),0)</f>
        <v/>
      </c>
      <c r="I2454" s="350">
        <f>IF(G2454="Sim",0,IF(OR(F2454="",L2454=""),"",F2454))</f>
        <v/>
      </c>
      <c r="J2454" s="350">
        <f>IF(G2454="Sim",0,IF(OR(F2454="",D2454="",L2454=""),"",IF(L2454="Sim",ROUND(F2454-D2454,2),0)))</f>
        <v/>
      </c>
      <c r="K2454" s="97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inlineStr">
        <is>
          <t>Nao</t>
        </is>
      </c>
      <c r="W2454" s="110" t="inlineStr">
        <is>
          <t>PC em analise</t>
        </is>
      </c>
      <c r="X2454" s="110" t="inlineStr">
        <is>
          <t>Pedido de Compra</t>
        </is>
      </c>
      <c r="Y2454" s="111" t="inlineStr">
        <is>
          <t>Impacto Potencial</t>
        </is>
      </c>
      <c r="Z2454" s="111" t="inlineStr">
        <is>
          <t>PC</t>
        </is>
      </c>
      <c r="AA2454" s="111" t="inlineStr">
        <is>
          <t>Nao</t>
        </is>
      </c>
      <c r="AB2454" s="111" t="inlineStr">
        <is>
          <t>NAO_COMPUTADO</t>
        </is>
      </c>
      <c r="AC2454" s="112" t="inlineStr">
        <is>
          <t>Estrutura Fase 1: sem impacto no VTA oficial</t>
        </is>
      </c>
    </row>
    <row r="2455" ht="25.5" customHeight="1" s="289">
      <c r="A2455" s="205" t="n"/>
      <c r="B2455" s="207" t="n"/>
      <c r="C2455" s="104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348" t="n"/>
      <c r="E2455" s="349">
        <f>IF(C2455="","",IFERROR(VLOOKUP(C2455,parametros!$A$11:$E$15,5,0),""))</f>
        <v/>
      </c>
      <c r="F2455" s="335">
        <f>IF(OR(D2455="",E2455=""),"",ROUND(D2455*E2455,2))</f>
        <v/>
      </c>
      <c r="G2455" s="106" t="n"/>
      <c r="H2455" s="350">
        <f>IF(G2455="Sim",IF(OR(F2455="",D2455="",L2455=""),"",IF(L2455="Sim",ROUND(F2455-D2455,2),0)),0)</f>
        <v/>
      </c>
      <c r="I2455" s="350">
        <f>IF(G2455="Sim",0,IF(OR(F2455="",L2455=""),"",F2455))</f>
        <v/>
      </c>
      <c r="J2455" s="350">
        <f>IF(G2455="Sim",0,IF(OR(F2455="",D2455="",L2455=""),"",IF(L2455="Sim",ROUND(F2455-D2455,2),0)))</f>
        <v/>
      </c>
      <c r="K2455" s="97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inlineStr">
        <is>
          <t>Nao</t>
        </is>
      </c>
      <c r="W2455" s="110" t="inlineStr">
        <is>
          <t>PC em analise</t>
        </is>
      </c>
      <c r="X2455" s="110" t="inlineStr">
        <is>
          <t>Pedido de Compra</t>
        </is>
      </c>
      <c r="Y2455" s="111" t="inlineStr">
        <is>
          <t>Impacto Potencial</t>
        </is>
      </c>
      <c r="Z2455" s="111" t="inlineStr">
        <is>
          <t>PC</t>
        </is>
      </c>
      <c r="AA2455" s="111" t="inlineStr">
        <is>
          <t>Nao</t>
        </is>
      </c>
      <c r="AB2455" s="111" t="inlineStr">
        <is>
          <t>NAO_COMPUTADO</t>
        </is>
      </c>
      <c r="AC2455" s="112" t="inlineStr">
        <is>
          <t>Estrutura Fase 1: sem impacto no VTA oficial</t>
        </is>
      </c>
    </row>
    <row r="2456" ht="25.5" customHeight="1" s="289">
      <c r="A2456" s="205" t="n"/>
      <c r="B2456" s="207" t="n"/>
      <c r="C2456" s="104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348" t="n"/>
      <c r="E2456" s="349">
        <f>IF(C2456="","",IFERROR(VLOOKUP(C2456,parametros!$A$11:$E$15,5,0),""))</f>
        <v/>
      </c>
      <c r="F2456" s="335">
        <f>IF(OR(D2456="",E2456=""),"",ROUND(D2456*E2456,2))</f>
        <v/>
      </c>
      <c r="G2456" s="106" t="n"/>
      <c r="H2456" s="350">
        <f>IF(G2456="Sim",IF(OR(F2456="",D2456="",L2456=""),"",IF(L2456="Sim",ROUND(F2456-D2456,2),0)),0)</f>
        <v/>
      </c>
      <c r="I2456" s="350">
        <f>IF(G2456="Sim",0,IF(OR(F2456="",L2456=""),"",F2456))</f>
        <v/>
      </c>
      <c r="J2456" s="350">
        <f>IF(G2456="Sim",0,IF(OR(F2456="",D2456="",L2456=""),"",IF(L2456="Sim",ROUND(F2456-D2456,2),0)))</f>
        <v/>
      </c>
      <c r="K2456" s="97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inlineStr">
        <is>
          <t>Nao</t>
        </is>
      </c>
      <c r="W2456" s="110" t="inlineStr">
        <is>
          <t>PC em analise</t>
        </is>
      </c>
      <c r="X2456" s="110" t="inlineStr">
        <is>
          <t>Pedido de Compra</t>
        </is>
      </c>
      <c r="Y2456" s="111" t="inlineStr">
        <is>
          <t>Impacto Potencial</t>
        </is>
      </c>
      <c r="Z2456" s="111" t="inlineStr">
        <is>
          <t>PC</t>
        </is>
      </c>
      <c r="AA2456" s="111" t="inlineStr">
        <is>
          <t>Nao</t>
        </is>
      </c>
      <c r="AB2456" s="111" t="inlineStr">
        <is>
          <t>NAO_COMPUTADO</t>
        </is>
      </c>
      <c r="AC2456" s="112" t="inlineStr">
        <is>
          <t>Estrutura Fase 1: sem impacto no VTA oficial</t>
        </is>
      </c>
    </row>
    <row r="2457" ht="25.5" customHeight="1" s="289">
      <c r="A2457" s="205" t="n"/>
      <c r="B2457" s="207" t="n"/>
      <c r="C2457" s="104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348" t="n"/>
      <c r="E2457" s="349">
        <f>IF(C2457="","",IFERROR(VLOOKUP(C2457,parametros!$A$11:$E$15,5,0),""))</f>
        <v/>
      </c>
      <c r="F2457" s="335">
        <f>IF(OR(D2457="",E2457=""),"",ROUND(D2457*E2457,2))</f>
        <v/>
      </c>
      <c r="G2457" s="106" t="n"/>
      <c r="H2457" s="350">
        <f>IF(G2457="Sim",IF(OR(F2457="",D2457="",L2457=""),"",IF(L2457="Sim",ROUND(F2457-D2457,2),0)),0)</f>
        <v/>
      </c>
      <c r="I2457" s="350">
        <f>IF(G2457="Sim",0,IF(OR(F2457="",L2457=""),"",F2457))</f>
        <v/>
      </c>
      <c r="J2457" s="350">
        <f>IF(G2457="Sim",0,IF(OR(F2457="",D2457="",L2457=""),"",IF(L2457="Sim",ROUND(F2457-D2457,2),0)))</f>
        <v/>
      </c>
      <c r="K2457" s="97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inlineStr">
        <is>
          <t>Nao</t>
        </is>
      </c>
      <c r="W2457" s="110" t="inlineStr">
        <is>
          <t>PC em analise</t>
        </is>
      </c>
      <c r="X2457" s="110" t="inlineStr">
        <is>
          <t>Pedido de Compra</t>
        </is>
      </c>
      <c r="Y2457" s="111" t="inlineStr">
        <is>
          <t>Impacto Potencial</t>
        </is>
      </c>
      <c r="Z2457" s="111" t="inlineStr">
        <is>
          <t>PC</t>
        </is>
      </c>
      <c r="AA2457" s="111" t="inlineStr">
        <is>
          <t>Nao</t>
        </is>
      </c>
      <c r="AB2457" s="111" t="inlineStr">
        <is>
          <t>NAO_COMPUTADO</t>
        </is>
      </c>
      <c r="AC2457" s="112" t="inlineStr">
        <is>
          <t>Estrutura Fase 1: sem impacto no VTA oficial</t>
        </is>
      </c>
    </row>
    <row r="2458" ht="25.5" customHeight="1" s="289">
      <c r="A2458" s="205" t="n"/>
      <c r="B2458" s="207" t="n"/>
      <c r="C2458" s="104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348" t="n"/>
      <c r="E2458" s="349">
        <f>IF(C2458="","",IFERROR(VLOOKUP(C2458,parametros!$A$11:$E$15,5,0),""))</f>
        <v/>
      </c>
      <c r="F2458" s="335">
        <f>IF(OR(D2458="",E2458=""),"",ROUND(D2458*E2458,2))</f>
        <v/>
      </c>
      <c r="G2458" s="106" t="n"/>
      <c r="H2458" s="350">
        <f>IF(G2458="Sim",IF(OR(F2458="",D2458="",L2458=""),"",IF(L2458="Sim",ROUND(F2458-D2458,2),0)),0)</f>
        <v/>
      </c>
      <c r="I2458" s="350">
        <f>IF(G2458="Sim",0,IF(OR(F2458="",L2458=""),"",F2458))</f>
        <v/>
      </c>
      <c r="J2458" s="350">
        <f>IF(G2458="Sim",0,IF(OR(F2458="",D2458="",L2458=""),"",IF(L2458="Sim",ROUND(F2458-D2458,2),0)))</f>
        <v/>
      </c>
      <c r="K2458" s="97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inlineStr">
        <is>
          <t>Nao</t>
        </is>
      </c>
      <c r="W2458" s="110" t="inlineStr">
        <is>
          <t>PC em analise</t>
        </is>
      </c>
      <c r="X2458" s="110" t="inlineStr">
        <is>
          <t>Pedido de Compra</t>
        </is>
      </c>
      <c r="Y2458" s="111" t="inlineStr">
        <is>
          <t>Impacto Potencial</t>
        </is>
      </c>
      <c r="Z2458" s="111" t="inlineStr">
        <is>
          <t>PC</t>
        </is>
      </c>
      <c r="AA2458" s="111" t="inlineStr">
        <is>
          <t>Nao</t>
        </is>
      </c>
      <c r="AB2458" s="111" t="inlineStr">
        <is>
          <t>NAO_COMPUTADO</t>
        </is>
      </c>
      <c r="AC2458" s="112" t="inlineStr">
        <is>
          <t>Estrutura Fase 1: sem impacto no VTA oficial</t>
        </is>
      </c>
    </row>
    <row r="2459" ht="25.5" customHeight="1" s="289">
      <c r="A2459" s="205" t="n"/>
      <c r="B2459" s="207" t="n"/>
      <c r="C2459" s="104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348" t="n"/>
      <c r="E2459" s="349">
        <f>IF(C2459="","",IFERROR(VLOOKUP(C2459,parametros!$A$11:$E$15,5,0),""))</f>
        <v/>
      </c>
      <c r="F2459" s="335">
        <f>IF(OR(D2459="",E2459=""),"",ROUND(D2459*E2459,2))</f>
        <v/>
      </c>
      <c r="G2459" s="106" t="n"/>
      <c r="H2459" s="350">
        <f>IF(G2459="Sim",IF(OR(F2459="",D2459="",L2459=""),"",IF(L2459="Sim",ROUND(F2459-D2459,2),0)),0)</f>
        <v/>
      </c>
      <c r="I2459" s="350">
        <f>IF(G2459="Sim",0,IF(OR(F2459="",L2459=""),"",F2459))</f>
        <v/>
      </c>
      <c r="J2459" s="350">
        <f>IF(G2459="Sim",0,IF(OR(F2459="",D2459="",L2459=""),"",IF(L2459="Sim",ROUND(F2459-D2459,2),0)))</f>
        <v/>
      </c>
      <c r="K2459" s="97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inlineStr">
        <is>
          <t>Nao</t>
        </is>
      </c>
      <c r="W2459" s="110" t="inlineStr">
        <is>
          <t>PC em analise</t>
        </is>
      </c>
      <c r="X2459" s="110" t="inlineStr">
        <is>
          <t>Pedido de Compra</t>
        </is>
      </c>
      <c r="Y2459" s="111" t="inlineStr">
        <is>
          <t>Impacto Potencial</t>
        </is>
      </c>
      <c r="Z2459" s="111" t="inlineStr">
        <is>
          <t>PC</t>
        </is>
      </c>
      <c r="AA2459" s="111" t="inlineStr">
        <is>
          <t>Nao</t>
        </is>
      </c>
      <c r="AB2459" s="111" t="inlineStr">
        <is>
          <t>NAO_COMPUTADO</t>
        </is>
      </c>
      <c r="AC2459" s="112" t="inlineStr">
        <is>
          <t>Estrutura Fase 1: sem impacto no VTA oficial</t>
        </is>
      </c>
    </row>
    <row r="2460" ht="25.5" customHeight="1" s="289">
      <c r="A2460" s="205" t="n"/>
      <c r="B2460" s="207" t="n"/>
      <c r="C2460" s="104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348" t="n"/>
      <c r="E2460" s="349">
        <f>IF(C2460="","",IFERROR(VLOOKUP(C2460,parametros!$A$11:$E$15,5,0),""))</f>
        <v/>
      </c>
      <c r="F2460" s="335">
        <f>IF(OR(D2460="",E2460=""),"",ROUND(D2460*E2460,2))</f>
        <v/>
      </c>
      <c r="G2460" s="106" t="n"/>
      <c r="H2460" s="350">
        <f>IF(G2460="Sim",IF(OR(F2460="",D2460="",L2460=""),"",IF(L2460="Sim",ROUND(F2460-D2460,2),0)),0)</f>
        <v/>
      </c>
      <c r="I2460" s="350">
        <f>IF(G2460="Sim",0,IF(OR(F2460="",L2460=""),"",F2460))</f>
        <v/>
      </c>
      <c r="J2460" s="350">
        <f>IF(G2460="Sim",0,IF(OR(F2460="",D2460="",L2460=""),"",IF(L2460="Sim",ROUND(F2460-D2460,2),0)))</f>
        <v/>
      </c>
      <c r="K2460" s="97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inlineStr">
        <is>
          <t>Nao</t>
        </is>
      </c>
      <c r="W2460" s="110" t="inlineStr">
        <is>
          <t>PC em analise</t>
        </is>
      </c>
      <c r="X2460" s="110" t="inlineStr">
        <is>
          <t>Pedido de Compra</t>
        </is>
      </c>
      <c r="Y2460" s="111" t="inlineStr">
        <is>
          <t>Impacto Potencial</t>
        </is>
      </c>
      <c r="Z2460" s="111" t="inlineStr">
        <is>
          <t>PC</t>
        </is>
      </c>
      <c r="AA2460" s="111" t="inlineStr">
        <is>
          <t>Nao</t>
        </is>
      </c>
      <c r="AB2460" s="111" t="inlineStr">
        <is>
          <t>NAO_COMPUTADO</t>
        </is>
      </c>
      <c r="AC2460" s="112" t="inlineStr">
        <is>
          <t>Estrutura Fase 1: sem impacto no VTA oficial</t>
        </is>
      </c>
    </row>
    <row r="2461" ht="25.5" customHeight="1" s="289">
      <c r="A2461" s="205" t="n"/>
      <c r="B2461" s="207" t="n"/>
      <c r="C2461" s="104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348" t="n"/>
      <c r="E2461" s="349">
        <f>IF(C2461="","",IFERROR(VLOOKUP(C2461,parametros!$A$11:$E$15,5,0),""))</f>
        <v/>
      </c>
      <c r="F2461" s="335">
        <f>IF(OR(D2461="",E2461=""),"",ROUND(D2461*E2461,2))</f>
        <v/>
      </c>
      <c r="G2461" s="106" t="n"/>
      <c r="H2461" s="350">
        <f>IF(G2461="Sim",IF(OR(F2461="",D2461="",L2461=""),"",IF(L2461="Sim",ROUND(F2461-D2461,2),0)),0)</f>
        <v/>
      </c>
      <c r="I2461" s="350">
        <f>IF(G2461="Sim",0,IF(OR(F2461="",L2461=""),"",F2461))</f>
        <v/>
      </c>
      <c r="J2461" s="350">
        <f>IF(G2461="Sim",0,IF(OR(F2461="",D2461="",L2461=""),"",IF(L2461="Sim",ROUND(F2461-D2461,2),0)))</f>
        <v/>
      </c>
      <c r="K2461" s="97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inlineStr">
        <is>
          <t>Nao</t>
        </is>
      </c>
      <c r="W2461" s="110" t="inlineStr">
        <is>
          <t>PC em analise</t>
        </is>
      </c>
      <c r="X2461" s="110" t="inlineStr">
        <is>
          <t>Pedido de Compra</t>
        </is>
      </c>
      <c r="Y2461" s="111" t="inlineStr">
        <is>
          <t>Impacto Potencial</t>
        </is>
      </c>
      <c r="Z2461" s="111" t="inlineStr">
        <is>
          <t>PC</t>
        </is>
      </c>
      <c r="AA2461" s="111" t="inlineStr">
        <is>
          <t>Nao</t>
        </is>
      </c>
      <c r="AB2461" s="111" t="inlineStr">
        <is>
          <t>NAO_COMPUTADO</t>
        </is>
      </c>
      <c r="AC2461" s="112" t="inlineStr">
        <is>
          <t>Estrutura Fase 1: sem impacto no VTA oficial</t>
        </is>
      </c>
    </row>
    <row r="2462" ht="25.5" customHeight="1" s="289">
      <c r="A2462" s="205" t="n"/>
      <c r="B2462" s="207" t="n"/>
      <c r="C2462" s="104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348" t="n"/>
      <c r="E2462" s="349">
        <f>IF(C2462="","",IFERROR(VLOOKUP(C2462,parametros!$A$11:$E$15,5,0),""))</f>
        <v/>
      </c>
      <c r="F2462" s="335">
        <f>IF(OR(D2462="",E2462=""),"",ROUND(D2462*E2462,2))</f>
        <v/>
      </c>
      <c r="G2462" s="106" t="n"/>
      <c r="H2462" s="350">
        <f>IF(G2462="Sim",IF(OR(F2462="",D2462="",L2462=""),"",IF(L2462="Sim",ROUND(F2462-D2462,2),0)),0)</f>
        <v/>
      </c>
      <c r="I2462" s="350">
        <f>IF(G2462="Sim",0,IF(OR(F2462="",L2462=""),"",F2462))</f>
        <v/>
      </c>
      <c r="J2462" s="350">
        <f>IF(G2462="Sim",0,IF(OR(F2462="",D2462="",L2462=""),"",IF(L2462="Sim",ROUND(F2462-D2462,2),0)))</f>
        <v/>
      </c>
      <c r="K2462" s="97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inlineStr">
        <is>
          <t>Nao</t>
        </is>
      </c>
      <c r="W2462" s="110" t="inlineStr">
        <is>
          <t>PC em analise</t>
        </is>
      </c>
      <c r="X2462" s="110" t="inlineStr">
        <is>
          <t>Pedido de Compra</t>
        </is>
      </c>
      <c r="Y2462" s="111" t="inlineStr">
        <is>
          <t>Impacto Potencial</t>
        </is>
      </c>
      <c r="Z2462" s="111" t="inlineStr">
        <is>
          <t>PC</t>
        </is>
      </c>
      <c r="AA2462" s="111" t="inlineStr">
        <is>
          <t>Nao</t>
        </is>
      </c>
      <c r="AB2462" s="111" t="inlineStr">
        <is>
          <t>NAO_COMPUTADO</t>
        </is>
      </c>
      <c r="AC2462" s="112" t="inlineStr">
        <is>
          <t>Estrutura Fase 1: sem impacto no VTA oficial</t>
        </is>
      </c>
    </row>
    <row r="2463" ht="25.5" customHeight="1" s="289">
      <c r="A2463" s="205" t="n"/>
      <c r="B2463" s="207" t="n"/>
      <c r="C2463" s="104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348" t="n"/>
      <c r="E2463" s="349">
        <f>IF(C2463="","",IFERROR(VLOOKUP(C2463,parametros!$A$11:$E$15,5,0),""))</f>
        <v/>
      </c>
      <c r="F2463" s="335">
        <f>IF(OR(D2463="",E2463=""),"",ROUND(D2463*E2463,2))</f>
        <v/>
      </c>
      <c r="G2463" s="106" t="n"/>
      <c r="H2463" s="350">
        <f>IF(G2463="Sim",IF(OR(F2463="",D2463="",L2463=""),"",IF(L2463="Sim",ROUND(F2463-D2463,2),0)),0)</f>
        <v/>
      </c>
      <c r="I2463" s="350">
        <f>IF(G2463="Sim",0,IF(OR(F2463="",L2463=""),"",F2463))</f>
        <v/>
      </c>
      <c r="J2463" s="350">
        <f>IF(G2463="Sim",0,IF(OR(F2463="",D2463="",L2463=""),"",IF(L2463="Sim",ROUND(F2463-D2463,2),0)))</f>
        <v/>
      </c>
      <c r="K2463" s="97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inlineStr">
        <is>
          <t>Nao</t>
        </is>
      </c>
      <c r="W2463" s="110" t="inlineStr">
        <is>
          <t>PC em analise</t>
        </is>
      </c>
      <c r="X2463" s="110" t="inlineStr">
        <is>
          <t>Pedido de Compra</t>
        </is>
      </c>
      <c r="Y2463" s="111" t="inlineStr">
        <is>
          <t>Impacto Potencial</t>
        </is>
      </c>
      <c r="Z2463" s="111" t="inlineStr">
        <is>
          <t>PC</t>
        </is>
      </c>
      <c r="AA2463" s="111" t="inlineStr">
        <is>
          <t>Nao</t>
        </is>
      </c>
      <c r="AB2463" s="111" t="inlineStr">
        <is>
          <t>NAO_COMPUTADO</t>
        </is>
      </c>
      <c r="AC2463" s="112" t="inlineStr">
        <is>
          <t>Estrutura Fase 1: sem impacto no VTA oficial</t>
        </is>
      </c>
    </row>
    <row r="2464" ht="25.5" customHeight="1" s="289">
      <c r="A2464" s="205" t="n"/>
      <c r="B2464" s="207" t="n"/>
      <c r="C2464" s="104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348" t="n"/>
      <c r="E2464" s="349">
        <f>IF(C2464="","",IFERROR(VLOOKUP(C2464,parametros!$A$11:$E$15,5,0),""))</f>
        <v/>
      </c>
      <c r="F2464" s="335">
        <f>IF(OR(D2464="",E2464=""),"",ROUND(D2464*E2464,2))</f>
        <v/>
      </c>
      <c r="G2464" s="106" t="n"/>
      <c r="H2464" s="350">
        <f>IF(G2464="Sim",IF(OR(F2464="",D2464="",L2464=""),"",IF(L2464="Sim",ROUND(F2464-D2464,2),0)),0)</f>
        <v/>
      </c>
      <c r="I2464" s="350">
        <f>IF(G2464="Sim",0,IF(OR(F2464="",L2464=""),"",F2464))</f>
        <v/>
      </c>
      <c r="J2464" s="350">
        <f>IF(G2464="Sim",0,IF(OR(F2464="",D2464="",L2464=""),"",IF(L2464="Sim",ROUND(F2464-D2464,2),0)))</f>
        <v/>
      </c>
      <c r="K2464" s="97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inlineStr">
        <is>
          <t>Nao</t>
        </is>
      </c>
      <c r="W2464" s="110" t="inlineStr">
        <is>
          <t>PC em analise</t>
        </is>
      </c>
      <c r="X2464" s="110" t="inlineStr">
        <is>
          <t>Pedido de Compra</t>
        </is>
      </c>
      <c r="Y2464" s="111" t="inlineStr">
        <is>
          <t>Impacto Potencial</t>
        </is>
      </c>
      <c r="Z2464" s="111" t="inlineStr">
        <is>
          <t>PC</t>
        </is>
      </c>
      <c r="AA2464" s="111" t="inlineStr">
        <is>
          <t>Nao</t>
        </is>
      </c>
      <c r="AB2464" s="111" t="inlineStr">
        <is>
          <t>NAO_COMPUTADO</t>
        </is>
      </c>
      <c r="AC2464" s="112" t="inlineStr">
        <is>
          <t>Estrutura Fase 1: sem impacto no VTA oficial</t>
        </is>
      </c>
    </row>
    <row r="2465" ht="25.5" customHeight="1" s="289">
      <c r="A2465" s="205" t="n"/>
      <c r="B2465" s="207" t="n"/>
      <c r="C2465" s="104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348" t="n"/>
      <c r="E2465" s="349">
        <f>IF(C2465="","",IFERROR(VLOOKUP(C2465,parametros!$A$11:$E$15,5,0),""))</f>
        <v/>
      </c>
      <c r="F2465" s="335">
        <f>IF(OR(D2465="",E2465=""),"",ROUND(D2465*E2465,2))</f>
        <v/>
      </c>
      <c r="G2465" s="106" t="n"/>
      <c r="H2465" s="350">
        <f>IF(G2465="Sim",IF(OR(F2465="",D2465="",L2465=""),"",IF(L2465="Sim",ROUND(F2465-D2465,2),0)),0)</f>
        <v/>
      </c>
      <c r="I2465" s="350">
        <f>IF(G2465="Sim",0,IF(OR(F2465="",L2465=""),"",F2465))</f>
        <v/>
      </c>
      <c r="J2465" s="350">
        <f>IF(G2465="Sim",0,IF(OR(F2465="",D2465="",L2465=""),"",IF(L2465="Sim",ROUND(F2465-D2465,2),0)))</f>
        <v/>
      </c>
      <c r="K2465" s="97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inlineStr">
        <is>
          <t>Nao</t>
        </is>
      </c>
      <c r="W2465" s="110" t="inlineStr">
        <is>
          <t>PC em analise</t>
        </is>
      </c>
      <c r="X2465" s="110" t="inlineStr">
        <is>
          <t>Pedido de Compra</t>
        </is>
      </c>
      <c r="Y2465" s="111" t="inlineStr">
        <is>
          <t>Impacto Potencial</t>
        </is>
      </c>
      <c r="Z2465" s="111" t="inlineStr">
        <is>
          <t>PC</t>
        </is>
      </c>
      <c r="AA2465" s="111" t="inlineStr">
        <is>
          <t>Nao</t>
        </is>
      </c>
      <c r="AB2465" s="111" t="inlineStr">
        <is>
          <t>NAO_COMPUTADO</t>
        </is>
      </c>
      <c r="AC2465" s="112" t="inlineStr">
        <is>
          <t>Estrutura Fase 1: sem impacto no VTA oficial</t>
        </is>
      </c>
    </row>
    <row r="2466" ht="25.5" customHeight="1" s="289">
      <c r="A2466" s="205" t="n"/>
      <c r="B2466" s="207" t="n"/>
      <c r="C2466" s="104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348" t="n"/>
      <c r="E2466" s="349">
        <f>IF(C2466="","",IFERROR(VLOOKUP(C2466,parametros!$A$11:$E$15,5,0),""))</f>
        <v/>
      </c>
      <c r="F2466" s="335">
        <f>IF(OR(D2466="",E2466=""),"",ROUND(D2466*E2466,2))</f>
        <v/>
      </c>
      <c r="G2466" s="106" t="n"/>
      <c r="H2466" s="350">
        <f>IF(G2466="Sim",IF(OR(F2466="",D2466="",L2466=""),"",IF(L2466="Sim",ROUND(F2466-D2466,2),0)),0)</f>
        <v/>
      </c>
      <c r="I2466" s="350">
        <f>IF(G2466="Sim",0,IF(OR(F2466="",L2466=""),"",F2466))</f>
        <v/>
      </c>
      <c r="J2466" s="350">
        <f>IF(G2466="Sim",0,IF(OR(F2466="",D2466="",L2466=""),"",IF(L2466="Sim",ROUND(F2466-D2466,2),0)))</f>
        <v/>
      </c>
      <c r="K2466" s="97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inlineStr">
        <is>
          <t>Nao</t>
        </is>
      </c>
      <c r="W2466" s="110" t="inlineStr">
        <is>
          <t>PC em analise</t>
        </is>
      </c>
      <c r="X2466" s="110" t="inlineStr">
        <is>
          <t>Pedido de Compra</t>
        </is>
      </c>
      <c r="Y2466" s="111" t="inlineStr">
        <is>
          <t>Impacto Potencial</t>
        </is>
      </c>
      <c r="Z2466" s="111" t="inlineStr">
        <is>
          <t>PC</t>
        </is>
      </c>
      <c r="AA2466" s="111" t="inlineStr">
        <is>
          <t>Nao</t>
        </is>
      </c>
      <c r="AB2466" s="111" t="inlineStr">
        <is>
          <t>NAO_COMPUTADO</t>
        </is>
      </c>
      <c r="AC2466" s="112" t="inlineStr">
        <is>
          <t>Estrutura Fase 1: sem impacto no VTA oficial</t>
        </is>
      </c>
    </row>
    <row r="2467" ht="25.5" customHeight="1" s="289">
      <c r="A2467" s="205" t="n"/>
      <c r="B2467" s="207" t="n"/>
      <c r="C2467" s="104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348" t="n"/>
      <c r="E2467" s="349">
        <f>IF(C2467="","",IFERROR(VLOOKUP(C2467,parametros!$A$11:$E$15,5,0),""))</f>
        <v/>
      </c>
      <c r="F2467" s="335">
        <f>IF(OR(D2467="",E2467=""),"",ROUND(D2467*E2467,2))</f>
        <v/>
      </c>
      <c r="G2467" s="106" t="n"/>
      <c r="H2467" s="350">
        <f>IF(G2467="Sim",IF(OR(F2467="",D2467="",L2467=""),"",IF(L2467="Sim",ROUND(F2467-D2467,2),0)),0)</f>
        <v/>
      </c>
      <c r="I2467" s="350">
        <f>IF(G2467="Sim",0,IF(OR(F2467="",L2467=""),"",F2467))</f>
        <v/>
      </c>
      <c r="J2467" s="350">
        <f>IF(G2467="Sim",0,IF(OR(F2467="",D2467="",L2467=""),"",IF(L2467="Sim",ROUND(F2467-D2467,2),0)))</f>
        <v/>
      </c>
      <c r="K2467" s="97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inlineStr">
        <is>
          <t>Nao</t>
        </is>
      </c>
      <c r="W2467" s="110" t="inlineStr">
        <is>
          <t>PC em analise</t>
        </is>
      </c>
      <c r="X2467" s="110" t="inlineStr">
        <is>
          <t>Pedido de Compra</t>
        </is>
      </c>
      <c r="Y2467" s="111" t="inlineStr">
        <is>
          <t>Impacto Potencial</t>
        </is>
      </c>
      <c r="Z2467" s="111" t="inlineStr">
        <is>
          <t>PC</t>
        </is>
      </c>
      <c r="AA2467" s="111" t="inlineStr">
        <is>
          <t>Nao</t>
        </is>
      </c>
      <c r="AB2467" s="111" t="inlineStr">
        <is>
          <t>NAO_COMPUTADO</t>
        </is>
      </c>
      <c r="AC2467" s="112" t="inlineStr">
        <is>
          <t>Estrutura Fase 1: sem impacto no VTA oficial</t>
        </is>
      </c>
    </row>
    <row r="2468" ht="25.5" customHeight="1" s="289">
      <c r="A2468" s="205" t="n"/>
      <c r="B2468" s="207" t="n"/>
      <c r="C2468" s="104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348" t="n"/>
      <c r="E2468" s="349">
        <f>IF(C2468="","",IFERROR(VLOOKUP(C2468,parametros!$A$11:$E$15,5,0),""))</f>
        <v/>
      </c>
      <c r="F2468" s="335">
        <f>IF(OR(D2468="",E2468=""),"",ROUND(D2468*E2468,2))</f>
        <v/>
      </c>
      <c r="G2468" s="106" t="n"/>
      <c r="H2468" s="350">
        <f>IF(G2468="Sim",IF(OR(F2468="",D2468="",L2468=""),"",IF(L2468="Sim",ROUND(F2468-D2468,2),0)),0)</f>
        <v/>
      </c>
      <c r="I2468" s="350">
        <f>IF(G2468="Sim",0,IF(OR(F2468="",L2468=""),"",F2468))</f>
        <v/>
      </c>
      <c r="J2468" s="350">
        <f>IF(G2468="Sim",0,IF(OR(F2468="",D2468="",L2468=""),"",IF(L2468="Sim",ROUND(F2468-D2468,2),0)))</f>
        <v/>
      </c>
      <c r="K2468" s="97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inlineStr">
        <is>
          <t>Nao</t>
        </is>
      </c>
      <c r="W2468" s="110" t="inlineStr">
        <is>
          <t>PC em analise</t>
        </is>
      </c>
      <c r="X2468" s="110" t="inlineStr">
        <is>
          <t>Pedido de Compra</t>
        </is>
      </c>
      <c r="Y2468" s="111" t="inlineStr">
        <is>
          <t>Impacto Potencial</t>
        </is>
      </c>
      <c r="Z2468" s="111" t="inlineStr">
        <is>
          <t>PC</t>
        </is>
      </c>
      <c r="AA2468" s="111" t="inlineStr">
        <is>
          <t>Nao</t>
        </is>
      </c>
      <c r="AB2468" s="111" t="inlineStr">
        <is>
          <t>NAO_COMPUTADO</t>
        </is>
      </c>
      <c r="AC2468" s="112" t="inlineStr">
        <is>
          <t>Estrutura Fase 1: sem impacto no VTA oficial</t>
        </is>
      </c>
    </row>
    <row r="2469" ht="25.5" customHeight="1" s="289">
      <c r="A2469" s="205" t="n"/>
      <c r="B2469" s="207" t="n"/>
      <c r="C2469" s="104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348" t="n"/>
      <c r="E2469" s="349">
        <f>IF(C2469="","",IFERROR(VLOOKUP(C2469,parametros!$A$11:$E$15,5,0),""))</f>
        <v/>
      </c>
      <c r="F2469" s="335">
        <f>IF(OR(D2469="",E2469=""),"",ROUND(D2469*E2469,2))</f>
        <v/>
      </c>
      <c r="G2469" s="106" t="n"/>
      <c r="H2469" s="350">
        <f>IF(G2469="Sim",IF(OR(F2469="",D2469="",L2469=""),"",IF(L2469="Sim",ROUND(F2469-D2469,2),0)),0)</f>
        <v/>
      </c>
      <c r="I2469" s="350">
        <f>IF(G2469="Sim",0,IF(OR(F2469="",L2469=""),"",F2469))</f>
        <v/>
      </c>
      <c r="J2469" s="350">
        <f>IF(G2469="Sim",0,IF(OR(F2469="",D2469="",L2469=""),"",IF(L2469="Sim",ROUND(F2469-D2469,2),0)))</f>
        <v/>
      </c>
      <c r="K2469" s="97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inlineStr">
        <is>
          <t>Nao</t>
        </is>
      </c>
      <c r="W2469" s="110" t="inlineStr">
        <is>
          <t>PC em analise</t>
        </is>
      </c>
      <c r="X2469" s="110" t="inlineStr">
        <is>
          <t>Pedido de Compra</t>
        </is>
      </c>
      <c r="Y2469" s="111" t="inlineStr">
        <is>
          <t>Impacto Potencial</t>
        </is>
      </c>
      <c r="Z2469" s="111" t="inlineStr">
        <is>
          <t>PC</t>
        </is>
      </c>
      <c r="AA2469" s="111" t="inlineStr">
        <is>
          <t>Nao</t>
        </is>
      </c>
      <c r="AB2469" s="111" t="inlineStr">
        <is>
          <t>NAO_COMPUTADO</t>
        </is>
      </c>
      <c r="AC2469" s="112" t="inlineStr">
        <is>
          <t>Estrutura Fase 1: sem impacto no VTA oficial</t>
        </is>
      </c>
    </row>
    <row r="2470" ht="25.5" customHeight="1" s="289">
      <c r="A2470" s="205" t="n"/>
      <c r="B2470" s="207" t="n"/>
      <c r="C2470" s="104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348" t="n"/>
      <c r="E2470" s="349">
        <f>IF(C2470="","",IFERROR(VLOOKUP(C2470,parametros!$A$11:$E$15,5,0),""))</f>
        <v/>
      </c>
      <c r="F2470" s="335">
        <f>IF(OR(D2470="",E2470=""),"",ROUND(D2470*E2470,2))</f>
        <v/>
      </c>
      <c r="G2470" s="106" t="n"/>
      <c r="H2470" s="350">
        <f>IF(G2470="Sim",IF(OR(F2470="",D2470="",L2470=""),"",IF(L2470="Sim",ROUND(F2470-D2470,2),0)),0)</f>
        <v/>
      </c>
      <c r="I2470" s="350">
        <f>IF(G2470="Sim",0,IF(OR(F2470="",L2470=""),"",F2470))</f>
        <v/>
      </c>
      <c r="J2470" s="350">
        <f>IF(G2470="Sim",0,IF(OR(F2470="",D2470="",L2470=""),"",IF(L2470="Sim",ROUND(F2470-D2470,2),0)))</f>
        <v/>
      </c>
      <c r="K2470" s="97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inlineStr">
        <is>
          <t>Nao</t>
        </is>
      </c>
      <c r="W2470" s="110" t="inlineStr">
        <is>
          <t>PC em analise</t>
        </is>
      </c>
      <c r="X2470" s="110" t="inlineStr">
        <is>
          <t>Pedido de Compra</t>
        </is>
      </c>
      <c r="Y2470" s="111" t="inlineStr">
        <is>
          <t>Impacto Potencial</t>
        </is>
      </c>
      <c r="Z2470" s="111" t="inlineStr">
        <is>
          <t>PC</t>
        </is>
      </c>
      <c r="AA2470" s="111" t="inlineStr">
        <is>
          <t>Nao</t>
        </is>
      </c>
      <c r="AB2470" s="111" t="inlineStr">
        <is>
          <t>NAO_COMPUTADO</t>
        </is>
      </c>
      <c r="AC2470" s="112" t="inlineStr">
        <is>
          <t>Estrutura Fase 1: sem impacto no VTA oficial</t>
        </is>
      </c>
    </row>
    <row r="2471" ht="25.5" customHeight="1" s="289">
      <c r="A2471" s="205" t="n"/>
      <c r="B2471" s="207" t="n"/>
      <c r="C2471" s="104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348" t="n"/>
      <c r="E2471" s="349">
        <f>IF(C2471="","",IFERROR(VLOOKUP(C2471,parametros!$A$11:$E$15,5,0),""))</f>
        <v/>
      </c>
      <c r="F2471" s="335">
        <f>IF(OR(D2471="",E2471=""),"",ROUND(D2471*E2471,2))</f>
        <v/>
      </c>
      <c r="G2471" s="106" t="n"/>
      <c r="H2471" s="350">
        <f>IF(G2471="Sim",IF(OR(F2471="",D2471="",L2471=""),"",IF(L2471="Sim",ROUND(F2471-D2471,2),0)),0)</f>
        <v/>
      </c>
      <c r="I2471" s="350">
        <f>IF(G2471="Sim",0,IF(OR(F2471="",L2471=""),"",F2471))</f>
        <v/>
      </c>
      <c r="J2471" s="350">
        <f>IF(G2471="Sim",0,IF(OR(F2471="",D2471="",L2471=""),"",IF(L2471="Sim",ROUND(F2471-D2471,2),0)))</f>
        <v/>
      </c>
      <c r="K2471" s="97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inlineStr">
        <is>
          <t>Nao</t>
        </is>
      </c>
      <c r="W2471" s="110" t="inlineStr">
        <is>
          <t>PC em analise</t>
        </is>
      </c>
      <c r="X2471" s="110" t="inlineStr">
        <is>
          <t>Pedido de Compra</t>
        </is>
      </c>
      <c r="Y2471" s="111" t="inlineStr">
        <is>
          <t>Impacto Potencial</t>
        </is>
      </c>
      <c r="Z2471" s="111" t="inlineStr">
        <is>
          <t>PC</t>
        </is>
      </c>
      <c r="AA2471" s="111" t="inlineStr">
        <is>
          <t>Nao</t>
        </is>
      </c>
      <c r="AB2471" s="111" t="inlineStr">
        <is>
          <t>NAO_COMPUTADO</t>
        </is>
      </c>
      <c r="AC2471" s="112" t="inlineStr">
        <is>
          <t>Estrutura Fase 1: sem impacto no VTA oficial</t>
        </is>
      </c>
    </row>
    <row r="2472" ht="25.5" customHeight="1" s="289">
      <c r="A2472" s="205" t="n"/>
      <c r="B2472" s="207" t="n"/>
      <c r="C2472" s="104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348" t="n"/>
      <c r="E2472" s="349">
        <f>IF(C2472="","",IFERROR(VLOOKUP(C2472,parametros!$A$11:$E$15,5,0),""))</f>
        <v/>
      </c>
      <c r="F2472" s="335">
        <f>IF(OR(D2472="",E2472=""),"",ROUND(D2472*E2472,2))</f>
        <v/>
      </c>
      <c r="G2472" s="106" t="n"/>
      <c r="H2472" s="350">
        <f>IF(G2472="Sim",IF(OR(F2472="",D2472="",L2472=""),"",IF(L2472="Sim",ROUND(F2472-D2472,2),0)),0)</f>
        <v/>
      </c>
      <c r="I2472" s="350">
        <f>IF(G2472="Sim",0,IF(OR(F2472="",L2472=""),"",F2472))</f>
        <v/>
      </c>
      <c r="J2472" s="350">
        <f>IF(G2472="Sim",0,IF(OR(F2472="",D2472="",L2472=""),"",IF(L2472="Sim",ROUND(F2472-D2472,2),0)))</f>
        <v/>
      </c>
      <c r="K2472" s="97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inlineStr">
        <is>
          <t>Nao</t>
        </is>
      </c>
      <c r="W2472" s="110" t="inlineStr">
        <is>
          <t>PC em analise</t>
        </is>
      </c>
      <c r="X2472" s="110" t="inlineStr">
        <is>
          <t>Pedido de Compra</t>
        </is>
      </c>
      <c r="Y2472" s="111" t="inlineStr">
        <is>
          <t>Impacto Potencial</t>
        </is>
      </c>
      <c r="Z2472" s="111" t="inlineStr">
        <is>
          <t>PC</t>
        </is>
      </c>
      <c r="AA2472" s="111" t="inlineStr">
        <is>
          <t>Nao</t>
        </is>
      </c>
      <c r="AB2472" s="111" t="inlineStr">
        <is>
          <t>NAO_COMPUTADO</t>
        </is>
      </c>
      <c r="AC2472" s="112" t="inlineStr">
        <is>
          <t>Estrutura Fase 1: sem impacto no VTA oficial</t>
        </is>
      </c>
    </row>
    <row r="2473" ht="25.5" customHeight="1" s="289">
      <c r="A2473" s="205" t="n"/>
      <c r="B2473" s="207" t="n"/>
      <c r="C2473" s="104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348" t="n"/>
      <c r="E2473" s="349">
        <f>IF(C2473="","",IFERROR(VLOOKUP(C2473,parametros!$A$11:$E$15,5,0),""))</f>
        <v/>
      </c>
      <c r="F2473" s="335">
        <f>IF(OR(D2473="",E2473=""),"",ROUND(D2473*E2473,2))</f>
        <v/>
      </c>
      <c r="G2473" s="106" t="n"/>
      <c r="H2473" s="350">
        <f>IF(G2473="Sim",IF(OR(F2473="",D2473="",L2473=""),"",IF(L2473="Sim",ROUND(F2473-D2473,2),0)),0)</f>
        <v/>
      </c>
      <c r="I2473" s="350">
        <f>IF(G2473="Sim",0,IF(OR(F2473="",L2473=""),"",F2473))</f>
        <v/>
      </c>
      <c r="J2473" s="350">
        <f>IF(G2473="Sim",0,IF(OR(F2473="",D2473="",L2473=""),"",IF(L2473="Sim",ROUND(F2473-D2473,2),0)))</f>
        <v/>
      </c>
      <c r="K2473" s="97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inlineStr">
        <is>
          <t>Nao</t>
        </is>
      </c>
      <c r="W2473" s="110" t="inlineStr">
        <is>
          <t>PC em analise</t>
        </is>
      </c>
      <c r="X2473" s="110" t="inlineStr">
        <is>
          <t>Pedido de Compra</t>
        </is>
      </c>
      <c r="Y2473" s="111" t="inlineStr">
        <is>
          <t>Impacto Potencial</t>
        </is>
      </c>
      <c r="Z2473" s="111" t="inlineStr">
        <is>
          <t>PC</t>
        </is>
      </c>
      <c r="AA2473" s="111" t="inlineStr">
        <is>
          <t>Nao</t>
        </is>
      </c>
      <c r="AB2473" s="111" t="inlineStr">
        <is>
          <t>NAO_COMPUTADO</t>
        </is>
      </c>
      <c r="AC2473" s="112" t="inlineStr">
        <is>
          <t>Estrutura Fase 1: sem impacto no VTA oficial</t>
        </is>
      </c>
    </row>
    <row r="2474" ht="25.5" customHeight="1" s="289">
      <c r="A2474" s="205" t="n"/>
      <c r="B2474" s="207" t="n"/>
      <c r="C2474" s="104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348" t="n"/>
      <c r="E2474" s="349">
        <f>IF(C2474="","",IFERROR(VLOOKUP(C2474,parametros!$A$11:$E$15,5,0),""))</f>
        <v/>
      </c>
      <c r="F2474" s="335">
        <f>IF(OR(D2474="",E2474=""),"",ROUND(D2474*E2474,2))</f>
        <v/>
      </c>
      <c r="G2474" s="106" t="n"/>
      <c r="H2474" s="350">
        <f>IF(G2474="Sim",IF(OR(F2474="",D2474="",L2474=""),"",IF(L2474="Sim",ROUND(F2474-D2474,2),0)),0)</f>
        <v/>
      </c>
      <c r="I2474" s="350">
        <f>IF(G2474="Sim",0,IF(OR(F2474="",L2474=""),"",F2474))</f>
        <v/>
      </c>
      <c r="J2474" s="350">
        <f>IF(G2474="Sim",0,IF(OR(F2474="",D2474="",L2474=""),"",IF(L2474="Sim",ROUND(F2474-D2474,2),0)))</f>
        <v/>
      </c>
      <c r="K2474" s="97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inlineStr">
        <is>
          <t>Nao</t>
        </is>
      </c>
      <c r="W2474" s="110" t="inlineStr">
        <is>
          <t>PC em analise</t>
        </is>
      </c>
      <c r="X2474" s="110" t="inlineStr">
        <is>
          <t>Pedido de Compra</t>
        </is>
      </c>
      <c r="Y2474" s="111" t="inlineStr">
        <is>
          <t>Impacto Potencial</t>
        </is>
      </c>
      <c r="Z2474" s="111" t="inlineStr">
        <is>
          <t>PC</t>
        </is>
      </c>
      <c r="AA2474" s="111" t="inlineStr">
        <is>
          <t>Nao</t>
        </is>
      </c>
      <c r="AB2474" s="111" t="inlineStr">
        <is>
          <t>NAO_COMPUTADO</t>
        </is>
      </c>
      <c r="AC2474" s="112" t="inlineStr">
        <is>
          <t>Estrutura Fase 1: sem impacto no VTA oficial</t>
        </is>
      </c>
    </row>
    <row r="2475" ht="25.5" customHeight="1" s="289">
      <c r="A2475" s="205" t="n"/>
      <c r="B2475" s="207" t="n"/>
      <c r="C2475" s="104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348" t="n"/>
      <c r="E2475" s="349">
        <f>IF(C2475="","",IFERROR(VLOOKUP(C2475,parametros!$A$11:$E$15,5,0),""))</f>
        <v/>
      </c>
      <c r="F2475" s="335">
        <f>IF(OR(D2475="",E2475=""),"",ROUND(D2475*E2475,2))</f>
        <v/>
      </c>
      <c r="G2475" s="106" t="n"/>
      <c r="H2475" s="350">
        <f>IF(G2475="Sim",IF(OR(F2475="",D2475="",L2475=""),"",IF(L2475="Sim",ROUND(F2475-D2475,2),0)),0)</f>
        <v/>
      </c>
      <c r="I2475" s="350">
        <f>IF(G2475="Sim",0,IF(OR(F2475="",L2475=""),"",F2475))</f>
        <v/>
      </c>
      <c r="J2475" s="350">
        <f>IF(G2475="Sim",0,IF(OR(F2475="",D2475="",L2475=""),"",IF(L2475="Sim",ROUND(F2475-D2475,2),0)))</f>
        <v/>
      </c>
      <c r="K2475" s="97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inlineStr">
        <is>
          <t>Nao</t>
        </is>
      </c>
      <c r="W2475" s="110" t="inlineStr">
        <is>
          <t>PC em analise</t>
        </is>
      </c>
      <c r="X2475" s="110" t="inlineStr">
        <is>
          <t>Pedido de Compra</t>
        </is>
      </c>
      <c r="Y2475" s="111" t="inlineStr">
        <is>
          <t>Impacto Potencial</t>
        </is>
      </c>
      <c r="Z2475" s="111" t="inlineStr">
        <is>
          <t>PC</t>
        </is>
      </c>
      <c r="AA2475" s="111" t="inlineStr">
        <is>
          <t>Nao</t>
        </is>
      </c>
      <c r="AB2475" s="111" t="inlineStr">
        <is>
          <t>NAO_COMPUTADO</t>
        </is>
      </c>
      <c r="AC2475" s="112" t="inlineStr">
        <is>
          <t>Estrutura Fase 1: sem impacto no VTA oficial</t>
        </is>
      </c>
    </row>
    <row r="2476" ht="25.5" customHeight="1" s="289">
      <c r="A2476" s="205" t="n"/>
      <c r="B2476" s="207" t="n"/>
      <c r="C2476" s="104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348" t="n"/>
      <c r="E2476" s="349">
        <f>IF(C2476="","",IFERROR(VLOOKUP(C2476,parametros!$A$11:$E$15,5,0),""))</f>
        <v/>
      </c>
      <c r="F2476" s="335">
        <f>IF(OR(D2476="",E2476=""),"",ROUND(D2476*E2476,2))</f>
        <v/>
      </c>
      <c r="G2476" s="106" t="n"/>
      <c r="H2476" s="350">
        <f>IF(G2476="Sim",IF(OR(F2476="",D2476="",L2476=""),"",IF(L2476="Sim",ROUND(F2476-D2476,2),0)),0)</f>
        <v/>
      </c>
      <c r="I2476" s="350">
        <f>IF(G2476="Sim",0,IF(OR(F2476="",L2476=""),"",F2476))</f>
        <v/>
      </c>
      <c r="J2476" s="350">
        <f>IF(G2476="Sim",0,IF(OR(F2476="",D2476="",L2476=""),"",IF(L2476="Sim",ROUND(F2476-D2476,2),0)))</f>
        <v/>
      </c>
      <c r="K2476" s="97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inlineStr">
        <is>
          <t>Nao</t>
        </is>
      </c>
      <c r="W2476" s="110" t="inlineStr">
        <is>
          <t>PC em analise</t>
        </is>
      </c>
      <c r="X2476" s="110" t="inlineStr">
        <is>
          <t>Pedido de Compra</t>
        </is>
      </c>
      <c r="Y2476" s="111" t="inlineStr">
        <is>
          <t>Impacto Potencial</t>
        </is>
      </c>
      <c r="Z2476" s="111" t="inlineStr">
        <is>
          <t>PC</t>
        </is>
      </c>
      <c r="AA2476" s="111" t="inlineStr">
        <is>
          <t>Nao</t>
        </is>
      </c>
      <c r="AB2476" s="111" t="inlineStr">
        <is>
          <t>NAO_COMPUTADO</t>
        </is>
      </c>
      <c r="AC2476" s="112" t="inlineStr">
        <is>
          <t>Estrutura Fase 1: sem impacto no VTA oficial</t>
        </is>
      </c>
    </row>
    <row r="2477" ht="25.5" customHeight="1" s="289">
      <c r="A2477" s="205" t="n"/>
      <c r="B2477" s="207" t="n"/>
      <c r="C2477" s="104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348" t="n"/>
      <c r="E2477" s="349">
        <f>IF(C2477="","",IFERROR(VLOOKUP(C2477,parametros!$A$11:$E$15,5,0),""))</f>
        <v/>
      </c>
      <c r="F2477" s="335">
        <f>IF(OR(D2477="",E2477=""),"",ROUND(D2477*E2477,2))</f>
        <v/>
      </c>
      <c r="G2477" s="106" t="n"/>
      <c r="H2477" s="350">
        <f>IF(G2477="Sim",IF(OR(F2477="",D2477="",L2477=""),"",IF(L2477="Sim",ROUND(F2477-D2477,2),0)),0)</f>
        <v/>
      </c>
      <c r="I2477" s="350">
        <f>IF(G2477="Sim",0,IF(OR(F2477="",L2477=""),"",F2477))</f>
        <v/>
      </c>
      <c r="J2477" s="350">
        <f>IF(G2477="Sim",0,IF(OR(F2477="",D2477="",L2477=""),"",IF(L2477="Sim",ROUND(F2477-D2477,2),0)))</f>
        <v/>
      </c>
      <c r="K2477" s="97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inlineStr">
        <is>
          <t>Nao</t>
        </is>
      </c>
      <c r="W2477" s="110" t="inlineStr">
        <is>
          <t>PC em analise</t>
        </is>
      </c>
      <c r="X2477" s="110" t="inlineStr">
        <is>
          <t>Pedido de Compra</t>
        </is>
      </c>
      <c r="Y2477" s="111" t="inlineStr">
        <is>
          <t>Impacto Potencial</t>
        </is>
      </c>
      <c r="Z2477" s="111" t="inlineStr">
        <is>
          <t>PC</t>
        </is>
      </c>
      <c r="AA2477" s="111" t="inlineStr">
        <is>
          <t>Nao</t>
        </is>
      </c>
      <c r="AB2477" s="111" t="inlineStr">
        <is>
          <t>NAO_COMPUTADO</t>
        </is>
      </c>
      <c r="AC2477" s="112" t="inlineStr">
        <is>
          <t>Estrutura Fase 1: sem impacto no VTA oficial</t>
        </is>
      </c>
    </row>
    <row r="2478" ht="25.5" customHeight="1" s="289">
      <c r="A2478" s="205" t="n"/>
      <c r="B2478" s="207" t="n"/>
      <c r="C2478" s="104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348" t="n"/>
      <c r="E2478" s="349">
        <f>IF(C2478="","",IFERROR(VLOOKUP(C2478,parametros!$A$11:$E$15,5,0),""))</f>
        <v/>
      </c>
      <c r="F2478" s="335">
        <f>IF(OR(D2478="",E2478=""),"",ROUND(D2478*E2478,2))</f>
        <v/>
      </c>
      <c r="G2478" s="106" t="n"/>
      <c r="H2478" s="350">
        <f>IF(G2478="Sim",IF(OR(F2478="",D2478="",L2478=""),"",IF(L2478="Sim",ROUND(F2478-D2478,2),0)),0)</f>
        <v/>
      </c>
      <c r="I2478" s="350">
        <f>IF(G2478="Sim",0,IF(OR(F2478="",L2478=""),"",F2478))</f>
        <v/>
      </c>
      <c r="J2478" s="350">
        <f>IF(G2478="Sim",0,IF(OR(F2478="",D2478="",L2478=""),"",IF(L2478="Sim",ROUND(F2478-D2478,2),0)))</f>
        <v/>
      </c>
      <c r="K2478" s="97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inlineStr">
        <is>
          <t>Nao</t>
        </is>
      </c>
      <c r="W2478" s="110" t="inlineStr">
        <is>
          <t>PC em analise</t>
        </is>
      </c>
      <c r="X2478" s="110" t="inlineStr">
        <is>
          <t>Pedido de Compra</t>
        </is>
      </c>
      <c r="Y2478" s="111" t="inlineStr">
        <is>
          <t>Impacto Potencial</t>
        </is>
      </c>
      <c r="Z2478" s="111" t="inlineStr">
        <is>
          <t>PC</t>
        </is>
      </c>
      <c r="AA2478" s="111" t="inlineStr">
        <is>
          <t>Nao</t>
        </is>
      </c>
      <c r="AB2478" s="111" t="inlineStr">
        <is>
          <t>NAO_COMPUTADO</t>
        </is>
      </c>
      <c r="AC2478" s="112" t="inlineStr">
        <is>
          <t>Estrutura Fase 1: sem impacto no VTA oficial</t>
        </is>
      </c>
    </row>
    <row r="2479" ht="25.5" customHeight="1" s="289">
      <c r="A2479" s="205" t="n"/>
      <c r="B2479" s="207" t="n"/>
      <c r="C2479" s="104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348" t="n"/>
      <c r="E2479" s="349">
        <f>IF(C2479="","",IFERROR(VLOOKUP(C2479,parametros!$A$11:$E$15,5,0),""))</f>
        <v/>
      </c>
      <c r="F2479" s="335">
        <f>IF(OR(D2479="",E2479=""),"",ROUND(D2479*E2479,2))</f>
        <v/>
      </c>
      <c r="G2479" s="106" t="n"/>
      <c r="H2479" s="350">
        <f>IF(G2479="Sim",IF(OR(F2479="",D2479="",L2479=""),"",IF(L2479="Sim",ROUND(F2479-D2479,2),0)),0)</f>
        <v/>
      </c>
      <c r="I2479" s="350">
        <f>IF(G2479="Sim",0,IF(OR(F2479="",L2479=""),"",F2479))</f>
        <v/>
      </c>
      <c r="J2479" s="350">
        <f>IF(G2479="Sim",0,IF(OR(F2479="",D2479="",L2479=""),"",IF(L2479="Sim",ROUND(F2479-D2479,2),0)))</f>
        <v/>
      </c>
      <c r="K2479" s="97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inlineStr">
        <is>
          <t>Nao</t>
        </is>
      </c>
      <c r="W2479" s="110" t="inlineStr">
        <is>
          <t>PC em analise</t>
        </is>
      </c>
      <c r="X2479" s="110" t="inlineStr">
        <is>
          <t>Pedido de Compra</t>
        </is>
      </c>
      <c r="Y2479" s="111" t="inlineStr">
        <is>
          <t>Impacto Potencial</t>
        </is>
      </c>
      <c r="Z2479" s="111" t="inlineStr">
        <is>
          <t>PC</t>
        </is>
      </c>
      <c r="AA2479" s="111" t="inlineStr">
        <is>
          <t>Nao</t>
        </is>
      </c>
      <c r="AB2479" s="111" t="inlineStr">
        <is>
          <t>NAO_COMPUTADO</t>
        </is>
      </c>
      <c r="AC2479" s="112" t="inlineStr">
        <is>
          <t>Estrutura Fase 1: sem impacto no VTA oficial</t>
        </is>
      </c>
    </row>
    <row r="2480" ht="25.5" customHeight="1" s="289">
      <c r="A2480" s="205" t="n"/>
      <c r="B2480" s="207" t="n"/>
      <c r="C2480" s="104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348" t="n"/>
      <c r="E2480" s="349">
        <f>IF(C2480="","",IFERROR(VLOOKUP(C2480,parametros!$A$11:$E$15,5,0),""))</f>
        <v/>
      </c>
      <c r="F2480" s="335">
        <f>IF(OR(D2480="",E2480=""),"",ROUND(D2480*E2480,2))</f>
        <v/>
      </c>
      <c r="G2480" s="106" t="n"/>
      <c r="H2480" s="350">
        <f>IF(G2480="Sim",IF(OR(F2480="",D2480="",L2480=""),"",IF(L2480="Sim",ROUND(F2480-D2480,2),0)),0)</f>
        <v/>
      </c>
      <c r="I2480" s="350">
        <f>IF(G2480="Sim",0,IF(OR(F2480="",L2480=""),"",F2480))</f>
        <v/>
      </c>
      <c r="J2480" s="350">
        <f>IF(G2480="Sim",0,IF(OR(F2480="",D2480="",L2480=""),"",IF(L2480="Sim",ROUND(F2480-D2480,2),0)))</f>
        <v/>
      </c>
      <c r="K2480" s="97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inlineStr">
        <is>
          <t>Nao</t>
        </is>
      </c>
      <c r="W2480" s="110" t="inlineStr">
        <is>
          <t>PC em analise</t>
        </is>
      </c>
      <c r="X2480" s="110" t="inlineStr">
        <is>
          <t>Pedido de Compra</t>
        </is>
      </c>
      <c r="Y2480" s="111" t="inlineStr">
        <is>
          <t>Impacto Potencial</t>
        </is>
      </c>
      <c r="Z2480" s="111" t="inlineStr">
        <is>
          <t>PC</t>
        </is>
      </c>
      <c r="AA2480" s="111" t="inlineStr">
        <is>
          <t>Nao</t>
        </is>
      </c>
      <c r="AB2480" s="111" t="inlineStr">
        <is>
          <t>NAO_COMPUTADO</t>
        </is>
      </c>
      <c r="AC2480" s="112" t="inlineStr">
        <is>
          <t>Estrutura Fase 1: sem impacto no VTA oficial</t>
        </is>
      </c>
    </row>
    <row r="2481" ht="25.5" customHeight="1" s="289">
      <c r="A2481" s="205" t="n"/>
      <c r="B2481" s="207" t="n"/>
      <c r="C2481" s="104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348" t="n"/>
      <c r="E2481" s="349">
        <f>IF(C2481="","",IFERROR(VLOOKUP(C2481,parametros!$A$11:$E$15,5,0),""))</f>
        <v/>
      </c>
      <c r="F2481" s="335">
        <f>IF(OR(D2481="",E2481=""),"",ROUND(D2481*E2481,2))</f>
        <v/>
      </c>
      <c r="G2481" s="106" t="n"/>
      <c r="H2481" s="350">
        <f>IF(G2481="Sim",IF(OR(F2481="",D2481="",L2481=""),"",IF(L2481="Sim",ROUND(F2481-D2481,2),0)),0)</f>
        <v/>
      </c>
      <c r="I2481" s="350">
        <f>IF(G2481="Sim",0,IF(OR(F2481="",L2481=""),"",F2481))</f>
        <v/>
      </c>
      <c r="J2481" s="350">
        <f>IF(G2481="Sim",0,IF(OR(F2481="",D2481="",L2481=""),"",IF(L2481="Sim",ROUND(F2481-D2481,2),0)))</f>
        <v/>
      </c>
      <c r="K2481" s="97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inlineStr">
        <is>
          <t>Nao</t>
        </is>
      </c>
      <c r="W2481" s="110" t="inlineStr">
        <is>
          <t>PC em analise</t>
        </is>
      </c>
      <c r="X2481" s="110" t="inlineStr">
        <is>
          <t>Pedido de Compra</t>
        </is>
      </c>
      <c r="Y2481" s="111" t="inlineStr">
        <is>
          <t>Impacto Potencial</t>
        </is>
      </c>
      <c r="Z2481" s="111" t="inlineStr">
        <is>
          <t>PC</t>
        </is>
      </c>
      <c r="AA2481" s="111" t="inlineStr">
        <is>
          <t>Nao</t>
        </is>
      </c>
      <c r="AB2481" s="111" t="inlineStr">
        <is>
          <t>NAO_COMPUTADO</t>
        </is>
      </c>
      <c r="AC2481" s="112" t="inlineStr">
        <is>
          <t>Estrutura Fase 1: sem impacto no VTA oficial</t>
        </is>
      </c>
    </row>
    <row r="2482" ht="25.5" customHeight="1" s="289">
      <c r="A2482" s="205" t="n"/>
      <c r="B2482" s="207" t="n"/>
      <c r="C2482" s="104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348" t="n"/>
      <c r="E2482" s="349">
        <f>IF(C2482="","",IFERROR(VLOOKUP(C2482,parametros!$A$11:$E$15,5,0),""))</f>
        <v/>
      </c>
      <c r="F2482" s="335">
        <f>IF(OR(D2482="",E2482=""),"",ROUND(D2482*E2482,2))</f>
        <v/>
      </c>
      <c r="G2482" s="106" t="n"/>
      <c r="H2482" s="350">
        <f>IF(G2482="Sim",IF(OR(F2482="",D2482="",L2482=""),"",IF(L2482="Sim",ROUND(F2482-D2482,2),0)),0)</f>
        <v/>
      </c>
      <c r="I2482" s="350">
        <f>IF(G2482="Sim",0,IF(OR(F2482="",L2482=""),"",F2482))</f>
        <v/>
      </c>
      <c r="J2482" s="350">
        <f>IF(G2482="Sim",0,IF(OR(F2482="",D2482="",L2482=""),"",IF(L2482="Sim",ROUND(F2482-D2482,2),0)))</f>
        <v/>
      </c>
      <c r="K2482" s="97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inlineStr">
        <is>
          <t>Nao</t>
        </is>
      </c>
      <c r="W2482" s="110" t="inlineStr">
        <is>
          <t>PC em analise</t>
        </is>
      </c>
      <c r="X2482" s="110" t="inlineStr">
        <is>
          <t>Pedido de Compra</t>
        </is>
      </c>
      <c r="Y2482" s="111" t="inlineStr">
        <is>
          <t>Impacto Potencial</t>
        </is>
      </c>
      <c r="Z2482" s="111" t="inlineStr">
        <is>
          <t>PC</t>
        </is>
      </c>
      <c r="AA2482" s="111" t="inlineStr">
        <is>
          <t>Nao</t>
        </is>
      </c>
      <c r="AB2482" s="111" t="inlineStr">
        <is>
          <t>NAO_COMPUTADO</t>
        </is>
      </c>
      <c r="AC2482" s="112" t="inlineStr">
        <is>
          <t>Estrutura Fase 1: sem impacto no VTA oficial</t>
        </is>
      </c>
    </row>
    <row r="2483" ht="25.5" customHeight="1" s="289">
      <c r="A2483" s="205" t="n"/>
      <c r="B2483" s="207" t="n"/>
      <c r="C2483" s="104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348" t="n"/>
      <c r="E2483" s="349">
        <f>IF(C2483="","",IFERROR(VLOOKUP(C2483,parametros!$A$11:$E$15,5,0),""))</f>
        <v/>
      </c>
      <c r="F2483" s="335">
        <f>IF(OR(D2483="",E2483=""),"",ROUND(D2483*E2483,2))</f>
        <v/>
      </c>
      <c r="G2483" s="106" t="n"/>
      <c r="H2483" s="350">
        <f>IF(G2483="Sim",IF(OR(F2483="",D2483="",L2483=""),"",IF(L2483="Sim",ROUND(F2483-D2483,2),0)),0)</f>
        <v/>
      </c>
      <c r="I2483" s="350">
        <f>IF(G2483="Sim",0,IF(OR(F2483="",L2483=""),"",F2483))</f>
        <v/>
      </c>
      <c r="J2483" s="350">
        <f>IF(G2483="Sim",0,IF(OR(F2483="",D2483="",L2483=""),"",IF(L2483="Sim",ROUND(F2483-D2483,2),0)))</f>
        <v/>
      </c>
      <c r="K2483" s="97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inlineStr">
        <is>
          <t>Nao</t>
        </is>
      </c>
      <c r="W2483" s="110" t="inlineStr">
        <is>
          <t>PC em analise</t>
        </is>
      </c>
      <c r="X2483" s="110" t="inlineStr">
        <is>
          <t>Pedido de Compra</t>
        </is>
      </c>
      <c r="Y2483" s="111" t="inlineStr">
        <is>
          <t>Impacto Potencial</t>
        </is>
      </c>
      <c r="Z2483" s="111" t="inlineStr">
        <is>
          <t>PC</t>
        </is>
      </c>
      <c r="AA2483" s="111" t="inlineStr">
        <is>
          <t>Nao</t>
        </is>
      </c>
      <c r="AB2483" s="111" t="inlineStr">
        <is>
          <t>NAO_COMPUTADO</t>
        </is>
      </c>
      <c r="AC2483" s="112" t="inlineStr">
        <is>
          <t>Estrutura Fase 1: sem impacto no VTA oficial</t>
        </is>
      </c>
    </row>
    <row r="2484" ht="25.5" customHeight="1" s="289">
      <c r="A2484" s="205" t="n"/>
      <c r="B2484" s="207" t="n"/>
      <c r="C2484" s="104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348" t="n"/>
      <c r="E2484" s="349">
        <f>IF(C2484="","",IFERROR(VLOOKUP(C2484,parametros!$A$11:$E$15,5,0),""))</f>
        <v/>
      </c>
      <c r="F2484" s="335">
        <f>IF(OR(D2484="",E2484=""),"",ROUND(D2484*E2484,2))</f>
        <v/>
      </c>
      <c r="G2484" s="106" t="n"/>
      <c r="H2484" s="350">
        <f>IF(G2484="Sim",IF(OR(F2484="",D2484="",L2484=""),"",IF(L2484="Sim",ROUND(F2484-D2484,2),0)),0)</f>
        <v/>
      </c>
      <c r="I2484" s="350">
        <f>IF(G2484="Sim",0,IF(OR(F2484="",L2484=""),"",F2484))</f>
        <v/>
      </c>
      <c r="J2484" s="350">
        <f>IF(G2484="Sim",0,IF(OR(F2484="",D2484="",L2484=""),"",IF(L2484="Sim",ROUND(F2484-D2484,2),0)))</f>
        <v/>
      </c>
      <c r="K2484" s="97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inlineStr">
        <is>
          <t>Nao</t>
        </is>
      </c>
      <c r="W2484" s="110" t="inlineStr">
        <is>
          <t>PC em analise</t>
        </is>
      </c>
      <c r="X2484" s="110" t="inlineStr">
        <is>
          <t>Pedido de Compra</t>
        </is>
      </c>
      <c r="Y2484" s="111" t="inlineStr">
        <is>
          <t>Impacto Potencial</t>
        </is>
      </c>
      <c r="Z2484" s="111" t="inlineStr">
        <is>
          <t>PC</t>
        </is>
      </c>
      <c r="AA2484" s="111" t="inlineStr">
        <is>
          <t>Nao</t>
        </is>
      </c>
      <c r="AB2484" s="111" t="inlineStr">
        <is>
          <t>NAO_COMPUTADO</t>
        </is>
      </c>
      <c r="AC2484" s="112" t="inlineStr">
        <is>
          <t>Estrutura Fase 1: sem impacto no VTA oficial</t>
        </is>
      </c>
    </row>
    <row r="2485" ht="25.5" customHeight="1" s="289">
      <c r="A2485" s="205" t="n"/>
      <c r="B2485" s="207" t="n"/>
      <c r="C2485" s="104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348" t="n"/>
      <c r="E2485" s="349">
        <f>IF(C2485="","",IFERROR(VLOOKUP(C2485,parametros!$A$11:$E$15,5,0),""))</f>
        <v/>
      </c>
      <c r="F2485" s="335">
        <f>IF(OR(D2485="",E2485=""),"",ROUND(D2485*E2485,2))</f>
        <v/>
      </c>
      <c r="G2485" s="106" t="n"/>
      <c r="H2485" s="350">
        <f>IF(G2485="Sim",IF(OR(F2485="",D2485="",L2485=""),"",IF(L2485="Sim",ROUND(F2485-D2485,2),0)),0)</f>
        <v/>
      </c>
      <c r="I2485" s="350">
        <f>IF(G2485="Sim",0,IF(OR(F2485="",L2485=""),"",F2485))</f>
        <v/>
      </c>
      <c r="J2485" s="350">
        <f>IF(G2485="Sim",0,IF(OR(F2485="",D2485="",L2485=""),"",IF(L2485="Sim",ROUND(F2485-D2485,2),0)))</f>
        <v/>
      </c>
      <c r="K2485" s="97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inlineStr">
        <is>
          <t>Nao</t>
        </is>
      </c>
      <c r="W2485" s="110" t="inlineStr">
        <is>
          <t>PC em analise</t>
        </is>
      </c>
      <c r="X2485" s="110" t="inlineStr">
        <is>
          <t>Pedido de Compra</t>
        </is>
      </c>
      <c r="Y2485" s="111" t="inlineStr">
        <is>
          <t>Impacto Potencial</t>
        </is>
      </c>
      <c r="Z2485" s="111" t="inlineStr">
        <is>
          <t>PC</t>
        </is>
      </c>
      <c r="AA2485" s="111" t="inlineStr">
        <is>
          <t>Nao</t>
        </is>
      </c>
      <c r="AB2485" s="111" t="inlineStr">
        <is>
          <t>NAO_COMPUTADO</t>
        </is>
      </c>
      <c r="AC2485" s="112" t="inlineStr">
        <is>
          <t>Estrutura Fase 1: sem impacto no VTA oficial</t>
        </is>
      </c>
    </row>
    <row r="2486" ht="25.5" customHeight="1" s="289">
      <c r="A2486" s="205" t="n"/>
      <c r="B2486" s="207" t="n"/>
      <c r="C2486" s="104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348" t="n"/>
      <c r="E2486" s="349">
        <f>IF(C2486="","",IFERROR(VLOOKUP(C2486,parametros!$A$11:$E$15,5,0),""))</f>
        <v/>
      </c>
      <c r="F2486" s="335">
        <f>IF(OR(D2486="",E2486=""),"",ROUND(D2486*E2486,2))</f>
        <v/>
      </c>
      <c r="G2486" s="106" t="n"/>
      <c r="H2486" s="350">
        <f>IF(G2486="Sim",IF(OR(F2486="",D2486="",L2486=""),"",IF(L2486="Sim",ROUND(F2486-D2486,2),0)),0)</f>
        <v/>
      </c>
      <c r="I2486" s="350">
        <f>IF(G2486="Sim",0,IF(OR(F2486="",L2486=""),"",F2486))</f>
        <v/>
      </c>
      <c r="J2486" s="350">
        <f>IF(G2486="Sim",0,IF(OR(F2486="",D2486="",L2486=""),"",IF(L2486="Sim",ROUND(F2486-D2486,2),0)))</f>
        <v/>
      </c>
      <c r="K2486" s="97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inlineStr">
        <is>
          <t>Nao</t>
        </is>
      </c>
      <c r="W2486" s="110" t="inlineStr">
        <is>
          <t>PC em analise</t>
        </is>
      </c>
      <c r="X2486" s="110" t="inlineStr">
        <is>
          <t>Pedido de Compra</t>
        </is>
      </c>
      <c r="Y2486" s="111" t="inlineStr">
        <is>
          <t>Impacto Potencial</t>
        </is>
      </c>
      <c r="Z2486" s="111" t="inlineStr">
        <is>
          <t>PC</t>
        </is>
      </c>
      <c r="AA2486" s="111" t="inlineStr">
        <is>
          <t>Nao</t>
        </is>
      </c>
      <c r="AB2486" s="111" t="inlineStr">
        <is>
          <t>NAO_COMPUTADO</t>
        </is>
      </c>
      <c r="AC2486" s="112" t="inlineStr">
        <is>
          <t>Estrutura Fase 1: sem impacto no VTA oficial</t>
        </is>
      </c>
    </row>
    <row r="2487" ht="25.5" customHeight="1" s="289">
      <c r="A2487" s="205" t="n"/>
      <c r="B2487" s="207" t="n"/>
      <c r="C2487" s="104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348" t="n"/>
      <c r="E2487" s="349">
        <f>IF(C2487="","",IFERROR(VLOOKUP(C2487,parametros!$A$11:$E$15,5,0),""))</f>
        <v/>
      </c>
      <c r="F2487" s="335">
        <f>IF(OR(D2487="",E2487=""),"",ROUND(D2487*E2487,2))</f>
        <v/>
      </c>
      <c r="G2487" s="106" t="n"/>
      <c r="H2487" s="350">
        <f>IF(G2487="Sim",IF(OR(F2487="",D2487="",L2487=""),"",IF(L2487="Sim",ROUND(F2487-D2487,2),0)),0)</f>
        <v/>
      </c>
      <c r="I2487" s="350">
        <f>IF(G2487="Sim",0,IF(OR(F2487="",L2487=""),"",F2487))</f>
        <v/>
      </c>
      <c r="J2487" s="350">
        <f>IF(G2487="Sim",0,IF(OR(F2487="",D2487="",L2487=""),"",IF(L2487="Sim",ROUND(F2487-D2487,2),0)))</f>
        <v/>
      </c>
      <c r="K2487" s="97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inlineStr">
        <is>
          <t>Nao</t>
        </is>
      </c>
      <c r="W2487" s="110" t="inlineStr">
        <is>
          <t>PC em analise</t>
        </is>
      </c>
      <c r="X2487" s="110" t="inlineStr">
        <is>
          <t>Pedido de Compra</t>
        </is>
      </c>
      <c r="Y2487" s="111" t="inlineStr">
        <is>
          <t>Impacto Potencial</t>
        </is>
      </c>
      <c r="Z2487" s="111" t="inlineStr">
        <is>
          <t>PC</t>
        </is>
      </c>
      <c r="AA2487" s="111" t="inlineStr">
        <is>
          <t>Nao</t>
        </is>
      </c>
      <c r="AB2487" s="111" t="inlineStr">
        <is>
          <t>NAO_COMPUTADO</t>
        </is>
      </c>
      <c r="AC2487" s="112" t="inlineStr">
        <is>
          <t>Estrutura Fase 1: sem impacto no VTA oficial</t>
        </is>
      </c>
    </row>
    <row r="2488" ht="25.5" customHeight="1" s="289">
      <c r="A2488" s="205" t="n"/>
      <c r="B2488" s="207" t="n"/>
      <c r="C2488" s="104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348" t="n"/>
      <c r="E2488" s="349">
        <f>IF(C2488="","",IFERROR(VLOOKUP(C2488,parametros!$A$11:$E$15,5,0),""))</f>
        <v/>
      </c>
      <c r="F2488" s="335">
        <f>IF(OR(D2488="",E2488=""),"",ROUND(D2488*E2488,2))</f>
        <v/>
      </c>
      <c r="G2488" s="106" t="n"/>
      <c r="H2488" s="350">
        <f>IF(G2488="Sim",IF(OR(F2488="",D2488="",L2488=""),"",IF(L2488="Sim",ROUND(F2488-D2488,2),0)),0)</f>
        <v/>
      </c>
      <c r="I2488" s="350">
        <f>IF(G2488="Sim",0,IF(OR(F2488="",L2488=""),"",F2488))</f>
        <v/>
      </c>
      <c r="J2488" s="350">
        <f>IF(G2488="Sim",0,IF(OR(F2488="",D2488="",L2488=""),"",IF(L2488="Sim",ROUND(F2488-D2488,2),0)))</f>
        <v/>
      </c>
      <c r="K2488" s="97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inlineStr">
        <is>
          <t>Nao</t>
        </is>
      </c>
      <c r="W2488" s="110" t="inlineStr">
        <is>
          <t>PC em analise</t>
        </is>
      </c>
      <c r="X2488" s="110" t="inlineStr">
        <is>
          <t>Pedido de Compra</t>
        </is>
      </c>
      <c r="Y2488" s="111" t="inlineStr">
        <is>
          <t>Impacto Potencial</t>
        </is>
      </c>
      <c r="Z2488" s="111" t="inlineStr">
        <is>
          <t>PC</t>
        </is>
      </c>
      <c r="AA2488" s="111" t="inlineStr">
        <is>
          <t>Nao</t>
        </is>
      </c>
      <c r="AB2488" s="111" t="inlineStr">
        <is>
          <t>NAO_COMPUTADO</t>
        </is>
      </c>
      <c r="AC2488" s="112" t="inlineStr">
        <is>
          <t>Estrutura Fase 1: sem impacto no VTA oficial</t>
        </is>
      </c>
    </row>
    <row r="2489" ht="25.5" customHeight="1" s="289">
      <c r="A2489" s="205" t="n"/>
      <c r="B2489" s="207" t="n"/>
      <c r="C2489" s="104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348" t="n"/>
      <c r="E2489" s="349">
        <f>IF(C2489="","",IFERROR(VLOOKUP(C2489,parametros!$A$11:$E$15,5,0),""))</f>
        <v/>
      </c>
      <c r="F2489" s="335">
        <f>IF(OR(D2489="",E2489=""),"",ROUND(D2489*E2489,2))</f>
        <v/>
      </c>
      <c r="G2489" s="106" t="n"/>
      <c r="H2489" s="350">
        <f>IF(G2489="Sim",IF(OR(F2489="",D2489="",L2489=""),"",IF(L2489="Sim",ROUND(F2489-D2489,2),0)),0)</f>
        <v/>
      </c>
      <c r="I2489" s="350">
        <f>IF(G2489="Sim",0,IF(OR(F2489="",L2489=""),"",F2489))</f>
        <v/>
      </c>
      <c r="J2489" s="350">
        <f>IF(G2489="Sim",0,IF(OR(F2489="",D2489="",L2489=""),"",IF(L2489="Sim",ROUND(F2489-D2489,2),0)))</f>
        <v/>
      </c>
      <c r="K2489" s="97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inlineStr">
        <is>
          <t>Nao</t>
        </is>
      </c>
      <c r="W2489" s="110" t="inlineStr">
        <is>
          <t>PC em analise</t>
        </is>
      </c>
      <c r="X2489" s="110" t="inlineStr">
        <is>
          <t>Pedido de Compra</t>
        </is>
      </c>
      <c r="Y2489" s="111" t="inlineStr">
        <is>
          <t>Impacto Potencial</t>
        </is>
      </c>
      <c r="Z2489" s="111" t="inlineStr">
        <is>
          <t>PC</t>
        </is>
      </c>
      <c r="AA2489" s="111" t="inlineStr">
        <is>
          <t>Nao</t>
        </is>
      </c>
      <c r="AB2489" s="111" t="inlineStr">
        <is>
          <t>NAO_COMPUTADO</t>
        </is>
      </c>
      <c r="AC2489" s="112" t="inlineStr">
        <is>
          <t>Estrutura Fase 1: sem impacto no VTA oficial</t>
        </is>
      </c>
    </row>
    <row r="2490" ht="25.5" customHeight="1" s="289">
      <c r="A2490" s="205" t="n"/>
      <c r="B2490" s="207" t="n"/>
      <c r="C2490" s="104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348" t="n"/>
      <c r="E2490" s="349">
        <f>IF(C2490="","",IFERROR(VLOOKUP(C2490,parametros!$A$11:$E$15,5,0),""))</f>
        <v/>
      </c>
      <c r="F2490" s="335">
        <f>IF(OR(D2490="",E2490=""),"",ROUND(D2490*E2490,2))</f>
        <v/>
      </c>
      <c r="G2490" s="106" t="n"/>
      <c r="H2490" s="350">
        <f>IF(G2490="Sim",IF(OR(F2490="",D2490="",L2490=""),"",IF(L2490="Sim",ROUND(F2490-D2490,2),0)),0)</f>
        <v/>
      </c>
      <c r="I2490" s="350">
        <f>IF(G2490="Sim",0,IF(OR(F2490="",L2490=""),"",F2490))</f>
        <v/>
      </c>
      <c r="J2490" s="350">
        <f>IF(G2490="Sim",0,IF(OR(F2490="",D2490="",L2490=""),"",IF(L2490="Sim",ROUND(F2490-D2490,2),0)))</f>
        <v/>
      </c>
      <c r="K2490" s="97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inlineStr">
        <is>
          <t>Nao</t>
        </is>
      </c>
      <c r="W2490" s="110" t="inlineStr">
        <is>
          <t>PC em analise</t>
        </is>
      </c>
      <c r="X2490" s="110" t="inlineStr">
        <is>
          <t>Pedido de Compra</t>
        </is>
      </c>
      <c r="Y2490" s="111" t="inlineStr">
        <is>
          <t>Impacto Potencial</t>
        </is>
      </c>
      <c r="Z2490" s="111" t="inlineStr">
        <is>
          <t>PC</t>
        </is>
      </c>
      <c r="AA2490" s="111" t="inlineStr">
        <is>
          <t>Nao</t>
        </is>
      </c>
      <c r="AB2490" s="111" t="inlineStr">
        <is>
          <t>NAO_COMPUTADO</t>
        </is>
      </c>
      <c r="AC2490" s="112" t="inlineStr">
        <is>
          <t>Estrutura Fase 1: sem impacto no VTA oficial</t>
        </is>
      </c>
    </row>
    <row r="2491" ht="25.5" customHeight="1" s="289">
      <c r="A2491" s="205" t="n"/>
      <c r="B2491" s="207" t="n"/>
      <c r="C2491" s="104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348" t="n"/>
      <c r="E2491" s="349">
        <f>IF(C2491="","",IFERROR(VLOOKUP(C2491,parametros!$A$11:$E$15,5,0),""))</f>
        <v/>
      </c>
      <c r="F2491" s="335">
        <f>IF(OR(D2491="",E2491=""),"",ROUND(D2491*E2491,2))</f>
        <v/>
      </c>
      <c r="G2491" s="106" t="n"/>
      <c r="H2491" s="350">
        <f>IF(G2491="Sim",IF(OR(F2491="",D2491="",L2491=""),"",IF(L2491="Sim",ROUND(F2491-D2491,2),0)),0)</f>
        <v/>
      </c>
      <c r="I2491" s="350">
        <f>IF(G2491="Sim",0,IF(OR(F2491="",L2491=""),"",F2491))</f>
        <v/>
      </c>
      <c r="J2491" s="350">
        <f>IF(G2491="Sim",0,IF(OR(F2491="",D2491="",L2491=""),"",IF(L2491="Sim",ROUND(F2491-D2491,2),0)))</f>
        <v/>
      </c>
      <c r="K2491" s="97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inlineStr">
        <is>
          <t>Nao</t>
        </is>
      </c>
      <c r="W2491" s="110" t="inlineStr">
        <is>
          <t>PC em analise</t>
        </is>
      </c>
      <c r="X2491" s="110" t="inlineStr">
        <is>
          <t>Pedido de Compra</t>
        </is>
      </c>
      <c r="Y2491" s="111" t="inlineStr">
        <is>
          <t>Impacto Potencial</t>
        </is>
      </c>
      <c r="Z2491" s="111" t="inlineStr">
        <is>
          <t>PC</t>
        </is>
      </c>
      <c r="AA2491" s="111" t="inlineStr">
        <is>
          <t>Nao</t>
        </is>
      </c>
      <c r="AB2491" s="111" t="inlineStr">
        <is>
          <t>NAO_COMPUTADO</t>
        </is>
      </c>
      <c r="AC2491" s="112" t="inlineStr">
        <is>
          <t>Estrutura Fase 1: sem impacto no VTA oficial</t>
        </is>
      </c>
    </row>
    <row r="2492" ht="25.5" customHeight="1" s="289">
      <c r="A2492" s="205" t="n"/>
      <c r="B2492" s="207" t="n"/>
      <c r="C2492" s="104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348" t="n"/>
      <c r="E2492" s="349">
        <f>IF(C2492="","",IFERROR(VLOOKUP(C2492,parametros!$A$11:$E$15,5,0),""))</f>
        <v/>
      </c>
      <c r="F2492" s="335">
        <f>IF(OR(D2492="",E2492=""),"",ROUND(D2492*E2492,2))</f>
        <v/>
      </c>
      <c r="G2492" s="106" t="n"/>
      <c r="H2492" s="350">
        <f>IF(G2492="Sim",IF(OR(F2492="",D2492="",L2492=""),"",IF(L2492="Sim",ROUND(F2492-D2492,2),0)),0)</f>
        <v/>
      </c>
      <c r="I2492" s="350">
        <f>IF(G2492="Sim",0,IF(OR(F2492="",L2492=""),"",F2492))</f>
        <v/>
      </c>
      <c r="J2492" s="350">
        <f>IF(G2492="Sim",0,IF(OR(F2492="",D2492="",L2492=""),"",IF(L2492="Sim",ROUND(F2492-D2492,2),0)))</f>
        <v/>
      </c>
      <c r="K2492" s="97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inlineStr">
        <is>
          <t>Nao</t>
        </is>
      </c>
      <c r="W2492" s="110" t="inlineStr">
        <is>
          <t>PC em analise</t>
        </is>
      </c>
      <c r="X2492" s="110" t="inlineStr">
        <is>
          <t>Pedido de Compra</t>
        </is>
      </c>
      <c r="Y2492" s="111" t="inlineStr">
        <is>
          <t>Impacto Potencial</t>
        </is>
      </c>
      <c r="Z2492" s="111" t="inlineStr">
        <is>
          <t>PC</t>
        </is>
      </c>
      <c r="AA2492" s="111" t="inlineStr">
        <is>
          <t>Nao</t>
        </is>
      </c>
      <c r="AB2492" s="111" t="inlineStr">
        <is>
          <t>NAO_COMPUTADO</t>
        </is>
      </c>
      <c r="AC2492" s="112" t="inlineStr">
        <is>
          <t>Estrutura Fase 1: sem impacto no VTA oficial</t>
        </is>
      </c>
    </row>
    <row r="2493" ht="25.5" customHeight="1" s="289">
      <c r="A2493" s="205" t="n"/>
      <c r="B2493" s="207" t="n"/>
      <c r="C2493" s="104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348" t="n"/>
      <c r="E2493" s="349">
        <f>IF(C2493="","",IFERROR(VLOOKUP(C2493,parametros!$A$11:$E$15,5,0),""))</f>
        <v/>
      </c>
      <c r="F2493" s="335">
        <f>IF(OR(D2493="",E2493=""),"",ROUND(D2493*E2493,2))</f>
        <v/>
      </c>
      <c r="G2493" s="106" t="n"/>
      <c r="H2493" s="350">
        <f>IF(G2493="Sim",IF(OR(F2493="",D2493="",L2493=""),"",IF(L2493="Sim",ROUND(F2493-D2493,2),0)),0)</f>
        <v/>
      </c>
      <c r="I2493" s="350">
        <f>IF(G2493="Sim",0,IF(OR(F2493="",L2493=""),"",F2493))</f>
        <v/>
      </c>
      <c r="J2493" s="350">
        <f>IF(G2493="Sim",0,IF(OR(F2493="",D2493="",L2493=""),"",IF(L2493="Sim",ROUND(F2493-D2493,2),0)))</f>
        <v/>
      </c>
      <c r="K2493" s="97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inlineStr">
        <is>
          <t>Nao</t>
        </is>
      </c>
      <c r="W2493" s="110" t="inlineStr">
        <is>
          <t>PC em analise</t>
        </is>
      </c>
      <c r="X2493" s="110" t="inlineStr">
        <is>
          <t>Pedido de Compra</t>
        </is>
      </c>
      <c r="Y2493" s="111" t="inlineStr">
        <is>
          <t>Impacto Potencial</t>
        </is>
      </c>
      <c r="Z2493" s="111" t="inlineStr">
        <is>
          <t>PC</t>
        </is>
      </c>
      <c r="AA2493" s="111" t="inlineStr">
        <is>
          <t>Nao</t>
        </is>
      </c>
      <c r="AB2493" s="111" t="inlineStr">
        <is>
          <t>NAO_COMPUTADO</t>
        </is>
      </c>
      <c r="AC2493" s="112" t="inlineStr">
        <is>
          <t>Estrutura Fase 1: sem impacto no VTA oficial</t>
        </is>
      </c>
    </row>
    <row r="2494" ht="25.5" customHeight="1" s="289">
      <c r="A2494" s="205" t="n"/>
      <c r="B2494" s="207" t="n"/>
      <c r="C2494" s="104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348" t="n"/>
      <c r="E2494" s="349">
        <f>IF(C2494="","",IFERROR(VLOOKUP(C2494,parametros!$A$11:$E$15,5,0),""))</f>
        <v/>
      </c>
      <c r="F2494" s="335">
        <f>IF(OR(D2494="",E2494=""),"",ROUND(D2494*E2494,2))</f>
        <v/>
      </c>
      <c r="G2494" s="106" t="n"/>
      <c r="H2494" s="350">
        <f>IF(G2494="Sim",IF(OR(F2494="",D2494="",L2494=""),"",IF(L2494="Sim",ROUND(F2494-D2494,2),0)),0)</f>
        <v/>
      </c>
      <c r="I2494" s="350">
        <f>IF(G2494="Sim",0,IF(OR(F2494="",L2494=""),"",F2494))</f>
        <v/>
      </c>
      <c r="J2494" s="350">
        <f>IF(G2494="Sim",0,IF(OR(F2494="",D2494="",L2494=""),"",IF(L2494="Sim",ROUND(F2494-D2494,2),0)))</f>
        <v/>
      </c>
      <c r="K2494" s="97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inlineStr">
        <is>
          <t>Nao</t>
        </is>
      </c>
      <c r="W2494" s="110" t="inlineStr">
        <is>
          <t>PC em analise</t>
        </is>
      </c>
      <c r="X2494" s="110" t="inlineStr">
        <is>
          <t>Pedido de Compra</t>
        </is>
      </c>
      <c r="Y2494" s="111" t="inlineStr">
        <is>
          <t>Impacto Potencial</t>
        </is>
      </c>
      <c r="Z2494" s="111" t="inlineStr">
        <is>
          <t>PC</t>
        </is>
      </c>
      <c r="AA2494" s="111" t="inlineStr">
        <is>
          <t>Nao</t>
        </is>
      </c>
      <c r="AB2494" s="111" t="inlineStr">
        <is>
          <t>NAO_COMPUTADO</t>
        </is>
      </c>
      <c r="AC2494" s="112" t="inlineStr">
        <is>
          <t>Estrutura Fase 1: sem impacto no VTA oficial</t>
        </is>
      </c>
    </row>
    <row r="2495" ht="25.5" customHeight="1" s="289">
      <c r="A2495" s="205" t="n"/>
      <c r="B2495" s="207" t="n"/>
      <c r="C2495" s="104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348" t="n"/>
      <c r="E2495" s="349">
        <f>IF(C2495="","",IFERROR(VLOOKUP(C2495,parametros!$A$11:$E$15,5,0),""))</f>
        <v/>
      </c>
      <c r="F2495" s="335">
        <f>IF(OR(D2495="",E2495=""),"",ROUND(D2495*E2495,2))</f>
        <v/>
      </c>
      <c r="G2495" s="106" t="n"/>
      <c r="H2495" s="350">
        <f>IF(G2495="Sim",IF(OR(F2495="",D2495="",L2495=""),"",IF(L2495="Sim",ROUND(F2495-D2495,2),0)),0)</f>
        <v/>
      </c>
      <c r="I2495" s="350">
        <f>IF(G2495="Sim",0,IF(OR(F2495="",L2495=""),"",F2495))</f>
        <v/>
      </c>
      <c r="J2495" s="350">
        <f>IF(G2495="Sim",0,IF(OR(F2495="",D2495="",L2495=""),"",IF(L2495="Sim",ROUND(F2495-D2495,2),0)))</f>
        <v/>
      </c>
      <c r="K2495" s="97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inlineStr">
        <is>
          <t>Nao</t>
        </is>
      </c>
      <c r="W2495" s="110" t="inlineStr">
        <is>
          <t>PC em analise</t>
        </is>
      </c>
      <c r="X2495" s="110" t="inlineStr">
        <is>
          <t>Pedido de Compra</t>
        </is>
      </c>
      <c r="Y2495" s="111" t="inlineStr">
        <is>
          <t>Impacto Potencial</t>
        </is>
      </c>
      <c r="Z2495" s="111" t="inlineStr">
        <is>
          <t>PC</t>
        </is>
      </c>
      <c r="AA2495" s="111" t="inlineStr">
        <is>
          <t>Nao</t>
        </is>
      </c>
      <c r="AB2495" s="111" t="inlineStr">
        <is>
          <t>NAO_COMPUTADO</t>
        </is>
      </c>
      <c r="AC2495" s="112" t="inlineStr">
        <is>
          <t>Estrutura Fase 1: sem impacto no VTA oficial</t>
        </is>
      </c>
    </row>
    <row r="2496" ht="25.5" customHeight="1" s="289">
      <c r="A2496" s="205" t="n"/>
      <c r="B2496" s="207" t="n"/>
      <c r="C2496" s="104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348" t="n"/>
      <c r="E2496" s="349">
        <f>IF(C2496="","",IFERROR(VLOOKUP(C2496,parametros!$A$11:$E$15,5,0),""))</f>
        <v/>
      </c>
      <c r="F2496" s="335">
        <f>IF(OR(D2496="",E2496=""),"",ROUND(D2496*E2496,2))</f>
        <v/>
      </c>
      <c r="G2496" s="106" t="n"/>
      <c r="H2496" s="350">
        <f>IF(G2496="Sim",IF(OR(F2496="",D2496="",L2496=""),"",IF(L2496="Sim",ROUND(F2496-D2496,2),0)),0)</f>
        <v/>
      </c>
      <c r="I2496" s="350">
        <f>IF(G2496="Sim",0,IF(OR(F2496="",L2496=""),"",F2496))</f>
        <v/>
      </c>
      <c r="J2496" s="350">
        <f>IF(G2496="Sim",0,IF(OR(F2496="",D2496="",L2496=""),"",IF(L2496="Sim",ROUND(F2496-D2496,2),0)))</f>
        <v/>
      </c>
      <c r="K2496" s="97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inlineStr">
        <is>
          <t>Nao</t>
        </is>
      </c>
      <c r="W2496" s="110" t="inlineStr">
        <is>
          <t>PC em analise</t>
        </is>
      </c>
      <c r="X2496" s="110" t="inlineStr">
        <is>
          <t>Pedido de Compra</t>
        </is>
      </c>
      <c r="Y2496" s="111" t="inlineStr">
        <is>
          <t>Impacto Potencial</t>
        </is>
      </c>
      <c r="Z2496" s="111" t="inlineStr">
        <is>
          <t>PC</t>
        </is>
      </c>
      <c r="AA2496" s="111" t="inlineStr">
        <is>
          <t>Nao</t>
        </is>
      </c>
      <c r="AB2496" s="111" t="inlineStr">
        <is>
          <t>NAO_COMPUTADO</t>
        </is>
      </c>
      <c r="AC2496" s="112" t="inlineStr">
        <is>
          <t>Estrutura Fase 1: sem impacto no VTA oficial</t>
        </is>
      </c>
    </row>
    <row r="2497" ht="25.5" customHeight="1" s="289">
      <c r="A2497" s="205" t="n"/>
      <c r="B2497" s="207" t="n"/>
      <c r="C2497" s="104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348" t="n"/>
      <c r="E2497" s="349">
        <f>IF(C2497="","",IFERROR(VLOOKUP(C2497,parametros!$A$11:$E$15,5,0),""))</f>
        <v/>
      </c>
      <c r="F2497" s="335">
        <f>IF(OR(D2497="",E2497=""),"",ROUND(D2497*E2497,2))</f>
        <v/>
      </c>
      <c r="G2497" s="106" t="n"/>
      <c r="H2497" s="350">
        <f>IF(G2497="Sim",IF(OR(F2497="",D2497="",L2497=""),"",IF(L2497="Sim",ROUND(F2497-D2497,2),0)),0)</f>
        <v/>
      </c>
      <c r="I2497" s="350">
        <f>IF(G2497="Sim",0,IF(OR(F2497="",L2497=""),"",F2497))</f>
        <v/>
      </c>
      <c r="J2497" s="350">
        <f>IF(G2497="Sim",0,IF(OR(F2497="",D2497="",L2497=""),"",IF(L2497="Sim",ROUND(F2497-D2497,2),0)))</f>
        <v/>
      </c>
      <c r="K2497" s="97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inlineStr">
        <is>
          <t>Nao</t>
        </is>
      </c>
      <c r="W2497" s="110" t="inlineStr">
        <is>
          <t>PC em analise</t>
        </is>
      </c>
      <c r="X2497" s="110" t="inlineStr">
        <is>
          <t>Pedido de Compra</t>
        </is>
      </c>
      <c r="Y2497" s="111" t="inlineStr">
        <is>
          <t>Impacto Potencial</t>
        </is>
      </c>
      <c r="Z2497" s="111" t="inlineStr">
        <is>
          <t>PC</t>
        </is>
      </c>
      <c r="AA2497" s="111" t="inlineStr">
        <is>
          <t>Nao</t>
        </is>
      </c>
      <c r="AB2497" s="111" t="inlineStr">
        <is>
          <t>NAO_COMPUTADO</t>
        </is>
      </c>
      <c r="AC2497" s="112" t="inlineStr">
        <is>
          <t>Estrutura Fase 1: sem impacto no VTA oficial</t>
        </is>
      </c>
    </row>
    <row r="2498" ht="25.5" customHeight="1" s="289">
      <c r="A2498" s="205" t="n"/>
      <c r="B2498" s="207" t="n"/>
      <c r="C2498" s="104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348" t="n"/>
      <c r="E2498" s="349">
        <f>IF(C2498="","",IFERROR(VLOOKUP(C2498,parametros!$A$11:$E$15,5,0),""))</f>
        <v/>
      </c>
      <c r="F2498" s="335">
        <f>IF(OR(D2498="",E2498=""),"",ROUND(D2498*E2498,2))</f>
        <v/>
      </c>
      <c r="G2498" s="106" t="n"/>
      <c r="H2498" s="350">
        <f>IF(G2498="Sim",IF(OR(F2498="",D2498="",L2498=""),"",IF(L2498="Sim",ROUND(F2498-D2498,2),0)),0)</f>
        <v/>
      </c>
      <c r="I2498" s="350">
        <f>IF(G2498="Sim",0,IF(OR(F2498="",L2498=""),"",F2498))</f>
        <v/>
      </c>
      <c r="J2498" s="350">
        <f>IF(G2498="Sim",0,IF(OR(F2498="",D2498="",L2498=""),"",IF(L2498="Sim",ROUND(F2498-D2498,2),0)))</f>
        <v/>
      </c>
      <c r="K2498" s="97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inlineStr">
        <is>
          <t>Nao</t>
        </is>
      </c>
      <c r="W2498" s="110" t="inlineStr">
        <is>
          <t>PC em analise</t>
        </is>
      </c>
      <c r="X2498" s="110" t="inlineStr">
        <is>
          <t>Pedido de Compra</t>
        </is>
      </c>
      <c r="Y2498" s="111" t="inlineStr">
        <is>
          <t>Impacto Potencial</t>
        </is>
      </c>
      <c r="Z2498" s="111" t="inlineStr">
        <is>
          <t>PC</t>
        </is>
      </c>
      <c r="AA2498" s="111" t="inlineStr">
        <is>
          <t>Nao</t>
        </is>
      </c>
      <c r="AB2498" s="111" t="inlineStr">
        <is>
          <t>NAO_COMPUTADO</t>
        </is>
      </c>
      <c r="AC2498" s="112" t="inlineStr">
        <is>
          <t>Estrutura Fase 1: sem impacto no VTA oficial</t>
        </is>
      </c>
    </row>
    <row r="2499" ht="25.5" customHeight="1" s="289">
      <c r="A2499" s="205" t="n"/>
      <c r="B2499" s="207" t="n"/>
      <c r="C2499" s="104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348" t="n"/>
      <c r="E2499" s="349">
        <f>IF(C2499="","",IFERROR(VLOOKUP(C2499,parametros!$A$11:$E$15,5,0),""))</f>
        <v/>
      </c>
      <c r="F2499" s="335">
        <f>IF(OR(D2499="",E2499=""),"",ROUND(D2499*E2499,2))</f>
        <v/>
      </c>
      <c r="G2499" s="106" t="n"/>
      <c r="H2499" s="350">
        <f>IF(G2499="Sim",IF(OR(F2499="",D2499="",L2499=""),"",IF(L2499="Sim",ROUND(F2499-D2499,2),0)),0)</f>
        <v/>
      </c>
      <c r="I2499" s="350">
        <f>IF(G2499="Sim",0,IF(OR(F2499="",L2499=""),"",F2499))</f>
        <v/>
      </c>
      <c r="J2499" s="350">
        <f>IF(G2499="Sim",0,IF(OR(F2499="",D2499="",L2499=""),"",IF(L2499="Sim",ROUND(F2499-D2499,2),0)))</f>
        <v/>
      </c>
      <c r="K2499" s="97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inlineStr">
        <is>
          <t>Nao</t>
        </is>
      </c>
      <c r="W2499" s="110" t="inlineStr">
        <is>
          <t>PC em analise</t>
        </is>
      </c>
      <c r="X2499" s="110" t="inlineStr">
        <is>
          <t>Pedido de Compra</t>
        </is>
      </c>
      <c r="Y2499" s="111" t="inlineStr">
        <is>
          <t>Impacto Potencial</t>
        </is>
      </c>
      <c r="Z2499" s="111" t="inlineStr">
        <is>
          <t>PC</t>
        </is>
      </c>
      <c r="AA2499" s="111" t="inlineStr">
        <is>
          <t>Nao</t>
        </is>
      </c>
      <c r="AB2499" s="111" t="inlineStr">
        <is>
          <t>NAO_COMPUTADO</t>
        </is>
      </c>
      <c r="AC2499" s="112" t="inlineStr">
        <is>
          <t>Estrutura Fase 1: sem impacto no VTA oficial</t>
        </is>
      </c>
    </row>
    <row r="2500" ht="25.5" customHeight="1" s="289">
      <c r="A2500" s="205" t="n"/>
      <c r="B2500" s="207" t="n"/>
      <c r="C2500" s="104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348" t="n"/>
      <c r="E2500" s="349">
        <f>IF(C2500="","",IFERROR(VLOOKUP(C2500,parametros!$A$11:$E$15,5,0),""))</f>
        <v/>
      </c>
      <c r="F2500" s="335">
        <f>IF(OR(D2500="",E2500=""),"",ROUND(D2500*E2500,2))</f>
        <v/>
      </c>
      <c r="G2500" s="106" t="n"/>
      <c r="H2500" s="350">
        <f>IF(G2500="Sim",IF(OR(F2500="",D2500="",L2500=""),"",IF(L2500="Sim",ROUND(F2500-D2500,2),0)),0)</f>
        <v/>
      </c>
      <c r="I2500" s="350">
        <f>IF(G2500="Sim",0,IF(OR(F2500="",L2500=""),"",F2500))</f>
        <v/>
      </c>
      <c r="J2500" s="350">
        <f>IF(G2500="Sim",0,IF(OR(F2500="",D2500="",L2500=""),"",IF(L2500="Sim",ROUND(F2500-D2500,2),0)))</f>
        <v/>
      </c>
      <c r="K2500" s="97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inlineStr">
        <is>
          <t>Nao</t>
        </is>
      </c>
      <c r="W2500" s="110" t="inlineStr">
        <is>
          <t>PC em analise</t>
        </is>
      </c>
      <c r="X2500" s="110" t="inlineStr">
        <is>
          <t>Pedido de Compra</t>
        </is>
      </c>
      <c r="Y2500" s="111" t="inlineStr">
        <is>
          <t>Impacto Potencial</t>
        </is>
      </c>
      <c r="Z2500" s="111" t="inlineStr">
        <is>
          <t>PC</t>
        </is>
      </c>
      <c r="AA2500" s="111" t="inlineStr">
        <is>
          <t>Nao</t>
        </is>
      </c>
      <c r="AB2500" s="111" t="inlineStr">
        <is>
          <t>NAO_COMPUTADO</t>
        </is>
      </c>
      <c r="AC2500" s="112" t="inlineStr">
        <is>
          <t>Estrutura Fase 1: sem impacto no VTA oficial</t>
        </is>
      </c>
    </row>
    <row r="2501" ht="25.5" customHeight="1" s="289">
      <c r="A2501" s="205" t="n"/>
      <c r="B2501" s="207" t="n"/>
      <c r="C2501" s="104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348" t="n"/>
      <c r="E2501" s="349">
        <f>IF(C2501="","",IFERROR(VLOOKUP(C2501,parametros!$A$11:$E$15,5,0),""))</f>
        <v/>
      </c>
      <c r="F2501" s="335">
        <f>IF(OR(D2501="",E2501=""),"",ROUND(D2501*E2501,2))</f>
        <v/>
      </c>
      <c r="G2501" s="106" t="n"/>
      <c r="H2501" s="350">
        <f>IF(G2501="Sim",IF(OR(F2501="",D2501="",L2501=""),"",IF(L2501="Sim",ROUND(F2501-D2501,2),0)),0)</f>
        <v/>
      </c>
      <c r="I2501" s="350">
        <f>IF(G2501="Sim",0,IF(OR(F2501="",L2501=""),"",F2501))</f>
        <v/>
      </c>
      <c r="J2501" s="350">
        <f>IF(G2501="Sim",0,IF(OR(F2501="",D2501="",L2501=""),"",IF(L2501="Sim",ROUND(F2501-D2501,2),0)))</f>
        <v/>
      </c>
      <c r="K2501" s="97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inlineStr">
        <is>
          <t>Nao</t>
        </is>
      </c>
      <c r="W2501" s="110" t="inlineStr">
        <is>
          <t>PC em analise</t>
        </is>
      </c>
      <c r="X2501" s="110" t="inlineStr">
        <is>
          <t>Pedido de Compra</t>
        </is>
      </c>
      <c r="Y2501" s="111" t="inlineStr">
        <is>
          <t>Impacto Potencial</t>
        </is>
      </c>
      <c r="Z2501" s="111" t="inlineStr">
        <is>
          <t>PC</t>
        </is>
      </c>
      <c r="AA2501" s="111" t="inlineStr">
        <is>
          <t>Nao</t>
        </is>
      </c>
      <c r="AB2501" s="111" t="inlineStr">
        <is>
          <t>NAO_COMPUTADO</t>
        </is>
      </c>
      <c r="AC2501" s="112" t="inlineStr">
        <is>
          <t>Estrutura Fase 1: sem impacto no VTA oficial</t>
        </is>
      </c>
    </row>
    <row r="2502" ht="25.5" customHeight="1" s="289">
      <c r="A2502" s="205" t="n"/>
      <c r="B2502" s="207" t="n"/>
      <c r="C2502" s="104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348" t="n"/>
      <c r="E2502" s="349">
        <f>IF(C2502="","",IFERROR(VLOOKUP(C2502,parametros!$A$11:$E$15,5,0),""))</f>
        <v/>
      </c>
      <c r="F2502" s="335">
        <f>IF(OR(D2502="",E2502=""),"",ROUND(D2502*E2502,2))</f>
        <v/>
      </c>
      <c r="G2502" s="106" t="n"/>
      <c r="H2502" s="350">
        <f>IF(G2502="Sim",IF(OR(F2502="",D2502="",L2502=""),"",IF(L2502="Sim",ROUND(F2502-D2502,2),0)),0)</f>
        <v/>
      </c>
      <c r="I2502" s="350">
        <f>IF(G2502="Sim",0,IF(OR(F2502="",L2502=""),"",F2502))</f>
        <v/>
      </c>
      <c r="J2502" s="350">
        <f>IF(G2502="Sim",0,IF(OR(F2502="",D2502="",L2502=""),"",IF(L2502="Sim",ROUND(F2502-D2502,2),0)))</f>
        <v/>
      </c>
      <c r="K2502" s="97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inlineStr">
        <is>
          <t>Nao</t>
        </is>
      </c>
      <c r="W2502" s="110" t="inlineStr">
        <is>
          <t>PC em analise</t>
        </is>
      </c>
      <c r="X2502" s="110" t="inlineStr">
        <is>
          <t>Pedido de Compra</t>
        </is>
      </c>
      <c r="Y2502" s="111" t="inlineStr">
        <is>
          <t>Impacto Potencial</t>
        </is>
      </c>
      <c r="Z2502" s="111" t="inlineStr">
        <is>
          <t>PC</t>
        </is>
      </c>
      <c r="AA2502" s="111" t="inlineStr">
        <is>
          <t>Nao</t>
        </is>
      </c>
      <c r="AB2502" s="111" t="inlineStr">
        <is>
          <t>NAO_COMPUTADO</t>
        </is>
      </c>
      <c r="AC2502" s="112" t="inlineStr">
        <is>
          <t>Estrutura Fase 1: sem impacto no VTA oficial</t>
        </is>
      </c>
    </row>
    <row r="2503" ht="25.5" customHeight="1" s="289">
      <c r="A2503" s="205" t="n"/>
      <c r="B2503" s="207" t="n"/>
      <c r="C2503" s="104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348" t="n"/>
      <c r="E2503" s="349">
        <f>IF(C2503="","",IFERROR(VLOOKUP(C2503,parametros!$A$11:$E$15,5,0),""))</f>
        <v/>
      </c>
      <c r="F2503" s="335">
        <f>IF(OR(D2503="",E2503=""),"",ROUND(D2503*E2503,2))</f>
        <v/>
      </c>
      <c r="G2503" s="106" t="n"/>
      <c r="H2503" s="350">
        <f>IF(G2503="Sim",IF(OR(F2503="",D2503="",L2503=""),"",IF(L2503="Sim",ROUND(F2503-D2503,2),0)),0)</f>
        <v/>
      </c>
      <c r="I2503" s="350">
        <f>IF(G2503="Sim",0,IF(OR(F2503="",L2503=""),"",F2503))</f>
        <v/>
      </c>
      <c r="J2503" s="350">
        <f>IF(G2503="Sim",0,IF(OR(F2503="",D2503="",L2503=""),"",IF(L2503="Sim",ROUND(F2503-D2503,2),0)))</f>
        <v/>
      </c>
      <c r="K2503" s="97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inlineStr">
        <is>
          <t>Nao</t>
        </is>
      </c>
      <c r="W2503" s="110" t="inlineStr">
        <is>
          <t>PC em analise</t>
        </is>
      </c>
      <c r="X2503" s="110" t="inlineStr">
        <is>
          <t>Pedido de Compra</t>
        </is>
      </c>
      <c r="Y2503" s="111" t="inlineStr">
        <is>
          <t>Impacto Potencial</t>
        </is>
      </c>
      <c r="Z2503" s="111" t="inlineStr">
        <is>
          <t>PC</t>
        </is>
      </c>
      <c r="AA2503" s="111" t="inlineStr">
        <is>
          <t>Nao</t>
        </is>
      </c>
      <c r="AB2503" s="111" t="inlineStr">
        <is>
          <t>NAO_COMPUTADO</t>
        </is>
      </c>
      <c r="AC2503" s="112" t="inlineStr">
        <is>
          <t>Estrutura Fase 1: sem impacto no VTA oficial</t>
        </is>
      </c>
    </row>
    <row r="2504" ht="25.5" customHeight="1" s="289">
      <c r="A2504" s="205" t="n"/>
      <c r="B2504" s="207" t="n"/>
      <c r="C2504" s="104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348" t="n"/>
      <c r="E2504" s="349">
        <f>IF(C2504="","",IFERROR(VLOOKUP(C2504,parametros!$A$11:$E$15,5,0),""))</f>
        <v/>
      </c>
      <c r="F2504" s="335">
        <f>IF(OR(D2504="",E2504=""),"",ROUND(D2504*E2504,2))</f>
        <v/>
      </c>
      <c r="G2504" s="106" t="n"/>
      <c r="H2504" s="350">
        <f>IF(G2504="Sim",IF(OR(F2504="",D2504="",L2504=""),"",IF(L2504="Sim",ROUND(F2504-D2504,2),0)),0)</f>
        <v/>
      </c>
      <c r="I2504" s="350">
        <f>IF(G2504="Sim",0,IF(OR(F2504="",L2504=""),"",F2504))</f>
        <v/>
      </c>
      <c r="J2504" s="350">
        <f>IF(G2504="Sim",0,IF(OR(F2504="",D2504="",L2504=""),"",IF(L2504="Sim",ROUND(F2504-D2504,2),0)))</f>
        <v/>
      </c>
      <c r="K2504" s="97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inlineStr">
        <is>
          <t>Nao</t>
        </is>
      </c>
      <c r="W2504" s="110" t="inlineStr">
        <is>
          <t>PC em analise</t>
        </is>
      </c>
      <c r="X2504" s="110" t="inlineStr">
        <is>
          <t>Pedido de Compra</t>
        </is>
      </c>
      <c r="Y2504" s="111" t="inlineStr">
        <is>
          <t>Impacto Potencial</t>
        </is>
      </c>
      <c r="Z2504" s="111" t="inlineStr">
        <is>
          <t>PC</t>
        </is>
      </c>
      <c r="AA2504" s="111" t="inlineStr">
        <is>
          <t>Nao</t>
        </is>
      </c>
      <c r="AB2504" s="111" t="inlineStr">
        <is>
          <t>NAO_COMPUTADO</t>
        </is>
      </c>
      <c r="AC2504" s="112" t="inlineStr">
        <is>
          <t>Estrutura Fase 1: sem impacto no VTA oficial</t>
        </is>
      </c>
    </row>
    <row r="2505" ht="25.5" customHeight="1" s="289">
      <c r="A2505" s="205" t="n"/>
      <c r="B2505" s="207" t="n"/>
      <c r="C2505" s="104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348" t="n"/>
      <c r="E2505" s="349">
        <f>IF(C2505="","",IFERROR(VLOOKUP(C2505,parametros!$A$11:$E$15,5,0),""))</f>
        <v/>
      </c>
      <c r="F2505" s="335">
        <f>IF(OR(D2505="",E2505=""),"",ROUND(D2505*E2505,2))</f>
        <v/>
      </c>
      <c r="G2505" s="106" t="n"/>
      <c r="H2505" s="350">
        <f>IF(G2505="Sim",IF(OR(F2505="",D2505="",L2505=""),"",IF(L2505="Sim",ROUND(F2505-D2505,2),0)),0)</f>
        <v/>
      </c>
      <c r="I2505" s="350">
        <f>IF(G2505="Sim",0,IF(OR(F2505="",L2505=""),"",F2505))</f>
        <v/>
      </c>
      <c r="J2505" s="350">
        <f>IF(G2505="Sim",0,IF(OR(F2505="",D2505="",L2505=""),"",IF(L2505="Sim",ROUND(F2505-D2505,2),0)))</f>
        <v/>
      </c>
      <c r="K2505" s="97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inlineStr">
        <is>
          <t>Nao</t>
        </is>
      </c>
      <c r="W2505" s="110" t="inlineStr">
        <is>
          <t>PC em analise</t>
        </is>
      </c>
      <c r="X2505" s="110" t="inlineStr">
        <is>
          <t>Pedido de Compra</t>
        </is>
      </c>
      <c r="Y2505" s="111" t="inlineStr">
        <is>
          <t>Impacto Potencial</t>
        </is>
      </c>
      <c r="Z2505" s="111" t="inlineStr">
        <is>
          <t>PC</t>
        </is>
      </c>
      <c r="AA2505" s="111" t="inlineStr">
        <is>
          <t>Nao</t>
        </is>
      </c>
      <c r="AB2505" s="111" t="inlineStr">
        <is>
          <t>NAO_COMPUTADO</t>
        </is>
      </c>
      <c r="AC2505" s="112" t="inlineStr">
        <is>
          <t>Estrutura Fase 1: sem impacto no VTA oficial</t>
        </is>
      </c>
    </row>
    <row r="2506" ht="25.5" customHeight="1" s="289">
      <c r="A2506" s="205" t="n"/>
      <c r="B2506" s="207" t="n"/>
      <c r="C2506" s="104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348" t="n"/>
      <c r="E2506" s="349">
        <f>IF(C2506="","",IFERROR(VLOOKUP(C2506,parametros!$A$11:$E$15,5,0),""))</f>
        <v/>
      </c>
      <c r="F2506" s="335">
        <f>IF(OR(D2506="",E2506=""),"",ROUND(D2506*E2506,2))</f>
        <v/>
      </c>
      <c r="G2506" s="106" t="n"/>
      <c r="H2506" s="350">
        <f>IF(G2506="Sim",IF(OR(F2506="",D2506="",L2506=""),"",IF(L2506="Sim",ROUND(F2506-D2506,2),0)),0)</f>
        <v/>
      </c>
      <c r="I2506" s="350">
        <f>IF(G2506="Sim",0,IF(OR(F2506="",L2506=""),"",F2506))</f>
        <v/>
      </c>
      <c r="J2506" s="350">
        <f>IF(G2506="Sim",0,IF(OR(F2506="",D2506="",L2506=""),"",IF(L2506="Sim",ROUND(F2506-D2506,2),0)))</f>
        <v/>
      </c>
      <c r="K2506" s="97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inlineStr">
        <is>
          <t>Nao</t>
        </is>
      </c>
      <c r="W2506" s="110" t="inlineStr">
        <is>
          <t>PC em analise</t>
        </is>
      </c>
      <c r="X2506" s="110" t="inlineStr">
        <is>
          <t>Pedido de Compra</t>
        </is>
      </c>
      <c r="Y2506" s="111" t="inlineStr">
        <is>
          <t>Impacto Potencial</t>
        </is>
      </c>
      <c r="Z2506" s="111" t="inlineStr">
        <is>
          <t>PC</t>
        </is>
      </c>
      <c r="AA2506" s="111" t="inlineStr">
        <is>
          <t>Nao</t>
        </is>
      </c>
      <c r="AB2506" s="111" t="inlineStr">
        <is>
          <t>NAO_COMPUTADO</t>
        </is>
      </c>
      <c r="AC2506" s="112" t="inlineStr">
        <is>
          <t>Estrutura Fase 1: sem impacto no VTA oficial</t>
        </is>
      </c>
    </row>
    <row r="2507" ht="25.5" customHeight="1" s="289">
      <c r="A2507" s="205" t="n"/>
      <c r="B2507" s="207" t="n"/>
      <c r="C2507" s="104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348" t="n"/>
      <c r="E2507" s="349">
        <f>IF(C2507="","",IFERROR(VLOOKUP(C2507,parametros!$A$11:$E$15,5,0),""))</f>
        <v/>
      </c>
      <c r="F2507" s="335">
        <f>IF(OR(D2507="",E2507=""),"",ROUND(D2507*E2507,2))</f>
        <v/>
      </c>
      <c r="G2507" s="106" t="n"/>
      <c r="H2507" s="350">
        <f>IF(G2507="Sim",IF(OR(F2507="",D2507="",L2507=""),"",IF(L2507="Sim",ROUND(F2507-D2507,2),0)),0)</f>
        <v/>
      </c>
      <c r="I2507" s="350">
        <f>IF(G2507="Sim",0,IF(OR(F2507="",L2507=""),"",F2507))</f>
        <v/>
      </c>
      <c r="J2507" s="350">
        <f>IF(G2507="Sim",0,IF(OR(F2507="",D2507="",L2507=""),"",IF(L2507="Sim",ROUND(F2507-D2507,2),0)))</f>
        <v/>
      </c>
      <c r="K2507" s="97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inlineStr">
        <is>
          <t>Nao</t>
        </is>
      </c>
      <c r="W2507" s="110" t="inlineStr">
        <is>
          <t>PC em analise</t>
        </is>
      </c>
      <c r="X2507" s="110" t="inlineStr">
        <is>
          <t>Pedido de Compra</t>
        </is>
      </c>
      <c r="Y2507" s="111" t="inlineStr">
        <is>
          <t>Impacto Potencial</t>
        </is>
      </c>
      <c r="Z2507" s="111" t="inlineStr">
        <is>
          <t>PC</t>
        </is>
      </c>
      <c r="AA2507" s="111" t="inlineStr">
        <is>
          <t>Nao</t>
        </is>
      </c>
      <c r="AB2507" s="111" t="inlineStr">
        <is>
          <t>NAO_COMPUTADO</t>
        </is>
      </c>
      <c r="AC2507" s="112" t="inlineStr">
        <is>
          <t>Estrutura Fase 1: sem impacto no VTA oficial</t>
        </is>
      </c>
    </row>
    <row r="2508" ht="25.5" customHeight="1" s="289">
      <c r="A2508" s="205" t="n"/>
      <c r="B2508" s="207" t="n"/>
      <c r="C2508" s="104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348" t="n"/>
      <c r="E2508" s="349">
        <f>IF(C2508="","",IFERROR(VLOOKUP(C2508,parametros!$A$11:$E$15,5,0),""))</f>
        <v/>
      </c>
      <c r="F2508" s="335">
        <f>IF(OR(D2508="",E2508=""),"",ROUND(D2508*E2508,2))</f>
        <v/>
      </c>
      <c r="G2508" s="106" t="n"/>
      <c r="H2508" s="350">
        <f>IF(G2508="Sim",IF(OR(F2508="",D2508="",L2508=""),"",IF(L2508="Sim",ROUND(F2508-D2508,2),0)),0)</f>
        <v/>
      </c>
      <c r="I2508" s="350">
        <f>IF(G2508="Sim",0,IF(OR(F2508="",L2508=""),"",F2508))</f>
        <v/>
      </c>
      <c r="J2508" s="350">
        <f>IF(G2508="Sim",0,IF(OR(F2508="",D2508="",L2508=""),"",IF(L2508="Sim",ROUND(F2508-D2508,2),0)))</f>
        <v/>
      </c>
      <c r="K2508" s="97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inlineStr">
        <is>
          <t>Nao</t>
        </is>
      </c>
      <c r="W2508" s="110" t="inlineStr">
        <is>
          <t>PC em analise</t>
        </is>
      </c>
      <c r="X2508" s="110" t="inlineStr">
        <is>
          <t>Pedido de Compra</t>
        </is>
      </c>
      <c r="Y2508" s="111" t="inlineStr">
        <is>
          <t>Impacto Potencial</t>
        </is>
      </c>
      <c r="Z2508" s="111" t="inlineStr">
        <is>
          <t>PC</t>
        </is>
      </c>
      <c r="AA2508" s="111" t="inlineStr">
        <is>
          <t>Nao</t>
        </is>
      </c>
      <c r="AB2508" s="111" t="inlineStr">
        <is>
          <t>NAO_COMPUTADO</t>
        </is>
      </c>
      <c r="AC2508" s="112" t="inlineStr">
        <is>
          <t>Estrutura Fase 1: sem impacto no VTA oficial</t>
        </is>
      </c>
    </row>
    <row r="2509" ht="25.5" customHeight="1" s="289">
      <c r="A2509" s="205" t="n"/>
      <c r="B2509" s="207" t="n"/>
      <c r="C2509" s="104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348" t="n"/>
      <c r="E2509" s="349">
        <f>IF(C2509="","",IFERROR(VLOOKUP(C2509,parametros!$A$11:$E$15,5,0),""))</f>
        <v/>
      </c>
      <c r="F2509" s="335">
        <f>IF(OR(D2509="",E2509=""),"",ROUND(D2509*E2509,2))</f>
        <v/>
      </c>
      <c r="G2509" s="106" t="n"/>
      <c r="H2509" s="350">
        <f>IF(G2509="Sim",IF(OR(F2509="",D2509="",L2509=""),"",IF(L2509="Sim",ROUND(F2509-D2509,2),0)),0)</f>
        <v/>
      </c>
      <c r="I2509" s="350">
        <f>IF(G2509="Sim",0,IF(OR(F2509="",L2509=""),"",F2509))</f>
        <v/>
      </c>
      <c r="J2509" s="350">
        <f>IF(G2509="Sim",0,IF(OR(F2509="",D2509="",L2509=""),"",IF(L2509="Sim",ROUND(F2509-D2509,2),0)))</f>
        <v/>
      </c>
      <c r="K2509" s="97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inlineStr">
        <is>
          <t>Nao</t>
        </is>
      </c>
      <c r="W2509" s="110" t="inlineStr">
        <is>
          <t>PC em analise</t>
        </is>
      </c>
      <c r="X2509" s="110" t="inlineStr">
        <is>
          <t>Pedido de Compra</t>
        </is>
      </c>
      <c r="Y2509" s="111" t="inlineStr">
        <is>
          <t>Impacto Potencial</t>
        </is>
      </c>
      <c r="Z2509" s="111" t="inlineStr">
        <is>
          <t>PC</t>
        </is>
      </c>
      <c r="AA2509" s="111" t="inlineStr">
        <is>
          <t>Nao</t>
        </is>
      </c>
      <c r="AB2509" s="111" t="inlineStr">
        <is>
          <t>NAO_COMPUTADO</t>
        </is>
      </c>
      <c r="AC2509" s="112" t="inlineStr">
        <is>
          <t>Estrutura Fase 1: sem impacto no VTA oficial</t>
        </is>
      </c>
    </row>
    <row r="2510" ht="25.5" customHeight="1" s="289">
      <c r="A2510" s="205" t="n"/>
      <c r="B2510" s="207" t="n"/>
      <c r="C2510" s="104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348" t="n"/>
      <c r="E2510" s="349">
        <f>IF(C2510="","",IFERROR(VLOOKUP(C2510,parametros!$A$11:$E$15,5,0),""))</f>
        <v/>
      </c>
      <c r="F2510" s="335">
        <f>IF(OR(D2510="",E2510=""),"",ROUND(D2510*E2510,2))</f>
        <v/>
      </c>
      <c r="G2510" s="106" t="n"/>
      <c r="H2510" s="350">
        <f>IF(G2510="Sim",IF(OR(F2510="",D2510="",L2510=""),"",IF(L2510="Sim",ROUND(F2510-D2510,2),0)),0)</f>
        <v/>
      </c>
      <c r="I2510" s="350">
        <f>IF(G2510="Sim",0,IF(OR(F2510="",L2510=""),"",F2510))</f>
        <v/>
      </c>
      <c r="J2510" s="350">
        <f>IF(G2510="Sim",0,IF(OR(F2510="",D2510="",L2510=""),"",IF(L2510="Sim",ROUND(F2510-D2510,2),0)))</f>
        <v/>
      </c>
      <c r="K2510" s="97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inlineStr">
        <is>
          <t>Nao</t>
        </is>
      </c>
      <c r="W2510" s="110" t="inlineStr">
        <is>
          <t>PC em analise</t>
        </is>
      </c>
      <c r="X2510" s="110" t="inlineStr">
        <is>
          <t>Pedido de Compra</t>
        </is>
      </c>
      <c r="Y2510" s="111" t="inlineStr">
        <is>
          <t>Impacto Potencial</t>
        </is>
      </c>
      <c r="Z2510" s="111" t="inlineStr">
        <is>
          <t>PC</t>
        </is>
      </c>
      <c r="AA2510" s="111" t="inlineStr">
        <is>
          <t>Nao</t>
        </is>
      </c>
      <c r="AB2510" s="111" t="inlineStr">
        <is>
          <t>NAO_COMPUTADO</t>
        </is>
      </c>
      <c r="AC2510" s="112" t="inlineStr">
        <is>
          <t>Estrutura Fase 1: sem impacto no VTA oficial</t>
        </is>
      </c>
    </row>
    <row r="2511" ht="25.5" customHeight="1" s="289">
      <c r="A2511" s="205" t="n"/>
      <c r="B2511" s="207" t="n"/>
      <c r="C2511" s="104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348" t="n"/>
      <c r="E2511" s="349">
        <f>IF(C2511="","",IFERROR(VLOOKUP(C2511,parametros!$A$11:$E$15,5,0),""))</f>
        <v/>
      </c>
      <c r="F2511" s="335">
        <f>IF(OR(D2511="",E2511=""),"",ROUND(D2511*E2511,2))</f>
        <v/>
      </c>
      <c r="G2511" s="106" t="n"/>
      <c r="H2511" s="350">
        <f>IF(G2511="Sim",IF(OR(F2511="",D2511="",L2511=""),"",IF(L2511="Sim",ROUND(F2511-D2511,2),0)),0)</f>
        <v/>
      </c>
      <c r="I2511" s="350">
        <f>IF(G2511="Sim",0,IF(OR(F2511="",L2511=""),"",F2511))</f>
        <v/>
      </c>
      <c r="J2511" s="350">
        <f>IF(G2511="Sim",0,IF(OR(F2511="",D2511="",L2511=""),"",IF(L2511="Sim",ROUND(F2511-D2511,2),0)))</f>
        <v/>
      </c>
      <c r="K2511" s="97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inlineStr">
        <is>
          <t>Nao</t>
        </is>
      </c>
      <c r="W2511" s="110" t="inlineStr">
        <is>
          <t>PC em analise</t>
        </is>
      </c>
      <c r="X2511" s="110" t="inlineStr">
        <is>
          <t>Pedido de Compra</t>
        </is>
      </c>
      <c r="Y2511" s="111" t="inlineStr">
        <is>
          <t>Impacto Potencial</t>
        </is>
      </c>
      <c r="Z2511" s="111" t="inlineStr">
        <is>
          <t>PC</t>
        </is>
      </c>
      <c r="AA2511" s="111" t="inlineStr">
        <is>
          <t>Nao</t>
        </is>
      </c>
      <c r="AB2511" s="111" t="inlineStr">
        <is>
          <t>NAO_COMPUTADO</t>
        </is>
      </c>
      <c r="AC2511" s="112" t="inlineStr">
        <is>
          <t>Estrutura Fase 1: sem impacto no VTA oficial</t>
        </is>
      </c>
    </row>
    <row r="2512" ht="25.5" customHeight="1" s="289">
      <c r="A2512" s="205" t="n"/>
      <c r="B2512" s="207" t="n"/>
      <c r="C2512" s="104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348" t="n"/>
      <c r="E2512" s="349">
        <f>IF(C2512="","",IFERROR(VLOOKUP(C2512,parametros!$A$11:$E$15,5,0),""))</f>
        <v/>
      </c>
      <c r="F2512" s="335">
        <f>IF(OR(D2512="",E2512=""),"",ROUND(D2512*E2512,2))</f>
        <v/>
      </c>
      <c r="G2512" s="106" t="n"/>
      <c r="H2512" s="350">
        <f>IF(G2512="Sim",IF(OR(F2512="",D2512="",L2512=""),"",IF(L2512="Sim",ROUND(F2512-D2512,2),0)),0)</f>
        <v/>
      </c>
      <c r="I2512" s="350">
        <f>IF(G2512="Sim",0,IF(OR(F2512="",L2512=""),"",F2512))</f>
        <v/>
      </c>
      <c r="J2512" s="350">
        <f>IF(G2512="Sim",0,IF(OR(F2512="",D2512="",L2512=""),"",IF(L2512="Sim",ROUND(F2512-D2512,2),0)))</f>
        <v/>
      </c>
      <c r="K2512" s="97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inlineStr">
        <is>
          <t>Nao</t>
        </is>
      </c>
      <c r="W2512" s="110" t="inlineStr">
        <is>
          <t>PC em analise</t>
        </is>
      </c>
      <c r="X2512" s="110" t="inlineStr">
        <is>
          <t>Pedido de Compra</t>
        </is>
      </c>
      <c r="Y2512" s="111" t="inlineStr">
        <is>
          <t>Impacto Potencial</t>
        </is>
      </c>
      <c r="Z2512" s="111" t="inlineStr">
        <is>
          <t>PC</t>
        </is>
      </c>
      <c r="AA2512" s="111" t="inlineStr">
        <is>
          <t>Nao</t>
        </is>
      </c>
      <c r="AB2512" s="111" t="inlineStr">
        <is>
          <t>NAO_COMPUTADO</t>
        </is>
      </c>
      <c r="AC2512" s="112" t="inlineStr">
        <is>
          <t>Estrutura Fase 1: sem impacto no VTA oficial</t>
        </is>
      </c>
    </row>
    <row r="2513" ht="25.5" customHeight="1" s="289">
      <c r="A2513" s="205" t="n"/>
      <c r="B2513" s="207" t="n"/>
      <c r="C2513" s="104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348" t="n"/>
      <c r="E2513" s="349">
        <f>IF(C2513="","",IFERROR(VLOOKUP(C2513,parametros!$A$11:$E$15,5,0),""))</f>
        <v/>
      </c>
      <c r="F2513" s="335">
        <f>IF(OR(D2513="",E2513=""),"",ROUND(D2513*E2513,2))</f>
        <v/>
      </c>
      <c r="G2513" s="106" t="n"/>
      <c r="H2513" s="350">
        <f>IF(G2513="Sim",IF(OR(F2513="",D2513="",L2513=""),"",IF(L2513="Sim",ROUND(F2513-D2513,2),0)),0)</f>
        <v/>
      </c>
      <c r="I2513" s="350">
        <f>IF(G2513="Sim",0,IF(OR(F2513="",L2513=""),"",F2513))</f>
        <v/>
      </c>
      <c r="J2513" s="350">
        <f>IF(G2513="Sim",0,IF(OR(F2513="",D2513="",L2513=""),"",IF(L2513="Sim",ROUND(F2513-D2513,2),0)))</f>
        <v/>
      </c>
      <c r="K2513" s="97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inlineStr">
        <is>
          <t>Nao</t>
        </is>
      </c>
      <c r="W2513" s="110" t="inlineStr">
        <is>
          <t>PC em analise</t>
        </is>
      </c>
      <c r="X2513" s="110" t="inlineStr">
        <is>
          <t>Pedido de Compra</t>
        </is>
      </c>
      <c r="Y2513" s="111" t="inlineStr">
        <is>
          <t>Impacto Potencial</t>
        </is>
      </c>
      <c r="Z2513" s="111" t="inlineStr">
        <is>
          <t>PC</t>
        </is>
      </c>
      <c r="AA2513" s="111" t="inlineStr">
        <is>
          <t>Nao</t>
        </is>
      </c>
      <c r="AB2513" s="111" t="inlineStr">
        <is>
          <t>NAO_COMPUTADO</t>
        </is>
      </c>
      <c r="AC2513" s="112" t="inlineStr">
        <is>
          <t>Estrutura Fase 1: sem impacto no VTA oficial</t>
        </is>
      </c>
    </row>
    <row r="2514" ht="25.5" customHeight="1" s="289">
      <c r="A2514" s="205" t="n"/>
      <c r="B2514" s="207" t="n"/>
      <c r="C2514" s="104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348" t="n"/>
      <c r="E2514" s="349">
        <f>IF(C2514="","",IFERROR(VLOOKUP(C2514,parametros!$A$11:$E$15,5,0),""))</f>
        <v/>
      </c>
      <c r="F2514" s="335">
        <f>IF(OR(D2514="",E2514=""),"",ROUND(D2514*E2514,2))</f>
        <v/>
      </c>
      <c r="G2514" s="106" t="n"/>
      <c r="H2514" s="350">
        <f>IF(G2514="Sim",IF(OR(F2514="",D2514="",L2514=""),"",IF(L2514="Sim",ROUND(F2514-D2514,2),0)),0)</f>
        <v/>
      </c>
      <c r="I2514" s="350">
        <f>IF(G2514="Sim",0,IF(OR(F2514="",L2514=""),"",F2514))</f>
        <v/>
      </c>
      <c r="J2514" s="350">
        <f>IF(G2514="Sim",0,IF(OR(F2514="",D2514="",L2514=""),"",IF(L2514="Sim",ROUND(F2514-D2514,2),0)))</f>
        <v/>
      </c>
      <c r="K2514" s="97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inlineStr">
        <is>
          <t>Nao</t>
        </is>
      </c>
      <c r="W2514" s="110" t="inlineStr">
        <is>
          <t>PC em analise</t>
        </is>
      </c>
      <c r="X2514" s="110" t="inlineStr">
        <is>
          <t>Pedido de Compra</t>
        </is>
      </c>
      <c r="Y2514" s="111" t="inlineStr">
        <is>
          <t>Impacto Potencial</t>
        </is>
      </c>
      <c r="Z2514" s="111" t="inlineStr">
        <is>
          <t>PC</t>
        </is>
      </c>
      <c r="AA2514" s="111" t="inlineStr">
        <is>
          <t>Nao</t>
        </is>
      </c>
      <c r="AB2514" s="111" t="inlineStr">
        <is>
          <t>NAO_COMPUTADO</t>
        </is>
      </c>
      <c r="AC2514" s="112" t="inlineStr">
        <is>
          <t>Estrutura Fase 1: sem impacto no VTA oficial</t>
        </is>
      </c>
    </row>
    <row r="2515" ht="25.5" customHeight="1" s="289">
      <c r="A2515" s="205" t="n"/>
      <c r="B2515" s="207" t="n"/>
      <c r="C2515" s="104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348" t="n"/>
      <c r="E2515" s="349">
        <f>IF(C2515="","",IFERROR(VLOOKUP(C2515,parametros!$A$11:$E$15,5,0),""))</f>
        <v/>
      </c>
      <c r="F2515" s="335">
        <f>IF(OR(D2515="",E2515=""),"",ROUND(D2515*E2515,2))</f>
        <v/>
      </c>
      <c r="G2515" s="106" t="n"/>
      <c r="H2515" s="350">
        <f>IF(G2515="Sim",IF(OR(F2515="",D2515="",L2515=""),"",IF(L2515="Sim",ROUND(F2515-D2515,2),0)),0)</f>
        <v/>
      </c>
      <c r="I2515" s="350">
        <f>IF(G2515="Sim",0,IF(OR(F2515="",L2515=""),"",F2515))</f>
        <v/>
      </c>
      <c r="J2515" s="350">
        <f>IF(G2515="Sim",0,IF(OR(F2515="",D2515="",L2515=""),"",IF(L2515="Sim",ROUND(F2515-D2515,2),0)))</f>
        <v/>
      </c>
      <c r="K2515" s="97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inlineStr">
        <is>
          <t>Nao</t>
        </is>
      </c>
      <c r="W2515" s="110" t="inlineStr">
        <is>
          <t>PC em analise</t>
        </is>
      </c>
      <c r="X2515" s="110" t="inlineStr">
        <is>
          <t>Pedido de Compra</t>
        </is>
      </c>
      <c r="Y2515" s="111" t="inlineStr">
        <is>
          <t>Impacto Potencial</t>
        </is>
      </c>
      <c r="Z2515" s="111" t="inlineStr">
        <is>
          <t>PC</t>
        </is>
      </c>
      <c r="AA2515" s="111" t="inlineStr">
        <is>
          <t>Nao</t>
        </is>
      </c>
      <c r="AB2515" s="111" t="inlineStr">
        <is>
          <t>NAO_COMPUTADO</t>
        </is>
      </c>
      <c r="AC2515" s="112" t="inlineStr">
        <is>
          <t>Estrutura Fase 1: sem impacto no VTA oficial</t>
        </is>
      </c>
    </row>
    <row r="2516" ht="25.5" customHeight="1" s="289">
      <c r="A2516" s="205" t="n"/>
      <c r="B2516" s="207" t="n"/>
      <c r="C2516" s="104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348" t="n"/>
      <c r="E2516" s="349">
        <f>IF(C2516="","",IFERROR(VLOOKUP(C2516,parametros!$A$11:$E$15,5,0),""))</f>
        <v/>
      </c>
      <c r="F2516" s="335">
        <f>IF(OR(D2516="",E2516=""),"",ROUND(D2516*E2516,2))</f>
        <v/>
      </c>
      <c r="G2516" s="106" t="n"/>
      <c r="H2516" s="350">
        <f>IF(G2516="Sim",IF(OR(F2516="",D2516="",L2516=""),"",IF(L2516="Sim",ROUND(F2516-D2516,2),0)),0)</f>
        <v/>
      </c>
      <c r="I2516" s="350">
        <f>IF(G2516="Sim",0,IF(OR(F2516="",L2516=""),"",F2516))</f>
        <v/>
      </c>
      <c r="J2516" s="350">
        <f>IF(G2516="Sim",0,IF(OR(F2516="",D2516="",L2516=""),"",IF(L2516="Sim",ROUND(F2516-D2516,2),0)))</f>
        <v/>
      </c>
      <c r="K2516" s="97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inlineStr">
        <is>
          <t>Nao</t>
        </is>
      </c>
      <c r="W2516" s="110" t="inlineStr">
        <is>
          <t>PC em analise</t>
        </is>
      </c>
      <c r="X2516" s="110" t="inlineStr">
        <is>
          <t>Pedido de Compra</t>
        </is>
      </c>
      <c r="Y2516" s="111" t="inlineStr">
        <is>
          <t>Impacto Potencial</t>
        </is>
      </c>
      <c r="Z2516" s="111" t="inlineStr">
        <is>
          <t>PC</t>
        </is>
      </c>
      <c r="AA2516" s="111" t="inlineStr">
        <is>
          <t>Nao</t>
        </is>
      </c>
      <c r="AB2516" s="111" t="inlineStr">
        <is>
          <t>NAO_COMPUTADO</t>
        </is>
      </c>
      <c r="AC2516" s="112" t="inlineStr">
        <is>
          <t>Estrutura Fase 1: sem impacto no VTA oficial</t>
        </is>
      </c>
    </row>
    <row r="2517" ht="25.5" customHeight="1" s="289">
      <c r="A2517" s="205" t="n"/>
      <c r="B2517" s="207" t="n"/>
      <c r="C2517" s="104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348" t="n"/>
      <c r="E2517" s="349">
        <f>IF(C2517="","",IFERROR(VLOOKUP(C2517,parametros!$A$11:$E$15,5,0),""))</f>
        <v/>
      </c>
      <c r="F2517" s="335">
        <f>IF(OR(D2517="",E2517=""),"",ROUND(D2517*E2517,2))</f>
        <v/>
      </c>
      <c r="G2517" s="106" t="n"/>
      <c r="H2517" s="350">
        <f>IF(G2517="Sim",IF(OR(F2517="",D2517="",L2517=""),"",IF(L2517="Sim",ROUND(F2517-D2517,2),0)),0)</f>
        <v/>
      </c>
      <c r="I2517" s="350">
        <f>IF(G2517="Sim",0,IF(OR(F2517="",L2517=""),"",F2517))</f>
        <v/>
      </c>
      <c r="J2517" s="350">
        <f>IF(G2517="Sim",0,IF(OR(F2517="",D2517="",L2517=""),"",IF(L2517="Sim",ROUND(F2517-D2517,2),0)))</f>
        <v/>
      </c>
      <c r="K2517" s="97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inlineStr">
        <is>
          <t>Nao</t>
        </is>
      </c>
      <c r="W2517" s="110" t="inlineStr">
        <is>
          <t>PC em analise</t>
        </is>
      </c>
      <c r="X2517" s="110" t="inlineStr">
        <is>
          <t>Pedido de Compra</t>
        </is>
      </c>
      <c r="Y2517" s="111" t="inlineStr">
        <is>
          <t>Impacto Potencial</t>
        </is>
      </c>
      <c r="Z2517" s="111" t="inlineStr">
        <is>
          <t>PC</t>
        </is>
      </c>
      <c r="AA2517" s="111" t="inlineStr">
        <is>
          <t>Nao</t>
        </is>
      </c>
      <c r="AB2517" s="111" t="inlineStr">
        <is>
          <t>NAO_COMPUTADO</t>
        </is>
      </c>
      <c r="AC2517" s="112" t="inlineStr">
        <is>
          <t>Estrutura Fase 1: sem impacto no VTA oficial</t>
        </is>
      </c>
    </row>
    <row r="2518" ht="25.5" customHeight="1" s="289">
      <c r="A2518" s="205" t="n"/>
      <c r="B2518" s="207" t="n"/>
      <c r="C2518" s="104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348" t="n"/>
      <c r="E2518" s="349">
        <f>IF(C2518="","",IFERROR(VLOOKUP(C2518,parametros!$A$11:$E$15,5,0),""))</f>
        <v/>
      </c>
      <c r="F2518" s="335">
        <f>IF(OR(D2518="",E2518=""),"",ROUND(D2518*E2518,2))</f>
        <v/>
      </c>
      <c r="G2518" s="106" t="n"/>
      <c r="H2518" s="350">
        <f>IF(G2518="Sim",IF(OR(F2518="",D2518="",L2518=""),"",IF(L2518="Sim",ROUND(F2518-D2518,2),0)),0)</f>
        <v/>
      </c>
      <c r="I2518" s="350">
        <f>IF(G2518="Sim",0,IF(OR(F2518="",L2518=""),"",F2518))</f>
        <v/>
      </c>
      <c r="J2518" s="350">
        <f>IF(G2518="Sim",0,IF(OR(F2518="",D2518="",L2518=""),"",IF(L2518="Sim",ROUND(F2518-D2518,2),0)))</f>
        <v/>
      </c>
      <c r="K2518" s="97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inlineStr">
        <is>
          <t>Nao</t>
        </is>
      </c>
      <c r="W2518" s="110" t="inlineStr">
        <is>
          <t>PC em analise</t>
        </is>
      </c>
      <c r="X2518" s="110" t="inlineStr">
        <is>
          <t>Pedido de Compra</t>
        </is>
      </c>
      <c r="Y2518" s="111" t="inlineStr">
        <is>
          <t>Impacto Potencial</t>
        </is>
      </c>
      <c r="Z2518" s="111" t="inlineStr">
        <is>
          <t>PC</t>
        </is>
      </c>
      <c r="AA2518" s="111" t="inlineStr">
        <is>
          <t>Nao</t>
        </is>
      </c>
      <c r="AB2518" s="111" t="inlineStr">
        <is>
          <t>NAO_COMPUTADO</t>
        </is>
      </c>
      <c r="AC2518" s="112" t="inlineStr">
        <is>
          <t>Estrutura Fase 1: sem impacto no VTA oficial</t>
        </is>
      </c>
    </row>
    <row r="2519" ht="25.5" customHeight="1" s="289">
      <c r="A2519" s="205" t="n"/>
      <c r="B2519" s="207" t="n"/>
      <c r="C2519" s="104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348" t="n"/>
      <c r="E2519" s="349">
        <f>IF(C2519="","",IFERROR(VLOOKUP(C2519,parametros!$A$11:$E$15,5,0),""))</f>
        <v/>
      </c>
      <c r="F2519" s="335">
        <f>IF(OR(D2519="",E2519=""),"",ROUND(D2519*E2519,2))</f>
        <v/>
      </c>
      <c r="G2519" s="106" t="n"/>
      <c r="H2519" s="350">
        <f>IF(G2519="Sim",IF(OR(F2519="",D2519="",L2519=""),"",IF(L2519="Sim",ROUND(F2519-D2519,2),0)),0)</f>
        <v/>
      </c>
      <c r="I2519" s="350">
        <f>IF(G2519="Sim",0,IF(OR(F2519="",L2519=""),"",F2519))</f>
        <v/>
      </c>
      <c r="J2519" s="350">
        <f>IF(G2519="Sim",0,IF(OR(F2519="",D2519="",L2519=""),"",IF(L2519="Sim",ROUND(F2519-D2519,2),0)))</f>
        <v/>
      </c>
      <c r="K2519" s="97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inlineStr">
        <is>
          <t>Nao</t>
        </is>
      </c>
      <c r="W2519" s="110" t="inlineStr">
        <is>
          <t>PC em analise</t>
        </is>
      </c>
      <c r="X2519" s="110" t="inlineStr">
        <is>
          <t>Pedido de Compra</t>
        </is>
      </c>
      <c r="Y2519" s="111" t="inlineStr">
        <is>
          <t>Impacto Potencial</t>
        </is>
      </c>
      <c r="Z2519" s="111" t="inlineStr">
        <is>
          <t>PC</t>
        </is>
      </c>
      <c r="AA2519" s="111" t="inlineStr">
        <is>
          <t>Nao</t>
        </is>
      </c>
      <c r="AB2519" s="111" t="inlineStr">
        <is>
          <t>NAO_COMPUTADO</t>
        </is>
      </c>
      <c r="AC2519" s="112" t="inlineStr">
        <is>
          <t>Estrutura Fase 1: sem impacto no VTA oficial</t>
        </is>
      </c>
    </row>
    <row r="2520" ht="25.5" customHeight="1" s="289">
      <c r="A2520" s="205" t="n"/>
      <c r="B2520" s="207" t="n"/>
      <c r="C2520" s="104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348" t="n"/>
      <c r="E2520" s="349">
        <f>IF(C2520="","",IFERROR(VLOOKUP(C2520,parametros!$A$11:$E$15,5,0),""))</f>
        <v/>
      </c>
      <c r="F2520" s="335">
        <f>IF(OR(D2520="",E2520=""),"",ROUND(D2520*E2520,2))</f>
        <v/>
      </c>
      <c r="G2520" s="106" t="n"/>
      <c r="H2520" s="350">
        <f>IF(G2520="Sim",IF(OR(F2520="",D2520="",L2520=""),"",IF(L2520="Sim",ROUND(F2520-D2520,2),0)),0)</f>
        <v/>
      </c>
      <c r="I2520" s="350">
        <f>IF(G2520="Sim",0,IF(OR(F2520="",L2520=""),"",F2520))</f>
        <v/>
      </c>
      <c r="J2520" s="350">
        <f>IF(G2520="Sim",0,IF(OR(F2520="",D2520="",L2520=""),"",IF(L2520="Sim",ROUND(F2520-D2520,2),0)))</f>
        <v/>
      </c>
      <c r="K2520" s="97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inlineStr">
        <is>
          <t>Nao</t>
        </is>
      </c>
      <c r="W2520" s="110" t="inlineStr">
        <is>
          <t>PC em analise</t>
        </is>
      </c>
      <c r="X2520" s="110" t="inlineStr">
        <is>
          <t>Pedido de Compra</t>
        </is>
      </c>
      <c r="Y2520" s="111" t="inlineStr">
        <is>
          <t>Impacto Potencial</t>
        </is>
      </c>
      <c r="Z2520" s="111" t="inlineStr">
        <is>
          <t>PC</t>
        </is>
      </c>
      <c r="AA2520" s="111" t="inlineStr">
        <is>
          <t>Nao</t>
        </is>
      </c>
      <c r="AB2520" s="111" t="inlineStr">
        <is>
          <t>NAO_COMPUTADO</t>
        </is>
      </c>
      <c r="AC2520" s="112" t="inlineStr">
        <is>
          <t>Estrutura Fase 1: sem impacto no VTA oficial</t>
        </is>
      </c>
    </row>
    <row r="2521" ht="25.5" customHeight="1" s="289">
      <c r="A2521" s="205" t="n"/>
      <c r="B2521" s="207" t="n"/>
      <c r="C2521" s="104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348" t="n"/>
      <c r="E2521" s="349">
        <f>IF(C2521="","",IFERROR(VLOOKUP(C2521,parametros!$A$11:$E$15,5,0),""))</f>
        <v/>
      </c>
      <c r="F2521" s="335">
        <f>IF(OR(D2521="",E2521=""),"",ROUND(D2521*E2521,2))</f>
        <v/>
      </c>
      <c r="G2521" s="106" t="n"/>
      <c r="H2521" s="350">
        <f>IF(G2521="Sim",IF(OR(F2521="",D2521="",L2521=""),"",IF(L2521="Sim",ROUND(F2521-D2521,2),0)),0)</f>
        <v/>
      </c>
      <c r="I2521" s="350">
        <f>IF(G2521="Sim",0,IF(OR(F2521="",L2521=""),"",F2521))</f>
        <v/>
      </c>
      <c r="J2521" s="350">
        <f>IF(G2521="Sim",0,IF(OR(F2521="",D2521="",L2521=""),"",IF(L2521="Sim",ROUND(F2521-D2521,2),0)))</f>
        <v/>
      </c>
      <c r="K2521" s="97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inlineStr">
        <is>
          <t>Nao</t>
        </is>
      </c>
      <c r="W2521" s="110" t="inlineStr">
        <is>
          <t>PC em analise</t>
        </is>
      </c>
      <c r="X2521" s="110" t="inlineStr">
        <is>
          <t>Pedido de Compra</t>
        </is>
      </c>
      <c r="Y2521" s="111" t="inlineStr">
        <is>
          <t>Impacto Potencial</t>
        </is>
      </c>
      <c r="Z2521" s="111" t="inlineStr">
        <is>
          <t>PC</t>
        </is>
      </c>
      <c r="AA2521" s="111" t="inlineStr">
        <is>
          <t>Nao</t>
        </is>
      </c>
      <c r="AB2521" s="111" t="inlineStr">
        <is>
          <t>NAO_COMPUTADO</t>
        </is>
      </c>
      <c r="AC2521" s="112" t="inlineStr">
        <is>
          <t>Estrutura Fase 1: sem impacto no VTA oficial</t>
        </is>
      </c>
    </row>
    <row r="2522" ht="25.5" customHeight="1" s="289">
      <c r="A2522" s="205" t="n"/>
      <c r="B2522" s="207" t="n"/>
      <c r="C2522" s="104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348" t="n"/>
      <c r="E2522" s="349">
        <f>IF(C2522="","",IFERROR(VLOOKUP(C2522,parametros!$A$11:$E$15,5,0),""))</f>
        <v/>
      </c>
      <c r="F2522" s="335">
        <f>IF(OR(D2522="",E2522=""),"",ROUND(D2522*E2522,2))</f>
        <v/>
      </c>
      <c r="G2522" s="106" t="n"/>
      <c r="H2522" s="350">
        <f>IF(G2522="Sim",IF(OR(F2522="",D2522="",L2522=""),"",IF(L2522="Sim",ROUND(F2522-D2522,2),0)),0)</f>
        <v/>
      </c>
      <c r="I2522" s="350">
        <f>IF(G2522="Sim",0,IF(OR(F2522="",L2522=""),"",F2522))</f>
        <v/>
      </c>
      <c r="J2522" s="350">
        <f>IF(G2522="Sim",0,IF(OR(F2522="",D2522="",L2522=""),"",IF(L2522="Sim",ROUND(F2522-D2522,2),0)))</f>
        <v/>
      </c>
      <c r="K2522" s="97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inlineStr">
        <is>
          <t>Nao</t>
        </is>
      </c>
      <c r="W2522" s="110" t="inlineStr">
        <is>
          <t>PC em analise</t>
        </is>
      </c>
      <c r="X2522" s="110" t="inlineStr">
        <is>
          <t>Pedido de Compra</t>
        </is>
      </c>
      <c r="Y2522" s="111" t="inlineStr">
        <is>
          <t>Impacto Potencial</t>
        </is>
      </c>
      <c r="Z2522" s="111" t="inlineStr">
        <is>
          <t>PC</t>
        </is>
      </c>
      <c r="AA2522" s="111" t="inlineStr">
        <is>
          <t>Nao</t>
        </is>
      </c>
      <c r="AB2522" s="111" t="inlineStr">
        <is>
          <t>NAO_COMPUTADO</t>
        </is>
      </c>
      <c r="AC2522" s="112" t="inlineStr">
        <is>
          <t>Estrutura Fase 1: sem impacto no VTA oficial</t>
        </is>
      </c>
    </row>
    <row r="2523" ht="25.5" customHeight="1" s="289">
      <c r="A2523" s="205" t="n"/>
      <c r="B2523" s="207" t="n"/>
      <c r="C2523" s="104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348" t="n"/>
      <c r="E2523" s="349">
        <f>IF(C2523="","",IFERROR(VLOOKUP(C2523,parametros!$A$11:$E$15,5,0),""))</f>
        <v/>
      </c>
      <c r="F2523" s="335">
        <f>IF(OR(D2523="",E2523=""),"",ROUND(D2523*E2523,2))</f>
        <v/>
      </c>
      <c r="G2523" s="106" t="n"/>
      <c r="H2523" s="350">
        <f>IF(G2523="Sim",IF(OR(F2523="",D2523="",L2523=""),"",IF(L2523="Sim",ROUND(F2523-D2523,2),0)),0)</f>
        <v/>
      </c>
      <c r="I2523" s="350">
        <f>IF(G2523="Sim",0,IF(OR(F2523="",L2523=""),"",F2523))</f>
        <v/>
      </c>
      <c r="J2523" s="350">
        <f>IF(G2523="Sim",0,IF(OR(F2523="",D2523="",L2523=""),"",IF(L2523="Sim",ROUND(F2523-D2523,2),0)))</f>
        <v/>
      </c>
      <c r="K2523" s="97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inlineStr">
        <is>
          <t>Nao</t>
        </is>
      </c>
      <c r="W2523" s="110" t="inlineStr">
        <is>
          <t>PC em analise</t>
        </is>
      </c>
      <c r="X2523" s="110" t="inlineStr">
        <is>
          <t>Pedido de Compra</t>
        </is>
      </c>
      <c r="Y2523" s="111" t="inlineStr">
        <is>
          <t>Impacto Potencial</t>
        </is>
      </c>
      <c r="Z2523" s="111" t="inlineStr">
        <is>
          <t>PC</t>
        </is>
      </c>
      <c r="AA2523" s="111" t="inlineStr">
        <is>
          <t>Nao</t>
        </is>
      </c>
      <c r="AB2523" s="111" t="inlineStr">
        <is>
          <t>NAO_COMPUTADO</t>
        </is>
      </c>
      <c r="AC2523" s="112" t="inlineStr">
        <is>
          <t>Estrutura Fase 1: sem impacto no VTA oficial</t>
        </is>
      </c>
    </row>
    <row r="2524" ht="25.5" customHeight="1" s="289">
      <c r="A2524" s="205" t="n"/>
      <c r="B2524" s="207" t="n"/>
      <c r="C2524" s="104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348" t="n"/>
      <c r="E2524" s="349">
        <f>IF(C2524="","",IFERROR(VLOOKUP(C2524,parametros!$A$11:$E$15,5,0),""))</f>
        <v/>
      </c>
      <c r="F2524" s="335">
        <f>IF(OR(D2524="",E2524=""),"",ROUND(D2524*E2524,2))</f>
        <v/>
      </c>
      <c r="G2524" s="106" t="n"/>
      <c r="H2524" s="350">
        <f>IF(G2524="Sim",IF(OR(F2524="",D2524="",L2524=""),"",IF(L2524="Sim",ROUND(F2524-D2524,2),0)),0)</f>
        <v/>
      </c>
      <c r="I2524" s="350">
        <f>IF(G2524="Sim",0,IF(OR(F2524="",L2524=""),"",F2524))</f>
        <v/>
      </c>
      <c r="J2524" s="350">
        <f>IF(G2524="Sim",0,IF(OR(F2524="",D2524="",L2524=""),"",IF(L2524="Sim",ROUND(F2524-D2524,2),0)))</f>
        <v/>
      </c>
      <c r="K2524" s="97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inlineStr">
        <is>
          <t>Nao</t>
        </is>
      </c>
      <c r="W2524" s="110" t="inlineStr">
        <is>
          <t>PC em analise</t>
        </is>
      </c>
      <c r="X2524" s="110" t="inlineStr">
        <is>
          <t>Pedido de Compra</t>
        </is>
      </c>
      <c r="Y2524" s="111" t="inlineStr">
        <is>
          <t>Impacto Potencial</t>
        </is>
      </c>
      <c r="Z2524" s="111" t="inlineStr">
        <is>
          <t>PC</t>
        </is>
      </c>
      <c r="AA2524" s="111" t="inlineStr">
        <is>
          <t>Nao</t>
        </is>
      </c>
      <c r="AB2524" s="111" t="inlineStr">
        <is>
          <t>NAO_COMPUTADO</t>
        </is>
      </c>
      <c r="AC2524" s="112" t="inlineStr">
        <is>
          <t>Estrutura Fase 1: sem impacto no VTA oficial</t>
        </is>
      </c>
    </row>
    <row r="2525" ht="25.5" customHeight="1" s="289">
      <c r="A2525" s="205" t="n"/>
      <c r="B2525" s="207" t="n"/>
      <c r="C2525" s="104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348" t="n"/>
      <c r="E2525" s="349">
        <f>IF(C2525="","",IFERROR(VLOOKUP(C2525,parametros!$A$11:$E$15,5,0),""))</f>
        <v/>
      </c>
      <c r="F2525" s="335">
        <f>IF(OR(D2525="",E2525=""),"",ROUND(D2525*E2525,2))</f>
        <v/>
      </c>
      <c r="G2525" s="106" t="n"/>
      <c r="H2525" s="350">
        <f>IF(G2525="Sim",IF(OR(F2525="",D2525="",L2525=""),"",IF(L2525="Sim",ROUND(F2525-D2525,2),0)),0)</f>
        <v/>
      </c>
      <c r="I2525" s="350">
        <f>IF(G2525="Sim",0,IF(OR(F2525="",L2525=""),"",F2525))</f>
        <v/>
      </c>
      <c r="J2525" s="350">
        <f>IF(G2525="Sim",0,IF(OR(F2525="",D2525="",L2525=""),"",IF(L2525="Sim",ROUND(F2525-D2525,2),0)))</f>
        <v/>
      </c>
      <c r="K2525" s="97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inlineStr">
        <is>
          <t>Nao</t>
        </is>
      </c>
      <c r="W2525" s="110" t="inlineStr">
        <is>
          <t>PC em analise</t>
        </is>
      </c>
      <c r="X2525" s="110" t="inlineStr">
        <is>
          <t>Pedido de Compra</t>
        </is>
      </c>
      <c r="Y2525" s="111" t="inlineStr">
        <is>
          <t>Impacto Potencial</t>
        </is>
      </c>
      <c r="Z2525" s="111" t="inlineStr">
        <is>
          <t>PC</t>
        </is>
      </c>
      <c r="AA2525" s="111" t="inlineStr">
        <is>
          <t>Nao</t>
        </is>
      </c>
      <c r="AB2525" s="111" t="inlineStr">
        <is>
          <t>NAO_COMPUTADO</t>
        </is>
      </c>
      <c r="AC2525" s="112" t="inlineStr">
        <is>
          <t>Estrutura Fase 1: sem impacto no VTA oficial</t>
        </is>
      </c>
    </row>
    <row r="2526" ht="25.5" customHeight="1" s="289">
      <c r="A2526" s="205" t="n"/>
      <c r="B2526" s="207" t="n"/>
      <c r="C2526" s="104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348" t="n"/>
      <c r="E2526" s="349">
        <f>IF(C2526="","",IFERROR(VLOOKUP(C2526,parametros!$A$11:$E$15,5,0),""))</f>
        <v/>
      </c>
      <c r="F2526" s="335">
        <f>IF(OR(D2526="",E2526=""),"",ROUND(D2526*E2526,2))</f>
        <v/>
      </c>
      <c r="G2526" s="106" t="n"/>
      <c r="H2526" s="350">
        <f>IF(G2526="Sim",IF(OR(F2526="",D2526="",L2526=""),"",IF(L2526="Sim",ROUND(F2526-D2526,2),0)),0)</f>
        <v/>
      </c>
      <c r="I2526" s="350">
        <f>IF(G2526="Sim",0,IF(OR(F2526="",L2526=""),"",F2526))</f>
        <v/>
      </c>
      <c r="J2526" s="350">
        <f>IF(G2526="Sim",0,IF(OR(F2526="",D2526="",L2526=""),"",IF(L2526="Sim",ROUND(F2526-D2526,2),0)))</f>
        <v/>
      </c>
      <c r="K2526" s="97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inlineStr">
        <is>
          <t>Nao</t>
        </is>
      </c>
      <c r="W2526" s="110" t="inlineStr">
        <is>
          <t>PC em analise</t>
        </is>
      </c>
      <c r="X2526" s="110" t="inlineStr">
        <is>
          <t>Pedido de Compra</t>
        </is>
      </c>
      <c r="Y2526" s="111" t="inlineStr">
        <is>
          <t>Impacto Potencial</t>
        </is>
      </c>
      <c r="Z2526" s="111" t="inlineStr">
        <is>
          <t>PC</t>
        </is>
      </c>
      <c r="AA2526" s="111" t="inlineStr">
        <is>
          <t>Nao</t>
        </is>
      </c>
      <c r="AB2526" s="111" t="inlineStr">
        <is>
          <t>NAO_COMPUTADO</t>
        </is>
      </c>
      <c r="AC2526" s="112" t="inlineStr">
        <is>
          <t>Estrutura Fase 1: sem impacto no VTA oficial</t>
        </is>
      </c>
    </row>
    <row r="2527" ht="25.5" customHeight="1" s="289">
      <c r="A2527" s="205" t="n"/>
      <c r="B2527" s="207" t="n"/>
      <c r="C2527" s="104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348" t="n"/>
      <c r="E2527" s="349">
        <f>IF(C2527="","",IFERROR(VLOOKUP(C2527,parametros!$A$11:$E$15,5,0),""))</f>
        <v/>
      </c>
      <c r="F2527" s="335">
        <f>IF(OR(D2527="",E2527=""),"",ROUND(D2527*E2527,2))</f>
        <v/>
      </c>
      <c r="G2527" s="106" t="n"/>
      <c r="H2527" s="350">
        <f>IF(G2527="Sim",IF(OR(F2527="",D2527="",L2527=""),"",IF(L2527="Sim",ROUND(F2527-D2527,2),0)),0)</f>
        <v/>
      </c>
      <c r="I2527" s="350">
        <f>IF(G2527="Sim",0,IF(OR(F2527="",L2527=""),"",F2527))</f>
        <v/>
      </c>
      <c r="J2527" s="350">
        <f>IF(G2527="Sim",0,IF(OR(F2527="",D2527="",L2527=""),"",IF(L2527="Sim",ROUND(F2527-D2527,2),0)))</f>
        <v/>
      </c>
      <c r="K2527" s="97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inlineStr">
        <is>
          <t>Nao</t>
        </is>
      </c>
      <c r="W2527" s="110" t="inlineStr">
        <is>
          <t>PC em analise</t>
        </is>
      </c>
      <c r="X2527" s="110" t="inlineStr">
        <is>
          <t>Pedido de Compra</t>
        </is>
      </c>
      <c r="Y2527" s="111" t="inlineStr">
        <is>
          <t>Impacto Potencial</t>
        </is>
      </c>
      <c r="Z2527" s="111" t="inlineStr">
        <is>
          <t>PC</t>
        </is>
      </c>
      <c r="AA2527" s="111" t="inlineStr">
        <is>
          <t>Nao</t>
        </is>
      </c>
      <c r="AB2527" s="111" t="inlineStr">
        <is>
          <t>NAO_COMPUTADO</t>
        </is>
      </c>
      <c r="AC2527" s="112" t="inlineStr">
        <is>
          <t>Estrutura Fase 1: sem impacto no VTA oficial</t>
        </is>
      </c>
    </row>
    <row r="2528" ht="25.5" customHeight="1" s="289">
      <c r="A2528" s="205" t="n"/>
      <c r="B2528" s="207" t="n"/>
      <c r="C2528" s="104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348" t="n"/>
      <c r="E2528" s="349">
        <f>IF(C2528="","",IFERROR(VLOOKUP(C2528,parametros!$A$11:$E$15,5,0),""))</f>
        <v/>
      </c>
      <c r="F2528" s="335">
        <f>IF(OR(D2528="",E2528=""),"",ROUND(D2528*E2528,2))</f>
        <v/>
      </c>
      <c r="G2528" s="106" t="n"/>
      <c r="H2528" s="350">
        <f>IF(G2528="Sim",IF(OR(F2528="",D2528="",L2528=""),"",IF(L2528="Sim",ROUND(F2528-D2528,2),0)),0)</f>
        <v/>
      </c>
      <c r="I2528" s="350">
        <f>IF(G2528="Sim",0,IF(OR(F2528="",L2528=""),"",F2528))</f>
        <v/>
      </c>
      <c r="J2528" s="350">
        <f>IF(G2528="Sim",0,IF(OR(F2528="",D2528="",L2528=""),"",IF(L2528="Sim",ROUND(F2528-D2528,2),0)))</f>
        <v/>
      </c>
      <c r="K2528" s="97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inlineStr">
        <is>
          <t>Nao</t>
        </is>
      </c>
      <c r="W2528" s="110" t="inlineStr">
        <is>
          <t>PC em analise</t>
        </is>
      </c>
      <c r="X2528" s="110" t="inlineStr">
        <is>
          <t>Pedido de Compra</t>
        </is>
      </c>
      <c r="Y2528" s="111" t="inlineStr">
        <is>
          <t>Impacto Potencial</t>
        </is>
      </c>
      <c r="Z2528" s="111" t="inlineStr">
        <is>
          <t>PC</t>
        </is>
      </c>
      <c r="AA2528" s="111" t="inlineStr">
        <is>
          <t>Nao</t>
        </is>
      </c>
      <c r="AB2528" s="111" t="inlineStr">
        <is>
          <t>NAO_COMPUTADO</t>
        </is>
      </c>
      <c r="AC2528" s="112" t="inlineStr">
        <is>
          <t>Estrutura Fase 1: sem impacto no VTA oficial</t>
        </is>
      </c>
    </row>
    <row r="2529" ht="25.5" customHeight="1" s="289">
      <c r="A2529" s="205" t="n"/>
      <c r="B2529" s="207" t="n"/>
      <c r="C2529" s="104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348" t="n"/>
      <c r="E2529" s="349">
        <f>IF(C2529="","",IFERROR(VLOOKUP(C2529,parametros!$A$11:$E$15,5,0),""))</f>
        <v/>
      </c>
      <c r="F2529" s="335">
        <f>IF(OR(D2529="",E2529=""),"",ROUND(D2529*E2529,2))</f>
        <v/>
      </c>
      <c r="G2529" s="106" t="n"/>
      <c r="H2529" s="350">
        <f>IF(G2529="Sim",IF(OR(F2529="",D2529="",L2529=""),"",IF(L2529="Sim",ROUND(F2529-D2529,2),0)),0)</f>
        <v/>
      </c>
      <c r="I2529" s="350">
        <f>IF(G2529="Sim",0,IF(OR(F2529="",L2529=""),"",F2529))</f>
        <v/>
      </c>
      <c r="J2529" s="350">
        <f>IF(G2529="Sim",0,IF(OR(F2529="",D2529="",L2529=""),"",IF(L2529="Sim",ROUND(F2529-D2529,2),0)))</f>
        <v/>
      </c>
      <c r="K2529" s="97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inlineStr">
        <is>
          <t>Nao</t>
        </is>
      </c>
      <c r="W2529" s="110" t="inlineStr">
        <is>
          <t>PC em analise</t>
        </is>
      </c>
      <c r="X2529" s="110" t="inlineStr">
        <is>
          <t>Pedido de Compra</t>
        </is>
      </c>
      <c r="Y2529" s="111" t="inlineStr">
        <is>
          <t>Impacto Potencial</t>
        </is>
      </c>
      <c r="Z2529" s="111" t="inlineStr">
        <is>
          <t>PC</t>
        </is>
      </c>
      <c r="AA2529" s="111" t="inlineStr">
        <is>
          <t>Nao</t>
        </is>
      </c>
      <c r="AB2529" s="111" t="inlineStr">
        <is>
          <t>NAO_COMPUTADO</t>
        </is>
      </c>
      <c r="AC2529" s="112" t="inlineStr">
        <is>
          <t>Estrutura Fase 1: sem impacto no VTA oficial</t>
        </is>
      </c>
    </row>
    <row r="2530" ht="25.5" customHeight="1" s="289">
      <c r="A2530" s="205" t="n"/>
      <c r="B2530" s="207" t="n"/>
      <c r="C2530" s="104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348" t="n"/>
      <c r="E2530" s="349">
        <f>IF(C2530="","",IFERROR(VLOOKUP(C2530,parametros!$A$11:$E$15,5,0),""))</f>
        <v/>
      </c>
      <c r="F2530" s="335">
        <f>IF(OR(D2530="",E2530=""),"",ROUND(D2530*E2530,2))</f>
        <v/>
      </c>
      <c r="G2530" s="106" t="n"/>
      <c r="H2530" s="350">
        <f>IF(G2530="Sim",IF(OR(F2530="",D2530="",L2530=""),"",IF(L2530="Sim",ROUND(F2530-D2530,2),0)),0)</f>
        <v/>
      </c>
      <c r="I2530" s="350">
        <f>IF(G2530="Sim",0,IF(OR(F2530="",L2530=""),"",F2530))</f>
        <v/>
      </c>
      <c r="J2530" s="350">
        <f>IF(G2530="Sim",0,IF(OR(F2530="",D2530="",L2530=""),"",IF(L2530="Sim",ROUND(F2530-D2530,2),0)))</f>
        <v/>
      </c>
      <c r="K2530" s="97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inlineStr">
        <is>
          <t>Nao</t>
        </is>
      </c>
      <c r="W2530" s="110" t="inlineStr">
        <is>
          <t>PC em analise</t>
        </is>
      </c>
      <c r="X2530" s="110" t="inlineStr">
        <is>
          <t>Pedido de Compra</t>
        </is>
      </c>
      <c r="Y2530" s="111" t="inlineStr">
        <is>
          <t>Impacto Potencial</t>
        </is>
      </c>
      <c r="Z2530" s="111" t="inlineStr">
        <is>
          <t>PC</t>
        </is>
      </c>
      <c r="AA2530" s="111" t="inlineStr">
        <is>
          <t>Nao</t>
        </is>
      </c>
      <c r="AB2530" s="111" t="inlineStr">
        <is>
          <t>NAO_COMPUTADO</t>
        </is>
      </c>
      <c r="AC2530" s="112" t="inlineStr">
        <is>
          <t>Estrutura Fase 1: sem impacto no VTA oficial</t>
        </is>
      </c>
    </row>
    <row r="2531" ht="25.5" customHeight="1" s="289">
      <c r="A2531" s="205" t="n"/>
      <c r="B2531" s="207" t="n"/>
      <c r="C2531" s="104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348" t="n"/>
      <c r="E2531" s="349">
        <f>IF(C2531="","",IFERROR(VLOOKUP(C2531,parametros!$A$11:$E$15,5,0),""))</f>
        <v/>
      </c>
      <c r="F2531" s="335">
        <f>IF(OR(D2531="",E2531=""),"",ROUND(D2531*E2531,2))</f>
        <v/>
      </c>
      <c r="G2531" s="106" t="n"/>
      <c r="H2531" s="350">
        <f>IF(G2531="Sim",IF(OR(F2531="",D2531="",L2531=""),"",IF(L2531="Sim",ROUND(F2531-D2531,2),0)),0)</f>
        <v/>
      </c>
      <c r="I2531" s="350">
        <f>IF(G2531="Sim",0,IF(OR(F2531="",L2531=""),"",F2531))</f>
        <v/>
      </c>
      <c r="J2531" s="350">
        <f>IF(G2531="Sim",0,IF(OR(F2531="",D2531="",L2531=""),"",IF(L2531="Sim",ROUND(F2531-D2531,2),0)))</f>
        <v/>
      </c>
      <c r="K2531" s="97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inlineStr">
        <is>
          <t>Nao</t>
        </is>
      </c>
      <c r="W2531" s="110" t="inlineStr">
        <is>
          <t>PC em analise</t>
        </is>
      </c>
      <c r="X2531" s="110" t="inlineStr">
        <is>
          <t>Pedido de Compra</t>
        </is>
      </c>
      <c r="Y2531" s="111" t="inlineStr">
        <is>
          <t>Impacto Potencial</t>
        </is>
      </c>
      <c r="Z2531" s="111" t="inlineStr">
        <is>
          <t>PC</t>
        </is>
      </c>
      <c r="AA2531" s="111" t="inlineStr">
        <is>
          <t>Nao</t>
        </is>
      </c>
      <c r="AB2531" s="111" t="inlineStr">
        <is>
          <t>NAO_COMPUTADO</t>
        </is>
      </c>
      <c r="AC2531" s="112" t="inlineStr">
        <is>
          <t>Estrutura Fase 1: sem impacto no VTA oficial</t>
        </is>
      </c>
    </row>
    <row r="2532" ht="25.5" customHeight="1" s="289">
      <c r="A2532" s="205" t="n"/>
      <c r="B2532" s="207" t="n"/>
      <c r="C2532" s="104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348" t="n"/>
      <c r="E2532" s="349">
        <f>IF(C2532="","",IFERROR(VLOOKUP(C2532,parametros!$A$11:$E$15,5,0),""))</f>
        <v/>
      </c>
      <c r="F2532" s="335">
        <f>IF(OR(D2532="",E2532=""),"",ROUND(D2532*E2532,2))</f>
        <v/>
      </c>
      <c r="G2532" s="106" t="n"/>
      <c r="H2532" s="350">
        <f>IF(G2532="Sim",IF(OR(F2532="",D2532="",L2532=""),"",IF(L2532="Sim",ROUND(F2532-D2532,2),0)),0)</f>
        <v/>
      </c>
      <c r="I2532" s="350">
        <f>IF(G2532="Sim",0,IF(OR(F2532="",L2532=""),"",F2532))</f>
        <v/>
      </c>
      <c r="J2532" s="350">
        <f>IF(G2532="Sim",0,IF(OR(F2532="",D2532="",L2532=""),"",IF(L2532="Sim",ROUND(F2532-D2532,2),0)))</f>
        <v/>
      </c>
      <c r="K2532" s="97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inlineStr">
        <is>
          <t>Nao</t>
        </is>
      </c>
      <c r="W2532" s="110" t="inlineStr">
        <is>
          <t>PC em analise</t>
        </is>
      </c>
      <c r="X2532" s="110" t="inlineStr">
        <is>
          <t>Pedido de Compra</t>
        </is>
      </c>
      <c r="Y2532" s="111" t="inlineStr">
        <is>
          <t>Impacto Potencial</t>
        </is>
      </c>
      <c r="Z2532" s="111" t="inlineStr">
        <is>
          <t>PC</t>
        </is>
      </c>
      <c r="AA2532" s="111" t="inlineStr">
        <is>
          <t>Nao</t>
        </is>
      </c>
      <c r="AB2532" s="111" t="inlineStr">
        <is>
          <t>NAO_COMPUTADO</t>
        </is>
      </c>
      <c r="AC2532" s="112" t="inlineStr">
        <is>
          <t>Estrutura Fase 1: sem impacto no VTA oficial</t>
        </is>
      </c>
    </row>
    <row r="2533" ht="25.5" customHeight="1" s="289">
      <c r="A2533" s="205" t="n"/>
      <c r="B2533" s="207" t="n"/>
      <c r="C2533" s="104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348" t="n"/>
      <c r="E2533" s="349">
        <f>IF(C2533="","",IFERROR(VLOOKUP(C2533,parametros!$A$11:$E$15,5,0),""))</f>
        <v/>
      </c>
      <c r="F2533" s="335">
        <f>IF(OR(D2533="",E2533=""),"",ROUND(D2533*E2533,2))</f>
        <v/>
      </c>
      <c r="G2533" s="106" t="n"/>
      <c r="H2533" s="350">
        <f>IF(G2533="Sim",IF(OR(F2533="",D2533="",L2533=""),"",IF(L2533="Sim",ROUND(F2533-D2533,2),0)),0)</f>
        <v/>
      </c>
      <c r="I2533" s="350">
        <f>IF(G2533="Sim",0,IF(OR(F2533="",L2533=""),"",F2533))</f>
        <v/>
      </c>
      <c r="J2533" s="350">
        <f>IF(G2533="Sim",0,IF(OR(F2533="",D2533="",L2533=""),"",IF(L2533="Sim",ROUND(F2533-D2533,2),0)))</f>
        <v/>
      </c>
      <c r="K2533" s="97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inlineStr">
        <is>
          <t>Nao</t>
        </is>
      </c>
      <c r="W2533" s="110" t="inlineStr">
        <is>
          <t>PC em analise</t>
        </is>
      </c>
      <c r="X2533" s="110" t="inlineStr">
        <is>
          <t>Pedido de Compra</t>
        </is>
      </c>
      <c r="Y2533" s="111" t="inlineStr">
        <is>
          <t>Impacto Potencial</t>
        </is>
      </c>
      <c r="Z2533" s="111" t="inlineStr">
        <is>
          <t>PC</t>
        </is>
      </c>
      <c r="AA2533" s="111" t="inlineStr">
        <is>
          <t>Nao</t>
        </is>
      </c>
      <c r="AB2533" s="111" t="inlineStr">
        <is>
          <t>NAO_COMPUTADO</t>
        </is>
      </c>
      <c r="AC2533" s="112" t="inlineStr">
        <is>
          <t>Estrutura Fase 1: sem impacto no VTA oficial</t>
        </is>
      </c>
    </row>
    <row r="2534" ht="25.5" customHeight="1" s="289">
      <c r="A2534" s="205" t="n"/>
      <c r="B2534" s="207" t="n"/>
      <c r="C2534" s="104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348" t="n"/>
      <c r="E2534" s="349">
        <f>IF(C2534="","",IFERROR(VLOOKUP(C2534,parametros!$A$11:$E$15,5,0),""))</f>
        <v/>
      </c>
      <c r="F2534" s="335">
        <f>IF(OR(D2534="",E2534=""),"",ROUND(D2534*E2534,2))</f>
        <v/>
      </c>
      <c r="G2534" s="106" t="n"/>
      <c r="H2534" s="350">
        <f>IF(G2534="Sim",IF(OR(F2534="",D2534="",L2534=""),"",IF(L2534="Sim",ROUND(F2534-D2534,2),0)),0)</f>
        <v/>
      </c>
      <c r="I2534" s="350">
        <f>IF(G2534="Sim",0,IF(OR(F2534="",L2534=""),"",F2534))</f>
        <v/>
      </c>
      <c r="J2534" s="350">
        <f>IF(G2534="Sim",0,IF(OR(F2534="",D2534="",L2534=""),"",IF(L2534="Sim",ROUND(F2534-D2534,2),0)))</f>
        <v/>
      </c>
      <c r="K2534" s="97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inlineStr">
        <is>
          <t>Nao</t>
        </is>
      </c>
      <c r="W2534" s="110" t="inlineStr">
        <is>
          <t>PC em analise</t>
        </is>
      </c>
      <c r="X2534" s="110" t="inlineStr">
        <is>
          <t>Pedido de Compra</t>
        </is>
      </c>
      <c r="Y2534" s="111" t="inlineStr">
        <is>
          <t>Impacto Potencial</t>
        </is>
      </c>
      <c r="Z2534" s="111" t="inlineStr">
        <is>
          <t>PC</t>
        </is>
      </c>
      <c r="AA2534" s="111" t="inlineStr">
        <is>
          <t>Nao</t>
        </is>
      </c>
      <c r="AB2534" s="111" t="inlineStr">
        <is>
          <t>NAO_COMPUTADO</t>
        </is>
      </c>
      <c r="AC2534" s="112" t="inlineStr">
        <is>
          <t>Estrutura Fase 1: sem impacto no VTA oficial</t>
        </is>
      </c>
    </row>
    <row r="2535" ht="25.5" customHeight="1" s="289">
      <c r="A2535" s="205" t="n"/>
      <c r="B2535" s="207" t="n"/>
      <c r="C2535" s="104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348" t="n"/>
      <c r="E2535" s="349">
        <f>IF(C2535="","",IFERROR(VLOOKUP(C2535,parametros!$A$11:$E$15,5,0),""))</f>
        <v/>
      </c>
      <c r="F2535" s="335">
        <f>IF(OR(D2535="",E2535=""),"",ROUND(D2535*E2535,2))</f>
        <v/>
      </c>
      <c r="G2535" s="106" t="n"/>
      <c r="H2535" s="350">
        <f>IF(G2535="Sim",IF(OR(F2535="",D2535="",L2535=""),"",IF(L2535="Sim",ROUND(F2535-D2535,2),0)),0)</f>
        <v/>
      </c>
      <c r="I2535" s="350">
        <f>IF(G2535="Sim",0,IF(OR(F2535="",L2535=""),"",F2535))</f>
        <v/>
      </c>
      <c r="J2535" s="350">
        <f>IF(G2535="Sim",0,IF(OR(F2535="",D2535="",L2535=""),"",IF(L2535="Sim",ROUND(F2535-D2535,2),0)))</f>
        <v/>
      </c>
      <c r="K2535" s="97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inlineStr">
        <is>
          <t>Nao</t>
        </is>
      </c>
      <c r="W2535" s="110" t="inlineStr">
        <is>
          <t>PC em analise</t>
        </is>
      </c>
      <c r="X2535" s="110" t="inlineStr">
        <is>
          <t>Pedido de Compra</t>
        </is>
      </c>
      <c r="Y2535" s="111" t="inlineStr">
        <is>
          <t>Impacto Potencial</t>
        </is>
      </c>
      <c r="Z2535" s="111" t="inlineStr">
        <is>
          <t>PC</t>
        </is>
      </c>
      <c r="AA2535" s="111" t="inlineStr">
        <is>
          <t>Nao</t>
        </is>
      </c>
      <c r="AB2535" s="111" t="inlineStr">
        <is>
          <t>NAO_COMPUTADO</t>
        </is>
      </c>
      <c r="AC2535" s="112" t="inlineStr">
        <is>
          <t>Estrutura Fase 1: sem impacto no VTA oficial</t>
        </is>
      </c>
    </row>
    <row r="2536" ht="25.5" customHeight="1" s="289">
      <c r="A2536" s="205" t="n"/>
      <c r="B2536" s="207" t="n"/>
      <c r="C2536" s="104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348" t="n"/>
      <c r="E2536" s="349">
        <f>IF(C2536="","",IFERROR(VLOOKUP(C2536,parametros!$A$11:$E$15,5,0),""))</f>
        <v/>
      </c>
      <c r="F2536" s="335">
        <f>IF(OR(D2536="",E2536=""),"",ROUND(D2536*E2536,2))</f>
        <v/>
      </c>
      <c r="G2536" s="106" t="n"/>
      <c r="H2536" s="350">
        <f>IF(G2536="Sim",IF(OR(F2536="",D2536="",L2536=""),"",IF(L2536="Sim",ROUND(F2536-D2536,2),0)),0)</f>
        <v/>
      </c>
      <c r="I2536" s="350">
        <f>IF(G2536="Sim",0,IF(OR(F2536="",L2536=""),"",F2536))</f>
        <v/>
      </c>
      <c r="J2536" s="350">
        <f>IF(G2536="Sim",0,IF(OR(F2536="",D2536="",L2536=""),"",IF(L2536="Sim",ROUND(F2536-D2536,2),0)))</f>
        <v/>
      </c>
      <c r="K2536" s="97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inlineStr">
        <is>
          <t>Nao</t>
        </is>
      </c>
      <c r="W2536" s="110" t="inlineStr">
        <is>
          <t>PC em analise</t>
        </is>
      </c>
      <c r="X2536" s="110" t="inlineStr">
        <is>
          <t>Pedido de Compra</t>
        </is>
      </c>
      <c r="Y2536" s="111" t="inlineStr">
        <is>
          <t>Impacto Potencial</t>
        </is>
      </c>
      <c r="Z2536" s="111" t="inlineStr">
        <is>
          <t>PC</t>
        </is>
      </c>
      <c r="AA2536" s="111" t="inlineStr">
        <is>
          <t>Nao</t>
        </is>
      </c>
      <c r="AB2536" s="111" t="inlineStr">
        <is>
          <t>NAO_COMPUTADO</t>
        </is>
      </c>
      <c r="AC2536" s="112" t="inlineStr">
        <is>
          <t>Estrutura Fase 1: sem impacto no VTA oficial</t>
        </is>
      </c>
    </row>
    <row r="2537" ht="25.5" customHeight="1" s="289">
      <c r="A2537" s="205" t="n"/>
      <c r="B2537" s="207" t="n"/>
      <c r="C2537" s="104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348" t="n"/>
      <c r="E2537" s="349">
        <f>IF(C2537="","",IFERROR(VLOOKUP(C2537,parametros!$A$11:$E$15,5,0),""))</f>
        <v/>
      </c>
      <c r="F2537" s="335">
        <f>IF(OR(D2537="",E2537=""),"",ROUND(D2537*E2537,2))</f>
        <v/>
      </c>
      <c r="G2537" s="106" t="n"/>
      <c r="H2537" s="350">
        <f>IF(G2537="Sim",IF(OR(F2537="",D2537="",L2537=""),"",IF(L2537="Sim",ROUND(F2537-D2537,2),0)),0)</f>
        <v/>
      </c>
      <c r="I2537" s="350">
        <f>IF(G2537="Sim",0,IF(OR(F2537="",L2537=""),"",F2537))</f>
        <v/>
      </c>
      <c r="J2537" s="350">
        <f>IF(G2537="Sim",0,IF(OR(F2537="",D2537="",L2537=""),"",IF(L2537="Sim",ROUND(F2537-D2537,2),0)))</f>
        <v/>
      </c>
      <c r="K2537" s="97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inlineStr">
        <is>
          <t>Nao</t>
        </is>
      </c>
      <c r="W2537" s="110" t="inlineStr">
        <is>
          <t>PC em analise</t>
        </is>
      </c>
      <c r="X2537" s="110" t="inlineStr">
        <is>
          <t>Pedido de Compra</t>
        </is>
      </c>
      <c r="Y2537" s="111" t="inlineStr">
        <is>
          <t>Impacto Potencial</t>
        </is>
      </c>
      <c r="Z2537" s="111" t="inlineStr">
        <is>
          <t>PC</t>
        </is>
      </c>
      <c r="AA2537" s="111" t="inlineStr">
        <is>
          <t>Nao</t>
        </is>
      </c>
      <c r="AB2537" s="111" t="inlineStr">
        <is>
          <t>NAO_COMPUTADO</t>
        </is>
      </c>
      <c r="AC2537" s="112" t="inlineStr">
        <is>
          <t>Estrutura Fase 1: sem impacto no VTA oficial</t>
        </is>
      </c>
    </row>
    <row r="2538" ht="25.5" customHeight="1" s="289">
      <c r="A2538" s="205" t="n"/>
      <c r="B2538" s="207" t="n"/>
      <c r="C2538" s="104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348" t="n"/>
      <c r="E2538" s="349">
        <f>IF(C2538="","",IFERROR(VLOOKUP(C2538,parametros!$A$11:$E$15,5,0),""))</f>
        <v/>
      </c>
      <c r="F2538" s="335">
        <f>IF(OR(D2538="",E2538=""),"",ROUND(D2538*E2538,2))</f>
        <v/>
      </c>
      <c r="G2538" s="106" t="n"/>
      <c r="H2538" s="350">
        <f>IF(G2538="Sim",IF(OR(F2538="",D2538="",L2538=""),"",IF(L2538="Sim",ROUND(F2538-D2538,2),0)),0)</f>
        <v/>
      </c>
      <c r="I2538" s="350">
        <f>IF(G2538="Sim",0,IF(OR(F2538="",L2538=""),"",F2538))</f>
        <v/>
      </c>
      <c r="J2538" s="350">
        <f>IF(G2538="Sim",0,IF(OR(F2538="",D2538="",L2538=""),"",IF(L2538="Sim",ROUND(F2538-D2538,2),0)))</f>
        <v/>
      </c>
      <c r="K2538" s="97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inlineStr">
        <is>
          <t>Nao</t>
        </is>
      </c>
      <c r="W2538" s="110" t="inlineStr">
        <is>
          <t>PC em analise</t>
        </is>
      </c>
      <c r="X2538" s="110" t="inlineStr">
        <is>
          <t>Pedido de Compra</t>
        </is>
      </c>
      <c r="Y2538" s="111" t="inlineStr">
        <is>
          <t>Impacto Potencial</t>
        </is>
      </c>
      <c r="Z2538" s="111" t="inlineStr">
        <is>
          <t>PC</t>
        </is>
      </c>
      <c r="AA2538" s="111" t="inlineStr">
        <is>
          <t>Nao</t>
        </is>
      </c>
      <c r="AB2538" s="111" t="inlineStr">
        <is>
          <t>NAO_COMPUTADO</t>
        </is>
      </c>
      <c r="AC2538" s="112" t="inlineStr">
        <is>
          <t>Estrutura Fase 1: sem impacto no VTA oficial</t>
        </is>
      </c>
    </row>
    <row r="2539" ht="25.5" customHeight="1" s="289">
      <c r="A2539" s="205" t="n"/>
      <c r="B2539" s="207" t="n"/>
      <c r="C2539" s="104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348" t="n"/>
      <c r="E2539" s="349">
        <f>IF(C2539="","",IFERROR(VLOOKUP(C2539,parametros!$A$11:$E$15,5,0),""))</f>
        <v/>
      </c>
      <c r="F2539" s="335">
        <f>IF(OR(D2539="",E2539=""),"",ROUND(D2539*E2539,2))</f>
        <v/>
      </c>
      <c r="G2539" s="106" t="n"/>
      <c r="H2539" s="350">
        <f>IF(G2539="Sim",IF(OR(F2539="",D2539="",L2539=""),"",IF(L2539="Sim",ROUND(F2539-D2539,2),0)),0)</f>
        <v/>
      </c>
      <c r="I2539" s="350">
        <f>IF(G2539="Sim",0,IF(OR(F2539="",L2539=""),"",F2539))</f>
        <v/>
      </c>
      <c r="J2539" s="350">
        <f>IF(G2539="Sim",0,IF(OR(F2539="",D2539="",L2539=""),"",IF(L2539="Sim",ROUND(F2539-D2539,2),0)))</f>
        <v/>
      </c>
      <c r="K2539" s="97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inlineStr">
        <is>
          <t>Nao</t>
        </is>
      </c>
      <c r="W2539" s="110" t="inlineStr">
        <is>
          <t>PC em analise</t>
        </is>
      </c>
      <c r="X2539" s="110" t="inlineStr">
        <is>
          <t>Pedido de Compra</t>
        </is>
      </c>
      <c r="Y2539" s="111" t="inlineStr">
        <is>
          <t>Impacto Potencial</t>
        </is>
      </c>
      <c r="Z2539" s="111" t="inlineStr">
        <is>
          <t>PC</t>
        </is>
      </c>
      <c r="AA2539" s="111" t="inlineStr">
        <is>
          <t>Nao</t>
        </is>
      </c>
      <c r="AB2539" s="111" t="inlineStr">
        <is>
          <t>NAO_COMPUTADO</t>
        </is>
      </c>
      <c r="AC2539" s="112" t="inlineStr">
        <is>
          <t>Estrutura Fase 1: sem impacto no VTA oficial</t>
        </is>
      </c>
    </row>
    <row r="2540" ht="25.5" customHeight="1" s="289">
      <c r="A2540" s="205" t="n"/>
      <c r="B2540" s="207" t="n"/>
      <c r="C2540" s="104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348" t="n"/>
      <c r="E2540" s="349">
        <f>IF(C2540="","",IFERROR(VLOOKUP(C2540,parametros!$A$11:$E$15,5,0),""))</f>
        <v/>
      </c>
      <c r="F2540" s="335">
        <f>IF(OR(D2540="",E2540=""),"",ROUND(D2540*E2540,2))</f>
        <v/>
      </c>
      <c r="G2540" s="106" t="n"/>
      <c r="H2540" s="350">
        <f>IF(G2540="Sim",IF(OR(F2540="",D2540="",L2540=""),"",IF(L2540="Sim",ROUND(F2540-D2540,2),0)),0)</f>
        <v/>
      </c>
      <c r="I2540" s="350">
        <f>IF(G2540="Sim",0,IF(OR(F2540="",L2540=""),"",F2540))</f>
        <v/>
      </c>
      <c r="J2540" s="350">
        <f>IF(G2540="Sim",0,IF(OR(F2540="",D2540="",L2540=""),"",IF(L2540="Sim",ROUND(F2540-D2540,2),0)))</f>
        <v/>
      </c>
      <c r="K2540" s="97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inlineStr">
        <is>
          <t>Nao</t>
        </is>
      </c>
      <c r="W2540" s="110" t="inlineStr">
        <is>
          <t>PC em analise</t>
        </is>
      </c>
      <c r="X2540" s="110" t="inlineStr">
        <is>
          <t>Pedido de Compra</t>
        </is>
      </c>
      <c r="Y2540" s="111" t="inlineStr">
        <is>
          <t>Impacto Potencial</t>
        </is>
      </c>
      <c r="Z2540" s="111" t="inlineStr">
        <is>
          <t>PC</t>
        </is>
      </c>
      <c r="AA2540" s="111" t="inlineStr">
        <is>
          <t>Nao</t>
        </is>
      </c>
      <c r="AB2540" s="111" t="inlineStr">
        <is>
          <t>NAO_COMPUTADO</t>
        </is>
      </c>
      <c r="AC2540" s="112" t="inlineStr">
        <is>
          <t>Estrutura Fase 1: sem impacto no VTA oficial</t>
        </is>
      </c>
    </row>
    <row r="2541" ht="25.5" customHeight="1" s="289">
      <c r="A2541" s="205" t="n"/>
      <c r="B2541" s="207" t="n"/>
      <c r="C2541" s="104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348" t="n"/>
      <c r="E2541" s="349">
        <f>IF(C2541="","",IFERROR(VLOOKUP(C2541,parametros!$A$11:$E$15,5,0),""))</f>
        <v/>
      </c>
      <c r="F2541" s="335">
        <f>IF(OR(D2541="",E2541=""),"",ROUND(D2541*E2541,2))</f>
        <v/>
      </c>
      <c r="G2541" s="106" t="n"/>
      <c r="H2541" s="350">
        <f>IF(G2541="Sim",IF(OR(F2541="",D2541="",L2541=""),"",IF(L2541="Sim",ROUND(F2541-D2541,2),0)),0)</f>
        <v/>
      </c>
      <c r="I2541" s="350">
        <f>IF(G2541="Sim",0,IF(OR(F2541="",L2541=""),"",F2541))</f>
        <v/>
      </c>
      <c r="J2541" s="350">
        <f>IF(G2541="Sim",0,IF(OR(F2541="",D2541="",L2541=""),"",IF(L2541="Sim",ROUND(F2541-D2541,2),0)))</f>
        <v/>
      </c>
      <c r="K2541" s="97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inlineStr">
        <is>
          <t>Nao</t>
        </is>
      </c>
      <c r="W2541" s="110" t="inlineStr">
        <is>
          <t>PC em analise</t>
        </is>
      </c>
      <c r="X2541" s="110" t="inlineStr">
        <is>
          <t>Pedido de Compra</t>
        </is>
      </c>
      <c r="Y2541" s="111" t="inlineStr">
        <is>
          <t>Impacto Potencial</t>
        </is>
      </c>
      <c r="Z2541" s="111" t="inlineStr">
        <is>
          <t>PC</t>
        </is>
      </c>
      <c r="AA2541" s="111" t="inlineStr">
        <is>
          <t>Nao</t>
        </is>
      </c>
      <c r="AB2541" s="111" t="inlineStr">
        <is>
          <t>NAO_COMPUTADO</t>
        </is>
      </c>
      <c r="AC2541" s="112" t="inlineStr">
        <is>
          <t>Estrutura Fase 1: sem impacto no VTA oficial</t>
        </is>
      </c>
    </row>
    <row r="2542" ht="25.5" customHeight="1" s="289">
      <c r="A2542" s="205" t="n"/>
      <c r="B2542" s="207" t="n"/>
      <c r="C2542" s="104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348" t="n"/>
      <c r="E2542" s="349">
        <f>IF(C2542="","",IFERROR(VLOOKUP(C2542,parametros!$A$11:$E$15,5,0),""))</f>
        <v/>
      </c>
      <c r="F2542" s="335">
        <f>IF(OR(D2542="",E2542=""),"",ROUND(D2542*E2542,2))</f>
        <v/>
      </c>
      <c r="G2542" s="106" t="n"/>
      <c r="H2542" s="350">
        <f>IF(G2542="Sim",IF(OR(F2542="",D2542="",L2542=""),"",IF(L2542="Sim",ROUND(F2542-D2542,2),0)),0)</f>
        <v/>
      </c>
      <c r="I2542" s="350">
        <f>IF(G2542="Sim",0,IF(OR(F2542="",L2542=""),"",F2542))</f>
        <v/>
      </c>
      <c r="J2542" s="350">
        <f>IF(G2542="Sim",0,IF(OR(F2542="",D2542="",L2542=""),"",IF(L2542="Sim",ROUND(F2542-D2542,2),0)))</f>
        <v/>
      </c>
      <c r="K2542" s="97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inlineStr">
        <is>
          <t>Nao</t>
        </is>
      </c>
      <c r="W2542" s="110" t="inlineStr">
        <is>
          <t>PC em analise</t>
        </is>
      </c>
      <c r="X2542" s="110" t="inlineStr">
        <is>
          <t>Pedido de Compra</t>
        </is>
      </c>
      <c r="Y2542" s="111" t="inlineStr">
        <is>
          <t>Impacto Potencial</t>
        </is>
      </c>
      <c r="Z2542" s="111" t="inlineStr">
        <is>
          <t>PC</t>
        </is>
      </c>
      <c r="AA2542" s="111" t="inlineStr">
        <is>
          <t>Nao</t>
        </is>
      </c>
      <c r="AB2542" s="111" t="inlineStr">
        <is>
          <t>NAO_COMPUTADO</t>
        </is>
      </c>
      <c r="AC2542" s="112" t="inlineStr">
        <is>
          <t>Estrutura Fase 1: sem impacto no VTA oficial</t>
        </is>
      </c>
    </row>
    <row r="2543" ht="25.5" customHeight="1" s="289">
      <c r="A2543" s="205" t="n"/>
      <c r="B2543" s="207" t="n"/>
      <c r="C2543" s="104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348" t="n"/>
      <c r="E2543" s="349">
        <f>IF(C2543="","",IFERROR(VLOOKUP(C2543,parametros!$A$11:$E$15,5,0),""))</f>
        <v/>
      </c>
      <c r="F2543" s="335">
        <f>IF(OR(D2543="",E2543=""),"",ROUND(D2543*E2543,2))</f>
        <v/>
      </c>
      <c r="G2543" s="106" t="n"/>
      <c r="H2543" s="350">
        <f>IF(G2543="Sim",IF(OR(F2543="",D2543="",L2543=""),"",IF(L2543="Sim",ROUND(F2543-D2543,2),0)),0)</f>
        <v/>
      </c>
      <c r="I2543" s="350">
        <f>IF(G2543="Sim",0,IF(OR(F2543="",L2543=""),"",F2543))</f>
        <v/>
      </c>
      <c r="J2543" s="350">
        <f>IF(G2543="Sim",0,IF(OR(F2543="",D2543="",L2543=""),"",IF(L2543="Sim",ROUND(F2543-D2543,2),0)))</f>
        <v/>
      </c>
      <c r="K2543" s="97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inlineStr">
        <is>
          <t>Nao</t>
        </is>
      </c>
      <c r="W2543" s="110" t="inlineStr">
        <is>
          <t>PC em analise</t>
        </is>
      </c>
      <c r="X2543" s="110" t="inlineStr">
        <is>
          <t>Pedido de Compra</t>
        </is>
      </c>
      <c r="Y2543" s="111" t="inlineStr">
        <is>
          <t>Impacto Potencial</t>
        </is>
      </c>
      <c r="Z2543" s="111" t="inlineStr">
        <is>
          <t>PC</t>
        </is>
      </c>
      <c r="AA2543" s="111" t="inlineStr">
        <is>
          <t>Nao</t>
        </is>
      </c>
      <c r="AB2543" s="111" t="inlineStr">
        <is>
          <t>NAO_COMPUTADO</t>
        </is>
      </c>
      <c r="AC2543" s="112" t="inlineStr">
        <is>
          <t>Estrutura Fase 1: sem impacto no VTA oficial</t>
        </is>
      </c>
    </row>
    <row r="2544" ht="25.5" customHeight="1" s="289">
      <c r="A2544" s="205" t="n"/>
      <c r="B2544" s="207" t="n"/>
      <c r="C2544" s="104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348" t="n"/>
      <c r="E2544" s="349">
        <f>IF(C2544="","",IFERROR(VLOOKUP(C2544,parametros!$A$11:$E$15,5,0),""))</f>
        <v/>
      </c>
      <c r="F2544" s="335">
        <f>IF(OR(D2544="",E2544=""),"",ROUND(D2544*E2544,2))</f>
        <v/>
      </c>
      <c r="G2544" s="106" t="n"/>
      <c r="H2544" s="350">
        <f>IF(G2544="Sim",IF(OR(F2544="",D2544="",L2544=""),"",IF(L2544="Sim",ROUND(F2544-D2544,2),0)),0)</f>
        <v/>
      </c>
      <c r="I2544" s="350">
        <f>IF(G2544="Sim",0,IF(OR(F2544="",L2544=""),"",F2544))</f>
        <v/>
      </c>
      <c r="J2544" s="350">
        <f>IF(G2544="Sim",0,IF(OR(F2544="",D2544="",L2544=""),"",IF(L2544="Sim",ROUND(F2544-D2544,2),0)))</f>
        <v/>
      </c>
      <c r="K2544" s="97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inlineStr">
        <is>
          <t>Nao</t>
        </is>
      </c>
      <c r="W2544" s="110" t="inlineStr">
        <is>
          <t>PC em analise</t>
        </is>
      </c>
      <c r="X2544" s="110" t="inlineStr">
        <is>
          <t>Pedido de Compra</t>
        </is>
      </c>
      <c r="Y2544" s="111" t="inlineStr">
        <is>
          <t>Impacto Potencial</t>
        </is>
      </c>
      <c r="Z2544" s="111" t="inlineStr">
        <is>
          <t>PC</t>
        </is>
      </c>
      <c r="AA2544" s="111" t="inlineStr">
        <is>
          <t>Nao</t>
        </is>
      </c>
      <c r="AB2544" s="111" t="inlineStr">
        <is>
          <t>NAO_COMPUTADO</t>
        </is>
      </c>
      <c r="AC2544" s="112" t="inlineStr">
        <is>
          <t>Estrutura Fase 1: sem impacto no VTA oficial</t>
        </is>
      </c>
    </row>
    <row r="2545" ht="25.5" customHeight="1" s="289">
      <c r="A2545" s="205" t="n"/>
      <c r="B2545" s="207" t="n"/>
      <c r="C2545" s="104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348" t="n"/>
      <c r="E2545" s="349">
        <f>IF(C2545="","",IFERROR(VLOOKUP(C2545,parametros!$A$11:$E$15,5,0),""))</f>
        <v/>
      </c>
      <c r="F2545" s="335">
        <f>IF(OR(D2545="",E2545=""),"",ROUND(D2545*E2545,2))</f>
        <v/>
      </c>
      <c r="G2545" s="106" t="n"/>
      <c r="H2545" s="350">
        <f>IF(G2545="Sim",IF(OR(F2545="",D2545="",L2545=""),"",IF(L2545="Sim",ROUND(F2545-D2545,2),0)),0)</f>
        <v/>
      </c>
      <c r="I2545" s="350">
        <f>IF(G2545="Sim",0,IF(OR(F2545="",L2545=""),"",F2545))</f>
        <v/>
      </c>
      <c r="J2545" s="350">
        <f>IF(G2545="Sim",0,IF(OR(F2545="",D2545="",L2545=""),"",IF(L2545="Sim",ROUND(F2545-D2545,2),0)))</f>
        <v/>
      </c>
      <c r="K2545" s="97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inlineStr">
        <is>
          <t>Nao</t>
        </is>
      </c>
      <c r="W2545" s="110" t="inlineStr">
        <is>
          <t>PC em analise</t>
        </is>
      </c>
      <c r="X2545" s="110" t="inlineStr">
        <is>
          <t>Pedido de Compra</t>
        </is>
      </c>
      <c r="Y2545" s="111" t="inlineStr">
        <is>
          <t>Impacto Potencial</t>
        </is>
      </c>
      <c r="Z2545" s="111" t="inlineStr">
        <is>
          <t>PC</t>
        </is>
      </c>
      <c r="AA2545" s="111" t="inlineStr">
        <is>
          <t>Nao</t>
        </is>
      </c>
      <c r="AB2545" s="111" t="inlineStr">
        <is>
          <t>NAO_COMPUTADO</t>
        </is>
      </c>
      <c r="AC2545" s="112" t="inlineStr">
        <is>
          <t>Estrutura Fase 1: sem impacto no VTA oficial</t>
        </is>
      </c>
    </row>
    <row r="2546" ht="25.5" customHeight="1" s="289">
      <c r="A2546" s="205" t="n"/>
      <c r="B2546" s="207" t="n"/>
      <c r="C2546" s="104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348" t="n"/>
      <c r="E2546" s="349">
        <f>IF(C2546="","",IFERROR(VLOOKUP(C2546,parametros!$A$11:$E$15,5,0),""))</f>
        <v/>
      </c>
      <c r="F2546" s="335">
        <f>IF(OR(D2546="",E2546=""),"",ROUND(D2546*E2546,2))</f>
        <v/>
      </c>
      <c r="G2546" s="106" t="n"/>
      <c r="H2546" s="350">
        <f>IF(G2546="Sim",IF(OR(F2546="",D2546="",L2546=""),"",IF(L2546="Sim",ROUND(F2546-D2546,2),0)),0)</f>
        <v/>
      </c>
      <c r="I2546" s="350">
        <f>IF(G2546="Sim",0,IF(OR(F2546="",L2546=""),"",F2546))</f>
        <v/>
      </c>
      <c r="J2546" s="350">
        <f>IF(G2546="Sim",0,IF(OR(F2546="",D2546="",L2546=""),"",IF(L2546="Sim",ROUND(F2546-D2546,2),0)))</f>
        <v/>
      </c>
      <c r="K2546" s="97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inlineStr">
        <is>
          <t>Nao</t>
        </is>
      </c>
      <c r="W2546" s="110" t="inlineStr">
        <is>
          <t>PC em analise</t>
        </is>
      </c>
      <c r="X2546" s="110" t="inlineStr">
        <is>
          <t>Pedido de Compra</t>
        </is>
      </c>
      <c r="Y2546" s="111" t="inlineStr">
        <is>
          <t>Impacto Potencial</t>
        </is>
      </c>
      <c r="Z2546" s="111" t="inlineStr">
        <is>
          <t>PC</t>
        </is>
      </c>
      <c r="AA2546" s="111" t="inlineStr">
        <is>
          <t>Nao</t>
        </is>
      </c>
      <c r="AB2546" s="111" t="inlineStr">
        <is>
          <t>NAO_COMPUTADO</t>
        </is>
      </c>
      <c r="AC2546" s="112" t="inlineStr">
        <is>
          <t>Estrutura Fase 1: sem impacto no VTA oficial</t>
        </is>
      </c>
    </row>
    <row r="2547" ht="25.5" customHeight="1" s="289">
      <c r="A2547" s="205" t="n"/>
      <c r="B2547" s="207" t="n"/>
      <c r="C2547" s="104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348" t="n"/>
      <c r="E2547" s="349">
        <f>IF(C2547="","",IFERROR(VLOOKUP(C2547,parametros!$A$11:$E$15,5,0),""))</f>
        <v/>
      </c>
      <c r="F2547" s="335">
        <f>IF(OR(D2547="",E2547=""),"",ROUND(D2547*E2547,2))</f>
        <v/>
      </c>
      <c r="G2547" s="106" t="n"/>
      <c r="H2547" s="350">
        <f>IF(G2547="Sim",IF(OR(F2547="",D2547="",L2547=""),"",IF(L2547="Sim",ROUND(F2547-D2547,2),0)),0)</f>
        <v/>
      </c>
      <c r="I2547" s="350">
        <f>IF(G2547="Sim",0,IF(OR(F2547="",L2547=""),"",F2547))</f>
        <v/>
      </c>
      <c r="J2547" s="350">
        <f>IF(G2547="Sim",0,IF(OR(F2547="",D2547="",L2547=""),"",IF(L2547="Sim",ROUND(F2547-D2547,2),0)))</f>
        <v/>
      </c>
      <c r="K2547" s="97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inlineStr">
        <is>
          <t>Nao</t>
        </is>
      </c>
      <c r="W2547" s="110" t="inlineStr">
        <is>
          <t>PC em analise</t>
        </is>
      </c>
      <c r="X2547" s="110" t="inlineStr">
        <is>
          <t>Pedido de Compra</t>
        </is>
      </c>
      <c r="Y2547" s="111" t="inlineStr">
        <is>
          <t>Impacto Potencial</t>
        </is>
      </c>
      <c r="Z2547" s="111" t="inlineStr">
        <is>
          <t>PC</t>
        </is>
      </c>
      <c r="AA2547" s="111" t="inlineStr">
        <is>
          <t>Nao</t>
        </is>
      </c>
      <c r="AB2547" s="111" t="inlineStr">
        <is>
          <t>NAO_COMPUTADO</t>
        </is>
      </c>
      <c r="AC2547" s="112" t="inlineStr">
        <is>
          <t>Estrutura Fase 1: sem impacto no VTA oficial</t>
        </is>
      </c>
    </row>
    <row r="2548" ht="25.5" customHeight="1" s="289">
      <c r="A2548" s="205" t="n"/>
      <c r="B2548" s="207" t="n"/>
      <c r="C2548" s="104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348" t="n"/>
      <c r="E2548" s="349">
        <f>IF(C2548="","",IFERROR(VLOOKUP(C2548,parametros!$A$11:$E$15,5,0),""))</f>
        <v/>
      </c>
      <c r="F2548" s="335">
        <f>IF(OR(D2548="",E2548=""),"",ROUND(D2548*E2548,2))</f>
        <v/>
      </c>
      <c r="G2548" s="106" t="n"/>
      <c r="H2548" s="350">
        <f>IF(G2548="Sim",IF(OR(F2548="",D2548="",L2548=""),"",IF(L2548="Sim",ROUND(F2548-D2548,2),0)),0)</f>
        <v/>
      </c>
      <c r="I2548" s="350">
        <f>IF(G2548="Sim",0,IF(OR(F2548="",L2548=""),"",F2548))</f>
        <v/>
      </c>
      <c r="J2548" s="350">
        <f>IF(G2548="Sim",0,IF(OR(F2548="",D2548="",L2548=""),"",IF(L2548="Sim",ROUND(F2548-D2548,2),0)))</f>
        <v/>
      </c>
      <c r="K2548" s="97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inlineStr">
        <is>
          <t>Nao</t>
        </is>
      </c>
      <c r="W2548" s="110" t="inlineStr">
        <is>
          <t>PC em analise</t>
        </is>
      </c>
      <c r="X2548" s="110" t="inlineStr">
        <is>
          <t>Pedido de Compra</t>
        </is>
      </c>
      <c r="Y2548" s="111" t="inlineStr">
        <is>
          <t>Impacto Potencial</t>
        </is>
      </c>
      <c r="Z2548" s="111" t="inlineStr">
        <is>
          <t>PC</t>
        </is>
      </c>
      <c r="AA2548" s="111" t="inlineStr">
        <is>
          <t>Nao</t>
        </is>
      </c>
      <c r="AB2548" s="111" t="inlineStr">
        <is>
          <t>NAO_COMPUTADO</t>
        </is>
      </c>
      <c r="AC2548" s="112" t="inlineStr">
        <is>
          <t>Estrutura Fase 1: sem impacto no VTA oficial</t>
        </is>
      </c>
    </row>
    <row r="2549" ht="25.5" customHeight="1" s="289">
      <c r="A2549" s="205" t="n"/>
      <c r="B2549" s="207" t="n"/>
      <c r="C2549" s="104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348" t="n"/>
      <c r="E2549" s="349">
        <f>IF(C2549="","",IFERROR(VLOOKUP(C2549,parametros!$A$11:$E$15,5,0),""))</f>
        <v/>
      </c>
      <c r="F2549" s="335">
        <f>IF(OR(D2549="",E2549=""),"",ROUND(D2549*E2549,2))</f>
        <v/>
      </c>
      <c r="G2549" s="106" t="n"/>
      <c r="H2549" s="350">
        <f>IF(G2549="Sim",IF(OR(F2549="",D2549="",L2549=""),"",IF(L2549="Sim",ROUND(F2549-D2549,2),0)),0)</f>
        <v/>
      </c>
      <c r="I2549" s="350">
        <f>IF(G2549="Sim",0,IF(OR(F2549="",L2549=""),"",F2549))</f>
        <v/>
      </c>
      <c r="J2549" s="350">
        <f>IF(G2549="Sim",0,IF(OR(F2549="",D2549="",L2549=""),"",IF(L2549="Sim",ROUND(F2549-D2549,2),0)))</f>
        <v/>
      </c>
      <c r="K2549" s="97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inlineStr">
        <is>
          <t>Nao</t>
        </is>
      </c>
      <c r="W2549" s="110" t="inlineStr">
        <is>
          <t>PC em analise</t>
        </is>
      </c>
      <c r="X2549" s="110" t="inlineStr">
        <is>
          <t>Pedido de Compra</t>
        </is>
      </c>
      <c r="Y2549" s="111" t="inlineStr">
        <is>
          <t>Impacto Potencial</t>
        </is>
      </c>
      <c r="Z2549" s="111" t="inlineStr">
        <is>
          <t>PC</t>
        </is>
      </c>
      <c r="AA2549" s="111" t="inlineStr">
        <is>
          <t>Nao</t>
        </is>
      </c>
      <c r="AB2549" s="111" t="inlineStr">
        <is>
          <t>NAO_COMPUTADO</t>
        </is>
      </c>
      <c r="AC2549" s="112" t="inlineStr">
        <is>
          <t>Estrutura Fase 1: sem impacto no VTA oficial</t>
        </is>
      </c>
    </row>
    <row r="2550" ht="25.5" customHeight="1" s="289">
      <c r="A2550" s="205" t="n"/>
      <c r="B2550" s="207" t="n"/>
      <c r="C2550" s="104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348" t="n"/>
      <c r="E2550" s="349">
        <f>IF(C2550="","",IFERROR(VLOOKUP(C2550,parametros!$A$11:$E$15,5,0),""))</f>
        <v/>
      </c>
      <c r="F2550" s="335">
        <f>IF(OR(D2550="",E2550=""),"",ROUND(D2550*E2550,2))</f>
        <v/>
      </c>
      <c r="G2550" s="106" t="n"/>
      <c r="H2550" s="350">
        <f>IF(G2550="Sim",IF(OR(F2550="",D2550="",L2550=""),"",IF(L2550="Sim",ROUND(F2550-D2550,2),0)),0)</f>
        <v/>
      </c>
      <c r="I2550" s="350">
        <f>IF(G2550="Sim",0,IF(OR(F2550="",L2550=""),"",F2550))</f>
        <v/>
      </c>
      <c r="J2550" s="350">
        <f>IF(G2550="Sim",0,IF(OR(F2550="",D2550="",L2550=""),"",IF(L2550="Sim",ROUND(F2550-D2550,2),0)))</f>
        <v/>
      </c>
      <c r="K2550" s="97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inlineStr">
        <is>
          <t>Nao</t>
        </is>
      </c>
      <c r="W2550" s="110" t="inlineStr">
        <is>
          <t>PC em analise</t>
        </is>
      </c>
      <c r="X2550" s="110" t="inlineStr">
        <is>
          <t>Pedido de Compra</t>
        </is>
      </c>
      <c r="Y2550" s="111" t="inlineStr">
        <is>
          <t>Impacto Potencial</t>
        </is>
      </c>
      <c r="Z2550" s="111" t="inlineStr">
        <is>
          <t>PC</t>
        </is>
      </c>
      <c r="AA2550" s="111" t="inlineStr">
        <is>
          <t>Nao</t>
        </is>
      </c>
      <c r="AB2550" s="111" t="inlineStr">
        <is>
          <t>NAO_COMPUTADO</t>
        </is>
      </c>
      <c r="AC2550" s="112" t="inlineStr">
        <is>
          <t>Estrutura Fase 1: sem impacto no VTA oficial</t>
        </is>
      </c>
    </row>
    <row r="2551" ht="25.5" customHeight="1" s="289">
      <c r="A2551" s="205" t="n"/>
      <c r="B2551" s="207" t="n"/>
      <c r="C2551" s="104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348" t="n"/>
      <c r="E2551" s="349">
        <f>IF(C2551="","",IFERROR(VLOOKUP(C2551,parametros!$A$11:$E$15,5,0),""))</f>
        <v/>
      </c>
      <c r="F2551" s="335">
        <f>IF(OR(D2551="",E2551=""),"",ROUND(D2551*E2551,2))</f>
        <v/>
      </c>
      <c r="G2551" s="106" t="n"/>
      <c r="H2551" s="350">
        <f>IF(G2551="Sim",IF(OR(F2551="",D2551="",L2551=""),"",IF(L2551="Sim",ROUND(F2551-D2551,2),0)),0)</f>
        <v/>
      </c>
      <c r="I2551" s="350">
        <f>IF(G2551="Sim",0,IF(OR(F2551="",L2551=""),"",F2551))</f>
        <v/>
      </c>
      <c r="J2551" s="350">
        <f>IF(G2551="Sim",0,IF(OR(F2551="",D2551="",L2551=""),"",IF(L2551="Sim",ROUND(F2551-D2551,2),0)))</f>
        <v/>
      </c>
      <c r="K2551" s="97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inlineStr">
        <is>
          <t>Nao</t>
        </is>
      </c>
      <c r="W2551" s="110" t="inlineStr">
        <is>
          <t>PC em analise</t>
        </is>
      </c>
      <c r="X2551" s="110" t="inlineStr">
        <is>
          <t>Pedido de Compra</t>
        </is>
      </c>
      <c r="Y2551" s="111" t="inlineStr">
        <is>
          <t>Impacto Potencial</t>
        </is>
      </c>
      <c r="Z2551" s="111" t="inlineStr">
        <is>
          <t>PC</t>
        </is>
      </c>
      <c r="AA2551" s="111" t="inlineStr">
        <is>
          <t>Nao</t>
        </is>
      </c>
      <c r="AB2551" s="111" t="inlineStr">
        <is>
          <t>NAO_COMPUTADO</t>
        </is>
      </c>
      <c r="AC2551" s="112" t="inlineStr">
        <is>
          <t>Estrutura Fase 1: sem impacto no VTA oficial</t>
        </is>
      </c>
    </row>
    <row r="2552" ht="25.5" customHeight="1" s="289">
      <c r="A2552" s="205" t="n"/>
      <c r="B2552" s="207" t="n"/>
      <c r="C2552" s="104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348" t="n"/>
      <c r="E2552" s="349">
        <f>IF(C2552="","",IFERROR(VLOOKUP(C2552,parametros!$A$11:$E$15,5,0),""))</f>
        <v/>
      </c>
      <c r="F2552" s="335">
        <f>IF(OR(D2552="",E2552=""),"",ROUND(D2552*E2552,2))</f>
        <v/>
      </c>
      <c r="G2552" s="106" t="n"/>
      <c r="H2552" s="350">
        <f>IF(G2552="Sim",IF(OR(F2552="",D2552="",L2552=""),"",IF(L2552="Sim",ROUND(F2552-D2552,2),0)),0)</f>
        <v/>
      </c>
      <c r="I2552" s="350">
        <f>IF(G2552="Sim",0,IF(OR(F2552="",L2552=""),"",F2552))</f>
        <v/>
      </c>
      <c r="J2552" s="350">
        <f>IF(G2552="Sim",0,IF(OR(F2552="",D2552="",L2552=""),"",IF(L2552="Sim",ROUND(F2552-D2552,2),0)))</f>
        <v/>
      </c>
      <c r="K2552" s="97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inlineStr">
        <is>
          <t>Nao</t>
        </is>
      </c>
      <c r="W2552" s="110" t="inlineStr">
        <is>
          <t>PC em analise</t>
        </is>
      </c>
      <c r="X2552" s="110" t="inlineStr">
        <is>
          <t>Pedido de Compra</t>
        </is>
      </c>
      <c r="Y2552" s="111" t="inlineStr">
        <is>
          <t>Impacto Potencial</t>
        </is>
      </c>
      <c r="Z2552" s="111" t="inlineStr">
        <is>
          <t>PC</t>
        </is>
      </c>
      <c r="AA2552" s="111" t="inlineStr">
        <is>
          <t>Nao</t>
        </is>
      </c>
      <c r="AB2552" s="111" t="inlineStr">
        <is>
          <t>NAO_COMPUTADO</t>
        </is>
      </c>
      <c r="AC2552" s="112" t="inlineStr">
        <is>
          <t>Estrutura Fase 1: sem impacto no VTA oficial</t>
        </is>
      </c>
    </row>
    <row r="2553" ht="25.5" customHeight="1" s="289">
      <c r="A2553" s="205" t="n"/>
      <c r="B2553" s="207" t="n"/>
      <c r="C2553" s="104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348" t="n"/>
      <c r="E2553" s="349">
        <f>IF(C2553="","",IFERROR(VLOOKUP(C2553,parametros!$A$11:$E$15,5,0),""))</f>
        <v/>
      </c>
      <c r="F2553" s="335">
        <f>IF(OR(D2553="",E2553=""),"",ROUND(D2553*E2553,2))</f>
        <v/>
      </c>
      <c r="G2553" s="106" t="n"/>
      <c r="H2553" s="350">
        <f>IF(G2553="Sim",IF(OR(F2553="",D2553="",L2553=""),"",IF(L2553="Sim",ROUND(F2553-D2553,2),0)),0)</f>
        <v/>
      </c>
      <c r="I2553" s="350">
        <f>IF(G2553="Sim",0,IF(OR(F2553="",L2553=""),"",F2553))</f>
        <v/>
      </c>
      <c r="J2553" s="350">
        <f>IF(G2553="Sim",0,IF(OR(F2553="",D2553="",L2553=""),"",IF(L2553="Sim",ROUND(F2553-D2553,2),0)))</f>
        <v/>
      </c>
      <c r="K2553" s="97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inlineStr">
        <is>
          <t>Nao</t>
        </is>
      </c>
      <c r="W2553" s="110" t="inlineStr">
        <is>
          <t>PC em analise</t>
        </is>
      </c>
      <c r="X2553" s="110" t="inlineStr">
        <is>
          <t>Pedido de Compra</t>
        </is>
      </c>
      <c r="Y2553" s="111" t="inlineStr">
        <is>
          <t>Impacto Potencial</t>
        </is>
      </c>
      <c r="Z2553" s="111" t="inlineStr">
        <is>
          <t>PC</t>
        </is>
      </c>
      <c r="AA2553" s="111" t="inlineStr">
        <is>
          <t>Nao</t>
        </is>
      </c>
      <c r="AB2553" s="111" t="inlineStr">
        <is>
          <t>NAO_COMPUTADO</t>
        </is>
      </c>
      <c r="AC2553" s="112" t="inlineStr">
        <is>
          <t>Estrutura Fase 1: sem impacto no VTA oficial</t>
        </is>
      </c>
    </row>
    <row r="2554" ht="25.5" customHeight="1" s="289">
      <c r="A2554" s="205" t="n"/>
      <c r="B2554" s="207" t="n"/>
      <c r="C2554" s="104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348" t="n"/>
      <c r="E2554" s="349">
        <f>IF(C2554="","",IFERROR(VLOOKUP(C2554,parametros!$A$11:$E$15,5,0),""))</f>
        <v/>
      </c>
      <c r="F2554" s="335">
        <f>IF(OR(D2554="",E2554=""),"",ROUND(D2554*E2554,2))</f>
        <v/>
      </c>
      <c r="G2554" s="106" t="n"/>
      <c r="H2554" s="350">
        <f>IF(G2554="Sim",IF(OR(F2554="",D2554="",L2554=""),"",IF(L2554="Sim",ROUND(F2554-D2554,2),0)),0)</f>
        <v/>
      </c>
      <c r="I2554" s="350">
        <f>IF(G2554="Sim",0,IF(OR(F2554="",L2554=""),"",F2554))</f>
        <v/>
      </c>
      <c r="J2554" s="350">
        <f>IF(G2554="Sim",0,IF(OR(F2554="",D2554="",L2554=""),"",IF(L2554="Sim",ROUND(F2554-D2554,2),0)))</f>
        <v/>
      </c>
      <c r="K2554" s="97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inlineStr">
        <is>
          <t>Nao</t>
        </is>
      </c>
      <c r="W2554" s="110" t="inlineStr">
        <is>
          <t>PC em analise</t>
        </is>
      </c>
      <c r="X2554" s="110" t="inlineStr">
        <is>
          <t>Pedido de Compra</t>
        </is>
      </c>
      <c r="Y2554" s="111" t="inlineStr">
        <is>
          <t>Impacto Potencial</t>
        </is>
      </c>
      <c r="Z2554" s="111" t="inlineStr">
        <is>
          <t>PC</t>
        </is>
      </c>
      <c r="AA2554" s="111" t="inlineStr">
        <is>
          <t>Nao</t>
        </is>
      </c>
      <c r="AB2554" s="111" t="inlineStr">
        <is>
          <t>NAO_COMPUTADO</t>
        </is>
      </c>
      <c r="AC2554" s="112" t="inlineStr">
        <is>
          <t>Estrutura Fase 1: sem impacto no VTA oficial</t>
        </is>
      </c>
    </row>
    <row r="2555" ht="25.5" customHeight="1" s="289">
      <c r="A2555" s="205" t="n"/>
      <c r="B2555" s="207" t="n"/>
      <c r="C2555" s="104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348" t="n"/>
      <c r="E2555" s="349">
        <f>IF(C2555="","",IFERROR(VLOOKUP(C2555,parametros!$A$11:$E$15,5,0),""))</f>
        <v/>
      </c>
      <c r="F2555" s="335">
        <f>IF(OR(D2555="",E2555=""),"",ROUND(D2555*E2555,2))</f>
        <v/>
      </c>
      <c r="G2555" s="106" t="n"/>
      <c r="H2555" s="350">
        <f>IF(G2555="Sim",IF(OR(F2555="",D2555="",L2555=""),"",IF(L2555="Sim",ROUND(F2555-D2555,2),0)),0)</f>
        <v/>
      </c>
      <c r="I2555" s="350">
        <f>IF(G2555="Sim",0,IF(OR(F2555="",L2555=""),"",F2555))</f>
        <v/>
      </c>
      <c r="J2555" s="350">
        <f>IF(G2555="Sim",0,IF(OR(F2555="",D2555="",L2555=""),"",IF(L2555="Sim",ROUND(F2555-D2555,2),0)))</f>
        <v/>
      </c>
      <c r="K2555" s="97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inlineStr">
        <is>
          <t>Nao</t>
        </is>
      </c>
      <c r="W2555" s="110" t="inlineStr">
        <is>
          <t>PC em analise</t>
        </is>
      </c>
      <c r="X2555" s="110" t="inlineStr">
        <is>
          <t>Pedido de Compra</t>
        </is>
      </c>
      <c r="Y2555" s="111" t="inlineStr">
        <is>
          <t>Impacto Potencial</t>
        </is>
      </c>
      <c r="Z2555" s="111" t="inlineStr">
        <is>
          <t>PC</t>
        </is>
      </c>
      <c r="AA2555" s="111" t="inlineStr">
        <is>
          <t>Nao</t>
        </is>
      </c>
      <c r="AB2555" s="111" t="inlineStr">
        <is>
          <t>NAO_COMPUTADO</t>
        </is>
      </c>
      <c r="AC2555" s="112" t="inlineStr">
        <is>
          <t>Estrutura Fase 1: sem impacto no VTA oficial</t>
        </is>
      </c>
    </row>
    <row r="2556" ht="25.5" customHeight="1" s="289">
      <c r="A2556" s="205" t="n"/>
      <c r="B2556" s="207" t="n"/>
      <c r="C2556" s="104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348" t="n"/>
      <c r="E2556" s="349">
        <f>IF(C2556="","",IFERROR(VLOOKUP(C2556,parametros!$A$11:$E$15,5,0),""))</f>
        <v/>
      </c>
      <c r="F2556" s="335">
        <f>IF(OR(D2556="",E2556=""),"",ROUND(D2556*E2556,2))</f>
        <v/>
      </c>
      <c r="G2556" s="106" t="n"/>
      <c r="H2556" s="350">
        <f>IF(G2556="Sim",IF(OR(F2556="",D2556="",L2556=""),"",IF(L2556="Sim",ROUND(F2556-D2556,2),0)),0)</f>
        <v/>
      </c>
      <c r="I2556" s="350">
        <f>IF(G2556="Sim",0,IF(OR(F2556="",L2556=""),"",F2556))</f>
        <v/>
      </c>
      <c r="J2556" s="350">
        <f>IF(G2556="Sim",0,IF(OR(F2556="",D2556="",L2556=""),"",IF(L2556="Sim",ROUND(F2556-D2556,2),0)))</f>
        <v/>
      </c>
      <c r="K2556" s="97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inlineStr">
        <is>
          <t>Nao</t>
        </is>
      </c>
      <c r="W2556" s="110" t="inlineStr">
        <is>
          <t>PC em analise</t>
        </is>
      </c>
      <c r="X2556" s="110" t="inlineStr">
        <is>
          <t>Pedido de Compra</t>
        </is>
      </c>
      <c r="Y2556" s="111" t="inlineStr">
        <is>
          <t>Impacto Potencial</t>
        </is>
      </c>
      <c r="Z2556" s="111" t="inlineStr">
        <is>
          <t>PC</t>
        </is>
      </c>
      <c r="AA2556" s="111" t="inlineStr">
        <is>
          <t>Nao</t>
        </is>
      </c>
      <c r="AB2556" s="111" t="inlineStr">
        <is>
          <t>NAO_COMPUTADO</t>
        </is>
      </c>
      <c r="AC2556" s="112" t="inlineStr">
        <is>
          <t>Estrutura Fase 1: sem impacto no VTA oficial</t>
        </is>
      </c>
    </row>
    <row r="2557" ht="25.5" customHeight="1" s="289">
      <c r="A2557" s="205" t="n"/>
      <c r="B2557" s="207" t="n"/>
      <c r="C2557" s="104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348" t="n"/>
      <c r="E2557" s="349">
        <f>IF(C2557="","",IFERROR(VLOOKUP(C2557,parametros!$A$11:$E$15,5,0),""))</f>
        <v/>
      </c>
      <c r="F2557" s="335">
        <f>IF(OR(D2557="",E2557=""),"",ROUND(D2557*E2557,2))</f>
        <v/>
      </c>
      <c r="G2557" s="106" t="n"/>
      <c r="H2557" s="350">
        <f>IF(G2557="Sim",IF(OR(F2557="",D2557="",L2557=""),"",IF(L2557="Sim",ROUND(F2557-D2557,2),0)),0)</f>
        <v/>
      </c>
      <c r="I2557" s="350">
        <f>IF(G2557="Sim",0,IF(OR(F2557="",L2557=""),"",F2557))</f>
        <v/>
      </c>
      <c r="J2557" s="350">
        <f>IF(G2557="Sim",0,IF(OR(F2557="",D2557="",L2557=""),"",IF(L2557="Sim",ROUND(F2557-D2557,2),0)))</f>
        <v/>
      </c>
      <c r="K2557" s="97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inlineStr">
        <is>
          <t>Nao</t>
        </is>
      </c>
      <c r="W2557" s="110" t="inlineStr">
        <is>
          <t>PC em analise</t>
        </is>
      </c>
      <c r="X2557" s="110" t="inlineStr">
        <is>
          <t>Pedido de Compra</t>
        </is>
      </c>
      <c r="Y2557" s="111" t="inlineStr">
        <is>
          <t>Impacto Potencial</t>
        </is>
      </c>
      <c r="Z2557" s="111" t="inlineStr">
        <is>
          <t>PC</t>
        </is>
      </c>
      <c r="AA2557" s="111" t="inlineStr">
        <is>
          <t>Nao</t>
        </is>
      </c>
      <c r="AB2557" s="111" t="inlineStr">
        <is>
          <t>NAO_COMPUTADO</t>
        </is>
      </c>
      <c r="AC2557" s="112" t="inlineStr">
        <is>
          <t>Estrutura Fase 1: sem impacto no VTA oficial</t>
        </is>
      </c>
    </row>
    <row r="2558" ht="25.5" customHeight="1" s="289">
      <c r="A2558" s="205" t="n"/>
      <c r="B2558" s="207" t="n"/>
      <c r="C2558" s="104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348" t="n"/>
      <c r="E2558" s="349">
        <f>IF(C2558="","",IFERROR(VLOOKUP(C2558,parametros!$A$11:$E$15,5,0),""))</f>
        <v/>
      </c>
      <c r="F2558" s="335">
        <f>IF(OR(D2558="",E2558=""),"",ROUND(D2558*E2558,2))</f>
        <v/>
      </c>
      <c r="G2558" s="106" t="n"/>
      <c r="H2558" s="350">
        <f>IF(G2558="Sim",IF(OR(F2558="",D2558="",L2558=""),"",IF(L2558="Sim",ROUND(F2558-D2558,2),0)),0)</f>
        <v/>
      </c>
      <c r="I2558" s="350">
        <f>IF(G2558="Sim",0,IF(OR(F2558="",L2558=""),"",F2558))</f>
        <v/>
      </c>
      <c r="J2558" s="350">
        <f>IF(G2558="Sim",0,IF(OR(F2558="",D2558="",L2558=""),"",IF(L2558="Sim",ROUND(F2558-D2558,2),0)))</f>
        <v/>
      </c>
      <c r="K2558" s="97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inlineStr">
        <is>
          <t>Nao</t>
        </is>
      </c>
      <c r="W2558" s="110" t="inlineStr">
        <is>
          <t>PC em analise</t>
        </is>
      </c>
      <c r="X2558" s="110" t="inlineStr">
        <is>
          <t>Pedido de Compra</t>
        </is>
      </c>
      <c r="Y2558" s="111" t="inlineStr">
        <is>
          <t>Impacto Potencial</t>
        </is>
      </c>
      <c r="Z2558" s="111" t="inlineStr">
        <is>
          <t>PC</t>
        </is>
      </c>
      <c r="AA2558" s="111" t="inlineStr">
        <is>
          <t>Nao</t>
        </is>
      </c>
      <c r="AB2558" s="111" t="inlineStr">
        <is>
          <t>NAO_COMPUTADO</t>
        </is>
      </c>
      <c r="AC2558" s="112" t="inlineStr">
        <is>
          <t>Estrutura Fase 1: sem impacto no VTA oficial</t>
        </is>
      </c>
    </row>
    <row r="2559" ht="25.5" customHeight="1" s="289">
      <c r="A2559" s="205" t="n"/>
      <c r="B2559" s="207" t="n"/>
      <c r="C2559" s="104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348" t="n"/>
      <c r="E2559" s="349">
        <f>IF(C2559="","",IFERROR(VLOOKUP(C2559,parametros!$A$11:$E$15,5,0),""))</f>
        <v/>
      </c>
      <c r="F2559" s="335">
        <f>IF(OR(D2559="",E2559=""),"",ROUND(D2559*E2559,2))</f>
        <v/>
      </c>
      <c r="G2559" s="106" t="n"/>
      <c r="H2559" s="350">
        <f>IF(G2559="Sim",IF(OR(F2559="",D2559="",L2559=""),"",IF(L2559="Sim",ROUND(F2559-D2559,2),0)),0)</f>
        <v/>
      </c>
      <c r="I2559" s="350">
        <f>IF(G2559="Sim",0,IF(OR(F2559="",L2559=""),"",F2559))</f>
        <v/>
      </c>
      <c r="J2559" s="350">
        <f>IF(G2559="Sim",0,IF(OR(F2559="",D2559="",L2559=""),"",IF(L2559="Sim",ROUND(F2559-D2559,2),0)))</f>
        <v/>
      </c>
      <c r="K2559" s="97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inlineStr">
        <is>
          <t>Nao</t>
        </is>
      </c>
      <c r="W2559" s="110" t="inlineStr">
        <is>
          <t>PC em analise</t>
        </is>
      </c>
      <c r="X2559" s="110" t="inlineStr">
        <is>
          <t>Pedido de Compra</t>
        </is>
      </c>
      <c r="Y2559" s="111" t="inlineStr">
        <is>
          <t>Impacto Potencial</t>
        </is>
      </c>
      <c r="Z2559" s="111" t="inlineStr">
        <is>
          <t>PC</t>
        </is>
      </c>
      <c r="AA2559" s="111" t="inlineStr">
        <is>
          <t>Nao</t>
        </is>
      </c>
      <c r="AB2559" s="111" t="inlineStr">
        <is>
          <t>NAO_COMPUTADO</t>
        </is>
      </c>
      <c r="AC2559" s="112" t="inlineStr">
        <is>
          <t>Estrutura Fase 1: sem impacto no VTA oficial</t>
        </is>
      </c>
    </row>
    <row r="2560" ht="25.5" customHeight="1" s="289">
      <c r="A2560" s="205" t="n"/>
      <c r="B2560" s="207" t="n"/>
      <c r="C2560" s="104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348" t="n"/>
      <c r="E2560" s="349">
        <f>IF(C2560="","",IFERROR(VLOOKUP(C2560,parametros!$A$11:$E$15,5,0),""))</f>
        <v/>
      </c>
      <c r="F2560" s="335">
        <f>IF(OR(D2560="",E2560=""),"",ROUND(D2560*E2560,2))</f>
        <v/>
      </c>
      <c r="G2560" s="106" t="n"/>
      <c r="H2560" s="350">
        <f>IF(G2560="Sim",IF(OR(F2560="",D2560="",L2560=""),"",IF(L2560="Sim",ROUND(F2560-D2560,2),0)),0)</f>
        <v/>
      </c>
      <c r="I2560" s="350">
        <f>IF(G2560="Sim",0,IF(OR(F2560="",L2560=""),"",F2560))</f>
        <v/>
      </c>
      <c r="J2560" s="350">
        <f>IF(G2560="Sim",0,IF(OR(F2560="",D2560="",L2560=""),"",IF(L2560="Sim",ROUND(F2560-D2560,2),0)))</f>
        <v/>
      </c>
      <c r="K2560" s="97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inlineStr">
        <is>
          <t>Nao</t>
        </is>
      </c>
      <c r="W2560" s="110" t="inlineStr">
        <is>
          <t>PC em analise</t>
        </is>
      </c>
      <c r="X2560" s="110" t="inlineStr">
        <is>
          <t>Pedido de Compra</t>
        </is>
      </c>
      <c r="Y2560" s="111" t="inlineStr">
        <is>
          <t>Impacto Potencial</t>
        </is>
      </c>
      <c r="Z2560" s="111" t="inlineStr">
        <is>
          <t>PC</t>
        </is>
      </c>
      <c r="AA2560" s="111" t="inlineStr">
        <is>
          <t>Nao</t>
        </is>
      </c>
      <c r="AB2560" s="111" t="inlineStr">
        <is>
          <t>NAO_COMPUTADO</t>
        </is>
      </c>
      <c r="AC2560" s="112" t="inlineStr">
        <is>
          <t>Estrutura Fase 1: sem impacto no VTA oficial</t>
        </is>
      </c>
    </row>
    <row r="2561" ht="25.5" customHeight="1" s="289">
      <c r="A2561" s="205" t="n"/>
      <c r="B2561" s="207" t="n"/>
      <c r="C2561" s="104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348" t="n"/>
      <c r="E2561" s="349">
        <f>IF(C2561="","",IFERROR(VLOOKUP(C2561,parametros!$A$11:$E$15,5,0),""))</f>
        <v/>
      </c>
      <c r="F2561" s="335">
        <f>IF(OR(D2561="",E2561=""),"",ROUND(D2561*E2561,2))</f>
        <v/>
      </c>
      <c r="G2561" s="106" t="n"/>
      <c r="H2561" s="350">
        <f>IF(G2561="Sim",IF(OR(F2561="",D2561="",L2561=""),"",IF(L2561="Sim",ROUND(F2561-D2561,2),0)),0)</f>
        <v/>
      </c>
      <c r="I2561" s="350">
        <f>IF(G2561="Sim",0,IF(OR(F2561="",L2561=""),"",F2561))</f>
        <v/>
      </c>
      <c r="J2561" s="350">
        <f>IF(G2561="Sim",0,IF(OR(F2561="",D2561="",L2561=""),"",IF(L2561="Sim",ROUND(F2561-D2561,2),0)))</f>
        <v/>
      </c>
      <c r="K2561" s="97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inlineStr">
        <is>
          <t>Nao</t>
        </is>
      </c>
      <c r="W2561" s="110" t="inlineStr">
        <is>
          <t>PC em analise</t>
        </is>
      </c>
      <c r="X2561" s="110" t="inlineStr">
        <is>
          <t>Pedido de Compra</t>
        </is>
      </c>
      <c r="Y2561" s="111" t="inlineStr">
        <is>
          <t>Impacto Potencial</t>
        </is>
      </c>
      <c r="Z2561" s="111" t="inlineStr">
        <is>
          <t>PC</t>
        </is>
      </c>
      <c r="AA2561" s="111" t="inlineStr">
        <is>
          <t>Nao</t>
        </is>
      </c>
      <c r="AB2561" s="111" t="inlineStr">
        <is>
          <t>NAO_COMPUTADO</t>
        </is>
      </c>
      <c r="AC2561" s="112" t="inlineStr">
        <is>
          <t>Estrutura Fase 1: sem impacto no VTA oficial</t>
        </is>
      </c>
    </row>
    <row r="2562" ht="25.5" customHeight="1" s="289">
      <c r="A2562" s="205" t="n"/>
      <c r="B2562" s="207" t="n"/>
      <c r="C2562" s="104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348" t="n"/>
      <c r="E2562" s="349">
        <f>IF(C2562="","",IFERROR(VLOOKUP(C2562,parametros!$A$11:$E$15,5,0),""))</f>
        <v/>
      </c>
      <c r="F2562" s="335">
        <f>IF(OR(D2562="",E2562=""),"",ROUND(D2562*E2562,2))</f>
        <v/>
      </c>
      <c r="G2562" s="106" t="n"/>
      <c r="H2562" s="350">
        <f>IF(G2562="Sim",IF(OR(F2562="",D2562="",L2562=""),"",IF(L2562="Sim",ROUND(F2562-D2562,2),0)),0)</f>
        <v/>
      </c>
      <c r="I2562" s="350">
        <f>IF(G2562="Sim",0,IF(OR(F2562="",L2562=""),"",F2562))</f>
        <v/>
      </c>
      <c r="J2562" s="350">
        <f>IF(G2562="Sim",0,IF(OR(F2562="",D2562="",L2562=""),"",IF(L2562="Sim",ROUND(F2562-D2562,2),0)))</f>
        <v/>
      </c>
      <c r="K2562" s="97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inlineStr">
        <is>
          <t>Nao</t>
        </is>
      </c>
      <c r="W2562" s="110" t="inlineStr">
        <is>
          <t>PC em analise</t>
        </is>
      </c>
      <c r="X2562" s="110" t="inlineStr">
        <is>
          <t>Pedido de Compra</t>
        </is>
      </c>
      <c r="Y2562" s="111" t="inlineStr">
        <is>
          <t>Impacto Potencial</t>
        </is>
      </c>
      <c r="Z2562" s="111" t="inlineStr">
        <is>
          <t>PC</t>
        </is>
      </c>
      <c r="AA2562" s="111" t="inlineStr">
        <is>
          <t>Nao</t>
        </is>
      </c>
      <c r="AB2562" s="111" t="inlineStr">
        <is>
          <t>NAO_COMPUTADO</t>
        </is>
      </c>
      <c r="AC2562" s="112" t="inlineStr">
        <is>
          <t>Estrutura Fase 1: sem impacto no VTA oficial</t>
        </is>
      </c>
    </row>
    <row r="2563" ht="25.5" customHeight="1" s="289">
      <c r="A2563" s="205" t="n"/>
      <c r="B2563" s="207" t="n"/>
      <c r="C2563" s="104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348" t="n"/>
      <c r="E2563" s="349">
        <f>IF(C2563="","",IFERROR(VLOOKUP(C2563,parametros!$A$11:$E$15,5,0),""))</f>
        <v/>
      </c>
      <c r="F2563" s="335">
        <f>IF(OR(D2563="",E2563=""),"",ROUND(D2563*E2563,2))</f>
        <v/>
      </c>
      <c r="G2563" s="106" t="n"/>
      <c r="H2563" s="350">
        <f>IF(G2563="Sim",IF(OR(F2563="",D2563="",L2563=""),"",IF(L2563="Sim",ROUND(F2563-D2563,2),0)),0)</f>
        <v/>
      </c>
      <c r="I2563" s="350">
        <f>IF(G2563="Sim",0,IF(OR(F2563="",L2563=""),"",F2563))</f>
        <v/>
      </c>
      <c r="J2563" s="350">
        <f>IF(G2563="Sim",0,IF(OR(F2563="",D2563="",L2563=""),"",IF(L2563="Sim",ROUND(F2563-D2563,2),0)))</f>
        <v/>
      </c>
      <c r="K2563" s="97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inlineStr">
        <is>
          <t>Nao</t>
        </is>
      </c>
      <c r="W2563" s="110" t="inlineStr">
        <is>
          <t>PC em analise</t>
        </is>
      </c>
      <c r="X2563" s="110" t="inlineStr">
        <is>
          <t>Pedido de Compra</t>
        </is>
      </c>
      <c r="Y2563" s="111" t="inlineStr">
        <is>
          <t>Impacto Potencial</t>
        </is>
      </c>
      <c r="Z2563" s="111" t="inlineStr">
        <is>
          <t>PC</t>
        </is>
      </c>
      <c r="AA2563" s="111" t="inlineStr">
        <is>
          <t>Nao</t>
        </is>
      </c>
      <c r="AB2563" s="111" t="inlineStr">
        <is>
          <t>NAO_COMPUTADO</t>
        </is>
      </c>
      <c r="AC2563" s="112" t="inlineStr">
        <is>
          <t>Estrutura Fase 1: sem impacto no VTA oficial</t>
        </is>
      </c>
    </row>
    <row r="2564" ht="25.5" customHeight="1" s="289">
      <c r="A2564" s="205" t="n"/>
      <c r="B2564" s="207" t="n"/>
      <c r="C2564" s="104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348" t="n"/>
      <c r="E2564" s="349">
        <f>IF(C2564="","",IFERROR(VLOOKUP(C2564,parametros!$A$11:$E$15,5,0),""))</f>
        <v/>
      </c>
      <c r="F2564" s="335">
        <f>IF(OR(D2564="",E2564=""),"",ROUND(D2564*E2564,2))</f>
        <v/>
      </c>
      <c r="G2564" s="106" t="n"/>
      <c r="H2564" s="350">
        <f>IF(G2564="Sim",IF(OR(F2564="",D2564="",L2564=""),"",IF(L2564="Sim",ROUND(F2564-D2564,2),0)),0)</f>
        <v/>
      </c>
      <c r="I2564" s="350">
        <f>IF(G2564="Sim",0,IF(OR(F2564="",L2564=""),"",F2564))</f>
        <v/>
      </c>
      <c r="J2564" s="350">
        <f>IF(G2564="Sim",0,IF(OR(F2564="",D2564="",L2564=""),"",IF(L2564="Sim",ROUND(F2564-D2564,2),0)))</f>
        <v/>
      </c>
      <c r="K2564" s="97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inlineStr">
        <is>
          <t>Nao</t>
        </is>
      </c>
      <c r="W2564" s="110" t="inlineStr">
        <is>
          <t>PC em analise</t>
        </is>
      </c>
      <c r="X2564" s="110" t="inlineStr">
        <is>
          <t>Pedido de Compra</t>
        </is>
      </c>
      <c r="Y2564" s="111" t="inlineStr">
        <is>
          <t>Impacto Potencial</t>
        </is>
      </c>
      <c r="Z2564" s="111" t="inlineStr">
        <is>
          <t>PC</t>
        </is>
      </c>
      <c r="AA2564" s="111" t="inlineStr">
        <is>
          <t>Nao</t>
        </is>
      </c>
      <c r="AB2564" s="111" t="inlineStr">
        <is>
          <t>NAO_COMPUTADO</t>
        </is>
      </c>
      <c r="AC2564" s="112" t="inlineStr">
        <is>
          <t>Estrutura Fase 1: sem impacto no VTA oficial</t>
        </is>
      </c>
    </row>
    <row r="2565" ht="25.5" customHeight="1" s="289">
      <c r="A2565" s="205" t="n"/>
      <c r="B2565" s="207" t="n"/>
      <c r="C2565" s="104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348" t="n"/>
      <c r="E2565" s="349">
        <f>IF(C2565="","",IFERROR(VLOOKUP(C2565,parametros!$A$11:$E$15,5,0),""))</f>
        <v/>
      </c>
      <c r="F2565" s="335">
        <f>IF(OR(D2565="",E2565=""),"",ROUND(D2565*E2565,2))</f>
        <v/>
      </c>
      <c r="G2565" s="106" t="n"/>
      <c r="H2565" s="350">
        <f>IF(G2565="Sim",IF(OR(F2565="",D2565="",L2565=""),"",IF(L2565="Sim",ROUND(F2565-D2565,2),0)),0)</f>
        <v/>
      </c>
      <c r="I2565" s="350">
        <f>IF(G2565="Sim",0,IF(OR(F2565="",L2565=""),"",F2565))</f>
        <v/>
      </c>
      <c r="J2565" s="350">
        <f>IF(G2565="Sim",0,IF(OR(F2565="",D2565="",L2565=""),"",IF(L2565="Sim",ROUND(F2565-D2565,2),0)))</f>
        <v/>
      </c>
      <c r="K2565" s="97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inlineStr">
        <is>
          <t>Nao</t>
        </is>
      </c>
      <c r="W2565" s="110" t="inlineStr">
        <is>
          <t>PC em analise</t>
        </is>
      </c>
      <c r="X2565" s="110" t="inlineStr">
        <is>
          <t>Pedido de Compra</t>
        </is>
      </c>
      <c r="Y2565" s="111" t="inlineStr">
        <is>
          <t>Impacto Potencial</t>
        </is>
      </c>
      <c r="Z2565" s="111" t="inlineStr">
        <is>
          <t>PC</t>
        </is>
      </c>
      <c r="AA2565" s="111" t="inlineStr">
        <is>
          <t>Nao</t>
        </is>
      </c>
      <c r="AB2565" s="111" t="inlineStr">
        <is>
          <t>NAO_COMPUTADO</t>
        </is>
      </c>
      <c r="AC2565" s="112" t="inlineStr">
        <is>
          <t>Estrutura Fase 1: sem impacto no VTA oficial</t>
        </is>
      </c>
    </row>
    <row r="2566" ht="25.5" customHeight="1" s="289">
      <c r="A2566" s="205" t="n"/>
      <c r="B2566" s="207" t="n"/>
      <c r="C2566" s="104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348" t="n"/>
      <c r="E2566" s="349">
        <f>IF(C2566="","",IFERROR(VLOOKUP(C2566,parametros!$A$11:$E$15,5,0),""))</f>
        <v/>
      </c>
      <c r="F2566" s="335">
        <f>IF(OR(D2566="",E2566=""),"",ROUND(D2566*E2566,2))</f>
        <v/>
      </c>
      <c r="G2566" s="106" t="n"/>
      <c r="H2566" s="350">
        <f>IF(G2566="Sim",IF(OR(F2566="",D2566="",L2566=""),"",IF(L2566="Sim",ROUND(F2566-D2566,2),0)),0)</f>
        <v/>
      </c>
      <c r="I2566" s="350">
        <f>IF(G2566="Sim",0,IF(OR(F2566="",L2566=""),"",F2566))</f>
        <v/>
      </c>
      <c r="J2566" s="350">
        <f>IF(G2566="Sim",0,IF(OR(F2566="",D2566="",L2566=""),"",IF(L2566="Sim",ROUND(F2566-D2566,2),0)))</f>
        <v/>
      </c>
      <c r="K2566" s="97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inlineStr">
        <is>
          <t>Nao</t>
        </is>
      </c>
      <c r="W2566" s="110" t="inlineStr">
        <is>
          <t>PC em analise</t>
        </is>
      </c>
      <c r="X2566" s="110" t="inlineStr">
        <is>
          <t>Pedido de Compra</t>
        </is>
      </c>
      <c r="Y2566" s="111" t="inlineStr">
        <is>
          <t>Impacto Potencial</t>
        </is>
      </c>
      <c r="Z2566" s="111" t="inlineStr">
        <is>
          <t>PC</t>
        </is>
      </c>
      <c r="AA2566" s="111" t="inlineStr">
        <is>
          <t>Nao</t>
        </is>
      </c>
      <c r="AB2566" s="111" t="inlineStr">
        <is>
          <t>NAO_COMPUTADO</t>
        </is>
      </c>
      <c r="AC2566" s="112" t="inlineStr">
        <is>
          <t>Estrutura Fase 1: sem impacto no VTA oficial</t>
        </is>
      </c>
    </row>
    <row r="2567" ht="25.5" customHeight="1" s="289">
      <c r="A2567" s="205" t="n"/>
      <c r="B2567" s="207" t="n"/>
      <c r="C2567" s="104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348" t="n"/>
      <c r="E2567" s="349">
        <f>IF(C2567="","",IFERROR(VLOOKUP(C2567,parametros!$A$11:$E$15,5,0),""))</f>
        <v/>
      </c>
      <c r="F2567" s="335">
        <f>IF(OR(D2567="",E2567=""),"",ROUND(D2567*E2567,2))</f>
        <v/>
      </c>
      <c r="G2567" s="106" t="n"/>
      <c r="H2567" s="350">
        <f>IF(G2567="Sim",IF(OR(F2567="",D2567="",L2567=""),"",IF(L2567="Sim",ROUND(F2567-D2567,2),0)),0)</f>
        <v/>
      </c>
      <c r="I2567" s="350">
        <f>IF(G2567="Sim",0,IF(OR(F2567="",L2567=""),"",F2567))</f>
        <v/>
      </c>
      <c r="J2567" s="350">
        <f>IF(G2567="Sim",0,IF(OR(F2567="",D2567="",L2567=""),"",IF(L2567="Sim",ROUND(F2567-D2567,2),0)))</f>
        <v/>
      </c>
      <c r="K2567" s="97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inlineStr">
        <is>
          <t>Nao</t>
        </is>
      </c>
      <c r="W2567" s="110" t="inlineStr">
        <is>
          <t>PC em analise</t>
        </is>
      </c>
      <c r="X2567" s="110" t="inlineStr">
        <is>
          <t>Pedido de Compra</t>
        </is>
      </c>
      <c r="Y2567" s="111" t="inlineStr">
        <is>
          <t>Impacto Potencial</t>
        </is>
      </c>
      <c r="Z2567" s="111" t="inlineStr">
        <is>
          <t>PC</t>
        </is>
      </c>
      <c r="AA2567" s="111" t="inlineStr">
        <is>
          <t>Nao</t>
        </is>
      </c>
      <c r="AB2567" s="111" t="inlineStr">
        <is>
          <t>NAO_COMPUTADO</t>
        </is>
      </c>
      <c r="AC2567" s="112" t="inlineStr">
        <is>
          <t>Estrutura Fase 1: sem impacto no VTA oficial</t>
        </is>
      </c>
    </row>
    <row r="2568" ht="25.5" customHeight="1" s="289">
      <c r="A2568" s="205" t="n"/>
      <c r="B2568" s="207" t="n"/>
      <c r="C2568" s="104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348" t="n"/>
      <c r="E2568" s="349">
        <f>IF(C2568="","",IFERROR(VLOOKUP(C2568,parametros!$A$11:$E$15,5,0),""))</f>
        <v/>
      </c>
      <c r="F2568" s="335">
        <f>IF(OR(D2568="",E2568=""),"",ROUND(D2568*E2568,2))</f>
        <v/>
      </c>
      <c r="G2568" s="106" t="n"/>
      <c r="H2568" s="350">
        <f>IF(G2568="Sim",IF(OR(F2568="",D2568="",L2568=""),"",IF(L2568="Sim",ROUND(F2568-D2568,2),0)),0)</f>
        <v/>
      </c>
      <c r="I2568" s="350">
        <f>IF(G2568="Sim",0,IF(OR(F2568="",L2568=""),"",F2568))</f>
        <v/>
      </c>
      <c r="J2568" s="350">
        <f>IF(G2568="Sim",0,IF(OR(F2568="",D2568="",L2568=""),"",IF(L2568="Sim",ROUND(F2568-D2568,2),0)))</f>
        <v/>
      </c>
      <c r="K2568" s="97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inlineStr">
        <is>
          <t>Nao</t>
        </is>
      </c>
      <c r="W2568" s="110" t="inlineStr">
        <is>
          <t>PC em analise</t>
        </is>
      </c>
      <c r="X2568" s="110" t="inlineStr">
        <is>
          <t>Pedido de Compra</t>
        </is>
      </c>
      <c r="Y2568" s="111" t="inlineStr">
        <is>
          <t>Impacto Potencial</t>
        </is>
      </c>
      <c r="Z2568" s="111" t="inlineStr">
        <is>
          <t>PC</t>
        </is>
      </c>
      <c r="AA2568" s="111" t="inlineStr">
        <is>
          <t>Nao</t>
        </is>
      </c>
      <c r="AB2568" s="111" t="inlineStr">
        <is>
          <t>NAO_COMPUTADO</t>
        </is>
      </c>
      <c r="AC2568" s="112" t="inlineStr">
        <is>
          <t>Estrutura Fase 1: sem impacto no VTA oficial</t>
        </is>
      </c>
    </row>
    <row r="2569" ht="25.5" customHeight="1" s="289">
      <c r="A2569" s="205" t="n"/>
      <c r="B2569" s="207" t="n"/>
      <c r="C2569" s="104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348" t="n"/>
      <c r="E2569" s="349">
        <f>IF(C2569="","",IFERROR(VLOOKUP(C2569,parametros!$A$11:$E$15,5,0),""))</f>
        <v/>
      </c>
      <c r="F2569" s="335">
        <f>IF(OR(D2569="",E2569=""),"",ROUND(D2569*E2569,2))</f>
        <v/>
      </c>
      <c r="G2569" s="106" t="n"/>
      <c r="H2569" s="350">
        <f>IF(G2569="Sim",IF(OR(F2569="",D2569="",L2569=""),"",IF(L2569="Sim",ROUND(F2569-D2569,2),0)),0)</f>
        <v/>
      </c>
      <c r="I2569" s="350">
        <f>IF(G2569="Sim",0,IF(OR(F2569="",L2569=""),"",F2569))</f>
        <v/>
      </c>
      <c r="J2569" s="350">
        <f>IF(G2569="Sim",0,IF(OR(F2569="",D2569="",L2569=""),"",IF(L2569="Sim",ROUND(F2569-D2569,2),0)))</f>
        <v/>
      </c>
      <c r="K2569" s="97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inlineStr">
        <is>
          <t>Nao</t>
        </is>
      </c>
      <c r="W2569" s="110" t="inlineStr">
        <is>
          <t>PC em analise</t>
        </is>
      </c>
      <c r="X2569" s="110" t="inlineStr">
        <is>
          <t>Pedido de Compra</t>
        </is>
      </c>
      <c r="Y2569" s="111" t="inlineStr">
        <is>
          <t>Impacto Potencial</t>
        </is>
      </c>
      <c r="Z2569" s="111" t="inlineStr">
        <is>
          <t>PC</t>
        </is>
      </c>
      <c r="AA2569" s="111" t="inlineStr">
        <is>
          <t>Nao</t>
        </is>
      </c>
      <c r="AB2569" s="111" t="inlineStr">
        <is>
          <t>NAO_COMPUTADO</t>
        </is>
      </c>
      <c r="AC2569" s="112" t="inlineStr">
        <is>
          <t>Estrutura Fase 1: sem impacto no VTA oficial</t>
        </is>
      </c>
    </row>
    <row r="2570" ht="25.5" customHeight="1" s="289">
      <c r="A2570" s="205" t="n"/>
      <c r="B2570" s="207" t="n"/>
      <c r="C2570" s="104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348" t="n"/>
      <c r="E2570" s="349">
        <f>IF(C2570="","",IFERROR(VLOOKUP(C2570,parametros!$A$11:$E$15,5,0),""))</f>
        <v/>
      </c>
      <c r="F2570" s="335">
        <f>IF(OR(D2570="",E2570=""),"",ROUND(D2570*E2570,2))</f>
        <v/>
      </c>
      <c r="G2570" s="106" t="n"/>
      <c r="H2570" s="350">
        <f>IF(G2570="Sim",IF(OR(F2570="",D2570="",L2570=""),"",IF(L2570="Sim",ROUND(F2570-D2570,2),0)),0)</f>
        <v/>
      </c>
      <c r="I2570" s="350">
        <f>IF(G2570="Sim",0,IF(OR(F2570="",L2570=""),"",F2570))</f>
        <v/>
      </c>
      <c r="J2570" s="350">
        <f>IF(G2570="Sim",0,IF(OR(F2570="",D2570="",L2570=""),"",IF(L2570="Sim",ROUND(F2570-D2570,2),0)))</f>
        <v/>
      </c>
      <c r="K2570" s="97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inlineStr">
        <is>
          <t>Nao</t>
        </is>
      </c>
      <c r="W2570" s="110" t="inlineStr">
        <is>
          <t>PC em analise</t>
        </is>
      </c>
      <c r="X2570" s="110" t="inlineStr">
        <is>
          <t>Pedido de Compra</t>
        </is>
      </c>
      <c r="Y2570" s="111" t="inlineStr">
        <is>
          <t>Impacto Potencial</t>
        </is>
      </c>
      <c r="Z2570" s="111" t="inlineStr">
        <is>
          <t>PC</t>
        </is>
      </c>
      <c r="AA2570" s="111" t="inlineStr">
        <is>
          <t>Nao</t>
        </is>
      </c>
      <c r="AB2570" s="111" t="inlineStr">
        <is>
          <t>NAO_COMPUTADO</t>
        </is>
      </c>
      <c r="AC2570" s="112" t="inlineStr">
        <is>
          <t>Estrutura Fase 1: sem impacto no VTA oficial</t>
        </is>
      </c>
    </row>
    <row r="2571" ht="25.5" customHeight="1" s="289">
      <c r="A2571" s="205" t="n"/>
      <c r="B2571" s="207" t="n"/>
      <c r="C2571" s="104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348" t="n"/>
      <c r="E2571" s="349">
        <f>IF(C2571="","",IFERROR(VLOOKUP(C2571,parametros!$A$11:$E$15,5,0),""))</f>
        <v/>
      </c>
      <c r="F2571" s="335">
        <f>IF(OR(D2571="",E2571=""),"",ROUND(D2571*E2571,2))</f>
        <v/>
      </c>
      <c r="G2571" s="106" t="n"/>
      <c r="H2571" s="350">
        <f>IF(G2571="Sim",IF(OR(F2571="",D2571="",L2571=""),"",IF(L2571="Sim",ROUND(F2571-D2571,2),0)),0)</f>
        <v/>
      </c>
      <c r="I2571" s="350">
        <f>IF(G2571="Sim",0,IF(OR(F2571="",L2571=""),"",F2571))</f>
        <v/>
      </c>
      <c r="J2571" s="350">
        <f>IF(G2571="Sim",0,IF(OR(F2571="",D2571="",L2571=""),"",IF(L2571="Sim",ROUND(F2571-D2571,2),0)))</f>
        <v/>
      </c>
      <c r="K2571" s="97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inlineStr">
        <is>
          <t>Nao</t>
        </is>
      </c>
      <c r="W2571" s="110" t="inlineStr">
        <is>
          <t>PC em analise</t>
        </is>
      </c>
      <c r="X2571" s="110" t="inlineStr">
        <is>
          <t>Pedido de Compra</t>
        </is>
      </c>
      <c r="Y2571" s="111" t="inlineStr">
        <is>
          <t>Impacto Potencial</t>
        </is>
      </c>
      <c r="Z2571" s="111" t="inlineStr">
        <is>
          <t>PC</t>
        </is>
      </c>
      <c r="AA2571" s="111" t="inlineStr">
        <is>
          <t>Nao</t>
        </is>
      </c>
      <c r="AB2571" s="111" t="inlineStr">
        <is>
          <t>NAO_COMPUTADO</t>
        </is>
      </c>
      <c r="AC2571" s="112" t="inlineStr">
        <is>
          <t>Estrutura Fase 1: sem impacto no VTA oficial</t>
        </is>
      </c>
    </row>
    <row r="2572" ht="25.5" customHeight="1" s="289">
      <c r="A2572" s="205" t="n"/>
      <c r="B2572" s="207" t="n"/>
      <c r="C2572" s="104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348" t="n"/>
      <c r="E2572" s="349">
        <f>IF(C2572="","",IFERROR(VLOOKUP(C2572,parametros!$A$11:$E$15,5,0),""))</f>
        <v/>
      </c>
      <c r="F2572" s="335">
        <f>IF(OR(D2572="",E2572=""),"",ROUND(D2572*E2572,2))</f>
        <v/>
      </c>
      <c r="G2572" s="106" t="n"/>
      <c r="H2572" s="350">
        <f>IF(G2572="Sim",IF(OR(F2572="",D2572="",L2572=""),"",IF(L2572="Sim",ROUND(F2572-D2572,2),0)),0)</f>
        <v/>
      </c>
      <c r="I2572" s="350">
        <f>IF(G2572="Sim",0,IF(OR(F2572="",L2572=""),"",F2572))</f>
        <v/>
      </c>
      <c r="J2572" s="350">
        <f>IF(G2572="Sim",0,IF(OR(F2572="",D2572="",L2572=""),"",IF(L2572="Sim",ROUND(F2572-D2572,2),0)))</f>
        <v/>
      </c>
      <c r="K2572" s="97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inlineStr">
        <is>
          <t>Nao</t>
        </is>
      </c>
      <c r="W2572" s="110" t="inlineStr">
        <is>
          <t>PC em analise</t>
        </is>
      </c>
      <c r="X2572" s="110" t="inlineStr">
        <is>
          <t>Pedido de Compra</t>
        </is>
      </c>
      <c r="Y2572" s="111" t="inlineStr">
        <is>
          <t>Impacto Potencial</t>
        </is>
      </c>
      <c r="Z2572" s="111" t="inlineStr">
        <is>
          <t>PC</t>
        </is>
      </c>
      <c r="AA2572" s="111" t="inlineStr">
        <is>
          <t>Nao</t>
        </is>
      </c>
      <c r="AB2572" s="111" t="inlineStr">
        <is>
          <t>NAO_COMPUTADO</t>
        </is>
      </c>
      <c r="AC2572" s="112" t="inlineStr">
        <is>
          <t>Estrutura Fase 1: sem impacto no VTA oficial</t>
        </is>
      </c>
    </row>
    <row r="2573" ht="25.5" customHeight="1" s="289">
      <c r="A2573" s="205" t="n"/>
      <c r="B2573" s="207" t="n"/>
      <c r="C2573" s="104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348" t="n"/>
      <c r="E2573" s="349">
        <f>IF(C2573="","",IFERROR(VLOOKUP(C2573,parametros!$A$11:$E$15,5,0),""))</f>
        <v/>
      </c>
      <c r="F2573" s="335">
        <f>IF(OR(D2573="",E2573=""),"",ROUND(D2573*E2573,2))</f>
        <v/>
      </c>
      <c r="G2573" s="106" t="n"/>
      <c r="H2573" s="350">
        <f>IF(G2573="Sim",IF(OR(F2573="",D2573="",L2573=""),"",IF(L2573="Sim",ROUND(F2573-D2573,2),0)),0)</f>
        <v/>
      </c>
      <c r="I2573" s="350">
        <f>IF(G2573="Sim",0,IF(OR(F2573="",L2573=""),"",F2573))</f>
        <v/>
      </c>
      <c r="J2573" s="350">
        <f>IF(G2573="Sim",0,IF(OR(F2573="",D2573="",L2573=""),"",IF(L2573="Sim",ROUND(F2573-D2573,2),0)))</f>
        <v/>
      </c>
      <c r="K2573" s="97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inlineStr">
        <is>
          <t>Nao</t>
        </is>
      </c>
      <c r="W2573" s="110" t="inlineStr">
        <is>
          <t>PC em analise</t>
        </is>
      </c>
      <c r="X2573" s="110" t="inlineStr">
        <is>
          <t>Pedido de Compra</t>
        </is>
      </c>
      <c r="Y2573" s="111" t="inlineStr">
        <is>
          <t>Impacto Potencial</t>
        </is>
      </c>
      <c r="Z2573" s="111" t="inlineStr">
        <is>
          <t>PC</t>
        </is>
      </c>
      <c r="AA2573" s="111" t="inlineStr">
        <is>
          <t>Nao</t>
        </is>
      </c>
      <c r="AB2573" s="111" t="inlineStr">
        <is>
          <t>NAO_COMPUTADO</t>
        </is>
      </c>
      <c r="AC2573" s="112" t="inlineStr">
        <is>
          <t>Estrutura Fase 1: sem impacto no VTA oficial</t>
        </is>
      </c>
    </row>
    <row r="2574" ht="25.5" customHeight="1" s="289">
      <c r="A2574" s="205" t="n"/>
      <c r="B2574" s="207" t="n"/>
      <c r="C2574" s="104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348" t="n"/>
      <c r="E2574" s="349">
        <f>IF(C2574="","",IFERROR(VLOOKUP(C2574,parametros!$A$11:$E$15,5,0),""))</f>
        <v/>
      </c>
      <c r="F2574" s="335">
        <f>IF(OR(D2574="",E2574=""),"",ROUND(D2574*E2574,2))</f>
        <v/>
      </c>
      <c r="G2574" s="106" t="n"/>
      <c r="H2574" s="350">
        <f>IF(G2574="Sim",IF(OR(F2574="",D2574="",L2574=""),"",IF(L2574="Sim",ROUND(F2574-D2574,2),0)),0)</f>
        <v/>
      </c>
      <c r="I2574" s="350">
        <f>IF(G2574="Sim",0,IF(OR(F2574="",L2574=""),"",F2574))</f>
        <v/>
      </c>
      <c r="J2574" s="350">
        <f>IF(G2574="Sim",0,IF(OR(F2574="",D2574="",L2574=""),"",IF(L2574="Sim",ROUND(F2574-D2574,2),0)))</f>
        <v/>
      </c>
      <c r="K2574" s="97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inlineStr">
        <is>
          <t>Nao</t>
        </is>
      </c>
      <c r="W2574" s="110" t="inlineStr">
        <is>
          <t>PC em analise</t>
        </is>
      </c>
      <c r="X2574" s="110" t="inlineStr">
        <is>
          <t>Pedido de Compra</t>
        </is>
      </c>
      <c r="Y2574" s="111" t="inlineStr">
        <is>
          <t>Impacto Potencial</t>
        </is>
      </c>
      <c r="Z2574" s="111" t="inlineStr">
        <is>
          <t>PC</t>
        </is>
      </c>
      <c r="AA2574" s="111" t="inlineStr">
        <is>
          <t>Nao</t>
        </is>
      </c>
      <c r="AB2574" s="111" t="inlineStr">
        <is>
          <t>NAO_COMPUTADO</t>
        </is>
      </c>
      <c r="AC2574" s="112" t="inlineStr">
        <is>
          <t>Estrutura Fase 1: sem impacto no VTA oficial</t>
        </is>
      </c>
    </row>
    <row r="2575" ht="25.5" customHeight="1" s="289">
      <c r="A2575" s="205" t="n"/>
      <c r="B2575" s="207" t="n"/>
      <c r="C2575" s="104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348" t="n"/>
      <c r="E2575" s="349">
        <f>IF(C2575="","",IFERROR(VLOOKUP(C2575,parametros!$A$11:$E$15,5,0),""))</f>
        <v/>
      </c>
      <c r="F2575" s="335">
        <f>IF(OR(D2575="",E2575=""),"",ROUND(D2575*E2575,2))</f>
        <v/>
      </c>
      <c r="G2575" s="106" t="n"/>
      <c r="H2575" s="350">
        <f>IF(G2575="Sim",IF(OR(F2575="",D2575="",L2575=""),"",IF(L2575="Sim",ROUND(F2575-D2575,2),0)),0)</f>
        <v/>
      </c>
      <c r="I2575" s="350">
        <f>IF(G2575="Sim",0,IF(OR(F2575="",L2575=""),"",F2575))</f>
        <v/>
      </c>
      <c r="J2575" s="350">
        <f>IF(G2575="Sim",0,IF(OR(F2575="",D2575="",L2575=""),"",IF(L2575="Sim",ROUND(F2575-D2575,2),0)))</f>
        <v/>
      </c>
      <c r="K2575" s="97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inlineStr">
        <is>
          <t>Nao</t>
        </is>
      </c>
      <c r="W2575" s="110" t="inlineStr">
        <is>
          <t>PC em analise</t>
        </is>
      </c>
      <c r="X2575" s="110" t="inlineStr">
        <is>
          <t>Pedido de Compra</t>
        </is>
      </c>
      <c r="Y2575" s="111" t="inlineStr">
        <is>
          <t>Impacto Potencial</t>
        </is>
      </c>
      <c r="Z2575" s="111" t="inlineStr">
        <is>
          <t>PC</t>
        </is>
      </c>
      <c r="AA2575" s="111" t="inlineStr">
        <is>
          <t>Nao</t>
        </is>
      </c>
      <c r="AB2575" s="111" t="inlineStr">
        <is>
          <t>NAO_COMPUTADO</t>
        </is>
      </c>
      <c r="AC2575" s="112" t="inlineStr">
        <is>
          <t>Estrutura Fase 1: sem impacto no VTA oficial</t>
        </is>
      </c>
    </row>
    <row r="2576" ht="25.5" customHeight="1" s="289">
      <c r="A2576" s="205" t="n"/>
      <c r="B2576" s="207" t="n"/>
      <c r="C2576" s="104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348" t="n"/>
      <c r="E2576" s="349">
        <f>IF(C2576="","",IFERROR(VLOOKUP(C2576,parametros!$A$11:$E$15,5,0),""))</f>
        <v/>
      </c>
      <c r="F2576" s="335">
        <f>IF(OR(D2576="",E2576=""),"",ROUND(D2576*E2576,2))</f>
        <v/>
      </c>
      <c r="G2576" s="106" t="n"/>
      <c r="H2576" s="350">
        <f>IF(G2576="Sim",IF(OR(F2576="",D2576="",L2576=""),"",IF(L2576="Sim",ROUND(F2576-D2576,2),0)),0)</f>
        <v/>
      </c>
      <c r="I2576" s="350">
        <f>IF(G2576="Sim",0,IF(OR(F2576="",L2576=""),"",F2576))</f>
        <v/>
      </c>
      <c r="J2576" s="350">
        <f>IF(G2576="Sim",0,IF(OR(F2576="",D2576="",L2576=""),"",IF(L2576="Sim",ROUND(F2576-D2576,2),0)))</f>
        <v/>
      </c>
      <c r="K2576" s="97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inlineStr">
        <is>
          <t>Nao</t>
        </is>
      </c>
      <c r="W2576" s="110" t="inlineStr">
        <is>
          <t>PC em analise</t>
        </is>
      </c>
      <c r="X2576" s="110" t="inlineStr">
        <is>
          <t>Pedido de Compra</t>
        </is>
      </c>
      <c r="Y2576" s="111" t="inlineStr">
        <is>
          <t>Impacto Potencial</t>
        </is>
      </c>
      <c r="Z2576" s="111" t="inlineStr">
        <is>
          <t>PC</t>
        </is>
      </c>
      <c r="AA2576" s="111" t="inlineStr">
        <is>
          <t>Nao</t>
        </is>
      </c>
      <c r="AB2576" s="111" t="inlineStr">
        <is>
          <t>NAO_COMPUTADO</t>
        </is>
      </c>
      <c r="AC2576" s="112" t="inlineStr">
        <is>
          <t>Estrutura Fase 1: sem impacto no VTA oficial</t>
        </is>
      </c>
    </row>
    <row r="2577" ht="25.5" customHeight="1" s="289">
      <c r="A2577" s="205" t="n"/>
      <c r="B2577" s="207" t="n"/>
      <c r="C2577" s="104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348" t="n"/>
      <c r="E2577" s="349">
        <f>IF(C2577="","",IFERROR(VLOOKUP(C2577,parametros!$A$11:$E$15,5,0),""))</f>
        <v/>
      </c>
      <c r="F2577" s="335">
        <f>IF(OR(D2577="",E2577=""),"",ROUND(D2577*E2577,2))</f>
        <v/>
      </c>
      <c r="G2577" s="106" t="n"/>
      <c r="H2577" s="350">
        <f>IF(G2577="Sim",IF(OR(F2577="",D2577="",L2577=""),"",IF(L2577="Sim",ROUND(F2577-D2577,2),0)),0)</f>
        <v/>
      </c>
      <c r="I2577" s="350">
        <f>IF(G2577="Sim",0,IF(OR(F2577="",L2577=""),"",F2577))</f>
        <v/>
      </c>
      <c r="J2577" s="350">
        <f>IF(G2577="Sim",0,IF(OR(F2577="",D2577="",L2577=""),"",IF(L2577="Sim",ROUND(F2577-D2577,2),0)))</f>
        <v/>
      </c>
      <c r="K2577" s="97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inlineStr">
        <is>
          <t>Nao</t>
        </is>
      </c>
      <c r="W2577" s="110" t="inlineStr">
        <is>
          <t>PC em analise</t>
        </is>
      </c>
      <c r="X2577" s="110" t="inlineStr">
        <is>
          <t>Pedido de Compra</t>
        </is>
      </c>
      <c r="Y2577" s="111" t="inlineStr">
        <is>
          <t>Impacto Potencial</t>
        </is>
      </c>
      <c r="Z2577" s="111" t="inlineStr">
        <is>
          <t>PC</t>
        </is>
      </c>
      <c r="AA2577" s="111" t="inlineStr">
        <is>
          <t>Nao</t>
        </is>
      </c>
      <c r="AB2577" s="111" t="inlineStr">
        <is>
          <t>NAO_COMPUTADO</t>
        </is>
      </c>
      <c r="AC2577" s="112" t="inlineStr">
        <is>
          <t>Estrutura Fase 1: sem impacto no VTA oficial</t>
        </is>
      </c>
    </row>
    <row r="2578" ht="25.5" customHeight="1" s="289">
      <c r="A2578" s="205" t="n"/>
      <c r="B2578" s="207" t="n"/>
      <c r="C2578" s="104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348" t="n"/>
      <c r="E2578" s="349">
        <f>IF(C2578="","",IFERROR(VLOOKUP(C2578,parametros!$A$11:$E$15,5,0),""))</f>
        <v/>
      </c>
      <c r="F2578" s="335">
        <f>IF(OR(D2578="",E2578=""),"",ROUND(D2578*E2578,2))</f>
        <v/>
      </c>
      <c r="G2578" s="106" t="n"/>
      <c r="H2578" s="350">
        <f>IF(G2578="Sim",IF(OR(F2578="",D2578="",L2578=""),"",IF(L2578="Sim",ROUND(F2578-D2578,2),0)),0)</f>
        <v/>
      </c>
      <c r="I2578" s="350">
        <f>IF(G2578="Sim",0,IF(OR(F2578="",L2578=""),"",F2578))</f>
        <v/>
      </c>
      <c r="J2578" s="350">
        <f>IF(G2578="Sim",0,IF(OR(F2578="",D2578="",L2578=""),"",IF(L2578="Sim",ROUND(F2578-D2578,2),0)))</f>
        <v/>
      </c>
      <c r="K2578" s="97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inlineStr">
        <is>
          <t>Nao</t>
        </is>
      </c>
      <c r="W2578" s="110" t="inlineStr">
        <is>
          <t>PC em analise</t>
        </is>
      </c>
      <c r="X2578" s="110" t="inlineStr">
        <is>
          <t>Pedido de Compra</t>
        </is>
      </c>
      <c r="Y2578" s="111" t="inlineStr">
        <is>
          <t>Impacto Potencial</t>
        </is>
      </c>
      <c r="Z2578" s="111" t="inlineStr">
        <is>
          <t>PC</t>
        </is>
      </c>
      <c r="AA2578" s="111" t="inlineStr">
        <is>
          <t>Nao</t>
        </is>
      </c>
      <c r="AB2578" s="111" t="inlineStr">
        <is>
          <t>NAO_COMPUTADO</t>
        </is>
      </c>
      <c r="AC2578" s="112" t="inlineStr">
        <is>
          <t>Estrutura Fase 1: sem impacto no VTA oficial</t>
        </is>
      </c>
    </row>
    <row r="2579" ht="25.5" customHeight="1" s="289">
      <c r="A2579" s="205" t="n"/>
      <c r="B2579" s="207" t="n"/>
      <c r="C2579" s="104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348" t="n"/>
      <c r="E2579" s="349">
        <f>IF(C2579="","",IFERROR(VLOOKUP(C2579,parametros!$A$11:$E$15,5,0),""))</f>
        <v/>
      </c>
      <c r="F2579" s="335">
        <f>IF(OR(D2579="",E2579=""),"",ROUND(D2579*E2579,2))</f>
        <v/>
      </c>
      <c r="G2579" s="106" t="n"/>
      <c r="H2579" s="350">
        <f>IF(G2579="Sim",IF(OR(F2579="",D2579="",L2579=""),"",IF(L2579="Sim",ROUND(F2579-D2579,2),0)),0)</f>
        <v/>
      </c>
      <c r="I2579" s="350">
        <f>IF(G2579="Sim",0,IF(OR(F2579="",L2579=""),"",F2579))</f>
        <v/>
      </c>
      <c r="J2579" s="350">
        <f>IF(G2579="Sim",0,IF(OR(F2579="",D2579="",L2579=""),"",IF(L2579="Sim",ROUND(F2579-D2579,2),0)))</f>
        <v/>
      </c>
      <c r="K2579" s="97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inlineStr">
        <is>
          <t>Nao</t>
        </is>
      </c>
      <c r="W2579" s="110" t="inlineStr">
        <is>
          <t>PC em analise</t>
        </is>
      </c>
      <c r="X2579" s="110" t="inlineStr">
        <is>
          <t>Pedido de Compra</t>
        </is>
      </c>
      <c r="Y2579" s="111" t="inlineStr">
        <is>
          <t>Impacto Potencial</t>
        </is>
      </c>
      <c r="Z2579" s="111" t="inlineStr">
        <is>
          <t>PC</t>
        </is>
      </c>
      <c r="AA2579" s="111" t="inlineStr">
        <is>
          <t>Nao</t>
        </is>
      </c>
      <c r="AB2579" s="111" t="inlineStr">
        <is>
          <t>NAO_COMPUTADO</t>
        </is>
      </c>
      <c r="AC2579" s="112" t="inlineStr">
        <is>
          <t>Estrutura Fase 1: sem impacto no VTA oficial</t>
        </is>
      </c>
    </row>
    <row r="2580" ht="25.5" customHeight="1" s="289">
      <c r="A2580" s="205" t="n"/>
      <c r="B2580" s="207" t="n"/>
      <c r="C2580" s="104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348" t="n"/>
      <c r="E2580" s="349">
        <f>IF(C2580="","",IFERROR(VLOOKUP(C2580,parametros!$A$11:$E$15,5,0),""))</f>
        <v/>
      </c>
      <c r="F2580" s="335">
        <f>IF(OR(D2580="",E2580=""),"",ROUND(D2580*E2580,2))</f>
        <v/>
      </c>
      <c r="G2580" s="106" t="n"/>
      <c r="H2580" s="350">
        <f>IF(G2580="Sim",IF(OR(F2580="",D2580="",L2580=""),"",IF(L2580="Sim",ROUND(F2580-D2580,2),0)),0)</f>
        <v/>
      </c>
      <c r="I2580" s="350">
        <f>IF(G2580="Sim",0,IF(OR(F2580="",L2580=""),"",F2580))</f>
        <v/>
      </c>
      <c r="J2580" s="350">
        <f>IF(G2580="Sim",0,IF(OR(F2580="",D2580="",L2580=""),"",IF(L2580="Sim",ROUND(F2580-D2580,2),0)))</f>
        <v/>
      </c>
      <c r="K2580" s="97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inlineStr">
        <is>
          <t>Nao</t>
        </is>
      </c>
      <c r="W2580" s="110" t="inlineStr">
        <is>
          <t>PC em analise</t>
        </is>
      </c>
      <c r="X2580" s="110" t="inlineStr">
        <is>
          <t>Pedido de Compra</t>
        </is>
      </c>
      <c r="Y2580" s="111" t="inlineStr">
        <is>
          <t>Impacto Potencial</t>
        </is>
      </c>
      <c r="Z2580" s="111" t="inlineStr">
        <is>
          <t>PC</t>
        </is>
      </c>
      <c r="AA2580" s="111" t="inlineStr">
        <is>
          <t>Nao</t>
        </is>
      </c>
      <c r="AB2580" s="111" t="inlineStr">
        <is>
          <t>NAO_COMPUTADO</t>
        </is>
      </c>
      <c r="AC2580" s="112" t="inlineStr">
        <is>
          <t>Estrutura Fase 1: sem impacto no VTA oficial</t>
        </is>
      </c>
    </row>
    <row r="2581" ht="25.5" customHeight="1" s="289">
      <c r="A2581" s="205" t="n"/>
      <c r="B2581" s="207" t="n"/>
      <c r="C2581" s="104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348" t="n"/>
      <c r="E2581" s="349">
        <f>IF(C2581="","",IFERROR(VLOOKUP(C2581,parametros!$A$11:$E$15,5,0),""))</f>
        <v/>
      </c>
      <c r="F2581" s="335">
        <f>IF(OR(D2581="",E2581=""),"",ROUND(D2581*E2581,2))</f>
        <v/>
      </c>
      <c r="G2581" s="106" t="n"/>
      <c r="H2581" s="350">
        <f>IF(G2581="Sim",IF(OR(F2581="",D2581="",L2581=""),"",IF(L2581="Sim",ROUND(F2581-D2581,2),0)),0)</f>
        <v/>
      </c>
      <c r="I2581" s="350">
        <f>IF(G2581="Sim",0,IF(OR(F2581="",L2581=""),"",F2581))</f>
        <v/>
      </c>
      <c r="J2581" s="350">
        <f>IF(G2581="Sim",0,IF(OR(F2581="",D2581="",L2581=""),"",IF(L2581="Sim",ROUND(F2581-D2581,2),0)))</f>
        <v/>
      </c>
      <c r="K2581" s="97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inlineStr">
        <is>
          <t>Nao</t>
        </is>
      </c>
      <c r="W2581" s="110" t="inlineStr">
        <is>
          <t>PC em analise</t>
        </is>
      </c>
      <c r="X2581" s="110" t="inlineStr">
        <is>
          <t>Pedido de Compra</t>
        </is>
      </c>
      <c r="Y2581" s="111" t="inlineStr">
        <is>
          <t>Impacto Potencial</t>
        </is>
      </c>
      <c r="Z2581" s="111" t="inlineStr">
        <is>
          <t>PC</t>
        </is>
      </c>
      <c r="AA2581" s="111" t="inlineStr">
        <is>
          <t>Nao</t>
        </is>
      </c>
      <c r="AB2581" s="111" t="inlineStr">
        <is>
          <t>NAO_COMPUTADO</t>
        </is>
      </c>
      <c r="AC2581" s="112" t="inlineStr">
        <is>
          <t>Estrutura Fase 1: sem impacto no VTA oficial</t>
        </is>
      </c>
    </row>
    <row r="2582" ht="25.5" customHeight="1" s="289">
      <c r="A2582" s="205" t="n"/>
      <c r="B2582" s="207" t="n"/>
      <c r="C2582" s="104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348" t="n"/>
      <c r="E2582" s="349">
        <f>IF(C2582="","",IFERROR(VLOOKUP(C2582,parametros!$A$11:$E$15,5,0),""))</f>
        <v/>
      </c>
      <c r="F2582" s="335">
        <f>IF(OR(D2582="",E2582=""),"",ROUND(D2582*E2582,2))</f>
        <v/>
      </c>
      <c r="G2582" s="106" t="n"/>
      <c r="H2582" s="350">
        <f>IF(G2582="Sim",IF(OR(F2582="",D2582="",L2582=""),"",IF(L2582="Sim",ROUND(F2582-D2582,2),0)),0)</f>
        <v/>
      </c>
      <c r="I2582" s="350">
        <f>IF(G2582="Sim",0,IF(OR(F2582="",L2582=""),"",F2582))</f>
        <v/>
      </c>
      <c r="J2582" s="350">
        <f>IF(G2582="Sim",0,IF(OR(F2582="",D2582="",L2582=""),"",IF(L2582="Sim",ROUND(F2582-D2582,2),0)))</f>
        <v/>
      </c>
      <c r="K2582" s="97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inlineStr">
        <is>
          <t>Nao</t>
        </is>
      </c>
      <c r="W2582" s="110" t="inlineStr">
        <is>
          <t>PC em analise</t>
        </is>
      </c>
      <c r="X2582" s="110" t="inlineStr">
        <is>
          <t>Pedido de Compra</t>
        </is>
      </c>
      <c r="Y2582" s="111" t="inlineStr">
        <is>
          <t>Impacto Potencial</t>
        </is>
      </c>
      <c r="Z2582" s="111" t="inlineStr">
        <is>
          <t>PC</t>
        </is>
      </c>
      <c r="AA2582" s="111" t="inlineStr">
        <is>
          <t>Nao</t>
        </is>
      </c>
      <c r="AB2582" s="111" t="inlineStr">
        <is>
          <t>NAO_COMPUTADO</t>
        </is>
      </c>
      <c r="AC2582" s="112" t="inlineStr">
        <is>
          <t>Estrutura Fase 1: sem impacto no VTA oficial</t>
        </is>
      </c>
    </row>
    <row r="2583" ht="25.5" customHeight="1" s="289">
      <c r="A2583" s="205" t="n"/>
      <c r="B2583" s="207" t="n"/>
      <c r="C2583" s="104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348" t="n"/>
      <c r="E2583" s="349">
        <f>IF(C2583="","",IFERROR(VLOOKUP(C2583,parametros!$A$11:$E$15,5,0),""))</f>
        <v/>
      </c>
      <c r="F2583" s="335">
        <f>IF(OR(D2583="",E2583=""),"",ROUND(D2583*E2583,2))</f>
        <v/>
      </c>
      <c r="G2583" s="106" t="n"/>
      <c r="H2583" s="350">
        <f>IF(G2583="Sim",IF(OR(F2583="",D2583="",L2583=""),"",IF(L2583="Sim",ROUND(F2583-D2583,2),0)),0)</f>
        <v/>
      </c>
      <c r="I2583" s="350">
        <f>IF(G2583="Sim",0,IF(OR(F2583="",L2583=""),"",F2583))</f>
        <v/>
      </c>
      <c r="J2583" s="350">
        <f>IF(G2583="Sim",0,IF(OR(F2583="",D2583="",L2583=""),"",IF(L2583="Sim",ROUND(F2583-D2583,2),0)))</f>
        <v/>
      </c>
      <c r="K2583" s="97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inlineStr">
        <is>
          <t>Nao</t>
        </is>
      </c>
      <c r="W2583" s="110" t="inlineStr">
        <is>
          <t>PC em analise</t>
        </is>
      </c>
      <c r="X2583" s="110" t="inlineStr">
        <is>
          <t>Pedido de Compra</t>
        </is>
      </c>
      <c r="Y2583" s="111" t="inlineStr">
        <is>
          <t>Impacto Potencial</t>
        </is>
      </c>
      <c r="Z2583" s="111" t="inlineStr">
        <is>
          <t>PC</t>
        </is>
      </c>
      <c r="AA2583" s="111" t="inlineStr">
        <is>
          <t>Nao</t>
        </is>
      </c>
      <c r="AB2583" s="111" t="inlineStr">
        <is>
          <t>NAO_COMPUTADO</t>
        </is>
      </c>
      <c r="AC2583" s="112" t="inlineStr">
        <is>
          <t>Estrutura Fase 1: sem impacto no VTA oficial</t>
        </is>
      </c>
    </row>
    <row r="2584" ht="25.5" customHeight="1" s="289">
      <c r="A2584" s="205" t="n"/>
      <c r="B2584" s="207" t="n"/>
      <c r="C2584" s="104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348" t="n"/>
      <c r="E2584" s="349">
        <f>IF(C2584="","",IFERROR(VLOOKUP(C2584,parametros!$A$11:$E$15,5,0),""))</f>
        <v/>
      </c>
      <c r="F2584" s="335">
        <f>IF(OR(D2584="",E2584=""),"",ROUND(D2584*E2584,2))</f>
        <v/>
      </c>
      <c r="G2584" s="106" t="n"/>
      <c r="H2584" s="350">
        <f>IF(G2584="Sim",IF(OR(F2584="",D2584="",L2584=""),"",IF(L2584="Sim",ROUND(F2584-D2584,2),0)),0)</f>
        <v/>
      </c>
      <c r="I2584" s="350">
        <f>IF(G2584="Sim",0,IF(OR(F2584="",L2584=""),"",F2584))</f>
        <v/>
      </c>
      <c r="J2584" s="350">
        <f>IF(G2584="Sim",0,IF(OR(F2584="",D2584="",L2584=""),"",IF(L2584="Sim",ROUND(F2584-D2584,2),0)))</f>
        <v/>
      </c>
      <c r="K2584" s="97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inlineStr">
        <is>
          <t>Nao</t>
        </is>
      </c>
      <c r="W2584" s="110" t="inlineStr">
        <is>
          <t>PC em analise</t>
        </is>
      </c>
      <c r="X2584" s="110" t="inlineStr">
        <is>
          <t>Pedido de Compra</t>
        </is>
      </c>
      <c r="Y2584" s="111" t="inlineStr">
        <is>
          <t>Impacto Potencial</t>
        </is>
      </c>
      <c r="Z2584" s="111" t="inlineStr">
        <is>
          <t>PC</t>
        </is>
      </c>
      <c r="AA2584" s="111" t="inlineStr">
        <is>
          <t>Nao</t>
        </is>
      </c>
      <c r="AB2584" s="111" t="inlineStr">
        <is>
          <t>NAO_COMPUTADO</t>
        </is>
      </c>
      <c r="AC2584" s="112" t="inlineStr">
        <is>
          <t>Estrutura Fase 1: sem impacto no VTA oficial</t>
        </is>
      </c>
    </row>
    <row r="2585" ht="25.5" customHeight="1" s="289">
      <c r="A2585" s="205" t="n"/>
      <c r="B2585" s="207" t="n"/>
      <c r="C2585" s="104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348" t="n"/>
      <c r="E2585" s="349">
        <f>IF(C2585="","",IFERROR(VLOOKUP(C2585,parametros!$A$11:$E$15,5,0),""))</f>
        <v/>
      </c>
      <c r="F2585" s="335">
        <f>IF(OR(D2585="",E2585=""),"",ROUND(D2585*E2585,2))</f>
        <v/>
      </c>
      <c r="G2585" s="106" t="n"/>
      <c r="H2585" s="350">
        <f>IF(G2585="Sim",IF(OR(F2585="",D2585="",L2585=""),"",IF(L2585="Sim",ROUND(F2585-D2585,2),0)),0)</f>
        <v/>
      </c>
      <c r="I2585" s="350">
        <f>IF(G2585="Sim",0,IF(OR(F2585="",L2585=""),"",F2585))</f>
        <v/>
      </c>
      <c r="J2585" s="350">
        <f>IF(G2585="Sim",0,IF(OR(F2585="",D2585="",L2585=""),"",IF(L2585="Sim",ROUND(F2585-D2585,2),0)))</f>
        <v/>
      </c>
      <c r="K2585" s="97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inlineStr">
        <is>
          <t>Nao</t>
        </is>
      </c>
      <c r="W2585" s="110" t="inlineStr">
        <is>
          <t>PC em analise</t>
        </is>
      </c>
      <c r="X2585" s="110" t="inlineStr">
        <is>
          <t>Pedido de Compra</t>
        </is>
      </c>
      <c r="Y2585" s="111" t="inlineStr">
        <is>
          <t>Impacto Potencial</t>
        </is>
      </c>
      <c r="Z2585" s="111" t="inlineStr">
        <is>
          <t>PC</t>
        </is>
      </c>
      <c r="AA2585" s="111" t="inlineStr">
        <is>
          <t>Nao</t>
        </is>
      </c>
      <c r="AB2585" s="111" t="inlineStr">
        <is>
          <t>NAO_COMPUTADO</t>
        </is>
      </c>
      <c r="AC2585" s="112" t="inlineStr">
        <is>
          <t>Estrutura Fase 1: sem impacto no VTA oficial</t>
        </is>
      </c>
    </row>
    <row r="2586" ht="25.5" customHeight="1" s="289">
      <c r="A2586" s="205" t="n"/>
      <c r="B2586" s="207" t="n"/>
      <c r="C2586" s="104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348" t="n"/>
      <c r="E2586" s="349">
        <f>IF(C2586="","",IFERROR(VLOOKUP(C2586,parametros!$A$11:$E$15,5,0),""))</f>
        <v/>
      </c>
      <c r="F2586" s="335">
        <f>IF(OR(D2586="",E2586=""),"",ROUND(D2586*E2586,2))</f>
        <v/>
      </c>
      <c r="G2586" s="106" t="n"/>
      <c r="H2586" s="350">
        <f>IF(G2586="Sim",IF(OR(F2586="",D2586="",L2586=""),"",IF(L2586="Sim",ROUND(F2586-D2586,2),0)),0)</f>
        <v/>
      </c>
      <c r="I2586" s="350">
        <f>IF(G2586="Sim",0,IF(OR(F2586="",L2586=""),"",F2586))</f>
        <v/>
      </c>
      <c r="J2586" s="350">
        <f>IF(G2586="Sim",0,IF(OR(F2586="",D2586="",L2586=""),"",IF(L2586="Sim",ROUND(F2586-D2586,2),0)))</f>
        <v/>
      </c>
      <c r="K2586" s="97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inlineStr">
        <is>
          <t>Nao</t>
        </is>
      </c>
      <c r="W2586" s="110" t="inlineStr">
        <is>
          <t>PC em analise</t>
        </is>
      </c>
      <c r="X2586" s="110" t="inlineStr">
        <is>
          <t>Pedido de Compra</t>
        </is>
      </c>
      <c r="Y2586" s="111" t="inlineStr">
        <is>
          <t>Impacto Potencial</t>
        </is>
      </c>
      <c r="Z2586" s="111" t="inlineStr">
        <is>
          <t>PC</t>
        </is>
      </c>
      <c r="AA2586" s="111" t="inlineStr">
        <is>
          <t>Nao</t>
        </is>
      </c>
      <c r="AB2586" s="111" t="inlineStr">
        <is>
          <t>NAO_COMPUTADO</t>
        </is>
      </c>
      <c r="AC2586" s="112" t="inlineStr">
        <is>
          <t>Estrutura Fase 1: sem impacto no VTA oficial</t>
        </is>
      </c>
    </row>
    <row r="2587" ht="25.5" customHeight="1" s="289">
      <c r="A2587" s="205" t="n"/>
      <c r="B2587" s="207" t="n"/>
      <c r="C2587" s="104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348" t="n"/>
      <c r="E2587" s="349">
        <f>IF(C2587="","",IFERROR(VLOOKUP(C2587,parametros!$A$11:$E$15,5,0),""))</f>
        <v/>
      </c>
      <c r="F2587" s="335">
        <f>IF(OR(D2587="",E2587=""),"",ROUND(D2587*E2587,2))</f>
        <v/>
      </c>
      <c r="G2587" s="106" t="n"/>
      <c r="H2587" s="350">
        <f>IF(G2587="Sim",IF(OR(F2587="",D2587="",L2587=""),"",IF(L2587="Sim",ROUND(F2587-D2587,2),0)),0)</f>
        <v/>
      </c>
      <c r="I2587" s="350">
        <f>IF(G2587="Sim",0,IF(OR(F2587="",L2587=""),"",F2587))</f>
        <v/>
      </c>
      <c r="J2587" s="350">
        <f>IF(G2587="Sim",0,IF(OR(F2587="",D2587="",L2587=""),"",IF(L2587="Sim",ROUND(F2587-D2587,2),0)))</f>
        <v/>
      </c>
      <c r="K2587" s="97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inlineStr">
        <is>
          <t>Nao</t>
        </is>
      </c>
      <c r="W2587" s="110" t="inlineStr">
        <is>
          <t>PC em analise</t>
        </is>
      </c>
      <c r="X2587" s="110" t="inlineStr">
        <is>
          <t>Pedido de Compra</t>
        </is>
      </c>
      <c r="Y2587" s="111" t="inlineStr">
        <is>
          <t>Impacto Potencial</t>
        </is>
      </c>
      <c r="Z2587" s="111" t="inlineStr">
        <is>
          <t>PC</t>
        </is>
      </c>
      <c r="AA2587" s="111" t="inlineStr">
        <is>
          <t>Nao</t>
        </is>
      </c>
      <c r="AB2587" s="111" t="inlineStr">
        <is>
          <t>NAO_COMPUTADO</t>
        </is>
      </c>
      <c r="AC2587" s="112" t="inlineStr">
        <is>
          <t>Estrutura Fase 1: sem impacto no VTA oficial</t>
        </is>
      </c>
    </row>
    <row r="2588" ht="25.5" customHeight="1" s="289">
      <c r="A2588" s="205" t="n"/>
      <c r="B2588" s="207" t="n"/>
      <c r="C2588" s="104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348" t="n"/>
      <c r="E2588" s="349">
        <f>IF(C2588="","",IFERROR(VLOOKUP(C2588,parametros!$A$11:$E$15,5,0),""))</f>
        <v/>
      </c>
      <c r="F2588" s="335">
        <f>IF(OR(D2588="",E2588=""),"",ROUND(D2588*E2588,2))</f>
        <v/>
      </c>
      <c r="G2588" s="106" t="n"/>
      <c r="H2588" s="350">
        <f>IF(G2588="Sim",IF(OR(F2588="",D2588="",L2588=""),"",IF(L2588="Sim",ROUND(F2588-D2588,2),0)),0)</f>
        <v/>
      </c>
      <c r="I2588" s="350">
        <f>IF(G2588="Sim",0,IF(OR(F2588="",L2588=""),"",F2588))</f>
        <v/>
      </c>
      <c r="J2588" s="350">
        <f>IF(G2588="Sim",0,IF(OR(F2588="",D2588="",L2588=""),"",IF(L2588="Sim",ROUND(F2588-D2588,2),0)))</f>
        <v/>
      </c>
      <c r="K2588" s="97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inlineStr">
        <is>
          <t>Nao</t>
        </is>
      </c>
      <c r="W2588" s="110" t="inlineStr">
        <is>
          <t>PC em analise</t>
        </is>
      </c>
      <c r="X2588" s="110" t="inlineStr">
        <is>
          <t>Pedido de Compra</t>
        </is>
      </c>
      <c r="Y2588" s="111" t="inlineStr">
        <is>
          <t>Impacto Potencial</t>
        </is>
      </c>
      <c r="Z2588" s="111" t="inlineStr">
        <is>
          <t>PC</t>
        </is>
      </c>
      <c r="AA2588" s="111" t="inlineStr">
        <is>
          <t>Nao</t>
        </is>
      </c>
      <c r="AB2588" s="111" t="inlineStr">
        <is>
          <t>NAO_COMPUTADO</t>
        </is>
      </c>
      <c r="AC2588" s="112" t="inlineStr">
        <is>
          <t>Estrutura Fase 1: sem impacto no VTA oficial</t>
        </is>
      </c>
    </row>
    <row r="2589" ht="25.5" customHeight="1" s="289">
      <c r="A2589" s="205" t="n"/>
      <c r="B2589" s="207" t="n"/>
      <c r="C2589" s="104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348" t="n"/>
      <c r="E2589" s="349">
        <f>IF(C2589="","",IFERROR(VLOOKUP(C2589,parametros!$A$11:$E$15,5,0),""))</f>
        <v/>
      </c>
      <c r="F2589" s="335">
        <f>IF(OR(D2589="",E2589=""),"",ROUND(D2589*E2589,2))</f>
        <v/>
      </c>
      <c r="G2589" s="106" t="n"/>
      <c r="H2589" s="350">
        <f>IF(G2589="Sim",IF(OR(F2589="",D2589="",L2589=""),"",IF(L2589="Sim",ROUND(F2589-D2589,2),0)),0)</f>
        <v/>
      </c>
      <c r="I2589" s="350">
        <f>IF(G2589="Sim",0,IF(OR(F2589="",L2589=""),"",F2589))</f>
        <v/>
      </c>
      <c r="J2589" s="350">
        <f>IF(G2589="Sim",0,IF(OR(F2589="",D2589="",L2589=""),"",IF(L2589="Sim",ROUND(F2589-D2589,2),0)))</f>
        <v/>
      </c>
      <c r="K2589" s="97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inlineStr">
        <is>
          <t>Nao</t>
        </is>
      </c>
      <c r="W2589" s="110" t="inlineStr">
        <is>
          <t>PC em analise</t>
        </is>
      </c>
      <c r="X2589" s="110" t="inlineStr">
        <is>
          <t>Pedido de Compra</t>
        </is>
      </c>
      <c r="Y2589" s="111" t="inlineStr">
        <is>
          <t>Impacto Potencial</t>
        </is>
      </c>
      <c r="Z2589" s="111" t="inlineStr">
        <is>
          <t>PC</t>
        </is>
      </c>
      <c r="AA2589" s="111" t="inlineStr">
        <is>
          <t>Nao</t>
        </is>
      </c>
      <c r="AB2589" s="111" t="inlineStr">
        <is>
          <t>NAO_COMPUTADO</t>
        </is>
      </c>
      <c r="AC2589" s="112" t="inlineStr">
        <is>
          <t>Estrutura Fase 1: sem impacto no VTA oficial</t>
        </is>
      </c>
    </row>
    <row r="2590" ht="25.5" customHeight="1" s="289">
      <c r="A2590" s="205" t="n"/>
      <c r="B2590" s="207" t="n"/>
      <c r="C2590" s="104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348" t="n"/>
      <c r="E2590" s="349">
        <f>IF(C2590="","",IFERROR(VLOOKUP(C2590,parametros!$A$11:$E$15,5,0),""))</f>
        <v/>
      </c>
      <c r="F2590" s="335">
        <f>IF(OR(D2590="",E2590=""),"",ROUND(D2590*E2590,2))</f>
        <v/>
      </c>
      <c r="G2590" s="106" t="n"/>
      <c r="H2590" s="350">
        <f>IF(G2590="Sim",IF(OR(F2590="",D2590="",L2590=""),"",IF(L2590="Sim",ROUND(F2590-D2590,2),0)),0)</f>
        <v/>
      </c>
      <c r="I2590" s="350">
        <f>IF(G2590="Sim",0,IF(OR(F2590="",L2590=""),"",F2590))</f>
        <v/>
      </c>
      <c r="J2590" s="350">
        <f>IF(G2590="Sim",0,IF(OR(F2590="",D2590="",L2590=""),"",IF(L2590="Sim",ROUND(F2590-D2590,2),0)))</f>
        <v/>
      </c>
      <c r="K2590" s="97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inlineStr">
        <is>
          <t>Nao</t>
        </is>
      </c>
      <c r="W2590" s="110" t="inlineStr">
        <is>
          <t>PC em analise</t>
        </is>
      </c>
      <c r="X2590" s="110" t="inlineStr">
        <is>
          <t>Pedido de Compra</t>
        </is>
      </c>
      <c r="Y2590" s="111" t="inlineStr">
        <is>
          <t>Impacto Potencial</t>
        </is>
      </c>
      <c r="Z2590" s="111" t="inlineStr">
        <is>
          <t>PC</t>
        </is>
      </c>
      <c r="AA2590" s="111" t="inlineStr">
        <is>
          <t>Nao</t>
        </is>
      </c>
      <c r="AB2590" s="111" t="inlineStr">
        <is>
          <t>NAO_COMPUTADO</t>
        </is>
      </c>
      <c r="AC2590" s="112" t="inlineStr">
        <is>
          <t>Estrutura Fase 1: sem impacto no VTA oficial</t>
        </is>
      </c>
    </row>
    <row r="2591" ht="25.5" customHeight="1" s="289">
      <c r="A2591" s="205" t="n"/>
      <c r="B2591" s="207" t="n"/>
      <c r="C2591" s="104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348" t="n"/>
      <c r="E2591" s="349">
        <f>IF(C2591="","",IFERROR(VLOOKUP(C2591,parametros!$A$11:$E$15,5,0),""))</f>
        <v/>
      </c>
      <c r="F2591" s="335">
        <f>IF(OR(D2591="",E2591=""),"",ROUND(D2591*E2591,2))</f>
        <v/>
      </c>
      <c r="G2591" s="106" t="n"/>
      <c r="H2591" s="350">
        <f>IF(G2591="Sim",IF(OR(F2591="",D2591="",L2591=""),"",IF(L2591="Sim",ROUND(F2591-D2591,2),0)),0)</f>
        <v/>
      </c>
      <c r="I2591" s="350">
        <f>IF(G2591="Sim",0,IF(OR(F2591="",L2591=""),"",F2591))</f>
        <v/>
      </c>
      <c r="J2591" s="350">
        <f>IF(G2591="Sim",0,IF(OR(F2591="",D2591="",L2591=""),"",IF(L2591="Sim",ROUND(F2591-D2591,2),0)))</f>
        <v/>
      </c>
      <c r="K2591" s="97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inlineStr">
        <is>
          <t>Nao</t>
        </is>
      </c>
      <c r="W2591" s="110" t="inlineStr">
        <is>
          <t>PC em analise</t>
        </is>
      </c>
      <c r="X2591" s="110" t="inlineStr">
        <is>
          <t>Pedido de Compra</t>
        </is>
      </c>
      <c r="Y2591" s="111" t="inlineStr">
        <is>
          <t>Impacto Potencial</t>
        </is>
      </c>
      <c r="Z2591" s="111" t="inlineStr">
        <is>
          <t>PC</t>
        </is>
      </c>
      <c r="AA2591" s="111" t="inlineStr">
        <is>
          <t>Nao</t>
        </is>
      </c>
      <c r="AB2591" s="111" t="inlineStr">
        <is>
          <t>NAO_COMPUTADO</t>
        </is>
      </c>
      <c r="AC2591" s="112" t="inlineStr">
        <is>
          <t>Estrutura Fase 1: sem impacto no VTA oficial</t>
        </is>
      </c>
    </row>
    <row r="2592" ht="25.5" customHeight="1" s="289">
      <c r="A2592" s="205" t="n"/>
      <c r="B2592" s="207" t="n"/>
      <c r="C2592" s="104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348" t="n"/>
      <c r="E2592" s="349">
        <f>IF(C2592="","",IFERROR(VLOOKUP(C2592,parametros!$A$11:$E$15,5,0),""))</f>
        <v/>
      </c>
      <c r="F2592" s="335">
        <f>IF(OR(D2592="",E2592=""),"",ROUND(D2592*E2592,2))</f>
        <v/>
      </c>
      <c r="G2592" s="106" t="n"/>
      <c r="H2592" s="350">
        <f>IF(G2592="Sim",IF(OR(F2592="",D2592="",L2592=""),"",IF(L2592="Sim",ROUND(F2592-D2592,2),0)),0)</f>
        <v/>
      </c>
      <c r="I2592" s="350">
        <f>IF(G2592="Sim",0,IF(OR(F2592="",L2592=""),"",F2592))</f>
        <v/>
      </c>
      <c r="J2592" s="350">
        <f>IF(G2592="Sim",0,IF(OR(F2592="",D2592="",L2592=""),"",IF(L2592="Sim",ROUND(F2592-D2592,2),0)))</f>
        <v/>
      </c>
      <c r="K2592" s="97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inlineStr">
        <is>
          <t>Nao</t>
        </is>
      </c>
      <c r="W2592" s="110" t="inlineStr">
        <is>
          <t>PC em analise</t>
        </is>
      </c>
      <c r="X2592" s="110" t="inlineStr">
        <is>
          <t>Pedido de Compra</t>
        </is>
      </c>
      <c r="Y2592" s="111" t="inlineStr">
        <is>
          <t>Impacto Potencial</t>
        </is>
      </c>
      <c r="Z2592" s="111" t="inlineStr">
        <is>
          <t>PC</t>
        </is>
      </c>
      <c r="AA2592" s="111" t="inlineStr">
        <is>
          <t>Nao</t>
        </is>
      </c>
      <c r="AB2592" s="111" t="inlineStr">
        <is>
          <t>NAO_COMPUTADO</t>
        </is>
      </c>
      <c r="AC2592" s="112" t="inlineStr">
        <is>
          <t>Estrutura Fase 1: sem impacto no VTA oficial</t>
        </is>
      </c>
    </row>
    <row r="2593" ht="25.5" customHeight="1" s="289">
      <c r="A2593" s="205" t="n"/>
      <c r="B2593" s="207" t="n"/>
      <c r="C2593" s="104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348" t="n"/>
      <c r="E2593" s="349">
        <f>IF(C2593="","",IFERROR(VLOOKUP(C2593,parametros!$A$11:$E$15,5,0),""))</f>
        <v/>
      </c>
      <c r="F2593" s="335">
        <f>IF(OR(D2593="",E2593=""),"",ROUND(D2593*E2593,2))</f>
        <v/>
      </c>
      <c r="G2593" s="106" t="n"/>
      <c r="H2593" s="350">
        <f>IF(G2593="Sim",IF(OR(F2593="",D2593="",L2593=""),"",IF(L2593="Sim",ROUND(F2593-D2593,2),0)),0)</f>
        <v/>
      </c>
      <c r="I2593" s="350">
        <f>IF(G2593="Sim",0,IF(OR(F2593="",L2593=""),"",F2593))</f>
        <v/>
      </c>
      <c r="J2593" s="350">
        <f>IF(G2593="Sim",0,IF(OR(F2593="",D2593="",L2593=""),"",IF(L2593="Sim",ROUND(F2593-D2593,2),0)))</f>
        <v/>
      </c>
      <c r="K2593" s="97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inlineStr">
        <is>
          <t>Nao</t>
        </is>
      </c>
      <c r="W2593" s="110" t="inlineStr">
        <is>
          <t>PC em analise</t>
        </is>
      </c>
      <c r="X2593" s="110" t="inlineStr">
        <is>
          <t>Pedido de Compra</t>
        </is>
      </c>
      <c r="Y2593" s="111" t="inlineStr">
        <is>
          <t>Impacto Potencial</t>
        </is>
      </c>
      <c r="Z2593" s="111" t="inlineStr">
        <is>
          <t>PC</t>
        </is>
      </c>
      <c r="AA2593" s="111" t="inlineStr">
        <is>
          <t>Nao</t>
        </is>
      </c>
      <c r="AB2593" s="111" t="inlineStr">
        <is>
          <t>NAO_COMPUTADO</t>
        </is>
      </c>
      <c r="AC2593" s="112" t="inlineStr">
        <is>
          <t>Estrutura Fase 1: sem impacto no VTA oficial</t>
        </is>
      </c>
    </row>
    <row r="2594" ht="25.5" customHeight="1" s="289">
      <c r="A2594" s="205" t="n"/>
      <c r="B2594" s="207" t="n"/>
      <c r="C2594" s="104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348" t="n"/>
      <c r="E2594" s="349">
        <f>IF(C2594="","",IFERROR(VLOOKUP(C2594,parametros!$A$11:$E$15,5,0),""))</f>
        <v/>
      </c>
      <c r="F2594" s="335">
        <f>IF(OR(D2594="",E2594=""),"",ROUND(D2594*E2594,2))</f>
        <v/>
      </c>
      <c r="G2594" s="106" t="n"/>
      <c r="H2594" s="350">
        <f>IF(G2594="Sim",IF(OR(F2594="",D2594="",L2594=""),"",IF(L2594="Sim",ROUND(F2594-D2594,2),0)),0)</f>
        <v/>
      </c>
      <c r="I2594" s="350">
        <f>IF(G2594="Sim",0,IF(OR(F2594="",L2594=""),"",F2594))</f>
        <v/>
      </c>
      <c r="J2594" s="350">
        <f>IF(G2594="Sim",0,IF(OR(F2594="",D2594="",L2594=""),"",IF(L2594="Sim",ROUND(F2594-D2594,2),0)))</f>
        <v/>
      </c>
      <c r="K2594" s="97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inlineStr">
        <is>
          <t>Nao</t>
        </is>
      </c>
      <c r="W2594" s="110" t="inlineStr">
        <is>
          <t>PC em analise</t>
        </is>
      </c>
      <c r="X2594" s="110" t="inlineStr">
        <is>
          <t>Pedido de Compra</t>
        </is>
      </c>
      <c r="Y2594" s="111" t="inlineStr">
        <is>
          <t>Impacto Potencial</t>
        </is>
      </c>
      <c r="Z2594" s="111" t="inlineStr">
        <is>
          <t>PC</t>
        </is>
      </c>
      <c r="AA2594" s="111" t="inlineStr">
        <is>
          <t>Nao</t>
        </is>
      </c>
      <c r="AB2594" s="111" t="inlineStr">
        <is>
          <t>NAO_COMPUTADO</t>
        </is>
      </c>
      <c r="AC2594" s="112" t="inlineStr">
        <is>
          <t>Estrutura Fase 1: sem impacto no VTA oficial</t>
        </is>
      </c>
    </row>
    <row r="2595" ht="25.5" customHeight="1" s="289">
      <c r="A2595" s="205" t="n"/>
      <c r="B2595" s="207" t="n"/>
      <c r="C2595" s="104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348" t="n"/>
      <c r="E2595" s="349">
        <f>IF(C2595="","",IFERROR(VLOOKUP(C2595,parametros!$A$11:$E$15,5,0),""))</f>
        <v/>
      </c>
      <c r="F2595" s="335">
        <f>IF(OR(D2595="",E2595=""),"",ROUND(D2595*E2595,2))</f>
        <v/>
      </c>
      <c r="G2595" s="106" t="n"/>
      <c r="H2595" s="350">
        <f>IF(G2595="Sim",IF(OR(F2595="",D2595="",L2595=""),"",IF(L2595="Sim",ROUND(F2595-D2595,2),0)),0)</f>
        <v/>
      </c>
      <c r="I2595" s="350">
        <f>IF(G2595="Sim",0,IF(OR(F2595="",L2595=""),"",F2595))</f>
        <v/>
      </c>
      <c r="J2595" s="350">
        <f>IF(G2595="Sim",0,IF(OR(F2595="",D2595="",L2595=""),"",IF(L2595="Sim",ROUND(F2595-D2595,2),0)))</f>
        <v/>
      </c>
      <c r="K2595" s="97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inlineStr">
        <is>
          <t>Nao</t>
        </is>
      </c>
      <c r="W2595" s="110" t="inlineStr">
        <is>
          <t>PC em analise</t>
        </is>
      </c>
      <c r="X2595" s="110" t="inlineStr">
        <is>
          <t>Pedido de Compra</t>
        </is>
      </c>
      <c r="Y2595" s="111" t="inlineStr">
        <is>
          <t>Impacto Potencial</t>
        </is>
      </c>
      <c r="Z2595" s="111" t="inlineStr">
        <is>
          <t>PC</t>
        </is>
      </c>
      <c r="AA2595" s="111" t="inlineStr">
        <is>
          <t>Nao</t>
        </is>
      </c>
      <c r="AB2595" s="111" t="inlineStr">
        <is>
          <t>NAO_COMPUTADO</t>
        </is>
      </c>
      <c r="AC2595" s="112" t="inlineStr">
        <is>
          <t>Estrutura Fase 1: sem impacto no VTA oficial</t>
        </is>
      </c>
    </row>
    <row r="2596" ht="25.5" customHeight="1" s="289">
      <c r="A2596" s="205" t="n"/>
      <c r="B2596" s="207" t="n"/>
      <c r="C2596" s="104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348" t="n"/>
      <c r="E2596" s="349">
        <f>IF(C2596="","",IFERROR(VLOOKUP(C2596,parametros!$A$11:$E$15,5,0),""))</f>
        <v/>
      </c>
      <c r="F2596" s="335">
        <f>IF(OR(D2596="",E2596=""),"",ROUND(D2596*E2596,2))</f>
        <v/>
      </c>
      <c r="G2596" s="106" t="n"/>
      <c r="H2596" s="350">
        <f>IF(G2596="Sim",IF(OR(F2596="",D2596="",L2596=""),"",IF(L2596="Sim",ROUND(F2596-D2596,2),0)),0)</f>
        <v/>
      </c>
      <c r="I2596" s="350">
        <f>IF(G2596="Sim",0,IF(OR(F2596="",L2596=""),"",F2596))</f>
        <v/>
      </c>
      <c r="J2596" s="350">
        <f>IF(G2596="Sim",0,IF(OR(F2596="",D2596="",L2596=""),"",IF(L2596="Sim",ROUND(F2596-D2596,2),0)))</f>
        <v/>
      </c>
      <c r="K2596" s="97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inlineStr">
        <is>
          <t>Nao</t>
        </is>
      </c>
      <c r="W2596" s="110" t="inlineStr">
        <is>
          <t>PC em analise</t>
        </is>
      </c>
      <c r="X2596" s="110" t="inlineStr">
        <is>
          <t>Pedido de Compra</t>
        </is>
      </c>
      <c r="Y2596" s="111" t="inlineStr">
        <is>
          <t>Impacto Potencial</t>
        </is>
      </c>
      <c r="Z2596" s="111" t="inlineStr">
        <is>
          <t>PC</t>
        </is>
      </c>
      <c r="AA2596" s="111" t="inlineStr">
        <is>
          <t>Nao</t>
        </is>
      </c>
      <c r="AB2596" s="111" t="inlineStr">
        <is>
          <t>NAO_COMPUTADO</t>
        </is>
      </c>
      <c r="AC2596" s="112" t="inlineStr">
        <is>
          <t>Estrutura Fase 1: sem impacto no VTA oficial</t>
        </is>
      </c>
    </row>
    <row r="2597" ht="25.5" customHeight="1" s="289">
      <c r="A2597" s="205" t="n"/>
      <c r="B2597" s="207" t="n"/>
      <c r="C2597" s="104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348" t="n"/>
      <c r="E2597" s="349">
        <f>IF(C2597="","",IFERROR(VLOOKUP(C2597,parametros!$A$11:$E$15,5,0),""))</f>
        <v/>
      </c>
      <c r="F2597" s="335">
        <f>IF(OR(D2597="",E2597=""),"",ROUND(D2597*E2597,2))</f>
        <v/>
      </c>
      <c r="G2597" s="106" t="n"/>
      <c r="H2597" s="350">
        <f>IF(G2597="Sim",IF(OR(F2597="",D2597="",L2597=""),"",IF(L2597="Sim",ROUND(F2597-D2597,2),0)),0)</f>
        <v/>
      </c>
      <c r="I2597" s="350">
        <f>IF(G2597="Sim",0,IF(OR(F2597="",L2597=""),"",F2597))</f>
        <v/>
      </c>
      <c r="J2597" s="350">
        <f>IF(G2597="Sim",0,IF(OR(F2597="",D2597="",L2597=""),"",IF(L2597="Sim",ROUND(F2597-D2597,2),0)))</f>
        <v/>
      </c>
      <c r="K2597" s="97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inlineStr">
        <is>
          <t>Nao</t>
        </is>
      </c>
      <c r="W2597" s="110" t="inlineStr">
        <is>
          <t>PC em analise</t>
        </is>
      </c>
      <c r="X2597" s="110" t="inlineStr">
        <is>
          <t>Pedido de Compra</t>
        </is>
      </c>
      <c r="Y2597" s="111" t="inlineStr">
        <is>
          <t>Impacto Potencial</t>
        </is>
      </c>
      <c r="Z2597" s="111" t="inlineStr">
        <is>
          <t>PC</t>
        </is>
      </c>
      <c r="AA2597" s="111" t="inlineStr">
        <is>
          <t>Nao</t>
        </is>
      </c>
      <c r="AB2597" s="111" t="inlineStr">
        <is>
          <t>NAO_COMPUTADO</t>
        </is>
      </c>
      <c r="AC2597" s="112" t="inlineStr">
        <is>
          <t>Estrutura Fase 1: sem impacto no VTA oficial</t>
        </is>
      </c>
    </row>
    <row r="2598" ht="25.5" customHeight="1" s="289">
      <c r="A2598" s="205" t="n"/>
      <c r="B2598" s="207" t="n"/>
      <c r="C2598" s="104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348" t="n"/>
      <c r="E2598" s="349">
        <f>IF(C2598="","",IFERROR(VLOOKUP(C2598,parametros!$A$11:$E$15,5,0),""))</f>
        <v/>
      </c>
      <c r="F2598" s="335">
        <f>IF(OR(D2598="",E2598=""),"",ROUND(D2598*E2598,2))</f>
        <v/>
      </c>
      <c r="G2598" s="106" t="n"/>
      <c r="H2598" s="350">
        <f>IF(G2598="Sim",IF(OR(F2598="",D2598="",L2598=""),"",IF(L2598="Sim",ROUND(F2598-D2598,2),0)),0)</f>
        <v/>
      </c>
      <c r="I2598" s="350">
        <f>IF(G2598="Sim",0,IF(OR(F2598="",L2598=""),"",F2598))</f>
        <v/>
      </c>
      <c r="J2598" s="350">
        <f>IF(G2598="Sim",0,IF(OR(F2598="",D2598="",L2598=""),"",IF(L2598="Sim",ROUND(F2598-D2598,2),0)))</f>
        <v/>
      </c>
      <c r="K2598" s="97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inlineStr">
        <is>
          <t>Nao</t>
        </is>
      </c>
      <c r="W2598" s="110" t="inlineStr">
        <is>
          <t>PC em analise</t>
        </is>
      </c>
      <c r="X2598" s="110" t="inlineStr">
        <is>
          <t>Pedido de Compra</t>
        </is>
      </c>
      <c r="Y2598" s="111" t="inlineStr">
        <is>
          <t>Impacto Potencial</t>
        </is>
      </c>
      <c r="Z2598" s="111" t="inlineStr">
        <is>
          <t>PC</t>
        </is>
      </c>
      <c r="AA2598" s="111" t="inlineStr">
        <is>
          <t>Nao</t>
        </is>
      </c>
      <c r="AB2598" s="111" t="inlineStr">
        <is>
          <t>NAO_COMPUTADO</t>
        </is>
      </c>
      <c r="AC2598" s="112" t="inlineStr">
        <is>
          <t>Estrutura Fase 1: sem impacto no VTA oficial</t>
        </is>
      </c>
    </row>
    <row r="2599" ht="25.5" customHeight="1" s="289">
      <c r="A2599" s="205" t="n"/>
      <c r="B2599" s="207" t="n"/>
      <c r="C2599" s="104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348" t="n"/>
      <c r="E2599" s="349">
        <f>IF(C2599="","",IFERROR(VLOOKUP(C2599,parametros!$A$11:$E$15,5,0),""))</f>
        <v/>
      </c>
      <c r="F2599" s="335">
        <f>IF(OR(D2599="",E2599=""),"",ROUND(D2599*E2599,2))</f>
        <v/>
      </c>
      <c r="G2599" s="106" t="n"/>
      <c r="H2599" s="350">
        <f>IF(G2599="Sim",IF(OR(F2599="",D2599="",L2599=""),"",IF(L2599="Sim",ROUND(F2599-D2599,2),0)),0)</f>
        <v/>
      </c>
      <c r="I2599" s="350">
        <f>IF(G2599="Sim",0,IF(OR(F2599="",L2599=""),"",F2599))</f>
        <v/>
      </c>
      <c r="J2599" s="350">
        <f>IF(G2599="Sim",0,IF(OR(F2599="",D2599="",L2599=""),"",IF(L2599="Sim",ROUND(F2599-D2599,2),0)))</f>
        <v/>
      </c>
      <c r="K2599" s="97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inlineStr">
        <is>
          <t>Nao</t>
        </is>
      </c>
      <c r="W2599" s="110" t="inlineStr">
        <is>
          <t>PC em analise</t>
        </is>
      </c>
      <c r="X2599" s="110" t="inlineStr">
        <is>
          <t>Pedido de Compra</t>
        </is>
      </c>
      <c r="Y2599" s="111" t="inlineStr">
        <is>
          <t>Impacto Potencial</t>
        </is>
      </c>
      <c r="Z2599" s="111" t="inlineStr">
        <is>
          <t>PC</t>
        </is>
      </c>
      <c r="AA2599" s="111" t="inlineStr">
        <is>
          <t>Nao</t>
        </is>
      </c>
      <c r="AB2599" s="111" t="inlineStr">
        <is>
          <t>NAO_COMPUTADO</t>
        </is>
      </c>
      <c r="AC2599" s="112" t="inlineStr">
        <is>
          <t>Estrutura Fase 1: sem impacto no VTA oficial</t>
        </is>
      </c>
    </row>
    <row r="2600" ht="25.5" customHeight="1" s="289">
      <c r="A2600" s="205" t="n"/>
      <c r="B2600" s="207" t="n"/>
      <c r="C2600" s="104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348" t="n"/>
      <c r="E2600" s="349">
        <f>IF(C2600="","",IFERROR(VLOOKUP(C2600,parametros!$A$11:$E$15,5,0),""))</f>
        <v/>
      </c>
      <c r="F2600" s="335">
        <f>IF(OR(D2600="",E2600=""),"",ROUND(D2600*E2600,2))</f>
        <v/>
      </c>
      <c r="G2600" s="106" t="n"/>
      <c r="H2600" s="350">
        <f>IF(G2600="Sim",IF(OR(F2600="",D2600="",L2600=""),"",IF(L2600="Sim",ROUND(F2600-D2600,2),0)),0)</f>
        <v/>
      </c>
      <c r="I2600" s="350">
        <f>IF(G2600="Sim",0,IF(OR(F2600="",L2600=""),"",F2600))</f>
        <v/>
      </c>
      <c r="J2600" s="350">
        <f>IF(G2600="Sim",0,IF(OR(F2600="",D2600="",L2600=""),"",IF(L2600="Sim",ROUND(F2600-D2600,2),0)))</f>
        <v/>
      </c>
      <c r="K2600" s="97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inlineStr">
        <is>
          <t>Nao</t>
        </is>
      </c>
      <c r="W2600" s="110" t="inlineStr">
        <is>
          <t>PC em analise</t>
        </is>
      </c>
      <c r="X2600" s="110" t="inlineStr">
        <is>
          <t>Pedido de Compra</t>
        </is>
      </c>
      <c r="Y2600" s="111" t="inlineStr">
        <is>
          <t>Impacto Potencial</t>
        </is>
      </c>
      <c r="Z2600" s="111" t="inlineStr">
        <is>
          <t>PC</t>
        </is>
      </c>
      <c r="AA2600" s="111" t="inlineStr">
        <is>
          <t>Nao</t>
        </is>
      </c>
      <c r="AB2600" s="111" t="inlineStr">
        <is>
          <t>NAO_COMPUTADO</t>
        </is>
      </c>
      <c r="AC2600" s="112" t="inlineStr">
        <is>
          <t>Estrutura Fase 1: sem impacto no VTA oficial</t>
        </is>
      </c>
    </row>
    <row r="2601" ht="25.5" customHeight="1" s="289">
      <c r="A2601" s="205" t="n"/>
      <c r="B2601" s="207" t="n"/>
      <c r="C2601" s="104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348" t="n"/>
      <c r="E2601" s="349">
        <f>IF(C2601="","",IFERROR(VLOOKUP(C2601,parametros!$A$11:$E$15,5,0),""))</f>
        <v/>
      </c>
      <c r="F2601" s="335">
        <f>IF(OR(D2601="",E2601=""),"",ROUND(D2601*E2601,2))</f>
        <v/>
      </c>
      <c r="G2601" s="106" t="n"/>
      <c r="H2601" s="350">
        <f>IF(G2601="Sim",IF(OR(F2601="",D2601="",L2601=""),"",IF(L2601="Sim",ROUND(F2601-D2601,2),0)),0)</f>
        <v/>
      </c>
      <c r="I2601" s="350">
        <f>IF(G2601="Sim",0,IF(OR(F2601="",L2601=""),"",F2601))</f>
        <v/>
      </c>
      <c r="J2601" s="350">
        <f>IF(G2601="Sim",0,IF(OR(F2601="",D2601="",L2601=""),"",IF(L2601="Sim",ROUND(F2601-D2601,2),0)))</f>
        <v/>
      </c>
      <c r="K2601" s="97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inlineStr">
        <is>
          <t>Nao</t>
        </is>
      </c>
      <c r="W2601" s="110" t="inlineStr">
        <is>
          <t>PC em analise</t>
        </is>
      </c>
      <c r="X2601" s="110" t="inlineStr">
        <is>
          <t>Pedido de Compra</t>
        </is>
      </c>
      <c r="Y2601" s="111" t="inlineStr">
        <is>
          <t>Impacto Potencial</t>
        </is>
      </c>
      <c r="Z2601" s="111" t="inlineStr">
        <is>
          <t>PC</t>
        </is>
      </c>
      <c r="AA2601" s="111" t="inlineStr">
        <is>
          <t>Nao</t>
        </is>
      </c>
      <c r="AB2601" s="111" t="inlineStr">
        <is>
          <t>NAO_COMPUTADO</t>
        </is>
      </c>
      <c r="AC2601" s="112" t="inlineStr">
        <is>
          <t>Estrutura Fase 1: sem impacto no VTA oficial</t>
        </is>
      </c>
    </row>
    <row r="2602" ht="25.5" customHeight="1" s="289">
      <c r="A2602" s="205" t="n"/>
      <c r="B2602" s="207" t="n"/>
      <c r="C2602" s="104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348" t="n"/>
      <c r="E2602" s="349">
        <f>IF(C2602="","",IFERROR(VLOOKUP(C2602,parametros!$A$11:$E$15,5,0),""))</f>
        <v/>
      </c>
      <c r="F2602" s="335">
        <f>IF(OR(D2602="",E2602=""),"",ROUND(D2602*E2602,2))</f>
        <v/>
      </c>
      <c r="G2602" s="106" t="n"/>
      <c r="H2602" s="350">
        <f>IF(G2602="Sim",IF(OR(F2602="",D2602="",L2602=""),"",IF(L2602="Sim",ROUND(F2602-D2602,2),0)),0)</f>
        <v/>
      </c>
      <c r="I2602" s="350">
        <f>IF(G2602="Sim",0,IF(OR(F2602="",L2602=""),"",F2602))</f>
        <v/>
      </c>
      <c r="J2602" s="350">
        <f>IF(G2602="Sim",0,IF(OR(F2602="",D2602="",L2602=""),"",IF(L2602="Sim",ROUND(F2602-D2602,2),0)))</f>
        <v/>
      </c>
      <c r="K2602" s="97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inlineStr">
        <is>
          <t>Nao</t>
        </is>
      </c>
      <c r="W2602" s="110" t="inlineStr">
        <is>
          <t>PC em analise</t>
        </is>
      </c>
      <c r="X2602" s="110" t="inlineStr">
        <is>
          <t>Pedido de Compra</t>
        </is>
      </c>
      <c r="Y2602" s="111" t="inlineStr">
        <is>
          <t>Impacto Potencial</t>
        </is>
      </c>
      <c r="Z2602" s="111" t="inlineStr">
        <is>
          <t>PC</t>
        </is>
      </c>
      <c r="AA2602" s="111" t="inlineStr">
        <is>
          <t>Nao</t>
        </is>
      </c>
      <c r="AB2602" s="111" t="inlineStr">
        <is>
          <t>NAO_COMPUTADO</t>
        </is>
      </c>
      <c r="AC2602" s="112" t="inlineStr">
        <is>
          <t>Estrutura Fase 1: sem impacto no VTA oficial</t>
        </is>
      </c>
    </row>
    <row r="2603" ht="25.5" customHeight="1" s="289">
      <c r="A2603" s="205" t="n"/>
      <c r="B2603" s="207" t="n"/>
      <c r="C2603" s="104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348" t="n"/>
      <c r="E2603" s="349">
        <f>IF(C2603="","",IFERROR(VLOOKUP(C2603,parametros!$A$11:$E$15,5,0),""))</f>
        <v/>
      </c>
      <c r="F2603" s="335">
        <f>IF(OR(D2603="",E2603=""),"",ROUND(D2603*E2603,2))</f>
        <v/>
      </c>
      <c r="G2603" s="106" t="n"/>
      <c r="H2603" s="350">
        <f>IF(G2603="Sim",IF(OR(F2603="",D2603="",L2603=""),"",IF(L2603="Sim",ROUND(F2603-D2603,2),0)),0)</f>
        <v/>
      </c>
      <c r="I2603" s="350">
        <f>IF(G2603="Sim",0,IF(OR(F2603="",L2603=""),"",F2603))</f>
        <v/>
      </c>
      <c r="J2603" s="350">
        <f>IF(G2603="Sim",0,IF(OR(F2603="",D2603="",L2603=""),"",IF(L2603="Sim",ROUND(F2603-D2603,2),0)))</f>
        <v/>
      </c>
      <c r="K2603" s="97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inlineStr">
        <is>
          <t>Nao</t>
        </is>
      </c>
      <c r="W2603" s="110" t="inlineStr">
        <is>
          <t>PC em analise</t>
        </is>
      </c>
      <c r="X2603" s="110" t="inlineStr">
        <is>
          <t>Pedido de Compra</t>
        </is>
      </c>
      <c r="Y2603" s="111" t="inlineStr">
        <is>
          <t>Impacto Potencial</t>
        </is>
      </c>
      <c r="Z2603" s="111" t="inlineStr">
        <is>
          <t>PC</t>
        </is>
      </c>
      <c r="AA2603" s="111" t="inlineStr">
        <is>
          <t>Nao</t>
        </is>
      </c>
      <c r="AB2603" s="111" t="inlineStr">
        <is>
          <t>NAO_COMPUTADO</t>
        </is>
      </c>
      <c r="AC2603" s="112" t="inlineStr">
        <is>
          <t>Estrutura Fase 1: sem impacto no VTA oficial</t>
        </is>
      </c>
    </row>
    <row r="2604" ht="25.5" customHeight="1" s="289">
      <c r="A2604" s="205" t="n"/>
      <c r="B2604" s="207" t="n"/>
      <c r="C2604" s="104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348" t="n"/>
      <c r="E2604" s="349">
        <f>IF(C2604="","",IFERROR(VLOOKUP(C2604,parametros!$A$11:$E$15,5,0),""))</f>
        <v/>
      </c>
      <c r="F2604" s="335">
        <f>IF(OR(D2604="",E2604=""),"",ROUND(D2604*E2604,2))</f>
        <v/>
      </c>
      <c r="G2604" s="106" t="n"/>
      <c r="H2604" s="350">
        <f>IF(G2604="Sim",IF(OR(F2604="",D2604="",L2604=""),"",IF(L2604="Sim",ROUND(F2604-D2604,2),0)),0)</f>
        <v/>
      </c>
      <c r="I2604" s="350">
        <f>IF(G2604="Sim",0,IF(OR(F2604="",L2604=""),"",F2604))</f>
        <v/>
      </c>
      <c r="J2604" s="350">
        <f>IF(G2604="Sim",0,IF(OR(F2604="",D2604="",L2604=""),"",IF(L2604="Sim",ROUND(F2604-D2604,2),0)))</f>
        <v/>
      </c>
      <c r="K2604" s="97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inlineStr">
        <is>
          <t>Nao</t>
        </is>
      </c>
      <c r="W2604" s="110" t="inlineStr">
        <is>
          <t>PC em analise</t>
        </is>
      </c>
      <c r="X2604" s="110" t="inlineStr">
        <is>
          <t>Pedido de Compra</t>
        </is>
      </c>
      <c r="Y2604" s="111" t="inlineStr">
        <is>
          <t>Impacto Potencial</t>
        </is>
      </c>
      <c r="Z2604" s="111" t="inlineStr">
        <is>
          <t>PC</t>
        </is>
      </c>
      <c r="AA2604" s="111" t="inlineStr">
        <is>
          <t>Nao</t>
        </is>
      </c>
      <c r="AB2604" s="111" t="inlineStr">
        <is>
          <t>NAO_COMPUTADO</t>
        </is>
      </c>
      <c r="AC2604" s="112" t="inlineStr">
        <is>
          <t>Estrutura Fase 1: sem impacto no VTA oficial</t>
        </is>
      </c>
    </row>
    <row r="2605" ht="25.5" customHeight="1" s="289">
      <c r="A2605" s="205" t="n"/>
      <c r="B2605" s="207" t="n"/>
      <c r="C2605" s="104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348" t="n"/>
      <c r="E2605" s="349">
        <f>IF(C2605="","",IFERROR(VLOOKUP(C2605,parametros!$A$11:$E$15,5,0),""))</f>
        <v/>
      </c>
      <c r="F2605" s="335">
        <f>IF(OR(D2605="",E2605=""),"",ROUND(D2605*E2605,2))</f>
        <v/>
      </c>
      <c r="G2605" s="106" t="n"/>
      <c r="H2605" s="350">
        <f>IF(G2605="Sim",IF(OR(F2605="",D2605="",L2605=""),"",IF(L2605="Sim",ROUND(F2605-D2605,2),0)),0)</f>
        <v/>
      </c>
      <c r="I2605" s="350">
        <f>IF(G2605="Sim",0,IF(OR(F2605="",L2605=""),"",F2605))</f>
        <v/>
      </c>
      <c r="J2605" s="350">
        <f>IF(G2605="Sim",0,IF(OR(F2605="",D2605="",L2605=""),"",IF(L2605="Sim",ROUND(F2605-D2605,2),0)))</f>
        <v/>
      </c>
      <c r="K2605" s="97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inlineStr">
        <is>
          <t>Nao</t>
        </is>
      </c>
      <c r="W2605" s="110" t="inlineStr">
        <is>
          <t>PC em analise</t>
        </is>
      </c>
      <c r="X2605" s="110" t="inlineStr">
        <is>
          <t>Pedido de Compra</t>
        </is>
      </c>
      <c r="Y2605" s="111" t="inlineStr">
        <is>
          <t>Impacto Potencial</t>
        </is>
      </c>
      <c r="Z2605" s="111" t="inlineStr">
        <is>
          <t>PC</t>
        </is>
      </c>
      <c r="AA2605" s="111" t="inlineStr">
        <is>
          <t>Nao</t>
        </is>
      </c>
      <c r="AB2605" s="111" t="inlineStr">
        <is>
          <t>NAO_COMPUTADO</t>
        </is>
      </c>
      <c r="AC2605" s="112" t="inlineStr">
        <is>
          <t>Estrutura Fase 1: sem impacto no VTA oficial</t>
        </is>
      </c>
    </row>
    <row r="2606" ht="25.5" customHeight="1" s="289">
      <c r="A2606" s="205" t="n"/>
      <c r="B2606" s="207" t="n"/>
      <c r="C2606" s="104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348" t="n"/>
      <c r="E2606" s="349">
        <f>IF(C2606="","",IFERROR(VLOOKUP(C2606,parametros!$A$11:$E$15,5,0),""))</f>
        <v/>
      </c>
      <c r="F2606" s="335">
        <f>IF(OR(D2606="",E2606=""),"",ROUND(D2606*E2606,2))</f>
        <v/>
      </c>
      <c r="G2606" s="106" t="n"/>
      <c r="H2606" s="350">
        <f>IF(G2606="Sim",IF(OR(F2606="",D2606="",L2606=""),"",IF(L2606="Sim",ROUND(F2606-D2606,2),0)),0)</f>
        <v/>
      </c>
      <c r="I2606" s="350">
        <f>IF(G2606="Sim",0,IF(OR(F2606="",L2606=""),"",F2606))</f>
        <v/>
      </c>
      <c r="J2606" s="350">
        <f>IF(G2606="Sim",0,IF(OR(F2606="",D2606="",L2606=""),"",IF(L2606="Sim",ROUND(F2606-D2606,2),0)))</f>
        <v/>
      </c>
      <c r="K2606" s="97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inlineStr">
        <is>
          <t>Nao</t>
        </is>
      </c>
      <c r="W2606" s="110" t="inlineStr">
        <is>
          <t>PC em analise</t>
        </is>
      </c>
      <c r="X2606" s="110" t="inlineStr">
        <is>
          <t>Pedido de Compra</t>
        </is>
      </c>
      <c r="Y2606" s="111" t="inlineStr">
        <is>
          <t>Impacto Potencial</t>
        </is>
      </c>
      <c r="Z2606" s="111" t="inlineStr">
        <is>
          <t>PC</t>
        </is>
      </c>
      <c r="AA2606" s="111" t="inlineStr">
        <is>
          <t>Nao</t>
        </is>
      </c>
      <c r="AB2606" s="111" t="inlineStr">
        <is>
          <t>NAO_COMPUTADO</t>
        </is>
      </c>
      <c r="AC2606" s="112" t="inlineStr">
        <is>
          <t>Estrutura Fase 1: sem impacto no VTA oficial</t>
        </is>
      </c>
    </row>
    <row r="2607" ht="25.5" customHeight="1" s="289">
      <c r="A2607" s="205" t="n"/>
      <c r="B2607" s="207" t="n"/>
      <c r="C2607" s="104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348" t="n"/>
      <c r="E2607" s="349">
        <f>IF(C2607="","",IFERROR(VLOOKUP(C2607,parametros!$A$11:$E$15,5,0),""))</f>
        <v/>
      </c>
      <c r="F2607" s="335">
        <f>IF(OR(D2607="",E2607=""),"",ROUND(D2607*E2607,2))</f>
        <v/>
      </c>
      <c r="G2607" s="106" t="n"/>
      <c r="H2607" s="350">
        <f>IF(G2607="Sim",IF(OR(F2607="",D2607="",L2607=""),"",IF(L2607="Sim",ROUND(F2607-D2607,2),0)),0)</f>
        <v/>
      </c>
      <c r="I2607" s="350">
        <f>IF(G2607="Sim",0,IF(OR(F2607="",L2607=""),"",F2607))</f>
        <v/>
      </c>
      <c r="J2607" s="350">
        <f>IF(G2607="Sim",0,IF(OR(F2607="",D2607="",L2607=""),"",IF(L2607="Sim",ROUND(F2607-D2607,2),0)))</f>
        <v/>
      </c>
      <c r="K2607" s="97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inlineStr">
        <is>
          <t>Nao</t>
        </is>
      </c>
      <c r="W2607" s="110" t="inlineStr">
        <is>
          <t>PC em analise</t>
        </is>
      </c>
      <c r="X2607" s="110" t="inlineStr">
        <is>
          <t>Pedido de Compra</t>
        </is>
      </c>
      <c r="Y2607" s="111" t="inlineStr">
        <is>
          <t>Impacto Potencial</t>
        </is>
      </c>
      <c r="Z2607" s="111" t="inlineStr">
        <is>
          <t>PC</t>
        </is>
      </c>
      <c r="AA2607" s="111" t="inlineStr">
        <is>
          <t>Nao</t>
        </is>
      </c>
      <c r="AB2607" s="111" t="inlineStr">
        <is>
          <t>NAO_COMPUTADO</t>
        </is>
      </c>
      <c r="AC2607" s="112" t="inlineStr">
        <is>
          <t>Estrutura Fase 1: sem impacto no VTA oficial</t>
        </is>
      </c>
    </row>
    <row r="2608" ht="25.5" customHeight="1" s="289">
      <c r="A2608" s="205" t="n"/>
      <c r="B2608" s="207" t="n"/>
      <c r="C2608" s="104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348" t="n"/>
      <c r="E2608" s="349">
        <f>IF(C2608="","",IFERROR(VLOOKUP(C2608,parametros!$A$11:$E$15,5,0),""))</f>
        <v/>
      </c>
      <c r="F2608" s="335">
        <f>IF(OR(D2608="",E2608=""),"",ROUND(D2608*E2608,2))</f>
        <v/>
      </c>
      <c r="G2608" s="106" t="n"/>
      <c r="H2608" s="350">
        <f>IF(G2608="Sim",IF(OR(F2608="",D2608="",L2608=""),"",IF(L2608="Sim",ROUND(F2608-D2608,2),0)),0)</f>
        <v/>
      </c>
      <c r="I2608" s="350">
        <f>IF(G2608="Sim",0,IF(OR(F2608="",L2608=""),"",F2608))</f>
        <v/>
      </c>
      <c r="J2608" s="350">
        <f>IF(G2608="Sim",0,IF(OR(F2608="",D2608="",L2608=""),"",IF(L2608="Sim",ROUND(F2608-D2608,2),0)))</f>
        <v/>
      </c>
      <c r="K2608" s="97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inlineStr">
        <is>
          <t>Nao</t>
        </is>
      </c>
      <c r="W2608" s="110" t="inlineStr">
        <is>
          <t>PC em analise</t>
        </is>
      </c>
      <c r="X2608" s="110" t="inlineStr">
        <is>
          <t>Pedido de Compra</t>
        </is>
      </c>
      <c r="Y2608" s="111" t="inlineStr">
        <is>
          <t>Impacto Potencial</t>
        </is>
      </c>
      <c r="Z2608" s="111" t="inlineStr">
        <is>
          <t>PC</t>
        </is>
      </c>
      <c r="AA2608" s="111" t="inlineStr">
        <is>
          <t>Nao</t>
        </is>
      </c>
      <c r="AB2608" s="111" t="inlineStr">
        <is>
          <t>NAO_COMPUTADO</t>
        </is>
      </c>
      <c r="AC2608" s="112" t="inlineStr">
        <is>
          <t>Estrutura Fase 1: sem impacto no VTA oficial</t>
        </is>
      </c>
    </row>
    <row r="2609" ht="25.5" customHeight="1" s="289">
      <c r="A2609" s="205" t="n"/>
      <c r="B2609" s="207" t="n"/>
      <c r="C2609" s="104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348" t="n"/>
      <c r="E2609" s="349">
        <f>IF(C2609="","",IFERROR(VLOOKUP(C2609,parametros!$A$11:$E$15,5,0),""))</f>
        <v/>
      </c>
      <c r="F2609" s="335">
        <f>IF(OR(D2609="",E2609=""),"",ROUND(D2609*E2609,2))</f>
        <v/>
      </c>
      <c r="G2609" s="106" t="n"/>
      <c r="H2609" s="350">
        <f>IF(G2609="Sim",IF(OR(F2609="",D2609="",L2609=""),"",IF(L2609="Sim",ROUND(F2609-D2609,2),0)),0)</f>
        <v/>
      </c>
      <c r="I2609" s="350">
        <f>IF(G2609="Sim",0,IF(OR(F2609="",L2609=""),"",F2609))</f>
        <v/>
      </c>
      <c r="J2609" s="350">
        <f>IF(G2609="Sim",0,IF(OR(F2609="",D2609="",L2609=""),"",IF(L2609="Sim",ROUND(F2609-D2609,2),0)))</f>
        <v/>
      </c>
      <c r="K2609" s="97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inlineStr">
        <is>
          <t>Nao</t>
        </is>
      </c>
      <c r="W2609" s="110" t="inlineStr">
        <is>
          <t>PC em analise</t>
        </is>
      </c>
      <c r="X2609" s="110" t="inlineStr">
        <is>
          <t>Pedido de Compra</t>
        </is>
      </c>
      <c r="Y2609" s="111" t="inlineStr">
        <is>
          <t>Impacto Potencial</t>
        </is>
      </c>
      <c r="Z2609" s="111" t="inlineStr">
        <is>
          <t>PC</t>
        </is>
      </c>
      <c r="AA2609" s="111" t="inlineStr">
        <is>
          <t>Nao</t>
        </is>
      </c>
      <c r="AB2609" s="111" t="inlineStr">
        <is>
          <t>NAO_COMPUTADO</t>
        </is>
      </c>
      <c r="AC2609" s="112" t="inlineStr">
        <is>
          <t>Estrutura Fase 1: sem impacto no VTA oficial</t>
        </is>
      </c>
    </row>
    <row r="2610" ht="25.5" customHeight="1" s="289">
      <c r="A2610" s="205" t="n"/>
      <c r="B2610" s="207" t="n"/>
      <c r="C2610" s="104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348" t="n"/>
      <c r="E2610" s="349">
        <f>IF(C2610="","",IFERROR(VLOOKUP(C2610,parametros!$A$11:$E$15,5,0),""))</f>
        <v/>
      </c>
      <c r="F2610" s="335">
        <f>IF(OR(D2610="",E2610=""),"",ROUND(D2610*E2610,2))</f>
        <v/>
      </c>
      <c r="G2610" s="106" t="n"/>
      <c r="H2610" s="350">
        <f>IF(G2610="Sim",IF(OR(F2610="",D2610="",L2610=""),"",IF(L2610="Sim",ROUND(F2610-D2610,2),0)),0)</f>
        <v/>
      </c>
      <c r="I2610" s="350">
        <f>IF(G2610="Sim",0,IF(OR(F2610="",L2610=""),"",F2610))</f>
        <v/>
      </c>
      <c r="J2610" s="350">
        <f>IF(G2610="Sim",0,IF(OR(F2610="",D2610="",L2610=""),"",IF(L2610="Sim",ROUND(F2610-D2610,2),0)))</f>
        <v/>
      </c>
      <c r="K2610" s="97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inlineStr">
        <is>
          <t>Nao</t>
        </is>
      </c>
      <c r="W2610" s="110" t="inlineStr">
        <is>
          <t>PC em analise</t>
        </is>
      </c>
      <c r="X2610" s="110" t="inlineStr">
        <is>
          <t>Pedido de Compra</t>
        </is>
      </c>
      <c r="Y2610" s="111" t="inlineStr">
        <is>
          <t>Impacto Potencial</t>
        </is>
      </c>
      <c r="Z2610" s="111" t="inlineStr">
        <is>
          <t>PC</t>
        </is>
      </c>
      <c r="AA2610" s="111" t="inlineStr">
        <is>
          <t>Nao</t>
        </is>
      </c>
      <c r="AB2610" s="111" t="inlineStr">
        <is>
          <t>NAO_COMPUTADO</t>
        </is>
      </c>
      <c r="AC2610" s="112" t="inlineStr">
        <is>
          <t>Estrutura Fase 1: sem impacto no VTA oficial</t>
        </is>
      </c>
    </row>
    <row r="2611" ht="25.5" customHeight="1" s="289">
      <c r="A2611" s="205" t="n"/>
      <c r="B2611" s="207" t="n"/>
      <c r="C2611" s="104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348" t="n"/>
      <c r="E2611" s="349">
        <f>IF(C2611="","",IFERROR(VLOOKUP(C2611,parametros!$A$11:$E$15,5,0),""))</f>
        <v/>
      </c>
      <c r="F2611" s="335">
        <f>IF(OR(D2611="",E2611=""),"",ROUND(D2611*E2611,2))</f>
        <v/>
      </c>
      <c r="G2611" s="106" t="n"/>
      <c r="H2611" s="350">
        <f>IF(G2611="Sim",IF(OR(F2611="",D2611="",L2611=""),"",IF(L2611="Sim",ROUND(F2611-D2611,2),0)),0)</f>
        <v/>
      </c>
      <c r="I2611" s="350">
        <f>IF(G2611="Sim",0,IF(OR(F2611="",L2611=""),"",F2611))</f>
        <v/>
      </c>
      <c r="J2611" s="350">
        <f>IF(G2611="Sim",0,IF(OR(F2611="",D2611="",L2611=""),"",IF(L2611="Sim",ROUND(F2611-D2611,2),0)))</f>
        <v/>
      </c>
      <c r="K2611" s="97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inlineStr">
        <is>
          <t>Nao</t>
        </is>
      </c>
      <c r="W2611" s="110" t="inlineStr">
        <is>
          <t>PC em analise</t>
        </is>
      </c>
      <c r="X2611" s="110" t="inlineStr">
        <is>
          <t>Pedido de Compra</t>
        </is>
      </c>
      <c r="Y2611" s="111" t="inlineStr">
        <is>
          <t>Impacto Potencial</t>
        </is>
      </c>
      <c r="Z2611" s="111" t="inlineStr">
        <is>
          <t>PC</t>
        </is>
      </c>
      <c r="AA2611" s="111" t="inlineStr">
        <is>
          <t>Nao</t>
        </is>
      </c>
      <c r="AB2611" s="111" t="inlineStr">
        <is>
          <t>NAO_COMPUTADO</t>
        </is>
      </c>
      <c r="AC2611" s="112" t="inlineStr">
        <is>
          <t>Estrutura Fase 1: sem impacto no VTA oficial</t>
        </is>
      </c>
    </row>
    <row r="2612" ht="25.5" customHeight="1" s="289">
      <c r="A2612" s="205" t="n"/>
      <c r="B2612" s="207" t="n"/>
      <c r="C2612" s="104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348" t="n"/>
      <c r="E2612" s="349">
        <f>IF(C2612="","",IFERROR(VLOOKUP(C2612,parametros!$A$11:$E$15,5,0),""))</f>
        <v/>
      </c>
      <c r="F2612" s="335">
        <f>IF(OR(D2612="",E2612=""),"",ROUND(D2612*E2612,2))</f>
        <v/>
      </c>
      <c r="G2612" s="106" t="n"/>
      <c r="H2612" s="350">
        <f>IF(G2612="Sim",IF(OR(F2612="",D2612="",L2612=""),"",IF(L2612="Sim",ROUND(F2612-D2612,2),0)),0)</f>
        <v/>
      </c>
      <c r="I2612" s="350">
        <f>IF(G2612="Sim",0,IF(OR(F2612="",L2612=""),"",F2612))</f>
        <v/>
      </c>
      <c r="J2612" s="350">
        <f>IF(G2612="Sim",0,IF(OR(F2612="",D2612="",L2612=""),"",IF(L2612="Sim",ROUND(F2612-D2612,2),0)))</f>
        <v/>
      </c>
      <c r="K2612" s="97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inlineStr">
        <is>
          <t>Nao</t>
        </is>
      </c>
      <c r="W2612" s="110" t="inlineStr">
        <is>
          <t>PC em analise</t>
        </is>
      </c>
      <c r="X2612" s="110" t="inlineStr">
        <is>
          <t>Pedido de Compra</t>
        </is>
      </c>
      <c r="Y2612" s="111" t="inlineStr">
        <is>
          <t>Impacto Potencial</t>
        </is>
      </c>
      <c r="Z2612" s="111" t="inlineStr">
        <is>
          <t>PC</t>
        </is>
      </c>
      <c r="AA2612" s="111" t="inlineStr">
        <is>
          <t>Nao</t>
        </is>
      </c>
      <c r="AB2612" s="111" t="inlineStr">
        <is>
          <t>NAO_COMPUTADO</t>
        </is>
      </c>
      <c r="AC2612" s="112" t="inlineStr">
        <is>
          <t>Estrutura Fase 1: sem impacto no VTA oficial</t>
        </is>
      </c>
    </row>
    <row r="2613" ht="25.5" customHeight="1" s="289">
      <c r="A2613" s="205" t="n"/>
      <c r="B2613" s="207" t="n"/>
      <c r="C2613" s="104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348" t="n"/>
      <c r="E2613" s="349">
        <f>IF(C2613="","",IFERROR(VLOOKUP(C2613,parametros!$A$11:$E$15,5,0),""))</f>
        <v/>
      </c>
      <c r="F2613" s="335">
        <f>IF(OR(D2613="",E2613=""),"",ROUND(D2613*E2613,2))</f>
        <v/>
      </c>
      <c r="G2613" s="106" t="n"/>
      <c r="H2613" s="350">
        <f>IF(G2613="Sim",IF(OR(F2613="",D2613="",L2613=""),"",IF(L2613="Sim",ROUND(F2613-D2613,2),0)),0)</f>
        <v/>
      </c>
      <c r="I2613" s="350">
        <f>IF(G2613="Sim",0,IF(OR(F2613="",L2613=""),"",F2613))</f>
        <v/>
      </c>
      <c r="J2613" s="350">
        <f>IF(G2613="Sim",0,IF(OR(F2613="",D2613="",L2613=""),"",IF(L2613="Sim",ROUND(F2613-D2613,2),0)))</f>
        <v/>
      </c>
      <c r="K2613" s="97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inlineStr">
        <is>
          <t>Nao</t>
        </is>
      </c>
      <c r="W2613" s="110" t="inlineStr">
        <is>
          <t>PC em analise</t>
        </is>
      </c>
      <c r="X2613" s="110" t="inlineStr">
        <is>
          <t>Pedido de Compra</t>
        </is>
      </c>
      <c r="Y2613" s="111" t="inlineStr">
        <is>
          <t>Impacto Potencial</t>
        </is>
      </c>
      <c r="Z2613" s="111" t="inlineStr">
        <is>
          <t>PC</t>
        </is>
      </c>
      <c r="AA2613" s="111" t="inlineStr">
        <is>
          <t>Nao</t>
        </is>
      </c>
      <c r="AB2613" s="111" t="inlineStr">
        <is>
          <t>NAO_COMPUTADO</t>
        </is>
      </c>
      <c r="AC2613" s="112" t="inlineStr">
        <is>
          <t>Estrutura Fase 1: sem impacto no VTA oficial</t>
        </is>
      </c>
    </row>
    <row r="2614" ht="25.5" customHeight="1" s="289">
      <c r="A2614" s="205" t="n"/>
      <c r="B2614" s="207" t="n"/>
      <c r="C2614" s="104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348" t="n"/>
      <c r="E2614" s="349">
        <f>IF(C2614="","",IFERROR(VLOOKUP(C2614,parametros!$A$11:$E$15,5,0),""))</f>
        <v/>
      </c>
      <c r="F2614" s="335">
        <f>IF(OR(D2614="",E2614=""),"",ROUND(D2614*E2614,2))</f>
        <v/>
      </c>
      <c r="G2614" s="106" t="n"/>
      <c r="H2614" s="350">
        <f>IF(G2614="Sim",IF(OR(F2614="",D2614="",L2614=""),"",IF(L2614="Sim",ROUND(F2614-D2614,2),0)),0)</f>
        <v/>
      </c>
      <c r="I2614" s="350">
        <f>IF(G2614="Sim",0,IF(OR(F2614="",L2614=""),"",F2614))</f>
        <v/>
      </c>
      <c r="J2614" s="350">
        <f>IF(G2614="Sim",0,IF(OR(F2614="",D2614="",L2614=""),"",IF(L2614="Sim",ROUND(F2614-D2614,2),0)))</f>
        <v/>
      </c>
      <c r="K2614" s="97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inlineStr">
        <is>
          <t>Nao</t>
        </is>
      </c>
      <c r="W2614" s="110" t="inlineStr">
        <is>
          <t>PC em analise</t>
        </is>
      </c>
      <c r="X2614" s="110" t="inlineStr">
        <is>
          <t>Pedido de Compra</t>
        </is>
      </c>
      <c r="Y2614" s="111" t="inlineStr">
        <is>
          <t>Impacto Potencial</t>
        </is>
      </c>
      <c r="Z2614" s="111" t="inlineStr">
        <is>
          <t>PC</t>
        </is>
      </c>
      <c r="AA2614" s="111" t="inlineStr">
        <is>
          <t>Nao</t>
        </is>
      </c>
      <c r="AB2614" s="111" t="inlineStr">
        <is>
          <t>NAO_COMPUTADO</t>
        </is>
      </c>
      <c r="AC2614" s="112" t="inlineStr">
        <is>
          <t>Estrutura Fase 1: sem impacto no VTA oficial</t>
        </is>
      </c>
    </row>
    <row r="2615" ht="25.5" customHeight="1" s="289">
      <c r="A2615" s="205" t="n"/>
      <c r="B2615" s="207" t="n"/>
      <c r="C2615" s="104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348" t="n"/>
      <c r="E2615" s="349">
        <f>IF(C2615="","",IFERROR(VLOOKUP(C2615,parametros!$A$11:$E$15,5,0),""))</f>
        <v/>
      </c>
      <c r="F2615" s="335">
        <f>IF(OR(D2615="",E2615=""),"",ROUND(D2615*E2615,2))</f>
        <v/>
      </c>
      <c r="G2615" s="106" t="n"/>
      <c r="H2615" s="350">
        <f>IF(G2615="Sim",IF(OR(F2615="",D2615="",L2615=""),"",IF(L2615="Sim",ROUND(F2615-D2615,2),0)),0)</f>
        <v/>
      </c>
      <c r="I2615" s="350">
        <f>IF(G2615="Sim",0,IF(OR(F2615="",L2615=""),"",F2615))</f>
        <v/>
      </c>
      <c r="J2615" s="350">
        <f>IF(G2615="Sim",0,IF(OR(F2615="",D2615="",L2615=""),"",IF(L2615="Sim",ROUND(F2615-D2615,2),0)))</f>
        <v/>
      </c>
      <c r="K2615" s="97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inlineStr">
        <is>
          <t>Nao</t>
        </is>
      </c>
      <c r="W2615" s="110" t="inlineStr">
        <is>
          <t>PC em analise</t>
        </is>
      </c>
      <c r="X2615" s="110" t="inlineStr">
        <is>
          <t>Pedido de Compra</t>
        </is>
      </c>
      <c r="Y2615" s="111" t="inlineStr">
        <is>
          <t>Impacto Potencial</t>
        </is>
      </c>
      <c r="Z2615" s="111" t="inlineStr">
        <is>
          <t>PC</t>
        </is>
      </c>
      <c r="AA2615" s="111" t="inlineStr">
        <is>
          <t>Nao</t>
        </is>
      </c>
      <c r="AB2615" s="111" t="inlineStr">
        <is>
          <t>NAO_COMPUTADO</t>
        </is>
      </c>
      <c r="AC2615" s="112" t="inlineStr">
        <is>
          <t>Estrutura Fase 1: sem impacto no VTA oficial</t>
        </is>
      </c>
    </row>
    <row r="2616" ht="25.5" customHeight="1" s="289">
      <c r="A2616" s="205" t="n"/>
      <c r="B2616" s="207" t="n"/>
      <c r="C2616" s="104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348" t="n"/>
      <c r="E2616" s="349">
        <f>IF(C2616="","",IFERROR(VLOOKUP(C2616,parametros!$A$11:$E$15,5,0),""))</f>
        <v/>
      </c>
      <c r="F2616" s="335">
        <f>IF(OR(D2616="",E2616=""),"",ROUND(D2616*E2616,2))</f>
        <v/>
      </c>
      <c r="G2616" s="106" t="n"/>
      <c r="H2616" s="350">
        <f>IF(G2616="Sim",IF(OR(F2616="",D2616="",L2616=""),"",IF(L2616="Sim",ROUND(F2616-D2616,2),0)),0)</f>
        <v/>
      </c>
      <c r="I2616" s="350">
        <f>IF(G2616="Sim",0,IF(OR(F2616="",L2616=""),"",F2616))</f>
        <v/>
      </c>
      <c r="J2616" s="350">
        <f>IF(G2616="Sim",0,IF(OR(F2616="",D2616="",L2616=""),"",IF(L2616="Sim",ROUND(F2616-D2616,2),0)))</f>
        <v/>
      </c>
      <c r="K2616" s="97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inlineStr">
        <is>
          <t>Nao</t>
        </is>
      </c>
      <c r="W2616" s="110" t="inlineStr">
        <is>
          <t>PC em analise</t>
        </is>
      </c>
      <c r="X2616" s="110" t="inlineStr">
        <is>
          <t>Pedido de Compra</t>
        </is>
      </c>
      <c r="Y2616" s="111" t="inlineStr">
        <is>
          <t>Impacto Potencial</t>
        </is>
      </c>
      <c r="Z2616" s="111" t="inlineStr">
        <is>
          <t>PC</t>
        </is>
      </c>
      <c r="AA2616" s="111" t="inlineStr">
        <is>
          <t>Nao</t>
        </is>
      </c>
      <c r="AB2616" s="111" t="inlineStr">
        <is>
          <t>NAO_COMPUTADO</t>
        </is>
      </c>
      <c r="AC2616" s="112" t="inlineStr">
        <is>
          <t>Estrutura Fase 1: sem impacto no VTA oficial</t>
        </is>
      </c>
    </row>
    <row r="2617" ht="25.5" customHeight="1" s="289">
      <c r="A2617" s="205" t="n"/>
      <c r="B2617" s="207" t="n"/>
      <c r="C2617" s="104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348" t="n"/>
      <c r="E2617" s="349">
        <f>IF(C2617="","",IFERROR(VLOOKUP(C2617,parametros!$A$11:$E$15,5,0),""))</f>
        <v/>
      </c>
      <c r="F2617" s="335">
        <f>IF(OR(D2617="",E2617=""),"",ROUND(D2617*E2617,2))</f>
        <v/>
      </c>
      <c r="G2617" s="106" t="n"/>
      <c r="H2617" s="350">
        <f>IF(G2617="Sim",IF(OR(F2617="",D2617="",L2617=""),"",IF(L2617="Sim",ROUND(F2617-D2617,2),0)),0)</f>
        <v/>
      </c>
      <c r="I2617" s="350">
        <f>IF(G2617="Sim",0,IF(OR(F2617="",L2617=""),"",F2617))</f>
        <v/>
      </c>
      <c r="J2617" s="350">
        <f>IF(G2617="Sim",0,IF(OR(F2617="",D2617="",L2617=""),"",IF(L2617="Sim",ROUND(F2617-D2617,2),0)))</f>
        <v/>
      </c>
      <c r="K2617" s="97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inlineStr">
        <is>
          <t>Nao</t>
        </is>
      </c>
      <c r="W2617" s="110" t="inlineStr">
        <is>
          <t>PC em analise</t>
        </is>
      </c>
      <c r="X2617" s="110" t="inlineStr">
        <is>
          <t>Pedido de Compra</t>
        </is>
      </c>
      <c r="Y2617" s="111" t="inlineStr">
        <is>
          <t>Impacto Potencial</t>
        </is>
      </c>
      <c r="Z2617" s="111" t="inlineStr">
        <is>
          <t>PC</t>
        </is>
      </c>
      <c r="AA2617" s="111" t="inlineStr">
        <is>
          <t>Nao</t>
        </is>
      </c>
      <c r="AB2617" s="111" t="inlineStr">
        <is>
          <t>NAO_COMPUTADO</t>
        </is>
      </c>
      <c r="AC2617" s="112" t="inlineStr">
        <is>
          <t>Estrutura Fase 1: sem impacto no VTA oficial</t>
        </is>
      </c>
    </row>
    <row r="2618" ht="25.5" customHeight="1" s="289">
      <c r="A2618" s="205" t="n"/>
      <c r="B2618" s="207" t="n"/>
      <c r="C2618" s="104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348" t="n"/>
      <c r="E2618" s="349">
        <f>IF(C2618="","",IFERROR(VLOOKUP(C2618,parametros!$A$11:$E$15,5,0),""))</f>
        <v/>
      </c>
      <c r="F2618" s="335">
        <f>IF(OR(D2618="",E2618=""),"",ROUND(D2618*E2618,2))</f>
        <v/>
      </c>
      <c r="G2618" s="106" t="n"/>
      <c r="H2618" s="350">
        <f>IF(G2618="Sim",IF(OR(F2618="",D2618="",L2618=""),"",IF(L2618="Sim",ROUND(F2618-D2618,2),0)),0)</f>
        <v/>
      </c>
      <c r="I2618" s="350">
        <f>IF(G2618="Sim",0,IF(OR(F2618="",L2618=""),"",F2618))</f>
        <v/>
      </c>
      <c r="J2618" s="350">
        <f>IF(G2618="Sim",0,IF(OR(F2618="",D2618="",L2618=""),"",IF(L2618="Sim",ROUND(F2618-D2618,2),0)))</f>
        <v/>
      </c>
      <c r="K2618" s="97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inlineStr">
        <is>
          <t>Nao</t>
        </is>
      </c>
      <c r="W2618" s="110" t="inlineStr">
        <is>
          <t>PC em analise</t>
        </is>
      </c>
      <c r="X2618" s="110" t="inlineStr">
        <is>
          <t>Pedido de Compra</t>
        </is>
      </c>
      <c r="Y2618" s="111" t="inlineStr">
        <is>
          <t>Impacto Potencial</t>
        </is>
      </c>
      <c r="Z2618" s="111" t="inlineStr">
        <is>
          <t>PC</t>
        </is>
      </c>
      <c r="AA2618" s="111" t="inlineStr">
        <is>
          <t>Nao</t>
        </is>
      </c>
      <c r="AB2618" s="111" t="inlineStr">
        <is>
          <t>NAO_COMPUTADO</t>
        </is>
      </c>
      <c r="AC2618" s="112" t="inlineStr">
        <is>
          <t>Estrutura Fase 1: sem impacto no VTA oficial</t>
        </is>
      </c>
    </row>
    <row r="2619" ht="25.5" customHeight="1" s="289">
      <c r="A2619" s="205" t="n"/>
      <c r="B2619" s="207" t="n"/>
      <c r="C2619" s="104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348" t="n"/>
      <c r="E2619" s="349">
        <f>IF(C2619="","",IFERROR(VLOOKUP(C2619,parametros!$A$11:$E$15,5,0),""))</f>
        <v/>
      </c>
      <c r="F2619" s="335">
        <f>IF(OR(D2619="",E2619=""),"",ROUND(D2619*E2619,2))</f>
        <v/>
      </c>
      <c r="G2619" s="106" t="n"/>
      <c r="H2619" s="350">
        <f>IF(G2619="Sim",IF(OR(F2619="",D2619="",L2619=""),"",IF(L2619="Sim",ROUND(F2619-D2619,2),0)),0)</f>
        <v/>
      </c>
      <c r="I2619" s="350">
        <f>IF(G2619="Sim",0,IF(OR(F2619="",L2619=""),"",F2619))</f>
        <v/>
      </c>
      <c r="J2619" s="350">
        <f>IF(G2619="Sim",0,IF(OR(F2619="",D2619="",L2619=""),"",IF(L2619="Sim",ROUND(F2619-D2619,2),0)))</f>
        <v/>
      </c>
      <c r="K2619" s="97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inlineStr">
        <is>
          <t>Nao</t>
        </is>
      </c>
      <c r="W2619" s="110" t="inlineStr">
        <is>
          <t>PC em analise</t>
        </is>
      </c>
      <c r="X2619" s="110" t="inlineStr">
        <is>
          <t>Pedido de Compra</t>
        </is>
      </c>
      <c r="Y2619" s="111" t="inlineStr">
        <is>
          <t>Impacto Potencial</t>
        </is>
      </c>
      <c r="Z2619" s="111" t="inlineStr">
        <is>
          <t>PC</t>
        </is>
      </c>
      <c r="AA2619" s="111" t="inlineStr">
        <is>
          <t>Nao</t>
        </is>
      </c>
      <c r="AB2619" s="111" t="inlineStr">
        <is>
          <t>NAO_COMPUTADO</t>
        </is>
      </c>
      <c r="AC2619" s="112" t="inlineStr">
        <is>
          <t>Estrutura Fase 1: sem impacto no VTA oficial</t>
        </is>
      </c>
    </row>
    <row r="2620" ht="25.5" customHeight="1" s="289">
      <c r="A2620" s="205" t="n"/>
      <c r="B2620" s="207" t="n"/>
      <c r="C2620" s="104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348" t="n"/>
      <c r="E2620" s="349">
        <f>IF(C2620="","",IFERROR(VLOOKUP(C2620,parametros!$A$11:$E$15,5,0),""))</f>
        <v/>
      </c>
      <c r="F2620" s="335">
        <f>IF(OR(D2620="",E2620=""),"",ROUND(D2620*E2620,2))</f>
        <v/>
      </c>
      <c r="G2620" s="106" t="n"/>
      <c r="H2620" s="350">
        <f>IF(G2620="Sim",IF(OR(F2620="",D2620="",L2620=""),"",IF(L2620="Sim",ROUND(F2620-D2620,2),0)),0)</f>
        <v/>
      </c>
      <c r="I2620" s="350">
        <f>IF(G2620="Sim",0,IF(OR(F2620="",L2620=""),"",F2620))</f>
        <v/>
      </c>
      <c r="J2620" s="350">
        <f>IF(G2620="Sim",0,IF(OR(F2620="",D2620="",L2620=""),"",IF(L2620="Sim",ROUND(F2620-D2620,2),0)))</f>
        <v/>
      </c>
      <c r="K2620" s="97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inlineStr">
        <is>
          <t>Nao</t>
        </is>
      </c>
      <c r="W2620" s="110" t="inlineStr">
        <is>
          <t>PC em analise</t>
        </is>
      </c>
      <c r="X2620" s="110" t="inlineStr">
        <is>
          <t>Pedido de Compra</t>
        </is>
      </c>
      <c r="Y2620" s="111" t="inlineStr">
        <is>
          <t>Impacto Potencial</t>
        </is>
      </c>
      <c r="Z2620" s="111" t="inlineStr">
        <is>
          <t>PC</t>
        </is>
      </c>
      <c r="AA2620" s="111" t="inlineStr">
        <is>
          <t>Nao</t>
        </is>
      </c>
      <c r="AB2620" s="111" t="inlineStr">
        <is>
          <t>NAO_COMPUTADO</t>
        </is>
      </c>
      <c r="AC2620" s="112" t="inlineStr">
        <is>
          <t>Estrutura Fase 1: sem impacto no VTA oficial</t>
        </is>
      </c>
    </row>
    <row r="2621" ht="25.5" customHeight="1" s="289">
      <c r="A2621" s="205" t="n"/>
      <c r="B2621" s="207" t="n"/>
      <c r="C2621" s="104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348" t="n"/>
      <c r="E2621" s="349">
        <f>IF(C2621="","",IFERROR(VLOOKUP(C2621,parametros!$A$11:$E$15,5,0),""))</f>
        <v/>
      </c>
      <c r="F2621" s="335">
        <f>IF(OR(D2621="",E2621=""),"",ROUND(D2621*E2621,2))</f>
        <v/>
      </c>
      <c r="G2621" s="106" t="n"/>
      <c r="H2621" s="350">
        <f>IF(G2621="Sim",IF(OR(F2621="",D2621="",L2621=""),"",IF(L2621="Sim",ROUND(F2621-D2621,2),0)),0)</f>
        <v/>
      </c>
      <c r="I2621" s="350">
        <f>IF(G2621="Sim",0,IF(OR(F2621="",L2621=""),"",F2621))</f>
        <v/>
      </c>
      <c r="J2621" s="350">
        <f>IF(G2621="Sim",0,IF(OR(F2621="",D2621="",L2621=""),"",IF(L2621="Sim",ROUND(F2621-D2621,2),0)))</f>
        <v/>
      </c>
      <c r="K2621" s="97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inlineStr">
        <is>
          <t>Nao</t>
        </is>
      </c>
      <c r="W2621" s="110" t="inlineStr">
        <is>
          <t>PC em analise</t>
        </is>
      </c>
      <c r="X2621" s="110" t="inlineStr">
        <is>
          <t>Pedido de Compra</t>
        </is>
      </c>
      <c r="Y2621" s="111" t="inlineStr">
        <is>
          <t>Impacto Potencial</t>
        </is>
      </c>
      <c r="Z2621" s="111" t="inlineStr">
        <is>
          <t>PC</t>
        </is>
      </c>
      <c r="AA2621" s="111" t="inlineStr">
        <is>
          <t>Nao</t>
        </is>
      </c>
      <c r="AB2621" s="111" t="inlineStr">
        <is>
          <t>NAO_COMPUTADO</t>
        </is>
      </c>
      <c r="AC2621" s="112" t="inlineStr">
        <is>
          <t>Estrutura Fase 1: sem impacto no VTA oficial</t>
        </is>
      </c>
    </row>
    <row r="2622" ht="25.5" customHeight="1" s="289">
      <c r="A2622" s="205" t="n"/>
      <c r="B2622" s="207" t="n"/>
      <c r="C2622" s="104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348" t="n"/>
      <c r="E2622" s="349">
        <f>IF(C2622="","",IFERROR(VLOOKUP(C2622,parametros!$A$11:$E$15,5,0),""))</f>
        <v/>
      </c>
      <c r="F2622" s="335">
        <f>IF(OR(D2622="",E2622=""),"",ROUND(D2622*E2622,2))</f>
        <v/>
      </c>
      <c r="G2622" s="106" t="n"/>
      <c r="H2622" s="350">
        <f>IF(G2622="Sim",IF(OR(F2622="",D2622="",L2622=""),"",IF(L2622="Sim",ROUND(F2622-D2622,2),0)),0)</f>
        <v/>
      </c>
      <c r="I2622" s="350">
        <f>IF(G2622="Sim",0,IF(OR(F2622="",L2622=""),"",F2622))</f>
        <v/>
      </c>
      <c r="J2622" s="350">
        <f>IF(G2622="Sim",0,IF(OR(F2622="",D2622="",L2622=""),"",IF(L2622="Sim",ROUND(F2622-D2622,2),0)))</f>
        <v/>
      </c>
      <c r="K2622" s="97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inlineStr">
        <is>
          <t>Nao</t>
        </is>
      </c>
      <c r="W2622" s="110" t="inlineStr">
        <is>
          <t>PC em analise</t>
        </is>
      </c>
      <c r="X2622" s="110" t="inlineStr">
        <is>
          <t>Pedido de Compra</t>
        </is>
      </c>
      <c r="Y2622" s="111" t="inlineStr">
        <is>
          <t>Impacto Potencial</t>
        </is>
      </c>
      <c r="Z2622" s="111" t="inlineStr">
        <is>
          <t>PC</t>
        </is>
      </c>
      <c r="AA2622" s="111" t="inlineStr">
        <is>
          <t>Nao</t>
        </is>
      </c>
      <c r="AB2622" s="111" t="inlineStr">
        <is>
          <t>NAO_COMPUTADO</t>
        </is>
      </c>
      <c r="AC2622" s="112" t="inlineStr">
        <is>
          <t>Estrutura Fase 1: sem impacto no VTA oficial</t>
        </is>
      </c>
    </row>
    <row r="2623" ht="25.5" customHeight="1" s="289">
      <c r="A2623" s="205" t="n"/>
      <c r="B2623" s="207" t="n"/>
      <c r="C2623" s="104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348" t="n"/>
      <c r="E2623" s="349">
        <f>IF(C2623="","",IFERROR(VLOOKUP(C2623,parametros!$A$11:$E$15,5,0),""))</f>
        <v/>
      </c>
      <c r="F2623" s="335">
        <f>IF(OR(D2623="",E2623=""),"",ROUND(D2623*E2623,2))</f>
        <v/>
      </c>
      <c r="G2623" s="106" t="n"/>
      <c r="H2623" s="350">
        <f>IF(G2623="Sim",IF(OR(F2623="",D2623="",L2623=""),"",IF(L2623="Sim",ROUND(F2623-D2623,2),0)),0)</f>
        <v/>
      </c>
      <c r="I2623" s="350">
        <f>IF(G2623="Sim",0,IF(OR(F2623="",L2623=""),"",F2623))</f>
        <v/>
      </c>
      <c r="J2623" s="350">
        <f>IF(G2623="Sim",0,IF(OR(F2623="",D2623="",L2623=""),"",IF(L2623="Sim",ROUND(F2623-D2623,2),0)))</f>
        <v/>
      </c>
      <c r="K2623" s="97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inlineStr">
        <is>
          <t>Nao</t>
        </is>
      </c>
      <c r="W2623" s="110" t="inlineStr">
        <is>
          <t>PC em analise</t>
        </is>
      </c>
      <c r="X2623" s="110" t="inlineStr">
        <is>
          <t>Pedido de Compra</t>
        </is>
      </c>
      <c r="Y2623" s="111" t="inlineStr">
        <is>
          <t>Impacto Potencial</t>
        </is>
      </c>
      <c r="Z2623" s="111" t="inlineStr">
        <is>
          <t>PC</t>
        </is>
      </c>
      <c r="AA2623" s="111" t="inlineStr">
        <is>
          <t>Nao</t>
        </is>
      </c>
      <c r="AB2623" s="111" t="inlineStr">
        <is>
          <t>NAO_COMPUTADO</t>
        </is>
      </c>
      <c r="AC2623" s="112" t="inlineStr">
        <is>
          <t>Estrutura Fase 1: sem impacto no VTA oficial</t>
        </is>
      </c>
    </row>
    <row r="2624" ht="25.5" customHeight="1" s="289">
      <c r="A2624" s="205" t="n"/>
      <c r="B2624" s="207" t="n"/>
      <c r="C2624" s="104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348" t="n"/>
      <c r="E2624" s="349">
        <f>IF(C2624="","",IFERROR(VLOOKUP(C2624,parametros!$A$11:$E$15,5,0),""))</f>
        <v/>
      </c>
      <c r="F2624" s="335">
        <f>IF(OR(D2624="",E2624=""),"",ROUND(D2624*E2624,2))</f>
        <v/>
      </c>
      <c r="G2624" s="106" t="n"/>
      <c r="H2624" s="350">
        <f>IF(G2624="Sim",IF(OR(F2624="",D2624="",L2624=""),"",IF(L2624="Sim",ROUND(F2624-D2624,2),0)),0)</f>
        <v/>
      </c>
      <c r="I2624" s="350">
        <f>IF(G2624="Sim",0,IF(OR(F2624="",L2624=""),"",F2624))</f>
        <v/>
      </c>
      <c r="J2624" s="350">
        <f>IF(G2624="Sim",0,IF(OR(F2624="",D2624="",L2624=""),"",IF(L2624="Sim",ROUND(F2624-D2624,2),0)))</f>
        <v/>
      </c>
      <c r="K2624" s="97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inlineStr">
        <is>
          <t>Nao</t>
        </is>
      </c>
      <c r="W2624" s="110" t="inlineStr">
        <is>
          <t>PC em analise</t>
        </is>
      </c>
      <c r="X2624" s="110" t="inlineStr">
        <is>
          <t>Pedido de Compra</t>
        </is>
      </c>
      <c r="Y2624" s="111" t="inlineStr">
        <is>
          <t>Impacto Potencial</t>
        </is>
      </c>
      <c r="Z2624" s="111" t="inlineStr">
        <is>
          <t>PC</t>
        </is>
      </c>
      <c r="AA2624" s="111" t="inlineStr">
        <is>
          <t>Nao</t>
        </is>
      </c>
      <c r="AB2624" s="111" t="inlineStr">
        <is>
          <t>NAO_COMPUTADO</t>
        </is>
      </c>
      <c r="AC2624" s="112" t="inlineStr">
        <is>
          <t>Estrutura Fase 1: sem impacto no VTA oficial</t>
        </is>
      </c>
    </row>
    <row r="2625" ht="25.5" customHeight="1" s="289">
      <c r="A2625" s="205" t="n"/>
      <c r="B2625" s="207" t="n"/>
      <c r="C2625" s="104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348" t="n"/>
      <c r="E2625" s="349">
        <f>IF(C2625="","",IFERROR(VLOOKUP(C2625,parametros!$A$11:$E$15,5,0),""))</f>
        <v/>
      </c>
      <c r="F2625" s="335">
        <f>IF(OR(D2625="",E2625=""),"",ROUND(D2625*E2625,2))</f>
        <v/>
      </c>
      <c r="G2625" s="106" t="n"/>
      <c r="H2625" s="350">
        <f>IF(G2625="Sim",IF(OR(F2625="",D2625="",L2625=""),"",IF(L2625="Sim",ROUND(F2625-D2625,2),0)),0)</f>
        <v/>
      </c>
      <c r="I2625" s="350">
        <f>IF(G2625="Sim",0,IF(OR(F2625="",L2625=""),"",F2625))</f>
        <v/>
      </c>
      <c r="J2625" s="350">
        <f>IF(G2625="Sim",0,IF(OR(F2625="",D2625="",L2625=""),"",IF(L2625="Sim",ROUND(F2625-D2625,2),0)))</f>
        <v/>
      </c>
      <c r="K2625" s="97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inlineStr">
        <is>
          <t>Nao</t>
        </is>
      </c>
      <c r="W2625" s="110" t="inlineStr">
        <is>
          <t>PC em analise</t>
        </is>
      </c>
      <c r="X2625" s="110" t="inlineStr">
        <is>
          <t>Pedido de Compra</t>
        </is>
      </c>
      <c r="Y2625" s="111" t="inlineStr">
        <is>
          <t>Impacto Potencial</t>
        </is>
      </c>
      <c r="Z2625" s="111" t="inlineStr">
        <is>
          <t>PC</t>
        </is>
      </c>
      <c r="AA2625" s="111" t="inlineStr">
        <is>
          <t>Nao</t>
        </is>
      </c>
      <c r="AB2625" s="111" t="inlineStr">
        <is>
          <t>NAO_COMPUTADO</t>
        </is>
      </c>
      <c r="AC2625" s="112" t="inlineStr">
        <is>
          <t>Estrutura Fase 1: sem impacto no VTA oficial</t>
        </is>
      </c>
    </row>
    <row r="2626" ht="25.5" customHeight="1" s="289">
      <c r="A2626" s="205" t="n"/>
      <c r="B2626" s="207" t="n"/>
      <c r="C2626" s="104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348" t="n"/>
      <c r="E2626" s="349">
        <f>IF(C2626="","",IFERROR(VLOOKUP(C2626,parametros!$A$11:$E$15,5,0),""))</f>
        <v/>
      </c>
      <c r="F2626" s="335">
        <f>IF(OR(D2626="",E2626=""),"",ROUND(D2626*E2626,2))</f>
        <v/>
      </c>
      <c r="G2626" s="106" t="n"/>
      <c r="H2626" s="350">
        <f>IF(G2626="Sim",IF(OR(F2626="",D2626="",L2626=""),"",IF(L2626="Sim",ROUND(F2626-D2626,2),0)),0)</f>
        <v/>
      </c>
      <c r="I2626" s="350">
        <f>IF(G2626="Sim",0,IF(OR(F2626="",L2626=""),"",F2626))</f>
        <v/>
      </c>
      <c r="J2626" s="350">
        <f>IF(G2626="Sim",0,IF(OR(F2626="",D2626="",L2626=""),"",IF(L2626="Sim",ROUND(F2626-D2626,2),0)))</f>
        <v/>
      </c>
      <c r="K2626" s="97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inlineStr">
        <is>
          <t>Nao</t>
        </is>
      </c>
      <c r="W2626" s="110" t="inlineStr">
        <is>
          <t>PC em analise</t>
        </is>
      </c>
      <c r="X2626" s="110" t="inlineStr">
        <is>
          <t>Pedido de Compra</t>
        </is>
      </c>
      <c r="Y2626" s="111" t="inlineStr">
        <is>
          <t>Impacto Potencial</t>
        </is>
      </c>
      <c r="Z2626" s="111" t="inlineStr">
        <is>
          <t>PC</t>
        </is>
      </c>
      <c r="AA2626" s="111" t="inlineStr">
        <is>
          <t>Nao</t>
        </is>
      </c>
      <c r="AB2626" s="111" t="inlineStr">
        <is>
          <t>NAO_COMPUTADO</t>
        </is>
      </c>
      <c r="AC2626" s="112" t="inlineStr">
        <is>
          <t>Estrutura Fase 1: sem impacto no VTA oficial</t>
        </is>
      </c>
    </row>
    <row r="2627" ht="25.5" customHeight="1" s="289">
      <c r="A2627" s="205" t="n"/>
      <c r="B2627" s="207" t="n"/>
      <c r="C2627" s="104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348" t="n"/>
      <c r="E2627" s="349">
        <f>IF(C2627="","",IFERROR(VLOOKUP(C2627,parametros!$A$11:$E$15,5,0),""))</f>
        <v/>
      </c>
      <c r="F2627" s="335">
        <f>IF(OR(D2627="",E2627=""),"",ROUND(D2627*E2627,2))</f>
        <v/>
      </c>
      <c r="G2627" s="106" t="n"/>
      <c r="H2627" s="350">
        <f>IF(G2627="Sim",IF(OR(F2627="",D2627="",L2627=""),"",IF(L2627="Sim",ROUND(F2627-D2627,2),0)),0)</f>
        <v/>
      </c>
      <c r="I2627" s="350">
        <f>IF(G2627="Sim",0,IF(OR(F2627="",L2627=""),"",F2627))</f>
        <v/>
      </c>
      <c r="J2627" s="350">
        <f>IF(G2627="Sim",0,IF(OR(F2627="",D2627="",L2627=""),"",IF(L2627="Sim",ROUND(F2627-D2627,2),0)))</f>
        <v/>
      </c>
      <c r="K2627" s="97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inlineStr">
        <is>
          <t>Nao</t>
        </is>
      </c>
      <c r="W2627" s="110" t="inlineStr">
        <is>
          <t>PC em analise</t>
        </is>
      </c>
      <c r="X2627" s="110" t="inlineStr">
        <is>
          <t>Pedido de Compra</t>
        </is>
      </c>
      <c r="Y2627" s="111" t="inlineStr">
        <is>
          <t>Impacto Potencial</t>
        </is>
      </c>
      <c r="Z2627" s="111" t="inlineStr">
        <is>
          <t>PC</t>
        </is>
      </c>
      <c r="AA2627" s="111" t="inlineStr">
        <is>
          <t>Nao</t>
        </is>
      </c>
      <c r="AB2627" s="111" t="inlineStr">
        <is>
          <t>NAO_COMPUTADO</t>
        </is>
      </c>
      <c r="AC2627" s="112" t="inlineStr">
        <is>
          <t>Estrutura Fase 1: sem impacto no VTA oficial</t>
        </is>
      </c>
    </row>
    <row r="2628" ht="25.5" customHeight="1" s="289">
      <c r="A2628" s="205" t="n"/>
      <c r="B2628" s="207" t="n"/>
      <c r="C2628" s="104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348" t="n"/>
      <c r="E2628" s="349">
        <f>IF(C2628="","",IFERROR(VLOOKUP(C2628,parametros!$A$11:$E$15,5,0),""))</f>
        <v/>
      </c>
      <c r="F2628" s="335">
        <f>IF(OR(D2628="",E2628=""),"",ROUND(D2628*E2628,2))</f>
        <v/>
      </c>
      <c r="G2628" s="106" t="n"/>
      <c r="H2628" s="350">
        <f>IF(G2628="Sim",IF(OR(F2628="",D2628="",L2628=""),"",IF(L2628="Sim",ROUND(F2628-D2628,2),0)),0)</f>
        <v/>
      </c>
      <c r="I2628" s="350">
        <f>IF(G2628="Sim",0,IF(OR(F2628="",L2628=""),"",F2628))</f>
        <v/>
      </c>
      <c r="J2628" s="350">
        <f>IF(G2628="Sim",0,IF(OR(F2628="",D2628="",L2628=""),"",IF(L2628="Sim",ROUND(F2628-D2628,2),0)))</f>
        <v/>
      </c>
      <c r="K2628" s="97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inlineStr">
        <is>
          <t>Nao</t>
        </is>
      </c>
      <c r="W2628" s="110" t="inlineStr">
        <is>
          <t>PC em analise</t>
        </is>
      </c>
      <c r="X2628" s="110" t="inlineStr">
        <is>
          <t>Pedido de Compra</t>
        </is>
      </c>
      <c r="Y2628" s="111" t="inlineStr">
        <is>
          <t>Impacto Potencial</t>
        </is>
      </c>
      <c r="Z2628" s="111" t="inlineStr">
        <is>
          <t>PC</t>
        </is>
      </c>
      <c r="AA2628" s="111" t="inlineStr">
        <is>
          <t>Nao</t>
        </is>
      </c>
      <c r="AB2628" s="111" t="inlineStr">
        <is>
          <t>NAO_COMPUTADO</t>
        </is>
      </c>
      <c r="AC2628" s="112" t="inlineStr">
        <is>
          <t>Estrutura Fase 1: sem impacto no VTA oficial</t>
        </is>
      </c>
    </row>
    <row r="2629" ht="25.5" customHeight="1" s="289">
      <c r="A2629" s="205" t="n"/>
      <c r="B2629" s="207" t="n"/>
      <c r="C2629" s="104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348" t="n"/>
      <c r="E2629" s="349">
        <f>IF(C2629="","",IFERROR(VLOOKUP(C2629,parametros!$A$11:$E$15,5,0),""))</f>
        <v/>
      </c>
      <c r="F2629" s="335">
        <f>IF(OR(D2629="",E2629=""),"",ROUND(D2629*E2629,2))</f>
        <v/>
      </c>
      <c r="G2629" s="106" t="n"/>
      <c r="H2629" s="350">
        <f>IF(G2629="Sim",IF(OR(F2629="",D2629="",L2629=""),"",IF(L2629="Sim",ROUND(F2629-D2629,2),0)),0)</f>
        <v/>
      </c>
      <c r="I2629" s="350">
        <f>IF(G2629="Sim",0,IF(OR(F2629="",L2629=""),"",F2629))</f>
        <v/>
      </c>
      <c r="J2629" s="350">
        <f>IF(G2629="Sim",0,IF(OR(F2629="",D2629="",L2629=""),"",IF(L2629="Sim",ROUND(F2629-D2629,2),0)))</f>
        <v/>
      </c>
      <c r="K2629" s="97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inlineStr">
        <is>
          <t>Nao</t>
        </is>
      </c>
      <c r="W2629" s="110" t="inlineStr">
        <is>
          <t>PC em analise</t>
        </is>
      </c>
      <c r="X2629" s="110" t="inlineStr">
        <is>
          <t>Pedido de Compra</t>
        </is>
      </c>
      <c r="Y2629" s="111" t="inlineStr">
        <is>
          <t>Impacto Potencial</t>
        </is>
      </c>
      <c r="Z2629" s="111" t="inlineStr">
        <is>
          <t>PC</t>
        </is>
      </c>
      <c r="AA2629" s="111" t="inlineStr">
        <is>
          <t>Nao</t>
        </is>
      </c>
      <c r="AB2629" s="111" t="inlineStr">
        <is>
          <t>NAO_COMPUTADO</t>
        </is>
      </c>
      <c r="AC2629" s="112" t="inlineStr">
        <is>
          <t>Estrutura Fase 1: sem impacto no VTA oficial</t>
        </is>
      </c>
    </row>
    <row r="2630" ht="25.5" customHeight="1" s="289">
      <c r="A2630" s="205" t="n"/>
      <c r="B2630" s="207" t="n"/>
      <c r="C2630" s="104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348" t="n"/>
      <c r="E2630" s="349">
        <f>IF(C2630="","",IFERROR(VLOOKUP(C2630,parametros!$A$11:$E$15,5,0),""))</f>
        <v/>
      </c>
      <c r="F2630" s="335">
        <f>IF(OR(D2630="",E2630=""),"",ROUND(D2630*E2630,2))</f>
        <v/>
      </c>
      <c r="G2630" s="106" t="n"/>
      <c r="H2630" s="350">
        <f>IF(G2630="Sim",IF(OR(F2630="",D2630="",L2630=""),"",IF(L2630="Sim",ROUND(F2630-D2630,2),0)),0)</f>
        <v/>
      </c>
      <c r="I2630" s="350">
        <f>IF(G2630="Sim",0,IF(OR(F2630="",L2630=""),"",F2630))</f>
        <v/>
      </c>
      <c r="J2630" s="350">
        <f>IF(G2630="Sim",0,IF(OR(F2630="",D2630="",L2630=""),"",IF(L2630="Sim",ROUND(F2630-D2630,2),0)))</f>
        <v/>
      </c>
      <c r="K2630" s="97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inlineStr">
        <is>
          <t>Nao</t>
        </is>
      </c>
      <c r="W2630" s="110" t="inlineStr">
        <is>
          <t>PC em analise</t>
        </is>
      </c>
      <c r="X2630" s="110" t="inlineStr">
        <is>
          <t>Pedido de Compra</t>
        </is>
      </c>
      <c r="Y2630" s="111" t="inlineStr">
        <is>
          <t>Impacto Potencial</t>
        </is>
      </c>
      <c r="Z2630" s="111" t="inlineStr">
        <is>
          <t>PC</t>
        </is>
      </c>
      <c r="AA2630" s="111" t="inlineStr">
        <is>
          <t>Nao</t>
        </is>
      </c>
      <c r="AB2630" s="111" t="inlineStr">
        <is>
          <t>NAO_COMPUTADO</t>
        </is>
      </c>
      <c r="AC2630" s="112" t="inlineStr">
        <is>
          <t>Estrutura Fase 1: sem impacto no VTA oficial</t>
        </is>
      </c>
    </row>
    <row r="2631" ht="25.5" customHeight="1" s="289">
      <c r="A2631" s="205" t="n"/>
      <c r="B2631" s="207" t="n"/>
      <c r="C2631" s="104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348" t="n"/>
      <c r="E2631" s="349">
        <f>IF(C2631="","",IFERROR(VLOOKUP(C2631,parametros!$A$11:$E$15,5,0),""))</f>
        <v/>
      </c>
      <c r="F2631" s="335">
        <f>IF(OR(D2631="",E2631=""),"",ROUND(D2631*E2631,2))</f>
        <v/>
      </c>
      <c r="G2631" s="106" t="n"/>
      <c r="H2631" s="350">
        <f>IF(G2631="Sim",IF(OR(F2631="",D2631="",L2631=""),"",IF(L2631="Sim",ROUND(F2631-D2631,2),0)),0)</f>
        <v/>
      </c>
      <c r="I2631" s="350">
        <f>IF(G2631="Sim",0,IF(OR(F2631="",L2631=""),"",F2631))</f>
        <v/>
      </c>
      <c r="J2631" s="350">
        <f>IF(G2631="Sim",0,IF(OR(F2631="",D2631="",L2631=""),"",IF(L2631="Sim",ROUND(F2631-D2631,2),0)))</f>
        <v/>
      </c>
      <c r="K2631" s="97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inlineStr">
        <is>
          <t>Nao</t>
        </is>
      </c>
      <c r="W2631" s="110" t="inlineStr">
        <is>
          <t>PC em analise</t>
        </is>
      </c>
      <c r="X2631" s="110" t="inlineStr">
        <is>
          <t>Pedido de Compra</t>
        </is>
      </c>
      <c r="Y2631" s="111" t="inlineStr">
        <is>
          <t>Impacto Potencial</t>
        </is>
      </c>
      <c r="Z2631" s="111" t="inlineStr">
        <is>
          <t>PC</t>
        </is>
      </c>
      <c r="AA2631" s="111" t="inlineStr">
        <is>
          <t>Nao</t>
        </is>
      </c>
      <c r="AB2631" s="111" t="inlineStr">
        <is>
          <t>NAO_COMPUTADO</t>
        </is>
      </c>
      <c r="AC2631" s="112" t="inlineStr">
        <is>
          <t>Estrutura Fase 1: sem impacto no VTA oficial</t>
        </is>
      </c>
    </row>
    <row r="2632" ht="25.5" customHeight="1" s="289">
      <c r="A2632" s="205" t="n"/>
      <c r="B2632" s="207" t="n"/>
      <c r="C2632" s="104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348" t="n"/>
      <c r="E2632" s="349">
        <f>IF(C2632="","",IFERROR(VLOOKUP(C2632,parametros!$A$11:$E$15,5,0),""))</f>
        <v/>
      </c>
      <c r="F2632" s="335">
        <f>IF(OR(D2632="",E2632=""),"",ROUND(D2632*E2632,2))</f>
        <v/>
      </c>
      <c r="G2632" s="106" t="n"/>
      <c r="H2632" s="350">
        <f>IF(G2632="Sim",IF(OR(F2632="",D2632="",L2632=""),"",IF(L2632="Sim",ROUND(F2632-D2632,2),0)),0)</f>
        <v/>
      </c>
      <c r="I2632" s="350">
        <f>IF(G2632="Sim",0,IF(OR(F2632="",L2632=""),"",F2632))</f>
        <v/>
      </c>
      <c r="J2632" s="350">
        <f>IF(G2632="Sim",0,IF(OR(F2632="",D2632="",L2632=""),"",IF(L2632="Sim",ROUND(F2632-D2632,2),0)))</f>
        <v/>
      </c>
      <c r="K2632" s="97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inlineStr">
        <is>
          <t>Nao</t>
        </is>
      </c>
      <c r="W2632" s="110" t="inlineStr">
        <is>
          <t>PC em analise</t>
        </is>
      </c>
      <c r="X2632" s="110" t="inlineStr">
        <is>
          <t>Pedido de Compra</t>
        </is>
      </c>
      <c r="Y2632" s="111" t="inlineStr">
        <is>
          <t>Impacto Potencial</t>
        </is>
      </c>
      <c r="Z2632" s="111" t="inlineStr">
        <is>
          <t>PC</t>
        </is>
      </c>
      <c r="AA2632" s="111" t="inlineStr">
        <is>
          <t>Nao</t>
        </is>
      </c>
      <c r="AB2632" s="111" t="inlineStr">
        <is>
          <t>NAO_COMPUTADO</t>
        </is>
      </c>
      <c r="AC2632" s="112" t="inlineStr">
        <is>
          <t>Estrutura Fase 1: sem impacto no VTA oficial</t>
        </is>
      </c>
    </row>
    <row r="2633" ht="25.5" customHeight="1" s="289">
      <c r="A2633" s="205" t="n"/>
      <c r="B2633" s="207" t="n"/>
      <c r="C2633" s="104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348" t="n"/>
      <c r="E2633" s="349">
        <f>IF(C2633="","",IFERROR(VLOOKUP(C2633,parametros!$A$11:$E$15,5,0),""))</f>
        <v/>
      </c>
      <c r="F2633" s="335">
        <f>IF(OR(D2633="",E2633=""),"",ROUND(D2633*E2633,2))</f>
        <v/>
      </c>
      <c r="G2633" s="106" t="n"/>
      <c r="H2633" s="350">
        <f>IF(G2633="Sim",IF(OR(F2633="",D2633="",L2633=""),"",IF(L2633="Sim",ROUND(F2633-D2633,2),0)),0)</f>
        <v/>
      </c>
      <c r="I2633" s="350">
        <f>IF(G2633="Sim",0,IF(OR(F2633="",L2633=""),"",F2633))</f>
        <v/>
      </c>
      <c r="J2633" s="350">
        <f>IF(G2633="Sim",0,IF(OR(F2633="",D2633="",L2633=""),"",IF(L2633="Sim",ROUND(F2633-D2633,2),0)))</f>
        <v/>
      </c>
      <c r="K2633" s="97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inlineStr">
        <is>
          <t>Nao</t>
        </is>
      </c>
      <c r="W2633" s="110" t="inlineStr">
        <is>
          <t>PC em analise</t>
        </is>
      </c>
      <c r="X2633" s="110" t="inlineStr">
        <is>
          <t>Pedido de Compra</t>
        </is>
      </c>
      <c r="Y2633" s="111" t="inlineStr">
        <is>
          <t>Impacto Potencial</t>
        </is>
      </c>
      <c r="Z2633" s="111" t="inlineStr">
        <is>
          <t>PC</t>
        </is>
      </c>
      <c r="AA2633" s="111" t="inlineStr">
        <is>
          <t>Nao</t>
        </is>
      </c>
      <c r="AB2633" s="111" t="inlineStr">
        <is>
          <t>NAO_COMPUTADO</t>
        </is>
      </c>
      <c r="AC2633" s="112" t="inlineStr">
        <is>
          <t>Estrutura Fase 1: sem impacto no VTA oficial</t>
        </is>
      </c>
    </row>
    <row r="2634" ht="25.5" customHeight="1" s="289">
      <c r="A2634" s="205" t="n"/>
      <c r="B2634" s="207" t="n"/>
      <c r="C2634" s="104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348" t="n"/>
      <c r="E2634" s="349">
        <f>IF(C2634="","",IFERROR(VLOOKUP(C2634,parametros!$A$11:$E$15,5,0),""))</f>
        <v/>
      </c>
      <c r="F2634" s="335">
        <f>IF(OR(D2634="",E2634=""),"",ROUND(D2634*E2634,2))</f>
        <v/>
      </c>
      <c r="G2634" s="106" t="n"/>
      <c r="H2634" s="350">
        <f>IF(G2634="Sim",IF(OR(F2634="",D2634="",L2634=""),"",IF(L2634="Sim",ROUND(F2634-D2634,2),0)),0)</f>
        <v/>
      </c>
      <c r="I2634" s="350">
        <f>IF(G2634="Sim",0,IF(OR(F2634="",L2634=""),"",F2634))</f>
        <v/>
      </c>
      <c r="J2634" s="350">
        <f>IF(G2634="Sim",0,IF(OR(F2634="",D2634="",L2634=""),"",IF(L2634="Sim",ROUND(F2634-D2634,2),0)))</f>
        <v/>
      </c>
      <c r="K2634" s="97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inlineStr">
        <is>
          <t>Nao</t>
        </is>
      </c>
      <c r="W2634" s="110" t="inlineStr">
        <is>
          <t>PC em analise</t>
        </is>
      </c>
      <c r="X2634" s="110" t="inlineStr">
        <is>
          <t>Pedido de Compra</t>
        </is>
      </c>
      <c r="Y2634" s="111" t="inlineStr">
        <is>
          <t>Impacto Potencial</t>
        </is>
      </c>
      <c r="Z2634" s="111" t="inlineStr">
        <is>
          <t>PC</t>
        </is>
      </c>
      <c r="AA2634" s="111" t="inlineStr">
        <is>
          <t>Nao</t>
        </is>
      </c>
      <c r="AB2634" s="111" t="inlineStr">
        <is>
          <t>NAO_COMPUTADO</t>
        </is>
      </c>
      <c r="AC2634" s="112" t="inlineStr">
        <is>
          <t>Estrutura Fase 1: sem impacto no VTA oficial</t>
        </is>
      </c>
    </row>
    <row r="2635" ht="25.5" customHeight="1" s="289">
      <c r="A2635" s="205" t="n"/>
      <c r="B2635" s="207" t="n"/>
      <c r="C2635" s="104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348" t="n"/>
      <c r="E2635" s="349">
        <f>IF(C2635="","",IFERROR(VLOOKUP(C2635,parametros!$A$11:$E$15,5,0),""))</f>
        <v/>
      </c>
      <c r="F2635" s="335">
        <f>IF(OR(D2635="",E2635=""),"",ROUND(D2635*E2635,2))</f>
        <v/>
      </c>
      <c r="G2635" s="106" t="n"/>
      <c r="H2635" s="350">
        <f>IF(G2635="Sim",IF(OR(F2635="",D2635="",L2635=""),"",IF(L2635="Sim",ROUND(F2635-D2635,2),0)),0)</f>
        <v/>
      </c>
      <c r="I2635" s="350">
        <f>IF(G2635="Sim",0,IF(OR(F2635="",L2635=""),"",F2635))</f>
        <v/>
      </c>
      <c r="J2635" s="350">
        <f>IF(G2635="Sim",0,IF(OR(F2635="",D2635="",L2635=""),"",IF(L2635="Sim",ROUND(F2635-D2635,2),0)))</f>
        <v/>
      </c>
      <c r="K2635" s="97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inlineStr">
        <is>
          <t>Nao</t>
        </is>
      </c>
      <c r="W2635" s="110" t="inlineStr">
        <is>
          <t>PC em analise</t>
        </is>
      </c>
      <c r="X2635" s="110" t="inlineStr">
        <is>
          <t>Pedido de Compra</t>
        </is>
      </c>
      <c r="Y2635" s="111" t="inlineStr">
        <is>
          <t>Impacto Potencial</t>
        </is>
      </c>
      <c r="Z2635" s="111" t="inlineStr">
        <is>
          <t>PC</t>
        </is>
      </c>
      <c r="AA2635" s="111" t="inlineStr">
        <is>
          <t>Nao</t>
        </is>
      </c>
      <c r="AB2635" s="111" t="inlineStr">
        <is>
          <t>NAO_COMPUTADO</t>
        </is>
      </c>
      <c r="AC2635" s="112" t="inlineStr">
        <is>
          <t>Estrutura Fase 1: sem impacto no VTA oficial</t>
        </is>
      </c>
    </row>
    <row r="2636" ht="25.5" customHeight="1" s="289">
      <c r="A2636" s="205" t="n"/>
      <c r="B2636" s="207" t="n"/>
      <c r="C2636" s="104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348" t="n"/>
      <c r="E2636" s="349">
        <f>IF(C2636="","",IFERROR(VLOOKUP(C2636,parametros!$A$11:$E$15,5,0),""))</f>
        <v/>
      </c>
      <c r="F2636" s="335">
        <f>IF(OR(D2636="",E2636=""),"",ROUND(D2636*E2636,2))</f>
        <v/>
      </c>
      <c r="G2636" s="106" t="n"/>
      <c r="H2636" s="350">
        <f>IF(G2636="Sim",IF(OR(F2636="",D2636="",L2636=""),"",IF(L2636="Sim",ROUND(F2636-D2636,2),0)),0)</f>
        <v/>
      </c>
      <c r="I2636" s="350">
        <f>IF(G2636="Sim",0,IF(OR(F2636="",L2636=""),"",F2636))</f>
        <v/>
      </c>
      <c r="J2636" s="350">
        <f>IF(G2636="Sim",0,IF(OR(F2636="",D2636="",L2636=""),"",IF(L2636="Sim",ROUND(F2636-D2636,2),0)))</f>
        <v/>
      </c>
      <c r="K2636" s="97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inlineStr">
        <is>
          <t>Nao</t>
        </is>
      </c>
      <c r="W2636" s="110" t="inlineStr">
        <is>
          <t>PC em analise</t>
        </is>
      </c>
      <c r="X2636" s="110" t="inlineStr">
        <is>
          <t>Pedido de Compra</t>
        </is>
      </c>
      <c r="Y2636" s="111" t="inlineStr">
        <is>
          <t>Impacto Potencial</t>
        </is>
      </c>
      <c r="Z2636" s="111" t="inlineStr">
        <is>
          <t>PC</t>
        </is>
      </c>
      <c r="AA2636" s="111" t="inlineStr">
        <is>
          <t>Nao</t>
        </is>
      </c>
      <c r="AB2636" s="111" t="inlineStr">
        <is>
          <t>NAO_COMPUTADO</t>
        </is>
      </c>
      <c r="AC2636" s="112" t="inlineStr">
        <is>
          <t>Estrutura Fase 1: sem impacto no VTA oficial</t>
        </is>
      </c>
    </row>
    <row r="2637" ht="25.5" customHeight="1" s="289">
      <c r="A2637" s="205" t="n"/>
      <c r="B2637" s="207" t="n"/>
      <c r="C2637" s="104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348" t="n"/>
      <c r="E2637" s="349">
        <f>IF(C2637="","",IFERROR(VLOOKUP(C2637,parametros!$A$11:$E$15,5,0),""))</f>
        <v/>
      </c>
      <c r="F2637" s="335">
        <f>IF(OR(D2637="",E2637=""),"",ROUND(D2637*E2637,2))</f>
        <v/>
      </c>
      <c r="G2637" s="106" t="n"/>
      <c r="H2637" s="350">
        <f>IF(G2637="Sim",IF(OR(F2637="",D2637="",L2637=""),"",IF(L2637="Sim",ROUND(F2637-D2637,2),0)),0)</f>
        <v/>
      </c>
      <c r="I2637" s="350">
        <f>IF(G2637="Sim",0,IF(OR(F2637="",L2637=""),"",F2637))</f>
        <v/>
      </c>
      <c r="J2637" s="350">
        <f>IF(G2637="Sim",0,IF(OR(F2637="",D2637="",L2637=""),"",IF(L2637="Sim",ROUND(F2637-D2637,2),0)))</f>
        <v/>
      </c>
      <c r="K2637" s="97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inlineStr">
        <is>
          <t>Nao</t>
        </is>
      </c>
      <c r="W2637" s="110" t="inlineStr">
        <is>
          <t>PC em analise</t>
        </is>
      </c>
      <c r="X2637" s="110" t="inlineStr">
        <is>
          <t>Pedido de Compra</t>
        </is>
      </c>
      <c r="Y2637" s="111" t="inlineStr">
        <is>
          <t>Impacto Potencial</t>
        </is>
      </c>
      <c r="Z2637" s="111" t="inlineStr">
        <is>
          <t>PC</t>
        </is>
      </c>
      <c r="AA2637" s="111" t="inlineStr">
        <is>
          <t>Nao</t>
        </is>
      </c>
      <c r="AB2637" s="111" t="inlineStr">
        <is>
          <t>NAO_COMPUTADO</t>
        </is>
      </c>
      <c r="AC2637" s="112" t="inlineStr">
        <is>
          <t>Estrutura Fase 1: sem impacto no VTA oficial</t>
        </is>
      </c>
    </row>
    <row r="2638" ht="25.5" customHeight="1" s="289">
      <c r="A2638" s="205" t="n"/>
      <c r="B2638" s="207" t="n"/>
      <c r="C2638" s="104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348" t="n"/>
      <c r="E2638" s="349">
        <f>IF(C2638="","",IFERROR(VLOOKUP(C2638,parametros!$A$11:$E$15,5,0),""))</f>
        <v/>
      </c>
      <c r="F2638" s="335">
        <f>IF(OR(D2638="",E2638=""),"",ROUND(D2638*E2638,2))</f>
        <v/>
      </c>
      <c r="G2638" s="106" t="n"/>
      <c r="H2638" s="350">
        <f>IF(G2638="Sim",IF(OR(F2638="",D2638="",L2638=""),"",IF(L2638="Sim",ROUND(F2638-D2638,2),0)),0)</f>
        <v/>
      </c>
      <c r="I2638" s="350">
        <f>IF(G2638="Sim",0,IF(OR(F2638="",L2638=""),"",F2638))</f>
        <v/>
      </c>
      <c r="J2638" s="350">
        <f>IF(G2638="Sim",0,IF(OR(F2638="",D2638="",L2638=""),"",IF(L2638="Sim",ROUND(F2638-D2638,2),0)))</f>
        <v/>
      </c>
      <c r="K2638" s="97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inlineStr">
        <is>
          <t>Nao</t>
        </is>
      </c>
      <c r="W2638" s="110" t="inlineStr">
        <is>
          <t>PC em analise</t>
        </is>
      </c>
      <c r="X2638" s="110" t="inlineStr">
        <is>
          <t>Pedido de Compra</t>
        </is>
      </c>
      <c r="Y2638" s="111" t="inlineStr">
        <is>
          <t>Impacto Potencial</t>
        </is>
      </c>
      <c r="Z2638" s="111" t="inlineStr">
        <is>
          <t>PC</t>
        </is>
      </c>
      <c r="AA2638" s="111" t="inlineStr">
        <is>
          <t>Nao</t>
        </is>
      </c>
      <c r="AB2638" s="111" t="inlineStr">
        <is>
          <t>NAO_COMPUTADO</t>
        </is>
      </c>
      <c r="AC2638" s="112" t="inlineStr">
        <is>
          <t>Estrutura Fase 1: sem impacto no VTA oficial</t>
        </is>
      </c>
    </row>
    <row r="2639" ht="25.5" customHeight="1" s="289">
      <c r="A2639" s="205" t="n"/>
      <c r="B2639" s="207" t="n"/>
      <c r="C2639" s="104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348" t="n"/>
      <c r="E2639" s="349">
        <f>IF(C2639="","",IFERROR(VLOOKUP(C2639,parametros!$A$11:$E$15,5,0),""))</f>
        <v/>
      </c>
      <c r="F2639" s="335">
        <f>IF(OR(D2639="",E2639=""),"",ROUND(D2639*E2639,2))</f>
        <v/>
      </c>
      <c r="G2639" s="106" t="n"/>
      <c r="H2639" s="350">
        <f>IF(G2639="Sim",IF(OR(F2639="",D2639="",L2639=""),"",IF(L2639="Sim",ROUND(F2639-D2639,2),0)),0)</f>
        <v/>
      </c>
      <c r="I2639" s="350">
        <f>IF(G2639="Sim",0,IF(OR(F2639="",L2639=""),"",F2639))</f>
        <v/>
      </c>
      <c r="J2639" s="350">
        <f>IF(G2639="Sim",0,IF(OR(F2639="",D2639="",L2639=""),"",IF(L2639="Sim",ROUND(F2639-D2639,2),0)))</f>
        <v/>
      </c>
      <c r="K2639" s="97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inlineStr">
        <is>
          <t>Nao</t>
        </is>
      </c>
      <c r="W2639" s="110" t="inlineStr">
        <is>
          <t>PC em analise</t>
        </is>
      </c>
      <c r="X2639" s="110" t="inlineStr">
        <is>
          <t>Pedido de Compra</t>
        </is>
      </c>
      <c r="Y2639" s="111" t="inlineStr">
        <is>
          <t>Impacto Potencial</t>
        </is>
      </c>
      <c r="Z2639" s="111" t="inlineStr">
        <is>
          <t>PC</t>
        </is>
      </c>
      <c r="AA2639" s="111" t="inlineStr">
        <is>
          <t>Nao</t>
        </is>
      </c>
      <c r="AB2639" s="111" t="inlineStr">
        <is>
          <t>NAO_COMPUTADO</t>
        </is>
      </c>
      <c r="AC2639" s="112" t="inlineStr">
        <is>
          <t>Estrutura Fase 1: sem impacto no VTA oficial</t>
        </is>
      </c>
    </row>
    <row r="2640" ht="25.5" customHeight="1" s="289">
      <c r="A2640" s="205" t="n"/>
      <c r="B2640" s="207" t="n"/>
      <c r="C2640" s="104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348" t="n"/>
      <c r="E2640" s="349">
        <f>IF(C2640="","",IFERROR(VLOOKUP(C2640,parametros!$A$11:$E$15,5,0),""))</f>
        <v/>
      </c>
      <c r="F2640" s="335">
        <f>IF(OR(D2640="",E2640=""),"",ROUND(D2640*E2640,2))</f>
        <v/>
      </c>
      <c r="G2640" s="106" t="n"/>
      <c r="H2640" s="350">
        <f>IF(G2640="Sim",IF(OR(F2640="",D2640="",L2640=""),"",IF(L2640="Sim",ROUND(F2640-D2640,2),0)),0)</f>
        <v/>
      </c>
      <c r="I2640" s="350">
        <f>IF(G2640="Sim",0,IF(OR(F2640="",L2640=""),"",F2640))</f>
        <v/>
      </c>
      <c r="J2640" s="350">
        <f>IF(G2640="Sim",0,IF(OR(F2640="",D2640="",L2640=""),"",IF(L2640="Sim",ROUND(F2640-D2640,2),0)))</f>
        <v/>
      </c>
      <c r="K2640" s="97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inlineStr">
        <is>
          <t>Nao</t>
        </is>
      </c>
      <c r="W2640" s="110" t="inlineStr">
        <is>
          <t>PC em analise</t>
        </is>
      </c>
      <c r="X2640" s="110" t="inlineStr">
        <is>
          <t>Pedido de Compra</t>
        </is>
      </c>
      <c r="Y2640" s="111" t="inlineStr">
        <is>
          <t>Impacto Potencial</t>
        </is>
      </c>
      <c r="Z2640" s="111" t="inlineStr">
        <is>
          <t>PC</t>
        </is>
      </c>
      <c r="AA2640" s="111" t="inlineStr">
        <is>
          <t>Nao</t>
        </is>
      </c>
      <c r="AB2640" s="111" t="inlineStr">
        <is>
          <t>NAO_COMPUTADO</t>
        </is>
      </c>
      <c r="AC2640" s="112" t="inlineStr">
        <is>
          <t>Estrutura Fase 1: sem impacto no VTA oficial</t>
        </is>
      </c>
    </row>
    <row r="2641" ht="25.5" customHeight="1" s="289">
      <c r="A2641" s="205" t="n"/>
      <c r="B2641" s="207" t="n"/>
      <c r="C2641" s="104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348" t="n"/>
      <c r="E2641" s="349">
        <f>IF(C2641="","",IFERROR(VLOOKUP(C2641,parametros!$A$11:$E$15,5,0),""))</f>
        <v/>
      </c>
      <c r="F2641" s="335">
        <f>IF(OR(D2641="",E2641=""),"",ROUND(D2641*E2641,2))</f>
        <v/>
      </c>
      <c r="G2641" s="106" t="n"/>
      <c r="H2641" s="350">
        <f>IF(G2641="Sim",IF(OR(F2641="",D2641="",L2641=""),"",IF(L2641="Sim",ROUND(F2641-D2641,2),0)),0)</f>
        <v/>
      </c>
      <c r="I2641" s="350">
        <f>IF(G2641="Sim",0,IF(OR(F2641="",L2641=""),"",F2641))</f>
        <v/>
      </c>
      <c r="J2641" s="350">
        <f>IF(G2641="Sim",0,IF(OR(F2641="",D2641="",L2641=""),"",IF(L2641="Sim",ROUND(F2641-D2641,2),0)))</f>
        <v/>
      </c>
      <c r="K2641" s="97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inlineStr">
        <is>
          <t>Nao</t>
        </is>
      </c>
      <c r="W2641" s="110" t="inlineStr">
        <is>
          <t>PC em analise</t>
        </is>
      </c>
      <c r="X2641" s="110" t="inlineStr">
        <is>
          <t>Pedido de Compra</t>
        </is>
      </c>
      <c r="Y2641" s="111" t="inlineStr">
        <is>
          <t>Impacto Potencial</t>
        </is>
      </c>
      <c r="Z2641" s="111" t="inlineStr">
        <is>
          <t>PC</t>
        </is>
      </c>
      <c r="AA2641" s="111" t="inlineStr">
        <is>
          <t>Nao</t>
        </is>
      </c>
      <c r="AB2641" s="111" t="inlineStr">
        <is>
          <t>NAO_COMPUTADO</t>
        </is>
      </c>
      <c r="AC2641" s="112" t="inlineStr">
        <is>
          <t>Estrutura Fase 1: sem impacto no VTA oficial</t>
        </is>
      </c>
    </row>
    <row r="2642" ht="25.5" customHeight="1" s="289">
      <c r="A2642" s="205" t="n"/>
      <c r="B2642" s="207" t="n"/>
      <c r="C2642" s="104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348" t="n"/>
      <c r="E2642" s="349">
        <f>IF(C2642="","",IFERROR(VLOOKUP(C2642,parametros!$A$11:$E$15,5,0),""))</f>
        <v/>
      </c>
      <c r="F2642" s="335">
        <f>IF(OR(D2642="",E2642=""),"",ROUND(D2642*E2642,2))</f>
        <v/>
      </c>
      <c r="G2642" s="106" t="n"/>
      <c r="H2642" s="350">
        <f>IF(G2642="Sim",IF(OR(F2642="",D2642="",L2642=""),"",IF(L2642="Sim",ROUND(F2642-D2642,2),0)),0)</f>
        <v/>
      </c>
      <c r="I2642" s="350">
        <f>IF(G2642="Sim",0,IF(OR(F2642="",L2642=""),"",F2642))</f>
        <v/>
      </c>
      <c r="J2642" s="350">
        <f>IF(G2642="Sim",0,IF(OR(F2642="",D2642="",L2642=""),"",IF(L2642="Sim",ROUND(F2642-D2642,2),0)))</f>
        <v/>
      </c>
      <c r="K2642" s="97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inlineStr">
        <is>
          <t>Nao</t>
        </is>
      </c>
      <c r="W2642" s="110" t="inlineStr">
        <is>
          <t>PC em analise</t>
        </is>
      </c>
      <c r="X2642" s="110" t="inlineStr">
        <is>
          <t>Pedido de Compra</t>
        </is>
      </c>
      <c r="Y2642" s="111" t="inlineStr">
        <is>
          <t>Impacto Potencial</t>
        </is>
      </c>
      <c r="Z2642" s="111" t="inlineStr">
        <is>
          <t>PC</t>
        </is>
      </c>
      <c r="AA2642" s="111" t="inlineStr">
        <is>
          <t>Nao</t>
        </is>
      </c>
      <c r="AB2642" s="111" t="inlineStr">
        <is>
          <t>NAO_COMPUTADO</t>
        </is>
      </c>
      <c r="AC2642" s="112" t="inlineStr">
        <is>
          <t>Estrutura Fase 1: sem impacto no VTA oficial</t>
        </is>
      </c>
    </row>
    <row r="2643" ht="25.5" customHeight="1" s="289">
      <c r="A2643" s="205" t="n"/>
      <c r="B2643" s="207" t="n"/>
      <c r="C2643" s="104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348" t="n"/>
      <c r="E2643" s="349">
        <f>IF(C2643="","",IFERROR(VLOOKUP(C2643,parametros!$A$11:$E$15,5,0),""))</f>
        <v/>
      </c>
      <c r="F2643" s="335">
        <f>IF(OR(D2643="",E2643=""),"",ROUND(D2643*E2643,2))</f>
        <v/>
      </c>
      <c r="G2643" s="106" t="n"/>
      <c r="H2643" s="350">
        <f>IF(G2643="Sim",IF(OR(F2643="",D2643="",L2643=""),"",IF(L2643="Sim",ROUND(F2643-D2643,2),0)),0)</f>
        <v/>
      </c>
      <c r="I2643" s="350">
        <f>IF(G2643="Sim",0,IF(OR(F2643="",L2643=""),"",F2643))</f>
        <v/>
      </c>
      <c r="J2643" s="350">
        <f>IF(G2643="Sim",0,IF(OR(F2643="",D2643="",L2643=""),"",IF(L2643="Sim",ROUND(F2643-D2643,2),0)))</f>
        <v/>
      </c>
      <c r="K2643" s="97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inlineStr">
        <is>
          <t>Nao</t>
        </is>
      </c>
      <c r="W2643" s="110" t="inlineStr">
        <is>
          <t>PC em analise</t>
        </is>
      </c>
      <c r="X2643" s="110" t="inlineStr">
        <is>
          <t>Pedido de Compra</t>
        </is>
      </c>
      <c r="Y2643" s="111" t="inlineStr">
        <is>
          <t>Impacto Potencial</t>
        </is>
      </c>
      <c r="Z2643" s="111" t="inlineStr">
        <is>
          <t>PC</t>
        </is>
      </c>
      <c r="AA2643" s="111" t="inlineStr">
        <is>
          <t>Nao</t>
        </is>
      </c>
      <c r="AB2643" s="111" t="inlineStr">
        <is>
          <t>NAO_COMPUTADO</t>
        </is>
      </c>
      <c r="AC2643" s="112" t="inlineStr">
        <is>
          <t>Estrutura Fase 1: sem impacto no VTA oficial</t>
        </is>
      </c>
    </row>
    <row r="2644" ht="25.5" customHeight="1" s="289">
      <c r="A2644" s="205" t="n"/>
      <c r="B2644" s="207" t="n"/>
      <c r="C2644" s="104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348" t="n"/>
      <c r="E2644" s="349">
        <f>IF(C2644="","",IFERROR(VLOOKUP(C2644,parametros!$A$11:$E$15,5,0),""))</f>
        <v/>
      </c>
      <c r="F2644" s="335">
        <f>IF(OR(D2644="",E2644=""),"",ROUND(D2644*E2644,2))</f>
        <v/>
      </c>
      <c r="G2644" s="106" t="n"/>
      <c r="H2644" s="350">
        <f>IF(G2644="Sim",IF(OR(F2644="",D2644="",L2644=""),"",IF(L2644="Sim",ROUND(F2644-D2644,2),0)),0)</f>
        <v/>
      </c>
      <c r="I2644" s="350">
        <f>IF(G2644="Sim",0,IF(OR(F2644="",L2644=""),"",F2644))</f>
        <v/>
      </c>
      <c r="J2644" s="350">
        <f>IF(G2644="Sim",0,IF(OR(F2644="",D2644="",L2644=""),"",IF(L2644="Sim",ROUND(F2644-D2644,2),0)))</f>
        <v/>
      </c>
      <c r="K2644" s="97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inlineStr">
        <is>
          <t>Nao</t>
        </is>
      </c>
      <c r="W2644" s="110" t="inlineStr">
        <is>
          <t>PC em analise</t>
        </is>
      </c>
      <c r="X2644" s="110" t="inlineStr">
        <is>
          <t>Pedido de Compra</t>
        </is>
      </c>
      <c r="Y2644" s="111" t="inlineStr">
        <is>
          <t>Impacto Potencial</t>
        </is>
      </c>
      <c r="Z2644" s="111" t="inlineStr">
        <is>
          <t>PC</t>
        </is>
      </c>
      <c r="AA2644" s="111" t="inlineStr">
        <is>
          <t>Nao</t>
        </is>
      </c>
      <c r="AB2644" s="111" t="inlineStr">
        <is>
          <t>NAO_COMPUTADO</t>
        </is>
      </c>
      <c r="AC2644" s="112" t="inlineStr">
        <is>
          <t>Estrutura Fase 1: sem impacto no VTA oficial</t>
        </is>
      </c>
    </row>
    <row r="2645" ht="25.5" customHeight="1" s="289">
      <c r="A2645" s="205" t="n"/>
      <c r="B2645" s="207" t="n"/>
      <c r="C2645" s="104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348" t="n"/>
      <c r="E2645" s="349">
        <f>IF(C2645="","",IFERROR(VLOOKUP(C2645,parametros!$A$11:$E$15,5,0),""))</f>
        <v/>
      </c>
      <c r="F2645" s="335">
        <f>IF(OR(D2645="",E2645=""),"",ROUND(D2645*E2645,2))</f>
        <v/>
      </c>
      <c r="G2645" s="106" t="n"/>
      <c r="H2645" s="350">
        <f>IF(G2645="Sim",IF(OR(F2645="",D2645="",L2645=""),"",IF(L2645="Sim",ROUND(F2645-D2645,2),0)),0)</f>
        <v/>
      </c>
      <c r="I2645" s="350">
        <f>IF(G2645="Sim",0,IF(OR(F2645="",L2645=""),"",F2645))</f>
        <v/>
      </c>
      <c r="J2645" s="350">
        <f>IF(G2645="Sim",0,IF(OR(F2645="",D2645="",L2645=""),"",IF(L2645="Sim",ROUND(F2645-D2645,2),0)))</f>
        <v/>
      </c>
      <c r="K2645" s="97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inlineStr">
        <is>
          <t>Nao</t>
        </is>
      </c>
      <c r="W2645" s="110" t="inlineStr">
        <is>
          <t>PC em analise</t>
        </is>
      </c>
      <c r="X2645" s="110" t="inlineStr">
        <is>
          <t>Pedido de Compra</t>
        </is>
      </c>
      <c r="Y2645" s="111" t="inlineStr">
        <is>
          <t>Impacto Potencial</t>
        </is>
      </c>
      <c r="Z2645" s="111" t="inlineStr">
        <is>
          <t>PC</t>
        </is>
      </c>
      <c r="AA2645" s="111" t="inlineStr">
        <is>
          <t>Nao</t>
        </is>
      </c>
      <c r="AB2645" s="111" t="inlineStr">
        <is>
          <t>NAO_COMPUTADO</t>
        </is>
      </c>
      <c r="AC2645" s="112" t="inlineStr">
        <is>
          <t>Estrutura Fase 1: sem impacto no VTA oficial</t>
        </is>
      </c>
    </row>
    <row r="2646" ht="25.5" customHeight="1" s="289">
      <c r="A2646" s="205" t="n"/>
      <c r="B2646" s="207" t="n"/>
      <c r="C2646" s="104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348" t="n"/>
      <c r="E2646" s="349">
        <f>IF(C2646="","",IFERROR(VLOOKUP(C2646,parametros!$A$11:$E$15,5,0),""))</f>
        <v/>
      </c>
      <c r="F2646" s="335">
        <f>IF(OR(D2646="",E2646=""),"",ROUND(D2646*E2646,2))</f>
        <v/>
      </c>
      <c r="G2646" s="106" t="n"/>
      <c r="H2646" s="350">
        <f>IF(G2646="Sim",IF(OR(F2646="",D2646="",L2646=""),"",IF(L2646="Sim",ROUND(F2646-D2646,2),0)),0)</f>
        <v/>
      </c>
      <c r="I2646" s="350">
        <f>IF(G2646="Sim",0,IF(OR(F2646="",L2646=""),"",F2646))</f>
        <v/>
      </c>
      <c r="J2646" s="350">
        <f>IF(G2646="Sim",0,IF(OR(F2646="",D2646="",L2646=""),"",IF(L2646="Sim",ROUND(F2646-D2646,2),0)))</f>
        <v/>
      </c>
      <c r="K2646" s="97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inlineStr">
        <is>
          <t>Nao</t>
        </is>
      </c>
      <c r="W2646" s="110" t="inlineStr">
        <is>
          <t>PC em analise</t>
        </is>
      </c>
      <c r="X2646" s="110" t="inlineStr">
        <is>
          <t>Pedido de Compra</t>
        </is>
      </c>
      <c r="Y2646" s="111" t="inlineStr">
        <is>
          <t>Impacto Potencial</t>
        </is>
      </c>
      <c r="Z2646" s="111" t="inlineStr">
        <is>
          <t>PC</t>
        </is>
      </c>
      <c r="AA2646" s="111" t="inlineStr">
        <is>
          <t>Nao</t>
        </is>
      </c>
      <c r="AB2646" s="111" t="inlineStr">
        <is>
          <t>NAO_COMPUTADO</t>
        </is>
      </c>
      <c r="AC2646" s="112" t="inlineStr">
        <is>
          <t>Estrutura Fase 1: sem impacto no VTA oficial</t>
        </is>
      </c>
    </row>
    <row r="2647" ht="25.5" customHeight="1" s="289">
      <c r="A2647" s="205" t="n"/>
      <c r="B2647" s="207" t="n"/>
      <c r="C2647" s="104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348" t="n"/>
      <c r="E2647" s="349">
        <f>IF(C2647="","",IFERROR(VLOOKUP(C2647,parametros!$A$11:$E$15,5,0),""))</f>
        <v/>
      </c>
      <c r="F2647" s="335">
        <f>IF(OR(D2647="",E2647=""),"",ROUND(D2647*E2647,2))</f>
        <v/>
      </c>
      <c r="G2647" s="106" t="n"/>
      <c r="H2647" s="350">
        <f>IF(G2647="Sim",IF(OR(F2647="",D2647="",L2647=""),"",IF(L2647="Sim",ROUND(F2647-D2647,2),0)),0)</f>
        <v/>
      </c>
      <c r="I2647" s="350">
        <f>IF(G2647="Sim",0,IF(OR(F2647="",L2647=""),"",F2647))</f>
        <v/>
      </c>
      <c r="J2647" s="350">
        <f>IF(G2647="Sim",0,IF(OR(F2647="",D2647="",L2647=""),"",IF(L2647="Sim",ROUND(F2647-D2647,2),0)))</f>
        <v/>
      </c>
      <c r="K2647" s="97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inlineStr">
        <is>
          <t>Nao</t>
        </is>
      </c>
      <c r="W2647" s="110" t="inlineStr">
        <is>
          <t>PC em analise</t>
        </is>
      </c>
      <c r="X2647" s="110" t="inlineStr">
        <is>
          <t>Pedido de Compra</t>
        </is>
      </c>
      <c r="Y2647" s="111" t="inlineStr">
        <is>
          <t>Impacto Potencial</t>
        </is>
      </c>
      <c r="Z2647" s="111" t="inlineStr">
        <is>
          <t>PC</t>
        </is>
      </c>
      <c r="AA2647" s="111" t="inlineStr">
        <is>
          <t>Nao</t>
        </is>
      </c>
      <c r="AB2647" s="111" t="inlineStr">
        <is>
          <t>NAO_COMPUTADO</t>
        </is>
      </c>
      <c r="AC2647" s="112" t="inlineStr">
        <is>
          <t>Estrutura Fase 1: sem impacto no VTA oficial</t>
        </is>
      </c>
    </row>
    <row r="2648" ht="25.5" customHeight="1" s="289">
      <c r="A2648" s="205" t="n"/>
      <c r="B2648" s="207" t="n"/>
      <c r="C2648" s="104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348" t="n"/>
      <c r="E2648" s="349">
        <f>IF(C2648="","",IFERROR(VLOOKUP(C2648,parametros!$A$11:$E$15,5,0),""))</f>
        <v/>
      </c>
      <c r="F2648" s="335">
        <f>IF(OR(D2648="",E2648=""),"",ROUND(D2648*E2648,2))</f>
        <v/>
      </c>
      <c r="G2648" s="106" t="n"/>
      <c r="H2648" s="350">
        <f>IF(G2648="Sim",IF(OR(F2648="",D2648="",L2648=""),"",IF(L2648="Sim",ROUND(F2648-D2648,2),0)),0)</f>
        <v/>
      </c>
      <c r="I2648" s="350">
        <f>IF(G2648="Sim",0,IF(OR(F2648="",L2648=""),"",F2648))</f>
        <v/>
      </c>
      <c r="J2648" s="350">
        <f>IF(G2648="Sim",0,IF(OR(F2648="",D2648="",L2648=""),"",IF(L2648="Sim",ROUND(F2648-D2648,2),0)))</f>
        <v/>
      </c>
      <c r="K2648" s="97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inlineStr">
        <is>
          <t>Nao</t>
        </is>
      </c>
      <c r="W2648" s="110" t="inlineStr">
        <is>
          <t>PC em analise</t>
        </is>
      </c>
      <c r="X2648" s="110" t="inlineStr">
        <is>
          <t>Pedido de Compra</t>
        </is>
      </c>
      <c r="Y2648" s="111" t="inlineStr">
        <is>
          <t>Impacto Potencial</t>
        </is>
      </c>
      <c r="Z2648" s="111" t="inlineStr">
        <is>
          <t>PC</t>
        </is>
      </c>
      <c r="AA2648" s="111" t="inlineStr">
        <is>
          <t>Nao</t>
        </is>
      </c>
      <c r="AB2648" s="111" t="inlineStr">
        <is>
          <t>NAO_COMPUTADO</t>
        </is>
      </c>
      <c r="AC2648" s="112" t="inlineStr">
        <is>
          <t>Estrutura Fase 1: sem impacto no VTA oficial</t>
        </is>
      </c>
    </row>
    <row r="2649" ht="25.5" customHeight="1" s="289">
      <c r="A2649" s="205" t="n"/>
      <c r="B2649" s="207" t="n"/>
      <c r="C2649" s="104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348" t="n"/>
      <c r="E2649" s="349">
        <f>IF(C2649="","",IFERROR(VLOOKUP(C2649,parametros!$A$11:$E$15,5,0),""))</f>
        <v/>
      </c>
      <c r="F2649" s="335">
        <f>IF(OR(D2649="",E2649=""),"",ROUND(D2649*E2649,2))</f>
        <v/>
      </c>
      <c r="G2649" s="106" t="n"/>
      <c r="H2649" s="350">
        <f>IF(G2649="Sim",IF(OR(F2649="",D2649="",L2649=""),"",IF(L2649="Sim",ROUND(F2649-D2649,2),0)),0)</f>
        <v/>
      </c>
      <c r="I2649" s="350">
        <f>IF(G2649="Sim",0,IF(OR(F2649="",L2649=""),"",F2649))</f>
        <v/>
      </c>
      <c r="J2649" s="350">
        <f>IF(G2649="Sim",0,IF(OR(F2649="",D2649="",L2649=""),"",IF(L2649="Sim",ROUND(F2649-D2649,2),0)))</f>
        <v/>
      </c>
      <c r="K2649" s="97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inlineStr">
        <is>
          <t>Nao</t>
        </is>
      </c>
      <c r="W2649" s="110" t="inlineStr">
        <is>
          <t>PC em analise</t>
        </is>
      </c>
      <c r="X2649" s="110" t="inlineStr">
        <is>
          <t>Pedido de Compra</t>
        </is>
      </c>
      <c r="Y2649" s="111" t="inlineStr">
        <is>
          <t>Impacto Potencial</t>
        </is>
      </c>
      <c r="Z2649" s="111" t="inlineStr">
        <is>
          <t>PC</t>
        </is>
      </c>
      <c r="AA2649" s="111" t="inlineStr">
        <is>
          <t>Nao</t>
        </is>
      </c>
      <c r="AB2649" s="111" t="inlineStr">
        <is>
          <t>NAO_COMPUTADO</t>
        </is>
      </c>
      <c r="AC2649" s="112" t="inlineStr">
        <is>
          <t>Estrutura Fase 1: sem impacto no VTA oficial</t>
        </is>
      </c>
    </row>
    <row r="2650" ht="25.5" customHeight="1" s="289">
      <c r="A2650" s="205" t="n"/>
      <c r="B2650" s="207" t="n"/>
      <c r="C2650" s="104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348" t="n"/>
      <c r="E2650" s="349">
        <f>IF(C2650="","",IFERROR(VLOOKUP(C2650,parametros!$A$11:$E$15,5,0),""))</f>
        <v/>
      </c>
      <c r="F2650" s="335">
        <f>IF(OR(D2650="",E2650=""),"",ROUND(D2650*E2650,2))</f>
        <v/>
      </c>
      <c r="G2650" s="106" t="n"/>
      <c r="H2650" s="350">
        <f>IF(G2650="Sim",IF(OR(F2650="",D2650="",L2650=""),"",IF(L2650="Sim",ROUND(F2650-D2650,2),0)),0)</f>
        <v/>
      </c>
      <c r="I2650" s="350">
        <f>IF(G2650="Sim",0,IF(OR(F2650="",L2650=""),"",F2650))</f>
        <v/>
      </c>
      <c r="J2650" s="350">
        <f>IF(G2650="Sim",0,IF(OR(F2650="",D2650="",L2650=""),"",IF(L2650="Sim",ROUND(F2650-D2650,2),0)))</f>
        <v/>
      </c>
      <c r="K2650" s="97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inlineStr">
        <is>
          <t>Nao</t>
        </is>
      </c>
      <c r="W2650" s="110" t="inlineStr">
        <is>
          <t>PC em analise</t>
        </is>
      </c>
      <c r="X2650" s="110" t="inlineStr">
        <is>
          <t>Pedido de Compra</t>
        </is>
      </c>
      <c r="Y2650" s="111" t="inlineStr">
        <is>
          <t>Impacto Potencial</t>
        </is>
      </c>
      <c r="Z2650" s="111" t="inlineStr">
        <is>
          <t>PC</t>
        </is>
      </c>
      <c r="AA2650" s="111" t="inlineStr">
        <is>
          <t>Nao</t>
        </is>
      </c>
      <c r="AB2650" s="111" t="inlineStr">
        <is>
          <t>NAO_COMPUTADO</t>
        </is>
      </c>
      <c r="AC2650" s="112" t="inlineStr">
        <is>
          <t>Estrutura Fase 1: sem impacto no VTA oficial</t>
        </is>
      </c>
    </row>
    <row r="2651" ht="25.5" customHeight="1" s="289">
      <c r="A2651" s="205" t="n"/>
      <c r="B2651" s="207" t="n"/>
      <c r="C2651" s="104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348" t="n"/>
      <c r="E2651" s="349">
        <f>IF(C2651="","",IFERROR(VLOOKUP(C2651,parametros!$A$11:$E$15,5,0),""))</f>
        <v/>
      </c>
      <c r="F2651" s="335">
        <f>IF(OR(D2651="",E2651=""),"",ROUND(D2651*E2651,2))</f>
        <v/>
      </c>
      <c r="G2651" s="106" t="n"/>
      <c r="H2651" s="350">
        <f>IF(G2651="Sim",IF(OR(F2651="",D2651="",L2651=""),"",IF(L2651="Sim",ROUND(F2651-D2651,2),0)),0)</f>
        <v/>
      </c>
      <c r="I2651" s="350">
        <f>IF(G2651="Sim",0,IF(OR(F2651="",L2651=""),"",F2651))</f>
        <v/>
      </c>
      <c r="J2651" s="350">
        <f>IF(G2651="Sim",0,IF(OR(F2651="",D2651="",L2651=""),"",IF(L2651="Sim",ROUND(F2651-D2651,2),0)))</f>
        <v/>
      </c>
      <c r="K2651" s="97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inlineStr">
        <is>
          <t>Nao</t>
        </is>
      </c>
      <c r="W2651" s="110" t="inlineStr">
        <is>
          <t>PC em analise</t>
        </is>
      </c>
      <c r="X2651" s="110" t="inlineStr">
        <is>
          <t>Pedido de Compra</t>
        </is>
      </c>
      <c r="Y2651" s="111" t="inlineStr">
        <is>
          <t>Impacto Potencial</t>
        </is>
      </c>
      <c r="Z2651" s="111" t="inlineStr">
        <is>
          <t>PC</t>
        </is>
      </c>
      <c r="AA2651" s="111" t="inlineStr">
        <is>
          <t>Nao</t>
        </is>
      </c>
      <c r="AB2651" s="111" t="inlineStr">
        <is>
          <t>NAO_COMPUTADO</t>
        </is>
      </c>
      <c r="AC2651" s="112" t="inlineStr">
        <is>
          <t>Estrutura Fase 1: sem impacto no VTA oficial</t>
        </is>
      </c>
    </row>
    <row r="2652" ht="25.5" customHeight="1" s="289">
      <c r="A2652" s="205" t="n"/>
      <c r="B2652" s="207" t="n"/>
      <c r="C2652" s="104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348" t="n"/>
      <c r="E2652" s="349">
        <f>IF(C2652="","",IFERROR(VLOOKUP(C2652,parametros!$A$11:$E$15,5,0),""))</f>
        <v/>
      </c>
      <c r="F2652" s="335">
        <f>IF(OR(D2652="",E2652=""),"",ROUND(D2652*E2652,2))</f>
        <v/>
      </c>
      <c r="G2652" s="106" t="n"/>
      <c r="H2652" s="350">
        <f>IF(G2652="Sim",IF(OR(F2652="",D2652="",L2652=""),"",IF(L2652="Sim",ROUND(F2652-D2652,2),0)),0)</f>
        <v/>
      </c>
      <c r="I2652" s="350">
        <f>IF(G2652="Sim",0,IF(OR(F2652="",L2652=""),"",F2652))</f>
        <v/>
      </c>
      <c r="J2652" s="350">
        <f>IF(G2652="Sim",0,IF(OR(F2652="",D2652="",L2652=""),"",IF(L2652="Sim",ROUND(F2652-D2652,2),0)))</f>
        <v/>
      </c>
      <c r="K2652" s="97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inlineStr">
        <is>
          <t>Nao</t>
        </is>
      </c>
      <c r="W2652" s="110" t="inlineStr">
        <is>
          <t>PC em analise</t>
        </is>
      </c>
      <c r="X2652" s="110" t="inlineStr">
        <is>
          <t>Pedido de Compra</t>
        </is>
      </c>
      <c r="Y2652" s="111" t="inlineStr">
        <is>
          <t>Impacto Potencial</t>
        </is>
      </c>
      <c r="Z2652" s="111" t="inlineStr">
        <is>
          <t>PC</t>
        </is>
      </c>
      <c r="AA2652" s="111" t="inlineStr">
        <is>
          <t>Nao</t>
        </is>
      </c>
      <c r="AB2652" s="111" t="inlineStr">
        <is>
          <t>NAO_COMPUTADO</t>
        </is>
      </c>
      <c r="AC2652" s="112" t="inlineStr">
        <is>
          <t>Estrutura Fase 1: sem impacto no VTA oficial</t>
        </is>
      </c>
    </row>
    <row r="2653" ht="25.5" customHeight="1" s="289">
      <c r="A2653" s="205" t="n"/>
      <c r="B2653" s="207" t="n"/>
      <c r="C2653" s="104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348" t="n"/>
      <c r="E2653" s="349">
        <f>IF(C2653="","",IFERROR(VLOOKUP(C2653,parametros!$A$11:$E$15,5,0),""))</f>
        <v/>
      </c>
      <c r="F2653" s="335">
        <f>IF(OR(D2653="",E2653=""),"",ROUND(D2653*E2653,2))</f>
        <v/>
      </c>
      <c r="G2653" s="106" t="n"/>
      <c r="H2653" s="350">
        <f>IF(G2653="Sim",IF(OR(F2653="",D2653="",L2653=""),"",IF(L2653="Sim",ROUND(F2653-D2653,2),0)),0)</f>
        <v/>
      </c>
      <c r="I2653" s="350">
        <f>IF(G2653="Sim",0,IF(OR(F2653="",L2653=""),"",F2653))</f>
        <v/>
      </c>
      <c r="J2653" s="350">
        <f>IF(G2653="Sim",0,IF(OR(F2653="",D2653="",L2653=""),"",IF(L2653="Sim",ROUND(F2653-D2653,2),0)))</f>
        <v/>
      </c>
      <c r="K2653" s="97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inlineStr">
        <is>
          <t>Nao</t>
        </is>
      </c>
      <c r="W2653" s="110" t="inlineStr">
        <is>
          <t>PC em analise</t>
        </is>
      </c>
      <c r="X2653" s="110" t="inlineStr">
        <is>
          <t>Pedido de Compra</t>
        </is>
      </c>
      <c r="Y2653" s="111" t="inlineStr">
        <is>
          <t>Impacto Potencial</t>
        </is>
      </c>
      <c r="Z2653" s="111" t="inlineStr">
        <is>
          <t>PC</t>
        </is>
      </c>
      <c r="AA2653" s="111" t="inlineStr">
        <is>
          <t>Nao</t>
        </is>
      </c>
      <c r="AB2653" s="111" t="inlineStr">
        <is>
          <t>NAO_COMPUTADO</t>
        </is>
      </c>
      <c r="AC2653" s="112" t="inlineStr">
        <is>
          <t>Estrutura Fase 1: sem impacto no VTA oficial</t>
        </is>
      </c>
    </row>
    <row r="2654" ht="25.5" customHeight="1" s="289">
      <c r="A2654" s="205" t="n"/>
      <c r="B2654" s="207" t="n"/>
      <c r="C2654" s="104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348" t="n"/>
      <c r="E2654" s="349">
        <f>IF(C2654="","",IFERROR(VLOOKUP(C2654,parametros!$A$11:$E$15,5,0),""))</f>
        <v/>
      </c>
      <c r="F2654" s="335">
        <f>IF(OR(D2654="",E2654=""),"",ROUND(D2654*E2654,2))</f>
        <v/>
      </c>
      <c r="G2654" s="106" t="n"/>
      <c r="H2654" s="350">
        <f>IF(G2654="Sim",IF(OR(F2654="",D2654="",L2654=""),"",IF(L2654="Sim",ROUND(F2654-D2654,2),0)),0)</f>
        <v/>
      </c>
      <c r="I2654" s="350">
        <f>IF(G2654="Sim",0,IF(OR(F2654="",L2654=""),"",F2654))</f>
        <v/>
      </c>
      <c r="J2654" s="350">
        <f>IF(G2654="Sim",0,IF(OR(F2654="",D2654="",L2654=""),"",IF(L2654="Sim",ROUND(F2654-D2654,2),0)))</f>
        <v/>
      </c>
      <c r="K2654" s="97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inlineStr">
        <is>
          <t>Nao</t>
        </is>
      </c>
      <c r="W2654" s="110" t="inlineStr">
        <is>
          <t>PC em analise</t>
        </is>
      </c>
      <c r="X2654" s="110" t="inlineStr">
        <is>
          <t>Pedido de Compra</t>
        </is>
      </c>
      <c r="Y2654" s="111" t="inlineStr">
        <is>
          <t>Impacto Potencial</t>
        </is>
      </c>
      <c r="Z2654" s="111" t="inlineStr">
        <is>
          <t>PC</t>
        </is>
      </c>
      <c r="AA2654" s="111" t="inlineStr">
        <is>
          <t>Nao</t>
        </is>
      </c>
      <c r="AB2654" s="111" t="inlineStr">
        <is>
          <t>NAO_COMPUTADO</t>
        </is>
      </c>
      <c r="AC2654" s="112" t="inlineStr">
        <is>
          <t>Estrutura Fase 1: sem impacto no VTA oficial</t>
        </is>
      </c>
    </row>
    <row r="2655" ht="25.5" customHeight="1" s="289">
      <c r="A2655" s="205" t="n"/>
      <c r="B2655" s="207" t="n"/>
      <c r="C2655" s="104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348" t="n"/>
      <c r="E2655" s="349">
        <f>IF(C2655="","",IFERROR(VLOOKUP(C2655,parametros!$A$11:$E$15,5,0),""))</f>
        <v/>
      </c>
      <c r="F2655" s="335">
        <f>IF(OR(D2655="",E2655=""),"",ROUND(D2655*E2655,2))</f>
        <v/>
      </c>
      <c r="G2655" s="106" t="n"/>
      <c r="H2655" s="350">
        <f>IF(G2655="Sim",IF(OR(F2655="",D2655="",L2655=""),"",IF(L2655="Sim",ROUND(F2655-D2655,2),0)),0)</f>
        <v/>
      </c>
      <c r="I2655" s="350">
        <f>IF(G2655="Sim",0,IF(OR(F2655="",L2655=""),"",F2655))</f>
        <v/>
      </c>
      <c r="J2655" s="350">
        <f>IF(G2655="Sim",0,IF(OR(F2655="",D2655="",L2655=""),"",IF(L2655="Sim",ROUND(F2655-D2655,2),0)))</f>
        <v/>
      </c>
      <c r="K2655" s="97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inlineStr">
        <is>
          <t>Nao</t>
        </is>
      </c>
      <c r="W2655" s="110" t="inlineStr">
        <is>
          <t>PC em analise</t>
        </is>
      </c>
      <c r="X2655" s="110" t="inlineStr">
        <is>
          <t>Pedido de Compra</t>
        </is>
      </c>
      <c r="Y2655" s="111" t="inlineStr">
        <is>
          <t>Impacto Potencial</t>
        </is>
      </c>
      <c r="Z2655" s="111" t="inlineStr">
        <is>
          <t>PC</t>
        </is>
      </c>
      <c r="AA2655" s="111" t="inlineStr">
        <is>
          <t>Nao</t>
        </is>
      </c>
      <c r="AB2655" s="111" t="inlineStr">
        <is>
          <t>NAO_COMPUTADO</t>
        </is>
      </c>
      <c r="AC2655" s="112" t="inlineStr">
        <is>
          <t>Estrutura Fase 1: sem impacto no VTA oficial</t>
        </is>
      </c>
    </row>
    <row r="2656" ht="25.5" customHeight="1" s="289">
      <c r="A2656" s="205" t="n"/>
      <c r="B2656" s="207" t="n"/>
      <c r="C2656" s="104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348" t="n"/>
      <c r="E2656" s="349">
        <f>IF(C2656="","",IFERROR(VLOOKUP(C2656,parametros!$A$11:$E$15,5,0),""))</f>
        <v/>
      </c>
      <c r="F2656" s="335">
        <f>IF(OR(D2656="",E2656=""),"",ROUND(D2656*E2656,2))</f>
        <v/>
      </c>
      <c r="G2656" s="106" t="n"/>
      <c r="H2656" s="350">
        <f>IF(G2656="Sim",IF(OR(F2656="",D2656="",L2656=""),"",IF(L2656="Sim",ROUND(F2656-D2656,2),0)),0)</f>
        <v/>
      </c>
      <c r="I2656" s="350">
        <f>IF(G2656="Sim",0,IF(OR(F2656="",L2656=""),"",F2656))</f>
        <v/>
      </c>
      <c r="J2656" s="350">
        <f>IF(G2656="Sim",0,IF(OR(F2656="",D2656="",L2656=""),"",IF(L2656="Sim",ROUND(F2656-D2656,2),0)))</f>
        <v/>
      </c>
      <c r="K2656" s="97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inlineStr">
        <is>
          <t>Nao</t>
        </is>
      </c>
      <c r="W2656" s="110" t="inlineStr">
        <is>
          <t>PC em analise</t>
        </is>
      </c>
      <c r="X2656" s="110" t="inlineStr">
        <is>
          <t>Pedido de Compra</t>
        </is>
      </c>
      <c r="Y2656" s="111" t="inlineStr">
        <is>
          <t>Impacto Potencial</t>
        </is>
      </c>
      <c r="Z2656" s="111" t="inlineStr">
        <is>
          <t>PC</t>
        </is>
      </c>
      <c r="AA2656" s="111" t="inlineStr">
        <is>
          <t>Nao</t>
        </is>
      </c>
      <c r="AB2656" s="111" t="inlineStr">
        <is>
          <t>NAO_COMPUTADO</t>
        </is>
      </c>
      <c r="AC2656" s="112" t="inlineStr">
        <is>
          <t>Estrutura Fase 1: sem impacto no VTA oficial</t>
        </is>
      </c>
    </row>
    <row r="2657" ht="25.5" customHeight="1" s="289">
      <c r="A2657" s="205" t="n"/>
      <c r="B2657" s="207" t="n"/>
      <c r="C2657" s="104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348" t="n"/>
      <c r="E2657" s="349">
        <f>IF(C2657="","",IFERROR(VLOOKUP(C2657,parametros!$A$11:$E$15,5,0),""))</f>
        <v/>
      </c>
      <c r="F2657" s="335">
        <f>IF(OR(D2657="",E2657=""),"",ROUND(D2657*E2657,2))</f>
        <v/>
      </c>
      <c r="G2657" s="106" t="n"/>
      <c r="H2657" s="350">
        <f>IF(G2657="Sim",IF(OR(F2657="",D2657="",L2657=""),"",IF(L2657="Sim",ROUND(F2657-D2657,2),0)),0)</f>
        <v/>
      </c>
      <c r="I2657" s="350">
        <f>IF(G2657="Sim",0,IF(OR(F2657="",L2657=""),"",F2657))</f>
        <v/>
      </c>
      <c r="J2657" s="350">
        <f>IF(G2657="Sim",0,IF(OR(F2657="",D2657="",L2657=""),"",IF(L2657="Sim",ROUND(F2657-D2657,2),0)))</f>
        <v/>
      </c>
      <c r="K2657" s="97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inlineStr">
        <is>
          <t>Nao</t>
        </is>
      </c>
      <c r="W2657" s="110" t="inlineStr">
        <is>
          <t>PC em analise</t>
        </is>
      </c>
      <c r="X2657" s="110" t="inlineStr">
        <is>
          <t>Pedido de Compra</t>
        </is>
      </c>
      <c r="Y2657" s="111" t="inlineStr">
        <is>
          <t>Impacto Potencial</t>
        </is>
      </c>
      <c r="Z2657" s="111" t="inlineStr">
        <is>
          <t>PC</t>
        </is>
      </c>
      <c r="AA2657" s="111" t="inlineStr">
        <is>
          <t>Nao</t>
        </is>
      </c>
      <c r="AB2657" s="111" t="inlineStr">
        <is>
          <t>NAO_COMPUTADO</t>
        </is>
      </c>
      <c r="AC2657" s="112" t="inlineStr">
        <is>
          <t>Estrutura Fase 1: sem impacto no VTA oficial</t>
        </is>
      </c>
    </row>
    <row r="2658" ht="25.5" customHeight="1" s="289">
      <c r="A2658" s="205" t="n"/>
      <c r="B2658" s="207" t="n"/>
      <c r="C2658" s="104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348" t="n"/>
      <c r="E2658" s="349">
        <f>IF(C2658="","",IFERROR(VLOOKUP(C2658,parametros!$A$11:$E$15,5,0),""))</f>
        <v/>
      </c>
      <c r="F2658" s="335">
        <f>IF(OR(D2658="",E2658=""),"",ROUND(D2658*E2658,2))</f>
        <v/>
      </c>
      <c r="G2658" s="106" t="n"/>
      <c r="H2658" s="350">
        <f>IF(G2658="Sim",IF(OR(F2658="",D2658="",L2658=""),"",IF(L2658="Sim",ROUND(F2658-D2658,2),0)),0)</f>
        <v/>
      </c>
      <c r="I2658" s="350">
        <f>IF(G2658="Sim",0,IF(OR(F2658="",L2658=""),"",F2658))</f>
        <v/>
      </c>
      <c r="J2658" s="350">
        <f>IF(G2658="Sim",0,IF(OR(F2658="",D2658="",L2658=""),"",IF(L2658="Sim",ROUND(F2658-D2658,2),0)))</f>
        <v/>
      </c>
      <c r="K2658" s="97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inlineStr">
        <is>
          <t>Nao</t>
        </is>
      </c>
      <c r="W2658" s="110" t="inlineStr">
        <is>
          <t>PC em analise</t>
        </is>
      </c>
      <c r="X2658" s="110" t="inlineStr">
        <is>
          <t>Pedido de Compra</t>
        </is>
      </c>
      <c r="Y2658" s="111" t="inlineStr">
        <is>
          <t>Impacto Potencial</t>
        </is>
      </c>
      <c r="Z2658" s="111" t="inlineStr">
        <is>
          <t>PC</t>
        </is>
      </c>
      <c r="AA2658" s="111" t="inlineStr">
        <is>
          <t>Nao</t>
        </is>
      </c>
      <c r="AB2658" s="111" t="inlineStr">
        <is>
          <t>NAO_COMPUTADO</t>
        </is>
      </c>
      <c r="AC2658" s="112" t="inlineStr">
        <is>
          <t>Estrutura Fase 1: sem impacto no VTA oficial</t>
        </is>
      </c>
    </row>
    <row r="2659" ht="25.5" customHeight="1" s="289">
      <c r="A2659" s="205" t="n"/>
      <c r="B2659" s="207" t="n"/>
      <c r="C2659" s="104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348" t="n"/>
      <c r="E2659" s="349">
        <f>IF(C2659="","",IFERROR(VLOOKUP(C2659,parametros!$A$11:$E$15,5,0),""))</f>
        <v/>
      </c>
      <c r="F2659" s="335">
        <f>IF(OR(D2659="",E2659=""),"",ROUND(D2659*E2659,2))</f>
        <v/>
      </c>
      <c r="G2659" s="106" t="n"/>
      <c r="H2659" s="350">
        <f>IF(G2659="Sim",IF(OR(F2659="",D2659="",L2659=""),"",IF(L2659="Sim",ROUND(F2659-D2659,2),0)),0)</f>
        <v/>
      </c>
      <c r="I2659" s="350">
        <f>IF(G2659="Sim",0,IF(OR(F2659="",L2659=""),"",F2659))</f>
        <v/>
      </c>
      <c r="J2659" s="350">
        <f>IF(G2659="Sim",0,IF(OR(F2659="",D2659="",L2659=""),"",IF(L2659="Sim",ROUND(F2659-D2659,2),0)))</f>
        <v/>
      </c>
      <c r="K2659" s="97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inlineStr">
        <is>
          <t>Nao</t>
        </is>
      </c>
      <c r="W2659" s="110" t="inlineStr">
        <is>
          <t>PC em analise</t>
        </is>
      </c>
      <c r="X2659" s="110" t="inlineStr">
        <is>
          <t>Pedido de Compra</t>
        </is>
      </c>
      <c r="Y2659" s="111" t="inlineStr">
        <is>
          <t>Impacto Potencial</t>
        </is>
      </c>
      <c r="Z2659" s="111" t="inlineStr">
        <is>
          <t>PC</t>
        </is>
      </c>
      <c r="AA2659" s="111" t="inlineStr">
        <is>
          <t>Nao</t>
        </is>
      </c>
      <c r="AB2659" s="111" t="inlineStr">
        <is>
          <t>NAO_COMPUTADO</t>
        </is>
      </c>
      <c r="AC2659" s="112" t="inlineStr">
        <is>
          <t>Estrutura Fase 1: sem impacto no VTA oficial</t>
        </is>
      </c>
    </row>
    <row r="2660" ht="25.5" customHeight="1" s="289">
      <c r="A2660" s="205" t="n"/>
      <c r="B2660" s="207" t="n"/>
      <c r="C2660" s="104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348" t="n"/>
      <c r="E2660" s="349">
        <f>IF(C2660="","",IFERROR(VLOOKUP(C2660,parametros!$A$11:$E$15,5,0),""))</f>
        <v/>
      </c>
      <c r="F2660" s="335">
        <f>IF(OR(D2660="",E2660=""),"",ROUND(D2660*E2660,2))</f>
        <v/>
      </c>
      <c r="G2660" s="106" t="n"/>
      <c r="H2660" s="350">
        <f>IF(G2660="Sim",IF(OR(F2660="",D2660="",L2660=""),"",IF(L2660="Sim",ROUND(F2660-D2660,2),0)),0)</f>
        <v/>
      </c>
      <c r="I2660" s="350">
        <f>IF(G2660="Sim",0,IF(OR(F2660="",L2660=""),"",F2660))</f>
        <v/>
      </c>
      <c r="J2660" s="350">
        <f>IF(G2660="Sim",0,IF(OR(F2660="",D2660="",L2660=""),"",IF(L2660="Sim",ROUND(F2660-D2660,2),0)))</f>
        <v/>
      </c>
      <c r="K2660" s="97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inlineStr">
        <is>
          <t>Nao</t>
        </is>
      </c>
      <c r="W2660" s="110" t="inlineStr">
        <is>
          <t>PC em analise</t>
        </is>
      </c>
      <c r="X2660" s="110" t="inlineStr">
        <is>
          <t>Pedido de Compra</t>
        </is>
      </c>
      <c r="Y2660" s="111" t="inlineStr">
        <is>
          <t>Impacto Potencial</t>
        </is>
      </c>
      <c r="Z2660" s="111" t="inlineStr">
        <is>
          <t>PC</t>
        </is>
      </c>
      <c r="AA2660" s="111" t="inlineStr">
        <is>
          <t>Nao</t>
        </is>
      </c>
      <c r="AB2660" s="111" t="inlineStr">
        <is>
          <t>NAO_COMPUTADO</t>
        </is>
      </c>
      <c r="AC2660" s="112" t="inlineStr">
        <is>
          <t>Estrutura Fase 1: sem impacto no VTA oficial</t>
        </is>
      </c>
    </row>
    <row r="2661" ht="25.5" customHeight="1" s="289">
      <c r="A2661" s="205" t="n"/>
      <c r="B2661" s="207" t="n"/>
      <c r="C2661" s="104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348" t="n"/>
      <c r="E2661" s="349">
        <f>IF(C2661="","",IFERROR(VLOOKUP(C2661,parametros!$A$11:$E$15,5,0),""))</f>
        <v/>
      </c>
      <c r="F2661" s="335">
        <f>IF(OR(D2661="",E2661=""),"",ROUND(D2661*E2661,2))</f>
        <v/>
      </c>
      <c r="G2661" s="106" t="n"/>
      <c r="H2661" s="350">
        <f>IF(G2661="Sim",IF(OR(F2661="",D2661="",L2661=""),"",IF(L2661="Sim",ROUND(F2661-D2661,2),0)),0)</f>
        <v/>
      </c>
      <c r="I2661" s="350">
        <f>IF(G2661="Sim",0,IF(OR(F2661="",L2661=""),"",F2661))</f>
        <v/>
      </c>
      <c r="J2661" s="350">
        <f>IF(G2661="Sim",0,IF(OR(F2661="",D2661="",L2661=""),"",IF(L2661="Sim",ROUND(F2661-D2661,2),0)))</f>
        <v/>
      </c>
      <c r="K2661" s="97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inlineStr">
        <is>
          <t>Nao</t>
        </is>
      </c>
      <c r="W2661" s="110" t="inlineStr">
        <is>
          <t>PC em analise</t>
        </is>
      </c>
      <c r="X2661" s="110" t="inlineStr">
        <is>
          <t>Pedido de Compra</t>
        </is>
      </c>
      <c r="Y2661" s="111" t="inlineStr">
        <is>
          <t>Impacto Potencial</t>
        </is>
      </c>
      <c r="Z2661" s="111" t="inlineStr">
        <is>
          <t>PC</t>
        </is>
      </c>
      <c r="AA2661" s="111" t="inlineStr">
        <is>
          <t>Nao</t>
        </is>
      </c>
      <c r="AB2661" s="111" t="inlineStr">
        <is>
          <t>NAO_COMPUTADO</t>
        </is>
      </c>
      <c r="AC2661" s="112" t="inlineStr">
        <is>
          <t>Estrutura Fase 1: sem impacto no VTA oficial</t>
        </is>
      </c>
    </row>
    <row r="2662" ht="25.5" customHeight="1" s="289">
      <c r="A2662" s="205" t="n"/>
      <c r="B2662" s="207" t="n"/>
      <c r="C2662" s="104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348" t="n"/>
      <c r="E2662" s="349">
        <f>IF(C2662="","",IFERROR(VLOOKUP(C2662,parametros!$A$11:$E$15,5,0),""))</f>
        <v/>
      </c>
      <c r="F2662" s="335">
        <f>IF(OR(D2662="",E2662=""),"",ROUND(D2662*E2662,2))</f>
        <v/>
      </c>
      <c r="G2662" s="106" t="n"/>
      <c r="H2662" s="350">
        <f>IF(G2662="Sim",IF(OR(F2662="",D2662="",L2662=""),"",IF(L2662="Sim",ROUND(F2662-D2662,2),0)),0)</f>
        <v/>
      </c>
      <c r="I2662" s="350">
        <f>IF(G2662="Sim",0,IF(OR(F2662="",L2662=""),"",F2662))</f>
        <v/>
      </c>
      <c r="J2662" s="350">
        <f>IF(G2662="Sim",0,IF(OR(F2662="",D2662="",L2662=""),"",IF(L2662="Sim",ROUND(F2662-D2662,2),0)))</f>
        <v/>
      </c>
      <c r="K2662" s="97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inlineStr">
        <is>
          <t>Nao</t>
        </is>
      </c>
      <c r="W2662" s="110" t="inlineStr">
        <is>
          <t>PC em analise</t>
        </is>
      </c>
      <c r="X2662" s="110" t="inlineStr">
        <is>
          <t>Pedido de Compra</t>
        </is>
      </c>
      <c r="Y2662" s="111" t="inlineStr">
        <is>
          <t>Impacto Potencial</t>
        </is>
      </c>
      <c r="Z2662" s="111" t="inlineStr">
        <is>
          <t>PC</t>
        </is>
      </c>
      <c r="AA2662" s="111" t="inlineStr">
        <is>
          <t>Nao</t>
        </is>
      </c>
      <c r="AB2662" s="111" t="inlineStr">
        <is>
          <t>NAO_COMPUTADO</t>
        </is>
      </c>
      <c r="AC2662" s="112" t="inlineStr">
        <is>
          <t>Estrutura Fase 1: sem impacto no VTA oficial</t>
        </is>
      </c>
    </row>
    <row r="2663" ht="25.5" customHeight="1" s="289">
      <c r="A2663" s="205" t="n"/>
      <c r="B2663" s="207" t="n"/>
      <c r="C2663" s="104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348" t="n"/>
      <c r="E2663" s="349">
        <f>IF(C2663="","",IFERROR(VLOOKUP(C2663,parametros!$A$11:$E$15,5,0),""))</f>
        <v/>
      </c>
      <c r="F2663" s="335">
        <f>IF(OR(D2663="",E2663=""),"",ROUND(D2663*E2663,2))</f>
        <v/>
      </c>
      <c r="G2663" s="106" t="n"/>
      <c r="H2663" s="350">
        <f>IF(G2663="Sim",IF(OR(F2663="",D2663="",L2663=""),"",IF(L2663="Sim",ROUND(F2663-D2663,2),0)),0)</f>
        <v/>
      </c>
      <c r="I2663" s="350">
        <f>IF(G2663="Sim",0,IF(OR(F2663="",L2663=""),"",F2663))</f>
        <v/>
      </c>
      <c r="J2663" s="350">
        <f>IF(G2663="Sim",0,IF(OR(F2663="",D2663="",L2663=""),"",IF(L2663="Sim",ROUND(F2663-D2663,2),0)))</f>
        <v/>
      </c>
      <c r="K2663" s="97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inlineStr">
        <is>
          <t>Nao</t>
        </is>
      </c>
      <c r="W2663" s="110" t="inlineStr">
        <is>
          <t>PC em analise</t>
        </is>
      </c>
      <c r="X2663" s="110" t="inlineStr">
        <is>
          <t>Pedido de Compra</t>
        </is>
      </c>
      <c r="Y2663" s="111" t="inlineStr">
        <is>
          <t>Impacto Potencial</t>
        </is>
      </c>
      <c r="Z2663" s="111" t="inlineStr">
        <is>
          <t>PC</t>
        </is>
      </c>
      <c r="AA2663" s="111" t="inlineStr">
        <is>
          <t>Nao</t>
        </is>
      </c>
      <c r="AB2663" s="111" t="inlineStr">
        <is>
          <t>NAO_COMPUTADO</t>
        </is>
      </c>
      <c r="AC2663" s="112" t="inlineStr">
        <is>
          <t>Estrutura Fase 1: sem impacto no VTA oficial</t>
        </is>
      </c>
    </row>
    <row r="2664" ht="25.5" customHeight="1" s="289">
      <c r="A2664" s="205" t="n"/>
      <c r="B2664" s="207" t="n"/>
      <c r="C2664" s="104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348" t="n"/>
      <c r="E2664" s="349">
        <f>IF(C2664="","",IFERROR(VLOOKUP(C2664,parametros!$A$11:$E$15,5,0),""))</f>
        <v/>
      </c>
      <c r="F2664" s="335">
        <f>IF(OR(D2664="",E2664=""),"",ROUND(D2664*E2664,2))</f>
        <v/>
      </c>
      <c r="G2664" s="106" t="n"/>
      <c r="H2664" s="350">
        <f>IF(G2664="Sim",IF(OR(F2664="",D2664="",L2664=""),"",IF(L2664="Sim",ROUND(F2664-D2664,2),0)),0)</f>
        <v/>
      </c>
      <c r="I2664" s="350">
        <f>IF(G2664="Sim",0,IF(OR(F2664="",L2664=""),"",F2664))</f>
        <v/>
      </c>
      <c r="J2664" s="350">
        <f>IF(G2664="Sim",0,IF(OR(F2664="",D2664="",L2664=""),"",IF(L2664="Sim",ROUND(F2664-D2664,2),0)))</f>
        <v/>
      </c>
      <c r="K2664" s="97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inlineStr">
        <is>
          <t>Nao</t>
        </is>
      </c>
      <c r="W2664" s="110" t="inlineStr">
        <is>
          <t>PC em analise</t>
        </is>
      </c>
      <c r="X2664" s="110" t="inlineStr">
        <is>
          <t>Pedido de Compra</t>
        </is>
      </c>
      <c r="Y2664" s="111" t="inlineStr">
        <is>
          <t>Impacto Potencial</t>
        </is>
      </c>
      <c r="Z2664" s="111" t="inlineStr">
        <is>
          <t>PC</t>
        </is>
      </c>
      <c r="AA2664" s="111" t="inlineStr">
        <is>
          <t>Nao</t>
        </is>
      </c>
      <c r="AB2664" s="111" t="inlineStr">
        <is>
          <t>NAO_COMPUTADO</t>
        </is>
      </c>
      <c r="AC2664" s="112" t="inlineStr">
        <is>
          <t>Estrutura Fase 1: sem impacto no VTA oficial</t>
        </is>
      </c>
    </row>
    <row r="2665" ht="25.5" customHeight="1" s="289">
      <c r="A2665" s="205" t="n"/>
      <c r="B2665" s="207" t="n"/>
      <c r="C2665" s="104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348" t="n"/>
      <c r="E2665" s="349">
        <f>IF(C2665="","",IFERROR(VLOOKUP(C2665,parametros!$A$11:$E$15,5,0),""))</f>
        <v/>
      </c>
      <c r="F2665" s="335">
        <f>IF(OR(D2665="",E2665=""),"",ROUND(D2665*E2665,2))</f>
        <v/>
      </c>
      <c r="G2665" s="106" t="n"/>
      <c r="H2665" s="350">
        <f>IF(G2665="Sim",IF(OR(F2665="",D2665="",L2665=""),"",IF(L2665="Sim",ROUND(F2665-D2665,2),0)),0)</f>
        <v/>
      </c>
      <c r="I2665" s="350">
        <f>IF(G2665="Sim",0,IF(OR(F2665="",L2665=""),"",F2665))</f>
        <v/>
      </c>
      <c r="J2665" s="350">
        <f>IF(G2665="Sim",0,IF(OR(F2665="",D2665="",L2665=""),"",IF(L2665="Sim",ROUND(F2665-D2665,2),0)))</f>
        <v/>
      </c>
      <c r="K2665" s="97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inlineStr">
        <is>
          <t>Nao</t>
        </is>
      </c>
      <c r="W2665" s="110" t="inlineStr">
        <is>
          <t>PC em analise</t>
        </is>
      </c>
      <c r="X2665" s="110" t="inlineStr">
        <is>
          <t>Pedido de Compra</t>
        </is>
      </c>
      <c r="Y2665" s="111" t="inlineStr">
        <is>
          <t>Impacto Potencial</t>
        </is>
      </c>
      <c r="Z2665" s="111" t="inlineStr">
        <is>
          <t>PC</t>
        </is>
      </c>
      <c r="AA2665" s="111" t="inlineStr">
        <is>
          <t>Nao</t>
        </is>
      </c>
      <c r="AB2665" s="111" t="inlineStr">
        <is>
          <t>NAO_COMPUTADO</t>
        </is>
      </c>
      <c r="AC2665" s="112" t="inlineStr">
        <is>
          <t>Estrutura Fase 1: sem impacto no VTA oficial</t>
        </is>
      </c>
    </row>
    <row r="2666" ht="25.5" customHeight="1" s="289">
      <c r="A2666" s="205" t="n"/>
      <c r="B2666" s="207" t="n"/>
      <c r="C2666" s="104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348" t="n"/>
      <c r="E2666" s="349">
        <f>IF(C2666="","",IFERROR(VLOOKUP(C2666,parametros!$A$11:$E$15,5,0),""))</f>
        <v/>
      </c>
      <c r="F2666" s="335">
        <f>IF(OR(D2666="",E2666=""),"",ROUND(D2666*E2666,2))</f>
        <v/>
      </c>
      <c r="G2666" s="106" t="n"/>
      <c r="H2666" s="350">
        <f>IF(G2666="Sim",IF(OR(F2666="",D2666="",L2666=""),"",IF(L2666="Sim",ROUND(F2666-D2666,2),0)),0)</f>
        <v/>
      </c>
      <c r="I2666" s="350">
        <f>IF(G2666="Sim",0,IF(OR(F2666="",L2666=""),"",F2666))</f>
        <v/>
      </c>
      <c r="J2666" s="350">
        <f>IF(G2666="Sim",0,IF(OR(F2666="",D2666="",L2666=""),"",IF(L2666="Sim",ROUND(F2666-D2666,2),0)))</f>
        <v/>
      </c>
      <c r="K2666" s="97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inlineStr">
        <is>
          <t>Nao</t>
        </is>
      </c>
      <c r="W2666" s="110" t="inlineStr">
        <is>
          <t>PC em analise</t>
        </is>
      </c>
      <c r="X2666" s="110" t="inlineStr">
        <is>
          <t>Pedido de Compra</t>
        </is>
      </c>
      <c r="Y2666" s="111" t="inlineStr">
        <is>
          <t>Impacto Potencial</t>
        </is>
      </c>
      <c r="Z2666" s="111" t="inlineStr">
        <is>
          <t>PC</t>
        </is>
      </c>
      <c r="AA2666" s="111" t="inlineStr">
        <is>
          <t>Nao</t>
        </is>
      </c>
      <c r="AB2666" s="111" t="inlineStr">
        <is>
          <t>NAO_COMPUTADO</t>
        </is>
      </c>
      <c r="AC2666" s="112" t="inlineStr">
        <is>
          <t>Estrutura Fase 1: sem impacto no VTA oficial</t>
        </is>
      </c>
    </row>
    <row r="2667" ht="25.5" customHeight="1" s="289">
      <c r="A2667" s="205" t="n"/>
      <c r="B2667" s="207" t="n"/>
      <c r="C2667" s="104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348" t="n"/>
      <c r="E2667" s="349">
        <f>IF(C2667="","",IFERROR(VLOOKUP(C2667,parametros!$A$11:$E$15,5,0),""))</f>
        <v/>
      </c>
      <c r="F2667" s="335">
        <f>IF(OR(D2667="",E2667=""),"",ROUND(D2667*E2667,2))</f>
        <v/>
      </c>
      <c r="G2667" s="106" t="n"/>
      <c r="H2667" s="350">
        <f>IF(G2667="Sim",IF(OR(F2667="",D2667="",L2667=""),"",IF(L2667="Sim",ROUND(F2667-D2667,2),0)),0)</f>
        <v/>
      </c>
      <c r="I2667" s="350">
        <f>IF(G2667="Sim",0,IF(OR(F2667="",L2667=""),"",F2667))</f>
        <v/>
      </c>
      <c r="J2667" s="350">
        <f>IF(G2667="Sim",0,IF(OR(F2667="",D2667="",L2667=""),"",IF(L2667="Sim",ROUND(F2667-D2667,2),0)))</f>
        <v/>
      </c>
      <c r="K2667" s="97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inlineStr">
        <is>
          <t>Nao</t>
        </is>
      </c>
      <c r="W2667" s="110" t="inlineStr">
        <is>
          <t>PC em analise</t>
        </is>
      </c>
      <c r="X2667" s="110" t="inlineStr">
        <is>
          <t>Pedido de Compra</t>
        </is>
      </c>
      <c r="Y2667" s="111" t="inlineStr">
        <is>
          <t>Impacto Potencial</t>
        </is>
      </c>
      <c r="Z2667" s="111" t="inlineStr">
        <is>
          <t>PC</t>
        </is>
      </c>
      <c r="AA2667" s="111" t="inlineStr">
        <is>
          <t>Nao</t>
        </is>
      </c>
      <c r="AB2667" s="111" t="inlineStr">
        <is>
          <t>NAO_COMPUTADO</t>
        </is>
      </c>
      <c r="AC2667" s="112" t="inlineStr">
        <is>
          <t>Estrutura Fase 1: sem impacto no VTA oficial</t>
        </is>
      </c>
    </row>
    <row r="2668" ht="25.5" customHeight="1" s="289">
      <c r="A2668" s="205" t="n"/>
      <c r="B2668" s="207" t="n"/>
      <c r="C2668" s="104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348" t="n"/>
      <c r="E2668" s="349">
        <f>IF(C2668="","",IFERROR(VLOOKUP(C2668,parametros!$A$11:$E$15,5,0),""))</f>
        <v/>
      </c>
      <c r="F2668" s="335">
        <f>IF(OR(D2668="",E2668=""),"",ROUND(D2668*E2668,2))</f>
        <v/>
      </c>
      <c r="G2668" s="106" t="n"/>
      <c r="H2668" s="350">
        <f>IF(G2668="Sim",IF(OR(F2668="",D2668="",L2668=""),"",IF(L2668="Sim",ROUND(F2668-D2668,2),0)),0)</f>
        <v/>
      </c>
      <c r="I2668" s="350">
        <f>IF(G2668="Sim",0,IF(OR(F2668="",L2668=""),"",F2668))</f>
        <v/>
      </c>
      <c r="J2668" s="350">
        <f>IF(G2668="Sim",0,IF(OR(F2668="",D2668="",L2668=""),"",IF(L2668="Sim",ROUND(F2668-D2668,2),0)))</f>
        <v/>
      </c>
      <c r="K2668" s="97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inlineStr">
        <is>
          <t>Nao</t>
        </is>
      </c>
      <c r="W2668" s="110" t="inlineStr">
        <is>
          <t>PC em analise</t>
        </is>
      </c>
      <c r="X2668" s="110" t="inlineStr">
        <is>
          <t>Pedido de Compra</t>
        </is>
      </c>
      <c r="Y2668" s="111" t="inlineStr">
        <is>
          <t>Impacto Potencial</t>
        </is>
      </c>
      <c r="Z2668" s="111" t="inlineStr">
        <is>
          <t>PC</t>
        </is>
      </c>
      <c r="AA2668" s="111" t="inlineStr">
        <is>
          <t>Nao</t>
        </is>
      </c>
      <c r="AB2668" s="111" t="inlineStr">
        <is>
          <t>NAO_COMPUTADO</t>
        </is>
      </c>
      <c r="AC2668" s="112" t="inlineStr">
        <is>
          <t>Estrutura Fase 1: sem impacto no VTA oficial</t>
        </is>
      </c>
    </row>
    <row r="2669" ht="25.5" customHeight="1" s="289">
      <c r="A2669" s="205" t="n"/>
      <c r="B2669" s="207" t="n"/>
      <c r="C2669" s="104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348" t="n"/>
      <c r="E2669" s="349">
        <f>IF(C2669="","",IFERROR(VLOOKUP(C2669,parametros!$A$11:$E$15,5,0),""))</f>
        <v/>
      </c>
      <c r="F2669" s="335">
        <f>IF(OR(D2669="",E2669=""),"",ROUND(D2669*E2669,2))</f>
        <v/>
      </c>
      <c r="G2669" s="106" t="n"/>
      <c r="H2669" s="350">
        <f>IF(G2669="Sim",IF(OR(F2669="",D2669="",L2669=""),"",IF(L2669="Sim",ROUND(F2669-D2669,2),0)),0)</f>
        <v/>
      </c>
      <c r="I2669" s="350">
        <f>IF(G2669="Sim",0,IF(OR(F2669="",L2669=""),"",F2669))</f>
        <v/>
      </c>
      <c r="J2669" s="350">
        <f>IF(G2669="Sim",0,IF(OR(F2669="",D2669="",L2669=""),"",IF(L2669="Sim",ROUND(F2669-D2669,2),0)))</f>
        <v/>
      </c>
      <c r="K2669" s="97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inlineStr">
        <is>
          <t>Nao</t>
        </is>
      </c>
      <c r="W2669" s="110" t="inlineStr">
        <is>
          <t>PC em analise</t>
        </is>
      </c>
      <c r="X2669" s="110" t="inlineStr">
        <is>
          <t>Pedido de Compra</t>
        </is>
      </c>
      <c r="Y2669" s="111" t="inlineStr">
        <is>
          <t>Impacto Potencial</t>
        </is>
      </c>
      <c r="Z2669" s="111" t="inlineStr">
        <is>
          <t>PC</t>
        </is>
      </c>
      <c r="AA2669" s="111" t="inlineStr">
        <is>
          <t>Nao</t>
        </is>
      </c>
      <c r="AB2669" s="111" t="inlineStr">
        <is>
          <t>NAO_COMPUTADO</t>
        </is>
      </c>
      <c r="AC2669" s="112" t="inlineStr">
        <is>
          <t>Estrutura Fase 1: sem impacto no VTA oficial</t>
        </is>
      </c>
    </row>
    <row r="2670" ht="25.5" customHeight="1" s="289">
      <c r="A2670" s="205" t="n"/>
      <c r="B2670" s="207" t="n"/>
      <c r="C2670" s="104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348" t="n"/>
      <c r="E2670" s="349">
        <f>IF(C2670="","",IFERROR(VLOOKUP(C2670,parametros!$A$11:$E$15,5,0),""))</f>
        <v/>
      </c>
      <c r="F2670" s="335">
        <f>IF(OR(D2670="",E2670=""),"",ROUND(D2670*E2670,2))</f>
        <v/>
      </c>
      <c r="G2670" s="106" t="n"/>
      <c r="H2670" s="350">
        <f>IF(G2670="Sim",IF(OR(F2670="",D2670="",L2670=""),"",IF(L2670="Sim",ROUND(F2670-D2670,2),0)),0)</f>
        <v/>
      </c>
      <c r="I2670" s="350">
        <f>IF(G2670="Sim",0,IF(OR(F2670="",L2670=""),"",F2670))</f>
        <v/>
      </c>
      <c r="J2670" s="350">
        <f>IF(G2670="Sim",0,IF(OR(F2670="",D2670="",L2670=""),"",IF(L2670="Sim",ROUND(F2670-D2670,2),0)))</f>
        <v/>
      </c>
      <c r="K2670" s="97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inlineStr">
        <is>
          <t>Nao</t>
        </is>
      </c>
      <c r="W2670" s="110" t="inlineStr">
        <is>
          <t>PC em analise</t>
        </is>
      </c>
      <c r="X2670" s="110" t="inlineStr">
        <is>
          <t>Pedido de Compra</t>
        </is>
      </c>
      <c r="Y2670" s="111" t="inlineStr">
        <is>
          <t>Impacto Potencial</t>
        </is>
      </c>
      <c r="Z2670" s="111" t="inlineStr">
        <is>
          <t>PC</t>
        </is>
      </c>
      <c r="AA2670" s="111" t="inlineStr">
        <is>
          <t>Nao</t>
        </is>
      </c>
      <c r="AB2670" s="111" t="inlineStr">
        <is>
          <t>NAO_COMPUTADO</t>
        </is>
      </c>
      <c r="AC2670" s="112" t="inlineStr">
        <is>
          <t>Estrutura Fase 1: sem impacto no VTA oficial</t>
        </is>
      </c>
    </row>
    <row r="2671" ht="25.5" customHeight="1" s="289">
      <c r="A2671" s="205" t="n"/>
      <c r="B2671" s="207" t="n"/>
      <c r="C2671" s="104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348" t="n"/>
      <c r="E2671" s="349">
        <f>IF(C2671="","",IFERROR(VLOOKUP(C2671,parametros!$A$11:$E$15,5,0),""))</f>
        <v/>
      </c>
      <c r="F2671" s="335">
        <f>IF(OR(D2671="",E2671=""),"",ROUND(D2671*E2671,2))</f>
        <v/>
      </c>
      <c r="G2671" s="106" t="n"/>
      <c r="H2671" s="350">
        <f>IF(G2671="Sim",IF(OR(F2671="",D2671="",L2671=""),"",IF(L2671="Sim",ROUND(F2671-D2671,2),0)),0)</f>
        <v/>
      </c>
      <c r="I2671" s="350">
        <f>IF(G2671="Sim",0,IF(OR(F2671="",L2671=""),"",F2671))</f>
        <v/>
      </c>
      <c r="J2671" s="350">
        <f>IF(G2671="Sim",0,IF(OR(F2671="",D2671="",L2671=""),"",IF(L2671="Sim",ROUND(F2671-D2671,2),0)))</f>
        <v/>
      </c>
      <c r="K2671" s="97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inlineStr">
        <is>
          <t>Nao</t>
        </is>
      </c>
      <c r="W2671" s="110" t="inlineStr">
        <is>
          <t>PC em analise</t>
        </is>
      </c>
      <c r="X2671" s="110" t="inlineStr">
        <is>
          <t>Pedido de Compra</t>
        </is>
      </c>
      <c r="Y2671" s="111" t="inlineStr">
        <is>
          <t>Impacto Potencial</t>
        </is>
      </c>
      <c r="Z2671" s="111" t="inlineStr">
        <is>
          <t>PC</t>
        </is>
      </c>
      <c r="AA2671" s="111" t="inlineStr">
        <is>
          <t>Nao</t>
        </is>
      </c>
      <c r="AB2671" s="111" t="inlineStr">
        <is>
          <t>NAO_COMPUTADO</t>
        </is>
      </c>
      <c r="AC2671" s="112" t="inlineStr">
        <is>
          <t>Estrutura Fase 1: sem impacto no VTA oficial</t>
        </is>
      </c>
    </row>
    <row r="2672" ht="25.5" customHeight="1" s="289">
      <c r="A2672" s="205" t="n"/>
      <c r="B2672" s="207" t="n"/>
      <c r="C2672" s="104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348" t="n"/>
      <c r="E2672" s="349">
        <f>IF(C2672="","",IFERROR(VLOOKUP(C2672,parametros!$A$11:$E$15,5,0),""))</f>
        <v/>
      </c>
      <c r="F2672" s="335">
        <f>IF(OR(D2672="",E2672=""),"",ROUND(D2672*E2672,2))</f>
        <v/>
      </c>
      <c r="G2672" s="106" t="n"/>
      <c r="H2672" s="350">
        <f>IF(G2672="Sim",IF(OR(F2672="",D2672="",L2672=""),"",IF(L2672="Sim",ROUND(F2672-D2672,2),0)),0)</f>
        <v/>
      </c>
      <c r="I2672" s="350">
        <f>IF(G2672="Sim",0,IF(OR(F2672="",L2672=""),"",F2672))</f>
        <v/>
      </c>
      <c r="J2672" s="350">
        <f>IF(G2672="Sim",0,IF(OR(F2672="",D2672="",L2672=""),"",IF(L2672="Sim",ROUND(F2672-D2672,2),0)))</f>
        <v/>
      </c>
      <c r="K2672" s="97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inlineStr">
        <is>
          <t>Nao</t>
        </is>
      </c>
      <c r="W2672" s="110" t="inlineStr">
        <is>
          <t>PC em analise</t>
        </is>
      </c>
      <c r="X2672" s="110" t="inlineStr">
        <is>
          <t>Pedido de Compra</t>
        </is>
      </c>
      <c r="Y2672" s="111" t="inlineStr">
        <is>
          <t>Impacto Potencial</t>
        </is>
      </c>
      <c r="Z2672" s="111" t="inlineStr">
        <is>
          <t>PC</t>
        </is>
      </c>
      <c r="AA2672" s="111" t="inlineStr">
        <is>
          <t>Nao</t>
        </is>
      </c>
      <c r="AB2672" s="111" t="inlineStr">
        <is>
          <t>NAO_COMPUTADO</t>
        </is>
      </c>
      <c r="AC2672" s="112" t="inlineStr">
        <is>
          <t>Estrutura Fase 1: sem impacto no VTA oficial</t>
        </is>
      </c>
    </row>
    <row r="2673" ht="25.5" customHeight="1" s="289">
      <c r="A2673" s="205" t="n"/>
      <c r="B2673" s="207" t="n"/>
      <c r="C2673" s="104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348" t="n"/>
      <c r="E2673" s="349">
        <f>IF(C2673="","",IFERROR(VLOOKUP(C2673,parametros!$A$11:$E$15,5,0),""))</f>
        <v/>
      </c>
      <c r="F2673" s="335">
        <f>IF(OR(D2673="",E2673=""),"",ROUND(D2673*E2673,2))</f>
        <v/>
      </c>
      <c r="G2673" s="106" t="n"/>
      <c r="H2673" s="350">
        <f>IF(G2673="Sim",IF(OR(F2673="",D2673="",L2673=""),"",IF(L2673="Sim",ROUND(F2673-D2673,2),0)),0)</f>
        <v/>
      </c>
      <c r="I2673" s="350">
        <f>IF(G2673="Sim",0,IF(OR(F2673="",L2673=""),"",F2673))</f>
        <v/>
      </c>
      <c r="J2673" s="350">
        <f>IF(G2673="Sim",0,IF(OR(F2673="",D2673="",L2673=""),"",IF(L2673="Sim",ROUND(F2673-D2673,2),0)))</f>
        <v/>
      </c>
      <c r="K2673" s="97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inlineStr">
        <is>
          <t>Nao</t>
        </is>
      </c>
      <c r="W2673" s="110" t="inlineStr">
        <is>
          <t>PC em analise</t>
        </is>
      </c>
      <c r="X2673" s="110" t="inlineStr">
        <is>
          <t>Pedido de Compra</t>
        </is>
      </c>
      <c r="Y2673" s="111" t="inlineStr">
        <is>
          <t>Impacto Potencial</t>
        </is>
      </c>
      <c r="Z2673" s="111" t="inlineStr">
        <is>
          <t>PC</t>
        </is>
      </c>
      <c r="AA2673" s="111" t="inlineStr">
        <is>
          <t>Nao</t>
        </is>
      </c>
      <c r="AB2673" s="111" t="inlineStr">
        <is>
          <t>NAO_COMPUTADO</t>
        </is>
      </c>
      <c r="AC2673" s="112" t="inlineStr">
        <is>
          <t>Estrutura Fase 1: sem impacto no VTA oficial</t>
        </is>
      </c>
    </row>
    <row r="2674" ht="25.5" customHeight="1" s="289">
      <c r="A2674" s="205" t="n"/>
      <c r="B2674" s="207" t="n"/>
      <c r="C2674" s="104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348" t="n"/>
      <c r="E2674" s="349">
        <f>IF(C2674="","",IFERROR(VLOOKUP(C2674,parametros!$A$11:$E$15,5,0),""))</f>
        <v/>
      </c>
      <c r="F2674" s="335">
        <f>IF(OR(D2674="",E2674=""),"",ROUND(D2674*E2674,2))</f>
        <v/>
      </c>
      <c r="G2674" s="106" t="n"/>
      <c r="H2674" s="350">
        <f>IF(G2674="Sim",IF(OR(F2674="",D2674="",L2674=""),"",IF(L2674="Sim",ROUND(F2674-D2674,2),0)),0)</f>
        <v/>
      </c>
      <c r="I2674" s="350">
        <f>IF(G2674="Sim",0,IF(OR(F2674="",L2674=""),"",F2674))</f>
        <v/>
      </c>
      <c r="J2674" s="350">
        <f>IF(G2674="Sim",0,IF(OR(F2674="",D2674="",L2674=""),"",IF(L2674="Sim",ROUND(F2674-D2674,2),0)))</f>
        <v/>
      </c>
      <c r="K2674" s="97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inlineStr">
        <is>
          <t>Nao</t>
        </is>
      </c>
      <c r="W2674" s="110" t="inlineStr">
        <is>
          <t>PC em analise</t>
        </is>
      </c>
      <c r="X2674" s="110" t="inlineStr">
        <is>
          <t>Pedido de Compra</t>
        </is>
      </c>
      <c r="Y2674" s="111" t="inlineStr">
        <is>
          <t>Impacto Potencial</t>
        </is>
      </c>
      <c r="Z2674" s="111" t="inlineStr">
        <is>
          <t>PC</t>
        </is>
      </c>
      <c r="AA2674" s="111" t="inlineStr">
        <is>
          <t>Nao</t>
        </is>
      </c>
      <c r="AB2674" s="111" t="inlineStr">
        <is>
          <t>NAO_COMPUTADO</t>
        </is>
      </c>
      <c r="AC2674" s="112" t="inlineStr">
        <is>
          <t>Estrutura Fase 1: sem impacto no VTA oficial</t>
        </is>
      </c>
    </row>
    <row r="2675" ht="25.5" customHeight="1" s="289">
      <c r="A2675" s="205" t="n"/>
      <c r="B2675" s="207" t="n"/>
      <c r="C2675" s="104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348" t="n"/>
      <c r="E2675" s="349">
        <f>IF(C2675="","",IFERROR(VLOOKUP(C2675,parametros!$A$11:$E$15,5,0),""))</f>
        <v/>
      </c>
      <c r="F2675" s="335">
        <f>IF(OR(D2675="",E2675=""),"",ROUND(D2675*E2675,2))</f>
        <v/>
      </c>
      <c r="G2675" s="106" t="n"/>
      <c r="H2675" s="350">
        <f>IF(G2675="Sim",IF(OR(F2675="",D2675="",L2675=""),"",IF(L2675="Sim",ROUND(F2675-D2675,2),0)),0)</f>
        <v/>
      </c>
      <c r="I2675" s="350">
        <f>IF(G2675="Sim",0,IF(OR(F2675="",L2675=""),"",F2675))</f>
        <v/>
      </c>
      <c r="J2675" s="350">
        <f>IF(G2675="Sim",0,IF(OR(F2675="",D2675="",L2675=""),"",IF(L2675="Sim",ROUND(F2675-D2675,2),0)))</f>
        <v/>
      </c>
      <c r="K2675" s="97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inlineStr">
        <is>
          <t>Nao</t>
        </is>
      </c>
      <c r="W2675" s="110" t="inlineStr">
        <is>
          <t>PC em analise</t>
        </is>
      </c>
      <c r="X2675" s="110" t="inlineStr">
        <is>
          <t>Pedido de Compra</t>
        </is>
      </c>
      <c r="Y2675" s="111" t="inlineStr">
        <is>
          <t>Impacto Potencial</t>
        </is>
      </c>
      <c r="Z2675" s="111" t="inlineStr">
        <is>
          <t>PC</t>
        </is>
      </c>
      <c r="AA2675" s="111" t="inlineStr">
        <is>
          <t>Nao</t>
        </is>
      </c>
      <c r="AB2675" s="111" t="inlineStr">
        <is>
          <t>NAO_COMPUTADO</t>
        </is>
      </c>
      <c r="AC2675" s="112" t="inlineStr">
        <is>
          <t>Estrutura Fase 1: sem impacto no VTA oficial</t>
        </is>
      </c>
    </row>
    <row r="2676" ht="25.5" customHeight="1" s="289">
      <c r="A2676" s="205" t="n"/>
      <c r="B2676" s="207" t="n"/>
      <c r="C2676" s="104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348" t="n"/>
      <c r="E2676" s="349">
        <f>IF(C2676="","",IFERROR(VLOOKUP(C2676,parametros!$A$11:$E$15,5,0),""))</f>
        <v/>
      </c>
      <c r="F2676" s="335">
        <f>IF(OR(D2676="",E2676=""),"",ROUND(D2676*E2676,2))</f>
        <v/>
      </c>
      <c r="G2676" s="106" t="n"/>
      <c r="H2676" s="350">
        <f>IF(G2676="Sim",IF(OR(F2676="",D2676="",L2676=""),"",IF(L2676="Sim",ROUND(F2676-D2676,2),0)),0)</f>
        <v/>
      </c>
      <c r="I2676" s="350">
        <f>IF(G2676="Sim",0,IF(OR(F2676="",L2676=""),"",F2676))</f>
        <v/>
      </c>
      <c r="J2676" s="350">
        <f>IF(G2676="Sim",0,IF(OR(F2676="",D2676="",L2676=""),"",IF(L2676="Sim",ROUND(F2676-D2676,2),0)))</f>
        <v/>
      </c>
      <c r="K2676" s="97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inlineStr">
        <is>
          <t>Nao</t>
        </is>
      </c>
      <c r="W2676" s="110" t="inlineStr">
        <is>
          <t>PC em analise</t>
        </is>
      </c>
      <c r="X2676" s="110" t="inlineStr">
        <is>
          <t>Pedido de Compra</t>
        </is>
      </c>
      <c r="Y2676" s="111" t="inlineStr">
        <is>
          <t>Impacto Potencial</t>
        </is>
      </c>
      <c r="Z2676" s="111" t="inlineStr">
        <is>
          <t>PC</t>
        </is>
      </c>
      <c r="AA2676" s="111" t="inlineStr">
        <is>
          <t>Nao</t>
        </is>
      </c>
      <c r="AB2676" s="111" t="inlineStr">
        <is>
          <t>NAO_COMPUTADO</t>
        </is>
      </c>
      <c r="AC2676" s="112" t="inlineStr">
        <is>
          <t>Estrutura Fase 1: sem impacto no VTA oficial</t>
        </is>
      </c>
    </row>
    <row r="2677" ht="25.5" customHeight="1" s="289">
      <c r="A2677" s="205" t="n"/>
      <c r="B2677" s="207" t="n"/>
      <c r="C2677" s="104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348" t="n"/>
      <c r="E2677" s="349">
        <f>IF(C2677="","",IFERROR(VLOOKUP(C2677,parametros!$A$11:$E$15,5,0),""))</f>
        <v/>
      </c>
      <c r="F2677" s="335">
        <f>IF(OR(D2677="",E2677=""),"",ROUND(D2677*E2677,2))</f>
        <v/>
      </c>
      <c r="G2677" s="106" t="n"/>
      <c r="H2677" s="350">
        <f>IF(G2677="Sim",IF(OR(F2677="",D2677="",L2677=""),"",IF(L2677="Sim",ROUND(F2677-D2677,2),0)),0)</f>
        <v/>
      </c>
      <c r="I2677" s="350">
        <f>IF(G2677="Sim",0,IF(OR(F2677="",L2677=""),"",F2677))</f>
        <v/>
      </c>
      <c r="J2677" s="350">
        <f>IF(G2677="Sim",0,IF(OR(F2677="",D2677="",L2677=""),"",IF(L2677="Sim",ROUND(F2677-D2677,2),0)))</f>
        <v/>
      </c>
      <c r="K2677" s="97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inlineStr">
        <is>
          <t>Nao</t>
        </is>
      </c>
      <c r="W2677" s="110" t="inlineStr">
        <is>
          <t>PC em analise</t>
        </is>
      </c>
      <c r="X2677" s="110" t="inlineStr">
        <is>
          <t>Pedido de Compra</t>
        </is>
      </c>
      <c r="Y2677" s="111" t="inlineStr">
        <is>
          <t>Impacto Potencial</t>
        </is>
      </c>
      <c r="Z2677" s="111" t="inlineStr">
        <is>
          <t>PC</t>
        </is>
      </c>
      <c r="AA2677" s="111" t="inlineStr">
        <is>
          <t>Nao</t>
        </is>
      </c>
      <c r="AB2677" s="111" t="inlineStr">
        <is>
          <t>NAO_COMPUTADO</t>
        </is>
      </c>
      <c r="AC2677" s="112" t="inlineStr">
        <is>
          <t>Estrutura Fase 1: sem impacto no VTA oficial</t>
        </is>
      </c>
    </row>
    <row r="2678" ht="25.5" customHeight="1" s="289">
      <c r="A2678" s="205" t="n"/>
      <c r="B2678" s="207" t="n"/>
      <c r="C2678" s="104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348" t="n"/>
      <c r="E2678" s="349">
        <f>IF(C2678="","",IFERROR(VLOOKUP(C2678,parametros!$A$11:$E$15,5,0),""))</f>
        <v/>
      </c>
      <c r="F2678" s="335">
        <f>IF(OR(D2678="",E2678=""),"",ROUND(D2678*E2678,2))</f>
        <v/>
      </c>
      <c r="G2678" s="106" t="n"/>
      <c r="H2678" s="350">
        <f>IF(G2678="Sim",IF(OR(F2678="",D2678="",L2678=""),"",IF(L2678="Sim",ROUND(F2678-D2678,2),0)),0)</f>
        <v/>
      </c>
      <c r="I2678" s="350">
        <f>IF(G2678="Sim",0,IF(OR(F2678="",L2678=""),"",F2678))</f>
        <v/>
      </c>
      <c r="J2678" s="350">
        <f>IF(G2678="Sim",0,IF(OR(F2678="",D2678="",L2678=""),"",IF(L2678="Sim",ROUND(F2678-D2678,2),0)))</f>
        <v/>
      </c>
      <c r="K2678" s="97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inlineStr">
        <is>
          <t>Nao</t>
        </is>
      </c>
      <c r="W2678" s="110" t="inlineStr">
        <is>
          <t>PC em analise</t>
        </is>
      </c>
      <c r="X2678" s="110" t="inlineStr">
        <is>
          <t>Pedido de Compra</t>
        </is>
      </c>
      <c r="Y2678" s="111" t="inlineStr">
        <is>
          <t>Impacto Potencial</t>
        </is>
      </c>
      <c r="Z2678" s="111" t="inlineStr">
        <is>
          <t>PC</t>
        </is>
      </c>
      <c r="AA2678" s="111" t="inlineStr">
        <is>
          <t>Nao</t>
        </is>
      </c>
      <c r="AB2678" s="111" t="inlineStr">
        <is>
          <t>NAO_COMPUTADO</t>
        </is>
      </c>
      <c r="AC2678" s="112" t="inlineStr">
        <is>
          <t>Estrutura Fase 1: sem impacto no VTA oficial</t>
        </is>
      </c>
    </row>
    <row r="2679" ht="25.5" customHeight="1" s="289">
      <c r="A2679" s="205" t="n"/>
      <c r="B2679" s="207" t="n"/>
      <c r="C2679" s="104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348" t="n"/>
      <c r="E2679" s="349">
        <f>IF(C2679="","",IFERROR(VLOOKUP(C2679,parametros!$A$11:$E$15,5,0),""))</f>
        <v/>
      </c>
      <c r="F2679" s="335">
        <f>IF(OR(D2679="",E2679=""),"",ROUND(D2679*E2679,2))</f>
        <v/>
      </c>
      <c r="G2679" s="106" t="n"/>
      <c r="H2679" s="350">
        <f>IF(G2679="Sim",IF(OR(F2679="",D2679="",L2679=""),"",IF(L2679="Sim",ROUND(F2679-D2679,2),0)),0)</f>
        <v/>
      </c>
      <c r="I2679" s="350">
        <f>IF(G2679="Sim",0,IF(OR(F2679="",L2679=""),"",F2679))</f>
        <v/>
      </c>
      <c r="J2679" s="350">
        <f>IF(G2679="Sim",0,IF(OR(F2679="",D2679="",L2679=""),"",IF(L2679="Sim",ROUND(F2679-D2679,2),0)))</f>
        <v/>
      </c>
      <c r="K2679" s="97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inlineStr">
        <is>
          <t>Nao</t>
        </is>
      </c>
      <c r="W2679" s="110" t="inlineStr">
        <is>
          <t>PC em analise</t>
        </is>
      </c>
      <c r="X2679" s="110" t="inlineStr">
        <is>
          <t>Pedido de Compra</t>
        </is>
      </c>
      <c r="Y2679" s="111" t="inlineStr">
        <is>
          <t>Impacto Potencial</t>
        </is>
      </c>
      <c r="Z2679" s="111" t="inlineStr">
        <is>
          <t>PC</t>
        </is>
      </c>
      <c r="AA2679" s="111" t="inlineStr">
        <is>
          <t>Nao</t>
        </is>
      </c>
      <c r="AB2679" s="111" t="inlineStr">
        <is>
          <t>NAO_COMPUTADO</t>
        </is>
      </c>
      <c r="AC2679" s="112" t="inlineStr">
        <is>
          <t>Estrutura Fase 1: sem impacto no VTA oficial</t>
        </is>
      </c>
    </row>
    <row r="2680" ht="25.5" customHeight="1" s="289">
      <c r="A2680" s="205" t="n"/>
      <c r="B2680" s="207" t="n"/>
      <c r="C2680" s="104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348" t="n"/>
      <c r="E2680" s="349">
        <f>IF(C2680="","",IFERROR(VLOOKUP(C2680,parametros!$A$11:$E$15,5,0),""))</f>
        <v/>
      </c>
      <c r="F2680" s="335">
        <f>IF(OR(D2680="",E2680=""),"",ROUND(D2680*E2680,2))</f>
        <v/>
      </c>
      <c r="G2680" s="106" t="n"/>
      <c r="H2680" s="350">
        <f>IF(G2680="Sim",IF(OR(F2680="",D2680="",L2680=""),"",IF(L2680="Sim",ROUND(F2680-D2680,2),0)),0)</f>
        <v/>
      </c>
      <c r="I2680" s="350">
        <f>IF(G2680="Sim",0,IF(OR(F2680="",L2680=""),"",F2680))</f>
        <v/>
      </c>
      <c r="J2680" s="350">
        <f>IF(G2680="Sim",0,IF(OR(F2680="",D2680="",L2680=""),"",IF(L2680="Sim",ROUND(F2680-D2680,2),0)))</f>
        <v/>
      </c>
      <c r="K2680" s="97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inlineStr">
        <is>
          <t>Nao</t>
        </is>
      </c>
      <c r="W2680" s="110" t="inlineStr">
        <is>
          <t>PC em analise</t>
        </is>
      </c>
      <c r="X2680" s="110" t="inlineStr">
        <is>
          <t>Pedido de Compra</t>
        </is>
      </c>
      <c r="Y2680" s="111" t="inlineStr">
        <is>
          <t>Impacto Potencial</t>
        </is>
      </c>
      <c r="Z2680" s="111" t="inlineStr">
        <is>
          <t>PC</t>
        </is>
      </c>
      <c r="AA2680" s="111" t="inlineStr">
        <is>
          <t>Nao</t>
        </is>
      </c>
      <c r="AB2680" s="111" t="inlineStr">
        <is>
          <t>NAO_COMPUTADO</t>
        </is>
      </c>
      <c r="AC2680" s="112" t="inlineStr">
        <is>
          <t>Estrutura Fase 1: sem impacto no VTA oficial</t>
        </is>
      </c>
    </row>
    <row r="2681" ht="25.5" customHeight="1" s="289">
      <c r="A2681" s="205" t="n"/>
      <c r="B2681" s="207" t="n"/>
      <c r="C2681" s="104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348" t="n"/>
      <c r="E2681" s="349">
        <f>IF(C2681="","",IFERROR(VLOOKUP(C2681,parametros!$A$11:$E$15,5,0),""))</f>
        <v/>
      </c>
      <c r="F2681" s="335">
        <f>IF(OR(D2681="",E2681=""),"",ROUND(D2681*E2681,2))</f>
        <v/>
      </c>
      <c r="G2681" s="106" t="n"/>
      <c r="H2681" s="350">
        <f>IF(G2681="Sim",IF(OR(F2681="",D2681="",L2681=""),"",IF(L2681="Sim",ROUND(F2681-D2681,2),0)),0)</f>
        <v/>
      </c>
      <c r="I2681" s="350">
        <f>IF(G2681="Sim",0,IF(OR(F2681="",L2681=""),"",F2681))</f>
        <v/>
      </c>
      <c r="J2681" s="350">
        <f>IF(G2681="Sim",0,IF(OR(F2681="",D2681="",L2681=""),"",IF(L2681="Sim",ROUND(F2681-D2681,2),0)))</f>
        <v/>
      </c>
      <c r="K2681" s="97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inlineStr">
        <is>
          <t>Nao</t>
        </is>
      </c>
      <c r="W2681" s="110" t="inlineStr">
        <is>
          <t>PC em analise</t>
        </is>
      </c>
      <c r="X2681" s="110" t="inlineStr">
        <is>
          <t>Pedido de Compra</t>
        </is>
      </c>
      <c r="Y2681" s="111" t="inlineStr">
        <is>
          <t>Impacto Potencial</t>
        </is>
      </c>
      <c r="Z2681" s="111" t="inlineStr">
        <is>
          <t>PC</t>
        </is>
      </c>
      <c r="AA2681" s="111" t="inlineStr">
        <is>
          <t>Nao</t>
        </is>
      </c>
      <c r="AB2681" s="111" t="inlineStr">
        <is>
          <t>NAO_COMPUTADO</t>
        </is>
      </c>
      <c r="AC2681" s="112" t="inlineStr">
        <is>
          <t>Estrutura Fase 1: sem impacto no VTA oficial</t>
        </is>
      </c>
    </row>
    <row r="2682" ht="25.5" customHeight="1" s="289">
      <c r="A2682" s="205" t="n"/>
      <c r="B2682" s="207" t="n"/>
      <c r="C2682" s="104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348" t="n"/>
      <c r="E2682" s="349">
        <f>IF(C2682="","",IFERROR(VLOOKUP(C2682,parametros!$A$11:$E$15,5,0),""))</f>
        <v/>
      </c>
      <c r="F2682" s="335">
        <f>IF(OR(D2682="",E2682=""),"",ROUND(D2682*E2682,2))</f>
        <v/>
      </c>
      <c r="G2682" s="106" t="n"/>
      <c r="H2682" s="350">
        <f>IF(G2682="Sim",IF(OR(F2682="",D2682="",L2682=""),"",IF(L2682="Sim",ROUND(F2682-D2682,2),0)),0)</f>
        <v/>
      </c>
      <c r="I2682" s="350">
        <f>IF(G2682="Sim",0,IF(OR(F2682="",L2682=""),"",F2682))</f>
        <v/>
      </c>
      <c r="J2682" s="350">
        <f>IF(G2682="Sim",0,IF(OR(F2682="",D2682="",L2682=""),"",IF(L2682="Sim",ROUND(F2682-D2682,2),0)))</f>
        <v/>
      </c>
      <c r="K2682" s="97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inlineStr">
        <is>
          <t>Nao</t>
        </is>
      </c>
      <c r="W2682" s="110" t="inlineStr">
        <is>
          <t>PC em analise</t>
        </is>
      </c>
      <c r="X2682" s="110" t="inlineStr">
        <is>
          <t>Pedido de Compra</t>
        </is>
      </c>
      <c r="Y2682" s="111" t="inlineStr">
        <is>
          <t>Impacto Potencial</t>
        </is>
      </c>
      <c r="Z2682" s="111" t="inlineStr">
        <is>
          <t>PC</t>
        </is>
      </c>
      <c r="AA2682" s="111" t="inlineStr">
        <is>
          <t>Nao</t>
        </is>
      </c>
      <c r="AB2682" s="111" t="inlineStr">
        <is>
          <t>NAO_COMPUTADO</t>
        </is>
      </c>
      <c r="AC2682" s="112" t="inlineStr">
        <is>
          <t>Estrutura Fase 1: sem impacto no VTA oficial</t>
        </is>
      </c>
    </row>
    <row r="2683" ht="25.5" customHeight="1" s="289">
      <c r="A2683" s="205" t="n"/>
      <c r="B2683" s="207" t="n"/>
      <c r="C2683" s="104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348" t="n"/>
      <c r="E2683" s="349">
        <f>IF(C2683="","",IFERROR(VLOOKUP(C2683,parametros!$A$11:$E$15,5,0),""))</f>
        <v/>
      </c>
      <c r="F2683" s="335">
        <f>IF(OR(D2683="",E2683=""),"",ROUND(D2683*E2683,2))</f>
        <v/>
      </c>
      <c r="G2683" s="106" t="n"/>
      <c r="H2683" s="350">
        <f>IF(G2683="Sim",IF(OR(F2683="",D2683="",L2683=""),"",IF(L2683="Sim",ROUND(F2683-D2683,2),0)),0)</f>
        <v/>
      </c>
      <c r="I2683" s="350">
        <f>IF(G2683="Sim",0,IF(OR(F2683="",L2683=""),"",F2683))</f>
        <v/>
      </c>
      <c r="J2683" s="350">
        <f>IF(G2683="Sim",0,IF(OR(F2683="",D2683="",L2683=""),"",IF(L2683="Sim",ROUND(F2683-D2683,2),0)))</f>
        <v/>
      </c>
      <c r="K2683" s="97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inlineStr">
        <is>
          <t>Nao</t>
        </is>
      </c>
      <c r="W2683" s="110" t="inlineStr">
        <is>
          <t>PC em analise</t>
        </is>
      </c>
      <c r="X2683" s="110" t="inlineStr">
        <is>
          <t>Pedido de Compra</t>
        </is>
      </c>
      <c r="Y2683" s="111" t="inlineStr">
        <is>
          <t>Impacto Potencial</t>
        </is>
      </c>
      <c r="Z2683" s="111" t="inlineStr">
        <is>
          <t>PC</t>
        </is>
      </c>
      <c r="AA2683" s="111" t="inlineStr">
        <is>
          <t>Nao</t>
        </is>
      </c>
      <c r="AB2683" s="111" t="inlineStr">
        <is>
          <t>NAO_COMPUTADO</t>
        </is>
      </c>
      <c r="AC2683" s="112" t="inlineStr">
        <is>
          <t>Estrutura Fase 1: sem impacto no VTA oficial</t>
        </is>
      </c>
    </row>
    <row r="2684" ht="25.5" customHeight="1" s="289">
      <c r="A2684" s="205" t="n"/>
      <c r="B2684" s="207" t="n"/>
      <c r="C2684" s="104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348" t="n"/>
      <c r="E2684" s="349">
        <f>IF(C2684="","",IFERROR(VLOOKUP(C2684,parametros!$A$11:$E$15,5,0),""))</f>
        <v/>
      </c>
      <c r="F2684" s="335">
        <f>IF(OR(D2684="",E2684=""),"",ROUND(D2684*E2684,2))</f>
        <v/>
      </c>
      <c r="G2684" s="106" t="n"/>
      <c r="H2684" s="350">
        <f>IF(G2684="Sim",IF(OR(F2684="",D2684="",L2684=""),"",IF(L2684="Sim",ROUND(F2684-D2684,2),0)),0)</f>
        <v/>
      </c>
      <c r="I2684" s="350">
        <f>IF(G2684="Sim",0,IF(OR(F2684="",L2684=""),"",F2684))</f>
        <v/>
      </c>
      <c r="J2684" s="350">
        <f>IF(G2684="Sim",0,IF(OR(F2684="",D2684="",L2684=""),"",IF(L2684="Sim",ROUND(F2684-D2684,2),0)))</f>
        <v/>
      </c>
      <c r="K2684" s="97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inlineStr">
        <is>
          <t>Nao</t>
        </is>
      </c>
      <c r="W2684" s="110" t="inlineStr">
        <is>
          <t>PC em analise</t>
        </is>
      </c>
      <c r="X2684" s="110" t="inlineStr">
        <is>
          <t>Pedido de Compra</t>
        </is>
      </c>
      <c r="Y2684" s="111" t="inlineStr">
        <is>
          <t>Impacto Potencial</t>
        </is>
      </c>
      <c r="Z2684" s="111" t="inlineStr">
        <is>
          <t>PC</t>
        </is>
      </c>
      <c r="AA2684" s="111" t="inlineStr">
        <is>
          <t>Nao</t>
        </is>
      </c>
      <c r="AB2684" s="111" t="inlineStr">
        <is>
          <t>NAO_COMPUTADO</t>
        </is>
      </c>
      <c r="AC2684" s="112" t="inlineStr">
        <is>
          <t>Estrutura Fase 1: sem impacto no VTA oficial</t>
        </is>
      </c>
    </row>
    <row r="2685" ht="25.5" customHeight="1" s="289">
      <c r="A2685" s="205" t="n"/>
      <c r="B2685" s="207" t="n"/>
      <c r="C2685" s="104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348" t="n"/>
      <c r="E2685" s="349">
        <f>IF(C2685="","",IFERROR(VLOOKUP(C2685,parametros!$A$11:$E$15,5,0),""))</f>
        <v/>
      </c>
      <c r="F2685" s="335">
        <f>IF(OR(D2685="",E2685=""),"",ROUND(D2685*E2685,2))</f>
        <v/>
      </c>
      <c r="G2685" s="106" t="n"/>
      <c r="H2685" s="350">
        <f>IF(G2685="Sim",IF(OR(F2685="",D2685="",L2685=""),"",IF(L2685="Sim",ROUND(F2685-D2685,2),0)),0)</f>
        <v/>
      </c>
      <c r="I2685" s="350">
        <f>IF(G2685="Sim",0,IF(OR(F2685="",L2685=""),"",F2685))</f>
        <v/>
      </c>
      <c r="J2685" s="350">
        <f>IF(G2685="Sim",0,IF(OR(F2685="",D2685="",L2685=""),"",IF(L2685="Sim",ROUND(F2685-D2685,2),0)))</f>
        <v/>
      </c>
      <c r="K2685" s="97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inlineStr">
        <is>
          <t>Nao</t>
        </is>
      </c>
      <c r="W2685" s="110" t="inlineStr">
        <is>
          <t>PC em analise</t>
        </is>
      </c>
      <c r="X2685" s="110" t="inlineStr">
        <is>
          <t>Pedido de Compra</t>
        </is>
      </c>
      <c r="Y2685" s="111" t="inlineStr">
        <is>
          <t>Impacto Potencial</t>
        </is>
      </c>
      <c r="Z2685" s="111" t="inlineStr">
        <is>
          <t>PC</t>
        </is>
      </c>
      <c r="AA2685" s="111" t="inlineStr">
        <is>
          <t>Nao</t>
        </is>
      </c>
      <c r="AB2685" s="111" t="inlineStr">
        <is>
          <t>NAO_COMPUTADO</t>
        </is>
      </c>
      <c r="AC2685" s="112" t="inlineStr">
        <is>
          <t>Estrutura Fase 1: sem impacto no VTA oficial</t>
        </is>
      </c>
    </row>
    <row r="2686" ht="25.5" customHeight="1" s="289">
      <c r="A2686" s="205" t="n"/>
      <c r="B2686" s="207" t="n"/>
      <c r="C2686" s="104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348" t="n"/>
      <c r="E2686" s="349">
        <f>IF(C2686="","",IFERROR(VLOOKUP(C2686,parametros!$A$11:$E$15,5,0),""))</f>
        <v/>
      </c>
      <c r="F2686" s="335">
        <f>IF(OR(D2686="",E2686=""),"",ROUND(D2686*E2686,2))</f>
        <v/>
      </c>
      <c r="G2686" s="106" t="n"/>
      <c r="H2686" s="350">
        <f>IF(G2686="Sim",IF(OR(F2686="",D2686="",L2686=""),"",IF(L2686="Sim",ROUND(F2686-D2686,2),0)),0)</f>
        <v/>
      </c>
      <c r="I2686" s="350">
        <f>IF(G2686="Sim",0,IF(OR(F2686="",L2686=""),"",F2686))</f>
        <v/>
      </c>
      <c r="J2686" s="350">
        <f>IF(G2686="Sim",0,IF(OR(F2686="",D2686="",L2686=""),"",IF(L2686="Sim",ROUND(F2686-D2686,2),0)))</f>
        <v/>
      </c>
      <c r="K2686" s="97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inlineStr">
        <is>
          <t>Nao</t>
        </is>
      </c>
      <c r="W2686" s="110" t="inlineStr">
        <is>
          <t>PC em analise</t>
        </is>
      </c>
      <c r="X2686" s="110" t="inlineStr">
        <is>
          <t>Pedido de Compra</t>
        </is>
      </c>
      <c r="Y2686" s="111" t="inlineStr">
        <is>
          <t>Impacto Potencial</t>
        </is>
      </c>
      <c r="Z2686" s="111" t="inlineStr">
        <is>
          <t>PC</t>
        </is>
      </c>
      <c r="AA2686" s="111" t="inlineStr">
        <is>
          <t>Nao</t>
        </is>
      </c>
      <c r="AB2686" s="111" t="inlineStr">
        <is>
          <t>NAO_COMPUTADO</t>
        </is>
      </c>
      <c r="AC2686" s="112" t="inlineStr">
        <is>
          <t>Estrutura Fase 1: sem impacto no VTA oficial</t>
        </is>
      </c>
    </row>
    <row r="2687" ht="25.5" customHeight="1" s="289">
      <c r="A2687" s="205" t="n"/>
      <c r="B2687" s="207" t="n"/>
      <c r="C2687" s="104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348" t="n"/>
      <c r="E2687" s="349">
        <f>IF(C2687="","",IFERROR(VLOOKUP(C2687,parametros!$A$11:$E$15,5,0),""))</f>
        <v/>
      </c>
      <c r="F2687" s="335">
        <f>IF(OR(D2687="",E2687=""),"",ROUND(D2687*E2687,2))</f>
        <v/>
      </c>
      <c r="G2687" s="106" t="n"/>
      <c r="H2687" s="350">
        <f>IF(G2687="Sim",IF(OR(F2687="",D2687="",L2687=""),"",IF(L2687="Sim",ROUND(F2687-D2687,2),0)),0)</f>
        <v/>
      </c>
      <c r="I2687" s="350">
        <f>IF(G2687="Sim",0,IF(OR(F2687="",L2687=""),"",F2687))</f>
        <v/>
      </c>
      <c r="J2687" s="350">
        <f>IF(G2687="Sim",0,IF(OR(F2687="",D2687="",L2687=""),"",IF(L2687="Sim",ROUND(F2687-D2687,2),0)))</f>
        <v/>
      </c>
      <c r="K2687" s="97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inlineStr">
        <is>
          <t>Nao</t>
        </is>
      </c>
      <c r="W2687" s="110" t="inlineStr">
        <is>
          <t>PC em analise</t>
        </is>
      </c>
      <c r="X2687" s="110" t="inlineStr">
        <is>
          <t>Pedido de Compra</t>
        </is>
      </c>
      <c r="Y2687" s="111" t="inlineStr">
        <is>
          <t>Impacto Potencial</t>
        </is>
      </c>
      <c r="Z2687" s="111" t="inlineStr">
        <is>
          <t>PC</t>
        </is>
      </c>
      <c r="AA2687" s="111" t="inlineStr">
        <is>
          <t>Nao</t>
        </is>
      </c>
      <c r="AB2687" s="111" t="inlineStr">
        <is>
          <t>NAO_COMPUTADO</t>
        </is>
      </c>
      <c r="AC2687" s="112" t="inlineStr">
        <is>
          <t>Estrutura Fase 1: sem impacto no VTA oficial</t>
        </is>
      </c>
    </row>
    <row r="2688" ht="25.5" customHeight="1" s="289">
      <c r="A2688" s="205" t="n"/>
      <c r="B2688" s="207" t="n"/>
      <c r="C2688" s="104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348" t="n"/>
      <c r="E2688" s="349">
        <f>IF(C2688="","",IFERROR(VLOOKUP(C2688,parametros!$A$11:$E$15,5,0),""))</f>
        <v/>
      </c>
      <c r="F2688" s="335">
        <f>IF(OR(D2688="",E2688=""),"",ROUND(D2688*E2688,2))</f>
        <v/>
      </c>
      <c r="G2688" s="106" t="n"/>
      <c r="H2688" s="350">
        <f>IF(G2688="Sim",IF(OR(F2688="",D2688="",L2688=""),"",IF(L2688="Sim",ROUND(F2688-D2688,2),0)),0)</f>
        <v/>
      </c>
      <c r="I2688" s="350">
        <f>IF(G2688="Sim",0,IF(OR(F2688="",L2688=""),"",F2688))</f>
        <v/>
      </c>
      <c r="J2688" s="350">
        <f>IF(G2688="Sim",0,IF(OR(F2688="",D2688="",L2688=""),"",IF(L2688="Sim",ROUND(F2688-D2688,2),0)))</f>
        <v/>
      </c>
      <c r="K2688" s="97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inlineStr">
        <is>
          <t>Nao</t>
        </is>
      </c>
      <c r="W2688" s="110" t="inlineStr">
        <is>
          <t>PC em analise</t>
        </is>
      </c>
      <c r="X2688" s="110" t="inlineStr">
        <is>
          <t>Pedido de Compra</t>
        </is>
      </c>
      <c r="Y2688" s="111" t="inlineStr">
        <is>
          <t>Impacto Potencial</t>
        </is>
      </c>
      <c r="Z2688" s="111" t="inlineStr">
        <is>
          <t>PC</t>
        </is>
      </c>
      <c r="AA2688" s="111" t="inlineStr">
        <is>
          <t>Nao</t>
        </is>
      </c>
      <c r="AB2688" s="111" t="inlineStr">
        <is>
          <t>NAO_COMPUTADO</t>
        </is>
      </c>
      <c r="AC2688" s="112" t="inlineStr">
        <is>
          <t>Estrutura Fase 1: sem impacto no VTA oficial</t>
        </is>
      </c>
    </row>
    <row r="2689" ht="25.5" customHeight="1" s="289">
      <c r="A2689" s="205" t="n"/>
      <c r="B2689" s="207" t="n"/>
      <c r="C2689" s="104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348" t="n"/>
      <c r="E2689" s="349">
        <f>IF(C2689="","",IFERROR(VLOOKUP(C2689,parametros!$A$11:$E$15,5,0),""))</f>
        <v/>
      </c>
      <c r="F2689" s="335">
        <f>IF(OR(D2689="",E2689=""),"",ROUND(D2689*E2689,2))</f>
        <v/>
      </c>
      <c r="G2689" s="106" t="n"/>
      <c r="H2689" s="350">
        <f>IF(G2689="Sim",IF(OR(F2689="",D2689="",L2689=""),"",IF(L2689="Sim",ROUND(F2689-D2689,2),0)),0)</f>
        <v/>
      </c>
      <c r="I2689" s="350">
        <f>IF(G2689="Sim",0,IF(OR(F2689="",L2689=""),"",F2689))</f>
        <v/>
      </c>
      <c r="J2689" s="350">
        <f>IF(G2689="Sim",0,IF(OR(F2689="",D2689="",L2689=""),"",IF(L2689="Sim",ROUND(F2689-D2689,2),0)))</f>
        <v/>
      </c>
      <c r="K2689" s="97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inlineStr">
        <is>
          <t>Nao</t>
        </is>
      </c>
      <c r="W2689" s="110" t="inlineStr">
        <is>
          <t>PC em analise</t>
        </is>
      </c>
      <c r="X2689" s="110" t="inlineStr">
        <is>
          <t>Pedido de Compra</t>
        </is>
      </c>
      <c r="Y2689" s="111" t="inlineStr">
        <is>
          <t>Impacto Potencial</t>
        </is>
      </c>
      <c r="Z2689" s="111" t="inlineStr">
        <is>
          <t>PC</t>
        </is>
      </c>
      <c r="AA2689" s="111" t="inlineStr">
        <is>
          <t>Nao</t>
        </is>
      </c>
      <c r="AB2689" s="111" t="inlineStr">
        <is>
          <t>NAO_COMPUTADO</t>
        </is>
      </c>
      <c r="AC2689" s="112" t="inlineStr">
        <is>
          <t>Estrutura Fase 1: sem impacto no VTA oficial</t>
        </is>
      </c>
    </row>
    <row r="2690" ht="25.5" customHeight="1" s="289">
      <c r="A2690" s="205" t="n"/>
      <c r="B2690" s="207" t="n"/>
      <c r="C2690" s="104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348" t="n"/>
      <c r="E2690" s="349">
        <f>IF(C2690="","",IFERROR(VLOOKUP(C2690,parametros!$A$11:$E$15,5,0),""))</f>
        <v/>
      </c>
      <c r="F2690" s="335">
        <f>IF(OR(D2690="",E2690=""),"",ROUND(D2690*E2690,2))</f>
        <v/>
      </c>
      <c r="G2690" s="106" t="n"/>
      <c r="H2690" s="350">
        <f>IF(G2690="Sim",IF(OR(F2690="",D2690="",L2690=""),"",IF(L2690="Sim",ROUND(F2690-D2690,2),0)),0)</f>
        <v/>
      </c>
      <c r="I2690" s="350">
        <f>IF(G2690="Sim",0,IF(OR(F2690="",L2690=""),"",F2690))</f>
        <v/>
      </c>
      <c r="J2690" s="350">
        <f>IF(G2690="Sim",0,IF(OR(F2690="",D2690="",L2690=""),"",IF(L2690="Sim",ROUND(F2690-D2690,2),0)))</f>
        <v/>
      </c>
      <c r="K2690" s="97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inlineStr">
        <is>
          <t>Nao</t>
        </is>
      </c>
      <c r="W2690" s="110" t="inlineStr">
        <is>
          <t>PC em analise</t>
        </is>
      </c>
      <c r="X2690" s="110" t="inlineStr">
        <is>
          <t>Pedido de Compra</t>
        </is>
      </c>
      <c r="Y2690" s="111" t="inlineStr">
        <is>
          <t>Impacto Potencial</t>
        </is>
      </c>
      <c r="Z2690" s="111" t="inlineStr">
        <is>
          <t>PC</t>
        </is>
      </c>
      <c r="AA2690" s="111" t="inlineStr">
        <is>
          <t>Nao</t>
        </is>
      </c>
      <c r="AB2690" s="111" t="inlineStr">
        <is>
          <t>NAO_COMPUTADO</t>
        </is>
      </c>
      <c r="AC2690" s="112" t="inlineStr">
        <is>
          <t>Estrutura Fase 1: sem impacto no VTA oficial</t>
        </is>
      </c>
    </row>
    <row r="2691" ht="25.5" customHeight="1" s="289">
      <c r="A2691" s="205" t="n"/>
      <c r="B2691" s="207" t="n"/>
      <c r="C2691" s="104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348" t="n"/>
      <c r="E2691" s="349">
        <f>IF(C2691="","",IFERROR(VLOOKUP(C2691,parametros!$A$11:$E$15,5,0),""))</f>
        <v/>
      </c>
      <c r="F2691" s="335">
        <f>IF(OR(D2691="",E2691=""),"",ROUND(D2691*E2691,2))</f>
        <v/>
      </c>
      <c r="G2691" s="106" t="n"/>
      <c r="H2691" s="350">
        <f>IF(G2691="Sim",IF(OR(F2691="",D2691="",L2691=""),"",IF(L2691="Sim",ROUND(F2691-D2691,2),0)),0)</f>
        <v/>
      </c>
      <c r="I2691" s="350">
        <f>IF(G2691="Sim",0,IF(OR(F2691="",L2691=""),"",F2691))</f>
        <v/>
      </c>
      <c r="J2691" s="350">
        <f>IF(G2691="Sim",0,IF(OR(F2691="",D2691="",L2691=""),"",IF(L2691="Sim",ROUND(F2691-D2691,2),0)))</f>
        <v/>
      </c>
      <c r="K2691" s="97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inlineStr">
        <is>
          <t>Nao</t>
        </is>
      </c>
      <c r="W2691" s="110" t="inlineStr">
        <is>
          <t>PC em analise</t>
        </is>
      </c>
      <c r="X2691" s="110" t="inlineStr">
        <is>
          <t>Pedido de Compra</t>
        </is>
      </c>
      <c r="Y2691" s="111" t="inlineStr">
        <is>
          <t>Impacto Potencial</t>
        </is>
      </c>
      <c r="Z2691" s="111" t="inlineStr">
        <is>
          <t>PC</t>
        </is>
      </c>
      <c r="AA2691" s="111" t="inlineStr">
        <is>
          <t>Nao</t>
        </is>
      </c>
      <c r="AB2691" s="111" t="inlineStr">
        <is>
          <t>NAO_COMPUTADO</t>
        </is>
      </c>
      <c r="AC2691" s="112" t="inlineStr">
        <is>
          <t>Estrutura Fase 1: sem impacto no VTA oficial</t>
        </is>
      </c>
    </row>
    <row r="2692" ht="25.5" customHeight="1" s="289">
      <c r="A2692" s="205" t="n"/>
      <c r="B2692" s="207" t="n"/>
      <c r="C2692" s="104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348" t="n"/>
      <c r="E2692" s="349">
        <f>IF(C2692="","",IFERROR(VLOOKUP(C2692,parametros!$A$11:$E$15,5,0),""))</f>
        <v/>
      </c>
      <c r="F2692" s="335">
        <f>IF(OR(D2692="",E2692=""),"",ROUND(D2692*E2692,2))</f>
        <v/>
      </c>
      <c r="G2692" s="106" t="n"/>
      <c r="H2692" s="350">
        <f>IF(G2692="Sim",IF(OR(F2692="",D2692="",L2692=""),"",IF(L2692="Sim",ROUND(F2692-D2692,2),0)),0)</f>
        <v/>
      </c>
      <c r="I2692" s="350">
        <f>IF(G2692="Sim",0,IF(OR(F2692="",L2692=""),"",F2692))</f>
        <v/>
      </c>
      <c r="J2692" s="350">
        <f>IF(G2692="Sim",0,IF(OR(F2692="",D2692="",L2692=""),"",IF(L2692="Sim",ROUND(F2692-D2692,2),0)))</f>
        <v/>
      </c>
      <c r="K2692" s="97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inlineStr">
        <is>
          <t>Nao</t>
        </is>
      </c>
      <c r="W2692" s="110" t="inlineStr">
        <is>
          <t>PC em analise</t>
        </is>
      </c>
      <c r="X2692" s="110" t="inlineStr">
        <is>
          <t>Pedido de Compra</t>
        </is>
      </c>
      <c r="Y2692" s="111" t="inlineStr">
        <is>
          <t>Impacto Potencial</t>
        </is>
      </c>
      <c r="Z2692" s="111" t="inlineStr">
        <is>
          <t>PC</t>
        </is>
      </c>
      <c r="AA2692" s="111" t="inlineStr">
        <is>
          <t>Nao</t>
        </is>
      </c>
      <c r="AB2692" s="111" t="inlineStr">
        <is>
          <t>NAO_COMPUTADO</t>
        </is>
      </c>
      <c r="AC2692" s="112" t="inlineStr">
        <is>
          <t>Estrutura Fase 1: sem impacto no VTA oficial</t>
        </is>
      </c>
    </row>
    <row r="2693" ht="25.5" customHeight="1" s="289">
      <c r="A2693" s="205" t="n"/>
      <c r="B2693" s="207" t="n"/>
      <c r="C2693" s="104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348" t="n"/>
      <c r="E2693" s="349">
        <f>IF(C2693="","",IFERROR(VLOOKUP(C2693,parametros!$A$11:$E$15,5,0),""))</f>
        <v/>
      </c>
      <c r="F2693" s="335">
        <f>IF(OR(D2693="",E2693=""),"",ROUND(D2693*E2693,2))</f>
        <v/>
      </c>
      <c r="G2693" s="106" t="n"/>
      <c r="H2693" s="350">
        <f>IF(G2693="Sim",IF(OR(F2693="",D2693="",L2693=""),"",IF(L2693="Sim",ROUND(F2693-D2693,2),0)),0)</f>
        <v/>
      </c>
      <c r="I2693" s="350">
        <f>IF(G2693="Sim",0,IF(OR(F2693="",L2693=""),"",F2693))</f>
        <v/>
      </c>
      <c r="J2693" s="350">
        <f>IF(G2693="Sim",0,IF(OR(F2693="",D2693="",L2693=""),"",IF(L2693="Sim",ROUND(F2693-D2693,2),0)))</f>
        <v/>
      </c>
      <c r="K2693" s="97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inlineStr">
        <is>
          <t>Nao</t>
        </is>
      </c>
      <c r="W2693" s="110" t="inlineStr">
        <is>
          <t>PC em analise</t>
        </is>
      </c>
      <c r="X2693" s="110" t="inlineStr">
        <is>
          <t>Pedido de Compra</t>
        </is>
      </c>
      <c r="Y2693" s="111" t="inlineStr">
        <is>
          <t>Impacto Potencial</t>
        </is>
      </c>
      <c r="Z2693" s="111" t="inlineStr">
        <is>
          <t>PC</t>
        </is>
      </c>
      <c r="AA2693" s="111" t="inlineStr">
        <is>
          <t>Nao</t>
        </is>
      </c>
      <c r="AB2693" s="111" t="inlineStr">
        <is>
          <t>NAO_COMPUTADO</t>
        </is>
      </c>
      <c r="AC2693" s="112" t="inlineStr">
        <is>
          <t>Estrutura Fase 1: sem impacto no VTA oficial</t>
        </is>
      </c>
    </row>
    <row r="2694" ht="25.5" customHeight="1" s="289">
      <c r="A2694" s="205" t="n"/>
      <c r="B2694" s="207" t="n"/>
      <c r="C2694" s="104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348" t="n"/>
      <c r="E2694" s="349">
        <f>IF(C2694="","",IFERROR(VLOOKUP(C2694,parametros!$A$11:$E$15,5,0),""))</f>
        <v/>
      </c>
      <c r="F2694" s="335">
        <f>IF(OR(D2694="",E2694=""),"",ROUND(D2694*E2694,2))</f>
        <v/>
      </c>
      <c r="G2694" s="106" t="n"/>
      <c r="H2694" s="350">
        <f>IF(G2694="Sim",IF(OR(F2694="",D2694="",L2694=""),"",IF(L2694="Sim",ROUND(F2694-D2694,2),0)),0)</f>
        <v/>
      </c>
      <c r="I2694" s="350">
        <f>IF(G2694="Sim",0,IF(OR(F2694="",L2694=""),"",F2694))</f>
        <v/>
      </c>
      <c r="J2694" s="350">
        <f>IF(G2694="Sim",0,IF(OR(F2694="",D2694="",L2694=""),"",IF(L2694="Sim",ROUND(F2694-D2694,2),0)))</f>
        <v/>
      </c>
      <c r="K2694" s="97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inlineStr">
        <is>
          <t>Nao</t>
        </is>
      </c>
      <c r="W2694" s="110" t="inlineStr">
        <is>
          <t>PC em analise</t>
        </is>
      </c>
      <c r="X2694" s="110" t="inlineStr">
        <is>
          <t>Pedido de Compra</t>
        </is>
      </c>
      <c r="Y2694" s="111" t="inlineStr">
        <is>
          <t>Impacto Potencial</t>
        </is>
      </c>
      <c r="Z2694" s="111" t="inlineStr">
        <is>
          <t>PC</t>
        </is>
      </c>
      <c r="AA2694" s="111" t="inlineStr">
        <is>
          <t>Nao</t>
        </is>
      </c>
      <c r="AB2694" s="111" t="inlineStr">
        <is>
          <t>NAO_COMPUTADO</t>
        </is>
      </c>
      <c r="AC2694" s="112" t="inlineStr">
        <is>
          <t>Estrutura Fase 1: sem impacto no VTA oficial</t>
        </is>
      </c>
    </row>
    <row r="2695" ht="25.5" customHeight="1" s="289">
      <c r="A2695" s="205" t="n"/>
      <c r="B2695" s="207" t="n"/>
      <c r="C2695" s="104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348" t="n"/>
      <c r="E2695" s="349">
        <f>IF(C2695="","",IFERROR(VLOOKUP(C2695,parametros!$A$11:$E$15,5,0),""))</f>
        <v/>
      </c>
      <c r="F2695" s="335">
        <f>IF(OR(D2695="",E2695=""),"",ROUND(D2695*E2695,2))</f>
        <v/>
      </c>
      <c r="G2695" s="106" t="n"/>
      <c r="H2695" s="350">
        <f>IF(G2695="Sim",IF(OR(F2695="",D2695="",L2695=""),"",IF(L2695="Sim",ROUND(F2695-D2695,2),0)),0)</f>
        <v/>
      </c>
      <c r="I2695" s="350">
        <f>IF(G2695="Sim",0,IF(OR(F2695="",L2695=""),"",F2695))</f>
        <v/>
      </c>
      <c r="J2695" s="350">
        <f>IF(G2695="Sim",0,IF(OR(F2695="",D2695="",L2695=""),"",IF(L2695="Sim",ROUND(F2695-D2695,2),0)))</f>
        <v/>
      </c>
      <c r="K2695" s="97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inlineStr">
        <is>
          <t>Nao</t>
        </is>
      </c>
      <c r="W2695" s="110" t="inlineStr">
        <is>
          <t>PC em analise</t>
        </is>
      </c>
      <c r="X2695" s="110" t="inlineStr">
        <is>
          <t>Pedido de Compra</t>
        </is>
      </c>
      <c r="Y2695" s="111" t="inlineStr">
        <is>
          <t>Impacto Potencial</t>
        </is>
      </c>
      <c r="Z2695" s="111" t="inlineStr">
        <is>
          <t>PC</t>
        </is>
      </c>
      <c r="AA2695" s="111" t="inlineStr">
        <is>
          <t>Nao</t>
        </is>
      </c>
      <c r="AB2695" s="111" t="inlineStr">
        <is>
          <t>NAO_COMPUTADO</t>
        </is>
      </c>
      <c r="AC2695" s="112" t="inlineStr">
        <is>
          <t>Estrutura Fase 1: sem impacto no VTA oficial</t>
        </is>
      </c>
    </row>
    <row r="2696" ht="25.5" customHeight="1" s="289">
      <c r="A2696" s="205" t="n"/>
      <c r="B2696" s="207" t="n"/>
      <c r="C2696" s="104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348" t="n"/>
      <c r="E2696" s="349">
        <f>IF(C2696="","",IFERROR(VLOOKUP(C2696,parametros!$A$11:$E$15,5,0),""))</f>
        <v/>
      </c>
      <c r="F2696" s="335">
        <f>IF(OR(D2696="",E2696=""),"",ROUND(D2696*E2696,2))</f>
        <v/>
      </c>
      <c r="G2696" s="106" t="n"/>
      <c r="H2696" s="350">
        <f>IF(G2696="Sim",IF(OR(F2696="",D2696="",L2696=""),"",IF(L2696="Sim",ROUND(F2696-D2696,2),0)),0)</f>
        <v/>
      </c>
      <c r="I2696" s="350">
        <f>IF(G2696="Sim",0,IF(OR(F2696="",L2696=""),"",F2696))</f>
        <v/>
      </c>
      <c r="J2696" s="350">
        <f>IF(G2696="Sim",0,IF(OR(F2696="",D2696="",L2696=""),"",IF(L2696="Sim",ROUND(F2696-D2696,2),0)))</f>
        <v/>
      </c>
      <c r="K2696" s="97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inlineStr">
        <is>
          <t>Nao</t>
        </is>
      </c>
      <c r="W2696" s="110" t="inlineStr">
        <is>
          <t>PC em analise</t>
        </is>
      </c>
      <c r="X2696" s="110" t="inlineStr">
        <is>
          <t>Pedido de Compra</t>
        </is>
      </c>
      <c r="Y2696" s="111" t="inlineStr">
        <is>
          <t>Impacto Potencial</t>
        </is>
      </c>
      <c r="Z2696" s="111" t="inlineStr">
        <is>
          <t>PC</t>
        </is>
      </c>
      <c r="AA2696" s="111" t="inlineStr">
        <is>
          <t>Nao</t>
        </is>
      </c>
      <c r="AB2696" s="111" t="inlineStr">
        <is>
          <t>NAO_COMPUTADO</t>
        </is>
      </c>
      <c r="AC2696" s="112" t="inlineStr">
        <is>
          <t>Estrutura Fase 1: sem impacto no VTA oficial</t>
        </is>
      </c>
    </row>
    <row r="2697" ht="25.5" customHeight="1" s="289">
      <c r="A2697" s="205" t="n"/>
      <c r="B2697" s="207" t="n"/>
      <c r="C2697" s="104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348" t="n"/>
      <c r="E2697" s="349">
        <f>IF(C2697="","",IFERROR(VLOOKUP(C2697,parametros!$A$11:$E$15,5,0),""))</f>
        <v/>
      </c>
      <c r="F2697" s="335">
        <f>IF(OR(D2697="",E2697=""),"",ROUND(D2697*E2697,2))</f>
        <v/>
      </c>
      <c r="G2697" s="106" t="n"/>
      <c r="H2697" s="350">
        <f>IF(G2697="Sim",IF(OR(F2697="",D2697="",L2697=""),"",IF(L2697="Sim",ROUND(F2697-D2697,2),0)),0)</f>
        <v/>
      </c>
      <c r="I2697" s="350">
        <f>IF(G2697="Sim",0,IF(OR(F2697="",L2697=""),"",F2697))</f>
        <v/>
      </c>
      <c r="J2697" s="350">
        <f>IF(G2697="Sim",0,IF(OR(F2697="",D2697="",L2697=""),"",IF(L2697="Sim",ROUND(F2697-D2697,2),0)))</f>
        <v/>
      </c>
      <c r="K2697" s="97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inlineStr">
        <is>
          <t>Nao</t>
        </is>
      </c>
      <c r="W2697" s="110" t="inlineStr">
        <is>
          <t>PC em analise</t>
        </is>
      </c>
      <c r="X2697" s="110" t="inlineStr">
        <is>
          <t>Pedido de Compra</t>
        </is>
      </c>
      <c r="Y2697" s="111" t="inlineStr">
        <is>
          <t>Impacto Potencial</t>
        </is>
      </c>
      <c r="Z2697" s="111" t="inlineStr">
        <is>
          <t>PC</t>
        </is>
      </c>
      <c r="AA2697" s="111" t="inlineStr">
        <is>
          <t>Nao</t>
        </is>
      </c>
      <c r="AB2697" s="111" t="inlineStr">
        <is>
          <t>NAO_COMPUTADO</t>
        </is>
      </c>
      <c r="AC2697" s="112" t="inlineStr">
        <is>
          <t>Estrutura Fase 1: sem impacto no VTA oficial</t>
        </is>
      </c>
    </row>
    <row r="2698" ht="25.5" customHeight="1" s="289">
      <c r="A2698" s="205" t="n"/>
      <c r="B2698" s="207" t="n"/>
      <c r="C2698" s="104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348" t="n"/>
      <c r="E2698" s="349">
        <f>IF(C2698="","",IFERROR(VLOOKUP(C2698,parametros!$A$11:$E$15,5,0),""))</f>
        <v/>
      </c>
      <c r="F2698" s="335">
        <f>IF(OR(D2698="",E2698=""),"",ROUND(D2698*E2698,2))</f>
        <v/>
      </c>
      <c r="G2698" s="106" t="n"/>
      <c r="H2698" s="350">
        <f>IF(G2698="Sim",IF(OR(F2698="",D2698="",L2698=""),"",IF(L2698="Sim",ROUND(F2698-D2698,2),0)),0)</f>
        <v/>
      </c>
      <c r="I2698" s="350">
        <f>IF(G2698="Sim",0,IF(OR(F2698="",L2698=""),"",F2698))</f>
        <v/>
      </c>
      <c r="J2698" s="350">
        <f>IF(G2698="Sim",0,IF(OR(F2698="",D2698="",L2698=""),"",IF(L2698="Sim",ROUND(F2698-D2698,2),0)))</f>
        <v/>
      </c>
      <c r="K2698" s="97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inlineStr">
        <is>
          <t>Nao</t>
        </is>
      </c>
      <c r="W2698" s="110" t="inlineStr">
        <is>
          <t>PC em analise</t>
        </is>
      </c>
      <c r="X2698" s="110" t="inlineStr">
        <is>
          <t>Pedido de Compra</t>
        </is>
      </c>
      <c r="Y2698" s="111" t="inlineStr">
        <is>
          <t>Impacto Potencial</t>
        </is>
      </c>
      <c r="Z2698" s="111" t="inlineStr">
        <is>
          <t>PC</t>
        </is>
      </c>
      <c r="AA2698" s="111" t="inlineStr">
        <is>
          <t>Nao</t>
        </is>
      </c>
      <c r="AB2698" s="111" t="inlineStr">
        <is>
          <t>NAO_COMPUTADO</t>
        </is>
      </c>
      <c r="AC2698" s="112" t="inlineStr">
        <is>
          <t>Estrutura Fase 1: sem impacto no VTA oficial</t>
        </is>
      </c>
    </row>
    <row r="2699" ht="25.5" customHeight="1" s="289">
      <c r="A2699" s="205" t="n"/>
      <c r="B2699" s="207" t="n"/>
      <c r="C2699" s="104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348" t="n"/>
      <c r="E2699" s="349">
        <f>IF(C2699="","",IFERROR(VLOOKUP(C2699,parametros!$A$11:$E$15,5,0),""))</f>
        <v/>
      </c>
      <c r="F2699" s="335">
        <f>IF(OR(D2699="",E2699=""),"",ROUND(D2699*E2699,2))</f>
        <v/>
      </c>
      <c r="G2699" s="106" t="n"/>
      <c r="H2699" s="350">
        <f>IF(G2699="Sim",IF(OR(F2699="",D2699="",L2699=""),"",IF(L2699="Sim",ROUND(F2699-D2699,2),0)),0)</f>
        <v/>
      </c>
      <c r="I2699" s="350">
        <f>IF(G2699="Sim",0,IF(OR(F2699="",L2699=""),"",F2699))</f>
        <v/>
      </c>
      <c r="J2699" s="350">
        <f>IF(G2699="Sim",0,IF(OR(F2699="",D2699="",L2699=""),"",IF(L2699="Sim",ROUND(F2699-D2699,2),0)))</f>
        <v/>
      </c>
      <c r="K2699" s="97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inlineStr">
        <is>
          <t>Nao</t>
        </is>
      </c>
      <c r="W2699" s="110" t="inlineStr">
        <is>
          <t>PC em analise</t>
        </is>
      </c>
      <c r="X2699" s="110" t="inlineStr">
        <is>
          <t>Pedido de Compra</t>
        </is>
      </c>
      <c r="Y2699" s="111" t="inlineStr">
        <is>
          <t>Impacto Potencial</t>
        </is>
      </c>
      <c r="Z2699" s="111" t="inlineStr">
        <is>
          <t>PC</t>
        </is>
      </c>
      <c r="AA2699" s="111" t="inlineStr">
        <is>
          <t>Nao</t>
        </is>
      </c>
      <c r="AB2699" s="111" t="inlineStr">
        <is>
          <t>NAO_COMPUTADO</t>
        </is>
      </c>
      <c r="AC2699" s="112" t="inlineStr">
        <is>
          <t>Estrutura Fase 1: sem impacto no VTA oficial</t>
        </is>
      </c>
    </row>
    <row r="2700" ht="25.5" customHeight="1" s="289">
      <c r="A2700" s="205" t="n"/>
      <c r="B2700" s="207" t="n"/>
      <c r="C2700" s="104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348" t="n"/>
      <c r="E2700" s="349">
        <f>IF(C2700="","",IFERROR(VLOOKUP(C2700,parametros!$A$11:$E$15,5,0),""))</f>
        <v/>
      </c>
      <c r="F2700" s="335">
        <f>IF(OR(D2700="",E2700=""),"",ROUND(D2700*E2700,2))</f>
        <v/>
      </c>
      <c r="G2700" s="106" t="n"/>
      <c r="H2700" s="350">
        <f>IF(G2700="Sim",IF(OR(F2700="",D2700="",L2700=""),"",IF(L2700="Sim",ROUND(F2700-D2700,2),0)),0)</f>
        <v/>
      </c>
      <c r="I2700" s="350">
        <f>IF(G2700="Sim",0,IF(OR(F2700="",L2700=""),"",F2700))</f>
        <v/>
      </c>
      <c r="J2700" s="350">
        <f>IF(G2700="Sim",0,IF(OR(F2700="",D2700="",L2700=""),"",IF(L2700="Sim",ROUND(F2700-D2700,2),0)))</f>
        <v/>
      </c>
      <c r="K2700" s="97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inlineStr">
        <is>
          <t>Nao</t>
        </is>
      </c>
      <c r="W2700" s="110" t="inlineStr">
        <is>
          <t>PC em analise</t>
        </is>
      </c>
      <c r="X2700" s="110" t="inlineStr">
        <is>
          <t>Pedido de Compra</t>
        </is>
      </c>
      <c r="Y2700" s="111" t="inlineStr">
        <is>
          <t>Impacto Potencial</t>
        </is>
      </c>
      <c r="Z2700" s="111" t="inlineStr">
        <is>
          <t>PC</t>
        </is>
      </c>
      <c r="AA2700" s="111" t="inlineStr">
        <is>
          <t>Nao</t>
        </is>
      </c>
      <c r="AB2700" s="111" t="inlineStr">
        <is>
          <t>NAO_COMPUTADO</t>
        </is>
      </c>
      <c r="AC2700" s="112" t="inlineStr">
        <is>
          <t>Estrutura Fase 1: sem impacto no VTA oficial</t>
        </is>
      </c>
    </row>
    <row r="2701" ht="25.5" customHeight="1" s="289">
      <c r="A2701" s="205" t="n"/>
      <c r="B2701" s="207" t="n"/>
      <c r="C2701" s="104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348" t="n"/>
      <c r="E2701" s="349">
        <f>IF(C2701="","",IFERROR(VLOOKUP(C2701,parametros!$A$11:$E$15,5,0),""))</f>
        <v/>
      </c>
      <c r="F2701" s="335">
        <f>IF(OR(D2701="",E2701=""),"",ROUND(D2701*E2701,2))</f>
        <v/>
      </c>
      <c r="G2701" s="106" t="n"/>
      <c r="H2701" s="350">
        <f>IF(G2701="Sim",IF(OR(F2701="",D2701="",L2701=""),"",IF(L2701="Sim",ROUND(F2701-D2701,2),0)),0)</f>
        <v/>
      </c>
      <c r="I2701" s="350">
        <f>IF(G2701="Sim",0,IF(OR(F2701="",L2701=""),"",F2701))</f>
        <v/>
      </c>
      <c r="J2701" s="350">
        <f>IF(G2701="Sim",0,IF(OR(F2701="",D2701="",L2701=""),"",IF(L2701="Sim",ROUND(F2701-D2701,2),0)))</f>
        <v/>
      </c>
      <c r="K2701" s="97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inlineStr">
        <is>
          <t>Nao</t>
        </is>
      </c>
      <c r="W2701" s="110" t="inlineStr">
        <is>
          <t>PC em analise</t>
        </is>
      </c>
      <c r="X2701" s="110" t="inlineStr">
        <is>
          <t>Pedido de Compra</t>
        </is>
      </c>
      <c r="Y2701" s="111" t="inlineStr">
        <is>
          <t>Impacto Potencial</t>
        </is>
      </c>
      <c r="Z2701" s="111" t="inlineStr">
        <is>
          <t>PC</t>
        </is>
      </c>
      <c r="AA2701" s="111" t="inlineStr">
        <is>
          <t>Nao</t>
        </is>
      </c>
      <c r="AB2701" s="111" t="inlineStr">
        <is>
          <t>NAO_COMPUTADO</t>
        </is>
      </c>
      <c r="AC2701" s="112" t="inlineStr">
        <is>
          <t>Estrutura Fase 1: sem impacto no VTA oficial</t>
        </is>
      </c>
    </row>
    <row r="2702" ht="25.5" customHeight="1" s="289">
      <c r="A2702" s="205" t="n"/>
      <c r="B2702" s="207" t="n"/>
      <c r="C2702" s="104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348" t="n"/>
      <c r="E2702" s="349">
        <f>IF(C2702="","",IFERROR(VLOOKUP(C2702,parametros!$A$11:$E$15,5,0),""))</f>
        <v/>
      </c>
      <c r="F2702" s="335">
        <f>IF(OR(D2702="",E2702=""),"",ROUND(D2702*E2702,2))</f>
        <v/>
      </c>
      <c r="G2702" s="106" t="n"/>
      <c r="H2702" s="350">
        <f>IF(G2702="Sim",IF(OR(F2702="",D2702="",L2702=""),"",IF(L2702="Sim",ROUND(F2702-D2702,2),0)),0)</f>
        <v/>
      </c>
      <c r="I2702" s="350">
        <f>IF(G2702="Sim",0,IF(OR(F2702="",L2702=""),"",F2702))</f>
        <v/>
      </c>
      <c r="J2702" s="350">
        <f>IF(G2702="Sim",0,IF(OR(F2702="",D2702="",L2702=""),"",IF(L2702="Sim",ROUND(F2702-D2702,2),0)))</f>
        <v/>
      </c>
      <c r="K2702" s="97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inlineStr">
        <is>
          <t>Nao</t>
        </is>
      </c>
      <c r="W2702" s="110" t="inlineStr">
        <is>
          <t>PC em analise</t>
        </is>
      </c>
      <c r="X2702" s="110" t="inlineStr">
        <is>
          <t>Pedido de Compra</t>
        </is>
      </c>
      <c r="Y2702" s="111" t="inlineStr">
        <is>
          <t>Impacto Potencial</t>
        </is>
      </c>
      <c r="Z2702" s="111" t="inlineStr">
        <is>
          <t>PC</t>
        </is>
      </c>
      <c r="AA2702" s="111" t="inlineStr">
        <is>
          <t>Nao</t>
        </is>
      </c>
      <c r="AB2702" s="111" t="inlineStr">
        <is>
          <t>NAO_COMPUTADO</t>
        </is>
      </c>
      <c r="AC2702" s="112" t="inlineStr">
        <is>
          <t>Estrutura Fase 1: sem impacto no VTA oficial</t>
        </is>
      </c>
    </row>
    <row r="2703" ht="25.5" customHeight="1" s="289">
      <c r="A2703" s="205" t="n"/>
      <c r="B2703" s="207" t="n"/>
      <c r="C2703" s="104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348" t="n"/>
      <c r="E2703" s="349">
        <f>IF(C2703="","",IFERROR(VLOOKUP(C2703,parametros!$A$11:$E$15,5,0),""))</f>
        <v/>
      </c>
      <c r="F2703" s="335">
        <f>IF(OR(D2703="",E2703=""),"",ROUND(D2703*E2703,2))</f>
        <v/>
      </c>
      <c r="G2703" s="106" t="n"/>
      <c r="H2703" s="350">
        <f>IF(G2703="Sim",IF(OR(F2703="",D2703="",L2703=""),"",IF(L2703="Sim",ROUND(F2703-D2703,2),0)),0)</f>
        <v/>
      </c>
      <c r="I2703" s="350">
        <f>IF(G2703="Sim",0,IF(OR(F2703="",L2703=""),"",F2703))</f>
        <v/>
      </c>
      <c r="J2703" s="350">
        <f>IF(G2703="Sim",0,IF(OR(F2703="",D2703="",L2703=""),"",IF(L2703="Sim",ROUND(F2703-D2703,2),0)))</f>
        <v/>
      </c>
      <c r="K2703" s="97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inlineStr">
        <is>
          <t>Nao</t>
        </is>
      </c>
      <c r="W2703" s="110" t="inlineStr">
        <is>
          <t>PC em analise</t>
        </is>
      </c>
      <c r="X2703" s="110" t="inlineStr">
        <is>
          <t>Pedido de Compra</t>
        </is>
      </c>
      <c r="Y2703" s="111" t="inlineStr">
        <is>
          <t>Impacto Potencial</t>
        </is>
      </c>
      <c r="Z2703" s="111" t="inlineStr">
        <is>
          <t>PC</t>
        </is>
      </c>
      <c r="AA2703" s="111" t="inlineStr">
        <is>
          <t>Nao</t>
        </is>
      </c>
      <c r="AB2703" s="111" t="inlineStr">
        <is>
          <t>NAO_COMPUTADO</t>
        </is>
      </c>
      <c r="AC2703" s="112" t="inlineStr">
        <is>
          <t>Estrutura Fase 1: sem impacto no VTA oficial</t>
        </is>
      </c>
    </row>
    <row r="2704" ht="25.5" customHeight="1" s="289">
      <c r="A2704" s="205" t="n"/>
      <c r="B2704" s="207" t="n"/>
      <c r="C2704" s="104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348" t="n"/>
      <c r="E2704" s="349">
        <f>IF(C2704="","",IFERROR(VLOOKUP(C2704,parametros!$A$11:$E$15,5,0),""))</f>
        <v/>
      </c>
      <c r="F2704" s="335">
        <f>IF(OR(D2704="",E2704=""),"",ROUND(D2704*E2704,2))</f>
        <v/>
      </c>
      <c r="G2704" s="106" t="n"/>
      <c r="H2704" s="350">
        <f>IF(G2704="Sim",IF(OR(F2704="",D2704="",L2704=""),"",IF(L2704="Sim",ROUND(F2704-D2704,2),0)),0)</f>
        <v/>
      </c>
      <c r="I2704" s="350">
        <f>IF(G2704="Sim",0,IF(OR(F2704="",L2704=""),"",F2704))</f>
        <v/>
      </c>
      <c r="J2704" s="350">
        <f>IF(G2704="Sim",0,IF(OR(F2704="",D2704="",L2704=""),"",IF(L2704="Sim",ROUND(F2704-D2704,2),0)))</f>
        <v/>
      </c>
      <c r="K2704" s="97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inlineStr">
        <is>
          <t>Nao</t>
        </is>
      </c>
      <c r="W2704" s="110" t="inlineStr">
        <is>
          <t>PC em analise</t>
        </is>
      </c>
      <c r="X2704" s="110" t="inlineStr">
        <is>
          <t>Pedido de Compra</t>
        </is>
      </c>
      <c r="Y2704" s="111" t="inlineStr">
        <is>
          <t>Impacto Potencial</t>
        </is>
      </c>
      <c r="Z2704" s="111" t="inlineStr">
        <is>
          <t>PC</t>
        </is>
      </c>
      <c r="AA2704" s="111" t="inlineStr">
        <is>
          <t>Nao</t>
        </is>
      </c>
      <c r="AB2704" s="111" t="inlineStr">
        <is>
          <t>NAO_COMPUTADO</t>
        </is>
      </c>
      <c r="AC2704" s="112" t="inlineStr">
        <is>
          <t>Estrutura Fase 1: sem impacto no VTA oficial</t>
        </is>
      </c>
    </row>
    <row r="2705" ht="25.5" customHeight="1" s="289">
      <c r="A2705" s="205" t="n"/>
      <c r="B2705" s="207" t="n"/>
      <c r="C2705" s="104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348" t="n"/>
      <c r="E2705" s="349">
        <f>IF(C2705="","",IFERROR(VLOOKUP(C2705,parametros!$A$11:$E$15,5,0),""))</f>
        <v/>
      </c>
      <c r="F2705" s="335">
        <f>IF(OR(D2705="",E2705=""),"",ROUND(D2705*E2705,2))</f>
        <v/>
      </c>
      <c r="G2705" s="106" t="n"/>
      <c r="H2705" s="350">
        <f>IF(G2705="Sim",IF(OR(F2705="",D2705="",L2705=""),"",IF(L2705="Sim",ROUND(F2705-D2705,2),0)),0)</f>
        <v/>
      </c>
      <c r="I2705" s="350">
        <f>IF(G2705="Sim",0,IF(OR(F2705="",L2705=""),"",F2705))</f>
        <v/>
      </c>
      <c r="J2705" s="350">
        <f>IF(G2705="Sim",0,IF(OR(F2705="",D2705="",L2705=""),"",IF(L2705="Sim",ROUND(F2705-D2705,2),0)))</f>
        <v/>
      </c>
      <c r="K2705" s="97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inlineStr">
        <is>
          <t>Nao</t>
        </is>
      </c>
      <c r="W2705" s="110" t="inlineStr">
        <is>
          <t>PC em analise</t>
        </is>
      </c>
      <c r="X2705" s="110" t="inlineStr">
        <is>
          <t>Pedido de Compra</t>
        </is>
      </c>
      <c r="Y2705" s="111" t="inlineStr">
        <is>
          <t>Impacto Potencial</t>
        </is>
      </c>
      <c r="Z2705" s="111" t="inlineStr">
        <is>
          <t>PC</t>
        </is>
      </c>
      <c r="AA2705" s="111" t="inlineStr">
        <is>
          <t>Nao</t>
        </is>
      </c>
      <c r="AB2705" s="111" t="inlineStr">
        <is>
          <t>NAO_COMPUTADO</t>
        </is>
      </c>
      <c r="AC2705" s="112" t="inlineStr">
        <is>
          <t>Estrutura Fase 1: sem impacto no VTA oficial</t>
        </is>
      </c>
    </row>
    <row r="2706" ht="25.5" customHeight="1" s="289">
      <c r="A2706" s="205" t="n"/>
      <c r="B2706" s="207" t="n"/>
      <c r="C2706" s="104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348" t="n"/>
      <c r="E2706" s="349">
        <f>IF(C2706="","",IFERROR(VLOOKUP(C2706,parametros!$A$11:$E$15,5,0),""))</f>
        <v/>
      </c>
      <c r="F2706" s="335">
        <f>IF(OR(D2706="",E2706=""),"",ROUND(D2706*E2706,2))</f>
        <v/>
      </c>
      <c r="G2706" s="106" t="n"/>
      <c r="H2706" s="350">
        <f>IF(G2706="Sim",IF(OR(F2706="",D2706="",L2706=""),"",IF(L2706="Sim",ROUND(F2706-D2706,2),0)),0)</f>
        <v/>
      </c>
      <c r="I2706" s="350">
        <f>IF(G2706="Sim",0,IF(OR(F2706="",L2706=""),"",F2706))</f>
        <v/>
      </c>
      <c r="J2706" s="350">
        <f>IF(G2706="Sim",0,IF(OR(F2706="",D2706="",L2706=""),"",IF(L2706="Sim",ROUND(F2706-D2706,2),0)))</f>
        <v/>
      </c>
      <c r="K2706" s="97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inlineStr">
        <is>
          <t>Nao</t>
        </is>
      </c>
      <c r="W2706" s="110" t="inlineStr">
        <is>
          <t>PC em analise</t>
        </is>
      </c>
      <c r="X2706" s="110" t="inlineStr">
        <is>
          <t>Pedido de Compra</t>
        </is>
      </c>
      <c r="Y2706" s="111" t="inlineStr">
        <is>
          <t>Impacto Potencial</t>
        </is>
      </c>
      <c r="Z2706" s="111" t="inlineStr">
        <is>
          <t>PC</t>
        </is>
      </c>
      <c r="AA2706" s="111" t="inlineStr">
        <is>
          <t>Nao</t>
        </is>
      </c>
      <c r="AB2706" s="111" t="inlineStr">
        <is>
          <t>NAO_COMPUTADO</t>
        </is>
      </c>
      <c r="AC2706" s="112" t="inlineStr">
        <is>
          <t>Estrutura Fase 1: sem impacto no VTA oficial</t>
        </is>
      </c>
    </row>
    <row r="2707" ht="25.5" customHeight="1" s="289">
      <c r="A2707" s="205" t="n"/>
      <c r="B2707" s="207" t="n"/>
      <c r="C2707" s="104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348" t="n"/>
      <c r="E2707" s="349">
        <f>IF(C2707="","",IFERROR(VLOOKUP(C2707,parametros!$A$11:$E$15,5,0),""))</f>
        <v/>
      </c>
      <c r="F2707" s="335">
        <f>IF(OR(D2707="",E2707=""),"",ROUND(D2707*E2707,2))</f>
        <v/>
      </c>
      <c r="G2707" s="106" t="n"/>
      <c r="H2707" s="350">
        <f>IF(G2707="Sim",IF(OR(F2707="",D2707="",L2707=""),"",IF(L2707="Sim",ROUND(F2707-D2707,2),0)),0)</f>
        <v/>
      </c>
      <c r="I2707" s="350">
        <f>IF(G2707="Sim",0,IF(OR(F2707="",L2707=""),"",F2707))</f>
        <v/>
      </c>
      <c r="J2707" s="350">
        <f>IF(G2707="Sim",0,IF(OR(F2707="",D2707="",L2707=""),"",IF(L2707="Sim",ROUND(F2707-D2707,2),0)))</f>
        <v/>
      </c>
      <c r="K2707" s="97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inlineStr">
        <is>
          <t>Nao</t>
        </is>
      </c>
      <c r="W2707" s="110" t="inlineStr">
        <is>
          <t>PC em analise</t>
        </is>
      </c>
      <c r="X2707" s="110" t="inlineStr">
        <is>
          <t>Pedido de Compra</t>
        </is>
      </c>
      <c r="Y2707" s="111" t="inlineStr">
        <is>
          <t>Impacto Potencial</t>
        </is>
      </c>
      <c r="Z2707" s="111" t="inlineStr">
        <is>
          <t>PC</t>
        </is>
      </c>
      <c r="AA2707" s="111" t="inlineStr">
        <is>
          <t>Nao</t>
        </is>
      </c>
      <c r="AB2707" s="111" t="inlineStr">
        <is>
          <t>NAO_COMPUTADO</t>
        </is>
      </c>
      <c r="AC2707" s="112" t="inlineStr">
        <is>
          <t>Estrutura Fase 1: sem impacto no VTA oficial</t>
        </is>
      </c>
    </row>
    <row r="2708" ht="25.5" customHeight="1" s="289">
      <c r="A2708" s="205" t="n"/>
      <c r="B2708" s="207" t="n"/>
      <c r="C2708" s="104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348" t="n"/>
      <c r="E2708" s="349">
        <f>IF(C2708="","",IFERROR(VLOOKUP(C2708,parametros!$A$11:$E$15,5,0),""))</f>
        <v/>
      </c>
      <c r="F2708" s="335">
        <f>IF(OR(D2708="",E2708=""),"",ROUND(D2708*E2708,2))</f>
        <v/>
      </c>
      <c r="G2708" s="106" t="n"/>
      <c r="H2708" s="350">
        <f>IF(G2708="Sim",IF(OR(F2708="",D2708="",L2708=""),"",IF(L2708="Sim",ROUND(F2708-D2708,2),0)),0)</f>
        <v/>
      </c>
      <c r="I2708" s="350">
        <f>IF(G2708="Sim",0,IF(OR(F2708="",L2708=""),"",F2708))</f>
        <v/>
      </c>
      <c r="J2708" s="350">
        <f>IF(G2708="Sim",0,IF(OR(F2708="",D2708="",L2708=""),"",IF(L2708="Sim",ROUND(F2708-D2708,2),0)))</f>
        <v/>
      </c>
      <c r="K2708" s="97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inlineStr">
        <is>
          <t>Nao</t>
        </is>
      </c>
      <c r="W2708" s="110" t="inlineStr">
        <is>
          <t>PC em analise</t>
        </is>
      </c>
      <c r="X2708" s="110" t="inlineStr">
        <is>
          <t>Pedido de Compra</t>
        </is>
      </c>
      <c r="Y2708" s="111" t="inlineStr">
        <is>
          <t>Impacto Potencial</t>
        </is>
      </c>
      <c r="Z2708" s="111" t="inlineStr">
        <is>
          <t>PC</t>
        </is>
      </c>
      <c r="AA2708" s="111" t="inlineStr">
        <is>
          <t>Nao</t>
        </is>
      </c>
      <c r="AB2708" s="111" t="inlineStr">
        <is>
          <t>NAO_COMPUTADO</t>
        </is>
      </c>
      <c r="AC2708" s="112" t="inlineStr">
        <is>
          <t>Estrutura Fase 1: sem impacto no VTA oficial</t>
        </is>
      </c>
    </row>
    <row r="2709" ht="25.5" customHeight="1" s="289">
      <c r="A2709" s="205" t="n"/>
      <c r="B2709" s="207" t="n"/>
      <c r="C2709" s="104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348" t="n"/>
      <c r="E2709" s="349">
        <f>IF(C2709="","",IFERROR(VLOOKUP(C2709,parametros!$A$11:$E$15,5,0),""))</f>
        <v/>
      </c>
      <c r="F2709" s="335">
        <f>IF(OR(D2709="",E2709=""),"",ROUND(D2709*E2709,2))</f>
        <v/>
      </c>
      <c r="G2709" s="106" t="n"/>
      <c r="H2709" s="350">
        <f>IF(G2709="Sim",IF(OR(F2709="",D2709="",L2709=""),"",IF(L2709="Sim",ROUND(F2709-D2709,2),0)),0)</f>
        <v/>
      </c>
      <c r="I2709" s="350">
        <f>IF(G2709="Sim",0,IF(OR(F2709="",L2709=""),"",F2709))</f>
        <v/>
      </c>
      <c r="J2709" s="350">
        <f>IF(G2709="Sim",0,IF(OR(F2709="",D2709="",L2709=""),"",IF(L2709="Sim",ROUND(F2709-D2709,2),0)))</f>
        <v/>
      </c>
      <c r="K2709" s="97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inlineStr">
        <is>
          <t>Nao</t>
        </is>
      </c>
      <c r="W2709" s="110" t="inlineStr">
        <is>
          <t>PC em analise</t>
        </is>
      </c>
      <c r="X2709" s="110" t="inlineStr">
        <is>
          <t>Pedido de Compra</t>
        </is>
      </c>
      <c r="Y2709" s="111" t="inlineStr">
        <is>
          <t>Impacto Potencial</t>
        </is>
      </c>
      <c r="Z2709" s="111" t="inlineStr">
        <is>
          <t>PC</t>
        </is>
      </c>
      <c r="AA2709" s="111" t="inlineStr">
        <is>
          <t>Nao</t>
        </is>
      </c>
      <c r="AB2709" s="111" t="inlineStr">
        <is>
          <t>NAO_COMPUTADO</t>
        </is>
      </c>
      <c r="AC2709" s="112" t="inlineStr">
        <is>
          <t>Estrutura Fase 1: sem impacto no VTA oficial</t>
        </is>
      </c>
    </row>
    <row r="2710" ht="25.5" customHeight="1" s="289">
      <c r="A2710" s="205" t="n"/>
      <c r="B2710" s="207" t="n"/>
      <c r="C2710" s="104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348" t="n"/>
      <c r="E2710" s="349">
        <f>IF(C2710="","",IFERROR(VLOOKUP(C2710,parametros!$A$11:$E$15,5,0),""))</f>
        <v/>
      </c>
      <c r="F2710" s="335">
        <f>IF(OR(D2710="",E2710=""),"",ROUND(D2710*E2710,2))</f>
        <v/>
      </c>
      <c r="G2710" s="106" t="n"/>
      <c r="H2710" s="350">
        <f>IF(G2710="Sim",IF(OR(F2710="",D2710="",L2710=""),"",IF(L2710="Sim",ROUND(F2710-D2710,2),0)),0)</f>
        <v/>
      </c>
      <c r="I2710" s="350">
        <f>IF(G2710="Sim",0,IF(OR(F2710="",L2710=""),"",F2710))</f>
        <v/>
      </c>
      <c r="J2710" s="350">
        <f>IF(G2710="Sim",0,IF(OR(F2710="",D2710="",L2710=""),"",IF(L2710="Sim",ROUND(F2710-D2710,2),0)))</f>
        <v/>
      </c>
      <c r="K2710" s="97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inlineStr">
        <is>
          <t>Nao</t>
        </is>
      </c>
      <c r="W2710" s="110" t="inlineStr">
        <is>
          <t>PC em analise</t>
        </is>
      </c>
      <c r="X2710" s="110" t="inlineStr">
        <is>
          <t>Pedido de Compra</t>
        </is>
      </c>
      <c r="Y2710" s="111" t="inlineStr">
        <is>
          <t>Impacto Potencial</t>
        </is>
      </c>
      <c r="Z2710" s="111" t="inlineStr">
        <is>
          <t>PC</t>
        </is>
      </c>
      <c r="AA2710" s="111" t="inlineStr">
        <is>
          <t>Nao</t>
        </is>
      </c>
      <c r="AB2710" s="111" t="inlineStr">
        <is>
          <t>NAO_COMPUTADO</t>
        </is>
      </c>
      <c r="AC2710" s="112" t="inlineStr">
        <is>
          <t>Estrutura Fase 1: sem impacto no VTA oficial</t>
        </is>
      </c>
    </row>
    <row r="2711" ht="25.5" customHeight="1" s="289">
      <c r="A2711" s="205" t="n"/>
      <c r="B2711" s="207" t="n"/>
      <c r="C2711" s="104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348" t="n"/>
      <c r="E2711" s="349">
        <f>IF(C2711="","",IFERROR(VLOOKUP(C2711,parametros!$A$11:$E$15,5,0),""))</f>
        <v/>
      </c>
      <c r="F2711" s="335">
        <f>IF(OR(D2711="",E2711=""),"",ROUND(D2711*E2711,2))</f>
        <v/>
      </c>
      <c r="G2711" s="106" t="n"/>
      <c r="H2711" s="350">
        <f>IF(G2711="Sim",IF(OR(F2711="",D2711="",L2711=""),"",IF(L2711="Sim",ROUND(F2711-D2711,2),0)),0)</f>
        <v/>
      </c>
      <c r="I2711" s="350">
        <f>IF(G2711="Sim",0,IF(OR(F2711="",L2711=""),"",F2711))</f>
        <v/>
      </c>
      <c r="J2711" s="350">
        <f>IF(G2711="Sim",0,IF(OR(F2711="",D2711="",L2711=""),"",IF(L2711="Sim",ROUND(F2711-D2711,2),0)))</f>
        <v/>
      </c>
      <c r="K2711" s="97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inlineStr">
        <is>
          <t>Nao</t>
        </is>
      </c>
      <c r="W2711" s="110" t="inlineStr">
        <is>
          <t>PC em analise</t>
        </is>
      </c>
      <c r="X2711" s="110" t="inlineStr">
        <is>
          <t>Pedido de Compra</t>
        </is>
      </c>
      <c r="Y2711" s="111" t="inlineStr">
        <is>
          <t>Impacto Potencial</t>
        </is>
      </c>
      <c r="Z2711" s="111" t="inlineStr">
        <is>
          <t>PC</t>
        </is>
      </c>
      <c r="AA2711" s="111" t="inlineStr">
        <is>
          <t>Nao</t>
        </is>
      </c>
      <c r="AB2711" s="111" t="inlineStr">
        <is>
          <t>NAO_COMPUTADO</t>
        </is>
      </c>
      <c r="AC2711" s="112" t="inlineStr">
        <is>
          <t>Estrutura Fase 1: sem impacto no VTA oficial</t>
        </is>
      </c>
    </row>
    <row r="2712" ht="25.5" customHeight="1" s="289">
      <c r="A2712" s="205" t="n"/>
      <c r="B2712" s="207" t="n"/>
      <c r="C2712" s="104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348" t="n"/>
      <c r="E2712" s="349">
        <f>IF(C2712="","",IFERROR(VLOOKUP(C2712,parametros!$A$11:$E$15,5,0),""))</f>
        <v/>
      </c>
      <c r="F2712" s="335">
        <f>IF(OR(D2712="",E2712=""),"",ROUND(D2712*E2712,2))</f>
        <v/>
      </c>
      <c r="G2712" s="106" t="n"/>
      <c r="H2712" s="350">
        <f>IF(G2712="Sim",IF(OR(F2712="",D2712="",L2712=""),"",IF(L2712="Sim",ROUND(F2712-D2712,2),0)),0)</f>
        <v/>
      </c>
      <c r="I2712" s="350">
        <f>IF(G2712="Sim",0,IF(OR(F2712="",L2712=""),"",F2712))</f>
        <v/>
      </c>
      <c r="J2712" s="350">
        <f>IF(G2712="Sim",0,IF(OR(F2712="",D2712="",L2712=""),"",IF(L2712="Sim",ROUND(F2712-D2712,2),0)))</f>
        <v/>
      </c>
      <c r="K2712" s="97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inlineStr">
        <is>
          <t>Nao</t>
        </is>
      </c>
      <c r="W2712" s="110" t="inlineStr">
        <is>
          <t>PC em analise</t>
        </is>
      </c>
      <c r="X2712" s="110" t="inlineStr">
        <is>
          <t>Pedido de Compra</t>
        </is>
      </c>
      <c r="Y2712" s="111" t="inlineStr">
        <is>
          <t>Impacto Potencial</t>
        </is>
      </c>
      <c r="Z2712" s="111" t="inlineStr">
        <is>
          <t>PC</t>
        </is>
      </c>
      <c r="AA2712" s="111" t="inlineStr">
        <is>
          <t>Nao</t>
        </is>
      </c>
      <c r="AB2712" s="111" t="inlineStr">
        <is>
          <t>NAO_COMPUTADO</t>
        </is>
      </c>
      <c r="AC2712" s="112" t="inlineStr">
        <is>
          <t>Estrutura Fase 1: sem impacto no VTA oficial</t>
        </is>
      </c>
    </row>
    <row r="2713" ht="25.5" customHeight="1" s="289">
      <c r="A2713" s="205" t="n"/>
      <c r="B2713" s="207" t="n"/>
      <c r="C2713" s="104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348" t="n"/>
      <c r="E2713" s="349">
        <f>IF(C2713="","",IFERROR(VLOOKUP(C2713,parametros!$A$11:$E$15,5,0),""))</f>
        <v/>
      </c>
      <c r="F2713" s="335">
        <f>IF(OR(D2713="",E2713=""),"",ROUND(D2713*E2713,2))</f>
        <v/>
      </c>
      <c r="G2713" s="106" t="n"/>
      <c r="H2713" s="350">
        <f>IF(G2713="Sim",IF(OR(F2713="",D2713="",L2713=""),"",IF(L2713="Sim",ROUND(F2713-D2713,2),0)),0)</f>
        <v/>
      </c>
      <c r="I2713" s="350">
        <f>IF(G2713="Sim",0,IF(OR(F2713="",L2713=""),"",F2713))</f>
        <v/>
      </c>
      <c r="J2713" s="350">
        <f>IF(G2713="Sim",0,IF(OR(F2713="",D2713="",L2713=""),"",IF(L2713="Sim",ROUND(F2713-D2713,2),0)))</f>
        <v/>
      </c>
      <c r="K2713" s="97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inlineStr">
        <is>
          <t>Nao</t>
        </is>
      </c>
      <c r="W2713" s="110" t="inlineStr">
        <is>
          <t>PC em analise</t>
        </is>
      </c>
      <c r="X2713" s="110" t="inlineStr">
        <is>
          <t>Pedido de Compra</t>
        </is>
      </c>
      <c r="Y2713" s="111" t="inlineStr">
        <is>
          <t>Impacto Potencial</t>
        </is>
      </c>
      <c r="Z2713" s="111" t="inlineStr">
        <is>
          <t>PC</t>
        </is>
      </c>
      <c r="AA2713" s="111" t="inlineStr">
        <is>
          <t>Nao</t>
        </is>
      </c>
      <c r="AB2713" s="111" t="inlineStr">
        <is>
          <t>NAO_COMPUTADO</t>
        </is>
      </c>
      <c r="AC2713" s="112" t="inlineStr">
        <is>
          <t>Estrutura Fase 1: sem impacto no VTA oficial</t>
        </is>
      </c>
    </row>
    <row r="2714" ht="25.5" customHeight="1" s="289">
      <c r="A2714" s="205" t="n"/>
      <c r="B2714" s="207" t="n"/>
      <c r="C2714" s="104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348" t="n"/>
      <c r="E2714" s="349">
        <f>IF(C2714="","",IFERROR(VLOOKUP(C2714,parametros!$A$11:$E$15,5,0),""))</f>
        <v/>
      </c>
      <c r="F2714" s="335">
        <f>IF(OR(D2714="",E2714=""),"",ROUND(D2714*E2714,2))</f>
        <v/>
      </c>
      <c r="G2714" s="106" t="n"/>
      <c r="H2714" s="350">
        <f>IF(G2714="Sim",IF(OR(F2714="",D2714="",L2714=""),"",IF(L2714="Sim",ROUND(F2714-D2714,2),0)),0)</f>
        <v/>
      </c>
      <c r="I2714" s="350">
        <f>IF(G2714="Sim",0,IF(OR(F2714="",L2714=""),"",F2714))</f>
        <v/>
      </c>
      <c r="J2714" s="350">
        <f>IF(G2714="Sim",0,IF(OR(F2714="",D2714="",L2714=""),"",IF(L2714="Sim",ROUND(F2714-D2714,2),0)))</f>
        <v/>
      </c>
      <c r="K2714" s="97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inlineStr">
        <is>
          <t>Nao</t>
        </is>
      </c>
      <c r="W2714" s="110" t="inlineStr">
        <is>
          <t>PC em analise</t>
        </is>
      </c>
      <c r="X2714" s="110" t="inlineStr">
        <is>
          <t>Pedido de Compra</t>
        </is>
      </c>
      <c r="Y2714" s="111" t="inlineStr">
        <is>
          <t>Impacto Potencial</t>
        </is>
      </c>
      <c r="Z2714" s="111" t="inlineStr">
        <is>
          <t>PC</t>
        </is>
      </c>
      <c r="AA2714" s="111" t="inlineStr">
        <is>
          <t>Nao</t>
        </is>
      </c>
      <c r="AB2714" s="111" t="inlineStr">
        <is>
          <t>NAO_COMPUTADO</t>
        </is>
      </c>
      <c r="AC2714" s="112" t="inlineStr">
        <is>
          <t>Estrutura Fase 1: sem impacto no VTA oficial</t>
        </is>
      </c>
    </row>
    <row r="2715" ht="25.5" customHeight="1" s="289">
      <c r="A2715" s="205" t="n"/>
      <c r="B2715" s="207" t="n"/>
      <c r="C2715" s="104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348" t="n"/>
      <c r="E2715" s="349">
        <f>IF(C2715="","",IFERROR(VLOOKUP(C2715,parametros!$A$11:$E$15,5,0),""))</f>
        <v/>
      </c>
      <c r="F2715" s="335">
        <f>IF(OR(D2715="",E2715=""),"",ROUND(D2715*E2715,2))</f>
        <v/>
      </c>
      <c r="G2715" s="106" t="n"/>
      <c r="H2715" s="350">
        <f>IF(G2715="Sim",IF(OR(F2715="",D2715="",L2715=""),"",IF(L2715="Sim",ROUND(F2715-D2715,2),0)),0)</f>
        <v/>
      </c>
      <c r="I2715" s="350">
        <f>IF(G2715="Sim",0,IF(OR(F2715="",L2715=""),"",F2715))</f>
        <v/>
      </c>
      <c r="J2715" s="350">
        <f>IF(G2715="Sim",0,IF(OR(F2715="",D2715="",L2715=""),"",IF(L2715="Sim",ROUND(F2715-D2715,2),0)))</f>
        <v/>
      </c>
      <c r="K2715" s="97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inlineStr">
        <is>
          <t>Nao</t>
        </is>
      </c>
      <c r="W2715" s="110" t="inlineStr">
        <is>
          <t>PC em analise</t>
        </is>
      </c>
      <c r="X2715" s="110" t="inlineStr">
        <is>
          <t>Pedido de Compra</t>
        </is>
      </c>
      <c r="Y2715" s="111" t="inlineStr">
        <is>
          <t>Impacto Potencial</t>
        </is>
      </c>
      <c r="Z2715" s="111" t="inlineStr">
        <is>
          <t>PC</t>
        </is>
      </c>
      <c r="AA2715" s="111" t="inlineStr">
        <is>
          <t>Nao</t>
        </is>
      </c>
      <c r="AB2715" s="111" t="inlineStr">
        <is>
          <t>NAO_COMPUTADO</t>
        </is>
      </c>
      <c r="AC2715" s="112" t="inlineStr">
        <is>
          <t>Estrutura Fase 1: sem impacto no VTA oficial</t>
        </is>
      </c>
    </row>
    <row r="2716" ht="25.5" customHeight="1" s="289">
      <c r="A2716" s="205" t="n"/>
      <c r="B2716" s="207" t="n"/>
      <c r="C2716" s="104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348" t="n"/>
      <c r="E2716" s="349">
        <f>IF(C2716="","",IFERROR(VLOOKUP(C2716,parametros!$A$11:$E$15,5,0),""))</f>
        <v/>
      </c>
      <c r="F2716" s="335">
        <f>IF(OR(D2716="",E2716=""),"",ROUND(D2716*E2716,2))</f>
        <v/>
      </c>
      <c r="G2716" s="106" t="n"/>
      <c r="H2716" s="350">
        <f>IF(G2716="Sim",IF(OR(F2716="",D2716="",L2716=""),"",IF(L2716="Sim",ROUND(F2716-D2716,2),0)),0)</f>
        <v/>
      </c>
      <c r="I2716" s="350">
        <f>IF(G2716="Sim",0,IF(OR(F2716="",L2716=""),"",F2716))</f>
        <v/>
      </c>
      <c r="J2716" s="350">
        <f>IF(G2716="Sim",0,IF(OR(F2716="",D2716="",L2716=""),"",IF(L2716="Sim",ROUND(F2716-D2716,2),0)))</f>
        <v/>
      </c>
      <c r="K2716" s="97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inlineStr">
        <is>
          <t>Nao</t>
        </is>
      </c>
      <c r="W2716" s="110" t="inlineStr">
        <is>
          <t>PC em analise</t>
        </is>
      </c>
      <c r="X2716" s="110" t="inlineStr">
        <is>
          <t>Pedido de Compra</t>
        </is>
      </c>
      <c r="Y2716" s="111" t="inlineStr">
        <is>
          <t>Impacto Potencial</t>
        </is>
      </c>
      <c r="Z2716" s="111" t="inlineStr">
        <is>
          <t>PC</t>
        </is>
      </c>
      <c r="AA2716" s="111" t="inlineStr">
        <is>
          <t>Nao</t>
        </is>
      </c>
      <c r="AB2716" s="111" t="inlineStr">
        <is>
          <t>NAO_COMPUTADO</t>
        </is>
      </c>
      <c r="AC2716" s="112" t="inlineStr">
        <is>
          <t>Estrutura Fase 1: sem impacto no VTA oficial</t>
        </is>
      </c>
    </row>
    <row r="2717" ht="25.5" customHeight="1" s="289">
      <c r="A2717" s="205" t="n"/>
      <c r="B2717" s="207" t="n"/>
      <c r="C2717" s="104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348" t="n"/>
      <c r="E2717" s="349">
        <f>IF(C2717="","",IFERROR(VLOOKUP(C2717,parametros!$A$11:$E$15,5,0),""))</f>
        <v/>
      </c>
      <c r="F2717" s="335">
        <f>IF(OR(D2717="",E2717=""),"",ROUND(D2717*E2717,2))</f>
        <v/>
      </c>
      <c r="G2717" s="106" t="n"/>
      <c r="H2717" s="350">
        <f>IF(G2717="Sim",IF(OR(F2717="",D2717="",L2717=""),"",IF(L2717="Sim",ROUND(F2717-D2717,2),0)),0)</f>
        <v/>
      </c>
      <c r="I2717" s="350">
        <f>IF(G2717="Sim",0,IF(OR(F2717="",L2717=""),"",F2717))</f>
        <v/>
      </c>
      <c r="J2717" s="350">
        <f>IF(G2717="Sim",0,IF(OR(F2717="",D2717="",L2717=""),"",IF(L2717="Sim",ROUND(F2717-D2717,2),0)))</f>
        <v/>
      </c>
      <c r="K2717" s="97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inlineStr">
        <is>
          <t>Nao</t>
        </is>
      </c>
      <c r="W2717" s="110" t="inlineStr">
        <is>
          <t>PC em analise</t>
        </is>
      </c>
      <c r="X2717" s="110" t="inlineStr">
        <is>
          <t>Pedido de Compra</t>
        </is>
      </c>
      <c r="Y2717" s="111" t="inlineStr">
        <is>
          <t>Impacto Potencial</t>
        </is>
      </c>
      <c r="Z2717" s="111" t="inlineStr">
        <is>
          <t>PC</t>
        </is>
      </c>
      <c r="AA2717" s="111" t="inlineStr">
        <is>
          <t>Nao</t>
        </is>
      </c>
      <c r="AB2717" s="111" t="inlineStr">
        <is>
          <t>NAO_COMPUTADO</t>
        </is>
      </c>
      <c r="AC2717" s="112" t="inlineStr">
        <is>
          <t>Estrutura Fase 1: sem impacto no VTA oficial</t>
        </is>
      </c>
    </row>
    <row r="2718" ht="25.5" customHeight="1" s="289">
      <c r="A2718" s="205" t="n"/>
      <c r="B2718" s="207" t="n"/>
      <c r="C2718" s="104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348" t="n"/>
      <c r="E2718" s="349">
        <f>IF(C2718="","",IFERROR(VLOOKUP(C2718,parametros!$A$11:$E$15,5,0),""))</f>
        <v/>
      </c>
      <c r="F2718" s="335">
        <f>IF(OR(D2718="",E2718=""),"",ROUND(D2718*E2718,2))</f>
        <v/>
      </c>
      <c r="G2718" s="106" t="n"/>
      <c r="H2718" s="350">
        <f>IF(G2718="Sim",IF(OR(F2718="",D2718="",L2718=""),"",IF(L2718="Sim",ROUND(F2718-D2718,2),0)),0)</f>
        <v/>
      </c>
      <c r="I2718" s="350">
        <f>IF(G2718="Sim",0,IF(OR(F2718="",L2718=""),"",F2718))</f>
        <v/>
      </c>
      <c r="J2718" s="350">
        <f>IF(G2718="Sim",0,IF(OR(F2718="",D2718="",L2718=""),"",IF(L2718="Sim",ROUND(F2718-D2718,2),0)))</f>
        <v/>
      </c>
      <c r="K2718" s="97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inlineStr">
        <is>
          <t>Nao</t>
        </is>
      </c>
      <c r="W2718" s="110" t="inlineStr">
        <is>
          <t>PC em analise</t>
        </is>
      </c>
      <c r="X2718" s="110" t="inlineStr">
        <is>
          <t>Pedido de Compra</t>
        </is>
      </c>
      <c r="Y2718" s="111" t="inlineStr">
        <is>
          <t>Impacto Potencial</t>
        </is>
      </c>
      <c r="Z2718" s="111" t="inlineStr">
        <is>
          <t>PC</t>
        </is>
      </c>
      <c r="AA2718" s="111" t="inlineStr">
        <is>
          <t>Nao</t>
        </is>
      </c>
      <c r="AB2718" s="111" t="inlineStr">
        <is>
          <t>NAO_COMPUTADO</t>
        </is>
      </c>
      <c r="AC2718" s="112" t="inlineStr">
        <is>
          <t>Estrutura Fase 1: sem impacto no VTA oficial</t>
        </is>
      </c>
    </row>
    <row r="2719" ht="25.5" customHeight="1" s="289">
      <c r="A2719" s="205" t="n"/>
      <c r="B2719" s="207" t="n"/>
      <c r="C2719" s="104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348" t="n"/>
      <c r="E2719" s="349">
        <f>IF(C2719="","",IFERROR(VLOOKUP(C2719,parametros!$A$11:$E$15,5,0),""))</f>
        <v/>
      </c>
      <c r="F2719" s="335">
        <f>IF(OR(D2719="",E2719=""),"",ROUND(D2719*E2719,2))</f>
        <v/>
      </c>
      <c r="G2719" s="106" t="n"/>
      <c r="H2719" s="350">
        <f>IF(G2719="Sim",IF(OR(F2719="",D2719="",L2719=""),"",IF(L2719="Sim",ROUND(F2719-D2719,2),0)),0)</f>
        <v/>
      </c>
      <c r="I2719" s="350">
        <f>IF(G2719="Sim",0,IF(OR(F2719="",L2719=""),"",F2719))</f>
        <v/>
      </c>
      <c r="J2719" s="350">
        <f>IF(G2719="Sim",0,IF(OR(F2719="",D2719="",L2719=""),"",IF(L2719="Sim",ROUND(F2719-D2719,2),0)))</f>
        <v/>
      </c>
      <c r="K2719" s="97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inlineStr">
        <is>
          <t>Nao</t>
        </is>
      </c>
      <c r="W2719" s="110" t="inlineStr">
        <is>
          <t>PC em analise</t>
        </is>
      </c>
      <c r="X2719" s="110" t="inlineStr">
        <is>
          <t>Pedido de Compra</t>
        </is>
      </c>
      <c r="Y2719" s="111" t="inlineStr">
        <is>
          <t>Impacto Potencial</t>
        </is>
      </c>
      <c r="Z2719" s="111" t="inlineStr">
        <is>
          <t>PC</t>
        </is>
      </c>
      <c r="AA2719" s="111" t="inlineStr">
        <is>
          <t>Nao</t>
        </is>
      </c>
      <c r="AB2719" s="111" t="inlineStr">
        <is>
          <t>NAO_COMPUTADO</t>
        </is>
      </c>
      <c r="AC2719" s="112" t="inlineStr">
        <is>
          <t>Estrutura Fase 1: sem impacto no VTA oficial</t>
        </is>
      </c>
    </row>
    <row r="2720" ht="25.5" customHeight="1" s="289">
      <c r="A2720" s="205" t="n"/>
      <c r="B2720" s="207" t="n"/>
      <c r="C2720" s="104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348" t="n"/>
      <c r="E2720" s="349">
        <f>IF(C2720="","",IFERROR(VLOOKUP(C2720,parametros!$A$11:$E$15,5,0),""))</f>
        <v/>
      </c>
      <c r="F2720" s="335">
        <f>IF(OR(D2720="",E2720=""),"",ROUND(D2720*E2720,2))</f>
        <v/>
      </c>
      <c r="G2720" s="106" t="n"/>
      <c r="H2720" s="350">
        <f>IF(G2720="Sim",IF(OR(F2720="",D2720="",L2720=""),"",IF(L2720="Sim",ROUND(F2720-D2720,2),0)),0)</f>
        <v/>
      </c>
      <c r="I2720" s="350">
        <f>IF(G2720="Sim",0,IF(OR(F2720="",L2720=""),"",F2720))</f>
        <v/>
      </c>
      <c r="J2720" s="350">
        <f>IF(G2720="Sim",0,IF(OR(F2720="",D2720="",L2720=""),"",IF(L2720="Sim",ROUND(F2720-D2720,2),0)))</f>
        <v/>
      </c>
      <c r="K2720" s="97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inlineStr">
        <is>
          <t>Nao</t>
        </is>
      </c>
      <c r="W2720" s="110" t="inlineStr">
        <is>
          <t>PC em analise</t>
        </is>
      </c>
      <c r="X2720" s="110" t="inlineStr">
        <is>
          <t>Pedido de Compra</t>
        </is>
      </c>
      <c r="Y2720" s="111" t="inlineStr">
        <is>
          <t>Impacto Potencial</t>
        </is>
      </c>
      <c r="Z2720" s="111" t="inlineStr">
        <is>
          <t>PC</t>
        </is>
      </c>
      <c r="AA2720" s="111" t="inlineStr">
        <is>
          <t>Nao</t>
        </is>
      </c>
      <c r="AB2720" s="111" t="inlineStr">
        <is>
          <t>NAO_COMPUTADO</t>
        </is>
      </c>
      <c r="AC2720" s="112" t="inlineStr">
        <is>
          <t>Estrutura Fase 1: sem impacto no VTA oficial</t>
        </is>
      </c>
    </row>
    <row r="2721" ht="25.5" customHeight="1" s="289">
      <c r="A2721" s="205" t="n"/>
      <c r="B2721" s="207" t="n"/>
      <c r="C2721" s="104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348" t="n"/>
      <c r="E2721" s="349">
        <f>IF(C2721="","",IFERROR(VLOOKUP(C2721,parametros!$A$11:$E$15,5,0),""))</f>
        <v/>
      </c>
      <c r="F2721" s="335">
        <f>IF(OR(D2721="",E2721=""),"",ROUND(D2721*E2721,2))</f>
        <v/>
      </c>
      <c r="G2721" s="106" t="n"/>
      <c r="H2721" s="350">
        <f>IF(G2721="Sim",IF(OR(F2721="",D2721="",L2721=""),"",IF(L2721="Sim",ROUND(F2721-D2721,2),0)),0)</f>
        <v/>
      </c>
      <c r="I2721" s="350">
        <f>IF(G2721="Sim",0,IF(OR(F2721="",L2721=""),"",F2721))</f>
        <v/>
      </c>
      <c r="J2721" s="350">
        <f>IF(G2721="Sim",0,IF(OR(F2721="",D2721="",L2721=""),"",IF(L2721="Sim",ROUND(F2721-D2721,2),0)))</f>
        <v/>
      </c>
      <c r="K2721" s="97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inlineStr">
        <is>
          <t>Nao</t>
        </is>
      </c>
      <c r="W2721" s="110" t="inlineStr">
        <is>
          <t>PC em analise</t>
        </is>
      </c>
      <c r="X2721" s="110" t="inlineStr">
        <is>
          <t>Pedido de Compra</t>
        </is>
      </c>
      <c r="Y2721" s="111" t="inlineStr">
        <is>
          <t>Impacto Potencial</t>
        </is>
      </c>
      <c r="Z2721" s="111" t="inlineStr">
        <is>
          <t>PC</t>
        </is>
      </c>
      <c r="AA2721" s="111" t="inlineStr">
        <is>
          <t>Nao</t>
        </is>
      </c>
      <c r="AB2721" s="111" t="inlineStr">
        <is>
          <t>NAO_COMPUTADO</t>
        </is>
      </c>
      <c r="AC2721" s="112" t="inlineStr">
        <is>
          <t>Estrutura Fase 1: sem impacto no VTA oficial</t>
        </is>
      </c>
    </row>
    <row r="2722" ht="25.5" customHeight="1" s="289">
      <c r="A2722" s="205" t="n"/>
      <c r="B2722" s="207" t="n"/>
      <c r="C2722" s="104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348" t="n"/>
      <c r="E2722" s="349">
        <f>IF(C2722="","",IFERROR(VLOOKUP(C2722,parametros!$A$11:$E$15,5,0),""))</f>
        <v/>
      </c>
      <c r="F2722" s="335">
        <f>IF(OR(D2722="",E2722=""),"",ROUND(D2722*E2722,2))</f>
        <v/>
      </c>
      <c r="G2722" s="106" t="n"/>
      <c r="H2722" s="350">
        <f>IF(G2722="Sim",IF(OR(F2722="",D2722="",L2722=""),"",IF(L2722="Sim",ROUND(F2722-D2722,2),0)),0)</f>
        <v/>
      </c>
      <c r="I2722" s="350">
        <f>IF(G2722="Sim",0,IF(OR(F2722="",L2722=""),"",F2722))</f>
        <v/>
      </c>
      <c r="J2722" s="350">
        <f>IF(G2722="Sim",0,IF(OR(F2722="",D2722="",L2722=""),"",IF(L2722="Sim",ROUND(F2722-D2722,2),0)))</f>
        <v/>
      </c>
      <c r="K2722" s="97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inlineStr">
        <is>
          <t>Nao</t>
        </is>
      </c>
      <c r="W2722" s="110" t="inlineStr">
        <is>
          <t>PC em analise</t>
        </is>
      </c>
      <c r="X2722" s="110" t="inlineStr">
        <is>
          <t>Pedido de Compra</t>
        </is>
      </c>
      <c r="Y2722" s="111" t="inlineStr">
        <is>
          <t>Impacto Potencial</t>
        </is>
      </c>
      <c r="Z2722" s="111" t="inlineStr">
        <is>
          <t>PC</t>
        </is>
      </c>
      <c r="AA2722" s="111" t="inlineStr">
        <is>
          <t>Nao</t>
        </is>
      </c>
      <c r="AB2722" s="111" t="inlineStr">
        <is>
          <t>NAO_COMPUTADO</t>
        </is>
      </c>
      <c r="AC2722" s="112" t="inlineStr">
        <is>
          <t>Estrutura Fase 1: sem impacto no VTA oficial</t>
        </is>
      </c>
    </row>
    <row r="2723" ht="25.5" customHeight="1" s="289">
      <c r="A2723" s="205" t="n"/>
      <c r="B2723" s="207" t="n"/>
      <c r="C2723" s="104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348" t="n"/>
      <c r="E2723" s="349">
        <f>IF(C2723="","",IFERROR(VLOOKUP(C2723,parametros!$A$11:$E$15,5,0),""))</f>
        <v/>
      </c>
      <c r="F2723" s="335">
        <f>IF(OR(D2723="",E2723=""),"",ROUND(D2723*E2723,2))</f>
        <v/>
      </c>
      <c r="G2723" s="106" t="n"/>
      <c r="H2723" s="350">
        <f>IF(G2723="Sim",IF(OR(F2723="",D2723="",L2723=""),"",IF(L2723="Sim",ROUND(F2723-D2723,2),0)),0)</f>
        <v/>
      </c>
      <c r="I2723" s="350">
        <f>IF(G2723="Sim",0,IF(OR(F2723="",L2723=""),"",F2723))</f>
        <v/>
      </c>
      <c r="J2723" s="350">
        <f>IF(G2723="Sim",0,IF(OR(F2723="",D2723="",L2723=""),"",IF(L2723="Sim",ROUND(F2723-D2723,2),0)))</f>
        <v/>
      </c>
      <c r="K2723" s="97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inlineStr">
        <is>
          <t>Nao</t>
        </is>
      </c>
      <c r="W2723" s="110" t="inlineStr">
        <is>
          <t>PC em analise</t>
        </is>
      </c>
      <c r="X2723" s="110" t="inlineStr">
        <is>
          <t>Pedido de Compra</t>
        </is>
      </c>
      <c r="Y2723" s="111" t="inlineStr">
        <is>
          <t>Impacto Potencial</t>
        </is>
      </c>
      <c r="Z2723" s="111" t="inlineStr">
        <is>
          <t>PC</t>
        </is>
      </c>
      <c r="AA2723" s="111" t="inlineStr">
        <is>
          <t>Nao</t>
        </is>
      </c>
      <c r="AB2723" s="111" t="inlineStr">
        <is>
          <t>NAO_COMPUTADO</t>
        </is>
      </c>
      <c r="AC2723" s="112" t="inlineStr">
        <is>
          <t>Estrutura Fase 1: sem impacto no VTA oficial</t>
        </is>
      </c>
    </row>
    <row r="2724" ht="25.5" customHeight="1" s="289">
      <c r="A2724" s="205" t="n"/>
      <c r="B2724" s="207" t="n"/>
      <c r="C2724" s="104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348" t="n"/>
      <c r="E2724" s="349">
        <f>IF(C2724="","",IFERROR(VLOOKUP(C2724,parametros!$A$11:$E$15,5,0),""))</f>
        <v/>
      </c>
      <c r="F2724" s="335">
        <f>IF(OR(D2724="",E2724=""),"",ROUND(D2724*E2724,2))</f>
        <v/>
      </c>
      <c r="G2724" s="106" t="n"/>
      <c r="H2724" s="350">
        <f>IF(G2724="Sim",IF(OR(F2724="",D2724="",L2724=""),"",IF(L2724="Sim",ROUND(F2724-D2724,2),0)),0)</f>
        <v/>
      </c>
      <c r="I2724" s="350">
        <f>IF(G2724="Sim",0,IF(OR(F2724="",L2724=""),"",F2724))</f>
        <v/>
      </c>
      <c r="J2724" s="350">
        <f>IF(G2724="Sim",0,IF(OR(F2724="",D2724="",L2724=""),"",IF(L2724="Sim",ROUND(F2724-D2724,2),0)))</f>
        <v/>
      </c>
      <c r="K2724" s="97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inlineStr">
        <is>
          <t>Nao</t>
        </is>
      </c>
      <c r="W2724" s="110" t="inlineStr">
        <is>
          <t>PC em analise</t>
        </is>
      </c>
      <c r="X2724" s="110" t="inlineStr">
        <is>
          <t>Pedido de Compra</t>
        </is>
      </c>
      <c r="Y2724" s="111" t="inlineStr">
        <is>
          <t>Impacto Potencial</t>
        </is>
      </c>
      <c r="Z2724" s="111" t="inlineStr">
        <is>
          <t>PC</t>
        </is>
      </c>
      <c r="AA2724" s="111" t="inlineStr">
        <is>
          <t>Nao</t>
        </is>
      </c>
      <c r="AB2724" s="111" t="inlineStr">
        <is>
          <t>NAO_COMPUTADO</t>
        </is>
      </c>
      <c r="AC2724" s="112" t="inlineStr">
        <is>
          <t>Estrutura Fase 1: sem impacto no VTA oficial</t>
        </is>
      </c>
    </row>
    <row r="2725" ht="25.5" customHeight="1" s="289">
      <c r="A2725" s="205" t="n"/>
      <c r="B2725" s="207" t="n"/>
      <c r="C2725" s="104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348" t="n"/>
      <c r="E2725" s="349">
        <f>IF(C2725="","",IFERROR(VLOOKUP(C2725,parametros!$A$11:$E$15,5,0),""))</f>
        <v/>
      </c>
      <c r="F2725" s="335">
        <f>IF(OR(D2725="",E2725=""),"",ROUND(D2725*E2725,2))</f>
        <v/>
      </c>
      <c r="G2725" s="106" t="n"/>
      <c r="H2725" s="350">
        <f>IF(G2725="Sim",IF(OR(F2725="",D2725="",L2725=""),"",IF(L2725="Sim",ROUND(F2725-D2725,2),0)),0)</f>
        <v/>
      </c>
      <c r="I2725" s="350">
        <f>IF(G2725="Sim",0,IF(OR(F2725="",L2725=""),"",F2725))</f>
        <v/>
      </c>
      <c r="J2725" s="350">
        <f>IF(G2725="Sim",0,IF(OR(F2725="",D2725="",L2725=""),"",IF(L2725="Sim",ROUND(F2725-D2725,2),0)))</f>
        <v/>
      </c>
      <c r="K2725" s="97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inlineStr">
        <is>
          <t>Nao</t>
        </is>
      </c>
      <c r="W2725" s="110" t="inlineStr">
        <is>
          <t>PC em analise</t>
        </is>
      </c>
      <c r="X2725" s="110" t="inlineStr">
        <is>
          <t>Pedido de Compra</t>
        </is>
      </c>
      <c r="Y2725" s="111" t="inlineStr">
        <is>
          <t>Impacto Potencial</t>
        </is>
      </c>
      <c r="Z2725" s="111" t="inlineStr">
        <is>
          <t>PC</t>
        </is>
      </c>
      <c r="AA2725" s="111" t="inlineStr">
        <is>
          <t>Nao</t>
        </is>
      </c>
      <c r="AB2725" s="111" t="inlineStr">
        <is>
          <t>NAO_COMPUTADO</t>
        </is>
      </c>
      <c r="AC2725" s="112" t="inlineStr">
        <is>
          <t>Estrutura Fase 1: sem impacto no VTA oficial</t>
        </is>
      </c>
    </row>
    <row r="2726" ht="25.5" customHeight="1" s="289">
      <c r="A2726" s="205" t="n"/>
      <c r="B2726" s="207" t="n"/>
      <c r="C2726" s="104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348" t="n"/>
      <c r="E2726" s="349">
        <f>IF(C2726="","",IFERROR(VLOOKUP(C2726,parametros!$A$11:$E$15,5,0),""))</f>
        <v/>
      </c>
      <c r="F2726" s="335">
        <f>IF(OR(D2726="",E2726=""),"",ROUND(D2726*E2726,2))</f>
        <v/>
      </c>
      <c r="G2726" s="106" t="n"/>
      <c r="H2726" s="350">
        <f>IF(G2726="Sim",IF(OR(F2726="",D2726="",L2726=""),"",IF(L2726="Sim",ROUND(F2726-D2726,2),0)),0)</f>
        <v/>
      </c>
      <c r="I2726" s="350">
        <f>IF(G2726="Sim",0,IF(OR(F2726="",L2726=""),"",F2726))</f>
        <v/>
      </c>
      <c r="J2726" s="350">
        <f>IF(G2726="Sim",0,IF(OR(F2726="",D2726="",L2726=""),"",IF(L2726="Sim",ROUND(F2726-D2726,2),0)))</f>
        <v/>
      </c>
      <c r="K2726" s="97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inlineStr">
        <is>
          <t>Nao</t>
        </is>
      </c>
      <c r="W2726" s="110" t="inlineStr">
        <is>
          <t>PC em analise</t>
        </is>
      </c>
      <c r="X2726" s="110" t="inlineStr">
        <is>
          <t>Pedido de Compra</t>
        </is>
      </c>
      <c r="Y2726" s="111" t="inlineStr">
        <is>
          <t>Impacto Potencial</t>
        </is>
      </c>
      <c r="Z2726" s="111" t="inlineStr">
        <is>
          <t>PC</t>
        </is>
      </c>
      <c r="AA2726" s="111" t="inlineStr">
        <is>
          <t>Nao</t>
        </is>
      </c>
      <c r="AB2726" s="111" t="inlineStr">
        <is>
          <t>NAO_COMPUTADO</t>
        </is>
      </c>
      <c r="AC2726" s="112" t="inlineStr">
        <is>
          <t>Estrutura Fase 1: sem impacto no VTA oficial</t>
        </is>
      </c>
    </row>
    <row r="2727" ht="25.5" customHeight="1" s="289">
      <c r="A2727" s="205" t="n"/>
      <c r="B2727" s="207" t="n"/>
      <c r="C2727" s="104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348" t="n"/>
      <c r="E2727" s="349">
        <f>IF(C2727="","",IFERROR(VLOOKUP(C2727,parametros!$A$11:$E$15,5,0),""))</f>
        <v/>
      </c>
      <c r="F2727" s="335">
        <f>IF(OR(D2727="",E2727=""),"",ROUND(D2727*E2727,2))</f>
        <v/>
      </c>
      <c r="G2727" s="106" t="n"/>
      <c r="H2727" s="350">
        <f>IF(G2727="Sim",IF(OR(F2727="",D2727="",L2727=""),"",IF(L2727="Sim",ROUND(F2727-D2727,2),0)),0)</f>
        <v/>
      </c>
      <c r="I2727" s="350">
        <f>IF(G2727="Sim",0,IF(OR(F2727="",L2727=""),"",F2727))</f>
        <v/>
      </c>
      <c r="J2727" s="350">
        <f>IF(G2727="Sim",0,IF(OR(F2727="",D2727="",L2727=""),"",IF(L2727="Sim",ROUND(F2727-D2727,2),0)))</f>
        <v/>
      </c>
      <c r="K2727" s="97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inlineStr">
        <is>
          <t>Nao</t>
        </is>
      </c>
      <c r="W2727" s="110" t="inlineStr">
        <is>
          <t>PC em analise</t>
        </is>
      </c>
      <c r="X2727" s="110" t="inlineStr">
        <is>
          <t>Pedido de Compra</t>
        </is>
      </c>
      <c r="Y2727" s="111" t="inlineStr">
        <is>
          <t>Impacto Potencial</t>
        </is>
      </c>
      <c r="Z2727" s="111" t="inlineStr">
        <is>
          <t>PC</t>
        </is>
      </c>
      <c r="AA2727" s="111" t="inlineStr">
        <is>
          <t>Nao</t>
        </is>
      </c>
      <c r="AB2727" s="111" t="inlineStr">
        <is>
          <t>NAO_COMPUTADO</t>
        </is>
      </c>
      <c r="AC2727" s="112" t="inlineStr">
        <is>
          <t>Estrutura Fase 1: sem impacto no VTA oficial</t>
        </is>
      </c>
    </row>
    <row r="2728" ht="25.5" customHeight="1" s="289">
      <c r="A2728" s="205" t="n"/>
      <c r="B2728" s="207" t="n"/>
      <c r="C2728" s="104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348" t="n"/>
      <c r="E2728" s="349">
        <f>IF(C2728="","",IFERROR(VLOOKUP(C2728,parametros!$A$11:$E$15,5,0),""))</f>
        <v/>
      </c>
      <c r="F2728" s="335">
        <f>IF(OR(D2728="",E2728=""),"",ROUND(D2728*E2728,2))</f>
        <v/>
      </c>
      <c r="G2728" s="106" t="n"/>
      <c r="H2728" s="350">
        <f>IF(G2728="Sim",IF(OR(F2728="",D2728="",L2728=""),"",IF(L2728="Sim",ROUND(F2728-D2728,2),0)),0)</f>
        <v/>
      </c>
      <c r="I2728" s="350">
        <f>IF(G2728="Sim",0,IF(OR(F2728="",L2728=""),"",F2728))</f>
        <v/>
      </c>
      <c r="J2728" s="350">
        <f>IF(G2728="Sim",0,IF(OR(F2728="",D2728="",L2728=""),"",IF(L2728="Sim",ROUND(F2728-D2728,2),0)))</f>
        <v/>
      </c>
      <c r="K2728" s="97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inlineStr">
        <is>
          <t>Nao</t>
        </is>
      </c>
      <c r="W2728" s="110" t="inlineStr">
        <is>
          <t>PC em analise</t>
        </is>
      </c>
      <c r="X2728" s="110" t="inlineStr">
        <is>
          <t>Pedido de Compra</t>
        </is>
      </c>
      <c r="Y2728" s="111" t="inlineStr">
        <is>
          <t>Impacto Potencial</t>
        </is>
      </c>
      <c r="Z2728" s="111" t="inlineStr">
        <is>
          <t>PC</t>
        </is>
      </c>
      <c r="AA2728" s="111" t="inlineStr">
        <is>
          <t>Nao</t>
        </is>
      </c>
      <c r="AB2728" s="111" t="inlineStr">
        <is>
          <t>NAO_COMPUTADO</t>
        </is>
      </c>
      <c r="AC2728" s="112" t="inlineStr">
        <is>
          <t>Estrutura Fase 1: sem impacto no VTA oficial</t>
        </is>
      </c>
    </row>
    <row r="2729" ht="25.5" customHeight="1" s="289">
      <c r="A2729" s="205" t="n"/>
      <c r="B2729" s="207" t="n"/>
      <c r="C2729" s="104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348" t="n"/>
      <c r="E2729" s="349">
        <f>IF(C2729="","",IFERROR(VLOOKUP(C2729,parametros!$A$11:$E$15,5,0),""))</f>
        <v/>
      </c>
      <c r="F2729" s="335">
        <f>IF(OR(D2729="",E2729=""),"",ROUND(D2729*E2729,2))</f>
        <v/>
      </c>
      <c r="G2729" s="106" t="n"/>
      <c r="H2729" s="350">
        <f>IF(G2729="Sim",IF(OR(F2729="",D2729="",L2729=""),"",IF(L2729="Sim",ROUND(F2729-D2729,2),0)),0)</f>
        <v/>
      </c>
      <c r="I2729" s="350">
        <f>IF(G2729="Sim",0,IF(OR(F2729="",L2729=""),"",F2729))</f>
        <v/>
      </c>
      <c r="J2729" s="350">
        <f>IF(G2729="Sim",0,IF(OR(F2729="",D2729="",L2729=""),"",IF(L2729="Sim",ROUND(F2729-D2729,2),0)))</f>
        <v/>
      </c>
      <c r="K2729" s="97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inlineStr">
        <is>
          <t>Nao</t>
        </is>
      </c>
      <c r="W2729" s="110" t="inlineStr">
        <is>
          <t>PC em analise</t>
        </is>
      </c>
      <c r="X2729" s="110" t="inlineStr">
        <is>
          <t>Pedido de Compra</t>
        </is>
      </c>
      <c r="Y2729" s="111" t="inlineStr">
        <is>
          <t>Impacto Potencial</t>
        </is>
      </c>
      <c r="Z2729" s="111" t="inlineStr">
        <is>
          <t>PC</t>
        </is>
      </c>
      <c r="AA2729" s="111" t="inlineStr">
        <is>
          <t>Nao</t>
        </is>
      </c>
      <c r="AB2729" s="111" t="inlineStr">
        <is>
          <t>NAO_COMPUTADO</t>
        </is>
      </c>
      <c r="AC2729" s="112" t="inlineStr">
        <is>
          <t>Estrutura Fase 1: sem impacto no VTA oficial</t>
        </is>
      </c>
    </row>
    <row r="2730" ht="25.5" customHeight="1" s="289">
      <c r="A2730" s="205" t="n"/>
      <c r="B2730" s="207" t="n"/>
      <c r="C2730" s="104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348" t="n"/>
      <c r="E2730" s="349">
        <f>IF(C2730="","",IFERROR(VLOOKUP(C2730,parametros!$A$11:$E$15,5,0),""))</f>
        <v/>
      </c>
      <c r="F2730" s="335">
        <f>IF(OR(D2730="",E2730=""),"",ROUND(D2730*E2730,2))</f>
        <v/>
      </c>
      <c r="G2730" s="106" t="n"/>
      <c r="H2730" s="350">
        <f>IF(G2730="Sim",IF(OR(F2730="",D2730="",L2730=""),"",IF(L2730="Sim",ROUND(F2730-D2730,2),0)),0)</f>
        <v/>
      </c>
      <c r="I2730" s="350">
        <f>IF(G2730="Sim",0,IF(OR(F2730="",L2730=""),"",F2730))</f>
        <v/>
      </c>
      <c r="J2730" s="350">
        <f>IF(G2730="Sim",0,IF(OR(F2730="",D2730="",L2730=""),"",IF(L2730="Sim",ROUND(F2730-D2730,2),0)))</f>
        <v/>
      </c>
      <c r="K2730" s="97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inlineStr">
        <is>
          <t>Nao</t>
        </is>
      </c>
      <c r="W2730" s="110" t="inlineStr">
        <is>
          <t>PC em analise</t>
        </is>
      </c>
      <c r="X2730" s="110" t="inlineStr">
        <is>
          <t>Pedido de Compra</t>
        </is>
      </c>
      <c r="Y2730" s="111" t="inlineStr">
        <is>
          <t>Impacto Potencial</t>
        </is>
      </c>
      <c r="Z2730" s="111" t="inlineStr">
        <is>
          <t>PC</t>
        </is>
      </c>
      <c r="AA2730" s="111" t="inlineStr">
        <is>
          <t>Nao</t>
        </is>
      </c>
      <c r="AB2730" s="111" t="inlineStr">
        <is>
          <t>NAO_COMPUTADO</t>
        </is>
      </c>
      <c r="AC2730" s="112" t="inlineStr">
        <is>
          <t>Estrutura Fase 1: sem impacto no VTA oficial</t>
        </is>
      </c>
    </row>
    <row r="2731" ht="25.5" customHeight="1" s="289">
      <c r="A2731" s="205" t="n"/>
      <c r="B2731" s="207" t="n"/>
      <c r="C2731" s="104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348" t="n"/>
      <c r="E2731" s="349">
        <f>IF(C2731="","",IFERROR(VLOOKUP(C2731,parametros!$A$11:$E$15,5,0),""))</f>
        <v/>
      </c>
      <c r="F2731" s="335">
        <f>IF(OR(D2731="",E2731=""),"",ROUND(D2731*E2731,2))</f>
        <v/>
      </c>
      <c r="G2731" s="106" t="n"/>
      <c r="H2731" s="350">
        <f>IF(G2731="Sim",IF(OR(F2731="",D2731="",L2731=""),"",IF(L2731="Sim",ROUND(F2731-D2731,2),0)),0)</f>
        <v/>
      </c>
      <c r="I2731" s="350">
        <f>IF(G2731="Sim",0,IF(OR(F2731="",L2731=""),"",F2731))</f>
        <v/>
      </c>
      <c r="J2731" s="350">
        <f>IF(G2731="Sim",0,IF(OR(F2731="",D2731="",L2731=""),"",IF(L2731="Sim",ROUND(F2731-D2731,2),0)))</f>
        <v/>
      </c>
      <c r="K2731" s="97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inlineStr">
        <is>
          <t>Nao</t>
        </is>
      </c>
      <c r="W2731" s="110" t="inlineStr">
        <is>
          <t>PC em analise</t>
        </is>
      </c>
      <c r="X2731" s="110" t="inlineStr">
        <is>
          <t>Pedido de Compra</t>
        </is>
      </c>
      <c r="Y2731" s="111" t="inlineStr">
        <is>
          <t>Impacto Potencial</t>
        </is>
      </c>
      <c r="Z2731" s="111" t="inlineStr">
        <is>
          <t>PC</t>
        </is>
      </c>
      <c r="AA2731" s="111" t="inlineStr">
        <is>
          <t>Nao</t>
        </is>
      </c>
      <c r="AB2731" s="111" t="inlineStr">
        <is>
          <t>NAO_COMPUTADO</t>
        </is>
      </c>
      <c r="AC2731" s="112" t="inlineStr">
        <is>
          <t>Estrutura Fase 1: sem impacto no VTA oficial</t>
        </is>
      </c>
    </row>
    <row r="2732" ht="25.5" customHeight="1" s="289">
      <c r="A2732" s="205" t="n"/>
      <c r="B2732" s="207" t="n"/>
      <c r="C2732" s="104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348" t="n"/>
      <c r="E2732" s="349">
        <f>IF(C2732="","",IFERROR(VLOOKUP(C2732,parametros!$A$11:$E$15,5,0),""))</f>
        <v/>
      </c>
      <c r="F2732" s="335">
        <f>IF(OR(D2732="",E2732=""),"",ROUND(D2732*E2732,2))</f>
        <v/>
      </c>
      <c r="G2732" s="106" t="n"/>
      <c r="H2732" s="350">
        <f>IF(G2732="Sim",IF(OR(F2732="",D2732="",L2732=""),"",IF(L2732="Sim",ROUND(F2732-D2732,2),0)),0)</f>
        <v/>
      </c>
      <c r="I2732" s="350">
        <f>IF(G2732="Sim",0,IF(OR(F2732="",L2732=""),"",F2732))</f>
        <v/>
      </c>
      <c r="J2732" s="350">
        <f>IF(G2732="Sim",0,IF(OR(F2732="",D2732="",L2732=""),"",IF(L2732="Sim",ROUND(F2732-D2732,2),0)))</f>
        <v/>
      </c>
      <c r="K2732" s="97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inlineStr">
        <is>
          <t>Nao</t>
        </is>
      </c>
      <c r="W2732" s="110" t="inlineStr">
        <is>
          <t>PC em analise</t>
        </is>
      </c>
      <c r="X2732" s="110" t="inlineStr">
        <is>
          <t>Pedido de Compra</t>
        </is>
      </c>
      <c r="Y2732" s="111" t="inlineStr">
        <is>
          <t>Impacto Potencial</t>
        </is>
      </c>
      <c r="Z2732" s="111" t="inlineStr">
        <is>
          <t>PC</t>
        </is>
      </c>
      <c r="AA2732" s="111" t="inlineStr">
        <is>
          <t>Nao</t>
        </is>
      </c>
      <c r="AB2732" s="111" t="inlineStr">
        <is>
          <t>NAO_COMPUTADO</t>
        </is>
      </c>
      <c r="AC2732" s="112" t="inlineStr">
        <is>
          <t>Estrutura Fase 1: sem impacto no VTA oficial</t>
        </is>
      </c>
    </row>
    <row r="2733" ht="25.5" customHeight="1" s="289">
      <c r="A2733" s="205" t="n"/>
      <c r="B2733" s="207" t="n"/>
      <c r="C2733" s="104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348" t="n"/>
      <c r="E2733" s="349">
        <f>IF(C2733="","",IFERROR(VLOOKUP(C2733,parametros!$A$11:$E$15,5,0),""))</f>
        <v/>
      </c>
      <c r="F2733" s="335">
        <f>IF(OR(D2733="",E2733=""),"",ROUND(D2733*E2733,2))</f>
        <v/>
      </c>
      <c r="G2733" s="106" t="n"/>
      <c r="H2733" s="350">
        <f>IF(G2733="Sim",IF(OR(F2733="",D2733="",L2733=""),"",IF(L2733="Sim",ROUND(F2733-D2733,2),0)),0)</f>
        <v/>
      </c>
      <c r="I2733" s="350">
        <f>IF(G2733="Sim",0,IF(OR(F2733="",L2733=""),"",F2733))</f>
        <v/>
      </c>
      <c r="J2733" s="350">
        <f>IF(G2733="Sim",0,IF(OR(F2733="",D2733="",L2733=""),"",IF(L2733="Sim",ROUND(F2733-D2733,2),0)))</f>
        <v/>
      </c>
      <c r="K2733" s="97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inlineStr">
        <is>
          <t>Nao</t>
        </is>
      </c>
      <c r="W2733" s="110" t="inlineStr">
        <is>
          <t>PC em analise</t>
        </is>
      </c>
      <c r="X2733" s="110" t="inlineStr">
        <is>
          <t>Pedido de Compra</t>
        </is>
      </c>
      <c r="Y2733" s="111" t="inlineStr">
        <is>
          <t>Impacto Potencial</t>
        </is>
      </c>
      <c r="Z2733" s="111" t="inlineStr">
        <is>
          <t>PC</t>
        </is>
      </c>
      <c r="AA2733" s="111" t="inlineStr">
        <is>
          <t>Nao</t>
        </is>
      </c>
      <c r="AB2733" s="111" t="inlineStr">
        <is>
          <t>NAO_COMPUTADO</t>
        </is>
      </c>
      <c r="AC2733" s="112" t="inlineStr">
        <is>
          <t>Estrutura Fase 1: sem impacto no VTA oficial</t>
        </is>
      </c>
    </row>
    <row r="2734" ht="25.5" customHeight="1" s="289">
      <c r="A2734" s="205" t="n"/>
      <c r="B2734" s="207" t="n"/>
      <c r="C2734" s="104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348" t="n"/>
      <c r="E2734" s="349">
        <f>IF(C2734="","",IFERROR(VLOOKUP(C2734,parametros!$A$11:$E$15,5,0),""))</f>
        <v/>
      </c>
      <c r="F2734" s="335">
        <f>IF(OR(D2734="",E2734=""),"",ROUND(D2734*E2734,2))</f>
        <v/>
      </c>
      <c r="G2734" s="106" t="n"/>
      <c r="H2734" s="350">
        <f>IF(G2734="Sim",IF(OR(F2734="",D2734="",L2734=""),"",IF(L2734="Sim",ROUND(F2734-D2734,2),0)),0)</f>
        <v/>
      </c>
      <c r="I2734" s="350">
        <f>IF(G2734="Sim",0,IF(OR(F2734="",L2734=""),"",F2734))</f>
        <v/>
      </c>
      <c r="J2734" s="350">
        <f>IF(G2734="Sim",0,IF(OR(F2734="",D2734="",L2734=""),"",IF(L2734="Sim",ROUND(F2734-D2734,2),0)))</f>
        <v/>
      </c>
      <c r="K2734" s="97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inlineStr">
        <is>
          <t>Nao</t>
        </is>
      </c>
      <c r="W2734" s="110" t="inlineStr">
        <is>
          <t>PC em analise</t>
        </is>
      </c>
      <c r="X2734" s="110" t="inlineStr">
        <is>
          <t>Pedido de Compra</t>
        </is>
      </c>
      <c r="Y2734" s="111" t="inlineStr">
        <is>
          <t>Impacto Potencial</t>
        </is>
      </c>
      <c r="Z2734" s="111" t="inlineStr">
        <is>
          <t>PC</t>
        </is>
      </c>
      <c r="AA2734" s="111" t="inlineStr">
        <is>
          <t>Nao</t>
        </is>
      </c>
      <c r="AB2734" s="111" t="inlineStr">
        <is>
          <t>NAO_COMPUTADO</t>
        </is>
      </c>
      <c r="AC2734" s="112" t="inlineStr">
        <is>
          <t>Estrutura Fase 1: sem impacto no VTA oficial</t>
        </is>
      </c>
    </row>
    <row r="2735" ht="25.5" customHeight="1" s="289">
      <c r="A2735" s="205" t="n"/>
      <c r="B2735" s="207" t="n"/>
      <c r="C2735" s="104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348" t="n"/>
      <c r="E2735" s="349">
        <f>IF(C2735="","",IFERROR(VLOOKUP(C2735,parametros!$A$11:$E$15,5,0),""))</f>
        <v/>
      </c>
      <c r="F2735" s="335">
        <f>IF(OR(D2735="",E2735=""),"",ROUND(D2735*E2735,2))</f>
        <v/>
      </c>
      <c r="G2735" s="106" t="n"/>
      <c r="H2735" s="350">
        <f>IF(G2735="Sim",IF(OR(F2735="",D2735="",L2735=""),"",IF(L2735="Sim",ROUND(F2735-D2735,2),0)),0)</f>
        <v/>
      </c>
      <c r="I2735" s="350">
        <f>IF(G2735="Sim",0,IF(OR(F2735="",L2735=""),"",F2735))</f>
        <v/>
      </c>
      <c r="J2735" s="350">
        <f>IF(G2735="Sim",0,IF(OR(F2735="",D2735="",L2735=""),"",IF(L2735="Sim",ROUND(F2735-D2735,2),0)))</f>
        <v/>
      </c>
      <c r="K2735" s="97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inlineStr">
        <is>
          <t>Nao</t>
        </is>
      </c>
      <c r="W2735" s="110" t="inlineStr">
        <is>
          <t>PC em analise</t>
        </is>
      </c>
      <c r="X2735" s="110" t="inlineStr">
        <is>
          <t>Pedido de Compra</t>
        </is>
      </c>
      <c r="Y2735" s="111" t="inlineStr">
        <is>
          <t>Impacto Potencial</t>
        </is>
      </c>
      <c r="Z2735" s="111" t="inlineStr">
        <is>
          <t>PC</t>
        </is>
      </c>
      <c r="AA2735" s="111" t="inlineStr">
        <is>
          <t>Nao</t>
        </is>
      </c>
      <c r="AB2735" s="111" t="inlineStr">
        <is>
          <t>NAO_COMPUTADO</t>
        </is>
      </c>
      <c r="AC2735" s="112" t="inlineStr">
        <is>
          <t>Estrutura Fase 1: sem impacto no VTA oficial</t>
        </is>
      </c>
    </row>
    <row r="2736" ht="25.5" customHeight="1" s="289">
      <c r="A2736" s="205" t="n"/>
      <c r="B2736" s="207" t="n"/>
      <c r="C2736" s="104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348" t="n"/>
      <c r="E2736" s="349">
        <f>IF(C2736="","",IFERROR(VLOOKUP(C2736,parametros!$A$11:$E$15,5,0),""))</f>
        <v/>
      </c>
      <c r="F2736" s="335">
        <f>IF(OR(D2736="",E2736=""),"",ROUND(D2736*E2736,2))</f>
        <v/>
      </c>
      <c r="G2736" s="106" t="n"/>
      <c r="H2736" s="350">
        <f>IF(G2736="Sim",IF(OR(F2736="",D2736="",L2736=""),"",IF(L2736="Sim",ROUND(F2736-D2736,2),0)),0)</f>
        <v/>
      </c>
      <c r="I2736" s="350">
        <f>IF(G2736="Sim",0,IF(OR(F2736="",L2736=""),"",F2736))</f>
        <v/>
      </c>
      <c r="J2736" s="350">
        <f>IF(G2736="Sim",0,IF(OR(F2736="",D2736="",L2736=""),"",IF(L2736="Sim",ROUND(F2736-D2736,2),0)))</f>
        <v/>
      </c>
      <c r="K2736" s="97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inlineStr">
        <is>
          <t>Nao</t>
        </is>
      </c>
      <c r="W2736" s="110" t="inlineStr">
        <is>
          <t>PC em analise</t>
        </is>
      </c>
      <c r="X2736" s="110" t="inlineStr">
        <is>
          <t>Pedido de Compra</t>
        </is>
      </c>
      <c r="Y2736" s="111" t="inlineStr">
        <is>
          <t>Impacto Potencial</t>
        </is>
      </c>
      <c r="Z2736" s="111" t="inlineStr">
        <is>
          <t>PC</t>
        </is>
      </c>
      <c r="AA2736" s="111" t="inlineStr">
        <is>
          <t>Nao</t>
        </is>
      </c>
      <c r="AB2736" s="111" t="inlineStr">
        <is>
          <t>NAO_COMPUTADO</t>
        </is>
      </c>
      <c r="AC2736" s="112" t="inlineStr">
        <is>
          <t>Estrutura Fase 1: sem impacto no VTA oficial</t>
        </is>
      </c>
    </row>
    <row r="2737" ht="25.5" customHeight="1" s="289">
      <c r="A2737" s="205" t="n"/>
      <c r="B2737" s="207" t="n"/>
      <c r="C2737" s="104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348" t="n"/>
      <c r="E2737" s="349">
        <f>IF(C2737="","",IFERROR(VLOOKUP(C2737,parametros!$A$11:$E$15,5,0),""))</f>
        <v/>
      </c>
      <c r="F2737" s="335">
        <f>IF(OR(D2737="",E2737=""),"",ROUND(D2737*E2737,2))</f>
        <v/>
      </c>
      <c r="G2737" s="106" t="n"/>
      <c r="H2737" s="350">
        <f>IF(G2737="Sim",IF(OR(F2737="",D2737="",L2737=""),"",IF(L2737="Sim",ROUND(F2737-D2737,2),0)),0)</f>
        <v/>
      </c>
      <c r="I2737" s="350">
        <f>IF(G2737="Sim",0,IF(OR(F2737="",L2737=""),"",F2737))</f>
        <v/>
      </c>
      <c r="J2737" s="350">
        <f>IF(G2737="Sim",0,IF(OR(F2737="",D2737="",L2737=""),"",IF(L2737="Sim",ROUND(F2737-D2737,2),0)))</f>
        <v/>
      </c>
      <c r="K2737" s="97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inlineStr">
        <is>
          <t>Nao</t>
        </is>
      </c>
      <c r="W2737" s="110" t="inlineStr">
        <is>
          <t>PC em analise</t>
        </is>
      </c>
      <c r="X2737" s="110" t="inlineStr">
        <is>
          <t>Pedido de Compra</t>
        </is>
      </c>
      <c r="Y2737" s="111" t="inlineStr">
        <is>
          <t>Impacto Potencial</t>
        </is>
      </c>
      <c r="Z2737" s="111" t="inlineStr">
        <is>
          <t>PC</t>
        </is>
      </c>
      <c r="AA2737" s="111" t="inlineStr">
        <is>
          <t>Nao</t>
        </is>
      </c>
      <c r="AB2737" s="111" t="inlineStr">
        <is>
          <t>NAO_COMPUTADO</t>
        </is>
      </c>
      <c r="AC2737" s="112" t="inlineStr">
        <is>
          <t>Estrutura Fase 1: sem impacto no VTA oficial</t>
        </is>
      </c>
    </row>
    <row r="2738" ht="25.5" customHeight="1" s="289">
      <c r="A2738" s="205" t="n"/>
      <c r="B2738" s="207" t="n"/>
      <c r="C2738" s="104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348" t="n"/>
      <c r="E2738" s="349">
        <f>IF(C2738="","",IFERROR(VLOOKUP(C2738,parametros!$A$11:$E$15,5,0),""))</f>
        <v/>
      </c>
      <c r="F2738" s="335">
        <f>IF(OR(D2738="",E2738=""),"",ROUND(D2738*E2738,2))</f>
        <v/>
      </c>
      <c r="G2738" s="106" t="n"/>
      <c r="H2738" s="350">
        <f>IF(G2738="Sim",IF(OR(F2738="",D2738="",L2738=""),"",IF(L2738="Sim",ROUND(F2738-D2738,2),0)),0)</f>
        <v/>
      </c>
      <c r="I2738" s="350">
        <f>IF(G2738="Sim",0,IF(OR(F2738="",L2738=""),"",F2738))</f>
        <v/>
      </c>
      <c r="J2738" s="350">
        <f>IF(G2738="Sim",0,IF(OR(F2738="",D2738="",L2738=""),"",IF(L2738="Sim",ROUND(F2738-D2738,2),0)))</f>
        <v/>
      </c>
      <c r="K2738" s="97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inlineStr">
        <is>
          <t>Nao</t>
        </is>
      </c>
      <c r="W2738" s="110" t="inlineStr">
        <is>
          <t>PC em analise</t>
        </is>
      </c>
      <c r="X2738" s="110" t="inlineStr">
        <is>
          <t>Pedido de Compra</t>
        </is>
      </c>
      <c r="Y2738" s="111" t="inlineStr">
        <is>
          <t>Impacto Potencial</t>
        </is>
      </c>
      <c r="Z2738" s="111" t="inlineStr">
        <is>
          <t>PC</t>
        </is>
      </c>
      <c r="AA2738" s="111" t="inlineStr">
        <is>
          <t>Nao</t>
        </is>
      </c>
      <c r="AB2738" s="111" t="inlineStr">
        <is>
          <t>NAO_COMPUTADO</t>
        </is>
      </c>
      <c r="AC2738" s="112" t="inlineStr">
        <is>
          <t>Estrutura Fase 1: sem impacto no VTA oficial</t>
        </is>
      </c>
    </row>
    <row r="2739" ht="25.5" customHeight="1" s="289">
      <c r="A2739" s="205" t="n"/>
      <c r="B2739" s="207" t="n"/>
      <c r="C2739" s="104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348" t="n"/>
      <c r="E2739" s="349">
        <f>IF(C2739="","",IFERROR(VLOOKUP(C2739,parametros!$A$11:$E$15,5,0),""))</f>
        <v/>
      </c>
      <c r="F2739" s="335">
        <f>IF(OR(D2739="",E2739=""),"",ROUND(D2739*E2739,2))</f>
        <v/>
      </c>
      <c r="G2739" s="106" t="n"/>
      <c r="H2739" s="350">
        <f>IF(G2739="Sim",IF(OR(F2739="",D2739="",L2739=""),"",IF(L2739="Sim",ROUND(F2739-D2739,2),0)),0)</f>
        <v/>
      </c>
      <c r="I2739" s="350">
        <f>IF(G2739="Sim",0,IF(OR(F2739="",L2739=""),"",F2739))</f>
        <v/>
      </c>
      <c r="J2739" s="350">
        <f>IF(G2739="Sim",0,IF(OR(F2739="",D2739="",L2739=""),"",IF(L2739="Sim",ROUND(F2739-D2739,2),0)))</f>
        <v/>
      </c>
      <c r="K2739" s="97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inlineStr">
        <is>
          <t>Nao</t>
        </is>
      </c>
      <c r="W2739" s="110" t="inlineStr">
        <is>
          <t>PC em analise</t>
        </is>
      </c>
      <c r="X2739" s="110" t="inlineStr">
        <is>
          <t>Pedido de Compra</t>
        </is>
      </c>
      <c r="Y2739" s="111" t="inlineStr">
        <is>
          <t>Impacto Potencial</t>
        </is>
      </c>
      <c r="Z2739" s="111" t="inlineStr">
        <is>
          <t>PC</t>
        </is>
      </c>
      <c r="AA2739" s="111" t="inlineStr">
        <is>
          <t>Nao</t>
        </is>
      </c>
      <c r="AB2739" s="111" t="inlineStr">
        <is>
          <t>NAO_COMPUTADO</t>
        </is>
      </c>
      <c r="AC2739" s="112" t="inlineStr">
        <is>
          <t>Estrutura Fase 1: sem impacto no VTA oficial</t>
        </is>
      </c>
    </row>
    <row r="2740" ht="25.5" customHeight="1" s="289">
      <c r="A2740" s="205" t="n"/>
      <c r="B2740" s="207" t="n"/>
      <c r="C2740" s="104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348" t="n"/>
      <c r="E2740" s="349">
        <f>IF(C2740="","",IFERROR(VLOOKUP(C2740,parametros!$A$11:$E$15,5,0),""))</f>
        <v/>
      </c>
      <c r="F2740" s="335">
        <f>IF(OR(D2740="",E2740=""),"",ROUND(D2740*E2740,2))</f>
        <v/>
      </c>
      <c r="G2740" s="106" t="n"/>
      <c r="H2740" s="350">
        <f>IF(G2740="Sim",IF(OR(F2740="",D2740="",L2740=""),"",IF(L2740="Sim",ROUND(F2740-D2740,2),0)),0)</f>
        <v/>
      </c>
      <c r="I2740" s="350">
        <f>IF(G2740="Sim",0,IF(OR(F2740="",L2740=""),"",F2740))</f>
        <v/>
      </c>
      <c r="J2740" s="350">
        <f>IF(G2740="Sim",0,IF(OR(F2740="",D2740="",L2740=""),"",IF(L2740="Sim",ROUND(F2740-D2740,2),0)))</f>
        <v/>
      </c>
      <c r="K2740" s="97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inlineStr">
        <is>
          <t>Nao</t>
        </is>
      </c>
      <c r="W2740" s="110" t="inlineStr">
        <is>
          <t>PC em analise</t>
        </is>
      </c>
      <c r="X2740" s="110" t="inlineStr">
        <is>
          <t>Pedido de Compra</t>
        </is>
      </c>
      <c r="Y2740" s="111" t="inlineStr">
        <is>
          <t>Impacto Potencial</t>
        </is>
      </c>
      <c r="Z2740" s="111" t="inlineStr">
        <is>
          <t>PC</t>
        </is>
      </c>
      <c r="AA2740" s="111" t="inlineStr">
        <is>
          <t>Nao</t>
        </is>
      </c>
      <c r="AB2740" s="111" t="inlineStr">
        <is>
          <t>NAO_COMPUTADO</t>
        </is>
      </c>
      <c r="AC2740" s="112" t="inlineStr">
        <is>
          <t>Estrutura Fase 1: sem impacto no VTA oficial</t>
        </is>
      </c>
    </row>
    <row r="2741" ht="25.5" customHeight="1" s="289">
      <c r="A2741" s="205" t="n"/>
      <c r="B2741" s="207" t="n"/>
      <c r="C2741" s="104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348" t="n"/>
      <c r="E2741" s="349">
        <f>IF(C2741="","",IFERROR(VLOOKUP(C2741,parametros!$A$11:$E$15,5,0),""))</f>
        <v/>
      </c>
      <c r="F2741" s="335">
        <f>IF(OR(D2741="",E2741=""),"",ROUND(D2741*E2741,2))</f>
        <v/>
      </c>
      <c r="G2741" s="106" t="n"/>
      <c r="H2741" s="350">
        <f>IF(G2741="Sim",IF(OR(F2741="",D2741="",L2741=""),"",IF(L2741="Sim",ROUND(F2741-D2741,2),0)),0)</f>
        <v/>
      </c>
      <c r="I2741" s="350">
        <f>IF(G2741="Sim",0,IF(OR(F2741="",L2741=""),"",F2741))</f>
        <v/>
      </c>
      <c r="J2741" s="350">
        <f>IF(G2741="Sim",0,IF(OR(F2741="",D2741="",L2741=""),"",IF(L2741="Sim",ROUND(F2741-D2741,2),0)))</f>
        <v/>
      </c>
      <c r="K2741" s="97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inlineStr">
        <is>
          <t>Nao</t>
        </is>
      </c>
      <c r="W2741" s="110" t="inlineStr">
        <is>
          <t>PC em analise</t>
        </is>
      </c>
      <c r="X2741" s="110" t="inlineStr">
        <is>
          <t>Pedido de Compra</t>
        </is>
      </c>
      <c r="Y2741" s="111" t="inlineStr">
        <is>
          <t>Impacto Potencial</t>
        </is>
      </c>
      <c r="Z2741" s="111" t="inlineStr">
        <is>
          <t>PC</t>
        </is>
      </c>
      <c r="AA2741" s="111" t="inlineStr">
        <is>
          <t>Nao</t>
        </is>
      </c>
      <c r="AB2741" s="111" t="inlineStr">
        <is>
          <t>NAO_COMPUTADO</t>
        </is>
      </c>
      <c r="AC2741" s="112" t="inlineStr">
        <is>
          <t>Estrutura Fase 1: sem impacto no VTA oficial</t>
        </is>
      </c>
    </row>
    <row r="2742" ht="25.5" customHeight="1" s="289">
      <c r="A2742" s="205" t="n"/>
      <c r="B2742" s="207" t="n"/>
      <c r="C2742" s="104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348" t="n"/>
      <c r="E2742" s="349">
        <f>IF(C2742="","",IFERROR(VLOOKUP(C2742,parametros!$A$11:$E$15,5,0),""))</f>
        <v/>
      </c>
      <c r="F2742" s="335">
        <f>IF(OR(D2742="",E2742=""),"",ROUND(D2742*E2742,2))</f>
        <v/>
      </c>
      <c r="G2742" s="106" t="n"/>
      <c r="H2742" s="350">
        <f>IF(G2742="Sim",IF(OR(F2742="",D2742="",L2742=""),"",IF(L2742="Sim",ROUND(F2742-D2742,2),0)),0)</f>
        <v/>
      </c>
      <c r="I2742" s="350">
        <f>IF(G2742="Sim",0,IF(OR(F2742="",L2742=""),"",F2742))</f>
        <v/>
      </c>
      <c r="J2742" s="350">
        <f>IF(G2742="Sim",0,IF(OR(F2742="",D2742="",L2742=""),"",IF(L2742="Sim",ROUND(F2742-D2742,2),0)))</f>
        <v/>
      </c>
      <c r="K2742" s="97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inlineStr">
        <is>
          <t>Nao</t>
        </is>
      </c>
      <c r="W2742" s="110" t="inlineStr">
        <is>
          <t>PC em analise</t>
        </is>
      </c>
      <c r="X2742" s="110" t="inlineStr">
        <is>
          <t>Pedido de Compra</t>
        </is>
      </c>
      <c r="Y2742" s="111" t="inlineStr">
        <is>
          <t>Impacto Potencial</t>
        </is>
      </c>
      <c r="Z2742" s="111" t="inlineStr">
        <is>
          <t>PC</t>
        </is>
      </c>
      <c r="AA2742" s="111" t="inlineStr">
        <is>
          <t>Nao</t>
        </is>
      </c>
      <c r="AB2742" s="111" t="inlineStr">
        <is>
          <t>NAO_COMPUTADO</t>
        </is>
      </c>
      <c r="AC2742" s="112" t="inlineStr">
        <is>
          <t>Estrutura Fase 1: sem impacto no VTA oficial</t>
        </is>
      </c>
    </row>
    <row r="2743" ht="25.5" customHeight="1" s="289">
      <c r="A2743" s="205" t="n"/>
      <c r="B2743" s="207" t="n"/>
      <c r="C2743" s="104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348" t="n"/>
      <c r="E2743" s="349">
        <f>IF(C2743="","",IFERROR(VLOOKUP(C2743,parametros!$A$11:$E$15,5,0),""))</f>
        <v/>
      </c>
      <c r="F2743" s="335">
        <f>IF(OR(D2743="",E2743=""),"",ROUND(D2743*E2743,2))</f>
        <v/>
      </c>
      <c r="G2743" s="106" t="n"/>
      <c r="H2743" s="350">
        <f>IF(G2743="Sim",IF(OR(F2743="",D2743="",L2743=""),"",IF(L2743="Sim",ROUND(F2743-D2743,2),0)),0)</f>
        <v/>
      </c>
      <c r="I2743" s="350">
        <f>IF(G2743="Sim",0,IF(OR(F2743="",L2743=""),"",F2743))</f>
        <v/>
      </c>
      <c r="J2743" s="350">
        <f>IF(G2743="Sim",0,IF(OR(F2743="",D2743="",L2743=""),"",IF(L2743="Sim",ROUND(F2743-D2743,2),0)))</f>
        <v/>
      </c>
      <c r="K2743" s="97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inlineStr">
        <is>
          <t>Nao</t>
        </is>
      </c>
      <c r="W2743" s="110" t="inlineStr">
        <is>
          <t>PC em analise</t>
        </is>
      </c>
      <c r="X2743" s="110" t="inlineStr">
        <is>
          <t>Pedido de Compra</t>
        </is>
      </c>
      <c r="Y2743" s="111" t="inlineStr">
        <is>
          <t>Impacto Potencial</t>
        </is>
      </c>
      <c r="Z2743" s="111" t="inlineStr">
        <is>
          <t>PC</t>
        </is>
      </c>
      <c r="AA2743" s="111" t="inlineStr">
        <is>
          <t>Nao</t>
        </is>
      </c>
      <c r="AB2743" s="111" t="inlineStr">
        <is>
          <t>NAO_COMPUTADO</t>
        </is>
      </c>
      <c r="AC2743" s="112" t="inlineStr">
        <is>
          <t>Estrutura Fase 1: sem impacto no VTA oficial</t>
        </is>
      </c>
    </row>
    <row r="2744" ht="25.5" customHeight="1" s="289">
      <c r="A2744" s="205" t="n"/>
      <c r="B2744" s="207" t="n"/>
      <c r="C2744" s="104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348" t="n"/>
      <c r="E2744" s="349">
        <f>IF(C2744="","",IFERROR(VLOOKUP(C2744,parametros!$A$11:$E$15,5,0),""))</f>
        <v/>
      </c>
      <c r="F2744" s="335">
        <f>IF(OR(D2744="",E2744=""),"",ROUND(D2744*E2744,2))</f>
        <v/>
      </c>
      <c r="G2744" s="106" t="n"/>
      <c r="H2744" s="350">
        <f>IF(G2744="Sim",IF(OR(F2744="",D2744="",L2744=""),"",IF(L2744="Sim",ROUND(F2744-D2744,2),0)),0)</f>
        <v/>
      </c>
      <c r="I2744" s="350">
        <f>IF(G2744="Sim",0,IF(OR(F2744="",L2744=""),"",F2744))</f>
        <v/>
      </c>
      <c r="J2744" s="350">
        <f>IF(G2744="Sim",0,IF(OR(F2744="",D2744="",L2744=""),"",IF(L2744="Sim",ROUND(F2744-D2744,2),0)))</f>
        <v/>
      </c>
      <c r="K2744" s="97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inlineStr">
        <is>
          <t>Nao</t>
        </is>
      </c>
      <c r="W2744" s="110" t="inlineStr">
        <is>
          <t>PC em analise</t>
        </is>
      </c>
      <c r="X2744" s="110" t="inlineStr">
        <is>
          <t>Pedido de Compra</t>
        </is>
      </c>
      <c r="Y2744" s="111" t="inlineStr">
        <is>
          <t>Impacto Potencial</t>
        </is>
      </c>
      <c r="Z2744" s="111" t="inlineStr">
        <is>
          <t>PC</t>
        </is>
      </c>
      <c r="AA2744" s="111" t="inlineStr">
        <is>
          <t>Nao</t>
        </is>
      </c>
      <c r="AB2744" s="111" t="inlineStr">
        <is>
          <t>NAO_COMPUTADO</t>
        </is>
      </c>
      <c r="AC2744" s="112" t="inlineStr">
        <is>
          <t>Estrutura Fase 1: sem impacto no VTA oficial</t>
        </is>
      </c>
    </row>
    <row r="2745" ht="25.5" customHeight="1" s="289">
      <c r="A2745" s="205" t="n"/>
      <c r="B2745" s="207" t="n"/>
      <c r="C2745" s="104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348" t="n"/>
      <c r="E2745" s="349">
        <f>IF(C2745="","",IFERROR(VLOOKUP(C2745,parametros!$A$11:$E$15,5,0),""))</f>
        <v/>
      </c>
      <c r="F2745" s="335">
        <f>IF(OR(D2745="",E2745=""),"",ROUND(D2745*E2745,2))</f>
        <v/>
      </c>
      <c r="G2745" s="106" t="n"/>
      <c r="H2745" s="350">
        <f>IF(G2745="Sim",IF(OR(F2745="",D2745="",L2745=""),"",IF(L2745="Sim",ROUND(F2745-D2745,2),0)),0)</f>
        <v/>
      </c>
      <c r="I2745" s="350">
        <f>IF(G2745="Sim",0,IF(OR(F2745="",L2745=""),"",F2745))</f>
        <v/>
      </c>
      <c r="J2745" s="350">
        <f>IF(G2745="Sim",0,IF(OR(F2745="",D2745="",L2745=""),"",IF(L2745="Sim",ROUND(F2745-D2745,2),0)))</f>
        <v/>
      </c>
      <c r="K2745" s="97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inlineStr">
        <is>
          <t>Nao</t>
        </is>
      </c>
      <c r="W2745" s="110" t="inlineStr">
        <is>
          <t>PC em analise</t>
        </is>
      </c>
      <c r="X2745" s="110" t="inlineStr">
        <is>
          <t>Pedido de Compra</t>
        </is>
      </c>
      <c r="Y2745" s="111" t="inlineStr">
        <is>
          <t>Impacto Potencial</t>
        </is>
      </c>
      <c r="Z2745" s="111" t="inlineStr">
        <is>
          <t>PC</t>
        </is>
      </c>
      <c r="AA2745" s="111" t="inlineStr">
        <is>
          <t>Nao</t>
        </is>
      </c>
      <c r="AB2745" s="111" t="inlineStr">
        <is>
          <t>NAO_COMPUTADO</t>
        </is>
      </c>
      <c r="AC2745" s="112" t="inlineStr">
        <is>
          <t>Estrutura Fase 1: sem impacto no VTA oficial</t>
        </is>
      </c>
    </row>
    <row r="2746" ht="25.5" customHeight="1" s="289">
      <c r="A2746" s="205" t="n"/>
      <c r="B2746" s="207" t="n"/>
      <c r="C2746" s="104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348" t="n"/>
      <c r="E2746" s="349">
        <f>IF(C2746="","",IFERROR(VLOOKUP(C2746,parametros!$A$11:$E$15,5,0),""))</f>
        <v/>
      </c>
      <c r="F2746" s="335">
        <f>IF(OR(D2746="",E2746=""),"",ROUND(D2746*E2746,2))</f>
        <v/>
      </c>
      <c r="G2746" s="106" t="n"/>
      <c r="H2746" s="350">
        <f>IF(G2746="Sim",IF(OR(F2746="",D2746="",L2746=""),"",IF(L2746="Sim",ROUND(F2746-D2746,2),0)),0)</f>
        <v/>
      </c>
      <c r="I2746" s="350">
        <f>IF(G2746="Sim",0,IF(OR(F2746="",L2746=""),"",F2746))</f>
        <v/>
      </c>
      <c r="J2746" s="350">
        <f>IF(G2746="Sim",0,IF(OR(F2746="",D2746="",L2746=""),"",IF(L2746="Sim",ROUND(F2746-D2746,2),0)))</f>
        <v/>
      </c>
      <c r="K2746" s="97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inlineStr">
        <is>
          <t>Nao</t>
        </is>
      </c>
      <c r="W2746" s="110" t="inlineStr">
        <is>
          <t>PC em analise</t>
        </is>
      </c>
      <c r="X2746" s="110" t="inlineStr">
        <is>
          <t>Pedido de Compra</t>
        </is>
      </c>
      <c r="Y2746" s="111" t="inlineStr">
        <is>
          <t>Impacto Potencial</t>
        </is>
      </c>
      <c r="Z2746" s="111" t="inlineStr">
        <is>
          <t>PC</t>
        </is>
      </c>
      <c r="AA2746" s="111" t="inlineStr">
        <is>
          <t>Nao</t>
        </is>
      </c>
      <c r="AB2746" s="111" t="inlineStr">
        <is>
          <t>NAO_COMPUTADO</t>
        </is>
      </c>
      <c r="AC2746" s="112" t="inlineStr">
        <is>
          <t>Estrutura Fase 1: sem impacto no VTA oficial</t>
        </is>
      </c>
    </row>
    <row r="2747" ht="25.5" customHeight="1" s="289">
      <c r="A2747" s="205" t="n"/>
      <c r="B2747" s="207" t="n"/>
      <c r="C2747" s="104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348" t="n"/>
      <c r="E2747" s="349">
        <f>IF(C2747="","",IFERROR(VLOOKUP(C2747,parametros!$A$11:$E$15,5,0),""))</f>
        <v/>
      </c>
      <c r="F2747" s="335">
        <f>IF(OR(D2747="",E2747=""),"",ROUND(D2747*E2747,2))</f>
        <v/>
      </c>
      <c r="G2747" s="106" t="n"/>
      <c r="H2747" s="350">
        <f>IF(G2747="Sim",IF(OR(F2747="",D2747="",L2747=""),"",IF(L2747="Sim",ROUND(F2747-D2747,2),0)),0)</f>
        <v/>
      </c>
      <c r="I2747" s="350">
        <f>IF(G2747="Sim",0,IF(OR(F2747="",L2747=""),"",F2747))</f>
        <v/>
      </c>
      <c r="J2747" s="350">
        <f>IF(G2747="Sim",0,IF(OR(F2747="",D2747="",L2747=""),"",IF(L2747="Sim",ROUND(F2747-D2747,2),0)))</f>
        <v/>
      </c>
      <c r="K2747" s="97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inlineStr">
        <is>
          <t>Nao</t>
        </is>
      </c>
      <c r="W2747" s="110" t="inlineStr">
        <is>
          <t>PC em analise</t>
        </is>
      </c>
      <c r="X2747" s="110" t="inlineStr">
        <is>
          <t>Pedido de Compra</t>
        </is>
      </c>
      <c r="Y2747" s="111" t="inlineStr">
        <is>
          <t>Impacto Potencial</t>
        </is>
      </c>
      <c r="Z2747" s="111" t="inlineStr">
        <is>
          <t>PC</t>
        </is>
      </c>
      <c r="AA2747" s="111" t="inlineStr">
        <is>
          <t>Nao</t>
        </is>
      </c>
      <c r="AB2747" s="111" t="inlineStr">
        <is>
          <t>NAO_COMPUTADO</t>
        </is>
      </c>
      <c r="AC2747" s="112" t="inlineStr">
        <is>
          <t>Estrutura Fase 1: sem impacto no VTA oficial</t>
        </is>
      </c>
    </row>
    <row r="2748" ht="25.5" customHeight="1" s="289">
      <c r="A2748" s="205" t="n"/>
      <c r="B2748" s="207" t="n"/>
      <c r="C2748" s="104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348" t="n"/>
      <c r="E2748" s="349">
        <f>IF(C2748="","",IFERROR(VLOOKUP(C2748,parametros!$A$11:$E$15,5,0),""))</f>
        <v/>
      </c>
      <c r="F2748" s="335">
        <f>IF(OR(D2748="",E2748=""),"",ROUND(D2748*E2748,2))</f>
        <v/>
      </c>
      <c r="G2748" s="106" t="n"/>
      <c r="H2748" s="350">
        <f>IF(G2748="Sim",IF(OR(F2748="",D2748="",L2748=""),"",IF(L2748="Sim",ROUND(F2748-D2748,2),0)),0)</f>
        <v/>
      </c>
      <c r="I2748" s="350">
        <f>IF(G2748="Sim",0,IF(OR(F2748="",L2748=""),"",F2748))</f>
        <v/>
      </c>
      <c r="J2748" s="350">
        <f>IF(G2748="Sim",0,IF(OR(F2748="",D2748="",L2748=""),"",IF(L2748="Sim",ROUND(F2748-D2748,2),0)))</f>
        <v/>
      </c>
      <c r="K2748" s="97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inlineStr">
        <is>
          <t>Nao</t>
        </is>
      </c>
      <c r="W2748" s="110" t="inlineStr">
        <is>
          <t>PC em analise</t>
        </is>
      </c>
      <c r="X2748" s="110" t="inlineStr">
        <is>
          <t>Pedido de Compra</t>
        </is>
      </c>
      <c r="Y2748" s="111" t="inlineStr">
        <is>
          <t>Impacto Potencial</t>
        </is>
      </c>
      <c r="Z2748" s="111" t="inlineStr">
        <is>
          <t>PC</t>
        </is>
      </c>
      <c r="AA2748" s="111" t="inlineStr">
        <is>
          <t>Nao</t>
        </is>
      </c>
      <c r="AB2748" s="111" t="inlineStr">
        <is>
          <t>NAO_COMPUTADO</t>
        </is>
      </c>
      <c r="AC2748" s="112" t="inlineStr">
        <is>
          <t>Estrutura Fase 1: sem impacto no VTA oficial</t>
        </is>
      </c>
    </row>
    <row r="2749" ht="25.5" customHeight="1" s="289">
      <c r="A2749" s="205" t="n"/>
      <c r="B2749" s="207" t="n"/>
      <c r="C2749" s="104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348" t="n"/>
      <c r="E2749" s="349">
        <f>IF(C2749="","",IFERROR(VLOOKUP(C2749,parametros!$A$11:$E$15,5,0),""))</f>
        <v/>
      </c>
      <c r="F2749" s="335">
        <f>IF(OR(D2749="",E2749=""),"",ROUND(D2749*E2749,2))</f>
        <v/>
      </c>
      <c r="G2749" s="106" t="n"/>
      <c r="H2749" s="350">
        <f>IF(G2749="Sim",IF(OR(F2749="",D2749="",L2749=""),"",IF(L2749="Sim",ROUND(F2749-D2749,2),0)),0)</f>
        <v/>
      </c>
      <c r="I2749" s="350">
        <f>IF(G2749="Sim",0,IF(OR(F2749="",L2749=""),"",F2749))</f>
        <v/>
      </c>
      <c r="J2749" s="350">
        <f>IF(G2749="Sim",0,IF(OR(F2749="",D2749="",L2749=""),"",IF(L2749="Sim",ROUND(F2749-D2749,2),0)))</f>
        <v/>
      </c>
      <c r="K2749" s="97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inlineStr">
        <is>
          <t>Nao</t>
        </is>
      </c>
      <c r="W2749" s="110" t="inlineStr">
        <is>
          <t>PC em analise</t>
        </is>
      </c>
      <c r="X2749" s="110" t="inlineStr">
        <is>
          <t>Pedido de Compra</t>
        </is>
      </c>
      <c r="Y2749" s="111" t="inlineStr">
        <is>
          <t>Impacto Potencial</t>
        </is>
      </c>
      <c r="Z2749" s="111" t="inlineStr">
        <is>
          <t>PC</t>
        </is>
      </c>
      <c r="AA2749" s="111" t="inlineStr">
        <is>
          <t>Nao</t>
        </is>
      </c>
      <c r="AB2749" s="111" t="inlineStr">
        <is>
          <t>NAO_COMPUTADO</t>
        </is>
      </c>
      <c r="AC2749" s="112" t="inlineStr">
        <is>
          <t>Estrutura Fase 1: sem impacto no VTA oficial</t>
        </is>
      </c>
    </row>
    <row r="2750" ht="25.5" customHeight="1" s="289">
      <c r="A2750" s="205" t="n"/>
      <c r="B2750" s="207" t="n"/>
      <c r="C2750" s="104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348" t="n"/>
      <c r="E2750" s="349">
        <f>IF(C2750="","",IFERROR(VLOOKUP(C2750,parametros!$A$11:$E$15,5,0),""))</f>
        <v/>
      </c>
      <c r="F2750" s="335">
        <f>IF(OR(D2750="",E2750=""),"",ROUND(D2750*E2750,2))</f>
        <v/>
      </c>
      <c r="G2750" s="106" t="n"/>
      <c r="H2750" s="350">
        <f>IF(G2750="Sim",IF(OR(F2750="",D2750="",L2750=""),"",IF(L2750="Sim",ROUND(F2750-D2750,2),0)),0)</f>
        <v/>
      </c>
      <c r="I2750" s="350">
        <f>IF(G2750="Sim",0,IF(OR(F2750="",L2750=""),"",F2750))</f>
        <v/>
      </c>
      <c r="J2750" s="350">
        <f>IF(G2750="Sim",0,IF(OR(F2750="",D2750="",L2750=""),"",IF(L2750="Sim",ROUND(F2750-D2750,2),0)))</f>
        <v/>
      </c>
      <c r="K2750" s="97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inlineStr">
        <is>
          <t>Nao</t>
        </is>
      </c>
      <c r="W2750" s="110" t="inlineStr">
        <is>
          <t>PC em analise</t>
        </is>
      </c>
      <c r="X2750" s="110" t="inlineStr">
        <is>
          <t>Pedido de Compra</t>
        </is>
      </c>
      <c r="Y2750" s="111" t="inlineStr">
        <is>
          <t>Impacto Potencial</t>
        </is>
      </c>
      <c r="Z2750" s="111" t="inlineStr">
        <is>
          <t>PC</t>
        </is>
      </c>
      <c r="AA2750" s="111" t="inlineStr">
        <is>
          <t>Nao</t>
        </is>
      </c>
      <c r="AB2750" s="111" t="inlineStr">
        <is>
          <t>NAO_COMPUTADO</t>
        </is>
      </c>
      <c r="AC2750" s="112" t="inlineStr">
        <is>
          <t>Estrutura Fase 1: sem impacto no VTA oficial</t>
        </is>
      </c>
    </row>
    <row r="2751" ht="25.5" customHeight="1" s="289">
      <c r="A2751" s="205" t="n"/>
      <c r="B2751" s="207" t="n"/>
      <c r="C2751" s="104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348" t="n"/>
      <c r="E2751" s="349">
        <f>IF(C2751="","",IFERROR(VLOOKUP(C2751,parametros!$A$11:$E$15,5,0),""))</f>
        <v/>
      </c>
      <c r="F2751" s="335">
        <f>IF(OR(D2751="",E2751=""),"",ROUND(D2751*E2751,2))</f>
        <v/>
      </c>
      <c r="G2751" s="106" t="n"/>
      <c r="H2751" s="350">
        <f>IF(G2751="Sim",IF(OR(F2751="",D2751="",L2751=""),"",IF(L2751="Sim",ROUND(F2751-D2751,2),0)),0)</f>
        <v/>
      </c>
      <c r="I2751" s="350">
        <f>IF(G2751="Sim",0,IF(OR(F2751="",L2751=""),"",F2751))</f>
        <v/>
      </c>
      <c r="J2751" s="350">
        <f>IF(G2751="Sim",0,IF(OR(F2751="",D2751="",L2751=""),"",IF(L2751="Sim",ROUND(F2751-D2751,2),0)))</f>
        <v/>
      </c>
      <c r="K2751" s="97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inlineStr">
        <is>
          <t>Nao</t>
        </is>
      </c>
      <c r="W2751" s="110" t="inlineStr">
        <is>
          <t>PC em analise</t>
        </is>
      </c>
      <c r="X2751" s="110" t="inlineStr">
        <is>
          <t>Pedido de Compra</t>
        </is>
      </c>
      <c r="Y2751" s="111" t="inlineStr">
        <is>
          <t>Impacto Potencial</t>
        </is>
      </c>
      <c r="Z2751" s="111" t="inlineStr">
        <is>
          <t>PC</t>
        </is>
      </c>
      <c r="AA2751" s="111" t="inlineStr">
        <is>
          <t>Nao</t>
        </is>
      </c>
      <c r="AB2751" s="111" t="inlineStr">
        <is>
          <t>NAO_COMPUTADO</t>
        </is>
      </c>
      <c r="AC2751" s="112" t="inlineStr">
        <is>
          <t>Estrutura Fase 1: sem impacto no VTA oficial</t>
        </is>
      </c>
    </row>
    <row r="2752" ht="25.5" customHeight="1" s="289">
      <c r="A2752" s="205" t="n"/>
      <c r="B2752" s="207" t="n"/>
      <c r="C2752" s="104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348" t="n"/>
      <c r="E2752" s="349">
        <f>IF(C2752="","",IFERROR(VLOOKUP(C2752,parametros!$A$11:$E$15,5,0),""))</f>
        <v/>
      </c>
      <c r="F2752" s="335">
        <f>IF(OR(D2752="",E2752=""),"",ROUND(D2752*E2752,2))</f>
        <v/>
      </c>
      <c r="G2752" s="106" t="n"/>
      <c r="H2752" s="350">
        <f>IF(G2752="Sim",IF(OR(F2752="",D2752="",L2752=""),"",IF(L2752="Sim",ROUND(F2752-D2752,2),0)),0)</f>
        <v/>
      </c>
      <c r="I2752" s="350">
        <f>IF(G2752="Sim",0,IF(OR(F2752="",L2752=""),"",F2752))</f>
        <v/>
      </c>
      <c r="J2752" s="350">
        <f>IF(G2752="Sim",0,IF(OR(F2752="",D2752="",L2752=""),"",IF(L2752="Sim",ROUND(F2752-D2752,2),0)))</f>
        <v/>
      </c>
      <c r="K2752" s="97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inlineStr">
        <is>
          <t>Nao</t>
        </is>
      </c>
      <c r="W2752" s="110" t="inlineStr">
        <is>
          <t>PC em analise</t>
        </is>
      </c>
      <c r="X2752" s="110" t="inlineStr">
        <is>
          <t>Pedido de Compra</t>
        </is>
      </c>
      <c r="Y2752" s="111" t="inlineStr">
        <is>
          <t>Impacto Potencial</t>
        </is>
      </c>
      <c r="Z2752" s="111" t="inlineStr">
        <is>
          <t>PC</t>
        </is>
      </c>
      <c r="AA2752" s="111" t="inlineStr">
        <is>
          <t>Nao</t>
        </is>
      </c>
      <c r="AB2752" s="111" t="inlineStr">
        <is>
          <t>NAO_COMPUTADO</t>
        </is>
      </c>
      <c r="AC2752" s="112" t="inlineStr">
        <is>
          <t>Estrutura Fase 1: sem impacto no VTA oficial</t>
        </is>
      </c>
    </row>
    <row r="2753" ht="25.5" customHeight="1" s="289">
      <c r="A2753" s="205" t="n"/>
      <c r="B2753" s="207" t="n"/>
      <c r="C2753" s="104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348" t="n"/>
      <c r="E2753" s="349">
        <f>IF(C2753="","",IFERROR(VLOOKUP(C2753,parametros!$A$11:$E$15,5,0),""))</f>
        <v/>
      </c>
      <c r="F2753" s="335">
        <f>IF(OR(D2753="",E2753=""),"",ROUND(D2753*E2753,2))</f>
        <v/>
      </c>
      <c r="G2753" s="106" t="n"/>
      <c r="H2753" s="350">
        <f>IF(G2753="Sim",IF(OR(F2753="",D2753="",L2753=""),"",IF(L2753="Sim",ROUND(F2753-D2753,2),0)),0)</f>
        <v/>
      </c>
      <c r="I2753" s="350">
        <f>IF(G2753="Sim",0,IF(OR(F2753="",L2753=""),"",F2753))</f>
        <v/>
      </c>
      <c r="J2753" s="350">
        <f>IF(G2753="Sim",0,IF(OR(F2753="",D2753="",L2753=""),"",IF(L2753="Sim",ROUND(F2753-D2753,2),0)))</f>
        <v/>
      </c>
      <c r="K2753" s="97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inlineStr">
        <is>
          <t>Nao</t>
        </is>
      </c>
      <c r="W2753" s="110" t="inlineStr">
        <is>
          <t>PC em analise</t>
        </is>
      </c>
      <c r="X2753" s="110" t="inlineStr">
        <is>
          <t>Pedido de Compra</t>
        </is>
      </c>
      <c r="Y2753" s="111" t="inlineStr">
        <is>
          <t>Impacto Potencial</t>
        </is>
      </c>
      <c r="Z2753" s="111" t="inlineStr">
        <is>
          <t>PC</t>
        </is>
      </c>
      <c r="AA2753" s="111" t="inlineStr">
        <is>
          <t>Nao</t>
        </is>
      </c>
      <c r="AB2753" s="111" t="inlineStr">
        <is>
          <t>NAO_COMPUTADO</t>
        </is>
      </c>
      <c r="AC2753" s="112" t="inlineStr">
        <is>
          <t>Estrutura Fase 1: sem impacto no VTA oficial</t>
        </is>
      </c>
    </row>
    <row r="2754" ht="25.5" customHeight="1" s="289">
      <c r="A2754" s="205" t="n"/>
      <c r="B2754" s="207" t="n"/>
      <c r="C2754" s="104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348" t="n"/>
      <c r="E2754" s="349">
        <f>IF(C2754="","",IFERROR(VLOOKUP(C2754,parametros!$A$11:$E$15,5,0),""))</f>
        <v/>
      </c>
      <c r="F2754" s="335">
        <f>IF(OR(D2754="",E2754=""),"",ROUND(D2754*E2754,2))</f>
        <v/>
      </c>
      <c r="G2754" s="106" t="n"/>
      <c r="H2754" s="350">
        <f>IF(G2754="Sim",IF(OR(F2754="",D2754="",L2754=""),"",IF(L2754="Sim",ROUND(F2754-D2754,2),0)),0)</f>
        <v/>
      </c>
      <c r="I2754" s="350">
        <f>IF(G2754="Sim",0,IF(OR(F2754="",L2754=""),"",F2754))</f>
        <v/>
      </c>
      <c r="J2754" s="350">
        <f>IF(G2754="Sim",0,IF(OR(F2754="",D2754="",L2754=""),"",IF(L2754="Sim",ROUND(F2754-D2754,2),0)))</f>
        <v/>
      </c>
      <c r="K2754" s="97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inlineStr">
        <is>
          <t>Nao</t>
        </is>
      </c>
      <c r="W2754" s="110" t="inlineStr">
        <is>
          <t>PC em analise</t>
        </is>
      </c>
      <c r="X2754" s="110" t="inlineStr">
        <is>
          <t>Pedido de Compra</t>
        </is>
      </c>
      <c r="Y2754" s="111" t="inlineStr">
        <is>
          <t>Impacto Potencial</t>
        </is>
      </c>
      <c r="Z2754" s="111" t="inlineStr">
        <is>
          <t>PC</t>
        </is>
      </c>
      <c r="AA2754" s="111" t="inlineStr">
        <is>
          <t>Nao</t>
        </is>
      </c>
      <c r="AB2754" s="111" t="inlineStr">
        <is>
          <t>NAO_COMPUTADO</t>
        </is>
      </c>
      <c r="AC2754" s="112" t="inlineStr">
        <is>
          <t>Estrutura Fase 1: sem impacto no VTA oficial</t>
        </is>
      </c>
    </row>
    <row r="2755" ht="25.5" customHeight="1" s="289">
      <c r="A2755" s="205" t="n"/>
      <c r="B2755" s="207" t="n"/>
      <c r="C2755" s="104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348" t="n"/>
      <c r="E2755" s="349">
        <f>IF(C2755="","",IFERROR(VLOOKUP(C2755,parametros!$A$11:$E$15,5,0),""))</f>
        <v/>
      </c>
      <c r="F2755" s="335">
        <f>IF(OR(D2755="",E2755=""),"",ROUND(D2755*E2755,2))</f>
        <v/>
      </c>
      <c r="G2755" s="106" t="n"/>
      <c r="H2755" s="350">
        <f>IF(G2755="Sim",IF(OR(F2755="",D2755="",L2755=""),"",IF(L2755="Sim",ROUND(F2755-D2755,2),0)),0)</f>
        <v/>
      </c>
      <c r="I2755" s="350">
        <f>IF(G2755="Sim",0,IF(OR(F2755="",L2755=""),"",F2755))</f>
        <v/>
      </c>
      <c r="J2755" s="350">
        <f>IF(G2755="Sim",0,IF(OR(F2755="",D2755="",L2755=""),"",IF(L2755="Sim",ROUND(F2755-D2755,2),0)))</f>
        <v/>
      </c>
      <c r="K2755" s="97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inlineStr">
        <is>
          <t>Nao</t>
        </is>
      </c>
      <c r="W2755" s="110" t="inlineStr">
        <is>
          <t>PC em analise</t>
        </is>
      </c>
      <c r="X2755" s="110" t="inlineStr">
        <is>
          <t>Pedido de Compra</t>
        </is>
      </c>
      <c r="Y2755" s="111" t="inlineStr">
        <is>
          <t>Impacto Potencial</t>
        </is>
      </c>
      <c r="Z2755" s="111" t="inlineStr">
        <is>
          <t>PC</t>
        </is>
      </c>
      <c r="AA2755" s="111" t="inlineStr">
        <is>
          <t>Nao</t>
        </is>
      </c>
      <c r="AB2755" s="111" t="inlineStr">
        <is>
          <t>NAO_COMPUTADO</t>
        </is>
      </c>
      <c r="AC2755" s="112" t="inlineStr">
        <is>
          <t>Estrutura Fase 1: sem impacto no VTA oficial</t>
        </is>
      </c>
    </row>
    <row r="2756" ht="25.5" customHeight="1" s="289">
      <c r="A2756" s="205" t="n"/>
      <c r="B2756" s="207" t="n"/>
      <c r="C2756" s="104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348" t="n"/>
      <c r="E2756" s="349">
        <f>IF(C2756="","",IFERROR(VLOOKUP(C2756,parametros!$A$11:$E$15,5,0),""))</f>
        <v/>
      </c>
      <c r="F2756" s="335">
        <f>IF(OR(D2756="",E2756=""),"",ROUND(D2756*E2756,2))</f>
        <v/>
      </c>
      <c r="G2756" s="106" t="n"/>
      <c r="H2756" s="350">
        <f>IF(G2756="Sim",IF(OR(F2756="",D2756="",L2756=""),"",IF(L2756="Sim",ROUND(F2756-D2756,2),0)),0)</f>
        <v/>
      </c>
      <c r="I2756" s="350">
        <f>IF(G2756="Sim",0,IF(OR(F2756="",L2756=""),"",F2756))</f>
        <v/>
      </c>
      <c r="J2756" s="350">
        <f>IF(G2756="Sim",0,IF(OR(F2756="",D2756="",L2756=""),"",IF(L2756="Sim",ROUND(F2756-D2756,2),0)))</f>
        <v/>
      </c>
      <c r="K2756" s="97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inlineStr">
        <is>
          <t>Nao</t>
        </is>
      </c>
      <c r="W2756" s="110" t="inlineStr">
        <is>
          <t>PC em analise</t>
        </is>
      </c>
      <c r="X2756" s="110" t="inlineStr">
        <is>
          <t>Pedido de Compra</t>
        </is>
      </c>
      <c r="Y2756" s="111" t="inlineStr">
        <is>
          <t>Impacto Potencial</t>
        </is>
      </c>
      <c r="Z2756" s="111" t="inlineStr">
        <is>
          <t>PC</t>
        </is>
      </c>
      <c r="AA2756" s="111" t="inlineStr">
        <is>
          <t>Nao</t>
        </is>
      </c>
      <c r="AB2756" s="111" t="inlineStr">
        <is>
          <t>NAO_COMPUTADO</t>
        </is>
      </c>
      <c r="AC2756" s="112" t="inlineStr">
        <is>
          <t>Estrutura Fase 1: sem impacto no VTA oficial</t>
        </is>
      </c>
    </row>
    <row r="2757" ht="25.5" customHeight="1" s="289">
      <c r="A2757" s="205" t="n"/>
      <c r="B2757" s="207" t="n"/>
      <c r="C2757" s="104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348" t="n"/>
      <c r="E2757" s="349">
        <f>IF(C2757="","",IFERROR(VLOOKUP(C2757,parametros!$A$11:$E$15,5,0),""))</f>
        <v/>
      </c>
      <c r="F2757" s="335">
        <f>IF(OR(D2757="",E2757=""),"",ROUND(D2757*E2757,2))</f>
        <v/>
      </c>
      <c r="G2757" s="106" t="n"/>
      <c r="H2757" s="350">
        <f>IF(G2757="Sim",IF(OR(F2757="",D2757="",L2757=""),"",IF(L2757="Sim",ROUND(F2757-D2757,2),0)),0)</f>
        <v/>
      </c>
      <c r="I2757" s="350">
        <f>IF(G2757="Sim",0,IF(OR(F2757="",L2757=""),"",F2757))</f>
        <v/>
      </c>
      <c r="J2757" s="350">
        <f>IF(G2757="Sim",0,IF(OR(F2757="",D2757="",L2757=""),"",IF(L2757="Sim",ROUND(F2757-D2757,2),0)))</f>
        <v/>
      </c>
      <c r="K2757" s="97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inlineStr">
        <is>
          <t>Nao</t>
        </is>
      </c>
      <c r="W2757" s="110" t="inlineStr">
        <is>
          <t>PC em analise</t>
        </is>
      </c>
      <c r="X2757" s="110" t="inlineStr">
        <is>
          <t>Pedido de Compra</t>
        </is>
      </c>
      <c r="Y2757" s="111" t="inlineStr">
        <is>
          <t>Impacto Potencial</t>
        </is>
      </c>
      <c r="Z2757" s="111" t="inlineStr">
        <is>
          <t>PC</t>
        </is>
      </c>
      <c r="AA2757" s="111" t="inlineStr">
        <is>
          <t>Nao</t>
        </is>
      </c>
      <c r="AB2757" s="111" t="inlineStr">
        <is>
          <t>NAO_COMPUTADO</t>
        </is>
      </c>
      <c r="AC2757" s="112" t="inlineStr">
        <is>
          <t>Estrutura Fase 1: sem impacto no VTA oficial</t>
        </is>
      </c>
    </row>
    <row r="2758" ht="25.5" customHeight="1" s="289">
      <c r="A2758" s="205" t="n"/>
      <c r="B2758" s="207" t="n"/>
      <c r="C2758" s="104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348" t="n"/>
      <c r="E2758" s="349">
        <f>IF(C2758="","",IFERROR(VLOOKUP(C2758,parametros!$A$11:$E$15,5,0),""))</f>
        <v/>
      </c>
      <c r="F2758" s="335">
        <f>IF(OR(D2758="",E2758=""),"",ROUND(D2758*E2758,2))</f>
        <v/>
      </c>
      <c r="G2758" s="106" t="n"/>
      <c r="H2758" s="350">
        <f>IF(G2758="Sim",IF(OR(F2758="",D2758="",L2758=""),"",IF(L2758="Sim",ROUND(F2758-D2758,2),0)),0)</f>
        <v/>
      </c>
      <c r="I2758" s="350">
        <f>IF(G2758="Sim",0,IF(OR(F2758="",L2758=""),"",F2758))</f>
        <v/>
      </c>
      <c r="J2758" s="350">
        <f>IF(G2758="Sim",0,IF(OR(F2758="",D2758="",L2758=""),"",IF(L2758="Sim",ROUND(F2758-D2758,2),0)))</f>
        <v/>
      </c>
      <c r="K2758" s="97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inlineStr">
        <is>
          <t>Nao</t>
        </is>
      </c>
      <c r="W2758" s="110" t="inlineStr">
        <is>
          <t>PC em analise</t>
        </is>
      </c>
      <c r="X2758" s="110" t="inlineStr">
        <is>
          <t>Pedido de Compra</t>
        </is>
      </c>
      <c r="Y2758" s="111" t="inlineStr">
        <is>
          <t>Impacto Potencial</t>
        </is>
      </c>
      <c r="Z2758" s="111" t="inlineStr">
        <is>
          <t>PC</t>
        </is>
      </c>
      <c r="AA2758" s="111" t="inlineStr">
        <is>
          <t>Nao</t>
        </is>
      </c>
      <c r="AB2758" s="111" t="inlineStr">
        <is>
          <t>NAO_COMPUTADO</t>
        </is>
      </c>
      <c r="AC2758" s="112" t="inlineStr">
        <is>
          <t>Estrutura Fase 1: sem impacto no VTA oficial</t>
        </is>
      </c>
    </row>
    <row r="2759" ht="25.5" customHeight="1" s="289">
      <c r="A2759" s="205" t="n"/>
      <c r="B2759" s="207" t="n"/>
      <c r="C2759" s="104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348" t="n"/>
      <c r="E2759" s="349">
        <f>IF(C2759="","",IFERROR(VLOOKUP(C2759,parametros!$A$11:$E$15,5,0),""))</f>
        <v/>
      </c>
      <c r="F2759" s="335">
        <f>IF(OR(D2759="",E2759=""),"",ROUND(D2759*E2759,2))</f>
        <v/>
      </c>
      <c r="G2759" s="106" t="n"/>
      <c r="H2759" s="350">
        <f>IF(G2759="Sim",IF(OR(F2759="",D2759="",L2759=""),"",IF(L2759="Sim",ROUND(F2759-D2759,2),0)),0)</f>
        <v/>
      </c>
      <c r="I2759" s="350">
        <f>IF(G2759="Sim",0,IF(OR(F2759="",L2759=""),"",F2759))</f>
        <v/>
      </c>
      <c r="J2759" s="350">
        <f>IF(G2759="Sim",0,IF(OR(F2759="",D2759="",L2759=""),"",IF(L2759="Sim",ROUND(F2759-D2759,2),0)))</f>
        <v/>
      </c>
      <c r="K2759" s="97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inlineStr">
        <is>
          <t>Nao</t>
        </is>
      </c>
      <c r="W2759" s="110" t="inlineStr">
        <is>
          <t>PC em analise</t>
        </is>
      </c>
      <c r="X2759" s="110" t="inlineStr">
        <is>
          <t>Pedido de Compra</t>
        </is>
      </c>
      <c r="Y2759" s="111" t="inlineStr">
        <is>
          <t>Impacto Potencial</t>
        </is>
      </c>
      <c r="Z2759" s="111" t="inlineStr">
        <is>
          <t>PC</t>
        </is>
      </c>
      <c r="AA2759" s="111" t="inlineStr">
        <is>
          <t>Nao</t>
        </is>
      </c>
      <c r="AB2759" s="111" t="inlineStr">
        <is>
          <t>NAO_COMPUTADO</t>
        </is>
      </c>
      <c r="AC2759" s="112" t="inlineStr">
        <is>
          <t>Estrutura Fase 1: sem impacto no VTA oficial</t>
        </is>
      </c>
    </row>
    <row r="2760" ht="25.5" customHeight="1" s="289">
      <c r="A2760" s="205" t="n"/>
      <c r="B2760" s="207" t="n"/>
      <c r="C2760" s="104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348" t="n"/>
      <c r="E2760" s="349">
        <f>IF(C2760="","",IFERROR(VLOOKUP(C2760,parametros!$A$11:$E$15,5,0),""))</f>
        <v/>
      </c>
      <c r="F2760" s="335">
        <f>IF(OR(D2760="",E2760=""),"",ROUND(D2760*E2760,2))</f>
        <v/>
      </c>
      <c r="G2760" s="106" t="n"/>
      <c r="H2760" s="350">
        <f>IF(G2760="Sim",IF(OR(F2760="",D2760="",L2760=""),"",IF(L2760="Sim",ROUND(F2760-D2760,2),0)),0)</f>
        <v/>
      </c>
      <c r="I2760" s="350">
        <f>IF(G2760="Sim",0,IF(OR(F2760="",L2760=""),"",F2760))</f>
        <v/>
      </c>
      <c r="J2760" s="350">
        <f>IF(G2760="Sim",0,IF(OR(F2760="",D2760="",L2760=""),"",IF(L2760="Sim",ROUND(F2760-D2760,2),0)))</f>
        <v/>
      </c>
      <c r="K2760" s="97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inlineStr">
        <is>
          <t>Nao</t>
        </is>
      </c>
      <c r="W2760" s="110" t="inlineStr">
        <is>
          <t>PC em analise</t>
        </is>
      </c>
      <c r="X2760" s="110" t="inlineStr">
        <is>
          <t>Pedido de Compra</t>
        </is>
      </c>
      <c r="Y2760" s="111" t="inlineStr">
        <is>
          <t>Impacto Potencial</t>
        </is>
      </c>
      <c r="Z2760" s="111" t="inlineStr">
        <is>
          <t>PC</t>
        </is>
      </c>
      <c r="AA2760" s="111" t="inlineStr">
        <is>
          <t>Nao</t>
        </is>
      </c>
      <c r="AB2760" s="111" t="inlineStr">
        <is>
          <t>NAO_COMPUTADO</t>
        </is>
      </c>
      <c r="AC2760" s="112" t="inlineStr">
        <is>
          <t>Estrutura Fase 1: sem impacto no VTA oficial</t>
        </is>
      </c>
    </row>
    <row r="2761" ht="25.5" customHeight="1" s="289">
      <c r="A2761" s="205" t="n"/>
      <c r="B2761" s="207" t="n"/>
      <c r="C2761" s="104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348" t="n"/>
      <c r="E2761" s="349">
        <f>IF(C2761="","",IFERROR(VLOOKUP(C2761,parametros!$A$11:$E$15,5,0),""))</f>
        <v/>
      </c>
      <c r="F2761" s="335">
        <f>IF(OR(D2761="",E2761=""),"",ROUND(D2761*E2761,2))</f>
        <v/>
      </c>
      <c r="G2761" s="106" t="n"/>
      <c r="H2761" s="350">
        <f>IF(G2761="Sim",IF(OR(F2761="",D2761="",L2761=""),"",IF(L2761="Sim",ROUND(F2761-D2761,2),0)),0)</f>
        <v/>
      </c>
      <c r="I2761" s="350">
        <f>IF(G2761="Sim",0,IF(OR(F2761="",L2761=""),"",F2761))</f>
        <v/>
      </c>
      <c r="J2761" s="350">
        <f>IF(G2761="Sim",0,IF(OR(F2761="",D2761="",L2761=""),"",IF(L2761="Sim",ROUND(F2761-D2761,2),0)))</f>
        <v/>
      </c>
      <c r="K2761" s="97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inlineStr">
        <is>
          <t>Nao</t>
        </is>
      </c>
      <c r="W2761" s="110" t="inlineStr">
        <is>
          <t>PC em analise</t>
        </is>
      </c>
      <c r="X2761" s="110" t="inlineStr">
        <is>
          <t>Pedido de Compra</t>
        </is>
      </c>
      <c r="Y2761" s="111" t="inlineStr">
        <is>
          <t>Impacto Potencial</t>
        </is>
      </c>
      <c r="Z2761" s="111" t="inlineStr">
        <is>
          <t>PC</t>
        </is>
      </c>
      <c r="AA2761" s="111" t="inlineStr">
        <is>
          <t>Nao</t>
        </is>
      </c>
      <c r="AB2761" s="111" t="inlineStr">
        <is>
          <t>NAO_COMPUTADO</t>
        </is>
      </c>
      <c r="AC2761" s="112" t="inlineStr">
        <is>
          <t>Estrutura Fase 1: sem impacto no VTA oficial</t>
        </is>
      </c>
    </row>
    <row r="2762" ht="25.5" customHeight="1" s="289">
      <c r="A2762" s="205" t="n"/>
      <c r="B2762" s="207" t="n"/>
      <c r="C2762" s="104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348" t="n"/>
      <c r="E2762" s="349">
        <f>IF(C2762="","",IFERROR(VLOOKUP(C2762,parametros!$A$11:$E$15,5,0),""))</f>
        <v/>
      </c>
      <c r="F2762" s="335">
        <f>IF(OR(D2762="",E2762=""),"",ROUND(D2762*E2762,2))</f>
        <v/>
      </c>
      <c r="G2762" s="106" t="n"/>
      <c r="H2762" s="350">
        <f>IF(G2762="Sim",IF(OR(F2762="",D2762="",L2762=""),"",IF(L2762="Sim",ROUND(F2762-D2762,2),0)),0)</f>
        <v/>
      </c>
      <c r="I2762" s="350">
        <f>IF(G2762="Sim",0,IF(OR(F2762="",L2762=""),"",F2762))</f>
        <v/>
      </c>
      <c r="J2762" s="350">
        <f>IF(G2762="Sim",0,IF(OR(F2762="",D2762="",L2762=""),"",IF(L2762="Sim",ROUND(F2762-D2762,2),0)))</f>
        <v/>
      </c>
      <c r="K2762" s="97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inlineStr">
        <is>
          <t>Nao</t>
        </is>
      </c>
      <c r="W2762" s="110" t="inlineStr">
        <is>
          <t>PC em analise</t>
        </is>
      </c>
      <c r="X2762" s="110" t="inlineStr">
        <is>
          <t>Pedido de Compra</t>
        </is>
      </c>
      <c r="Y2762" s="111" t="inlineStr">
        <is>
          <t>Impacto Potencial</t>
        </is>
      </c>
      <c r="Z2762" s="111" t="inlineStr">
        <is>
          <t>PC</t>
        </is>
      </c>
      <c r="AA2762" s="111" t="inlineStr">
        <is>
          <t>Nao</t>
        </is>
      </c>
      <c r="AB2762" s="111" t="inlineStr">
        <is>
          <t>NAO_COMPUTADO</t>
        </is>
      </c>
      <c r="AC2762" s="112" t="inlineStr">
        <is>
          <t>Estrutura Fase 1: sem impacto no VTA oficial</t>
        </is>
      </c>
    </row>
    <row r="2763" ht="25.5" customHeight="1" s="289">
      <c r="A2763" s="205" t="n"/>
      <c r="B2763" s="207" t="n"/>
      <c r="C2763" s="104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348" t="n"/>
      <c r="E2763" s="349">
        <f>IF(C2763="","",IFERROR(VLOOKUP(C2763,parametros!$A$11:$E$15,5,0),""))</f>
        <v/>
      </c>
      <c r="F2763" s="335">
        <f>IF(OR(D2763="",E2763=""),"",ROUND(D2763*E2763,2))</f>
        <v/>
      </c>
      <c r="G2763" s="106" t="n"/>
      <c r="H2763" s="350">
        <f>IF(G2763="Sim",IF(OR(F2763="",D2763="",L2763=""),"",IF(L2763="Sim",ROUND(F2763-D2763,2),0)),0)</f>
        <v/>
      </c>
      <c r="I2763" s="350">
        <f>IF(G2763="Sim",0,IF(OR(F2763="",L2763=""),"",F2763))</f>
        <v/>
      </c>
      <c r="J2763" s="350">
        <f>IF(G2763="Sim",0,IF(OR(F2763="",D2763="",L2763=""),"",IF(L2763="Sim",ROUND(F2763-D2763,2),0)))</f>
        <v/>
      </c>
      <c r="K2763" s="97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inlineStr">
        <is>
          <t>Nao</t>
        </is>
      </c>
      <c r="W2763" s="110" t="inlineStr">
        <is>
          <t>PC em analise</t>
        </is>
      </c>
      <c r="X2763" s="110" t="inlineStr">
        <is>
          <t>Pedido de Compra</t>
        </is>
      </c>
      <c r="Y2763" s="111" t="inlineStr">
        <is>
          <t>Impacto Potencial</t>
        </is>
      </c>
      <c r="Z2763" s="111" t="inlineStr">
        <is>
          <t>PC</t>
        </is>
      </c>
      <c r="AA2763" s="111" t="inlineStr">
        <is>
          <t>Nao</t>
        </is>
      </c>
      <c r="AB2763" s="111" t="inlineStr">
        <is>
          <t>NAO_COMPUTADO</t>
        </is>
      </c>
      <c r="AC2763" s="112" t="inlineStr">
        <is>
          <t>Estrutura Fase 1: sem impacto no VTA oficial</t>
        </is>
      </c>
    </row>
    <row r="2764" ht="25.5" customHeight="1" s="289">
      <c r="A2764" s="205" t="n"/>
      <c r="B2764" s="207" t="n"/>
      <c r="C2764" s="104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348" t="n"/>
      <c r="E2764" s="349">
        <f>IF(C2764="","",IFERROR(VLOOKUP(C2764,parametros!$A$11:$E$15,5,0),""))</f>
        <v/>
      </c>
      <c r="F2764" s="335">
        <f>IF(OR(D2764="",E2764=""),"",ROUND(D2764*E2764,2))</f>
        <v/>
      </c>
      <c r="G2764" s="106" t="n"/>
      <c r="H2764" s="350">
        <f>IF(G2764="Sim",IF(OR(F2764="",D2764="",L2764=""),"",IF(L2764="Sim",ROUND(F2764-D2764,2),0)),0)</f>
        <v/>
      </c>
      <c r="I2764" s="350">
        <f>IF(G2764="Sim",0,IF(OR(F2764="",L2764=""),"",F2764))</f>
        <v/>
      </c>
      <c r="J2764" s="350">
        <f>IF(G2764="Sim",0,IF(OR(F2764="",D2764="",L2764=""),"",IF(L2764="Sim",ROUND(F2764-D2764,2),0)))</f>
        <v/>
      </c>
      <c r="K2764" s="97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inlineStr">
        <is>
          <t>Nao</t>
        </is>
      </c>
      <c r="W2764" s="110" t="inlineStr">
        <is>
          <t>PC em analise</t>
        </is>
      </c>
      <c r="X2764" s="110" t="inlineStr">
        <is>
          <t>Pedido de Compra</t>
        </is>
      </c>
      <c r="Y2764" s="111" t="inlineStr">
        <is>
          <t>Impacto Potencial</t>
        </is>
      </c>
      <c r="Z2764" s="111" t="inlineStr">
        <is>
          <t>PC</t>
        </is>
      </c>
      <c r="AA2764" s="111" t="inlineStr">
        <is>
          <t>Nao</t>
        </is>
      </c>
      <c r="AB2764" s="111" t="inlineStr">
        <is>
          <t>NAO_COMPUTADO</t>
        </is>
      </c>
      <c r="AC2764" s="112" t="inlineStr">
        <is>
          <t>Estrutura Fase 1: sem impacto no VTA oficial</t>
        </is>
      </c>
    </row>
    <row r="2765" ht="25.5" customHeight="1" s="289">
      <c r="A2765" s="205" t="n"/>
      <c r="B2765" s="207" t="n"/>
      <c r="C2765" s="104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348" t="n"/>
      <c r="E2765" s="349">
        <f>IF(C2765="","",IFERROR(VLOOKUP(C2765,parametros!$A$11:$E$15,5,0),""))</f>
        <v/>
      </c>
      <c r="F2765" s="335">
        <f>IF(OR(D2765="",E2765=""),"",ROUND(D2765*E2765,2))</f>
        <v/>
      </c>
      <c r="G2765" s="106" t="n"/>
      <c r="H2765" s="350">
        <f>IF(G2765="Sim",IF(OR(F2765="",D2765="",L2765=""),"",IF(L2765="Sim",ROUND(F2765-D2765,2),0)),0)</f>
        <v/>
      </c>
      <c r="I2765" s="350">
        <f>IF(G2765="Sim",0,IF(OR(F2765="",L2765=""),"",F2765))</f>
        <v/>
      </c>
      <c r="J2765" s="350">
        <f>IF(G2765="Sim",0,IF(OR(F2765="",D2765="",L2765=""),"",IF(L2765="Sim",ROUND(F2765-D2765,2),0)))</f>
        <v/>
      </c>
      <c r="K2765" s="97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inlineStr">
        <is>
          <t>Nao</t>
        </is>
      </c>
      <c r="W2765" s="110" t="inlineStr">
        <is>
          <t>PC em analise</t>
        </is>
      </c>
      <c r="X2765" s="110" t="inlineStr">
        <is>
          <t>Pedido de Compra</t>
        </is>
      </c>
      <c r="Y2765" s="111" t="inlineStr">
        <is>
          <t>Impacto Potencial</t>
        </is>
      </c>
      <c r="Z2765" s="111" t="inlineStr">
        <is>
          <t>PC</t>
        </is>
      </c>
      <c r="AA2765" s="111" t="inlineStr">
        <is>
          <t>Nao</t>
        </is>
      </c>
      <c r="AB2765" s="111" t="inlineStr">
        <is>
          <t>NAO_COMPUTADO</t>
        </is>
      </c>
      <c r="AC2765" s="112" t="inlineStr">
        <is>
          <t>Estrutura Fase 1: sem impacto no VTA oficial</t>
        </is>
      </c>
    </row>
    <row r="2766" ht="25.5" customHeight="1" s="289">
      <c r="A2766" s="205" t="n"/>
      <c r="B2766" s="207" t="n"/>
      <c r="C2766" s="104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348" t="n"/>
      <c r="E2766" s="349">
        <f>IF(C2766="","",IFERROR(VLOOKUP(C2766,parametros!$A$11:$E$15,5,0),""))</f>
        <v/>
      </c>
      <c r="F2766" s="335">
        <f>IF(OR(D2766="",E2766=""),"",ROUND(D2766*E2766,2))</f>
        <v/>
      </c>
      <c r="G2766" s="106" t="n"/>
      <c r="H2766" s="350">
        <f>IF(G2766="Sim",IF(OR(F2766="",D2766="",L2766=""),"",IF(L2766="Sim",ROUND(F2766-D2766,2),0)),0)</f>
        <v/>
      </c>
      <c r="I2766" s="350">
        <f>IF(G2766="Sim",0,IF(OR(F2766="",L2766=""),"",F2766))</f>
        <v/>
      </c>
      <c r="J2766" s="350">
        <f>IF(G2766="Sim",0,IF(OR(F2766="",D2766="",L2766=""),"",IF(L2766="Sim",ROUND(F2766-D2766,2),0)))</f>
        <v/>
      </c>
      <c r="K2766" s="97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inlineStr">
        <is>
          <t>Nao</t>
        </is>
      </c>
      <c r="W2766" s="110" t="inlineStr">
        <is>
          <t>PC em analise</t>
        </is>
      </c>
      <c r="X2766" s="110" t="inlineStr">
        <is>
          <t>Pedido de Compra</t>
        </is>
      </c>
      <c r="Y2766" s="111" t="inlineStr">
        <is>
          <t>Impacto Potencial</t>
        </is>
      </c>
      <c r="Z2766" s="111" t="inlineStr">
        <is>
          <t>PC</t>
        </is>
      </c>
      <c r="AA2766" s="111" t="inlineStr">
        <is>
          <t>Nao</t>
        </is>
      </c>
      <c r="AB2766" s="111" t="inlineStr">
        <is>
          <t>NAO_COMPUTADO</t>
        </is>
      </c>
      <c r="AC2766" s="112" t="inlineStr">
        <is>
          <t>Estrutura Fase 1: sem impacto no VTA oficial</t>
        </is>
      </c>
    </row>
    <row r="2767" ht="25.5" customHeight="1" s="289">
      <c r="A2767" s="205" t="n"/>
      <c r="B2767" s="207" t="n"/>
      <c r="C2767" s="104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348" t="n"/>
      <c r="E2767" s="349">
        <f>IF(C2767="","",IFERROR(VLOOKUP(C2767,parametros!$A$11:$E$15,5,0),""))</f>
        <v/>
      </c>
      <c r="F2767" s="335">
        <f>IF(OR(D2767="",E2767=""),"",ROUND(D2767*E2767,2))</f>
        <v/>
      </c>
      <c r="G2767" s="106" t="n"/>
      <c r="H2767" s="350">
        <f>IF(G2767="Sim",IF(OR(F2767="",D2767="",L2767=""),"",IF(L2767="Sim",ROUND(F2767-D2767,2),0)),0)</f>
        <v/>
      </c>
      <c r="I2767" s="350">
        <f>IF(G2767="Sim",0,IF(OR(F2767="",L2767=""),"",F2767))</f>
        <v/>
      </c>
      <c r="J2767" s="350">
        <f>IF(G2767="Sim",0,IF(OR(F2767="",D2767="",L2767=""),"",IF(L2767="Sim",ROUND(F2767-D2767,2),0)))</f>
        <v/>
      </c>
      <c r="K2767" s="97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inlineStr">
        <is>
          <t>Nao</t>
        </is>
      </c>
      <c r="W2767" s="110" t="inlineStr">
        <is>
          <t>PC em analise</t>
        </is>
      </c>
      <c r="X2767" s="110" t="inlineStr">
        <is>
          <t>Pedido de Compra</t>
        </is>
      </c>
      <c r="Y2767" s="111" t="inlineStr">
        <is>
          <t>Impacto Potencial</t>
        </is>
      </c>
      <c r="Z2767" s="111" t="inlineStr">
        <is>
          <t>PC</t>
        </is>
      </c>
      <c r="AA2767" s="111" t="inlineStr">
        <is>
          <t>Nao</t>
        </is>
      </c>
      <c r="AB2767" s="111" t="inlineStr">
        <is>
          <t>NAO_COMPUTADO</t>
        </is>
      </c>
      <c r="AC2767" s="112" t="inlineStr">
        <is>
          <t>Estrutura Fase 1: sem impacto no VTA oficial</t>
        </is>
      </c>
    </row>
    <row r="2768" ht="25.5" customHeight="1" s="289">
      <c r="A2768" s="205" t="n"/>
      <c r="B2768" s="207" t="n"/>
      <c r="C2768" s="104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348" t="n"/>
      <c r="E2768" s="349">
        <f>IF(C2768="","",IFERROR(VLOOKUP(C2768,parametros!$A$11:$E$15,5,0),""))</f>
        <v/>
      </c>
      <c r="F2768" s="335">
        <f>IF(OR(D2768="",E2768=""),"",ROUND(D2768*E2768,2))</f>
        <v/>
      </c>
      <c r="G2768" s="106" t="n"/>
      <c r="H2768" s="350">
        <f>IF(G2768="Sim",IF(OR(F2768="",D2768="",L2768=""),"",IF(L2768="Sim",ROUND(F2768-D2768,2),0)),0)</f>
        <v/>
      </c>
      <c r="I2768" s="350">
        <f>IF(G2768="Sim",0,IF(OR(F2768="",L2768=""),"",F2768))</f>
        <v/>
      </c>
      <c r="J2768" s="350">
        <f>IF(G2768="Sim",0,IF(OR(F2768="",D2768="",L2768=""),"",IF(L2768="Sim",ROUND(F2768-D2768,2),0)))</f>
        <v/>
      </c>
      <c r="K2768" s="97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inlineStr">
        <is>
          <t>Nao</t>
        </is>
      </c>
      <c r="W2768" s="110" t="inlineStr">
        <is>
          <t>PC em analise</t>
        </is>
      </c>
      <c r="X2768" s="110" t="inlineStr">
        <is>
          <t>Pedido de Compra</t>
        </is>
      </c>
      <c r="Y2768" s="111" t="inlineStr">
        <is>
          <t>Impacto Potencial</t>
        </is>
      </c>
      <c r="Z2768" s="111" t="inlineStr">
        <is>
          <t>PC</t>
        </is>
      </c>
      <c r="AA2768" s="111" t="inlineStr">
        <is>
          <t>Nao</t>
        </is>
      </c>
      <c r="AB2768" s="111" t="inlineStr">
        <is>
          <t>NAO_COMPUTADO</t>
        </is>
      </c>
      <c r="AC2768" s="112" t="inlineStr">
        <is>
          <t>Estrutura Fase 1: sem impacto no VTA oficial</t>
        </is>
      </c>
    </row>
    <row r="2769" ht="25.5" customHeight="1" s="289">
      <c r="A2769" s="205" t="n"/>
      <c r="B2769" s="207" t="n"/>
      <c r="C2769" s="104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348" t="n"/>
      <c r="E2769" s="349">
        <f>IF(C2769="","",IFERROR(VLOOKUP(C2769,parametros!$A$11:$E$15,5,0),""))</f>
        <v/>
      </c>
      <c r="F2769" s="335">
        <f>IF(OR(D2769="",E2769=""),"",ROUND(D2769*E2769,2))</f>
        <v/>
      </c>
      <c r="G2769" s="106" t="n"/>
      <c r="H2769" s="350">
        <f>IF(G2769="Sim",IF(OR(F2769="",D2769="",L2769=""),"",IF(L2769="Sim",ROUND(F2769-D2769,2),0)),0)</f>
        <v/>
      </c>
      <c r="I2769" s="350">
        <f>IF(G2769="Sim",0,IF(OR(F2769="",L2769=""),"",F2769))</f>
        <v/>
      </c>
      <c r="J2769" s="350">
        <f>IF(G2769="Sim",0,IF(OR(F2769="",D2769="",L2769=""),"",IF(L2769="Sim",ROUND(F2769-D2769,2),0)))</f>
        <v/>
      </c>
      <c r="K2769" s="97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inlineStr">
        <is>
          <t>Nao</t>
        </is>
      </c>
      <c r="W2769" s="110" t="inlineStr">
        <is>
          <t>PC em analise</t>
        </is>
      </c>
      <c r="X2769" s="110" t="inlineStr">
        <is>
          <t>Pedido de Compra</t>
        </is>
      </c>
      <c r="Y2769" s="111" t="inlineStr">
        <is>
          <t>Impacto Potencial</t>
        </is>
      </c>
      <c r="Z2769" s="111" t="inlineStr">
        <is>
          <t>PC</t>
        </is>
      </c>
      <c r="AA2769" s="111" t="inlineStr">
        <is>
          <t>Nao</t>
        </is>
      </c>
      <c r="AB2769" s="111" t="inlineStr">
        <is>
          <t>NAO_COMPUTADO</t>
        </is>
      </c>
      <c r="AC2769" s="112" t="inlineStr">
        <is>
          <t>Estrutura Fase 1: sem impacto no VTA oficial</t>
        </is>
      </c>
    </row>
    <row r="2770" ht="25.5" customHeight="1" s="289">
      <c r="A2770" s="205" t="n"/>
      <c r="B2770" s="207" t="n"/>
      <c r="C2770" s="104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348" t="n"/>
      <c r="E2770" s="349">
        <f>IF(C2770="","",IFERROR(VLOOKUP(C2770,parametros!$A$11:$E$15,5,0),""))</f>
        <v/>
      </c>
      <c r="F2770" s="335">
        <f>IF(OR(D2770="",E2770=""),"",ROUND(D2770*E2770,2))</f>
        <v/>
      </c>
      <c r="G2770" s="106" t="n"/>
      <c r="H2770" s="350">
        <f>IF(G2770="Sim",IF(OR(F2770="",D2770="",L2770=""),"",IF(L2770="Sim",ROUND(F2770-D2770,2),0)),0)</f>
        <v/>
      </c>
      <c r="I2770" s="350">
        <f>IF(G2770="Sim",0,IF(OR(F2770="",L2770=""),"",F2770))</f>
        <v/>
      </c>
      <c r="J2770" s="350">
        <f>IF(G2770="Sim",0,IF(OR(F2770="",D2770="",L2770=""),"",IF(L2770="Sim",ROUND(F2770-D2770,2),0)))</f>
        <v/>
      </c>
      <c r="K2770" s="97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inlineStr">
        <is>
          <t>Nao</t>
        </is>
      </c>
      <c r="W2770" s="110" t="inlineStr">
        <is>
          <t>PC em analise</t>
        </is>
      </c>
      <c r="X2770" s="110" t="inlineStr">
        <is>
          <t>Pedido de Compra</t>
        </is>
      </c>
      <c r="Y2770" s="111" t="inlineStr">
        <is>
          <t>Impacto Potencial</t>
        </is>
      </c>
      <c r="Z2770" s="111" t="inlineStr">
        <is>
          <t>PC</t>
        </is>
      </c>
      <c r="AA2770" s="111" t="inlineStr">
        <is>
          <t>Nao</t>
        </is>
      </c>
      <c r="AB2770" s="111" t="inlineStr">
        <is>
          <t>NAO_COMPUTADO</t>
        </is>
      </c>
      <c r="AC2770" s="112" t="inlineStr">
        <is>
          <t>Estrutura Fase 1: sem impacto no VTA oficial</t>
        </is>
      </c>
    </row>
    <row r="2771" ht="25.5" customHeight="1" s="289">
      <c r="A2771" s="205" t="n"/>
      <c r="B2771" s="207" t="n"/>
      <c r="C2771" s="104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348" t="n"/>
      <c r="E2771" s="349">
        <f>IF(C2771="","",IFERROR(VLOOKUP(C2771,parametros!$A$11:$E$15,5,0),""))</f>
        <v/>
      </c>
      <c r="F2771" s="335">
        <f>IF(OR(D2771="",E2771=""),"",ROUND(D2771*E2771,2))</f>
        <v/>
      </c>
      <c r="G2771" s="106" t="n"/>
      <c r="H2771" s="350">
        <f>IF(G2771="Sim",IF(OR(F2771="",D2771="",L2771=""),"",IF(L2771="Sim",ROUND(F2771-D2771,2),0)),0)</f>
        <v/>
      </c>
      <c r="I2771" s="350">
        <f>IF(G2771="Sim",0,IF(OR(F2771="",L2771=""),"",F2771))</f>
        <v/>
      </c>
      <c r="J2771" s="350">
        <f>IF(G2771="Sim",0,IF(OR(F2771="",D2771="",L2771=""),"",IF(L2771="Sim",ROUND(F2771-D2771,2),0)))</f>
        <v/>
      </c>
      <c r="K2771" s="97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inlineStr">
        <is>
          <t>Nao</t>
        </is>
      </c>
      <c r="W2771" s="110" t="inlineStr">
        <is>
          <t>PC em analise</t>
        </is>
      </c>
      <c r="X2771" s="110" t="inlineStr">
        <is>
          <t>Pedido de Compra</t>
        </is>
      </c>
      <c r="Y2771" s="111" t="inlineStr">
        <is>
          <t>Impacto Potencial</t>
        </is>
      </c>
      <c r="Z2771" s="111" t="inlineStr">
        <is>
          <t>PC</t>
        </is>
      </c>
      <c r="AA2771" s="111" t="inlineStr">
        <is>
          <t>Nao</t>
        </is>
      </c>
      <c r="AB2771" s="111" t="inlineStr">
        <is>
          <t>NAO_COMPUTADO</t>
        </is>
      </c>
      <c r="AC2771" s="112" t="inlineStr">
        <is>
          <t>Estrutura Fase 1: sem impacto no VTA oficial</t>
        </is>
      </c>
    </row>
    <row r="2772" ht="25.5" customHeight="1" s="289">
      <c r="A2772" s="205" t="n"/>
      <c r="B2772" s="207" t="n"/>
      <c r="C2772" s="104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348" t="n"/>
      <c r="E2772" s="349">
        <f>IF(C2772="","",IFERROR(VLOOKUP(C2772,parametros!$A$11:$E$15,5,0),""))</f>
        <v/>
      </c>
      <c r="F2772" s="335">
        <f>IF(OR(D2772="",E2772=""),"",ROUND(D2772*E2772,2))</f>
        <v/>
      </c>
      <c r="G2772" s="106" t="n"/>
      <c r="H2772" s="350">
        <f>IF(G2772="Sim",IF(OR(F2772="",D2772="",L2772=""),"",IF(L2772="Sim",ROUND(F2772-D2772,2),0)),0)</f>
        <v/>
      </c>
      <c r="I2772" s="350">
        <f>IF(G2772="Sim",0,IF(OR(F2772="",L2772=""),"",F2772))</f>
        <v/>
      </c>
      <c r="J2772" s="350">
        <f>IF(G2772="Sim",0,IF(OR(F2772="",D2772="",L2772=""),"",IF(L2772="Sim",ROUND(F2772-D2772,2),0)))</f>
        <v/>
      </c>
      <c r="K2772" s="97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inlineStr">
        <is>
          <t>Nao</t>
        </is>
      </c>
      <c r="W2772" s="110" t="inlineStr">
        <is>
          <t>PC em analise</t>
        </is>
      </c>
      <c r="X2772" s="110" t="inlineStr">
        <is>
          <t>Pedido de Compra</t>
        </is>
      </c>
      <c r="Y2772" s="111" t="inlineStr">
        <is>
          <t>Impacto Potencial</t>
        </is>
      </c>
      <c r="Z2772" s="111" t="inlineStr">
        <is>
          <t>PC</t>
        </is>
      </c>
      <c r="AA2772" s="111" t="inlineStr">
        <is>
          <t>Nao</t>
        </is>
      </c>
      <c r="AB2772" s="111" t="inlineStr">
        <is>
          <t>NAO_COMPUTADO</t>
        </is>
      </c>
      <c r="AC2772" s="112" t="inlineStr">
        <is>
          <t>Estrutura Fase 1: sem impacto no VTA oficial</t>
        </is>
      </c>
    </row>
    <row r="2773" ht="25.5" customHeight="1" s="289">
      <c r="A2773" s="205" t="n"/>
      <c r="B2773" s="207" t="n"/>
      <c r="C2773" s="104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348" t="n"/>
      <c r="E2773" s="349">
        <f>IF(C2773="","",IFERROR(VLOOKUP(C2773,parametros!$A$11:$E$15,5,0),""))</f>
        <v/>
      </c>
      <c r="F2773" s="335">
        <f>IF(OR(D2773="",E2773=""),"",ROUND(D2773*E2773,2))</f>
        <v/>
      </c>
      <c r="G2773" s="106" t="n"/>
      <c r="H2773" s="350">
        <f>IF(G2773="Sim",IF(OR(F2773="",D2773="",L2773=""),"",IF(L2773="Sim",ROUND(F2773-D2773,2),0)),0)</f>
        <v/>
      </c>
      <c r="I2773" s="350">
        <f>IF(G2773="Sim",0,IF(OR(F2773="",L2773=""),"",F2773))</f>
        <v/>
      </c>
      <c r="J2773" s="350">
        <f>IF(G2773="Sim",0,IF(OR(F2773="",D2773="",L2773=""),"",IF(L2773="Sim",ROUND(F2773-D2773,2),0)))</f>
        <v/>
      </c>
      <c r="K2773" s="97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inlineStr">
        <is>
          <t>Nao</t>
        </is>
      </c>
      <c r="W2773" s="110" t="inlineStr">
        <is>
          <t>PC em analise</t>
        </is>
      </c>
      <c r="X2773" s="110" t="inlineStr">
        <is>
          <t>Pedido de Compra</t>
        </is>
      </c>
      <c r="Y2773" s="111" t="inlineStr">
        <is>
          <t>Impacto Potencial</t>
        </is>
      </c>
      <c r="Z2773" s="111" t="inlineStr">
        <is>
          <t>PC</t>
        </is>
      </c>
      <c r="AA2773" s="111" t="inlineStr">
        <is>
          <t>Nao</t>
        </is>
      </c>
      <c r="AB2773" s="111" t="inlineStr">
        <is>
          <t>NAO_COMPUTADO</t>
        </is>
      </c>
      <c r="AC2773" s="112" t="inlineStr">
        <is>
          <t>Estrutura Fase 1: sem impacto no VTA oficial</t>
        </is>
      </c>
    </row>
    <row r="2774" ht="25.5" customHeight="1" s="289">
      <c r="A2774" s="205" t="n"/>
      <c r="B2774" s="207" t="n"/>
      <c r="C2774" s="104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348" t="n"/>
      <c r="E2774" s="349">
        <f>IF(C2774="","",IFERROR(VLOOKUP(C2774,parametros!$A$11:$E$15,5,0),""))</f>
        <v/>
      </c>
      <c r="F2774" s="335">
        <f>IF(OR(D2774="",E2774=""),"",ROUND(D2774*E2774,2))</f>
        <v/>
      </c>
      <c r="G2774" s="106" t="n"/>
      <c r="H2774" s="350">
        <f>IF(G2774="Sim",IF(OR(F2774="",D2774="",L2774=""),"",IF(L2774="Sim",ROUND(F2774-D2774,2),0)),0)</f>
        <v/>
      </c>
      <c r="I2774" s="350">
        <f>IF(G2774="Sim",0,IF(OR(F2774="",L2774=""),"",F2774))</f>
        <v/>
      </c>
      <c r="J2774" s="350">
        <f>IF(G2774="Sim",0,IF(OR(F2774="",D2774="",L2774=""),"",IF(L2774="Sim",ROUND(F2774-D2774,2),0)))</f>
        <v/>
      </c>
      <c r="K2774" s="97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inlineStr">
        <is>
          <t>Nao</t>
        </is>
      </c>
      <c r="W2774" s="110" t="inlineStr">
        <is>
          <t>PC em analise</t>
        </is>
      </c>
      <c r="X2774" s="110" t="inlineStr">
        <is>
          <t>Pedido de Compra</t>
        </is>
      </c>
      <c r="Y2774" s="111" t="inlineStr">
        <is>
          <t>Impacto Potencial</t>
        </is>
      </c>
      <c r="Z2774" s="111" t="inlineStr">
        <is>
          <t>PC</t>
        </is>
      </c>
      <c r="AA2774" s="111" t="inlineStr">
        <is>
          <t>Nao</t>
        </is>
      </c>
      <c r="AB2774" s="111" t="inlineStr">
        <is>
          <t>NAO_COMPUTADO</t>
        </is>
      </c>
      <c r="AC2774" s="112" t="inlineStr">
        <is>
          <t>Estrutura Fase 1: sem impacto no VTA oficial</t>
        </is>
      </c>
    </row>
    <row r="2775" ht="25.5" customHeight="1" s="289">
      <c r="A2775" s="205" t="n"/>
      <c r="B2775" s="207" t="n"/>
      <c r="C2775" s="104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348" t="n"/>
      <c r="E2775" s="349">
        <f>IF(C2775="","",IFERROR(VLOOKUP(C2775,parametros!$A$11:$E$15,5,0),""))</f>
        <v/>
      </c>
      <c r="F2775" s="335">
        <f>IF(OR(D2775="",E2775=""),"",ROUND(D2775*E2775,2))</f>
        <v/>
      </c>
      <c r="G2775" s="106" t="n"/>
      <c r="H2775" s="350">
        <f>IF(G2775="Sim",IF(OR(F2775="",D2775="",L2775=""),"",IF(L2775="Sim",ROUND(F2775-D2775,2),0)),0)</f>
        <v/>
      </c>
      <c r="I2775" s="350">
        <f>IF(G2775="Sim",0,IF(OR(F2775="",L2775=""),"",F2775))</f>
        <v/>
      </c>
      <c r="J2775" s="350">
        <f>IF(G2775="Sim",0,IF(OR(F2775="",D2775="",L2775=""),"",IF(L2775="Sim",ROUND(F2775-D2775,2),0)))</f>
        <v/>
      </c>
      <c r="K2775" s="97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inlineStr">
        <is>
          <t>Nao</t>
        </is>
      </c>
      <c r="W2775" s="110" t="inlineStr">
        <is>
          <t>PC em analise</t>
        </is>
      </c>
      <c r="X2775" s="110" t="inlineStr">
        <is>
          <t>Pedido de Compra</t>
        </is>
      </c>
      <c r="Y2775" s="111" t="inlineStr">
        <is>
          <t>Impacto Potencial</t>
        </is>
      </c>
      <c r="Z2775" s="111" t="inlineStr">
        <is>
          <t>PC</t>
        </is>
      </c>
      <c r="AA2775" s="111" t="inlineStr">
        <is>
          <t>Nao</t>
        </is>
      </c>
      <c r="AB2775" s="111" t="inlineStr">
        <is>
          <t>NAO_COMPUTADO</t>
        </is>
      </c>
      <c r="AC2775" s="112" t="inlineStr">
        <is>
          <t>Estrutura Fase 1: sem impacto no VTA oficial</t>
        </is>
      </c>
    </row>
    <row r="2776" ht="25.5" customHeight="1" s="289">
      <c r="A2776" s="205" t="n"/>
      <c r="B2776" s="207" t="n"/>
      <c r="C2776" s="104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348" t="n"/>
      <c r="E2776" s="349">
        <f>IF(C2776="","",IFERROR(VLOOKUP(C2776,parametros!$A$11:$E$15,5,0),""))</f>
        <v/>
      </c>
      <c r="F2776" s="335">
        <f>IF(OR(D2776="",E2776=""),"",ROUND(D2776*E2776,2))</f>
        <v/>
      </c>
      <c r="G2776" s="106" t="n"/>
      <c r="H2776" s="350">
        <f>IF(G2776="Sim",IF(OR(F2776="",D2776="",L2776=""),"",IF(L2776="Sim",ROUND(F2776-D2776,2),0)),0)</f>
        <v/>
      </c>
      <c r="I2776" s="350">
        <f>IF(G2776="Sim",0,IF(OR(F2776="",L2776=""),"",F2776))</f>
        <v/>
      </c>
      <c r="J2776" s="350">
        <f>IF(G2776="Sim",0,IF(OR(F2776="",D2776="",L2776=""),"",IF(L2776="Sim",ROUND(F2776-D2776,2),0)))</f>
        <v/>
      </c>
      <c r="K2776" s="97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inlineStr">
        <is>
          <t>Nao</t>
        </is>
      </c>
      <c r="W2776" s="110" t="inlineStr">
        <is>
          <t>PC em analise</t>
        </is>
      </c>
      <c r="X2776" s="110" t="inlineStr">
        <is>
          <t>Pedido de Compra</t>
        </is>
      </c>
      <c r="Y2776" s="111" t="inlineStr">
        <is>
          <t>Impacto Potencial</t>
        </is>
      </c>
      <c r="Z2776" s="111" t="inlineStr">
        <is>
          <t>PC</t>
        </is>
      </c>
      <c r="AA2776" s="111" t="inlineStr">
        <is>
          <t>Nao</t>
        </is>
      </c>
      <c r="AB2776" s="111" t="inlineStr">
        <is>
          <t>NAO_COMPUTADO</t>
        </is>
      </c>
      <c r="AC2776" s="112" t="inlineStr">
        <is>
          <t>Estrutura Fase 1: sem impacto no VTA oficial</t>
        </is>
      </c>
    </row>
    <row r="2777" ht="25.5" customHeight="1" s="289">
      <c r="A2777" s="205" t="n"/>
      <c r="B2777" s="207" t="n"/>
      <c r="C2777" s="104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348" t="n"/>
      <c r="E2777" s="349">
        <f>IF(C2777="","",IFERROR(VLOOKUP(C2777,parametros!$A$11:$E$15,5,0),""))</f>
        <v/>
      </c>
      <c r="F2777" s="335">
        <f>IF(OR(D2777="",E2777=""),"",ROUND(D2777*E2777,2))</f>
        <v/>
      </c>
      <c r="G2777" s="106" t="n"/>
      <c r="H2777" s="350">
        <f>IF(G2777="Sim",IF(OR(F2777="",D2777="",L2777=""),"",IF(L2777="Sim",ROUND(F2777-D2777,2),0)),0)</f>
        <v/>
      </c>
      <c r="I2777" s="350">
        <f>IF(G2777="Sim",0,IF(OR(F2777="",L2777=""),"",F2777))</f>
        <v/>
      </c>
      <c r="J2777" s="350">
        <f>IF(G2777="Sim",0,IF(OR(F2777="",D2777="",L2777=""),"",IF(L2777="Sim",ROUND(F2777-D2777,2),0)))</f>
        <v/>
      </c>
      <c r="K2777" s="97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inlineStr">
        <is>
          <t>Nao</t>
        </is>
      </c>
      <c r="W2777" s="110" t="inlineStr">
        <is>
          <t>PC em analise</t>
        </is>
      </c>
      <c r="X2777" s="110" t="inlineStr">
        <is>
          <t>Pedido de Compra</t>
        </is>
      </c>
      <c r="Y2777" s="111" t="inlineStr">
        <is>
          <t>Impacto Potencial</t>
        </is>
      </c>
      <c r="Z2777" s="111" t="inlineStr">
        <is>
          <t>PC</t>
        </is>
      </c>
      <c r="AA2777" s="111" t="inlineStr">
        <is>
          <t>Nao</t>
        </is>
      </c>
      <c r="AB2777" s="111" t="inlineStr">
        <is>
          <t>NAO_COMPUTADO</t>
        </is>
      </c>
      <c r="AC2777" s="112" t="inlineStr">
        <is>
          <t>Estrutura Fase 1: sem impacto no VTA oficial</t>
        </is>
      </c>
    </row>
    <row r="2778" ht="25.5" customHeight="1" s="289">
      <c r="A2778" s="205" t="n"/>
      <c r="B2778" s="207" t="n"/>
      <c r="C2778" s="104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348" t="n"/>
      <c r="E2778" s="349">
        <f>IF(C2778="","",IFERROR(VLOOKUP(C2778,parametros!$A$11:$E$15,5,0),""))</f>
        <v/>
      </c>
      <c r="F2778" s="335">
        <f>IF(OR(D2778="",E2778=""),"",ROUND(D2778*E2778,2))</f>
        <v/>
      </c>
      <c r="G2778" s="106" t="n"/>
      <c r="H2778" s="350">
        <f>IF(G2778="Sim",IF(OR(F2778="",D2778="",L2778=""),"",IF(L2778="Sim",ROUND(F2778-D2778,2),0)),0)</f>
        <v/>
      </c>
      <c r="I2778" s="350">
        <f>IF(G2778="Sim",0,IF(OR(F2778="",L2778=""),"",F2778))</f>
        <v/>
      </c>
      <c r="J2778" s="350">
        <f>IF(G2778="Sim",0,IF(OR(F2778="",D2778="",L2778=""),"",IF(L2778="Sim",ROUND(F2778-D2778,2),0)))</f>
        <v/>
      </c>
      <c r="K2778" s="97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inlineStr">
        <is>
          <t>Nao</t>
        </is>
      </c>
      <c r="W2778" s="110" t="inlineStr">
        <is>
          <t>PC em analise</t>
        </is>
      </c>
      <c r="X2778" s="110" t="inlineStr">
        <is>
          <t>Pedido de Compra</t>
        </is>
      </c>
      <c r="Y2778" s="111" t="inlineStr">
        <is>
          <t>Impacto Potencial</t>
        </is>
      </c>
      <c r="Z2778" s="111" t="inlineStr">
        <is>
          <t>PC</t>
        </is>
      </c>
      <c r="AA2778" s="111" t="inlineStr">
        <is>
          <t>Nao</t>
        </is>
      </c>
      <c r="AB2778" s="111" t="inlineStr">
        <is>
          <t>NAO_COMPUTADO</t>
        </is>
      </c>
      <c r="AC2778" s="112" t="inlineStr">
        <is>
          <t>Estrutura Fase 1: sem impacto no VTA oficial</t>
        </is>
      </c>
    </row>
    <row r="2779" ht="25.5" customHeight="1" s="289">
      <c r="A2779" s="205" t="n"/>
      <c r="B2779" s="207" t="n"/>
      <c r="C2779" s="104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348" t="n"/>
      <c r="E2779" s="349">
        <f>IF(C2779="","",IFERROR(VLOOKUP(C2779,parametros!$A$11:$E$15,5,0),""))</f>
        <v/>
      </c>
      <c r="F2779" s="335">
        <f>IF(OR(D2779="",E2779=""),"",ROUND(D2779*E2779,2))</f>
        <v/>
      </c>
      <c r="G2779" s="106" t="n"/>
      <c r="H2779" s="350">
        <f>IF(G2779="Sim",IF(OR(F2779="",D2779="",L2779=""),"",IF(L2779="Sim",ROUND(F2779-D2779,2),0)),0)</f>
        <v/>
      </c>
      <c r="I2779" s="350">
        <f>IF(G2779="Sim",0,IF(OR(F2779="",L2779=""),"",F2779))</f>
        <v/>
      </c>
      <c r="J2779" s="350">
        <f>IF(G2779="Sim",0,IF(OR(F2779="",D2779="",L2779=""),"",IF(L2779="Sim",ROUND(F2779-D2779,2),0)))</f>
        <v/>
      </c>
      <c r="K2779" s="97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inlineStr">
        <is>
          <t>Nao</t>
        </is>
      </c>
      <c r="W2779" s="110" t="inlineStr">
        <is>
          <t>PC em analise</t>
        </is>
      </c>
      <c r="X2779" s="110" t="inlineStr">
        <is>
          <t>Pedido de Compra</t>
        </is>
      </c>
      <c r="Y2779" s="111" t="inlineStr">
        <is>
          <t>Impacto Potencial</t>
        </is>
      </c>
      <c r="Z2779" s="111" t="inlineStr">
        <is>
          <t>PC</t>
        </is>
      </c>
      <c r="AA2779" s="111" t="inlineStr">
        <is>
          <t>Nao</t>
        </is>
      </c>
      <c r="AB2779" s="111" t="inlineStr">
        <is>
          <t>NAO_COMPUTADO</t>
        </is>
      </c>
      <c r="AC2779" s="112" t="inlineStr">
        <is>
          <t>Estrutura Fase 1: sem impacto no VTA oficial</t>
        </is>
      </c>
    </row>
    <row r="2780" ht="25.5" customHeight="1" s="289">
      <c r="A2780" s="205" t="n"/>
      <c r="B2780" s="207" t="n"/>
      <c r="C2780" s="104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348" t="n"/>
      <c r="E2780" s="349">
        <f>IF(C2780="","",IFERROR(VLOOKUP(C2780,parametros!$A$11:$E$15,5,0),""))</f>
        <v/>
      </c>
      <c r="F2780" s="335">
        <f>IF(OR(D2780="",E2780=""),"",ROUND(D2780*E2780,2))</f>
        <v/>
      </c>
      <c r="G2780" s="106" t="n"/>
      <c r="H2780" s="350">
        <f>IF(G2780="Sim",IF(OR(F2780="",D2780="",L2780=""),"",IF(L2780="Sim",ROUND(F2780-D2780,2),0)),0)</f>
        <v/>
      </c>
      <c r="I2780" s="350">
        <f>IF(G2780="Sim",0,IF(OR(F2780="",L2780=""),"",F2780))</f>
        <v/>
      </c>
      <c r="J2780" s="350">
        <f>IF(G2780="Sim",0,IF(OR(F2780="",D2780="",L2780=""),"",IF(L2780="Sim",ROUND(F2780-D2780,2),0)))</f>
        <v/>
      </c>
      <c r="K2780" s="97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inlineStr">
        <is>
          <t>Nao</t>
        </is>
      </c>
      <c r="W2780" s="110" t="inlineStr">
        <is>
          <t>PC em analise</t>
        </is>
      </c>
      <c r="X2780" s="110" t="inlineStr">
        <is>
          <t>Pedido de Compra</t>
        </is>
      </c>
      <c r="Y2780" s="111" t="inlineStr">
        <is>
          <t>Impacto Potencial</t>
        </is>
      </c>
      <c r="Z2780" s="111" t="inlineStr">
        <is>
          <t>PC</t>
        </is>
      </c>
      <c r="AA2780" s="111" t="inlineStr">
        <is>
          <t>Nao</t>
        </is>
      </c>
      <c r="AB2780" s="111" t="inlineStr">
        <is>
          <t>NAO_COMPUTADO</t>
        </is>
      </c>
      <c r="AC2780" s="112" t="inlineStr">
        <is>
          <t>Estrutura Fase 1: sem impacto no VTA oficial</t>
        </is>
      </c>
    </row>
    <row r="2781" ht="25.5" customHeight="1" s="289">
      <c r="A2781" s="205" t="n"/>
      <c r="B2781" s="207" t="n"/>
      <c r="C2781" s="104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348" t="n"/>
      <c r="E2781" s="349">
        <f>IF(C2781="","",IFERROR(VLOOKUP(C2781,parametros!$A$11:$E$15,5,0),""))</f>
        <v/>
      </c>
      <c r="F2781" s="335">
        <f>IF(OR(D2781="",E2781=""),"",ROUND(D2781*E2781,2))</f>
        <v/>
      </c>
      <c r="G2781" s="106" t="n"/>
      <c r="H2781" s="350">
        <f>IF(G2781="Sim",IF(OR(F2781="",D2781="",L2781=""),"",IF(L2781="Sim",ROUND(F2781-D2781,2),0)),0)</f>
        <v/>
      </c>
      <c r="I2781" s="350">
        <f>IF(G2781="Sim",0,IF(OR(F2781="",L2781=""),"",F2781))</f>
        <v/>
      </c>
      <c r="J2781" s="350">
        <f>IF(G2781="Sim",0,IF(OR(F2781="",D2781="",L2781=""),"",IF(L2781="Sim",ROUND(F2781-D2781,2),0)))</f>
        <v/>
      </c>
      <c r="K2781" s="97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inlineStr">
        <is>
          <t>Nao</t>
        </is>
      </c>
      <c r="W2781" s="110" t="inlineStr">
        <is>
          <t>PC em analise</t>
        </is>
      </c>
      <c r="X2781" s="110" t="inlineStr">
        <is>
          <t>Pedido de Compra</t>
        </is>
      </c>
      <c r="Y2781" s="111" t="inlineStr">
        <is>
          <t>Impacto Potencial</t>
        </is>
      </c>
      <c r="Z2781" s="111" t="inlineStr">
        <is>
          <t>PC</t>
        </is>
      </c>
      <c r="AA2781" s="111" t="inlineStr">
        <is>
          <t>Nao</t>
        </is>
      </c>
      <c r="AB2781" s="111" t="inlineStr">
        <is>
          <t>NAO_COMPUTADO</t>
        </is>
      </c>
      <c r="AC2781" s="112" t="inlineStr">
        <is>
          <t>Estrutura Fase 1: sem impacto no VTA oficial</t>
        </is>
      </c>
    </row>
    <row r="2782" ht="25.5" customHeight="1" s="289">
      <c r="A2782" s="205" t="n"/>
      <c r="B2782" s="207" t="n"/>
      <c r="C2782" s="104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348" t="n"/>
      <c r="E2782" s="349">
        <f>IF(C2782="","",IFERROR(VLOOKUP(C2782,parametros!$A$11:$E$15,5,0),""))</f>
        <v/>
      </c>
      <c r="F2782" s="335">
        <f>IF(OR(D2782="",E2782=""),"",ROUND(D2782*E2782,2))</f>
        <v/>
      </c>
      <c r="G2782" s="106" t="n"/>
      <c r="H2782" s="350">
        <f>IF(G2782="Sim",IF(OR(F2782="",D2782="",L2782=""),"",IF(L2782="Sim",ROUND(F2782-D2782,2),0)),0)</f>
        <v/>
      </c>
      <c r="I2782" s="350">
        <f>IF(G2782="Sim",0,IF(OR(F2782="",L2782=""),"",F2782))</f>
        <v/>
      </c>
      <c r="J2782" s="350">
        <f>IF(G2782="Sim",0,IF(OR(F2782="",D2782="",L2782=""),"",IF(L2782="Sim",ROUND(F2782-D2782,2),0)))</f>
        <v/>
      </c>
      <c r="K2782" s="97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inlineStr">
        <is>
          <t>Nao</t>
        </is>
      </c>
      <c r="W2782" s="110" t="inlineStr">
        <is>
          <t>PC em analise</t>
        </is>
      </c>
      <c r="X2782" s="110" t="inlineStr">
        <is>
          <t>Pedido de Compra</t>
        </is>
      </c>
      <c r="Y2782" s="111" t="inlineStr">
        <is>
          <t>Impacto Potencial</t>
        </is>
      </c>
      <c r="Z2782" s="111" t="inlineStr">
        <is>
          <t>PC</t>
        </is>
      </c>
      <c r="AA2782" s="111" t="inlineStr">
        <is>
          <t>Nao</t>
        </is>
      </c>
      <c r="AB2782" s="111" t="inlineStr">
        <is>
          <t>NAO_COMPUTADO</t>
        </is>
      </c>
      <c r="AC2782" s="112" t="inlineStr">
        <is>
          <t>Estrutura Fase 1: sem impacto no VTA oficial</t>
        </is>
      </c>
    </row>
    <row r="2783" ht="25.5" customHeight="1" s="289">
      <c r="A2783" s="205" t="n"/>
      <c r="B2783" s="207" t="n"/>
      <c r="C2783" s="104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348" t="n"/>
      <c r="E2783" s="349">
        <f>IF(C2783="","",IFERROR(VLOOKUP(C2783,parametros!$A$11:$E$15,5,0),""))</f>
        <v/>
      </c>
      <c r="F2783" s="335">
        <f>IF(OR(D2783="",E2783=""),"",ROUND(D2783*E2783,2))</f>
        <v/>
      </c>
      <c r="G2783" s="106" t="n"/>
      <c r="H2783" s="350">
        <f>IF(G2783="Sim",IF(OR(F2783="",D2783="",L2783=""),"",IF(L2783="Sim",ROUND(F2783-D2783,2),0)),0)</f>
        <v/>
      </c>
      <c r="I2783" s="350">
        <f>IF(G2783="Sim",0,IF(OR(F2783="",L2783=""),"",F2783))</f>
        <v/>
      </c>
      <c r="J2783" s="350">
        <f>IF(G2783="Sim",0,IF(OR(F2783="",D2783="",L2783=""),"",IF(L2783="Sim",ROUND(F2783-D2783,2),0)))</f>
        <v/>
      </c>
      <c r="K2783" s="97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inlineStr">
        <is>
          <t>Nao</t>
        </is>
      </c>
      <c r="W2783" s="110" t="inlineStr">
        <is>
          <t>PC em analise</t>
        </is>
      </c>
      <c r="X2783" s="110" t="inlineStr">
        <is>
          <t>Pedido de Compra</t>
        </is>
      </c>
      <c r="Y2783" s="111" t="inlineStr">
        <is>
          <t>Impacto Potencial</t>
        </is>
      </c>
      <c r="Z2783" s="111" t="inlineStr">
        <is>
          <t>PC</t>
        </is>
      </c>
      <c r="AA2783" s="111" t="inlineStr">
        <is>
          <t>Nao</t>
        </is>
      </c>
      <c r="AB2783" s="111" t="inlineStr">
        <is>
          <t>NAO_COMPUTADO</t>
        </is>
      </c>
      <c r="AC2783" s="112" t="inlineStr">
        <is>
          <t>Estrutura Fase 1: sem impacto no VTA oficial</t>
        </is>
      </c>
    </row>
    <row r="2784" ht="25.5" customHeight="1" s="289">
      <c r="A2784" s="205" t="n"/>
      <c r="B2784" s="207" t="n"/>
      <c r="C2784" s="104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348" t="n"/>
      <c r="E2784" s="349">
        <f>IF(C2784="","",IFERROR(VLOOKUP(C2784,parametros!$A$11:$E$15,5,0),""))</f>
        <v/>
      </c>
      <c r="F2784" s="335">
        <f>IF(OR(D2784="",E2784=""),"",ROUND(D2784*E2784,2))</f>
        <v/>
      </c>
      <c r="G2784" s="106" t="n"/>
      <c r="H2784" s="350">
        <f>IF(G2784="Sim",IF(OR(F2784="",D2784="",L2784=""),"",IF(L2784="Sim",ROUND(F2784-D2784,2),0)),0)</f>
        <v/>
      </c>
      <c r="I2784" s="350">
        <f>IF(G2784="Sim",0,IF(OR(F2784="",L2784=""),"",F2784))</f>
        <v/>
      </c>
      <c r="J2784" s="350">
        <f>IF(G2784="Sim",0,IF(OR(F2784="",D2784="",L2784=""),"",IF(L2784="Sim",ROUND(F2784-D2784,2),0)))</f>
        <v/>
      </c>
      <c r="K2784" s="97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inlineStr">
        <is>
          <t>Nao</t>
        </is>
      </c>
      <c r="W2784" s="110" t="inlineStr">
        <is>
          <t>PC em analise</t>
        </is>
      </c>
      <c r="X2784" s="110" t="inlineStr">
        <is>
          <t>Pedido de Compra</t>
        </is>
      </c>
      <c r="Y2784" s="111" t="inlineStr">
        <is>
          <t>Impacto Potencial</t>
        </is>
      </c>
      <c r="Z2784" s="111" t="inlineStr">
        <is>
          <t>PC</t>
        </is>
      </c>
      <c r="AA2784" s="111" t="inlineStr">
        <is>
          <t>Nao</t>
        </is>
      </c>
      <c r="AB2784" s="111" t="inlineStr">
        <is>
          <t>NAO_COMPUTADO</t>
        </is>
      </c>
      <c r="AC2784" s="112" t="inlineStr">
        <is>
          <t>Estrutura Fase 1: sem impacto no VTA oficial</t>
        </is>
      </c>
    </row>
    <row r="2785" ht="25.5" customHeight="1" s="289">
      <c r="A2785" s="205" t="n"/>
      <c r="B2785" s="207" t="n"/>
      <c r="C2785" s="104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348" t="n"/>
      <c r="E2785" s="349">
        <f>IF(C2785="","",IFERROR(VLOOKUP(C2785,parametros!$A$11:$E$15,5,0),""))</f>
        <v/>
      </c>
      <c r="F2785" s="335">
        <f>IF(OR(D2785="",E2785=""),"",ROUND(D2785*E2785,2))</f>
        <v/>
      </c>
      <c r="G2785" s="106" t="n"/>
      <c r="H2785" s="350">
        <f>IF(G2785="Sim",IF(OR(F2785="",D2785="",L2785=""),"",IF(L2785="Sim",ROUND(F2785-D2785,2),0)),0)</f>
        <v/>
      </c>
      <c r="I2785" s="350">
        <f>IF(G2785="Sim",0,IF(OR(F2785="",L2785=""),"",F2785))</f>
        <v/>
      </c>
      <c r="J2785" s="350">
        <f>IF(G2785="Sim",0,IF(OR(F2785="",D2785="",L2785=""),"",IF(L2785="Sim",ROUND(F2785-D2785,2),0)))</f>
        <v/>
      </c>
      <c r="K2785" s="97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inlineStr">
        <is>
          <t>Nao</t>
        </is>
      </c>
      <c r="W2785" s="110" t="inlineStr">
        <is>
          <t>PC em analise</t>
        </is>
      </c>
      <c r="X2785" s="110" t="inlineStr">
        <is>
          <t>Pedido de Compra</t>
        </is>
      </c>
      <c r="Y2785" s="111" t="inlineStr">
        <is>
          <t>Impacto Potencial</t>
        </is>
      </c>
      <c r="Z2785" s="111" t="inlineStr">
        <is>
          <t>PC</t>
        </is>
      </c>
      <c r="AA2785" s="111" t="inlineStr">
        <is>
          <t>Nao</t>
        </is>
      </c>
      <c r="AB2785" s="111" t="inlineStr">
        <is>
          <t>NAO_COMPUTADO</t>
        </is>
      </c>
      <c r="AC2785" s="112" t="inlineStr">
        <is>
          <t>Estrutura Fase 1: sem impacto no VTA oficial</t>
        </is>
      </c>
    </row>
    <row r="2786" ht="25.5" customHeight="1" s="289">
      <c r="A2786" s="205" t="n"/>
      <c r="B2786" s="207" t="n"/>
      <c r="C2786" s="104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348" t="n"/>
      <c r="E2786" s="349">
        <f>IF(C2786="","",IFERROR(VLOOKUP(C2786,parametros!$A$11:$E$15,5,0),""))</f>
        <v/>
      </c>
      <c r="F2786" s="335">
        <f>IF(OR(D2786="",E2786=""),"",ROUND(D2786*E2786,2))</f>
        <v/>
      </c>
      <c r="G2786" s="106" t="n"/>
      <c r="H2786" s="350">
        <f>IF(G2786="Sim",IF(OR(F2786="",D2786="",L2786=""),"",IF(L2786="Sim",ROUND(F2786-D2786,2),0)),0)</f>
        <v/>
      </c>
      <c r="I2786" s="350">
        <f>IF(G2786="Sim",0,IF(OR(F2786="",L2786=""),"",F2786))</f>
        <v/>
      </c>
      <c r="J2786" s="350">
        <f>IF(G2786="Sim",0,IF(OR(F2786="",D2786="",L2786=""),"",IF(L2786="Sim",ROUND(F2786-D2786,2),0)))</f>
        <v/>
      </c>
      <c r="K2786" s="97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inlineStr">
        <is>
          <t>Nao</t>
        </is>
      </c>
      <c r="W2786" s="110" t="inlineStr">
        <is>
          <t>PC em analise</t>
        </is>
      </c>
      <c r="X2786" s="110" t="inlineStr">
        <is>
          <t>Pedido de Compra</t>
        </is>
      </c>
      <c r="Y2786" s="111" t="inlineStr">
        <is>
          <t>Impacto Potencial</t>
        </is>
      </c>
      <c r="Z2786" s="111" t="inlineStr">
        <is>
          <t>PC</t>
        </is>
      </c>
      <c r="AA2786" s="111" t="inlineStr">
        <is>
          <t>Nao</t>
        </is>
      </c>
      <c r="AB2786" s="111" t="inlineStr">
        <is>
          <t>NAO_COMPUTADO</t>
        </is>
      </c>
      <c r="AC2786" s="112" t="inlineStr">
        <is>
          <t>Estrutura Fase 1: sem impacto no VTA oficial</t>
        </is>
      </c>
    </row>
    <row r="2787" ht="25.5" customHeight="1" s="289">
      <c r="A2787" s="205" t="n"/>
      <c r="B2787" s="207" t="n"/>
      <c r="C2787" s="104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348" t="n"/>
      <c r="E2787" s="349">
        <f>IF(C2787="","",IFERROR(VLOOKUP(C2787,parametros!$A$11:$E$15,5,0),""))</f>
        <v/>
      </c>
      <c r="F2787" s="335">
        <f>IF(OR(D2787="",E2787=""),"",ROUND(D2787*E2787,2))</f>
        <v/>
      </c>
      <c r="G2787" s="106" t="n"/>
      <c r="H2787" s="350">
        <f>IF(G2787="Sim",IF(OR(F2787="",D2787="",L2787=""),"",IF(L2787="Sim",ROUND(F2787-D2787,2),0)),0)</f>
        <v/>
      </c>
      <c r="I2787" s="350">
        <f>IF(G2787="Sim",0,IF(OR(F2787="",L2787=""),"",F2787))</f>
        <v/>
      </c>
      <c r="J2787" s="350">
        <f>IF(G2787="Sim",0,IF(OR(F2787="",D2787="",L2787=""),"",IF(L2787="Sim",ROUND(F2787-D2787,2),0)))</f>
        <v/>
      </c>
      <c r="K2787" s="97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inlineStr">
        <is>
          <t>Nao</t>
        </is>
      </c>
      <c r="W2787" s="110" t="inlineStr">
        <is>
          <t>PC em analise</t>
        </is>
      </c>
      <c r="X2787" s="110" t="inlineStr">
        <is>
          <t>Pedido de Compra</t>
        </is>
      </c>
      <c r="Y2787" s="111" t="inlineStr">
        <is>
          <t>Impacto Potencial</t>
        </is>
      </c>
      <c r="Z2787" s="111" t="inlineStr">
        <is>
          <t>PC</t>
        </is>
      </c>
      <c r="AA2787" s="111" t="inlineStr">
        <is>
          <t>Nao</t>
        </is>
      </c>
      <c r="AB2787" s="111" t="inlineStr">
        <is>
          <t>NAO_COMPUTADO</t>
        </is>
      </c>
      <c r="AC2787" s="112" t="inlineStr">
        <is>
          <t>Estrutura Fase 1: sem impacto no VTA oficial</t>
        </is>
      </c>
    </row>
    <row r="2788" ht="25.5" customHeight="1" s="289">
      <c r="A2788" s="205" t="n"/>
      <c r="B2788" s="207" t="n"/>
      <c r="C2788" s="104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348" t="n"/>
      <c r="E2788" s="349">
        <f>IF(C2788="","",IFERROR(VLOOKUP(C2788,parametros!$A$11:$E$15,5,0),""))</f>
        <v/>
      </c>
      <c r="F2788" s="335">
        <f>IF(OR(D2788="",E2788=""),"",ROUND(D2788*E2788,2))</f>
        <v/>
      </c>
      <c r="G2788" s="106" t="n"/>
      <c r="H2788" s="350">
        <f>IF(G2788="Sim",IF(OR(F2788="",D2788="",L2788=""),"",IF(L2788="Sim",ROUND(F2788-D2788,2),0)),0)</f>
        <v/>
      </c>
      <c r="I2788" s="350">
        <f>IF(G2788="Sim",0,IF(OR(F2788="",L2788=""),"",F2788))</f>
        <v/>
      </c>
      <c r="J2788" s="350">
        <f>IF(G2788="Sim",0,IF(OR(F2788="",D2788="",L2788=""),"",IF(L2788="Sim",ROUND(F2788-D2788,2),0)))</f>
        <v/>
      </c>
      <c r="K2788" s="97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inlineStr">
        <is>
          <t>Nao</t>
        </is>
      </c>
      <c r="W2788" s="110" t="inlineStr">
        <is>
          <t>PC em analise</t>
        </is>
      </c>
      <c r="X2788" s="110" t="inlineStr">
        <is>
          <t>Pedido de Compra</t>
        </is>
      </c>
      <c r="Y2788" s="111" t="inlineStr">
        <is>
          <t>Impacto Potencial</t>
        </is>
      </c>
      <c r="Z2788" s="111" t="inlineStr">
        <is>
          <t>PC</t>
        </is>
      </c>
      <c r="AA2788" s="111" t="inlineStr">
        <is>
          <t>Nao</t>
        </is>
      </c>
      <c r="AB2788" s="111" t="inlineStr">
        <is>
          <t>NAO_COMPUTADO</t>
        </is>
      </c>
      <c r="AC2788" s="112" t="inlineStr">
        <is>
          <t>Estrutura Fase 1: sem impacto no VTA oficial</t>
        </is>
      </c>
    </row>
    <row r="2789" ht="25.5" customHeight="1" s="289">
      <c r="A2789" s="205" t="n"/>
      <c r="B2789" s="207" t="n"/>
      <c r="C2789" s="104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348" t="n"/>
      <c r="E2789" s="349">
        <f>IF(C2789="","",IFERROR(VLOOKUP(C2789,parametros!$A$11:$E$15,5,0),""))</f>
        <v/>
      </c>
      <c r="F2789" s="335">
        <f>IF(OR(D2789="",E2789=""),"",ROUND(D2789*E2789,2))</f>
        <v/>
      </c>
      <c r="G2789" s="106" t="n"/>
      <c r="H2789" s="350">
        <f>IF(G2789="Sim",IF(OR(F2789="",D2789="",L2789=""),"",IF(L2789="Sim",ROUND(F2789-D2789,2),0)),0)</f>
        <v/>
      </c>
      <c r="I2789" s="350">
        <f>IF(G2789="Sim",0,IF(OR(F2789="",L2789=""),"",F2789))</f>
        <v/>
      </c>
      <c r="J2789" s="350">
        <f>IF(G2789="Sim",0,IF(OR(F2789="",D2789="",L2789=""),"",IF(L2789="Sim",ROUND(F2789-D2789,2),0)))</f>
        <v/>
      </c>
      <c r="K2789" s="97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inlineStr">
        <is>
          <t>Nao</t>
        </is>
      </c>
      <c r="W2789" s="110" t="inlineStr">
        <is>
          <t>PC em analise</t>
        </is>
      </c>
      <c r="X2789" s="110" t="inlineStr">
        <is>
          <t>Pedido de Compra</t>
        </is>
      </c>
      <c r="Y2789" s="111" t="inlineStr">
        <is>
          <t>Impacto Potencial</t>
        </is>
      </c>
      <c r="Z2789" s="111" t="inlineStr">
        <is>
          <t>PC</t>
        </is>
      </c>
      <c r="AA2789" s="111" t="inlineStr">
        <is>
          <t>Nao</t>
        </is>
      </c>
      <c r="AB2789" s="111" t="inlineStr">
        <is>
          <t>NAO_COMPUTADO</t>
        </is>
      </c>
      <c r="AC2789" s="112" t="inlineStr">
        <is>
          <t>Estrutura Fase 1: sem impacto no VTA oficial</t>
        </is>
      </c>
    </row>
    <row r="2790" ht="25.5" customHeight="1" s="289">
      <c r="A2790" s="205" t="n"/>
      <c r="B2790" s="207" t="n"/>
      <c r="C2790" s="104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348" t="n"/>
      <c r="E2790" s="349">
        <f>IF(C2790="","",IFERROR(VLOOKUP(C2790,parametros!$A$11:$E$15,5,0),""))</f>
        <v/>
      </c>
      <c r="F2790" s="335">
        <f>IF(OR(D2790="",E2790=""),"",ROUND(D2790*E2790,2))</f>
        <v/>
      </c>
      <c r="G2790" s="106" t="n"/>
      <c r="H2790" s="350">
        <f>IF(G2790="Sim",IF(OR(F2790="",D2790="",L2790=""),"",IF(L2790="Sim",ROUND(F2790-D2790,2),0)),0)</f>
        <v/>
      </c>
      <c r="I2790" s="350">
        <f>IF(G2790="Sim",0,IF(OR(F2790="",L2790=""),"",F2790))</f>
        <v/>
      </c>
      <c r="J2790" s="350">
        <f>IF(G2790="Sim",0,IF(OR(F2790="",D2790="",L2790=""),"",IF(L2790="Sim",ROUND(F2790-D2790,2),0)))</f>
        <v/>
      </c>
      <c r="K2790" s="97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inlineStr">
        <is>
          <t>Nao</t>
        </is>
      </c>
      <c r="W2790" s="110" t="inlineStr">
        <is>
          <t>PC em analise</t>
        </is>
      </c>
      <c r="X2790" s="110" t="inlineStr">
        <is>
          <t>Pedido de Compra</t>
        </is>
      </c>
      <c r="Y2790" s="111" t="inlineStr">
        <is>
          <t>Impacto Potencial</t>
        </is>
      </c>
      <c r="Z2790" s="111" t="inlineStr">
        <is>
          <t>PC</t>
        </is>
      </c>
      <c r="AA2790" s="111" t="inlineStr">
        <is>
          <t>Nao</t>
        </is>
      </c>
      <c r="AB2790" s="111" t="inlineStr">
        <is>
          <t>NAO_COMPUTADO</t>
        </is>
      </c>
      <c r="AC2790" s="112" t="inlineStr">
        <is>
          <t>Estrutura Fase 1: sem impacto no VTA oficial</t>
        </is>
      </c>
    </row>
    <row r="2791" ht="25.5" customHeight="1" s="289">
      <c r="A2791" s="205" t="n"/>
      <c r="B2791" s="207" t="n"/>
      <c r="C2791" s="104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348" t="n"/>
      <c r="E2791" s="349">
        <f>IF(C2791="","",IFERROR(VLOOKUP(C2791,parametros!$A$11:$E$15,5,0),""))</f>
        <v/>
      </c>
      <c r="F2791" s="335">
        <f>IF(OR(D2791="",E2791=""),"",ROUND(D2791*E2791,2))</f>
        <v/>
      </c>
      <c r="G2791" s="106" t="n"/>
      <c r="H2791" s="350">
        <f>IF(G2791="Sim",IF(OR(F2791="",D2791="",L2791=""),"",IF(L2791="Sim",ROUND(F2791-D2791,2),0)),0)</f>
        <v/>
      </c>
      <c r="I2791" s="350">
        <f>IF(G2791="Sim",0,IF(OR(F2791="",L2791=""),"",F2791))</f>
        <v/>
      </c>
      <c r="J2791" s="350">
        <f>IF(G2791="Sim",0,IF(OR(F2791="",D2791="",L2791=""),"",IF(L2791="Sim",ROUND(F2791-D2791,2),0)))</f>
        <v/>
      </c>
      <c r="K2791" s="97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inlineStr">
        <is>
          <t>Nao</t>
        </is>
      </c>
      <c r="W2791" s="110" t="inlineStr">
        <is>
          <t>PC em analise</t>
        </is>
      </c>
      <c r="X2791" s="110" t="inlineStr">
        <is>
          <t>Pedido de Compra</t>
        </is>
      </c>
      <c r="Y2791" s="111" t="inlineStr">
        <is>
          <t>Impacto Potencial</t>
        </is>
      </c>
      <c r="Z2791" s="111" t="inlineStr">
        <is>
          <t>PC</t>
        </is>
      </c>
      <c r="AA2791" s="111" t="inlineStr">
        <is>
          <t>Nao</t>
        </is>
      </c>
      <c r="AB2791" s="111" t="inlineStr">
        <is>
          <t>NAO_COMPUTADO</t>
        </is>
      </c>
      <c r="AC2791" s="112" t="inlineStr">
        <is>
          <t>Estrutura Fase 1: sem impacto no VTA oficial</t>
        </is>
      </c>
    </row>
    <row r="2792" ht="25.5" customHeight="1" s="289">
      <c r="A2792" s="205" t="n"/>
      <c r="B2792" s="207" t="n"/>
      <c r="C2792" s="104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348" t="n"/>
      <c r="E2792" s="349">
        <f>IF(C2792="","",IFERROR(VLOOKUP(C2792,parametros!$A$11:$E$15,5,0),""))</f>
        <v/>
      </c>
      <c r="F2792" s="335">
        <f>IF(OR(D2792="",E2792=""),"",ROUND(D2792*E2792,2))</f>
        <v/>
      </c>
      <c r="G2792" s="106" t="n"/>
      <c r="H2792" s="350">
        <f>IF(G2792="Sim",IF(OR(F2792="",D2792="",L2792=""),"",IF(L2792="Sim",ROUND(F2792-D2792,2),0)),0)</f>
        <v/>
      </c>
      <c r="I2792" s="350">
        <f>IF(G2792="Sim",0,IF(OR(F2792="",L2792=""),"",F2792))</f>
        <v/>
      </c>
      <c r="J2792" s="350">
        <f>IF(G2792="Sim",0,IF(OR(F2792="",D2792="",L2792=""),"",IF(L2792="Sim",ROUND(F2792-D2792,2),0)))</f>
        <v/>
      </c>
      <c r="K2792" s="97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inlineStr">
        <is>
          <t>Nao</t>
        </is>
      </c>
      <c r="W2792" s="110" t="inlineStr">
        <is>
          <t>PC em analise</t>
        </is>
      </c>
      <c r="X2792" s="110" t="inlineStr">
        <is>
          <t>Pedido de Compra</t>
        </is>
      </c>
      <c r="Y2792" s="111" t="inlineStr">
        <is>
          <t>Impacto Potencial</t>
        </is>
      </c>
      <c r="Z2792" s="111" t="inlineStr">
        <is>
          <t>PC</t>
        </is>
      </c>
      <c r="AA2792" s="111" t="inlineStr">
        <is>
          <t>Nao</t>
        </is>
      </c>
      <c r="AB2792" s="111" t="inlineStr">
        <is>
          <t>NAO_COMPUTADO</t>
        </is>
      </c>
      <c r="AC2792" s="112" t="inlineStr">
        <is>
          <t>Estrutura Fase 1: sem impacto no VTA oficial</t>
        </is>
      </c>
    </row>
    <row r="2793" ht="25.5" customHeight="1" s="289">
      <c r="A2793" s="205" t="n"/>
      <c r="B2793" s="207" t="n"/>
      <c r="C2793" s="104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348" t="n"/>
      <c r="E2793" s="349">
        <f>IF(C2793="","",IFERROR(VLOOKUP(C2793,parametros!$A$11:$E$15,5,0),""))</f>
        <v/>
      </c>
      <c r="F2793" s="335">
        <f>IF(OR(D2793="",E2793=""),"",ROUND(D2793*E2793,2))</f>
        <v/>
      </c>
      <c r="G2793" s="106" t="n"/>
      <c r="H2793" s="350">
        <f>IF(G2793="Sim",IF(OR(F2793="",D2793="",L2793=""),"",IF(L2793="Sim",ROUND(F2793-D2793,2),0)),0)</f>
        <v/>
      </c>
      <c r="I2793" s="350">
        <f>IF(G2793="Sim",0,IF(OR(F2793="",L2793=""),"",F2793))</f>
        <v/>
      </c>
      <c r="J2793" s="350">
        <f>IF(G2793="Sim",0,IF(OR(F2793="",D2793="",L2793=""),"",IF(L2793="Sim",ROUND(F2793-D2793,2),0)))</f>
        <v/>
      </c>
      <c r="K2793" s="97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inlineStr">
        <is>
          <t>Nao</t>
        </is>
      </c>
      <c r="W2793" s="110" t="inlineStr">
        <is>
          <t>PC em analise</t>
        </is>
      </c>
      <c r="X2793" s="110" t="inlineStr">
        <is>
          <t>Pedido de Compra</t>
        </is>
      </c>
      <c r="Y2793" s="111" t="inlineStr">
        <is>
          <t>Impacto Potencial</t>
        </is>
      </c>
      <c r="Z2793" s="111" t="inlineStr">
        <is>
          <t>PC</t>
        </is>
      </c>
      <c r="AA2793" s="111" t="inlineStr">
        <is>
          <t>Nao</t>
        </is>
      </c>
      <c r="AB2793" s="111" t="inlineStr">
        <is>
          <t>NAO_COMPUTADO</t>
        </is>
      </c>
      <c r="AC2793" s="112" t="inlineStr">
        <is>
          <t>Estrutura Fase 1: sem impacto no VTA oficial</t>
        </is>
      </c>
    </row>
    <row r="2794" ht="25.5" customHeight="1" s="289">
      <c r="A2794" s="205" t="n"/>
      <c r="B2794" s="207" t="n"/>
      <c r="C2794" s="104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348" t="n"/>
      <c r="E2794" s="349">
        <f>IF(C2794="","",IFERROR(VLOOKUP(C2794,parametros!$A$11:$E$15,5,0),""))</f>
        <v/>
      </c>
      <c r="F2794" s="335">
        <f>IF(OR(D2794="",E2794=""),"",ROUND(D2794*E2794,2))</f>
        <v/>
      </c>
      <c r="G2794" s="106" t="n"/>
      <c r="H2794" s="350">
        <f>IF(G2794="Sim",IF(OR(F2794="",D2794="",L2794=""),"",IF(L2794="Sim",ROUND(F2794-D2794,2),0)),0)</f>
        <v/>
      </c>
      <c r="I2794" s="350">
        <f>IF(G2794="Sim",0,IF(OR(F2794="",L2794=""),"",F2794))</f>
        <v/>
      </c>
      <c r="J2794" s="350">
        <f>IF(G2794="Sim",0,IF(OR(F2794="",D2794="",L2794=""),"",IF(L2794="Sim",ROUND(F2794-D2794,2),0)))</f>
        <v/>
      </c>
      <c r="K2794" s="97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inlineStr">
        <is>
          <t>Nao</t>
        </is>
      </c>
      <c r="W2794" s="110" t="inlineStr">
        <is>
          <t>PC em analise</t>
        </is>
      </c>
      <c r="X2794" s="110" t="inlineStr">
        <is>
          <t>Pedido de Compra</t>
        </is>
      </c>
      <c r="Y2794" s="111" t="inlineStr">
        <is>
          <t>Impacto Potencial</t>
        </is>
      </c>
      <c r="Z2794" s="111" t="inlineStr">
        <is>
          <t>PC</t>
        </is>
      </c>
      <c r="AA2794" s="111" t="inlineStr">
        <is>
          <t>Nao</t>
        </is>
      </c>
      <c r="AB2794" s="111" t="inlineStr">
        <is>
          <t>NAO_COMPUTADO</t>
        </is>
      </c>
      <c r="AC2794" s="112" t="inlineStr">
        <is>
          <t>Estrutura Fase 1: sem impacto no VTA oficial</t>
        </is>
      </c>
    </row>
    <row r="2795" ht="25.5" customHeight="1" s="289">
      <c r="A2795" s="205" t="n"/>
      <c r="B2795" s="207" t="n"/>
      <c r="C2795" s="104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348" t="n"/>
      <c r="E2795" s="349">
        <f>IF(C2795="","",IFERROR(VLOOKUP(C2795,parametros!$A$11:$E$15,5,0),""))</f>
        <v/>
      </c>
      <c r="F2795" s="335">
        <f>IF(OR(D2795="",E2795=""),"",ROUND(D2795*E2795,2))</f>
        <v/>
      </c>
      <c r="G2795" s="106" t="n"/>
      <c r="H2795" s="350">
        <f>IF(G2795="Sim",IF(OR(F2795="",D2795="",L2795=""),"",IF(L2795="Sim",ROUND(F2795-D2795,2),0)),0)</f>
        <v/>
      </c>
      <c r="I2795" s="350">
        <f>IF(G2795="Sim",0,IF(OR(F2795="",L2795=""),"",F2795))</f>
        <v/>
      </c>
      <c r="J2795" s="350">
        <f>IF(G2795="Sim",0,IF(OR(F2795="",D2795="",L2795=""),"",IF(L2795="Sim",ROUND(F2795-D2795,2),0)))</f>
        <v/>
      </c>
      <c r="K2795" s="97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inlineStr">
        <is>
          <t>Nao</t>
        </is>
      </c>
      <c r="W2795" s="110" t="inlineStr">
        <is>
          <t>PC em analise</t>
        </is>
      </c>
      <c r="X2795" s="110" t="inlineStr">
        <is>
          <t>Pedido de Compra</t>
        </is>
      </c>
      <c r="Y2795" s="111" t="inlineStr">
        <is>
          <t>Impacto Potencial</t>
        </is>
      </c>
      <c r="Z2795" s="111" t="inlineStr">
        <is>
          <t>PC</t>
        </is>
      </c>
      <c r="AA2795" s="111" t="inlineStr">
        <is>
          <t>Nao</t>
        </is>
      </c>
      <c r="AB2795" s="111" t="inlineStr">
        <is>
          <t>NAO_COMPUTADO</t>
        </is>
      </c>
      <c r="AC2795" s="112" t="inlineStr">
        <is>
          <t>Estrutura Fase 1: sem impacto no VTA oficial</t>
        </is>
      </c>
    </row>
    <row r="2796" ht="25.5" customHeight="1" s="289">
      <c r="A2796" s="205" t="n"/>
      <c r="B2796" s="207" t="n"/>
      <c r="C2796" s="104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348" t="n"/>
      <c r="E2796" s="349">
        <f>IF(C2796="","",IFERROR(VLOOKUP(C2796,parametros!$A$11:$E$15,5,0),""))</f>
        <v/>
      </c>
      <c r="F2796" s="335">
        <f>IF(OR(D2796="",E2796=""),"",ROUND(D2796*E2796,2))</f>
        <v/>
      </c>
      <c r="G2796" s="106" t="n"/>
      <c r="H2796" s="350">
        <f>IF(G2796="Sim",IF(OR(F2796="",D2796="",L2796=""),"",IF(L2796="Sim",ROUND(F2796-D2796,2),0)),0)</f>
        <v/>
      </c>
      <c r="I2796" s="350">
        <f>IF(G2796="Sim",0,IF(OR(F2796="",L2796=""),"",F2796))</f>
        <v/>
      </c>
      <c r="J2796" s="350">
        <f>IF(G2796="Sim",0,IF(OR(F2796="",D2796="",L2796=""),"",IF(L2796="Sim",ROUND(F2796-D2796,2),0)))</f>
        <v/>
      </c>
      <c r="K2796" s="97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inlineStr">
        <is>
          <t>Nao</t>
        </is>
      </c>
      <c r="W2796" s="110" t="inlineStr">
        <is>
          <t>PC em analise</t>
        </is>
      </c>
      <c r="X2796" s="110" t="inlineStr">
        <is>
          <t>Pedido de Compra</t>
        </is>
      </c>
      <c r="Y2796" s="111" t="inlineStr">
        <is>
          <t>Impacto Potencial</t>
        </is>
      </c>
      <c r="Z2796" s="111" t="inlineStr">
        <is>
          <t>PC</t>
        </is>
      </c>
      <c r="AA2796" s="111" t="inlineStr">
        <is>
          <t>Nao</t>
        </is>
      </c>
      <c r="AB2796" s="111" t="inlineStr">
        <is>
          <t>NAO_COMPUTADO</t>
        </is>
      </c>
      <c r="AC2796" s="112" t="inlineStr">
        <is>
          <t>Estrutura Fase 1: sem impacto no VTA oficial</t>
        </is>
      </c>
    </row>
    <row r="2797" ht="25.5" customHeight="1" s="289">
      <c r="A2797" s="205" t="n"/>
      <c r="B2797" s="207" t="n"/>
      <c r="C2797" s="104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348" t="n"/>
      <c r="E2797" s="349">
        <f>IF(C2797="","",IFERROR(VLOOKUP(C2797,parametros!$A$11:$E$15,5,0),""))</f>
        <v/>
      </c>
      <c r="F2797" s="335">
        <f>IF(OR(D2797="",E2797=""),"",ROUND(D2797*E2797,2))</f>
        <v/>
      </c>
      <c r="G2797" s="106" t="n"/>
      <c r="H2797" s="350">
        <f>IF(G2797="Sim",IF(OR(F2797="",D2797="",L2797=""),"",IF(L2797="Sim",ROUND(F2797-D2797,2),0)),0)</f>
        <v/>
      </c>
      <c r="I2797" s="350">
        <f>IF(G2797="Sim",0,IF(OR(F2797="",L2797=""),"",F2797))</f>
        <v/>
      </c>
      <c r="J2797" s="350">
        <f>IF(G2797="Sim",0,IF(OR(F2797="",D2797="",L2797=""),"",IF(L2797="Sim",ROUND(F2797-D2797,2),0)))</f>
        <v/>
      </c>
      <c r="K2797" s="97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inlineStr">
        <is>
          <t>Nao</t>
        </is>
      </c>
      <c r="W2797" s="110" t="inlineStr">
        <is>
          <t>PC em analise</t>
        </is>
      </c>
      <c r="X2797" s="110" t="inlineStr">
        <is>
          <t>Pedido de Compra</t>
        </is>
      </c>
      <c r="Y2797" s="111" t="inlineStr">
        <is>
          <t>Impacto Potencial</t>
        </is>
      </c>
      <c r="Z2797" s="111" t="inlineStr">
        <is>
          <t>PC</t>
        </is>
      </c>
      <c r="AA2797" s="111" t="inlineStr">
        <is>
          <t>Nao</t>
        </is>
      </c>
      <c r="AB2797" s="111" t="inlineStr">
        <is>
          <t>NAO_COMPUTADO</t>
        </is>
      </c>
      <c r="AC2797" s="112" t="inlineStr">
        <is>
          <t>Estrutura Fase 1: sem impacto no VTA oficial</t>
        </is>
      </c>
    </row>
    <row r="2798" ht="25.5" customHeight="1" s="289">
      <c r="A2798" s="205" t="n"/>
      <c r="B2798" s="207" t="n"/>
      <c r="C2798" s="104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348" t="n"/>
      <c r="E2798" s="349">
        <f>IF(C2798="","",IFERROR(VLOOKUP(C2798,parametros!$A$11:$E$15,5,0),""))</f>
        <v/>
      </c>
      <c r="F2798" s="335">
        <f>IF(OR(D2798="",E2798=""),"",ROUND(D2798*E2798,2))</f>
        <v/>
      </c>
      <c r="G2798" s="106" t="n"/>
      <c r="H2798" s="350">
        <f>IF(G2798="Sim",IF(OR(F2798="",D2798="",L2798=""),"",IF(L2798="Sim",ROUND(F2798-D2798,2),0)),0)</f>
        <v/>
      </c>
      <c r="I2798" s="350">
        <f>IF(G2798="Sim",0,IF(OR(F2798="",L2798=""),"",F2798))</f>
        <v/>
      </c>
      <c r="J2798" s="350">
        <f>IF(G2798="Sim",0,IF(OR(F2798="",D2798="",L2798=""),"",IF(L2798="Sim",ROUND(F2798-D2798,2),0)))</f>
        <v/>
      </c>
      <c r="K2798" s="97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inlineStr">
        <is>
          <t>Nao</t>
        </is>
      </c>
      <c r="W2798" s="110" t="inlineStr">
        <is>
          <t>PC em analise</t>
        </is>
      </c>
      <c r="X2798" s="110" t="inlineStr">
        <is>
          <t>Pedido de Compra</t>
        </is>
      </c>
      <c r="Y2798" s="111" t="inlineStr">
        <is>
          <t>Impacto Potencial</t>
        </is>
      </c>
      <c r="Z2798" s="111" t="inlineStr">
        <is>
          <t>PC</t>
        </is>
      </c>
      <c r="AA2798" s="111" t="inlineStr">
        <is>
          <t>Nao</t>
        </is>
      </c>
      <c r="AB2798" s="111" t="inlineStr">
        <is>
          <t>NAO_COMPUTADO</t>
        </is>
      </c>
      <c r="AC2798" s="112" t="inlineStr">
        <is>
          <t>Estrutura Fase 1: sem impacto no VTA oficial</t>
        </is>
      </c>
    </row>
    <row r="2799" ht="25.5" customHeight="1" s="289">
      <c r="A2799" s="205" t="n"/>
      <c r="B2799" s="207" t="n"/>
      <c r="C2799" s="104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348" t="n"/>
      <c r="E2799" s="349">
        <f>IF(C2799="","",IFERROR(VLOOKUP(C2799,parametros!$A$11:$E$15,5,0),""))</f>
        <v/>
      </c>
      <c r="F2799" s="335">
        <f>IF(OR(D2799="",E2799=""),"",ROUND(D2799*E2799,2))</f>
        <v/>
      </c>
      <c r="G2799" s="106" t="n"/>
      <c r="H2799" s="350">
        <f>IF(G2799="Sim",IF(OR(F2799="",D2799="",L2799=""),"",IF(L2799="Sim",ROUND(F2799-D2799,2),0)),0)</f>
        <v/>
      </c>
      <c r="I2799" s="350">
        <f>IF(G2799="Sim",0,IF(OR(F2799="",L2799=""),"",F2799))</f>
        <v/>
      </c>
      <c r="J2799" s="350">
        <f>IF(G2799="Sim",0,IF(OR(F2799="",D2799="",L2799=""),"",IF(L2799="Sim",ROUND(F2799-D2799,2),0)))</f>
        <v/>
      </c>
      <c r="K2799" s="97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inlineStr">
        <is>
          <t>Nao</t>
        </is>
      </c>
      <c r="W2799" s="110" t="inlineStr">
        <is>
          <t>PC em analise</t>
        </is>
      </c>
      <c r="X2799" s="110" t="inlineStr">
        <is>
          <t>Pedido de Compra</t>
        </is>
      </c>
      <c r="Y2799" s="111" t="inlineStr">
        <is>
          <t>Impacto Potencial</t>
        </is>
      </c>
      <c r="Z2799" s="111" t="inlineStr">
        <is>
          <t>PC</t>
        </is>
      </c>
      <c r="AA2799" s="111" t="inlineStr">
        <is>
          <t>Nao</t>
        </is>
      </c>
      <c r="AB2799" s="111" t="inlineStr">
        <is>
          <t>NAO_COMPUTADO</t>
        </is>
      </c>
      <c r="AC2799" s="112" t="inlineStr">
        <is>
          <t>Estrutura Fase 1: sem impacto no VTA oficial</t>
        </is>
      </c>
    </row>
    <row r="2800" ht="25.5" customHeight="1" s="289">
      <c r="A2800" s="205" t="n"/>
      <c r="B2800" s="207" t="n"/>
      <c r="C2800" s="104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348" t="n"/>
      <c r="E2800" s="349">
        <f>IF(C2800="","",IFERROR(VLOOKUP(C2800,parametros!$A$11:$E$15,5,0),""))</f>
        <v/>
      </c>
      <c r="F2800" s="335">
        <f>IF(OR(D2800="",E2800=""),"",ROUND(D2800*E2800,2))</f>
        <v/>
      </c>
      <c r="G2800" s="106" t="n"/>
      <c r="H2800" s="350">
        <f>IF(G2800="Sim",IF(OR(F2800="",D2800="",L2800=""),"",IF(L2800="Sim",ROUND(F2800-D2800,2),0)),0)</f>
        <v/>
      </c>
      <c r="I2800" s="350">
        <f>IF(G2800="Sim",0,IF(OR(F2800="",L2800=""),"",F2800))</f>
        <v/>
      </c>
      <c r="J2800" s="350">
        <f>IF(G2800="Sim",0,IF(OR(F2800="",D2800="",L2800=""),"",IF(L2800="Sim",ROUND(F2800-D2800,2),0)))</f>
        <v/>
      </c>
      <c r="K2800" s="97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inlineStr">
        <is>
          <t>Nao</t>
        </is>
      </c>
      <c r="W2800" s="110" t="inlineStr">
        <is>
          <t>PC em analise</t>
        </is>
      </c>
      <c r="X2800" s="110" t="inlineStr">
        <is>
          <t>Pedido de Compra</t>
        </is>
      </c>
      <c r="Y2800" s="111" t="inlineStr">
        <is>
          <t>Impacto Potencial</t>
        </is>
      </c>
      <c r="Z2800" s="111" t="inlineStr">
        <is>
          <t>PC</t>
        </is>
      </c>
      <c r="AA2800" s="111" t="inlineStr">
        <is>
          <t>Nao</t>
        </is>
      </c>
      <c r="AB2800" s="111" t="inlineStr">
        <is>
          <t>NAO_COMPUTADO</t>
        </is>
      </c>
      <c r="AC2800" s="112" t="inlineStr">
        <is>
          <t>Estrutura Fase 1: sem impacto no VTA oficial</t>
        </is>
      </c>
    </row>
    <row r="2801" ht="25.5" customHeight="1" s="289">
      <c r="A2801" s="205" t="n"/>
      <c r="B2801" s="207" t="n"/>
      <c r="C2801" s="104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348" t="n"/>
      <c r="E2801" s="349">
        <f>IF(C2801="","",IFERROR(VLOOKUP(C2801,parametros!$A$11:$E$15,5,0),""))</f>
        <v/>
      </c>
      <c r="F2801" s="335">
        <f>IF(OR(D2801="",E2801=""),"",ROUND(D2801*E2801,2))</f>
        <v/>
      </c>
      <c r="G2801" s="106" t="n"/>
      <c r="H2801" s="350">
        <f>IF(G2801="Sim",IF(OR(F2801="",D2801="",L2801=""),"",IF(L2801="Sim",ROUND(F2801-D2801,2),0)),0)</f>
        <v/>
      </c>
      <c r="I2801" s="350">
        <f>IF(G2801="Sim",0,IF(OR(F2801="",L2801=""),"",F2801))</f>
        <v/>
      </c>
      <c r="J2801" s="350">
        <f>IF(G2801="Sim",0,IF(OR(F2801="",D2801="",L2801=""),"",IF(L2801="Sim",ROUND(F2801-D2801,2),0)))</f>
        <v/>
      </c>
      <c r="K2801" s="97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inlineStr">
        <is>
          <t>Nao</t>
        </is>
      </c>
      <c r="W2801" s="110" t="inlineStr">
        <is>
          <t>PC em analise</t>
        </is>
      </c>
      <c r="X2801" s="110" t="inlineStr">
        <is>
          <t>Pedido de Compra</t>
        </is>
      </c>
      <c r="Y2801" s="111" t="inlineStr">
        <is>
          <t>Impacto Potencial</t>
        </is>
      </c>
      <c r="Z2801" s="111" t="inlineStr">
        <is>
          <t>PC</t>
        </is>
      </c>
      <c r="AA2801" s="111" t="inlineStr">
        <is>
          <t>Nao</t>
        </is>
      </c>
      <c r="AB2801" s="111" t="inlineStr">
        <is>
          <t>NAO_COMPUTADO</t>
        </is>
      </c>
      <c r="AC2801" s="112" t="inlineStr">
        <is>
          <t>Estrutura Fase 1: sem impacto no VTA oficial</t>
        </is>
      </c>
    </row>
    <row r="2802" ht="25.5" customHeight="1" s="289">
      <c r="A2802" s="205" t="n"/>
      <c r="B2802" s="207" t="n"/>
      <c r="C2802" s="104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348" t="n"/>
      <c r="E2802" s="349">
        <f>IF(C2802="","",IFERROR(VLOOKUP(C2802,parametros!$A$11:$E$15,5,0),""))</f>
        <v/>
      </c>
      <c r="F2802" s="335">
        <f>IF(OR(D2802="",E2802=""),"",ROUND(D2802*E2802,2))</f>
        <v/>
      </c>
      <c r="G2802" s="106" t="n"/>
      <c r="H2802" s="350">
        <f>IF(G2802="Sim",IF(OR(F2802="",D2802="",L2802=""),"",IF(L2802="Sim",ROUND(F2802-D2802,2),0)),0)</f>
        <v/>
      </c>
      <c r="I2802" s="350">
        <f>IF(G2802="Sim",0,IF(OR(F2802="",L2802=""),"",F2802))</f>
        <v/>
      </c>
      <c r="J2802" s="350">
        <f>IF(G2802="Sim",0,IF(OR(F2802="",D2802="",L2802=""),"",IF(L2802="Sim",ROUND(F2802-D2802,2),0)))</f>
        <v/>
      </c>
      <c r="K2802" s="97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inlineStr">
        <is>
          <t>Nao</t>
        </is>
      </c>
      <c r="W2802" s="110" t="inlineStr">
        <is>
          <t>PC em analise</t>
        </is>
      </c>
      <c r="X2802" s="110" t="inlineStr">
        <is>
          <t>Pedido de Compra</t>
        </is>
      </c>
      <c r="Y2802" s="111" t="inlineStr">
        <is>
          <t>Impacto Potencial</t>
        </is>
      </c>
      <c r="Z2802" s="111" t="inlineStr">
        <is>
          <t>PC</t>
        </is>
      </c>
      <c r="AA2802" s="111" t="inlineStr">
        <is>
          <t>Nao</t>
        </is>
      </c>
      <c r="AB2802" s="111" t="inlineStr">
        <is>
          <t>NAO_COMPUTADO</t>
        </is>
      </c>
      <c r="AC2802" s="112" t="inlineStr">
        <is>
          <t>Estrutura Fase 1: sem impacto no VTA oficial</t>
        </is>
      </c>
    </row>
    <row r="2803" ht="25.5" customHeight="1" s="289">
      <c r="A2803" s="205" t="n"/>
      <c r="B2803" s="207" t="n"/>
      <c r="C2803" s="104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348" t="n"/>
      <c r="E2803" s="349">
        <f>IF(C2803="","",IFERROR(VLOOKUP(C2803,parametros!$A$11:$E$15,5,0),""))</f>
        <v/>
      </c>
      <c r="F2803" s="335">
        <f>IF(OR(D2803="",E2803=""),"",ROUND(D2803*E2803,2))</f>
        <v/>
      </c>
      <c r="G2803" s="106" t="n"/>
      <c r="H2803" s="350">
        <f>IF(G2803="Sim",IF(OR(F2803="",D2803="",L2803=""),"",IF(L2803="Sim",ROUND(F2803-D2803,2),0)),0)</f>
        <v/>
      </c>
      <c r="I2803" s="350">
        <f>IF(G2803="Sim",0,IF(OR(F2803="",L2803=""),"",F2803))</f>
        <v/>
      </c>
      <c r="J2803" s="350">
        <f>IF(G2803="Sim",0,IF(OR(F2803="",D2803="",L2803=""),"",IF(L2803="Sim",ROUND(F2803-D2803,2),0)))</f>
        <v/>
      </c>
      <c r="K2803" s="97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inlineStr">
        <is>
          <t>Nao</t>
        </is>
      </c>
      <c r="W2803" s="110" t="inlineStr">
        <is>
          <t>PC em analise</t>
        </is>
      </c>
      <c r="X2803" s="110" t="inlineStr">
        <is>
          <t>Pedido de Compra</t>
        </is>
      </c>
      <c r="Y2803" s="111" t="inlineStr">
        <is>
          <t>Impacto Potencial</t>
        </is>
      </c>
      <c r="Z2803" s="111" t="inlineStr">
        <is>
          <t>PC</t>
        </is>
      </c>
      <c r="AA2803" s="111" t="inlineStr">
        <is>
          <t>Nao</t>
        </is>
      </c>
      <c r="AB2803" s="111" t="inlineStr">
        <is>
          <t>NAO_COMPUTADO</t>
        </is>
      </c>
      <c r="AC2803" s="112" t="inlineStr">
        <is>
          <t>Estrutura Fase 1: sem impacto no VTA oficial</t>
        </is>
      </c>
    </row>
    <row r="2804" ht="25.5" customHeight="1" s="289">
      <c r="A2804" s="205" t="n"/>
      <c r="B2804" s="207" t="n"/>
      <c r="C2804" s="104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348" t="n"/>
      <c r="E2804" s="349">
        <f>IF(C2804="","",IFERROR(VLOOKUP(C2804,parametros!$A$11:$E$15,5,0),""))</f>
        <v/>
      </c>
      <c r="F2804" s="335">
        <f>IF(OR(D2804="",E2804=""),"",ROUND(D2804*E2804,2))</f>
        <v/>
      </c>
      <c r="G2804" s="106" t="n"/>
      <c r="H2804" s="350">
        <f>IF(G2804="Sim",IF(OR(F2804="",D2804="",L2804=""),"",IF(L2804="Sim",ROUND(F2804-D2804,2),0)),0)</f>
        <v/>
      </c>
      <c r="I2804" s="350">
        <f>IF(G2804="Sim",0,IF(OR(F2804="",L2804=""),"",F2804))</f>
        <v/>
      </c>
      <c r="J2804" s="350">
        <f>IF(G2804="Sim",0,IF(OR(F2804="",D2804="",L2804=""),"",IF(L2804="Sim",ROUND(F2804-D2804,2),0)))</f>
        <v/>
      </c>
      <c r="K2804" s="97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inlineStr">
        <is>
          <t>Nao</t>
        </is>
      </c>
      <c r="W2804" s="110" t="inlineStr">
        <is>
          <t>PC em analise</t>
        </is>
      </c>
      <c r="X2804" s="110" t="inlineStr">
        <is>
          <t>Pedido de Compra</t>
        </is>
      </c>
      <c r="Y2804" s="111" t="inlineStr">
        <is>
          <t>Impacto Potencial</t>
        </is>
      </c>
      <c r="Z2804" s="111" t="inlineStr">
        <is>
          <t>PC</t>
        </is>
      </c>
      <c r="AA2804" s="111" t="inlineStr">
        <is>
          <t>Nao</t>
        </is>
      </c>
      <c r="AB2804" s="111" t="inlineStr">
        <is>
          <t>NAO_COMPUTADO</t>
        </is>
      </c>
      <c r="AC2804" s="112" t="inlineStr">
        <is>
          <t>Estrutura Fase 1: sem impacto no VTA oficial</t>
        </is>
      </c>
    </row>
    <row r="2805" ht="25.5" customHeight="1" s="289">
      <c r="A2805" s="205" t="n"/>
      <c r="B2805" s="207" t="n"/>
      <c r="C2805" s="104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348" t="n"/>
      <c r="E2805" s="349">
        <f>IF(C2805="","",IFERROR(VLOOKUP(C2805,parametros!$A$11:$E$15,5,0),""))</f>
        <v/>
      </c>
      <c r="F2805" s="335">
        <f>IF(OR(D2805="",E2805=""),"",ROUND(D2805*E2805,2))</f>
        <v/>
      </c>
      <c r="G2805" s="106" t="n"/>
      <c r="H2805" s="350">
        <f>IF(G2805="Sim",IF(OR(F2805="",D2805="",L2805=""),"",IF(L2805="Sim",ROUND(F2805-D2805,2),0)),0)</f>
        <v/>
      </c>
      <c r="I2805" s="350">
        <f>IF(G2805="Sim",0,IF(OR(F2805="",L2805=""),"",F2805))</f>
        <v/>
      </c>
      <c r="J2805" s="350">
        <f>IF(G2805="Sim",0,IF(OR(F2805="",D2805="",L2805=""),"",IF(L2805="Sim",ROUND(F2805-D2805,2),0)))</f>
        <v/>
      </c>
      <c r="K2805" s="97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inlineStr">
        <is>
          <t>Nao</t>
        </is>
      </c>
      <c r="W2805" s="110" t="inlineStr">
        <is>
          <t>PC em analise</t>
        </is>
      </c>
      <c r="X2805" s="110" t="inlineStr">
        <is>
          <t>Pedido de Compra</t>
        </is>
      </c>
      <c r="Y2805" s="111" t="inlineStr">
        <is>
          <t>Impacto Potencial</t>
        </is>
      </c>
      <c r="Z2805" s="111" t="inlineStr">
        <is>
          <t>PC</t>
        </is>
      </c>
      <c r="AA2805" s="111" t="inlineStr">
        <is>
          <t>Nao</t>
        </is>
      </c>
      <c r="AB2805" s="111" t="inlineStr">
        <is>
          <t>NAO_COMPUTADO</t>
        </is>
      </c>
      <c r="AC2805" s="112" t="inlineStr">
        <is>
          <t>Estrutura Fase 1: sem impacto no VTA oficial</t>
        </is>
      </c>
    </row>
    <row r="2806" ht="25.5" customHeight="1" s="289">
      <c r="A2806" s="205" t="n"/>
      <c r="B2806" s="207" t="n"/>
      <c r="C2806" s="104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348" t="n"/>
      <c r="E2806" s="349">
        <f>IF(C2806="","",IFERROR(VLOOKUP(C2806,parametros!$A$11:$E$15,5,0),""))</f>
        <v/>
      </c>
      <c r="F2806" s="335">
        <f>IF(OR(D2806="",E2806=""),"",ROUND(D2806*E2806,2))</f>
        <v/>
      </c>
      <c r="G2806" s="106" t="n"/>
      <c r="H2806" s="350">
        <f>IF(G2806="Sim",IF(OR(F2806="",D2806="",L2806=""),"",IF(L2806="Sim",ROUND(F2806-D2806,2),0)),0)</f>
        <v/>
      </c>
      <c r="I2806" s="350">
        <f>IF(G2806="Sim",0,IF(OR(F2806="",L2806=""),"",F2806))</f>
        <v/>
      </c>
      <c r="J2806" s="350">
        <f>IF(G2806="Sim",0,IF(OR(F2806="",D2806="",L2806=""),"",IF(L2806="Sim",ROUND(F2806-D2806,2),0)))</f>
        <v/>
      </c>
      <c r="K2806" s="97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inlineStr">
        <is>
          <t>Nao</t>
        </is>
      </c>
      <c r="W2806" s="110" t="inlineStr">
        <is>
          <t>PC em analise</t>
        </is>
      </c>
      <c r="X2806" s="110" t="inlineStr">
        <is>
          <t>Pedido de Compra</t>
        </is>
      </c>
      <c r="Y2806" s="111" t="inlineStr">
        <is>
          <t>Impacto Potencial</t>
        </is>
      </c>
      <c r="Z2806" s="111" t="inlineStr">
        <is>
          <t>PC</t>
        </is>
      </c>
      <c r="AA2806" s="111" t="inlineStr">
        <is>
          <t>Nao</t>
        </is>
      </c>
      <c r="AB2806" s="111" t="inlineStr">
        <is>
          <t>NAO_COMPUTADO</t>
        </is>
      </c>
      <c r="AC2806" s="112" t="inlineStr">
        <is>
          <t>Estrutura Fase 1: sem impacto no VTA oficial</t>
        </is>
      </c>
    </row>
    <row r="2807" ht="25.5" customHeight="1" s="289">
      <c r="A2807" s="205" t="n"/>
      <c r="B2807" s="207" t="n"/>
      <c r="C2807" s="104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348" t="n"/>
      <c r="E2807" s="349">
        <f>IF(C2807="","",IFERROR(VLOOKUP(C2807,parametros!$A$11:$E$15,5,0),""))</f>
        <v/>
      </c>
      <c r="F2807" s="335">
        <f>IF(OR(D2807="",E2807=""),"",ROUND(D2807*E2807,2))</f>
        <v/>
      </c>
      <c r="G2807" s="106" t="n"/>
      <c r="H2807" s="350">
        <f>IF(G2807="Sim",IF(OR(F2807="",D2807="",L2807=""),"",IF(L2807="Sim",ROUND(F2807-D2807,2),0)),0)</f>
        <v/>
      </c>
      <c r="I2807" s="350">
        <f>IF(G2807="Sim",0,IF(OR(F2807="",L2807=""),"",F2807))</f>
        <v/>
      </c>
      <c r="J2807" s="350">
        <f>IF(G2807="Sim",0,IF(OR(F2807="",D2807="",L2807=""),"",IF(L2807="Sim",ROUND(F2807-D2807,2),0)))</f>
        <v/>
      </c>
      <c r="K2807" s="97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inlineStr">
        <is>
          <t>Nao</t>
        </is>
      </c>
      <c r="W2807" s="110" t="inlineStr">
        <is>
          <t>PC em analise</t>
        </is>
      </c>
      <c r="X2807" s="110" t="inlineStr">
        <is>
          <t>Pedido de Compra</t>
        </is>
      </c>
      <c r="Y2807" s="111" t="inlineStr">
        <is>
          <t>Impacto Potencial</t>
        </is>
      </c>
      <c r="Z2807" s="111" t="inlineStr">
        <is>
          <t>PC</t>
        </is>
      </c>
      <c r="AA2807" s="111" t="inlineStr">
        <is>
          <t>Nao</t>
        </is>
      </c>
      <c r="AB2807" s="111" t="inlineStr">
        <is>
          <t>NAO_COMPUTADO</t>
        </is>
      </c>
      <c r="AC2807" s="112" t="inlineStr">
        <is>
          <t>Estrutura Fase 1: sem impacto no VTA oficial</t>
        </is>
      </c>
    </row>
    <row r="2808" ht="25.5" customHeight="1" s="289">
      <c r="A2808" s="205" t="n"/>
      <c r="B2808" s="207" t="n"/>
      <c r="C2808" s="104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348" t="n"/>
      <c r="E2808" s="349">
        <f>IF(C2808="","",IFERROR(VLOOKUP(C2808,parametros!$A$11:$E$15,5,0),""))</f>
        <v/>
      </c>
      <c r="F2808" s="335">
        <f>IF(OR(D2808="",E2808=""),"",ROUND(D2808*E2808,2))</f>
        <v/>
      </c>
      <c r="G2808" s="106" t="n"/>
      <c r="H2808" s="350">
        <f>IF(G2808="Sim",IF(OR(F2808="",D2808="",L2808=""),"",IF(L2808="Sim",ROUND(F2808-D2808,2),0)),0)</f>
        <v/>
      </c>
      <c r="I2808" s="350">
        <f>IF(G2808="Sim",0,IF(OR(F2808="",L2808=""),"",F2808))</f>
        <v/>
      </c>
      <c r="J2808" s="350">
        <f>IF(G2808="Sim",0,IF(OR(F2808="",D2808="",L2808=""),"",IF(L2808="Sim",ROUND(F2808-D2808,2),0)))</f>
        <v/>
      </c>
      <c r="K2808" s="97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inlineStr">
        <is>
          <t>Nao</t>
        </is>
      </c>
      <c r="W2808" s="110" t="inlineStr">
        <is>
          <t>PC em analise</t>
        </is>
      </c>
      <c r="X2808" s="110" t="inlineStr">
        <is>
          <t>Pedido de Compra</t>
        </is>
      </c>
      <c r="Y2808" s="111" t="inlineStr">
        <is>
          <t>Impacto Potencial</t>
        </is>
      </c>
      <c r="Z2808" s="111" t="inlineStr">
        <is>
          <t>PC</t>
        </is>
      </c>
      <c r="AA2808" s="111" t="inlineStr">
        <is>
          <t>Nao</t>
        </is>
      </c>
      <c r="AB2808" s="111" t="inlineStr">
        <is>
          <t>NAO_COMPUTADO</t>
        </is>
      </c>
      <c r="AC2808" s="112" t="inlineStr">
        <is>
          <t>Estrutura Fase 1: sem impacto no VTA oficial</t>
        </is>
      </c>
    </row>
    <row r="2809" ht="25.5" customHeight="1" s="289">
      <c r="A2809" s="205" t="n"/>
      <c r="B2809" s="207" t="n"/>
      <c r="C2809" s="104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348" t="n"/>
      <c r="E2809" s="349">
        <f>IF(C2809="","",IFERROR(VLOOKUP(C2809,parametros!$A$11:$E$15,5,0),""))</f>
        <v/>
      </c>
      <c r="F2809" s="335">
        <f>IF(OR(D2809="",E2809=""),"",ROUND(D2809*E2809,2))</f>
        <v/>
      </c>
      <c r="G2809" s="106" t="n"/>
      <c r="H2809" s="350">
        <f>IF(G2809="Sim",IF(OR(F2809="",D2809="",L2809=""),"",IF(L2809="Sim",ROUND(F2809-D2809,2),0)),0)</f>
        <v/>
      </c>
      <c r="I2809" s="350">
        <f>IF(G2809="Sim",0,IF(OR(F2809="",L2809=""),"",F2809))</f>
        <v/>
      </c>
      <c r="J2809" s="350">
        <f>IF(G2809="Sim",0,IF(OR(F2809="",D2809="",L2809=""),"",IF(L2809="Sim",ROUND(F2809-D2809,2),0)))</f>
        <v/>
      </c>
      <c r="K2809" s="97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inlineStr">
        <is>
          <t>Nao</t>
        </is>
      </c>
      <c r="W2809" s="110" t="inlineStr">
        <is>
          <t>PC em analise</t>
        </is>
      </c>
      <c r="X2809" s="110" t="inlineStr">
        <is>
          <t>Pedido de Compra</t>
        </is>
      </c>
      <c r="Y2809" s="111" t="inlineStr">
        <is>
          <t>Impacto Potencial</t>
        </is>
      </c>
      <c r="Z2809" s="111" t="inlineStr">
        <is>
          <t>PC</t>
        </is>
      </c>
      <c r="AA2809" s="111" t="inlineStr">
        <is>
          <t>Nao</t>
        </is>
      </c>
      <c r="AB2809" s="111" t="inlineStr">
        <is>
          <t>NAO_COMPUTADO</t>
        </is>
      </c>
      <c r="AC2809" s="112" t="inlineStr">
        <is>
          <t>Estrutura Fase 1: sem impacto no VTA oficial</t>
        </is>
      </c>
    </row>
    <row r="2810" ht="25.5" customHeight="1" s="289">
      <c r="A2810" s="205" t="n"/>
      <c r="B2810" s="207" t="n"/>
      <c r="C2810" s="104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348" t="n"/>
      <c r="E2810" s="349">
        <f>IF(C2810="","",IFERROR(VLOOKUP(C2810,parametros!$A$11:$E$15,5,0),""))</f>
        <v/>
      </c>
      <c r="F2810" s="335">
        <f>IF(OR(D2810="",E2810=""),"",ROUND(D2810*E2810,2))</f>
        <v/>
      </c>
      <c r="G2810" s="106" t="n"/>
      <c r="H2810" s="350">
        <f>IF(G2810="Sim",IF(OR(F2810="",D2810="",L2810=""),"",IF(L2810="Sim",ROUND(F2810-D2810,2),0)),0)</f>
        <v/>
      </c>
      <c r="I2810" s="350">
        <f>IF(G2810="Sim",0,IF(OR(F2810="",L2810=""),"",F2810))</f>
        <v/>
      </c>
      <c r="J2810" s="350">
        <f>IF(G2810="Sim",0,IF(OR(F2810="",D2810="",L2810=""),"",IF(L2810="Sim",ROUND(F2810-D2810,2),0)))</f>
        <v/>
      </c>
      <c r="K2810" s="97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inlineStr">
        <is>
          <t>Nao</t>
        </is>
      </c>
      <c r="W2810" s="110" t="inlineStr">
        <is>
          <t>PC em analise</t>
        </is>
      </c>
      <c r="X2810" s="110" t="inlineStr">
        <is>
          <t>Pedido de Compra</t>
        </is>
      </c>
      <c r="Y2810" s="111" t="inlineStr">
        <is>
          <t>Impacto Potencial</t>
        </is>
      </c>
      <c r="Z2810" s="111" t="inlineStr">
        <is>
          <t>PC</t>
        </is>
      </c>
      <c r="AA2810" s="111" t="inlineStr">
        <is>
          <t>Nao</t>
        </is>
      </c>
      <c r="AB2810" s="111" t="inlineStr">
        <is>
          <t>NAO_COMPUTADO</t>
        </is>
      </c>
      <c r="AC2810" s="112" t="inlineStr">
        <is>
          <t>Estrutura Fase 1: sem impacto no VTA oficial</t>
        </is>
      </c>
    </row>
    <row r="2811" ht="25.5" customHeight="1" s="289">
      <c r="A2811" s="205" t="n"/>
      <c r="B2811" s="207" t="n"/>
      <c r="C2811" s="104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348" t="n"/>
      <c r="E2811" s="349">
        <f>IF(C2811="","",IFERROR(VLOOKUP(C2811,parametros!$A$11:$E$15,5,0),""))</f>
        <v/>
      </c>
      <c r="F2811" s="335">
        <f>IF(OR(D2811="",E2811=""),"",ROUND(D2811*E2811,2))</f>
        <v/>
      </c>
      <c r="G2811" s="106" t="n"/>
      <c r="H2811" s="350">
        <f>IF(G2811="Sim",IF(OR(F2811="",D2811="",L2811=""),"",IF(L2811="Sim",ROUND(F2811-D2811,2),0)),0)</f>
        <v/>
      </c>
      <c r="I2811" s="350">
        <f>IF(G2811="Sim",0,IF(OR(F2811="",L2811=""),"",F2811))</f>
        <v/>
      </c>
      <c r="J2811" s="350">
        <f>IF(G2811="Sim",0,IF(OR(F2811="",D2811="",L2811=""),"",IF(L2811="Sim",ROUND(F2811-D2811,2),0)))</f>
        <v/>
      </c>
      <c r="K2811" s="97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inlineStr">
        <is>
          <t>Nao</t>
        </is>
      </c>
      <c r="W2811" s="110" t="inlineStr">
        <is>
          <t>PC em analise</t>
        </is>
      </c>
      <c r="X2811" s="110" t="inlineStr">
        <is>
          <t>Pedido de Compra</t>
        </is>
      </c>
      <c r="Y2811" s="111" t="inlineStr">
        <is>
          <t>Impacto Potencial</t>
        </is>
      </c>
      <c r="Z2811" s="111" t="inlineStr">
        <is>
          <t>PC</t>
        </is>
      </c>
      <c r="AA2811" s="111" t="inlineStr">
        <is>
          <t>Nao</t>
        </is>
      </c>
      <c r="AB2811" s="111" t="inlineStr">
        <is>
          <t>NAO_COMPUTADO</t>
        </is>
      </c>
      <c r="AC2811" s="112" t="inlineStr">
        <is>
          <t>Estrutura Fase 1: sem impacto no VTA oficial</t>
        </is>
      </c>
    </row>
    <row r="2812" ht="25.5" customHeight="1" s="289">
      <c r="A2812" s="205" t="n"/>
      <c r="B2812" s="207" t="n"/>
      <c r="C2812" s="104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348" t="n"/>
      <c r="E2812" s="349">
        <f>IF(C2812="","",IFERROR(VLOOKUP(C2812,parametros!$A$11:$E$15,5,0),""))</f>
        <v/>
      </c>
      <c r="F2812" s="335">
        <f>IF(OR(D2812="",E2812=""),"",ROUND(D2812*E2812,2))</f>
        <v/>
      </c>
      <c r="G2812" s="106" t="n"/>
      <c r="H2812" s="350">
        <f>IF(G2812="Sim",IF(OR(F2812="",D2812="",L2812=""),"",IF(L2812="Sim",ROUND(F2812-D2812,2),0)),0)</f>
        <v/>
      </c>
      <c r="I2812" s="350">
        <f>IF(G2812="Sim",0,IF(OR(F2812="",L2812=""),"",F2812))</f>
        <v/>
      </c>
      <c r="J2812" s="350">
        <f>IF(G2812="Sim",0,IF(OR(F2812="",D2812="",L2812=""),"",IF(L2812="Sim",ROUND(F2812-D2812,2),0)))</f>
        <v/>
      </c>
      <c r="K2812" s="97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inlineStr">
        <is>
          <t>Nao</t>
        </is>
      </c>
      <c r="W2812" s="110" t="inlineStr">
        <is>
          <t>PC em analise</t>
        </is>
      </c>
      <c r="X2812" s="110" t="inlineStr">
        <is>
          <t>Pedido de Compra</t>
        </is>
      </c>
      <c r="Y2812" s="111" t="inlineStr">
        <is>
          <t>Impacto Potencial</t>
        </is>
      </c>
      <c r="Z2812" s="111" t="inlineStr">
        <is>
          <t>PC</t>
        </is>
      </c>
      <c r="AA2812" s="111" t="inlineStr">
        <is>
          <t>Nao</t>
        </is>
      </c>
      <c r="AB2812" s="111" t="inlineStr">
        <is>
          <t>NAO_COMPUTADO</t>
        </is>
      </c>
      <c r="AC2812" s="112" t="inlineStr">
        <is>
          <t>Estrutura Fase 1: sem impacto no VTA oficial</t>
        </is>
      </c>
    </row>
    <row r="2813" ht="25.5" customHeight="1" s="289">
      <c r="A2813" s="205" t="n"/>
      <c r="B2813" s="207" t="n"/>
      <c r="C2813" s="104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348" t="n"/>
      <c r="E2813" s="349">
        <f>IF(C2813="","",IFERROR(VLOOKUP(C2813,parametros!$A$11:$E$15,5,0),""))</f>
        <v/>
      </c>
      <c r="F2813" s="335">
        <f>IF(OR(D2813="",E2813=""),"",ROUND(D2813*E2813,2))</f>
        <v/>
      </c>
      <c r="G2813" s="106" t="n"/>
      <c r="H2813" s="350">
        <f>IF(G2813="Sim",IF(OR(F2813="",D2813="",L2813=""),"",IF(L2813="Sim",ROUND(F2813-D2813,2),0)),0)</f>
        <v/>
      </c>
      <c r="I2813" s="350">
        <f>IF(G2813="Sim",0,IF(OR(F2813="",L2813=""),"",F2813))</f>
        <v/>
      </c>
      <c r="J2813" s="350">
        <f>IF(G2813="Sim",0,IF(OR(F2813="",D2813="",L2813=""),"",IF(L2813="Sim",ROUND(F2813-D2813,2),0)))</f>
        <v/>
      </c>
      <c r="K2813" s="97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inlineStr">
        <is>
          <t>Nao</t>
        </is>
      </c>
      <c r="W2813" s="110" t="inlineStr">
        <is>
          <t>PC em analise</t>
        </is>
      </c>
      <c r="X2813" s="110" t="inlineStr">
        <is>
          <t>Pedido de Compra</t>
        </is>
      </c>
      <c r="Y2813" s="111" t="inlineStr">
        <is>
          <t>Impacto Potencial</t>
        </is>
      </c>
      <c r="Z2813" s="111" t="inlineStr">
        <is>
          <t>PC</t>
        </is>
      </c>
      <c r="AA2813" s="111" t="inlineStr">
        <is>
          <t>Nao</t>
        </is>
      </c>
      <c r="AB2813" s="111" t="inlineStr">
        <is>
          <t>NAO_COMPUTADO</t>
        </is>
      </c>
      <c r="AC2813" s="112" t="inlineStr">
        <is>
          <t>Estrutura Fase 1: sem impacto no VTA oficial</t>
        </is>
      </c>
    </row>
    <row r="2814" ht="25.5" customHeight="1" s="289">
      <c r="A2814" s="205" t="n"/>
      <c r="B2814" s="207" t="n"/>
      <c r="C2814" s="104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348" t="n"/>
      <c r="E2814" s="349">
        <f>IF(C2814="","",IFERROR(VLOOKUP(C2814,parametros!$A$11:$E$15,5,0),""))</f>
        <v/>
      </c>
      <c r="F2814" s="335">
        <f>IF(OR(D2814="",E2814=""),"",ROUND(D2814*E2814,2))</f>
        <v/>
      </c>
      <c r="G2814" s="106" t="n"/>
      <c r="H2814" s="350">
        <f>IF(G2814="Sim",IF(OR(F2814="",D2814="",L2814=""),"",IF(L2814="Sim",ROUND(F2814-D2814,2),0)),0)</f>
        <v/>
      </c>
      <c r="I2814" s="350">
        <f>IF(G2814="Sim",0,IF(OR(F2814="",L2814=""),"",F2814))</f>
        <v/>
      </c>
      <c r="J2814" s="350">
        <f>IF(G2814="Sim",0,IF(OR(F2814="",D2814="",L2814=""),"",IF(L2814="Sim",ROUND(F2814-D2814,2),0)))</f>
        <v/>
      </c>
      <c r="K2814" s="97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inlineStr">
        <is>
          <t>Nao</t>
        </is>
      </c>
      <c r="W2814" s="110" t="inlineStr">
        <is>
          <t>PC em analise</t>
        </is>
      </c>
      <c r="X2814" s="110" t="inlineStr">
        <is>
          <t>Pedido de Compra</t>
        </is>
      </c>
      <c r="Y2814" s="111" t="inlineStr">
        <is>
          <t>Impacto Potencial</t>
        </is>
      </c>
      <c r="Z2814" s="111" t="inlineStr">
        <is>
          <t>PC</t>
        </is>
      </c>
      <c r="AA2814" s="111" t="inlineStr">
        <is>
          <t>Nao</t>
        </is>
      </c>
      <c r="AB2814" s="111" t="inlineStr">
        <is>
          <t>NAO_COMPUTADO</t>
        </is>
      </c>
      <c r="AC2814" s="112" t="inlineStr">
        <is>
          <t>Estrutura Fase 1: sem impacto no VTA oficial</t>
        </is>
      </c>
    </row>
    <row r="2815" ht="25.5" customHeight="1" s="289">
      <c r="A2815" s="205" t="n"/>
      <c r="B2815" s="207" t="n"/>
      <c r="C2815" s="104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348" t="n"/>
      <c r="E2815" s="349">
        <f>IF(C2815="","",IFERROR(VLOOKUP(C2815,parametros!$A$11:$E$15,5,0),""))</f>
        <v/>
      </c>
      <c r="F2815" s="335">
        <f>IF(OR(D2815="",E2815=""),"",ROUND(D2815*E2815,2))</f>
        <v/>
      </c>
      <c r="G2815" s="106" t="n"/>
      <c r="H2815" s="350">
        <f>IF(G2815="Sim",IF(OR(F2815="",D2815="",L2815=""),"",IF(L2815="Sim",ROUND(F2815-D2815,2),0)),0)</f>
        <v/>
      </c>
      <c r="I2815" s="350">
        <f>IF(G2815="Sim",0,IF(OR(F2815="",L2815=""),"",F2815))</f>
        <v/>
      </c>
      <c r="J2815" s="350">
        <f>IF(G2815="Sim",0,IF(OR(F2815="",D2815="",L2815=""),"",IF(L2815="Sim",ROUND(F2815-D2815,2),0)))</f>
        <v/>
      </c>
      <c r="K2815" s="97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inlineStr">
        <is>
          <t>Nao</t>
        </is>
      </c>
      <c r="W2815" s="110" t="inlineStr">
        <is>
          <t>PC em analise</t>
        </is>
      </c>
      <c r="X2815" s="110" t="inlineStr">
        <is>
          <t>Pedido de Compra</t>
        </is>
      </c>
      <c r="Y2815" s="111" t="inlineStr">
        <is>
          <t>Impacto Potencial</t>
        </is>
      </c>
      <c r="Z2815" s="111" t="inlineStr">
        <is>
          <t>PC</t>
        </is>
      </c>
      <c r="AA2815" s="111" t="inlineStr">
        <is>
          <t>Nao</t>
        </is>
      </c>
      <c r="AB2815" s="111" t="inlineStr">
        <is>
          <t>NAO_COMPUTADO</t>
        </is>
      </c>
      <c r="AC2815" s="112" t="inlineStr">
        <is>
          <t>Estrutura Fase 1: sem impacto no VTA oficial</t>
        </is>
      </c>
    </row>
    <row r="2816" ht="25.5" customHeight="1" s="289">
      <c r="A2816" s="205" t="n"/>
      <c r="B2816" s="207" t="n"/>
      <c r="C2816" s="104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348" t="n"/>
      <c r="E2816" s="349">
        <f>IF(C2816="","",IFERROR(VLOOKUP(C2816,parametros!$A$11:$E$15,5,0),""))</f>
        <v/>
      </c>
      <c r="F2816" s="335">
        <f>IF(OR(D2816="",E2816=""),"",ROUND(D2816*E2816,2))</f>
        <v/>
      </c>
      <c r="G2816" s="106" t="n"/>
      <c r="H2816" s="350">
        <f>IF(G2816="Sim",IF(OR(F2816="",D2816="",L2816=""),"",IF(L2816="Sim",ROUND(F2816-D2816,2),0)),0)</f>
        <v/>
      </c>
      <c r="I2816" s="350">
        <f>IF(G2816="Sim",0,IF(OR(F2816="",L2816=""),"",F2816))</f>
        <v/>
      </c>
      <c r="J2816" s="350">
        <f>IF(G2816="Sim",0,IF(OR(F2816="",D2816="",L2816=""),"",IF(L2816="Sim",ROUND(F2816-D2816,2),0)))</f>
        <v/>
      </c>
      <c r="K2816" s="97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inlineStr">
        <is>
          <t>Nao</t>
        </is>
      </c>
      <c r="W2816" s="110" t="inlineStr">
        <is>
          <t>PC em analise</t>
        </is>
      </c>
      <c r="X2816" s="110" t="inlineStr">
        <is>
          <t>Pedido de Compra</t>
        </is>
      </c>
      <c r="Y2816" s="111" t="inlineStr">
        <is>
          <t>Impacto Potencial</t>
        </is>
      </c>
      <c r="Z2816" s="111" t="inlineStr">
        <is>
          <t>PC</t>
        </is>
      </c>
      <c r="AA2816" s="111" t="inlineStr">
        <is>
          <t>Nao</t>
        </is>
      </c>
      <c r="AB2816" s="111" t="inlineStr">
        <is>
          <t>NAO_COMPUTADO</t>
        </is>
      </c>
      <c r="AC2816" s="112" t="inlineStr">
        <is>
          <t>Estrutura Fase 1: sem impacto no VTA oficial</t>
        </is>
      </c>
    </row>
    <row r="2817" ht="25.5" customHeight="1" s="289">
      <c r="A2817" s="205" t="n"/>
      <c r="B2817" s="207" t="n"/>
      <c r="C2817" s="104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348" t="n"/>
      <c r="E2817" s="349">
        <f>IF(C2817="","",IFERROR(VLOOKUP(C2817,parametros!$A$11:$E$15,5,0),""))</f>
        <v/>
      </c>
      <c r="F2817" s="335">
        <f>IF(OR(D2817="",E2817=""),"",ROUND(D2817*E2817,2))</f>
        <v/>
      </c>
      <c r="G2817" s="106" t="n"/>
      <c r="H2817" s="350">
        <f>IF(G2817="Sim",IF(OR(F2817="",D2817="",L2817=""),"",IF(L2817="Sim",ROUND(F2817-D2817,2),0)),0)</f>
        <v/>
      </c>
      <c r="I2817" s="350">
        <f>IF(G2817="Sim",0,IF(OR(F2817="",L2817=""),"",F2817))</f>
        <v/>
      </c>
      <c r="J2817" s="350">
        <f>IF(G2817="Sim",0,IF(OR(F2817="",D2817="",L2817=""),"",IF(L2817="Sim",ROUND(F2817-D2817,2),0)))</f>
        <v/>
      </c>
      <c r="K2817" s="97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inlineStr">
        <is>
          <t>Nao</t>
        </is>
      </c>
      <c r="W2817" s="110" t="inlineStr">
        <is>
          <t>PC em analise</t>
        </is>
      </c>
      <c r="X2817" s="110" t="inlineStr">
        <is>
          <t>Pedido de Compra</t>
        </is>
      </c>
      <c r="Y2817" s="111" t="inlineStr">
        <is>
          <t>Impacto Potencial</t>
        </is>
      </c>
      <c r="Z2817" s="111" t="inlineStr">
        <is>
          <t>PC</t>
        </is>
      </c>
      <c r="AA2817" s="111" t="inlineStr">
        <is>
          <t>Nao</t>
        </is>
      </c>
      <c r="AB2817" s="111" t="inlineStr">
        <is>
          <t>NAO_COMPUTADO</t>
        </is>
      </c>
      <c r="AC2817" s="112" t="inlineStr">
        <is>
          <t>Estrutura Fase 1: sem impacto no VTA oficial</t>
        </is>
      </c>
    </row>
    <row r="2818" ht="25.5" customHeight="1" s="289">
      <c r="A2818" s="205" t="n"/>
      <c r="B2818" s="207" t="n"/>
      <c r="C2818" s="104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348" t="n"/>
      <c r="E2818" s="349">
        <f>IF(C2818="","",IFERROR(VLOOKUP(C2818,parametros!$A$11:$E$15,5,0),""))</f>
        <v/>
      </c>
      <c r="F2818" s="335">
        <f>IF(OR(D2818="",E2818=""),"",ROUND(D2818*E2818,2))</f>
        <v/>
      </c>
      <c r="G2818" s="106" t="n"/>
      <c r="H2818" s="350">
        <f>IF(G2818="Sim",IF(OR(F2818="",D2818="",L2818=""),"",IF(L2818="Sim",ROUND(F2818-D2818,2),0)),0)</f>
        <v/>
      </c>
      <c r="I2818" s="350">
        <f>IF(G2818="Sim",0,IF(OR(F2818="",L2818=""),"",F2818))</f>
        <v/>
      </c>
      <c r="J2818" s="350">
        <f>IF(G2818="Sim",0,IF(OR(F2818="",D2818="",L2818=""),"",IF(L2818="Sim",ROUND(F2818-D2818,2),0)))</f>
        <v/>
      </c>
      <c r="K2818" s="97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inlineStr">
        <is>
          <t>Nao</t>
        </is>
      </c>
      <c r="W2818" s="110" t="inlineStr">
        <is>
          <t>PC em analise</t>
        </is>
      </c>
      <c r="X2818" s="110" t="inlineStr">
        <is>
          <t>Pedido de Compra</t>
        </is>
      </c>
      <c r="Y2818" s="111" t="inlineStr">
        <is>
          <t>Impacto Potencial</t>
        </is>
      </c>
      <c r="Z2818" s="111" t="inlineStr">
        <is>
          <t>PC</t>
        </is>
      </c>
      <c r="AA2818" s="111" t="inlineStr">
        <is>
          <t>Nao</t>
        </is>
      </c>
      <c r="AB2818" s="111" t="inlineStr">
        <is>
          <t>NAO_COMPUTADO</t>
        </is>
      </c>
      <c r="AC2818" s="112" t="inlineStr">
        <is>
          <t>Estrutura Fase 1: sem impacto no VTA oficial</t>
        </is>
      </c>
    </row>
    <row r="2819" ht="25.5" customHeight="1" s="289">
      <c r="A2819" s="205" t="n"/>
      <c r="B2819" s="207" t="n"/>
      <c r="C2819" s="104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348" t="n"/>
      <c r="E2819" s="349">
        <f>IF(C2819="","",IFERROR(VLOOKUP(C2819,parametros!$A$11:$E$15,5,0),""))</f>
        <v/>
      </c>
      <c r="F2819" s="335">
        <f>IF(OR(D2819="",E2819=""),"",ROUND(D2819*E2819,2))</f>
        <v/>
      </c>
      <c r="G2819" s="106" t="n"/>
      <c r="H2819" s="350">
        <f>IF(G2819="Sim",IF(OR(F2819="",D2819="",L2819=""),"",IF(L2819="Sim",ROUND(F2819-D2819,2),0)),0)</f>
        <v/>
      </c>
      <c r="I2819" s="350">
        <f>IF(G2819="Sim",0,IF(OR(F2819="",L2819=""),"",F2819))</f>
        <v/>
      </c>
      <c r="J2819" s="350">
        <f>IF(G2819="Sim",0,IF(OR(F2819="",D2819="",L2819=""),"",IF(L2819="Sim",ROUND(F2819-D2819,2),0)))</f>
        <v/>
      </c>
      <c r="K2819" s="97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inlineStr">
        <is>
          <t>Nao</t>
        </is>
      </c>
      <c r="W2819" s="110" t="inlineStr">
        <is>
          <t>PC em analise</t>
        </is>
      </c>
      <c r="X2819" s="110" t="inlineStr">
        <is>
          <t>Pedido de Compra</t>
        </is>
      </c>
      <c r="Y2819" s="111" t="inlineStr">
        <is>
          <t>Impacto Potencial</t>
        </is>
      </c>
      <c r="Z2819" s="111" t="inlineStr">
        <is>
          <t>PC</t>
        </is>
      </c>
      <c r="AA2819" s="111" t="inlineStr">
        <is>
          <t>Nao</t>
        </is>
      </c>
      <c r="AB2819" s="111" t="inlineStr">
        <is>
          <t>NAO_COMPUTADO</t>
        </is>
      </c>
      <c r="AC2819" s="112" t="inlineStr">
        <is>
          <t>Estrutura Fase 1: sem impacto no VTA oficial</t>
        </is>
      </c>
    </row>
    <row r="2820" ht="25.5" customHeight="1" s="289">
      <c r="A2820" s="205" t="n"/>
      <c r="B2820" s="207" t="n"/>
      <c r="C2820" s="104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348" t="n"/>
      <c r="E2820" s="349">
        <f>IF(C2820="","",IFERROR(VLOOKUP(C2820,parametros!$A$11:$E$15,5,0),""))</f>
        <v/>
      </c>
      <c r="F2820" s="335">
        <f>IF(OR(D2820="",E2820=""),"",ROUND(D2820*E2820,2))</f>
        <v/>
      </c>
      <c r="G2820" s="106" t="n"/>
      <c r="H2820" s="350">
        <f>IF(G2820="Sim",IF(OR(F2820="",D2820="",L2820=""),"",IF(L2820="Sim",ROUND(F2820-D2820,2),0)),0)</f>
        <v/>
      </c>
      <c r="I2820" s="350">
        <f>IF(G2820="Sim",0,IF(OR(F2820="",L2820=""),"",F2820))</f>
        <v/>
      </c>
      <c r="J2820" s="350">
        <f>IF(G2820="Sim",0,IF(OR(F2820="",D2820="",L2820=""),"",IF(L2820="Sim",ROUND(F2820-D2820,2),0)))</f>
        <v/>
      </c>
      <c r="K2820" s="97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inlineStr">
        <is>
          <t>Nao</t>
        </is>
      </c>
      <c r="W2820" s="110" t="inlineStr">
        <is>
          <t>PC em analise</t>
        </is>
      </c>
      <c r="X2820" s="110" t="inlineStr">
        <is>
          <t>Pedido de Compra</t>
        </is>
      </c>
      <c r="Y2820" s="111" t="inlineStr">
        <is>
          <t>Impacto Potencial</t>
        </is>
      </c>
      <c r="Z2820" s="111" t="inlineStr">
        <is>
          <t>PC</t>
        </is>
      </c>
      <c r="AA2820" s="111" t="inlineStr">
        <is>
          <t>Nao</t>
        </is>
      </c>
      <c r="AB2820" s="111" t="inlineStr">
        <is>
          <t>NAO_COMPUTADO</t>
        </is>
      </c>
      <c r="AC2820" s="112" t="inlineStr">
        <is>
          <t>Estrutura Fase 1: sem impacto no VTA oficial</t>
        </is>
      </c>
    </row>
    <row r="2821" ht="25.5" customHeight="1" s="289">
      <c r="A2821" s="205" t="n"/>
      <c r="B2821" s="207" t="n"/>
      <c r="C2821" s="104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348" t="n"/>
      <c r="E2821" s="349">
        <f>IF(C2821="","",IFERROR(VLOOKUP(C2821,parametros!$A$11:$E$15,5,0),""))</f>
        <v/>
      </c>
      <c r="F2821" s="335">
        <f>IF(OR(D2821="",E2821=""),"",ROUND(D2821*E2821,2))</f>
        <v/>
      </c>
      <c r="G2821" s="106" t="n"/>
      <c r="H2821" s="350">
        <f>IF(G2821="Sim",IF(OR(F2821="",D2821="",L2821=""),"",IF(L2821="Sim",ROUND(F2821-D2821,2),0)),0)</f>
        <v/>
      </c>
      <c r="I2821" s="350">
        <f>IF(G2821="Sim",0,IF(OR(F2821="",L2821=""),"",F2821))</f>
        <v/>
      </c>
      <c r="J2821" s="350">
        <f>IF(G2821="Sim",0,IF(OR(F2821="",D2821="",L2821=""),"",IF(L2821="Sim",ROUND(F2821-D2821,2),0)))</f>
        <v/>
      </c>
      <c r="K2821" s="97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inlineStr">
        <is>
          <t>Nao</t>
        </is>
      </c>
      <c r="W2821" s="110" t="inlineStr">
        <is>
          <t>PC em analise</t>
        </is>
      </c>
      <c r="X2821" s="110" t="inlineStr">
        <is>
          <t>Pedido de Compra</t>
        </is>
      </c>
      <c r="Y2821" s="111" t="inlineStr">
        <is>
          <t>Impacto Potencial</t>
        </is>
      </c>
      <c r="Z2821" s="111" t="inlineStr">
        <is>
          <t>PC</t>
        </is>
      </c>
      <c r="AA2821" s="111" t="inlineStr">
        <is>
          <t>Nao</t>
        </is>
      </c>
      <c r="AB2821" s="111" t="inlineStr">
        <is>
          <t>NAO_COMPUTADO</t>
        </is>
      </c>
      <c r="AC2821" s="112" t="inlineStr">
        <is>
          <t>Estrutura Fase 1: sem impacto no VTA oficial</t>
        </is>
      </c>
    </row>
    <row r="2822" ht="25.5" customHeight="1" s="289">
      <c r="A2822" s="205" t="n"/>
      <c r="B2822" s="207" t="n"/>
      <c r="C2822" s="104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348" t="n"/>
      <c r="E2822" s="349">
        <f>IF(C2822="","",IFERROR(VLOOKUP(C2822,parametros!$A$11:$E$15,5,0),""))</f>
        <v/>
      </c>
      <c r="F2822" s="335">
        <f>IF(OR(D2822="",E2822=""),"",ROUND(D2822*E2822,2))</f>
        <v/>
      </c>
      <c r="G2822" s="106" t="n"/>
      <c r="H2822" s="350">
        <f>IF(G2822="Sim",IF(OR(F2822="",D2822="",L2822=""),"",IF(L2822="Sim",ROUND(F2822-D2822,2),0)),0)</f>
        <v/>
      </c>
      <c r="I2822" s="350">
        <f>IF(G2822="Sim",0,IF(OR(F2822="",L2822=""),"",F2822))</f>
        <v/>
      </c>
      <c r="J2822" s="350">
        <f>IF(G2822="Sim",0,IF(OR(F2822="",D2822="",L2822=""),"",IF(L2822="Sim",ROUND(F2822-D2822,2),0)))</f>
        <v/>
      </c>
      <c r="K2822" s="97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inlineStr">
        <is>
          <t>Nao</t>
        </is>
      </c>
      <c r="W2822" s="110" t="inlineStr">
        <is>
          <t>PC em analise</t>
        </is>
      </c>
      <c r="X2822" s="110" t="inlineStr">
        <is>
          <t>Pedido de Compra</t>
        </is>
      </c>
      <c r="Y2822" s="111" t="inlineStr">
        <is>
          <t>Impacto Potencial</t>
        </is>
      </c>
      <c r="Z2822" s="111" t="inlineStr">
        <is>
          <t>PC</t>
        </is>
      </c>
      <c r="AA2822" s="111" t="inlineStr">
        <is>
          <t>Nao</t>
        </is>
      </c>
      <c r="AB2822" s="111" t="inlineStr">
        <is>
          <t>NAO_COMPUTADO</t>
        </is>
      </c>
      <c r="AC2822" s="112" t="inlineStr">
        <is>
          <t>Estrutura Fase 1: sem impacto no VTA oficial</t>
        </is>
      </c>
    </row>
    <row r="2823" ht="25.5" customHeight="1" s="289">
      <c r="A2823" s="205" t="n"/>
      <c r="B2823" s="207" t="n"/>
      <c r="C2823" s="104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348" t="n"/>
      <c r="E2823" s="349">
        <f>IF(C2823="","",IFERROR(VLOOKUP(C2823,parametros!$A$11:$E$15,5,0),""))</f>
        <v/>
      </c>
      <c r="F2823" s="335">
        <f>IF(OR(D2823="",E2823=""),"",ROUND(D2823*E2823,2))</f>
        <v/>
      </c>
      <c r="G2823" s="106" t="n"/>
      <c r="H2823" s="350">
        <f>IF(G2823="Sim",IF(OR(F2823="",D2823="",L2823=""),"",IF(L2823="Sim",ROUND(F2823-D2823,2),0)),0)</f>
        <v/>
      </c>
      <c r="I2823" s="350">
        <f>IF(G2823="Sim",0,IF(OR(F2823="",L2823=""),"",F2823))</f>
        <v/>
      </c>
      <c r="J2823" s="350">
        <f>IF(G2823="Sim",0,IF(OR(F2823="",D2823="",L2823=""),"",IF(L2823="Sim",ROUND(F2823-D2823,2),0)))</f>
        <v/>
      </c>
      <c r="K2823" s="97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inlineStr">
        <is>
          <t>Nao</t>
        </is>
      </c>
      <c r="W2823" s="110" t="inlineStr">
        <is>
          <t>PC em analise</t>
        </is>
      </c>
      <c r="X2823" s="110" t="inlineStr">
        <is>
          <t>Pedido de Compra</t>
        </is>
      </c>
      <c r="Y2823" s="111" t="inlineStr">
        <is>
          <t>Impacto Potencial</t>
        </is>
      </c>
      <c r="Z2823" s="111" t="inlineStr">
        <is>
          <t>PC</t>
        </is>
      </c>
      <c r="AA2823" s="111" t="inlineStr">
        <is>
          <t>Nao</t>
        </is>
      </c>
      <c r="AB2823" s="111" t="inlineStr">
        <is>
          <t>NAO_COMPUTADO</t>
        </is>
      </c>
      <c r="AC2823" s="112" t="inlineStr">
        <is>
          <t>Estrutura Fase 1: sem impacto no VTA oficial</t>
        </is>
      </c>
    </row>
    <row r="2824" ht="25.5" customHeight="1" s="289">
      <c r="A2824" s="205" t="n"/>
      <c r="B2824" s="207" t="n"/>
      <c r="C2824" s="104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348" t="n"/>
      <c r="E2824" s="349">
        <f>IF(C2824="","",IFERROR(VLOOKUP(C2824,parametros!$A$11:$E$15,5,0),""))</f>
        <v/>
      </c>
      <c r="F2824" s="335">
        <f>IF(OR(D2824="",E2824=""),"",ROUND(D2824*E2824,2))</f>
        <v/>
      </c>
      <c r="G2824" s="106" t="n"/>
      <c r="H2824" s="350">
        <f>IF(G2824="Sim",IF(OR(F2824="",D2824="",L2824=""),"",IF(L2824="Sim",ROUND(F2824-D2824,2),0)),0)</f>
        <v/>
      </c>
      <c r="I2824" s="350">
        <f>IF(G2824="Sim",0,IF(OR(F2824="",L2824=""),"",F2824))</f>
        <v/>
      </c>
      <c r="J2824" s="350">
        <f>IF(G2824="Sim",0,IF(OR(F2824="",D2824="",L2824=""),"",IF(L2824="Sim",ROUND(F2824-D2824,2),0)))</f>
        <v/>
      </c>
      <c r="K2824" s="97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inlineStr">
        <is>
          <t>Nao</t>
        </is>
      </c>
      <c r="W2824" s="110" t="inlineStr">
        <is>
          <t>PC em analise</t>
        </is>
      </c>
      <c r="X2824" s="110" t="inlineStr">
        <is>
          <t>Pedido de Compra</t>
        </is>
      </c>
      <c r="Y2824" s="111" t="inlineStr">
        <is>
          <t>Impacto Potencial</t>
        </is>
      </c>
      <c r="Z2824" s="111" t="inlineStr">
        <is>
          <t>PC</t>
        </is>
      </c>
      <c r="AA2824" s="111" t="inlineStr">
        <is>
          <t>Nao</t>
        </is>
      </c>
      <c r="AB2824" s="111" t="inlineStr">
        <is>
          <t>NAO_COMPUTADO</t>
        </is>
      </c>
      <c r="AC2824" s="112" t="inlineStr">
        <is>
          <t>Estrutura Fase 1: sem impacto no VTA oficial</t>
        </is>
      </c>
    </row>
    <row r="2825" ht="25.5" customHeight="1" s="289">
      <c r="A2825" s="205" t="n"/>
      <c r="B2825" s="207" t="n"/>
      <c r="C2825" s="104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348" t="n"/>
      <c r="E2825" s="349">
        <f>IF(C2825="","",IFERROR(VLOOKUP(C2825,parametros!$A$11:$E$15,5,0),""))</f>
        <v/>
      </c>
      <c r="F2825" s="335">
        <f>IF(OR(D2825="",E2825=""),"",ROUND(D2825*E2825,2))</f>
        <v/>
      </c>
      <c r="G2825" s="106" t="n"/>
      <c r="H2825" s="350">
        <f>IF(G2825="Sim",IF(OR(F2825="",D2825="",L2825=""),"",IF(L2825="Sim",ROUND(F2825-D2825,2),0)),0)</f>
        <v/>
      </c>
      <c r="I2825" s="350">
        <f>IF(G2825="Sim",0,IF(OR(F2825="",L2825=""),"",F2825))</f>
        <v/>
      </c>
      <c r="J2825" s="350">
        <f>IF(G2825="Sim",0,IF(OR(F2825="",D2825="",L2825=""),"",IF(L2825="Sim",ROUND(F2825-D2825,2),0)))</f>
        <v/>
      </c>
      <c r="K2825" s="97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inlineStr">
        <is>
          <t>Nao</t>
        </is>
      </c>
      <c r="W2825" s="110" t="inlineStr">
        <is>
          <t>PC em analise</t>
        </is>
      </c>
      <c r="X2825" s="110" t="inlineStr">
        <is>
          <t>Pedido de Compra</t>
        </is>
      </c>
      <c r="Y2825" s="111" t="inlineStr">
        <is>
          <t>Impacto Potencial</t>
        </is>
      </c>
      <c r="Z2825" s="111" t="inlineStr">
        <is>
          <t>PC</t>
        </is>
      </c>
      <c r="AA2825" s="111" t="inlineStr">
        <is>
          <t>Nao</t>
        </is>
      </c>
      <c r="AB2825" s="111" t="inlineStr">
        <is>
          <t>NAO_COMPUTADO</t>
        </is>
      </c>
      <c r="AC2825" s="112" t="inlineStr">
        <is>
          <t>Estrutura Fase 1: sem impacto no VTA oficial</t>
        </is>
      </c>
    </row>
    <row r="2826" ht="25.5" customHeight="1" s="289">
      <c r="A2826" s="205" t="n"/>
      <c r="B2826" s="207" t="n"/>
      <c r="C2826" s="104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348" t="n"/>
      <c r="E2826" s="349">
        <f>IF(C2826="","",IFERROR(VLOOKUP(C2826,parametros!$A$11:$E$15,5,0),""))</f>
        <v/>
      </c>
      <c r="F2826" s="335">
        <f>IF(OR(D2826="",E2826=""),"",ROUND(D2826*E2826,2))</f>
        <v/>
      </c>
      <c r="G2826" s="106" t="n"/>
      <c r="H2826" s="350">
        <f>IF(G2826="Sim",IF(OR(F2826="",D2826="",L2826=""),"",IF(L2826="Sim",ROUND(F2826-D2826,2),0)),0)</f>
        <v/>
      </c>
      <c r="I2826" s="350">
        <f>IF(G2826="Sim",0,IF(OR(F2826="",L2826=""),"",F2826))</f>
        <v/>
      </c>
      <c r="J2826" s="350">
        <f>IF(G2826="Sim",0,IF(OR(F2826="",D2826="",L2826=""),"",IF(L2826="Sim",ROUND(F2826-D2826,2),0)))</f>
        <v/>
      </c>
      <c r="K2826" s="97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inlineStr">
        <is>
          <t>Nao</t>
        </is>
      </c>
      <c r="W2826" s="110" t="inlineStr">
        <is>
          <t>PC em analise</t>
        </is>
      </c>
      <c r="X2826" s="110" t="inlineStr">
        <is>
          <t>Pedido de Compra</t>
        </is>
      </c>
      <c r="Y2826" s="111" t="inlineStr">
        <is>
          <t>Impacto Potencial</t>
        </is>
      </c>
      <c r="Z2826" s="111" t="inlineStr">
        <is>
          <t>PC</t>
        </is>
      </c>
      <c r="AA2826" s="111" t="inlineStr">
        <is>
          <t>Nao</t>
        </is>
      </c>
      <c r="AB2826" s="111" t="inlineStr">
        <is>
          <t>NAO_COMPUTADO</t>
        </is>
      </c>
      <c r="AC2826" s="112" t="inlineStr">
        <is>
          <t>Estrutura Fase 1: sem impacto no VTA oficial</t>
        </is>
      </c>
    </row>
    <row r="2827" ht="25.5" customHeight="1" s="289">
      <c r="A2827" s="205" t="n"/>
      <c r="B2827" s="207" t="n"/>
      <c r="C2827" s="104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348" t="n"/>
      <c r="E2827" s="349">
        <f>IF(C2827="","",IFERROR(VLOOKUP(C2827,parametros!$A$11:$E$15,5,0),""))</f>
        <v/>
      </c>
      <c r="F2827" s="335">
        <f>IF(OR(D2827="",E2827=""),"",ROUND(D2827*E2827,2))</f>
        <v/>
      </c>
      <c r="G2827" s="106" t="n"/>
      <c r="H2827" s="350">
        <f>IF(G2827="Sim",IF(OR(F2827="",D2827="",L2827=""),"",IF(L2827="Sim",ROUND(F2827-D2827,2),0)),0)</f>
        <v/>
      </c>
      <c r="I2827" s="350">
        <f>IF(G2827="Sim",0,IF(OR(F2827="",L2827=""),"",F2827))</f>
        <v/>
      </c>
      <c r="J2827" s="350">
        <f>IF(G2827="Sim",0,IF(OR(F2827="",D2827="",L2827=""),"",IF(L2827="Sim",ROUND(F2827-D2827,2),0)))</f>
        <v/>
      </c>
      <c r="K2827" s="97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inlineStr">
        <is>
          <t>Nao</t>
        </is>
      </c>
      <c r="W2827" s="110" t="inlineStr">
        <is>
          <t>PC em analise</t>
        </is>
      </c>
      <c r="X2827" s="110" t="inlineStr">
        <is>
          <t>Pedido de Compra</t>
        </is>
      </c>
      <c r="Y2827" s="111" t="inlineStr">
        <is>
          <t>Impacto Potencial</t>
        </is>
      </c>
      <c r="Z2827" s="111" t="inlineStr">
        <is>
          <t>PC</t>
        </is>
      </c>
      <c r="AA2827" s="111" t="inlineStr">
        <is>
          <t>Nao</t>
        </is>
      </c>
      <c r="AB2827" s="111" t="inlineStr">
        <is>
          <t>NAO_COMPUTADO</t>
        </is>
      </c>
      <c r="AC2827" s="112" t="inlineStr">
        <is>
          <t>Estrutura Fase 1: sem impacto no VTA oficial</t>
        </is>
      </c>
    </row>
    <row r="2828" ht="25.5" customHeight="1" s="289">
      <c r="A2828" s="205" t="n"/>
      <c r="B2828" s="207" t="n"/>
      <c r="C2828" s="104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348" t="n"/>
      <c r="E2828" s="349">
        <f>IF(C2828="","",IFERROR(VLOOKUP(C2828,parametros!$A$11:$E$15,5,0),""))</f>
        <v/>
      </c>
      <c r="F2828" s="335">
        <f>IF(OR(D2828="",E2828=""),"",ROUND(D2828*E2828,2))</f>
        <v/>
      </c>
      <c r="G2828" s="106" t="n"/>
      <c r="H2828" s="350">
        <f>IF(G2828="Sim",IF(OR(F2828="",D2828="",L2828=""),"",IF(L2828="Sim",ROUND(F2828-D2828,2),0)),0)</f>
        <v/>
      </c>
      <c r="I2828" s="350">
        <f>IF(G2828="Sim",0,IF(OR(F2828="",L2828=""),"",F2828))</f>
        <v/>
      </c>
      <c r="J2828" s="350">
        <f>IF(G2828="Sim",0,IF(OR(F2828="",D2828="",L2828=""),"",IF(L2828="Sim",ROUND(F2828-D2828,2),0)))</f>
        <v/>
      </c>
      <c r="K2828" s="97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inlineStr">
        <is>
          <t>Nao</t>
        </is>
      </c>
      <c r="W2828" s="110" t="inlineStr">
        <is>
          <t>PC em analise</t>
        </is>
      </c>
      <c r="X2828" s="110" t="inlineStr">
        <is>
          <t>Pedido de Compra</t>
        </is>
      </c>
      <c r="Y2828" s="111" t="inlineStr">
        <is>
          <t>Impacto Potencial</t>
        </is>
      </c>
      <c r="Z2828" s="111" t="inlineStr">
        <is>
          <t>PC</t>
        </is>
      </c>
      <c r="AA2828" s="111" t="inlineStr">
        <is>
          <t>Nao</t>
        </is>
      </c>
      <c r="AB2828" s="111" t="inlineStr">
        <is>
          <t>NAO_COMPUTADO</t>
        </is>
      </c>
      <c r="AC2828" s="112" t="inlineStr">
        <is>
          <t>Estrutura Fase 1: sem impacto no VTA oficial</t>
        </is>
      </c>
    </row>
    <row r="2829" ht="25.5" customHeight="1" s="289">
      <c r="A2829" s="205" t="n"/>
      <c r="B2829" s="207" t="n"/>
      <c r="C2829" s="104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348" t="n"/>
      <c r="E2829" s="349">
        <f>IF(C2829="","",IFERROR(VLOOKUP(C2829,parametros!$A$11:$E$15,5,0),""))</f>
        <v/>
      </c>
      <c r="F2829" s="335">
        <f>IF(OR(D2829="",E2829=""),"",ROUND(D2829*E2829,2))</f>
        <v/>
      </c>
      <c r="G2829" s="106" t="n"/>
      <c r="H2829" s="350">
        <f>IF(G2829="Sim",IF(OR(F2829="",D2829="",L2829=""),"",IF(L2829="Sim",ROUND(F2829-D2829,2),0)),0)</f>
        <v/>
      </c>
      <c r="I2829" s="350">
        <f>IF(G2829="Sim",0,IF(OR(F2829="",L2829=""),"",F2829))</f>
        <v/>
      </c>
      <c r="J2829" s="350">
        <f>IF(G2829="Sim",0,IF(OR(F2829="",D2829="",L2829=""),"",IF(L2829="Sim",ROUND(F2829-D2829,2),0)))</f>
        <v/>
      </c>
      <c r="K2829" s="97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inlineStr">
        <is>
          <t>Nao</t>
        </is>
      </c>
      <c r="W2829" s="110" t="inlineStr">
        <is>
          <t>PC em analise</t>
        </is>
      </c>
      <c r="X2829" s="110" t="inlineStr">
        <is>
          <t>Pedido de Compra</t>
        </is>
      </c>
      <c r="Y2829" s="111" t="inlineStr">
        <is>
          <t>Impacto Potencial</t>
        </is>
      </c>
      <c r="Z2829" s="111" t="inlineStr">
        <is>
          <t>PC</t>
        </is>
      </c>
      <c r="AA2829" s="111" t="inlineStr">
        <is>
          <t>Nao</t>
        </is>
      </c>
      <c r="AB2829" s="111" t="inlineStr">
        <is>
          <t>NAO_COMPUTADO</t>
        </is>
      </c>
      <c r="AC2829" s="112" t="inlineStr">
        <is>
          <t>Estrutura Fase 1: sem impacto no VTA oficial</t>
        </is>
      </c>
    </row>
    <row r="2830" ht="25.5" customHeight="1" s="289">
      <c r="A2830" s="205" t="n"/>
      <c r="B2830" s="207" t="n"/>
      <c r="C2830" s="104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348" t="n"/>
      <c r="E2830" s="349">
        <f>IF(C2830="","",IFERROR(VLOOKUP(C2830,parametros!$A$11:$E$15,5,0),""))</f>
        <v/>
      </c>
      <c r="F2830" s="335">
        <f>IF(OR(D2830="",E2830=""),"",ROUND(D2830*E2830,2))</f>
        <v/>
      </c>
      <c r="G2830" s="106" t="n"/>
      <c r="H2830" s="350">
        <f>IF(G2830="Sim",IF(OR(F2830="",D2830="",L2830=""),"",IF(L2830="Sim",ROUND(F2830-D2830,2),0)),0)</f>
        <v/>
      </c>
      <c r="I2830" s="350">
        <f>IF(G2830="Sim",0,IF(OR(F2830="",L2830=""),"",F2830))</f>
        <v/>
      </c>
      <c r="J2830" s="350">
        <f>IF(G2830="Sim",0,IF(OR(F2830="",D2830="",L2830=""),"",IF(L2830="Sim",ROUND(F2830-D2830,2),0)))</f>
        <v/>
      </c>
      <c r="K2830" s="97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inlineStr">
        <is>
          <t>Nao</t>
        </is>
      </c>
      <c r="W2830" s="110" t="inlineStr">
        <is>
          <t>PC em analise</t>
        </is>
      </c>
      <c r="X2830" s="110" t="inlineStr">
        <is>
          <t>Pedido de Compra</t>
        </is>
      </c>
      <c r="Y2830" s="111" t="inlineStr">
        <is>
          <t>Impacto Potencial</t>
        </is>
      </c>
      <c r="Z2830" s="111" t="inlineStr">
        <is>
          <t>PC</t>
        </is>
      </c>
      <c r="AA2830" s="111" t="inlineStr">
        <is>
          <t>Nao</t>
        </is>
      </c>
      <c r="AB2830" s="111" t="inlineStr">
        <is>
          <t>NAO_COMPUTADO</t>
        </is>
      </c>
      <c r="AC2830" s="112" t="inlineStr">
        <is>
          <t>Estrutura Fase 1: sem impacto no VTA oficial</t>
        </is>
      </c>
    </row>
    <row r="2831" ht="25.5" customHeight="1" s="289">
      <c r="A2831" s="205" t="n"/>
      <c r="B2831" s="207" t="n"/>
      <c r="C2831" s="104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348" t="n"/>
      <c r="E2831" s="349">
        <f>IF(C2831="","",IFERROR(VLOOKUP(C2831,parametros!$A$11:$E$15,5,0),""))</f>
        <v/>
      </c>
      <c r="F2831" s="335">
        <f>IF(OR(D2831="",E2831=""),"",ROUND(D2831*E2831,2))</f>
        <v/>
      </c>
      <c r="G2831" s="106" t="n"/>
      <c r="H2831" s="350">
        <f>IF(G2831="Sim",IF(OR(F2831="",D2831="",L2831=""),"",IF(L2831="Sim",ROUND(F2831-D2831,2),0)),0)</f>
        <v/>
      </c>
      <c r="I2831" s="350">
        <f>IF(G2831="Sim",0,IF(OR(F2831="",L2831=""),"",F2831))</f>
        <v/>
      </c>
      <c r="J2831" s="350">
        <f>IF(G2831="Sim",0,IF(OR(F2831="",D2831="",L2831=""),"",IF(L2831="Sim",ROUND(F2831-D2831,2),0)))</f>
        <v/>
      </c>
      <c r="K2831" s="97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inlineStr">
        <is>
          <t>Nao</t>
        </is>
      </c>
      <c r="W2831" s="110" t="inlineStr">
        <is>
          <t>PC em analise</t>
        </is>
      </c>
      <c r="X2831" s="110" t="inlineStr">
        <is>
          <t>Pedido de Compra</t>
        </is>
      </c>
      <c r="Y2831" s="111" t="inlineStr">
        <is>
          <t>Impacto Potencial</t>
        </is>
      </c>
      <c r="Z2831" s="111" t="inlineStr">
        <is>
          <t>PC</t>
        </is>
      </c>
      <c r="AA2831" s="111" t="inlineStr">
        <is>
          <t>Nao</t>
        </is>
      </c>
      <c r="AB2831" s="111" t="inlineStr">
        <is>
          <t>NAO_COMPUTADO</t>
        </is>
      </c>
      <c r="AC2831" s="112" t="inlineStr">
        <is>
          <t>Estrutura Fase 1: sem impacto no VTA oficial</t>
        </is>
      </c>
    </row>
    <row r="2832" ht="25.5" customHeight="1" s="289">
      <c r="A2832" s="205" t="n"/>
      <c r="B2832" s="207" t="n"/>
      <c r="C2832" s="104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348" t="n"/>
      <c r="E2832" s="349">
        <f>IF(C2832="","",IFERROR(VLOOKUP(C2832,parametros!$A$11:$E$15,5,0),""))</f>
        <v/>
      </c>
      <c r="F2832" s="335">
        <f>IF(OR(D2832="",E2832=""),"",ROUND(D2832*E2832,2))</f>
        <v/>
      </c>
      <c r="G2832" s="106" t="n"/>
      <c r="H2832" s="350">
        <f>IF(G2832="Sim",IF(OR(F2832="",D2832="",L2832=""),"",IF(L2832="Sim",ROUND(F2832-D2832,2),0)),0)</f>
        <v/>
      </c>
      <c r="I2832" s="350">
        <f>IF(G2832="Sim",0,IF(OR(F2832="",L2832=""),"",F2832))</f>
        <v/>
      </c>
      <c r="J2832" s="350">
        <f>IF(G2832="Sim",0,IF(OR(F2832="",D2832="",L2832=""),"",IF(L2832="Sim",ROUND(F2832-D2832,2),0)))</f>
        <v/>
      </c>
      <c r="K2832" s="97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inlineStr">
        <is>
          <t>Nao</t>
        </is>
      </c>
      <c r="W2832" s="110" t="inlineStr">
        <is>
          <t>PC em analise</t>
        </is>
      </c>
      <c r="X2832" s="110" t="inlineStr">
        <is>
          <t>Pedido de Compra</t>
        </is>
      </c>
      <c r="Y2832" s="111" t="inlineStr">
        <is>
          <t>Impacto Potencial</t>
        </is>
      </c>
      <c r="Z2832" s="111" t="inlineStr">
        <is>
          <t>PC</t>
        </is>
      </c>
      <c r="AA2832" s="111" t="inlineStr">
        <is>
          <t>Nao</t>
        </is>
      </c>
      <c r="AB2832" s="111" t="inlineStr">
        <is>
          <t>NAO_COMPUTADO</t>
        </is>
      </c>
      <c r="AC2832" s="112" t="inlineStr">
        <is>
          <t>Estrutura Fase 1: sem impacto no VTA oficial</t>
        </is>
      </c>
    </row>
    <row r="2833" ht="25.5" customHeight="1" s="289">
      <c r="A2833" s="205" t="n"/>
      <c r="B2833" s="207" t="n"/>
      <c r="C2833" s="104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348" t="n"/>
      <c r="E2833" s="349">
        <f>IF(C2833="","",IFERROR(VLOOKUP(C2833,parametros!$A$11:$E$15,5,0),""))</f>
        <v/>
      </c>
      <c r="F2833" s="335">
        <f>IF(OR(D2833="",E2833=""),"",ROUND(D2833*E2833,2))</f>
        <v/>
      </c>
      <c r="G2833" s="106" t="n"/>
      <c r="H2833" s="350">
        <f>IF(G2833="Sim",IF(OR(F2833="",D2833="",L2833=""),"",IF(L2833="Sim",ROUND(F2833-D2833,2),0)),0)</f>
        <v/>
      </c>
      <c r="I2833" s="350">
        <f>IF(G2833="Sim",0,IF(OR(F2833="",L2833=""),"",F2833))</f>
        <v/>
      </c>
      <c r="J2833" s="350">
        <f>IF(G2833="Sim",0,IF(OR(F2833="",D2833="",L2833=""),"",IF(L2833="Sim",ROUND(F2833-D2833,2),0)))</f>
        <v/>
      </c>
      <c r="K2833" s="97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inlineStr">
        <is>
          <t>Nao</t>
        </is>
      </c>
      <c r="W2833" s="110" t="inlineStr">
        <is>
          <t>PC em analise</t>
        </is>
      </c>
      <c r="X2833" s="110" t="inlineStr">
        <is>
          <t>Pedido de Compra</t>
        </is>
      </c>
      <c r="Y2833" s="111" t="inlineStr">
        <is>
          <t>Impacto Potencial</t>
        </is>
      </c>
      <c r="Z2833" s="111" t="inlineStr">
        <is>
          <t>PC</t>
        </is>
      </c>
      <c r="AA2833" s="111" t="inlineStr">
        <is>
          <t>Nao</t>
        </is>
      </c>
      <c r="AB2833" s="111" t="inlineStr">
        <is>
          <t>NAO_COMPUTADO</t>
        </is>
      </c>
      <c r="AC2833" s="112" t="inlineStr">
        <is>
          <t>Estrutura Fase 1: sem impacto no VTA oficial</t>
        </is>
      </c>
    </row>
    <row r="2834" ht="25.5" customHeight="1" s="289">
      <c r="A2834" s="205" t="n"/>
      <c r="B2834" s="207" t="n"/>
      <c r="C2834" s="104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348" t="n"/>
      <c r="E2834" s="349">
        <f>IF(C2834="","",IFERROR(VLOOKUP(C2834,parametros!$A$11:$E$15,5,0),""))</f>
        <v/>
      </c>
      <c r="F2834" s="335">
        <f>IF(OR(D2834="",E2834=""),"",ROUND(D2834*E2834,2))</f>
        <v/>
      </c>
      <c r="G2834" s="106" t="n"/>
      <c r="H2834" s="350">
        <f>IF(G2834="Sim",IF(OR(F2834="",D2834="",L2834=""),"",IF(L2834="Sim",ROUND(F2834-D2834,2),0)),0)</f>
        <v/>
      </c>
      <c r="I2834" s="350">
        <f>IF(G2834="Sim",0,IF(OR(F2834="",L2834=""),"",F2834))</f>
        <v/>
      </c>
      <c r="J2834" s="350">
        <f>IF(G2834="Sim",0,IF(OR(F2834="",D2834="",L2834=""),"",IF(L2834="Sim",ROUND(F2834-D2834,2),0)))</f>
        <v/>
      </c>
      <c r="K2834" s="97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inlineStr">
        <is>
          <t>Nao</t>
        </is>
      </c>
      <c r="W2834" s="110" t="inlineStr">
        <is>
          <t>PC em analise</t>
        </is>
      </c>
      <c r="X2834" s="110" t="inlineStr">
        <is>
          <t>Pedido de Compra</t>
        </is>
      </c>
      <c r="Y2834" s="111" t="inlineStr">
        <is>
          <t>Impacto Potencial</t>
        </is>
      </c>
      <c r="Z2834" s="111" t="inlineStr">
        <is>
          <t>PC</t>
        </is>
      </c>
      <c r="AA2834" s="111" t="inlineStr">
        <is>
          <t>Nao</t>
        </is>
      </c>
      <c r="AB2834" s="111" t="inlineStr">
        <is>
          <t>NAO_COMPUTADO</t>
        </is>
      </c>
      <c r="AC2834" s="112" t="inlineStr">
        <is>
          <t>Estrutura Fase 1: sem impacto no VTA oficial</t>
        </is>
      </c>
    </row>
    <row r="2835" ht="25.5" customHeight="1" s="289">
      <c r="A2835" s="205" t="n"/>
      <c r="B2835" s="207" t="n"/>
      <c r="C2835" s="104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348" t="n"/>
      <c r="E2835" s="349">
        <f>IF(C2835="","",IFERROR(VLOOKUP(C2835,parametros!$A$11:$E$15,5,0),""))</f>
        <v/>
      </c>
      <c r="F2835" s="335">
        <f>IF(OR(D2835="",E2835=""),"",ROUND(D2835*E2835,2))</f>
        <v/>
      </c>
      <c r="G2835" s="106" t="n"/>
      <c r="H2835" s="350">
        <f>IF(G2835="Sim",IF(OR(F2835="",D2835="",L2835=""),"",IF(L2835="Sim",ROUND(F2835-D2835,2),0)),0)</f>
        <v/>
      </c>
      <c r="I2835" s="350">
        <f>IF(G2835="Sim",0,IF(OR(F2835="",L2835=""),"",F2835))</f>
        <v/>
      </c>
      <c r="J2835" s="350">
        <f>IF(G2835="Sim",0,IF(OR(F2835="",D2835="",L2835=""),"",IF(L2835="Sim",ROUND(F2835-D2835,2),0)))</f>
        <v/>
      </c>
      <c r="K2835" s="97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inlineStr">
        <is>
          <t>Nao</t>
        </is>
      </c>
      <c r="W2835" s="110" t="inlineStr">
        <is>
          <t>PC em analise</t>
        </is>
      </c>
      <c r="X2835" s="110" t="inlineStr">
        <is>
          <t>Pedido de Compra</t>
        </is>
      </c>
      <c r="Y2835" s="111" t="inlineStr">
        <is>
          <t>Impacto Potencial</t>
        </is>
      </c>
      <c r="Z2835" s="111" t="inlineStr">
        <is>
          <t>PC</t>
        </is>
      </c>
      <c r="AA2835" s="111" t="inlineStr">
        <is>
          <t>Nao</t>
        </is>
      </c>
      <c r="AB2835" s="111" t="inlineStr">
        <is>
          <t>NAO_COMPUTADO</t>
        </is>
      </c>
      <c r="AC2835" s="112" t="inlineStr">
        <is>
          <t>Estrutura Fase 1: sem impacto no VTA oficial</t>
        </is>
      </c>
    </row>
    <row r="2836" ht="25.5" customHeight="1" s="289">
      <c r="A2836" s="205" t="n"/>
      <c r="B2836" s="207" t="n"/>
      <c r="C2836" s="104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348" t="n"/>
      <c r="E2836" s="349">
        <f>IF(C2836="","",IFERROR(VLOOKUP(C2836,parametros!$A$11:$E$15,5,0),""))</f>
        <v/>
      </c>
      <c r="F2836" s="335">
        <f>IF(OR(D2836="",E2836=""),"",ROUND(D2836*E2836,2))</f>
        <v/>
      </c>
      <c r="G2836" s="106" t="n"/>
      <c r="H2836" s="350">
        <f>IF(G2836="Sim",IF(OR(F2836="",D2836="",L2836=""),"",IF(L2836="Sim",ROUND(F2836-D2836,2),0)),0)</f>
        <v/>
      </c>
      <c r="I2836" s="350">
        <f>IF(G2836="Sim",0,IF(OR(F2836="",L2836=""),"",F2836))</f>
        <v/>
      </c>
      <c r="J2836" s="350">
        <f>IF(G2836="Sim",0,IF(OR(F2836="",D2836="",L2836=""),"",IF(L2836="Sim",ROUND(F2836-D2836,2),0)))</f>
        <v/>
      </c>
      <c r="K2836" s="97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inlineStr">
        <is>
          <t>Nao</t>
        </is>
      </c>
      <c r="W2836" s="110" t="inlineStr">
        <is>
          <t>PC em analise</t>
        </is>
      </c>
      <c r="X2836" s="110" t="inlineStr">
        <is>
          <t>Pedido de Compra</t>
        </is>
      </c>
      <c r="Y2836" s="111" t="inlineStr">
        <is>
          <t>Impacto Potencial</t>
        </is>
      </c>
      <c r="Z2836" s="111" t="inlineStr">
        <is>
          <t>PC</t>
        </is>
      </c>
      <c r="AA2836" s="111" t="inlineStr">
        <is>
          <t>Nao</t>
        </is>
      </c>
      <c r="AB2836" s="111" t="inlineStr">
        <is>
          <t>NAO_COMPUTADO</t>
        </is>
      </c>
      <c r="AC2836" s="112" t="inlineStr">
        <is>
          <t>Estrutura Fase 1: sem impacto no VTA oficial</t>
        </is>
      </c>
    </row>
    <row r="2837" ht="25.5" customHeight="1" s="289">
      <c r="A2837" s="205" t="n"/>
      <c r="B2837" s="207" t="n"/>
      <c r="C2837" s="104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348" t="n"/>
      <c r="E2837" s="349">
        <f>IF(C2837="","",IFERROR(VLOOKUP(C2837,parametros!$A$11:$E$15,5,0),""))</f>
        <v/>
      </c>
      <c r="F2837" s="335">
        <f>IF(OR(D2837="",E2837=""),"",ROUND(D2837*E2837,2))</f>
        <v/>
      </c>
      <c r="G2837" s="106" t="n"/>
      <c r="H2837" s="350">
        <f>IF(G2837="Sim",IF(OR(F2837="",D2837="",L2837=""),"",IF(L2837="Sim",ROUND(F2837-D2837,2),0)),0)</f>
        <v/>
      </c>
      <c r="I2837" s="350">
        <f>IF(G2837="Sim",0,IF(OR(F2837="",L2837=""),"",F2837))</f>
        <v/>
      </c>
      <c r="J2837" s="350">
        <f>IF(G2837="Sim",0,IF(OR(F2837="",D2837="",L2837=""),"",IF(L2837="Sim",ROUND(F2837-D2837,2),0)))</f>
        <v/>
      </c>
      <c r="K2837" s="97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inlineStr">
        <is>
          <t>Nao</t>
        </is>
      </c>
      <c r="W2837" s="110" t="inlineStr">
        <is>
          <t>PC em analise</t>
        </is>
      </c>
      <c r="X2837" s="110" t="inlineStr">
        <is>
          <t>Pedido de Compra</t>
        </is>
      </c>
      <c r="Y2837" s="111" t="inlineStr">
        <is>
          <t>Impacto Potencial</t>
        </is>
      </c>
      <c r="Z2837" s="111" t="inlineStr">
        <is>
          <t>PC</t>
        </is>
      </c>
      <c r="AA2837" s="111" t="inlineStr">
        <is>
          <t>Nao</t>
        </is>
      </c>
      <c r="AB2837" s="111" t="inlineStr">
        <is>
          <t>NAO_COMPUTADO</t>
        </is>
      </c>
      <c r="AC2837" s="112" t="inlineStr">
        <is>
          <t>Estrutura Fase 1: sem impacto no VTA oficial</t>
        </is>
      </c>
    </row>
    <row r="2838" ht="25.5" customHeight="1" s="289">
      <c r="A2838" s="205" t="n"/>
      <c r="B2838" s="207" t="n"/>
      <c r="C2838" s="104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348" t="n"/>
      <c r="E2838" s="349">
        <f>IF(C2838="","",IFERROR(VLOOKUP(C2838,parametros!$A$11:$E$15,5,0),""))</f>
        <v/>
      </c>
      <c r="F2838" s="335">
        <f>IF(OR(D2838="",E2838=""),"",ROUND(D2838*E2838,2))</f>
        <v/>
      </c>
      <c r="G2838" s="106" t="n"/>
      <c r="H2838" s="350">
        <f>IF(G2838="Sim",IF(OR(F2838="",D2838="",L2838=""),"",IF(L2838="Sim",ROUND(F2838-D2838,2),0)),0)</f>
        <v/>
      </c>
      <c r="I2838" s="350">
        <f>IF(G2838="Sim",0,IF(OR(F2838="",L2838=""),"",F2838))</f>
        <v/>
      </c>
      <c r="J2838" s="350">
        <f>IF(G2838="Sim",0,IF(OR(F2838="",D2838="",L2838=""),"",IF(L2838="Sim",ROUND(F2838-D2838,2),0)))</f>
        <v/>
      </c>
      <c r="K2838" s="97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inlineStr">
        <is>
          <t>Nao</t>
        </is>
      </c>
      <c r="W2838" s="110" t="inlineStr">
        <is>
          <t>PC em analise</t>
        </is>
      </c>
      <c r="X2838" s="110" t="inlineStr">
        <is>
          <t>Pedido de Compra</t>
        </is>
      </c>
      <c r="Y2838" s="111" t="inlineStr">
        <is>
          <t>Impacto Potencial</t>
        </is>
      </c>
      <c r="Z2838" s="111" t="inlineStr">
        <is>
          <t>PC</t>
        </is>
      </c>
      <c r="AA2838" s="111" t="inlineStr">
        <is>
          <t>Nao</t>
        </is>
      </c>
      <c r="AB2838" s="111" t="inlineStr">
        <is>
          <t>NAO_COMPUTADO</t>
        </is>
      </c>
      <c r="AC2838" s="112" t="inlineStr">
        <is>
          <t>Estrutura Fase 1: sem impacto no VTA oficial</t>
        </is>
      </c>
    </row>
    <row r="2839" ht="25.5" customHeight="1" s="289">
      <c r="A2839" s="205" t="n"/>
      <c r="B2839" s="207" t="n"/>
      <c r="C2839" s="104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348" t="n"/>
      <c r="E2839" s="349">
        <f>IF(C2839="","",IFERROR(VLOOKUP(C2839,parametros!$A$11:$E$15,5,0),""))</f>
        <v/>
      </c>
      <c r="F2839" s="335">
        <f>IF(OR(D2839="",E2839=""),"",ROUND(D2839*E2839,2))</f>
        <v/>
      </c>
      <c r="G2839" s="106" t="n"/>
      <c r="H2839" s="350">
        <f>IF(G2839="Sim",IF(OR(F2839="",D2839="",L2839=""),"",IF(L2839="Sim",ROUND(F2839-D2839,2),0)),0)</f>
        <v/>
      </c>
      <c r="I2839" s="350">
        <f>IF(G2839="Sim",0,IF(OR(F2839="",L2839=""),"",F2839))</f>
        <v/>
      </c>
      <c r="J2839" s="350">
        <f>IF(G2839="Sim",0,IF(OR(F2839="",D2839="",L2839=""),"",IF(L2839="Sim",ROUND(F2839-D2839,2),0)))</f>
        <v/>
      </c>
      <c r="K2839" s="97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inlineStr">
        <is>
          <t>Nao</t>
        </is>
      </c>
      <c r="W2839" s="110" t="inlineStr">
        <is>
          <t>PC em analise</t>
        </is>
      </c>
      <c r="X2839" s="110" t="inlineStr">
        <is>
          <t>Pedido de Compra</t>
        </is>
      </c>
      <c r="Y2839" s="111" t="inlineStr">
        <is>
          <t>Impacto Potencial</t>
        </is>
      </c>
      <c r="Z2839" s="111" t="inlineStr">
        <is>
          <t>PC</t>
        </is>
      </c>
      <c r="AA2839" s="111" t="inlineStr">
        <is>
          <t>Nao</t>
        </is>
      </c>
      <c r="AB2839" s="111" t="inlineStr">
        <is>
          <t>NAO_COMPUTADO</t>
        </is>
      </c>
      <c r="AC2839" s="112" t="inlineStr">
        <is>
          <t>Estrutura Fase 1: sem impacto no VTA oficial</t>
        </is>
      </c>
    </row>
    <row r="2840" ht="25.5" customHeight="1" s="289">
      <c r="A2840" s="205" t="n"/>
      <c r="B2840" s="207" t="n"/>
      <c r="C2840" s="104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348" t="n"/>
      <c r="E2840" s="349">
        <f>IF(C2840="","",IFERROR(VLOOKUP(C2840,parametros!$A$11:$E$15,5,0),""))</f>
        <v/>
      </c>
      <c r="F2840" s="335">
        <f>IF(OR(D2840="",E2840=""),"",ROUND(D2840*E2840,2))</f>
        <v/>
      </c>
      <c r="G2840" s="106" t="n"/>
      <c r="H2840" s="350">
        <f>IF(G2840="Sim",IF(OR(F2840="",D2840="",L2840=""),"",IF(L2840="Sim",ROUND(F2840-D2840,2),0)),0)</f>
        <v/>
      </c>
      <c r="I2840" s="350">
        <f>IF(G2840="Sim",0,IF(OR(F2840="",L2840=""),"",F2840))</f>
        <v/>
      </c>
      <c r="J2840" s="350">
        <f>IF(G2840="Sim",0,IF(OR(F2840="",D2840="",L2840=""),"",IF(L2840="Sim",ROUND(F2840-D2840,2),0)))</f>
        <v/>
      </c>
      <c r="K2840" s="97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inlineStr">
        <is>
          <t>Nao</t>
        </is>
      </c>
      <c r="W2840" s="110" t="inlineStr">
        <is>
          <t>PC em analise</t>
        </is>
      </c>
      <c r="X2840" s="110" t="inlineStr">
        <is>
          <t>Pedido de Compra</t>
        </is>
      </c>
      <c r="Y2840" s="111" t="inlineStr">
        <is>
          <t>Impacto Potencial</t>
        </is>
      </c>
      <c r="Z2840" s="111" t="inlineStr">
        <is>
          <t>PC</t>
        </is>
      </c>
      <c r="AA2840" s="111" t="inlineStr">
        <is>
          <t>Nao</t>
        </is>
      </c>
      <c r="AB2840" s="111" t="inlineStr">
        <is>
          <t>NAO_COMPUTADO</t>
        </is>
      </c>
      <c r="AC2840" s="112" t="inlineStr">
        <is>
          <t>Estrutura Fase 1: sem impacto no VTA oficial</t>
        </is>
      </c>
    </row>
    <row r="2841" ht="25.5" customHeight="1" s="289">
      <c r="A2841" s="205" t="n"/>
      <c r="B2841" s="207" t="n"/>
      <c r="C2841" s="104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348" t="n"/>
      <c r="E2841" s="349">
        <f>IF(C2841="","",IFERROR(VLOOKUP(C2841,parametros!$A$11:$E$15,5,0),""))</f>
        <v/>
      </c>
      <c r="F2841" s="335">
        <f>IF(OR(D2841="",E2841=""),"",ROUND(D2841*E2841,2))</f>
        <v/>
      </c>
      <c r="G2841" s="106" t="n"/>
      <c r="H2841" s="350">
        <f>IF(G2841="Sim",IF(OR(F2841="",D2841="",L2841=""),"",IF(L2841="Sim",ROUND(F2841-D2841,2),0)),0)</f>
        <v/>
      </c>
      <c r="I2841" s="350">
        <f>IF(G2841="Sim",0,IF(OR(F2841="",L2841=""),"",F2841))</f>
        <v/>
      </c>
      <c r="J2841" s="350">
        <f>IF(G2841="Sim",0,IF(OR(F2841="",D2841="",L2841=""),"",IF(L2841="Sim",ROUND(F2841-D2841,2),0)))</f>
        <v/>
      </c>
      <c r="K2841" s="97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inlineStr">
        <is>
          <t>Nao</t>
        </is>
      </c>
      <c r="W2841" s="110" t="inlineStr">
        <is>
          <t>PC em analise</t>
        </is>
      </c>
      <c r="X2841" s="110" t="inlineStr">
        <is>
          <t>Pedido de Compra</t>
        </is>
      </c>
      <c r="Y2841" s="111" t="inlineStr">
        <is>
          <t>Impacto Potencial</t>
        </is>
      </c>
      <c r="Z2841" s="111" t="inlineStr">
        <is>
          <t>PC</t>
        </is>
      </c>
      <c r="AA2841" s="111" t="inlineStr">
        <is>
          <t>Nao</t>
        </is>
      </c>
      <c r="AB2841" s="111" t="inlineStr">
        <is>
          <t>NAO_COMPUTADO</t>
        </is>
      </c>
      <c r="AC2841" s="112" t="inlineStr">
        <is>
          <t>Estrutura Fase 1: sem impacto no VTA oficial</t>
        </is>
      </c>
    </row>
    <row r="2842" ht="25.5" customHeight="1" s="289">
      <c r="A2842" s="205" t="n"/>
      <c r="B2842" s="207" t="n"/>
      <c r="C2842" s="104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348" t="n"/>
      <c r="E2842" s="349">
        <f>IF(C2842="","",IFERROR(VLOOKUP(C2842,parametros!$A$11:$E$15,5,0),""))</f>
        <v/>
      </c>
      <c r="F2842" s="335">
        <f>IF(OR(D2842="",E2842=""),"",ROUND(D2842*E2842,2))</f>
        <v/>
      </c>
      <c r="G2842" s="106" t="n"/>
      <c r="H2842" s="350">
        <f>IF(G2842="Sim",IF(OR(F2842="",D2842="",L2842=""),"",IF(L2842="Sim",ROUND(F2842-D2842,2),0)),0)</f>
        <v/>
      </c>
      <c r="I2842" s="350">
        <f>IF(G2842="Sim",0,IF(OR(F2842="",L2842=""),"",F2842))</f>
        <v/>
      </c>
      <c r="J2842" s="350">
        <f>IF(G2842="Sim",0,IF(OR(F2842="",D2842="",L2842=""),"",IF(L2842="Sim",ROUND(F2842-D2842,2),0)))</f>
        <v/>
      </c>
      <c r="K2842" s="97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inlineStr">
        <is>
          <t>Nao</t>
        </is>
      </c>
      <c r="W2842" s="110" t="inlineStr">
        <is>
          <t>PC em analise</t>
        </is>
      </c>
      <c r="X2842" s="110" t="inlineStr">
        <is>
          <t>Pedido de Compra</t>
        </is>
      </c>
      <c r="Y2842" s="111" t="inlineStr">
        <is>
          <t>Impacto Potencial</t>
        </is>
      </c>
      <c r="Z2842" s="111" t="inlineStr">
        <is>
          <t>PC</t>
        </is>
      </c>
      <c r="AA2842" s="111" t="inlineStr">
        <is>
          <t>Nao</t>
        </is>
      </c>
      <c r="AB2842" s="111" t="inlineStr">
        <is>
          <t>NAO_COMPUTADO</t>
        </is>
      </c>
      <c r="AC2842" s="112" t="inlineStr">
        <is>
          <t>Estrutura Fase 1: sem impacto no VTA oficial</t>
        </is>
      </c>
    </row>
    <row r="2843" ht="25.5" customHeight="1" s="289">
      <c r="A2843" s="205" t="n"/>
      <c r="B2843" s="207" t="n"/>
      <c r="C2843" s="104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348" t="n"/>
      <c r="E2843" s="349">
        <f>IF(C2843="","",IFERROR(VLOOKUP(C2843,parametros!$A$11:$E$15,5,0),""))</f>
        <v/>
      </c>
      <c r="F2843" s="335">
        <f>IF(OR(D2843="",E2843=""),"",ROUND(D2843*E2843,2))</f>
        <v/>
      </c>
      <c r="G2843" s="106" t="n"/>
      <c r="H2843" s="350">
        <f>IF(G2843="Sim",IF(OR(F2843="",D2843="",L2843=""),"",IF(L2843="Sim",ROUND(F2843-D2843,2),0)),0)</f>
        <v/>
      </c>
      <c r="I2843" s="350">
        <f>IF(G2843="Sim",0,IF(OR(F2843="",L2843=""),"",F2843))</f>
        <v/>
      </c>
      <c r="J2843" s="350">
        <f>IF(G2843="Sim",0,IF(OR(F2843="",D2843="",L2843=""),"",IF(L2843="Sim",ROUND(F2843-D2843,2),0)))</f>
        <v/>
      </c>
      <c r="K2843" s="97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inlineStr">
        <is>
          <t>Nao</t>
        </is>
      </c>
      <c r="W2843" s="110" t="inlineStr">
        <is>
          <t>PC em analise</t>
        </is>
      </c>
      <c r="X2843" s="110" t="inlineStr">
        <is>
          <t>Pedido de Compra</t>
        </is>
      </c>
      <c r="Y2843" s="111" t="inlineStr">
        <is>
          <t>Impacto Potencial</t>
        </is>
      </c>
      <c r="Z2843" s="111" t="inlineStr">
        <is>
          <t>PC</t>
        </is>
      </c>
      <c r="AA2843" s="111" t="inlineStr">
        <is>
          <t>Nao</t>
        </is>
      </c>
      <c r="AB2843" s="111" t="inlineStr">
        <is>
          <t>NAO_COMPUTADO</t>
        </is>
      </c>
      <c r="AC2843" s="112" t="inlineStr">
        <is>
          <t>Estrutura Fase 1: sem impacto no VTA oficial</t>
        </is>
      </c>
    </row>
    <row r="2844" ht="25.5" customHeight="1" s="289">
      <c r="A2844" s="205" t="n"/>
      <c r="B2844" s="207" t="n"/>
      <c r="C2844" s="104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348" t="n"/>
      <c r="E2844" s="349">
        <f>IF(C2844="","",IFERROR(VLOOKUP(C2844,parametros!$A$11:$E$15,5,0),""))</f>
        <v/>
      </c>
      <c r="F2844" s="335">
        <f>IF(OR(D2844="",E2844=""),"",ROUND(D2844*E2844,2))</f>
        <v/>
      </c>
      <c r="G2844" s="106" t="n"/>
      <c r="H2844" s="350">
        <f>IF(G2844="Sim",IF(OR(F2844="",D2844="",L2844=""),"",IF(L2844="Sim",ROUND(F2844-D2844,2),0)),0)</f>
        <v/>
      </c>
      <c r="I2844" s="350">
        <f>IF(G2844="Sim",0,IF(OR(F2844="",L2844=""),"",F2844))</f>
        <v/>
      </c>
      <c r="J2844" s="350">
        <f>IF(G2844="Sim",0,IF(OR(F2844="",D2844="",L2844=""),"",IF(L2844="Sim",ROUND(F2844-D2844,2),0)))</f>
        <v/>
      </c>
      <c r="K2844" s="97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inlineStr">
        <is>
          <t>Nao</t>
        </is>
      </c>
      <c r="W2844" s="110" t="inlineStr">
        <is>
          <t>PC em analise</t>
        </is>
      </c>
      <c r="X2844" s="110" t="inlineStr">
        <is>
          <t>Pedido de Compra</t>
        </is>
      </c>
      <c r="Y2844" s="111" t="inlineStr">
        <is>
          <t>Impacto Potencial</t>
        </is>
      </c>
      <c r="Z2844" s="111" t="inlineStr">
        <is>
          <t>PC</t>
        </is>
      </c>
      <c r="AA2844" s="111" t="inlineStr">
        <is>
          <t>Nao</t>
        </is>
      </c>
      <c r="AB2844" s="111" t="inlineStr">
        <is>
          <t>NAO_COMPUTADO</t>
        </is>
      </c>
      <c r="AC2844" s="112" t="inlineStr">
        <is>
          <t>Estrutura Fase 1: sem impacto no VTA oficial</t>
        </is>
      </c>
    </row>
    <row r="2845" ht="25.5" customHeight="1" s="289">
      <c r="A2845" s="205" t="n"/>
      <c r="B2845" s="207" t="n"/>
      <c r="C2845" s="104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348" t="n"/>
      <c r="E2845" s="349">
        <f>IF(C2845="","",IFERROR(VLOOKUP(C2845,parametros!$A$11:$E$15,5,0),""))</f>
        <v/>
      </c>
      <c r="F2845" s="335">
        <f>IF(OR(D2845="",E2845=""),"",ROUND(D2845*E2845,2))</f>
        <v/>
      </c>
      <c r="G2845" s="106" t="n"/>
      <c r="H2845" s="350">
        <f>IF(G2845="Sim",IF(OR(F2845="",D2845="",L2845=""),"",IF(L2845="Sim",ROUND(F2845-D2845,2),0)),0)</f>
        <v/>
      </c>
      <c r="I2845" s="350">
        <f>IF(G2845="Sim",0,IF(OR(F2845="",L2845=""),"",F2845))</f>
        <v/>
      </c>
      <c r="J2845" s="350">
        <f>IF(G2845="Sim",0,IF(OR(F2845="",D2845="",L2845=""),"",IF(L2845="Sim",ROUND(F2845-D2845,2),0)))</f>
        <v/>
      </c>
      <c r="K2845" s="97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inlineStr">
        <is>
          <t>Nao</t>
        </is>
      </c>
      <c r="W2845" s="110" t="inlineStr">
        <is>
          <t>PC em analise</t>
        </is>
      </c>
      <c r="X2845" s="110" t="inlineStr">
        <is>
          <t>Pedido de Compra</t>
        </is>
      </c>
      <c r="Y2845" s="111" t="inlineStr">
        <is>
          <t>Impacto Potencial</t>
        </is>
      </c>
      <c r="Z2845" s="111" t="inlineStr">
        <is>
          <t>PC</t>
        </is>
      </c>
      <c r="AA2845" s="111" t="inlineStr">
        <is>
          <t>Nao</t>
        </is>
      </c>
      <c r="AB2845" s="111" t="inlineStr">
        <is>
          <t>NAO_COMPUTADO</t>
        </is>
      </c>
      <c r="AC2845" s="112" t="inlineStr">
        <is>
          <t>Estrutura Fase 1: sem impacto no VTA oficial</t>
        </is>
      </c>
    </row>
    <row r="2846" ht="25.5" customHeight="1" s="289">
      <c r="A2846" s="205" t="n"/>
      <c r="B2846" s="207" t="n"/>
      <c r="C2846" s="104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348" t="n"/>
      <c r="E2846" s="349">
        <f>IF(C2846="","",IFERROR(VLOOKUP(C2846,parametros!$A$11:$E$15,5,0),""))</f>
        <v/>
      </c>
      <c r="F2846" s="335">
        <f>IF(OR(D2846="",E2846=""),"",ROUND(D2846*E2846,2))</f>
        <v/>
      </c>
      <c r="G2846" s="106" t="n"/>
      <c r="H2846" s="350">
        <f>IF(G2846="Sim",IF(OR(F2846="",D2846="",L2846=""),"",IF(L2846="Sim",ROUND(F2846-D2846,2),0)),0)</f>
        <v/>
      </c>
      <c r="I2846" s="350">
        <f>IF(G2846="Sim",0,IF(OR(F2846="",L2846=""),"",F2846))</f>
        <v/>
      </c>
      <c r="J2846" s="350">
        <f>IF(G2846="Sim",0,IF(OR(F2846="",D2846="",L2846=""),"",IF(L2846="Sim",ROUND(F2846-D2846,2),0)))</f>
        <v/>
      </c>
      <c r="K2846" s="97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inlineStr">
        <is>
          <t>Nao</t>
        </is>
      </c>
      <c r="W2846" s="110" t="inlineStr">
        <is>
          <t>PC em analise</t>
        </is>
      </c>
      <c r="X2846" s="110" t="inlineStr">
        <is>
          <t>Pedido de Compra</t>
        </is>
      </c>
      <c r="Y2846" s="111" t="inlineStr">
        <is>
          <t>Impacto Potencial</t>
        </is>
      </c>
      <c r="Z2846" s="111" t="inlineStr">
        <is>
          <t>PC</t>
        </is>
      </c>
      <c r="AA2846" s="111" t="inlineStr">
        <is>
          <t>Nao</t>
        </is>
      </c>
      <c r="AB2846" s="111" t="inlineStr">
        <is>
          <t>NAO_COMPUTADO</t>
        </is>
      </c>
      <c r="AC2846" s="112" t="inlineStr">
        <is>
          <t>Estrutura Fase 1: sem impacto no VTA oficial</t>
        </is>
      </c>
    </row>
    <row r="2847" ht="25.5" customHeight="1" s="289">
      <c r="A2847" s="205" t="n"/>
      <c r="B2847" s="207" t="n"/>
      <c r="C2847" s="104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348" t="n"/>
      <c r="E2847" s="349">
        <f>IF(C2847="","",IFERROR(VLOOKUP(C2847,parametros!$A$11:$E$15,5,0),""))</f>
        <v/>
      </c>
      <c r="F2847" s="335">
        <f>IF(OR(D2847="",E2847=""),"",ROUND(D2847*E2847,2))</f>
        <v/>
      </c>
      <c r="G2847" s="106" t="n"/>
      <c r="H2847" s="350">
        <f>IF(G2847="Sim",IF(OR(F2847="",D2847="",L2847=""),"",IF(L2847="Sim",ROUND(F2847-D2847,2),0)),0)</f>
        <v/>
      </c>
      <c r="I2847" s="350">
        <f>IF(G2847="Sim",0,IF(OR(F2847="",L2847=""),"",F2847))</f>
        <v/>
      </c>
      <c r="J2847" s="350">
        <f>IF(G2847="Sim",0,IF(OR(F2847="",D2847="",L2847=""),"",IF(L2847="Sim",ROUND(F2847-D2847,2),0)))</f>
        <v/>
      </c>
      <c r="K2847" s="97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inlineStr">
        <is>
          <t>Nao</t>
        </is>
      </c>
      <c r="W2847" s="110" t="inlineStr">
        <is>
          <t>PC em analise</t>
        </is>
      </c>
      <c r="X2847" s="110" t="inlineStr">
        <is>
          <t>Pedido de Compra</t>
        </is>
      </c>
      <c r="Y2847" s="111" t="inlineStr">
        <is>
          <t>Impacto Potencial</t>
        </is>
      </c>
      <c r="Z2847" s="111" t="inlineStr">
        <is>
          <t>PC</t>
        </is>
      </c>
      <c r="AA2847" s="111" t="inlineStr">
        <is>
          <t>Nao</t>
        </is>
      </c>
      <c r="AB2847" s="111" t="inlineStr">
        <is>
          <t>NAO_COMPUTADO</t>
        </is>
      </c>
      <c r="AC2847" s="112" t="inlineStr">
        <is>
          <t>Estrutura Fase 1: sem impacto no VTA oficial</t>
        </is>
      </c>
    </row>
    <row r="2848" ht="25.5" customHeight="1" s="289">
      <c r="A2848" s="205" t="n"/>
      <c r="B2848" s="207" t="n"/>
      <c r="C2848" s="104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348" t="n"/>
      <c r="E2848" s="349">
        <f>IF(C2848="","",IFERROR(VLOOKUP(C2848,parametros!$A$11:$E$15,5,0),""))</f>
        <v/>
      </c>
      <c r="F2848" s="335">
        <f>IF(OR(D2848="",E2848=""),"",ROUND(D2848*E2848,2))</f>
        <v/>
      </c>
      <c r="G2848" s="106" t="n"/>
      <c r="H2848" s="350">
        <f>IF(G2848="Sim",IF(OR(F2848="",D2848="",L2848=""),"",IF(L2848="Sim",ROUND(F2848-D2848,2),0)),0)</f>
        <v/>
      </c>
      <c r="I2848" s="350">
        <f>IF(G2848="Sim",0,IF(OR(F2848="",L2848=""),"",F2848))</f>
        <v/>
      </c>
      <c r="J2848" s="350">
        <f>IF(G2848="Sim",0,IF(OR(F2848="",D2848="",L2848=""),"",IF(L2848="Sim",ROUND(F2848-D2848,2),0)))</f>
        <v/>
      </c>
      <c r="K2848" s="97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inlineStr">
        <is>
          <t>Nao</t>
        </is>
      </c>
      <c r="W2848" s="110" t="inlineStr">
        <is>
          <t>PC em analise</t>
        </is>
      </c>
      <c r="X2848" s="110" t="inlineStr">
        <is>
          <t>Pedido de Compra</t>
        </is>
      </c>
      <c r="Y2848" s="111" t="inlineStr">
        <is>
          <t>Impacto Potencial</t>
        </is>
      </c>
      <c r="Z2848" s="111" t="inlineStr">
        <is>
          <t>PC</t>
        </is>
      </c>
      <c r="AA2848" s="111" t="inlineStr">
        <is>
          <t>Nao</t>
        </is>
      </c>
      <c r="AB2848" s="111" t="inlineStr">
        <is>
          <t>NAO_COMPUTADO</t>
        </is>
      </c>
      <c r="AC2848" s="112" t="inlineStr">
        <is>
          <t>Estrutura Fase 1: sem impacto no VTA oficial</t>
        </is>
      </c>
    </row>
    <row r="2849" ht="25.5" customHeight="1" s="289">
      <c r="A2849" s="205" t="n"/>
      <c r="B2849" s="207" t="n"/>
      <c r="C2849" s="104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348" t="n"/>
      <c r="E2849" s="349">
        <f>IF(C2849="","",IFERROR(VLOOKUP(C2849,parametros!$A$11:$E$15,5,0),""))</f>
        <v/>
      </c>
      <c r="F2849" s="335">
        <f>IF(OR(D2849="",E2849=""),"",ROUND(D2849*E2849,2))</f>
        <v/>
      </c>
      <c r="G2849" s="106" t="n"/>
      <c r="H2849" s="350">
        <f>IF(G2849="Sim",IF(OR(F2849="",D2849="",L2849=""),"",IF(L2849="Sim",ROUND(F2849-D2849,2),0)),0)</f>
        <v/>
      </c>
      <c r="I2849" s="350">
        <f>IF(G2849="Sim",0,IF(OR(F2849="",L2849=""),"",F2849))</f>
        <v/>
      </c>
      <c r="J2849" s="350">
        <f>IF(G2849="Sim",0,IF(OR(F2849="",D2849="",L2849=""),"",IF(L2849="Sim",ROUND(F2849-D2849,2),0)))</f>
        <v/>
      </c>
      <c r="K2849" s="97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inlineStr">
        <is>
          <t>Nao</t>
        </is>
      </c>
      <c r="W2849" s="110" t="inlineStr">
        <is>
          <t>PC em analise</t>
        </is>
      </c>
      <c r="X2849" s="110" t="inlineStr">
        <is>
          <t>Pedido de Compra</t>
        </is>
      </c>
      <c r="Y2849" s="111" t="inlineStr">
        <is>
          <t>Impacto Potencial</t>
        </is>
      </c>
      <c r="Z2849" s="111" t="inlineStr">
        <is>
          <t>PC</t>
        </is>
      </c>
      <c r="AA2849" s="111" t="inlineStr">
        <is>
          <t>Nao</t>
        </is>
      </c>
      <c r="AB2849" s="111" t="inlineStr">
        <is>
          <t>NAO_COMPUTADO</t>
        </is>
      </c>
      <c r="AC2849" s="112" t="inlineStr">
        <is>
          <t>Estrutura Fase 1: sem impacto no VTA oficial</t>
        </is>
      </c>
    </row>
    <row r="2850" ht="25.5" customHeight="1" s="289">
      <c r="A2850" s="205" t="n"/>
      <c r="B2850" s="207" t="n"/>
      <c r="C2850" s="104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348" t="n"/>
      <c r="E2850" s="349">
        <f>IF(C2850="","",IFERROR(VLOOKUP(C2850,parametros!$A$11:$E$15,5,0),""))</f>
        <v/>
      </c>
      <c r="F2850" s="335">
        <f>IF(OR(D2850="",E2850=""),"",ROUND(D2850*E2850,2))</f>
        <v/>
      </c>
      <c r="G2850" s="106" t="n"/>
      <c r="H2850" s="350">
        <f>IF(G2850="Sim",IF(OR(F2850="",D2850="",L2850=""),"",IF(L2850="Sim",ROUND(F2850-D2850,2),0)),0)</f>
        <v/>
      </c>
      <c r="I2850" s="350">
        <f>IF(G2850="Sim",0,IF(OR(F2850="",L2850=""),"",F2850))</f>
        <v/>
      </c>
      <c r="J2850" s="350">
        <f>IF(G2850="Sim",0,IF(OR(F2850="",D2850="",L2850=""),"",IF(L2850="Sim",ROUND(F2850-D2850,2),0)))</f>
        <v/>
      </c>
      <c r="K2850" s="97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inlineStr">
        <is>
          <t>Nao</t>
        </is>
      </c>
      <c r="W2850" s="110" t="inlineStr">
        <is>
          <t>PC em analise</t>
        </is>
      </c>
      <c r="X2850" s="110" t="inlineStr">
        <is>
          <t>Pedido de Compra</t>
        </is>
      </c>
      <c r="Y2850" s="111" t="inlineStr">
        <is>
          <t>Impacto Potencial</t>
        </is>
      </c>
      <c r="Z2850" s="111" t="inlineStr">
        <is>
          <t>PC</t>
        </is>
      </c>
      <c r="AA2850" s="111" t="inlineStr">
        <is>
          <t>Nao</t>
        </is>
      </c>
      <c r="AB2850" s="111" t="inlineStr">
        <is>
          <t>NAO_COMPUTADO</t>
        </is>
      </c>
      <c r="AC2850" s="112" t="inlineStr">
        <is>
          <t>Estrutura Fase 1: sem impacto no VTA oficial</t>
        </is>
      </c>
    </row>
    <row r="2851" ht="25.5" customHeight="1" s="289">
      <c r="A2851" s="205" t="n"/>
      <c r="B2851" s="207" t="n"/>
      <c r="C2851" s="104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348" t="n"/>
      <c r="E2851" s="349">
        <f>IF(C2851="","",IFERROR(VLOOKUP(C2851,parametros!$A$11:$E$15,5,0),""))</f>
        <v/>
      </c>
      <c r="F2851" s="335">
        <f>IF(OR(D2851="",E2851=""),"",ROUND(D2851*E2851,2))</f>
        <v/>
      </c>
      <c r="G2851" s="106" t="n"/>
      <c r="H2851" s="350">
        <f>IF(G2851="Sim",IF(OR(F2851="",D2851="",L2851=""),"",IF(L2851="Sim",ROUND(F2851-D2851,2),0)),0)</f>
        <v/>
      </c>
      <c r="I2851" s="350">
        <f>IF(G2851="Sim",0,IF(OR(F2851="",L2851=""),"",F2851))</f>
        <v/>
      </c>
      <c r="J2851" s="350">
        <f>IF(G2851="Sim",0,IF(OR(F2851="",D2851="",L2851=""),"",IF(L2851="Sim",ROUND(F2851-D2851,2),0)))</f>
        <v/>
      </c>
      <c r="K2851" s="97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inlineStr">
        <is>
          <t>Nao</t>
        </is>
      </c>
      <c r="W2851" s="110" t="inlineStr">
        <is>
          <t>PC em analise</t>
        </is>
      </c>
      <c r="X2851" s="110" t="inlineStr">
        <is>
          <t>Pedido de Compra</t>
        </is>
      </c>
      <c r="Y2851" s="111" t="inlineStr">
        <is>
          <t>Impacto Potencial</t>
        </is>
      </c>
      <c r="Z2851" s="111" t="inlineStr">
        <is>
          <t>PC</t>
        </is>
      </c>
      <c r="AA2851" s="111" t="inlineStr">
        <is>
          <t>Nao</t>
        </is>
      </c>
      <c r="AB2851" s="111" t="inlineStr">
        <is>
          <t>NAO_COMPUTADO</t>
        </is>
      </c>
      <c r="AC2851" s="112" t="inlineStr">
        <is>
          <t>Estrutura Fase 1: sem impacto no VTA oficial</t>
        </is>
      </c>
    </row>
    <row r="2852" ht="25.5" customHeight="1" s="289">
      <c r="A2852" s="205" t="n"/>
      <c r="B2852" s="207" t="n"/>
      <c r="C2852" s="104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348" t="n"/>
      <c r="E2852" s="349">
        <f>IF(C2852="","",IFERROR(VLOOKUP(C2852,parametros!$A$11:$E$15,5,0),""))</f>
        <v/>
      </c>
      <c r="F2852" s="335">
        <f>IF(OR(D2852="",E2852=""),"",ROUND(D2852*E2852,2))</f>
        <v/>
      </c>
      <c r="G2852" s="106" t="n"/>
      <c r="H2852" s="350">
        <f>IF(G2852="Sim",IF(OR(F2852="",D2852="",L2852=""),"",IF(L2852="Sim",ROUND(F2852-D2852,2),0)),0)</f>
        <v/>
      </c>
      <c r="I2852" s="350">
        <f>IF(G2852="Sim",0,IF(OR(F2852="",L2852=""),"",F2852))</f>
        <v/>
      </c>
      <c r="J2852" s="350">
        <f>IF(G2852="Sim",0,IF(OR(F2852="",D2852="",L2852=""),"",IF(L2852="Sim",ROUND(F2852-D2852,2),0)))</f>
        <v/>
      </c>
      <c r="K2852" s="97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inlineStr">
        <is>
          <t>Nao</t>
        </is>
      </c>
      <c r="W2852" s="110" t="inlineStr">
        <is>
          <t>PC em analise</t>
        </is>
      </c>
      <c r="X2852" s="110" t="inlineStr">
        <is>
          <t>Pedido de Compra</t>
        </is>
      </c>
      <c r="Y2852" s="111" t="inlineStr">
        <is>
          <t>Impacto Potencial</t>
        </is>
      </c>
      <c r="Z2852" s="111" t="inlineStr">
        <is>
          <t>PC</t>
        </is>
      </c>
      <c r="AA2852" s="111" t="inlineStr">
        <is>
          <t>Nao</t>
        </is>
      </c>
      <c r="AB2852" s="111" t="inlineStr">
        <is>
          <t>NAO_COMPUTADO</t>
        </is>
      </c>
      <c r="AC2852" s="112" t="inlineStr">
        <is>
          <t>Estrutura Fase 1: sem impacto no VTA oficial</t>
        </is>
      </c>
    </row>
    <row r="2853" ht="25.5" customHeight="1" s="289">
      <c r="A2853" s="205" t="n"/>
      <c r="B2853" s="207" t="n"/>
      <c r="C2853" s="104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348" t="n"/>
      <c r="E2853" s="349">
        <f>IF(C2853="","",IFERROR(VLOOKUP(C2853,parametros!$A$11:$E$15,5,0),""))</f>
        <v/>
      </c>
      <c r="F2853" s="335">
        <f>IF(OR(D2853="",E2853=""),"",ROUND(D2853*E2853,2))</f>
        <v/>
      </c>
      <c r="G2853" s="106" t="n"/>
      <c r="H2853" s="350">
        <f>IF(G2853="Sim",IF(OR(F2853="",D2853="",L2853=""),"",IF(L2853="Sim",ROUND(F2853-D2853,2),0)),0)</f>
        <v/>
      </c>
      <c r="I2853" s="350">
        <f>IF(G2853="Sim",0,IF(OR(F2853="",L2853=""),"",F2853))</f>
        <v/>
      </c>
      <c r="J2853" s="350">
        <f>IF(G2853="Sim",0,IF(OR(F2853="",D2853="",L2853=""),"",IF(L2853="Sim",ROUND(F2853-D2853,2),0)))</f>
        <v/>
      </c>
      <c r="K2853" s="97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inlineStr">
        <is>
          <t>Nao</t>
        </is>
      </c>
      <c r="W2853" s="110" t="inlineStr">
        <is>
          <t>PC em analise</t>
        </is>
      </c>
      <c r="X2853" s="110" t="inlineStr">
        <is>
          <t>Pedido de Compra</t>
        </is>
      </c>
      <c r="Y2853" s="111" t="inlineStr">
        <is>
          <t>Impacto Potencial</t>
        </is>
      </c>
      <c r="Z2853" s="111" t="inlineStr">
        <is>
          <t>PC</t>
        </is>
      </c>
      <c r="AA2853" s="111" t="inlineStr">
        <is>
          <t>Nao</t>
        </is>
      </c>
      <c r="AB2853" s="111" t="inlineStr">
        <is>
          <t>NAO_COMPUTADO</t>
        </is>
      </c>
      <c r="AC2853" s="112" t="inlineStr">
        <is>
          <t>Estrutura Fase 1: sem impacto no VTA oficial</t>
        </is>
      </c>
    </row>
    <row r="2854" ht="25.5" customHeight="1" s="289">
      <c r="A2854" s="205" t="n"/>
      <c r="B2854" s="207" t="n"/>
      <c r="C2854" s="104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348" t="n"/>
      <c r="E2854" s="349">
        <f>IF(C2854="","",IFERROR(VLOOKUP(C2854,parametros!$A$11:$E$15,5,0),""))</f>
        <v/>
      </c>
      <c r="F2854" s="335">
        <f>IF(OR(D2854="",E2854=""),"",ROUND(D2854*E2854,2))</f>
        <v/>
      </c>
      <c r="G2854" s="106" t="n"/>
      <c r="H2854" s="350">
        <f>IF(G2854="Sim",IF(OR(F2854="",D2854="",L2854=""),"",IF(L2854="Sim",ROUND(F2854-D2854,2),0)),0)</f>
        <v/>
      </c>
      <c r="I2854" s="350">
        <f>IF(G2854="Sim",0,IF(OR(F2854="",L2854=""),"",F2854))</f>
        <v/>
      </c>
      <c r="J2854" s="350">
        <f>IF(G2854="Sim",0,IF(OR(F2854="",D2854="",L2854=""),"",IF(L2854="Sim",ROUND(F2854-D2854,2),0)))</f>
        <v/>
      </c>
      <c r="K2854" s="97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inlineStr">
        <is>
          <t>Nao</t>
        </is>
      </c>
      <c r="W2854" s="110" t="inlineStr">
        <is>
          <t>PC em analise</t>
        </is>
      </c>
      <c r="X2854" s="110" t="inlineStr">
        <is>
          <t>Pedido de Compra</t>
        </is>
      </c>
      <c r="Y2854" s="111" t="inlineStr">
        <is>
          <t>Impacto Potencial</t>
        </is>
      </c>
      <c r="Z2854" s="111" t="inlineStr">
        <is>
          <t>PC</t>
        </is>
      </c>
      <c r="AA2854" s="111" t="inlineStr">
        <is>
          <t>Nao</t>
        </is>
      </c>
      <c r="AB2854" s="111" t="inlineStr">
        <is>
          <t>NAO_COMPUTADO</t>
        </is>
      </c>
      <c r="AC2854" s="112" t="inlineStr">
        <is>
          <t>Estrutura Fase 1: sem impacto no VTA oficial</t>
        </is>
      </c>
    </row>
    <row r="2855" ht="25.5" customHeight="1" s="289">
      <c r="A2855" s="205" t="n"/>
      <c r="B2855" s="207" t="n"/>
      <c r="C2855" s="104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348" t="n"/>
      <c r="E2855" s="349">
        <f>IF(C2855="","",IFERROR(VLOOKUP(C2855,parametros!$A$11:$E$15,5,0),""))</f>
        <v/>
      </c>
      <c r="F2855" s="335">
        <f>IF(OR(D2855="",E2855=""),"",ROUND(D2855*E2855,2))</f>
        <v/>
      </c>
      <c r="G2855" s="106" t="n"/>
      <c r="H2855" s="350">
        <f>IF(G2855="Sim",IF(OR(F2855="",D2855="",L2855=""),"",IF(L2855="Sim",ROUND(F2855-D2855,2),0)),0)</f>
        <v/>
      </c>
      <c r="I2855" s="350">
        <f>IF(G2855="Sim",0,IF(OR(F2855="",L2855=""),"",F2855))</f>
        <v/>
      </c>
      <c r="J2855" s="350">
        <f>IF(G2855="Sim",0,IF(OR(F2855="",D2855="",L2855=""),"",IF(L2855="Sim",ROUND(F2855-D2855,2),0)))</f>
        <v/>
      </c>
      <c r="K2855" s="97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inlineStr">
        <is>
          <t>Nao</t>
        </is>
      </c>
      <c r="W2855" s="110" t="inlineStr">
        <is>
          <t>PC em analise</t>
        </is>
      </c>
      <c r="X2855" s="110" t="inlineStr">
        <is>
          <t>Pedido de Compra</t>
        </is>
      </c>
      <c r="Y2855" s="111" t="inlineStr">
        <is>
          <t>Impacto Potencial</t>
        </is>
      </c>
      <c r="Z2855" s="111" t="inlineStr">
        <is>
          <t>PC</t>
        </is>
      </c>
      <c r="AA2855" s="111" t="inlineStr">
        <is>
          <t>Nao</t>
        </is>
      </c>
      <c r="AB2855" s="111" t="inlineStr">
        <is>
          <t>NAO_COMPUTADO</t>
        </is>
      </c>
      <c r="AC2855" s="112" t="inlineStr">
        <is>
          <t>Estrutura Fase 1: sem impacto no VTA oficial</t>
        </is>
      </c>
    </row>
    <row r="2856" ht="25.5" customHeight="1" s="289">
      <c r="A2856" s="205" t="n"/>
      <c r="B2856" s="207" t="n"/>
      <c r="C2856" s="104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348" t="n"/>
      <c r="E2856" s="349">
        <f>IF(C2856="","",IFERROR(VLOOKUP(C2856,parametros!$A$11:$E$15,5,0),""))</f>
        <v/>
      </c>
      <c r="F2856" s="335">
        <f>IF(OR(D2856="",E2856=""),"",ROUND(D2856*E2856,2))</f>
        <v/>
      </c>
      <c r="G2856" s="106" t="n"/>
      <c r="H2856" s="350">
        <f>IF(G2856="Sim",IF(OR(F2856="",D2856="",L2856=""),"",IF(L2856="Sim",ROUND(F2856-D2856,2),0)),0)</f>
        <v/>
      </c>
      <c r="I2856" s="350">
        <f>IF(G2856="Sim",0,IF(OR(F2856="",L2856=""),"",F2856))</f>
        <v/>
      </c>
      <c r="J2856" s="350">
        <f>IF(G2856="Sim",0,IF(OR(F2856="",D2856="",L2856=""),"",IF(L2856="Sim",ROUND(F2856-D2856,2),0)))</f>
        <v/>
      </c>
      <c r="K2856" s="97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inlineStr">
        <is>
          <t>Nao</t>
        </is>
      </c>
      <c r="W2856" s="110" t="inlineStr">
        <is>
          <t>PC em analise</t>
        </is>
      </c>
      <c r="X2856" s="110" t="inlineStr">
        <is>
          <t>Pedido de Compra</t>
        </is>
      </c>
      <c r="Y2856" s="111" t="inlineStr">
        <is>
          <t>Impacto Potencial</t>
        </is>
      </c>
      <c r="Z2856" s="111" t="inlineStr">
        <is>
          <t>PC</t>
        </is>
      </c>
      <c r="AA2856" s="111" t="inlineStr">
        <is>
          <t>Nao</t>
        </is>
      </c>
      <c r="AB2856" s="111" t="inlineStr">
        <is>
          <t>NAO_COMPUTADO</t>
        </is>
      </c>
      <c r="AC2856" s="112" t="inlineStr">
        <is>
          <t>Estrutura Fase 1: sem impacto no VTA oficial</t>
        </is>
      </c>
    </row>
    <row r="2857" ht="25.5" customHeight="1" s="289">
      <c r="A2857" s="205" t="n"/>
      <c r="B2857" s="207" t="n"/>
      <c r="C2857" s="104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348" t="n"/>
      <c r="E2857" s="349">
        <f>IF(C2857="","",IFERROR(VLOOKUP(C2857,parametros!$A$11:$E$15,5,0),""))</f>
        <v/>
      </c>
      <c r="F2857" s="335">
        <f>IF(OR(D2857="",E2857=""),"",ROUND(D2857*E2857,2))</f>
        <v/>
      </c>
      <c r="G2857" s="106" t="n"/>
      <c r="H2857" s="350">
        <f>IF(G2857="Sim",IF(OR(F2857="",D2857="",L2857=""),"",IF(L2857="Sim",ROUND(F2857-D2857,2),0)),0)</f>
        <v/>
      </c>
      <c r="I2857" s="350">
        <f>IF(G2857="Sim",0,IF(OR(F2857="",L2857=""),"",F2857))</f>
        <v/>
      </c>
      <c r="J2857" s="350">
        <f>IF(G2857="Sim",0,IF(OR(F2857="",D2857="",L2857=""),"",IF(L2857="Sim",ROUND(F2857-D2857,2),0)))</f>
        <v/>
      </c>
      <c r="K2857" s="97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inlineStr">
        <is>
          <t>Nao</t>
        </is>
      </c>
      <c r="W2857" s="110" t="inlineStr">
        <is>
          <t>PC em analise</t>
        </is>
      </c>
      <c r="X2857" s="110" t="inlineStr">
        <is>
          <t>Pedido de Compra</t>
        </is>
      </c>
      <c r="Y2857" s="111" t="inlineStr">
        <is>
          <t>Impacto Potencial</t>
        </is>
      </c>
      <c r="Z2857" s="111" t="inlineStr">
        <is>
          <t>PC</t>
        </is>
      </c>
      <c r="AA2857" s="111" t="inlineStr">
        <is>
          <t>Nao</t>
        </is>
      </c>
      <c r="AB2857" s="111" t="inlineStr">
        <is>
          <t>NAO_COMPUTADO</t>
        </is>
      </c>
      <c r="AC2857" s="112" t="inlineStr">
        <is>
          <t>Estrutura Fase 1: sem impacto no VTA oficial</t>
        </is>
      </c>
    </row>
    <row r="2858" ht="25.5" customHeight="1" s="289">
      <c r="A2858" s="205" t="n"/>
      <c r="B2858" s="207" t="n"/>
      <c r="C2858" s="104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348" t="n"/>
      <c r="E2858" s="349">
        <f>IF(C2858="","",IFERROR(VLOOKUP(C2858,parametros!$A$11:$E$15,5,0),""))</f>
        <v/>
      </c>
      <c r="F2858" s="335">
        <f>IF(OR(D2858="",E2858=""),"",ROUND(D2858*E2858,2))</f>
        <v/>
      </c>
      <c r="G2858" s="106" t="n"/>
      <c r="H2858" s="350">
        <f>IF(G2858="Sim",IF(OR(F2858="",D2858="",L2858=""),"",IF(L2858="Sim",ROUND(F2858-D2858,2),0)),0)</f>
        <v/>
      </c>
      <c r="I2858" s="350">
        <f>IF(G2858="Sim",0,IF(OR(F2858="",L2858=""),"",F2858))</f>
        <v/>
      </c>
      <c r="J2858" s="350">
        <f>IF(G2858="Sim",0,IF(OR(F2858="",D2858="",L2858=""),"",IF(L2858="Sim",ROUND(F2858-D2858,2),0)))</f>
        <v/>
      </c>
      <c r="K2858" s="97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inlineStr">
        <is>
          <t>Nao</t>
        </is>
      </c>
      <c r="W2858" s="110" t="inlineStr">
        <is>
          <t>PC em analise</t>
        </is>
      </c>
      <c r="X2858" s="110" t="inlineStr">
        <is>
          <t>Pedido de Compra</t>
        </is>
      </c>
      <c r="Y2858" s="111" t="inlineStr">
        <is>
          <t>Impacto Potencial</t>
        </is>
      </c>
      <c r="Z2858" s="111" t="inlineStr">
        <is>
          <t>PC</t>
        </is>
      </c>
      <c r="AA2858" s="111" t="inlineStr">
        <is>
          <t>Nao</t>
        </is>
      </c>
      <c r="AB2858" s="111" t="inlineStr">
        <is>
          <t>NAO_COMPUTADO</t>
        </is>
      </c>
      <c r="AC2858" s="112" t="inlineStr">
        <is>
          <t>Estrutura Fase 1: sem impacto no VTA oficial</t>
        </is>
      </c>
    </row>
    <row r="2859" ht="25.5" customHeight="1" s="289">
      <c r="A2859" s="205" t="n"/>
      <c r="B2859" s="207" t="n"/>
      <c r="C2859" s="104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348" t="n"/>
      <c r="E2859" s="349">
        <f>IF(C2859="","",IFERROR(VLOOKUP(C2859,parametros!$A$11:$E$15,5,0),""))</f>
        <v/>
      </c>
      <c r="F2859" s="335">
        <f>IF(OR(D2859="",E2859=""),"",ROUND(D2859*E2859,2))</f>
        <v/>
      </c>
      <c r="G2859" s="106" t="n"/>
      <c r="H2859" s="350">
        <f>IF(G2859="Sim",IF(OR(F2859="",D2859="",L2859=""),"",IF(L2859="Sim",ROUND(F2859-D2859,2),0)),0)</f>
        <v/>
      </c>
      <c r="I2859" s="350">
        <f>IF(G2859="Sim",0,IF(OR(F2859="",L2859=""),"",F2859))</f>
        <v/>
      </c>
      <c r="J2859" s="350">
        <f>IF(G2859="Sim",0,IF(OR(F2859="",D2859="",L2859=""),"",IF(L2859="Sim",ROUND(F2859-D2859,2),0)))</f>
        <v/>
      </c>
      <c r="K2859" s="97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inlineStr">
        <is>
          <t>Nao</t>
        </is>
      </c>
      <c r="W2859" s="110" t="inlineStr">
        <is>
          <t>PC em analise</t>
        </is>
      </c>
      <c r="X2859" s="110" t="inlineStr">
        <is>
          <t>Pedido de Compra</t>
        </is>
      </c>
      <c r="Y2859" s="111" t="inlineStr">
        <is>
          <t>Impacto Potencial</t>
        </is>
      </c>
      <c r="Z2859" s="111" t="inlineStr">
        <is>
          <t>PC</t>
        </is>
      </c>
      <c r="AA2859" s="111" t="inlineStr">
        <is>
          <t>Nao</t>
        </is>
      </c>
      <c r="AB2859" s="111" t="inlineStr">
        <is>
          <t>NAO_COMPUTADO</t>
        </is>
      </c>
      <c r="AC2859" s="112" t="inlineStr">
        <is>
          <t>Estrutura Fase 1: sem impacto no VTA oficial</t>
        </is>
      </c>
    </row>
    <row r="2860" ht="25.5" customHeight="1" s="289">
      <c r="A2860" s="205" t="n"/>
      <c r="B2860" s="207" t="n"/>
      <c r="C2860" s="104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348" t="n"/>
      <c r="E2860" s="349">
        <f>IF(C2860="","",IFERROR(VLOOKUP(C2860,parametros!$A$11:$E$15,5,0),""))</f>
        <v/>
      </c>
      <c r="F2860" s="335">
        <f>IF(OR(D2860="",E2860=""),"",ROUND(D2860*E2860,2))</f>
        <v/>
      </c>
      <c r="G2860" s="106" t="n"/>
      <c r="H2860" s="350">
        <f>IF(G2860="Sim",IF(OR(F2860="",D2860="",L2860=""),"",IF(L2860="Sim",ROUND(F2860-D2860,2),0)),0)</f>
        <v/>
      </c>
      <c r="I2860" s="350">
        <f>IF(G2860="Sim",0,IF(OR(F2860="",L2860=""),"",F2860))</f>
        <v/>
      </c>
      <c r="J2860" s="350">
        <f>IF(G2860="Sim",0,IF(OR(F2860="",D2860="",L2860=""),"",IF(L2860="Sim",ROUND(F2860-D2860,2),0)))</f>
        <v/>
      </c>
      <c r="K2860" s="97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inlineStr">
        <is>
          <t>Nao</t>
        </is>
      </c>
      <c r="W2860" s="110" t="inlineStr">
        <is>
          <t>PC em analise</t>
        </is>
      </c>
      <c r="X2860" s="110" t="inlineStr">
        <is>
          <t>Pedido de Compra</t>
        </is>
      </c>
      <c r="Y2860" s="111" t="inlineStr">
        <is>
          <t>Impacto Potencial</t>
        </is>
      </c>
      <c r="Z2860" s="111" t="inlineStr">
        <is>
          <t>PC</t>
        </is>
      </c>
      <c r="AA2860" s="111" t="inlineStr">
        <is>
          <t>Nao</t>
        </is>
      </c>
      <c r="AB2860" s="111" t="inlineStr">
        <is>
          <t>NAO_COMPUTADO</t>
        </is>
      </c>
      <c r="AC2860" s="112" t="inlineStr">
        <is>
          <t>Estrutura Fase 1: sem impacto no VTA oficial</t>
        </is>
      </c>
    </row>
    <row r="2861" ht="25.5" customHeight="1" s="289">
      <c r="A2861" s="205" t="n"/>
      <c r="B2861" s="207" t="n"/>
      <c r="C2861" s="104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348" t="n"/>
      <c r="E2861" s="349">
        <f>IF(C2861="","",IFERROR(VLOOKUP(C2861,parametros!$A$11:$E$15,5,0),""))</f>
        <v/>
      </c>
      <c r="F2861" s="335">
        <f>IF(OR(D2861="",E2861=""),"",ROUND(D2861*E2861,2))</f>
        <v/>
      </c>
      <c r="G2861" s="106" t="n"/>
      <c r="H2861" s="350">
        <f>IF(G2861="Sim",IF(OR(F2861="",D2861="",L2861=""),"",IF(L2861="Sim",ROUND(F2861-D2861,2),0)),0)</f>
        <v/>
      </c>
      <c r="I2861" s="350">
        <f>IF(G2861="Sim",0,IF(OR(F2861="",L2861=""),"",F2861))</f>
        <v/>
      </c>
      <c r="J2861" s="350">
        <f>IF(G2861="Sim",0,IF(OR(F2861="",D2861="",L2861=""),"",IF(L2861="Sim",ROUND(F2861-D2861,2),0)))</f>
        <v/>
      </c>
      <c r="K2861" s="97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inlineStr">
        <is>
          <t>Nao</t>
        </is>
      </c>
      <c r="W2861" s="110" t="inlineStr">
        <is>
          <t>PC em analise</t>
        </is>
      </c>
      <c r="X2861" s="110" t="inlineStr">
        <is>
          <t>Pedido de Compra</t>
        </is>
      </c>
      <c r="Y2861" s="111" t="inlineStr">
        <is>
          <t>Impacto Potencial</t>
        </is>
      </c>
      <c r="Z2861" s="111" t="inlineStr">
        <is>
          <t>PC</t>
        </is>
      </c>
      <c r="AA2861" s="111" t="inlineStr">
        <is>
          <t>Nao</t>
        </is>
      </c>
      <c r="AB2861" s="111" t="inlineStr">
        <is>
          <t>NAO_COMPUTADO</t>
        </is>
      </c>
      <c r="AC2861" s="112" t="inlineStr">
        <is>
          <t>Estrutura Fase 1: sem impacto no VTA oficial</t>
        </is>
      </c>
    </row>
    <row r="2862" ht="25.5" customHeight="1" s="289">
      <c r="A2862" s="205" t="n"/>
      <c r="B2862" s="207" t="n"/>
      <c r="C2862" s="104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348" t="n"/>
      <c r="E2862" s="349">
        <f>IF(C2862="","",IFERROR(VLOOKUP(C2862,parametros!$A$11:$E$15,5,0),""))</f>
        <v/>
      </c>
      <c r="F2862" s="335">
        <f>IF(OR(D2862="",E2862=""),"",ROUND(D2862*E2862,2))</f>
        <v/>
      </c>
      <c r="G2862" s="106" t="n"/>
      <c r="H2862" s="350">
        <f>IF(G2862="Sim",IF(OR(F2862="",D2862="",L2862=""),"",IF(L2862="Sim",ROUND(F2862-D2862,2),0)),0)</f>
        <v/>
      </c>
      <c r="I2862" s="350">
        <f>IF(G2862="Sim",0,IF(OR(F2862="",L2862=""),"",F2862))</f>
        <v/>
      </c>
      <c r="J2862" s="350">
        <f>IF(G2862="Sim",0,IF(OR(F2862="",D2862="",L2862=""),"",IF(L2862="Sim",ROUND(F2862-D2862,2),0)))</f>
        <v/>
      </c>
      <c r="K2862" s="97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inlineStr">
        <is>
          <t>Nao</t>
        </is>
      </c>
      <c r="W2862" s="110" t="inlineStr">
        <is>
          <t>PC em analise</t>
        </is>
      </c>
      <c r="X2862" s="110" t="inlineStr">
        <is>
          <t>Pedido de Compra</t>
        </is>
      </c>
      <c r="Y2862" s="111" t="inlineStr">
        <is>
          <t>Impacto Potencial</t>
        </is>
      </c>
      <c r="Z2862" s="111" t="inlineStr">
        <is>
          <t>PC</t>
        </is>
      </c>
      <c r="AA2862" s="111" t="inlineStr">
        <is>
          <t>Nao</t>
        </is>
      </c>
      <c r="AB2862" s="111" t="inlineStr">
        <is>
          <t>NAO_COMPUTADO</t>
        </is>
      </c>
      <c r="AC2862" s="112" t="inlineStr">
        <is>
          <t>Estrutura Fase 1: sem impacto no VTA oficial</t>
        </is>
      </c>
    </row>
    <row r="2863" ht="25.5" customHeight="1" s="289">
      <c r="A2863" s="205" t="n"/>
      <c r="B2863" s="207" t="n"/>
      <c r="C2863" s="104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348" t="n"/>
      <c r="E2863" s="349">
        <f>IF(C2863="","",IFERROR(VLOOKUP(C2863,parametros!$A$11:$E$15,5,0),""))</f>
        <v/>
      </c>
      <c r="F2863" s="335">
        <f>IF(OR(D2863="",E2863=""),"",ROUND(D2863*E2863,2))</f>
        <v/>
      </c>
      <c r="G2863" s="106" t="n"/>
      <c r="H2863" s="350">
        <f>IF(G2863="Sim",IF(OR(F2863="",D2863="",L2863=""),"",IF(L2863="Sim",ROUND(F2863-D2863,2),0)),0)</f>
        <v/>
      </c>
      <c r="I2863" s="350">
        <f>IF(G2863="Sim",0,IF(OR(F2863="",L2863=""),"",F2863))</f>
        <v/>
      </c>
      <c r="J2863" s="350">
        <f>IF(G2863="Sim",0,IF(OR(F2863="",D2863="",L2863=""),"",IF(L2863="Sim",ROUND(F2863-D2863,2),0)))</f>
        <v/>
      </c>
      <c r="K2863" s="97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inlineStr">
        <is>
          <t>Nao</t>
        </is>
      </c>
      <c r="W2863" s="110" t="inlineStr">
        <is>
          <t>PC em analise</t>
        </is>
      </c>
      <c r="X2863" s="110" t="inlineStr">
        <is>
          <t>Pedido de Compra</t>
        </is>
      </c>
      <c r="Y2863" s="111" t="inlineStr">
        <is>
          <t>Impacto Potencial</t>
        </is>
      </c>
      <c r="Z2863" s="111" t="inlineStr">
        <is>
          <t>PC</t>
        </is>
      </c>
      <c r="AA2863" s="111" t="inlineStr">
        <is>
          <t>Nao</t>
        </is>
      </c>
      <c r="AB2863" s="111" t="inlineStr">
        <is>
          <t>NAO_COMPUTADO</t>
        </is>
      </c>
      <c r="AC2863" s="112" t="inlineStr">
        <is>
          <t>Estrutura Fase 1: sem impacto no VTA oficial</t>
        </is>
      </c>
    </row>
    <row r="2864" ht="25.5" customHeight="1" s="289">
      <c r="A2864" s="205" t="n"/>
      <c r="B2864" s="207" t="n"/>
      <c r="C2864" s="104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348" t="n"/>
      <c r="E2864" s="349">
        <f>IF(C2864="","",IFERROR(VLOOKUP(C2864,parametros!$A$11:$E$15,5,0),""))</f>
        <v/>
      </c>
      <c r="F2864" s="335">
        <f>IF(OR(D2864="",E2864=""),"",ROUND(D2864*E2864,2))</f>
        <v/>
      </c>
      <c r="G2864" s="106" t="n"/>
      <c r="H2864" s="350">
        <f>IF(G2864="Sim",IF(OR(F2864="",D2864="",L2864=""),"",IF(L2864="Sim",ROUND(F2864-D2864,2),0)),0)</f>
        <v/>
      </c>
      <c r="I2864" s="350">
        <f>IF(G2864="Sim",0,IF(OR(F2864="",L2864=""),"",F2864))</f>
        <v/>
      </c>
      <c r="J2864" s="350">
        <f>IF(G2864="Sim",0,IF(OR(F2864="",D2864="",L2864=""),"",IF(L2864="Sim",ROUND(F2864-D2864,2),0)))</f>
        <v/>
      </c>
      <c r="K2864" s="97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inlineStr">
        <is>
          <t>Nao</t>
        </is>
      </c>
      <c r="W2864" s="110" t="inlineStr">
        <is>
          <t>PC em analise</t>
        </is>
      </c>
      <c r="X2864" s="110" t="inlineStr">
        <is>
          <t>Pedido de Compra</t>
        </is>
      </c>
      <c r="Y2864" s="111" t="inlineStr">
        <is>
          <t>Impacto Potencial</t>
        </is>
      </c>
      <c r="Z2864" s="111" t="inlineStr">
        <is>
          <t>PC</t>
        </is>
      </c>
      <c r="AA2864" s="111" t="inlineStr">
        <is>
          <t>Nao</t>
        </is>
      </c>
      <c r="AB2864" s="111" t="inlineStr">
        <is>
          <t>NAO_COMPUTADO</t>
        </is>
      </c>
      <c r="AC2864" s="112" t="inlineStr">
        <is>
          <t>Estrutura Fase 1: sem impacto no VTA oficial</t>
        </is>
      </c>
    </row>
    <row r="2865" ht="25.5" customHeight="1" s="289">
      <c r="A2865" s="205" t="n"/>
      <c r="B2865" s="207" t="n"/>
      <c r="C2865" s="104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348" t="n"/>
      <c r="E2865" s="349">
        <f>IF(C2865="","",IFERROR(VLOOKUP(C2865,parametros!$A$11:$E$15,5,0),""))</f>
        <v/>
      </c>
      <c r="F2865" s="335">
        <f>IF(OR(D2865="",E2865=""),"",ROUND(D2865*E2865,2))</f>
        <v/>
      </c>
      <c r="G2865" s="106" t="n"/>
      <c r="H2865" s="350">
        <f>IF(G2865="Sim",IF(OR(F2865="",D2865="",L2865=""),"",IF(L2865="Sim",ROUND(F2865-D2865,2),0)),0)</f>
        <v/>
      </c>
      <c r="I2865" s="350">
        <f>IF(G2865="Sim",0,IF(OR(F2865="",L2865=""),"",F2865))</f>
        <v/>
      </c>
      <c r="J2865" s="350">
        <f>IF(G2865="Sim",0,IF(OR(F2865="",D2865="",L2865=""),"",IF(L2865="Sim",ROUND(F2865-D2865,2),0)))</f>
        <v/>
      </c>
      <c r="K2865" s="97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inlineStr">
        <is>
          <t>Nao</t>
        </is>
      </c>
      <c r="W2865" s="110" t="inlineStr">
        <is>
          <t>PC em analise</t>
        </is>
      </c>
      <c r="X2865" s="110" t="inlineStr">
        <is>
          <t>Pedido de Compra</t>
        </is>
      </c>
      <c r="Y2865" s="111" t="inlineStr">
        <is>
          <t>Impacto Potencial</t>
        </is>
      </c>
      <c r="Z2865" s="111" t="inlineStr">
        <is>
          <t>PC</t>
        </is>
      </c>
      <c r="AA2865" s="111" t="inlineStr">
        <is>
          <t>Nao</t>
        </is>
      </c>
      <c r="AB2865" s="111" t="inlineStr">
        <is>
          <t>NAO_COMPUTADO</t>
        </is>
      </c>
      <c r="AC2865" s="112" t="inlineStr">
        <is>
          <t>Estrutura Fase 1: sem impacto no VTA oficial</t>
        </is>
      </c>
    </row>
    <row r="2866" ht="25.5" customHeight="1" s="289">
      <c r="A2866" s="205" t="n"/>
      <c r="B2866" s="207" t="n"/>
      <c r="C2866" s="104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348" t="n"/>
      <c r="E2866" s="349">
        <f>IF(C2866="","",IFERROR(VLOOKUP(C2866,parametros!$A$11:$E$15,5,0),""))</f>
        <v/>
      </c>
      <c r="F2866" s="335">
        <f>IF(OR(D2866="",E2866=""),"",ROUND(D2866*E2866,2))</f>
        <v/>
      </c>
      <c r="G2866" s="106" t="n"/>
      <c r="H2866" s="350">
        <f>IF(G2866="Sim",IF(OR(F2866="",D2866="",L2866=""),"",IF(L2866="Sim",ROUND(F2866-D2866,2),0)),0)</f>
        <v/>
      </c>
      <c r="I2866" s="350">
        <f>IF(G2866="Sim",0,IF(OR(F2866="",L2866=""),"",F2866))</f>
        <v/>
      </c>
      <c r="J2866" s="350">
        <f>IF(G2866="Sim",0,IF(OR(F2866="",D2866="",L2866=""),"",IF(L2866="Sim",ROUND(F2866-D2866,2),0)))</f>
        <v/>
      </c>
      <c r="K2866" s="97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inlineStr">
        <is>
          <t>Nao</t>
        </is>
      </c>
      <c r="W2866" s="110" t="inlineStr">
        <is>
          <t>PC em analise</t>
        </is>
      </c>
      <c r="X2866" s="110" t="inlineStr">
        <is>
          <t>Pedido de Compra</t>
        </is>
      </c>
      <c r="Y2866" s="111" t="inlineStr">
        <is>
          <t>Impacto Potencial</t>
        </is>
      </c>
      <c r="Z2866" s="111" t="inlineStr">
        <is>
          <t>PC</t>
        </is>
      </c>
      <c r="AA2866" s="111" t="inlineStr">
        <is>
          <t>Nao</t>
        </is>
      </c>
      <c r="AB2866" s="111" t="inlineStr">
        <is>
          <t>NAO_COMPUTADO</t>
        </is>
      </c>
      <c r="AC2866" s="112" t="inlineStr">
        <is>
          <t>Estrutura Fase 1: sem impacto no VTA oficial</t>
        </is>
      </c>
    </row>
    <row r="2867" ht="25.5" customHeight="1" s="289">
      <c r="A2867" s="205" t="n"/>
      <c r="B2867" s="207" t="n"/>
      <c r="C2867" s="104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348" t="n"/>
      <c r="E2867" s="349">
        <f>IF(C2867="","",IFERROR(VLOOKUP(C2867,parametros!$A$11:$E$15,5,0),""))</f>
        <v/>
      </c>
      <c r="F2867" s="335">
        <f>IF(OR(D2867="",E2867=""),"",ROUND(D2867*E2867,2))</f>
        <v/>
      </c>
      <c r="G2867" s="106" t="n"/>
      <c r="H2867" s="350">
        <f>IF(G2867="Sim",IF(OR(F2867="",D2867="",L2867=""),"",IF(L2867="Sim",ROUND(F2867-D2867,2),0)),0)</f>
        <v/>
      </c>
      <c r="I2867" s="350">
        <f>IF(G2867="Sim",0,IF(OR(F2867="",L2867=""),"",F2867))</f>
        <v/>
      </c>
      <c r="J2867" s="350">
        <f>IF(G2867="Sim",0,IF(OR(F2867="",D2867="",L2867=""),"",IF(L2867="Sim",ROUND(F2867-D2867,2),0)))</f>
        <v/>
      </c>
      <c r="K2867" s="97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inlineStr">
        <is>
          <t>Nao</t>
        </is>
      </c>
      <c r="W2867" s="110" t="inlineStr">
        <is>
          <t>PC em analise</t>
        </is>
      </c>
      <c r="X2867" s="110" t="inlineStr">
        <is>
          <t>Pedido de Compra</t>
        </is>
      </c>
      <c r="Y2867" s="111" t="inlineStr">
        <is>
          <t>Impacto Potencial</t>
        </is>
      </c>
      <c r="Z2867" s="111" t="inlineStr">
        <is>
          <t>PC</t>
        </is>
      </c>
      <c r="AA2867" s="111" t="inlineStr">
        <is>
          <t>Nao</t>
        </is>
      </c>
      <c r="AB2867" s="111" t="inlineStr">
        <is>
          <t>NAO_COMPUTADO</t>
        </is>
      </c>
      <c r="AC2867" s="112" t="inlineStr">
        <is>
          <t>Estrutura Fase 1: sem impacto no VTA oficial</t>
        </is>
      </c>
    </row>
    <row r="2868" ht="25.5" customHeight="1" s="289">
      <c r="A2868" s="205" t="n"/>
      <c r="B2868" s="207" t="n"/>
      <c r="C2868" s="104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348" t="n"/>
      <c r="E2868" s="349">
        <f>IF(C2868="","",IFERROR(VLOOKUP(C2868,parametros!$A$11:$E$15,5,0),""))</f>
        <v/>
      </c>
      <c r="F2868" s="335">
        <f>IF(OR(D2868="",E2868=""),"",ROUND(D2868*E2868,2))</f>
        <v/>
      </c>
      <c r="G2868" s="106" t="n"/>
      <c r="H2868" s="350">
        <f>IF(G2868="Sim",IF(OR(F2868="",D2868="",L2868=""),"",IF(L2868="Sim",ROUND(F2868-D2868,2),0)),0)</f>
        <v/>
      </c>
      <c r="I2868" s="350">
        <f>IF(G2868="Sim",0,IF(OR(F2868="",L2868=""),"",F2868))</f>
        <v/>
      </c>
      <c r="J2868" s="350">
        <f>IF(G2868="Sim",0,IF(OR(F2868="",D2868="",L2868=""),"",IF(L2868="Sim",ROUND(F2868-D2868,2),0)))</f>
        <v/>
      </c>
      <c r="K2868" s="97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inlineStr">
        <is>
          <t>Nao</t>
        </is>
      </c>
      <c r="W2868" s="110" t="inlineStr">
        <is>
          <t>PC em analise</t>
        </is>
      </c>
      <c r="X2868" s="110" t="inlineStr">
        <is>
          <t>Pedido de Compra</t>
        </is>
      </c>
      <c r="Y2868" s="111" t="inlineStr">
        <is>
          <t>Impacto Potencial</t>
        </is>
      </c>
      <c r="Z2868" s="111" t="inlineStr">
        <is>
          <t>PC</t>
        </is>
      </c>
      <c r="AA2868" s="111" t="inlineStr">
        <is>
          <t>Nao</t>
        </is>
      </c>
      <c r="AB2868" s="111" t="inlineStr">
        <is>
          <t>NAO_COMPUTADO</t>
        </is>
      </c>
      <c r="AC2868" s="112" t="inlineStr">
        <is>
          <t>Estrutura Fase 1: sem impacto no VTA oficial</t>
        </is>
      </c>
    </row>
    <row r="2869" ht="25.5" customHeight="1" s="289">
      <c r="A2869" s="205" t="n"/>
      <c r="B2869" s="207" t="n"/>
      <c r="C2869" s="104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348" t="n"/>
      <c r="E2869" s="349">
        <f>IF(C2869="","",IFERROR(VLOOKUP(C2869,parametros!$A$11:$E$15,5,0),""))</f>
        <v/>
      </c>
      <c r="F2869" s="335">
        <f>IF(OR(D2869="",E2869=""),"",ROUND(D2869*E2869,2))</f>
        <v/>
      </c>
      <c r="G2869" s="106" t="n"/>
      <c r="H2869" s="350">
        <f>IF(G2869="Sim",IF(OR(F2869="",D2869="",L2869=""),"",IF(L2869="Sim",ROUND(F2869-D2869,2),0)),0)</f>
        <v/>
      </c>
      <c r="I2869" s="350">
        <f>IF(G2869="Sim",0,IF(OR(F2869="",L2869=""),"",F2869))</f>
        <v/>
      </c>
      <c r="J2869" s="350">
        <f>IF(G2869="Sim",0,IF(OR(F2869="",D2869="",L2869=""),"",IF(L2869="Sim",ROUND(F2869-D2869,2),0)))</f>
        <v/>
      </c>
      <c r="K2869" s="97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inlineStr">
        <is>
          <t>Nao</t>
        </is>
      </c>
      <c r="W2869" s="110" t="inlineStr">
        <is>
          <t>PC em analise</t>
        </is>
      </c>
      <c r="X2869" s="110" t="inlineStr">
        <is>
          <t>Pedido de Compra</t>
        </is>
      </c>
      <c r="Y2869" s="111" t="inlineStr">
        <is>
          <t>Impacto Potencial</t>
        </is>
      </c>
      <c r="Z2869" s="111" t="inlineStr">
        <is>
          <t>PC</t>
        </is>
      </c>
      <c r="AA2869" s="111" t="inlineStr">
        <is>
          <t>Nao</t>
        </is>
      </c>
      <c r="AB2869" s="111" t="inlineStr">
        <is>
          <t>NAO_COMPUTADO</t>
        </is>
      </c>
      <c r="AC2869" s="112" t="inlineStr">
        <is>
          <t>Estrutura Fase 1: sem impacto no VTA oficial</t>
        </is>
      </c>
    </row>
    <row r="2870" ht="25.5" customHeight="1" s="289">
      <c r="A2870" s="205" t="n"/>
      <c r="B2870" s="207" t="n"/>
      <c r="C2870" s="104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348" t="n"/>
      <c r="E2870" s="349">
        <f>IF(C2870="","",IFERROR(VLOOKUP(C2870,parametros!$A$11:$E$15,5,0),""))</f>
        <v/>
      </c>
      <c r="F2870" s="335">
        <f>IF(OR(D2870="",E2870=""),"",ROUND(D2870*E2870,2))</f>
        <v/>
      </c>
      <c r="G2870" s="106" t="n"/>
      <c r="H2870" s="350">
        <f>IF(G2870="Sim",IF(OR(F2870="",D2870="",L2870=""),"",IF(L2870="Sim",ROUND(F2870-D2870,2),0)),0)</f>
        <v/>
      </c>
      <c r="I2870" s="350">
        <f>IF(G2870="Sim",0,IF(OR(F2870="",L2870=""),"",F2870))</f>
        <v/>
      </c>
      <c r="J2870" s="350">
        <f>IF(G2870="Sim",0,IF(OR(F2870="",D2870="",L2870=""),"",IF(L2870="Sim",ROUND(F2870-D2870,2),0)))</f>
        <v/>
      </c>
      <c r="K2870" s="97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inlineStr">
        <is>
          <t>Nao</t>
        </is>
      </c>
      <c r="W2870" s="110" t="inlineStr">
        <is>
          <t>PC em analise</t>
        </is>
      </c>
      <c r="X2870" s="110" t="inlineStr">
        <is>
          <t>Pedido de Compra</t>
        </is>
      </c>
      <c r="Y2870" s="111" t="inlineStr">
        <is>
          <t>Impacto Potencial</t>
        </is>
      </c>
      <c r="Z2870" s="111" t="inlineStr">
        <is>
          <t>PC</t>
        </is>
      </c>
      <c r="AA2870" s="111" t="inlineStr">
        <is>
          <t>Nao</t>
        </is>
      </c>
      <c r="AB2870" s="111" t="inlineStr">
        <is>
          <t>NAO_COMPUTADO</t>
        </is>
      </c>
      <c r="AC2870" s="112" t="inlineStr">
        <is>
          <t>Estrutura Fase 1: sem impacto no VTA oficial</t>
        </is>
      </c>
    </row>
    <row r="2871" ht="25.5" customHeight="1" s="289">
      <c r="A2871" s="205" t="n"/>
      <c r="B2871" s="207" t="n"/>
      <c r="C2871" s="104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348" t="n"/>
      <c r="E2871" s="349">
        <f>IF(C2871="","",IFERROR(VLOOKUP(C2871,parametros!$A$11:$E$15,5,0),""))</f>
        <v/>
      </c>
      <c r="F2871" s="335">
        <f>IF(OR(D2871="",E2871=""),"",ROUND(D2871*E2871,2))</f>
        <v/>
      </c>
      <c r="G2871" s="106" t="n"/>
      <c r="H2871" s="350">
        <f>IF(G2871="Sim",IF(OR(F2871="",D2871="",L2871=""),"",IF(L2871="Sim",ROUND(F2871-D2871,2),0)),0)</f>
        <v/>
      </c>
      <c r="I2871" s="350">
        <f>IF(G2871="Sim",0,IF(OR(F2871="",L2871=""),"",F2871))</f>
        <v/>
      </c>
      <c r="J2871" s="350">
        <f>IF(G2871="Sim",0,IF(OR(F2871="",D2871="",L2871=""),"",IF(L2871="Sim",ROUND(F2871-D2871,2),0)))</f>
        <v/>
      </c>
      <c r="K2871" s="97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inlineStr">
        <is>
          <t>Nao</t>
        </is>
      </c>
      <c r="W2871" s="110" t="inlineStr">
        <is>
          <t>PC em analise</t>
        </is>
      </c>
      <c r="X2871" s="110" t="inlineStr">
        <is>
          <t>Pedido de Compra</t>
        </is>
      </c>
      <c r="Y2871" s="111" t="inlineStr">
        <is>
          <t>Impacto Potencial</t>
        </is>
      </c>
      <c r="Z2871" s="111" t="inlineStr">
        <is>
          <t>PC</t>
        </is>
      </c>
      <c r="AA2871" s="111" t="inlineStr">
        <is>
          <t>Nao</t>
        </is>
      </c>
      <c r="AB2871" s="111" t="inlineStr">
        <is>
          <t>NAO_COMPUTADO</t>
        </is>
      </c>
      <c r="AC2871" s="112" t="inlineStr">
        <is>
          <t>Estrutura Fase 1: sem impacto no VTA oficial</t>
        </is>
      </c>
    </row>
    <row r="2872" ht="25.5" customHeight="1" s="289">
      <c r="A2872" s="205" t="n"/>
      <c r="B2872" s="207" t="n"/>
      <c r="C2872" s="104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348" t="n"/>
      <c r="E2872" s="349">
        <f>IF(C2872="","",IFERROR(VLOOKUP(C2872,parametros!$A$11:$E$15,5,0),""))</f>
        <v/>
      </c>
      <c r="F2872" s="335">
        <f>IF(OR(D2872="",E2872=""),"",ROUND(D2872*E2872,2))</f>
        <v/>
      </c>
      <c r="G2872" s="106" t="n"/>
      <c r="H2872" s="350">
        <f>IF(G2872="Sim",IF(OR(F2872="",D2872="",L2872=""),"",IF(L2872="Sim",ROUND(F2872-D2872,2),0)),0)</f>
        <v/>
      </c>
      <c r="I2872" s="350">
        <f>IF(G2872="Sim",0,IF(OR(F2872="",L2872=""),"",F2872))</f>
        <v/>
      </c>
      <c r="J2872" s="350">
        <f>IF(G2872="Sim",0,IF(OR(F2872="",D2872="",L2872=""),"",IF(L2872="Sim",ROUND(F2872-D2872,2),0)))</f>
        <v/>
      </c>
      <c r="K2872" s="97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inlineStr">
        <is>
          <t>Nao</t>
        </is>
      </c>
      <c r="W2872" s="110" t="inlineStr">
        <is>
          <t>PC em analise</t>
        </is>
      </c>
      <c r="X2872" s="110" t="inlineStr">
        <is>
          <t>Pedido de Compra</t>
        </is>
      </c>
      <c r="Y2872" s="111" t="inlineStr">
        <is>
          <t>Impacto Potencial</t>
        </is>
      </c>
      <c r="Z2872" s="111" t="inlineStr">
        <is>
          <t>PC</t>
        </is>
      </c>
      <c r="AA2872" s="111" t="inlineStr">
        <is>
          <t>Nao</t>
        </is>
      </c>
      <c r="AB2872" s="111" t="inlineStr">
        <is>
          <t>NAO_COMPUTADO</t>
        </is>
      </c>
      <c r="AC2872" s="112" t="inlineStr">
        <is>
          <t>Estrutura Fase 1: sem impacto no VTA oficial</t>
        </is>
      </c>
    </row>
    <row r="2873" ht="25.5" customHeight="1" s="289">
      <c r="A2873" s="205" t="n"/>
      <c r="B2873" s="207" t="n"/>
      <c r="C2873" s="104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348" t="n"/>
      <c r="E2873" s="349">
        <f>IF(C2873="","",IFERROR(VLOOKUP(C2873,parametros!$A$11:$E$15,5,0),""))</f>
        <v/>
      </c>
      <c r="F2873" s="335">
        <f>IF(OR(D2873="",E2873=""),"",ROUND(D2873*E2873,2))</f>
        <v/>
      </c>
      <c r="G2873" s="106" t="n"/>
      <c r="H2873" s="350">
        <f>IF(G2873="Sim",IF(OR(F2873="",D2873="",L2873=""),"",IF(L2873="Sim",ROUND(F2873-D2873,2),0)),0)</f>
        <v/>
      </c>
      <c r="I2873" s="350">
        <f>IF(G2873="Sim",0,IF(OR(F2873="",L2873=""),"",F2873))</f>
        <v/>
      </c>
      <c r="J2873" s="350">
        <f>IF(G2873="Sim",0,IF(OR(F2873="",D2873="",L2873=""),"",IF(L2873="Sim",ROUND(F2873-D2873,2),0)))</f>
        <v/>
      </c>
      <c r="K2873" s="97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inlineStr">
        <is>
          <t>Nao</t>
        </is>
      </c>
      <c r="W2873" s="110" t="inlineStr">
        <is>
          <t>PC em analise</t>
        </is>
      </c>
      <c r="X2873" s="110" t="inlineStr">
        <is>
          <t>Pedido de Compra</t>
        </is>
      </c>
      <c r="Y2873" s="111" t="inlineStr">
        <is>
          <t>Impacto Potencial</t>
        </is>
      </c>
      <c r="Z2873" s="111" t="inlineStr">
        <is>
          <t>PC</t>
        </is>
      </c>
      <c r="AA2873" s="111" t="inlineStr">
        <is>
          <t>Nao</t>
        </is>
      </c>
      <c r="AB2873" s="111" t="inlineStr">
        <is>
          <t>NAO_COMPUTADO</t>
        </is>
      </c>
      <c r="AC2873" s="112" t="inlineStr">
        <is>
          <t>Estrutura Fase 1: sem impacto no VTA oficial</t>
        </is>
      </c>
    </row>
    <row r="2874" ht="25.5" customHeight="1" s="289">
      <c r="A2874" s="205" t="n"/>
      <c r="B2874" s="207" t="n"/>
      <c r="C2874" s="104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348" t="n"/>
      <c r="E2874" s="349">
        <f>IF(C2874="","",IFERROR(VLOOKUP(C2874,parametros!$A$11:$E$15,5,0),""))</f>
        <v/>
      </c>
      <c r="F2874" s="335">
        <f>IF(OR(D2874="",E2874=""),"",ROUND(D2874*E2874,2))</f>
        <v/>
      </c>
      <c r="G2874" s="106" t="n"/>
      <c r="H2874" s="350">
        <f>IF(G2874="Sim",IF(OR(F2874="",D2874="",L2874=""),"",IF(L2874="Sim",ROUND(F2874-D2874,2),0)),0)</f>
        <v/>
      </c>
      <c r="I2874" s="350">
        <f>IF(G2874="Sim",0,IF(OR(F2874="",L2874=""),"",F2874))</f>
        <v/>
      </c>
      <c r="J2874" s="350">
        <f>IF(G2874="Sim",0,IF(OR(F2874="",D2874="",L2874=""),"",IF(L2874="Sim",ROUND(F2874-D2874,2),0)))</f>
        <v/>
      </c>
      <c r="K2874" s="97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inlineStr">
        <is>
          <t>Nao</t>
        </is>
      </c>
      <c r="W2874" s="110" t="inlineStr">
        <is>
          <t>PC em analise</t>
        </is>
      </c>
      <c r="X2874" s="110" t="inlineStr">
        <is>
          <t>Pedido de Compra</t>
        </is>
      </c>
      <c r="Y2874" s="111" t="inlineStr">
        <is>
          <t>Impacto Potencial</t>
        </is>
      </c>
      <c r="Z2874" s="111" t="inlineStr">
        <is>
          <t>PC</t>
        </is>
      </c>
      <c r="AA2874" s="111" t="inlineStr">
        <is>
          <t>Nao</t>
        </is>
      </c>
      <c r="AB2874" s="111" t="inlineStr">
        <is>
          <t>NAO_COMPUTADO</t>
        </is>
      </c>
      <c r="AC2874" s="112" t="inlineStr">
        <is>
          <t>Estrutura Fase 1: sem impacto no VTA oficial</t>
        </is>
      </c>
    </row>
    <row r="2875" ht="25.5" customHeight="1" s="289">
      <c r="A2875" s="205" t="n"/>
      <c r="B2875" s="207" t="n"/>
      <c r="C2875" s="104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348" t="n"/>
      <c r="E2875" s="349">
        <f>IF(C2875="","",IFERROR(VLOOKUP(C2875,parametros!$A$11:$E$15,5,0),""))</f>
        <v/>
      </c>
      <c r="F2875" s="335">
        <f>IF(OR(D2875="",E2875=""),"",ROUND(D2875*E2875,2))</f>
        <v/>
      </c>
      <c r="G2875" s="106" t="n"/>
      <c r="H2875" s="350">
        <f>IF(G2875="Sim",IF(OR(F2875="",D2875="",L2875=""),"",IF(L2875="Sim",ROUND(F2875-D2875,2),0)),0)</f>
        <v/>
      </c>
      <c r="I2875" s="350">
        <f>IF(G2875="Sim",0,IF(OR(F2875="",L2875=""),"",F2875))</f>
        <v/>
      </c>
      <c r="J2875" s="350">
        <f>IF(G2875="Sim",0,IF(OR(F2875="",D2875="",L2875=""),"",IF(L2875="Sim",ROUND(F2875-D2875,2),0)))</f>
        <v/>
      </c>
      <c r="K2875" s="97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inlineStr">
        <is>
          <t>Nao</t>
        </is>
      </c>
      <c r="W2875" s="110" t="inlineStr">
        <is>
          <t>PC em analise</t>
        </is>
      </c>
      <c r="X2875" s="110" t="inlineStr">
        <is>
          <t>Pedido de Compra</t>
        </is>
      </c>
      <c r="Y2875" s="111" t="inlineStr">
        <is>
          <t>Impacto Potencial</t>
        </is>
      </c>
      <c r="Z2875" s="111" t="inlineStr">
        <is>
          <t>PC</t>
        </is>
      </c>
      <c r="AA2875" s="111" t="inlineStr">
        <is>
          <t>Nao</t>
        </is>
      </c>
      <c r="AB2875" s="111" t="inlineStr">
        <is>
          <t>NAO_COMPUTADO</t>
        </is>
      </c>
      <c r="AC2875" s="112" t="inlineStr">
        <is>
          <t>Estrutura Fase 1: sem impacto no VTA oficial</t>
        </is>
      </c>
    </row>
    <row r="2876" ht="25.5" customHeight="1" s="289">
      <c r="A2876" s="205" t="n"/>
      <c r="B2876" s="207" t="n"/>
      <c r="C2876" s="104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348" t="n"/>
      <c r="E2876" s="349">
        <f>IF(C2876="","",IFERROR(VLOOKUP(C2876,parametros!$A$11:$E$15,5,0),""))</f>
        <v/>
      </c>
      <c r="F2876" s="335">
        <f>IF(OR(D2876="",E2876=""),"",ROUND(D2876*E2876,2))</f>
        <v/>
      </c>
      <c r="G2876" s="106" t="n"/>
      <c r="H2876" s="350">
        <f>IF(G2876="Sim",IF(OR(F2876="",D2876="",L2876=""),"",IF(L2876="Sim",ROUND(F2876-D2876,2),0)),0)</f>
        <v/>
      </c>
      <c r="I2876" s="350">
        <f>IF(G2876="Sim",0,IF(OR(F2876="",L2876=""),"",F2876))</f>
        <v/>
      </c>
      <c r="J2876" s="350">
        <f>IF(G2876="Sim",0,IF(OR(F2876="",D2876="",L2876=""),"",IF(L2876="Sim",ROUND(F2876-D2876,2),0)))</f>
        <v/>
      </c>
      <c r="K2876" s="97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inlineStr">
        <is>
          <t>Nao</t>
        </is>
      </c>
      <c r="W2876" s="110" t="inlineStr">
        <is>
          <t>PC em analise</t>
        </is>
      </c>
      <c r="X2876" s="110" t="inlineStr">
        <is>
          <t>Pedido de Compra</t>
        </is>
      </c>
      <c r="Y2876" s="111" t="inlineStr">
        <is>
          <t>Impacto Potencial</t>
        </is>
      </c>
      <c r="Z2876" s="111" t="inlineStr">
        <is>
          <t>PC</t>
        </is>
      </c>
      <c r="AA2876" s="111" t="inlineStr">
        <is>
          <t>Nao</t>
        </is>
      </c>
      <c r="AB2876" s="111" t="inlineStr">
        <is>
          <t>NAO_COMPUTADO</t>
        </is>
      </c>
      <c r="AC2876" s="112" t="inlineStr">
        <is>
          <t>Estrutura Fase 1: sem impacto no VTA oficial</t>
        </is>
      </c>
    </row>
    <row r="2877" ht="25.5" customHeight="1" s="289">
      <c r="A2877" s="205" t="n"/>
      <c r="B2877" s="207" t="n"/>
      <c r="C2877" s="104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348" t="n"/>
      <c r="E2877" s="349">
        <f>IF(C2877="","",IFERROR(VLOOKUP(C2877,parametros!$A$11:$E$15,5,0),""))</f>
        <v/>
      </c>
      <c r="F2877" s="335">
        <f>IF(OR(D2877="",E2877=""),"",ROUND(D2877*E2877,2))</f>
        <v/>
      </c>
      <c r="G2877" s="106" t="n"/>
      <c r="H2877" s="350">
        <f>IF(G2877="Sim",IF(OR(F2877="",D2877="",L2877=""),"",IF(L2877="Sim",ROUND(F2877-D2877,2),0)),0)</f>
        <v/>
      </c>
      <c r="I2877" s="350">
        <f>IF(G2877="Sim",0,IF(OR(F2877="",L2877=""),"",F2877))</f>
        <v/>
      </c>
      <c r="J2877" s="350">
        <f>IF(G2877="Sim",0,IF(OR(F2877="",D2877="",L2877=""),"",IF(L2877="Sim",ROUND(F2877-D2877,2),0)))</f>
        <v/>
      </c>
      <c r="K2877" s="97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inlineStr">
        <is>
          <t>Nao</t>
        </is>
      </c>
      <c r="W2877" s="110" t="inlineStr">
        <is>
          <t>PC em analise</t>
        </is>
      </c>
      <c r="X2877" s="110" t="inlineStr">
        <is>
          <t>Pedido de Compra</t>
        </is>
      </c>
      <c r="Y2877" s="111" t="inlineStr">
        <is>
          <t>Impacto Potencial</t>
        </is>
      </c>
      <c r="Z2877" s="111" t="inlineStr">
        <is>
          <t>PC</t>
        </is>
      </c>
      <c r="AA2877" s="111" t="inlineStr">
        <is>
          <t>Nao</t>
        </is>
      </c>
      <c r="AB2877" s="111" t="inlineStr">
        <is>
          <t>NAO_COMPUTADO</t>
        </is>
      </c>
      <c r="AC2877" s="112" t="inlineStr">
        <is>
          <t>Estrutura Fase 1: sem impacto no VTA oficial</t>
        </is>
      </c>
    </row>
    <row r="2878" ht="25.5" customHeight="1" s="289">
      <c r="A2878" s="205" t="n"/>
      <c r="B2878" s="207" t="n"/>
      <c r="C2878" s="104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348" t="n"/>
      <c r="E2878" s="349">
        <f>IF(C2878="","",IFERROR(VLOOKUP(C2878,parametros!$A$11:$E$15,5,0),""))</f>
        <v/>
      </c>
      <c r="F2878" s="335">
        <f>IF(OR(D2878="",E2878=""),"",ROUND(D2878*E2878,2))</f>
        <v/>
      </c>
      <c r="G2878" s="106" t="n"/>
      <c r="H2878" s="350">
        <f>IF(G2878="Sim",IF(OR(F2878="",D2878="",L2878=""),"",IF(L2878="Sim",ROUND(F2878-D2878,2),0)),0)</f>
        <v/>
      </c>
      <c r="I2878" s="350">
        <f>IF(G2878="Sim",0,IF(OR(F2878="",L2878=""),"",F2878))</f>
        <v/>
      </c>
      <c r="J2878" s="350">
        <f>IF(G2878="Sim",0,IF(OR(F2878="",D2878="",L2878=""),"",IF(L2878="Sim",ROUND(F2878-D2878,2),0)))</f>
        <v/>
      </c>
      <c r="K2878" s="97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inlineStr">
        <is>
          <t>Nao</t>
        </is>
      </c>
      <c r="W2878" s="110" t="inlineStr">
        <is>
          <t>PC em analise</t>
        </is>
      </c>
      <c r="X2878" s="110" t="inlineStr">
        <is>
          <t>Pedido de Compra</t>
        </is>
      </c>
      <c r="Y2878" s="111" t="inlineStr">
        <is>
          <t>Impacto Potencial</t>
        </is>
      </c>
      <c r="Z2878" s="111" t="inlineStr">
        <is>
          <t>PC</t>
        </is>
      </c>
      <c r="AA2878" s="111" t="inlineStr">
        <is>
          <t>Nao</t>
        </is>
      </c>
      <c r="AB2878" s="111" t="inlineStr">
        <is>
          <t>NAO_COMPUTADO</t>
        </is>
      </c>
      <c r="AC2878" s="112" t="inlineStr">
        <is>
          <t>Estrutura Fase 1: sem impacto no VTA oficial</t>
        </is>
      </c>
    </row>
    <row r="2879" ht="25.5" customHeight="1" s="289">
      <c r="A2879" s="205" t="n"/>
      <c r="B2879" s="207" t="n"/>
      <c r="C2879" s="104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348" t="n"/>
      <c r="E2879" s="349">
        <f>IF(C2879="","",IFERROR(VLOOKUP(C2879,parametros!$A$11:$E$15,5,0),""))</f>
        <v/>
      </c>
      <c r="F2879" s="335">
        <f>IF(OR(D2879="",E2879=""),"",ROUND(D2879*E2879,2))</f>
        <v/>
      </c>
      <c r="G2879" s="106" t="n"/>
      <c r="H2879" s="350">
        <f>IF(G2879="Sim",IF(OR(F2879="",D2879="",L2879=""),"",IF(L2879="Sim",ROUND(F2879-D2879,2),0)),0)</f>
        <v/>
      </c>
      <c r="I2879" s="350">
        <f>IF(G2879="Sim",0,IF(OR(F2879="",L2879=""),"",F2879))</f>
        <v/>
      </c>
      <c r="J2879" s="350">
        <f>IF(G2879="Sim",0,IF(OR(F2879="",D2879="",L2879=""),"",IF(L2879="Sim",ROUND(F2879-D2879,2),0)))</f>
        <v/>
      </c>
      <c r="K2879" s="97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inlineStr">
        <is>
          <t>Nao</t>
        </is>
      </c>
      <c r="W2879" s="110" t="inlineStr">
        <is>
          <t>PC em analise</t>
        </is>
      </c>
      <c r="X2879" s="110" t="inlineStr">
        <is>
          <t>Pedido de Compra</t>
        </is>
      </c>
      <c r="Y2879" s="111" t="inlineStr">
        <is>
          <t>Impacto Potencial</t>
        </is>
      </c>
      <c r="Z2879" s="111" t="inlineStr">
        <is>
          <t>PC</t>
        </is>
      </c>
      <c r="AA2879" s="111" t="inlineStr">
        <is>
          <t>Nao</t>
        </is>
      </c>
      <c r="AB2879" s="111" t="inlineStr">
        <is>
          <t>NAO_COMPUTADO</t>
        </is>
      </c>
      <c r="AC2879" s="112" t="inlineStr">
        <is>
          <t>Estrutura Fase 1: sem impacto no VTA oficial</t>
        </is>
      </c>
    </row>
    <row r="2880" ht="25.5" customHeight="1" s="289">
      <c r="A2880" s="205" t="n"/>
      <c r="B2880" s="207" t="n"/>
      <c r="C2880" s="104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348" t="n"/>
      <c r="E2880" s="349">
        <f>IF(C2880="","",IFERROR(VLOOKUP(C2880,parametros!$A$11:$E$15,5,0),""))</f>
        <v/>
      </c>
      <c r="F2880" s="335">
        <f>IF(OR(D2880="",E2880=""),"",ROUND(D2880*E2880,2))</f>
        <v/>
      </c>
      <c r="G2880" s="106" t="n"/>
      <c r="H2880" s="350">
        <f>IF(G2880="Sim",IF(OR(F2880="",D2880="",L2880=""),"",IF(L2880="Sim",ROUND(F2880-D2880,2),0)),0)</f>
        <v/>
      </c>
      <c r="I2880" s="350">
        <f>IF(G2880="Sim",0,IF(OR(F2880="",L2880=""),"",F2880))</f>
        <v/>
      </c>
      <c r="J2880" s="350">
        <f>IF(G2880="Sim",0,IF(OR(F2880="",D2880="",L2880=""),"",IF(L2880="Sim",ROUND(F2880-D2880,2),0)))</f>
        <v/>
      </c>
      <c r="K2880" s="97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inlineStr">
        <is>
          <t>Nao</t>
        </is>
      </c>
      <c r="W2880" s="110" t="inlineStr">
        <is>
          <t>PC em analise</t>
        </is>
      </c>
      <c r="X2880" s="110" t="inlineStr">
        <is>
          <t>Pedido de Compra</t>
        </is>
      </c>
      <c r="Y2880" s="111" t="inlineStr">
        <is>
          <t>Impacto Potencial</t>
        </is>
      </c>
      <c r="Z2880" s="111" t="inlineStr">
        <is>
          <t>PC</t>
        </is>
      </c>
      <c r="AA2880" s="111" t="inlineStr">
        <is>
          <t>Nao</t>
        </is>
      </c>
      <c r="AB2880" s="111" t="inlineStr">
        <is>
          <t>NAO_COMPUTADO</t>
        </is>
      </c>
      <c r="AC2880" s="112" t="inlineStr">
        <is>
          <t>Estrutura Fase 1: sem impacto no VTA oficial</t>
        </is>
      </c>
    </row>
    <row r="2881" ht="25.5" customHeight="1" s="289">
      <c r="A2881" s="205" t="n"/>
      <c r="B2881" s="207" t="n"/>
      <c r="C2881" s="104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348" t="n"/>
      <c r="E2881" s="349">
        <f>IF(C2881="","",IFERROR(VLOOKUP(C2881,parametros!$A$11:$E$15,5,0),""))</f>
        <v/>
      </c>
      <c r="F2881" s="335">
        <f>IF(OR(D2881="",E2881=""),"",ROUND(D2881*E2881,2))</f>
        <v/>
      </c>
      <c r="G2881" s="106" t="n"/>
      <c r="H2881" s="350">
        <f>IF(G2881="Sim",IF(OR(F2881="",D2881="",L2881=""),"",IF(L2881="Sim",ROUND(F2881-D2881,2),0)),0)</f>
        <v/>
      </c>
      <c r="I2881" s="350">
        <f>IF(G2881="Sim",0,IF(OR(F2881="",L2881=""),"",F2881))</f>
        <v/>
      </c>
      <c r="J2881" s="350">
        <f>IF(G2881="Sim",0,IF(OR(F2881="",D2881="",L2881=""),"",IF(L2881="Sim",ROUND(F2881-D2881,2),0)))</f>
        <v/>
      </c>
      <c r="K2881" s="97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inlineStr">
        <is>
          <t>Nao</t>
        </is>
      </c>
      <c r="W2881" s="110" t="inlineStr">
        <is>
          <t>PC em analise</t>
        </is>
      </c>
      <c r="X2881" s="110" t="inlineStr">
        <is>
          <t>Pedido de Compra</t>
        </is>
      </c>
      <c r="Y2881" s="111" t="inlineStr">
        <is>
          <t>Impacto Potencial</t>
        </is>
      </c>
      <c r="Z2881" s="111" t="inlineStr">
        <is>
          <t>PC</t>
        </is>
      </c>
      <c r="AA2881" s="111" t="inlineStr">
        <is>
          <t>Nao</t>
        </is>
      </c>
      <c r="AB2881" s="111" t="inlineStr">
        <is>
          <t>NAO_COMPUTADO</t>
        </is>
      </c>
      <c r="AC2881" s="112" t="inlineStr">
        <is>
          <t>Estrutura Fase 1: sem impacto no VTA oficial</t>
        </is>
      </c>
    </row>
    <row r="2882" ht="25.5" customHeight="1" s="289">
      <c r="A2882" s="205" t="n"/>
      <c r="B2882" s="207" t="n"/>
      <c r="C2882" s="104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348" t="n"/>
      <c r="E2882" s="349">
        <f>IF(C2882="","",IFERROR(VLOOKUP(C2882,parametros!$A$11:$E$15,5,0),""))</f>
        <v/>
      </c>
      <c r="F2882" s="335">
        <f>IF(OR(D2882="",E2882=""),"",ROUND(D2882*E2882,2))</f>
        <v/>
      </c>
      <c r="G2882" s="106" t="n"/>
      <c r="H2882" s="350">
        <f>IF(G2882="Sim",IF(OR(F2882="",D2882="",L2882=""),"",IF(L2882="Sim",ROUND(F2882-D2882,2),0)),0)</f>
        <v/>
      </c>
      <c r="I2882" s="350">
        <f>IF(G2882="Sim",0,IF(OR(F2882="",L2882=""),"",F2882))</f>
        <v/>
      </c>
      <c r="J2882" s="350">
        <f>IF(G2882="Sim",0,IF(OR(F2882="",D2882="",L2882=""),"",IF(L2882="Sim",ROUND(F2882-D2882,2),0)))</f>
        <v/>
      </c>
      <c r="K2882" s="97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inlineStr">
        <is>
          <t>Nao</t>
        </is>
      </c>
      <c r="W2882" s="110" t="inlineStr">
        <is>
          <t>PC em analise</t>
        </is>
      </c>
      <c r="X2882" s="110" t="inlineStr">
        <is>
          <t>Pedido de Compra</t>
        </is>
      </c>
      <c r="Y2882" s="111" t="inlineStr">
        <is>
          <t>Impacto Potencial</t>
        </is>
      </c>
      <c r="Z2882" s="111" t="inlineStr">
        <is>
          <t>PC</t>
        </is>
      </c>
      <c r="AA2882" s="111" t="inlineStr">
        <is>
          <t>Nao</t>
        </is>
      </c>
      <c r="AB2882" s="111" t="inlineStr">
        <is>
          <t>NAO_COMPUTADO</t>
        </is>
      </c>
      <c r="AC2882" s="112" t="inlineStr">
        <is>
          <t>Estrutura Fase 1: sem impacto no VTA oficial</t>
        </is>
      </c>
    </row>
    <row r="2883" ht="25.5" customHeight="1" s="289">
      <c r="A2883" s="205" t="n"/>
      <c r="B2883" s="207" t="n"/>
      <c r="C2883" s="104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348" t="n"/>
      <c r="E2883" s="349">
        <f>IF(C2883="","",IFERROR(VLOOKUP(C2883,parametros!$A$11:$E$15,5,0),""))</f>
        <v/>
      </c>
      <c r="F2883" s="335">
        <f>IF(OR(D2883="",E2883=""),"",ROUND(D2883*E2883,2))</f>
        <v/>
      </c>
      <c r="G2883" s="106" t="n"/>
      <c r="H2883" s="350">
        <f>IF(G2883="Sim",IF(OR(F2883="",D2883="",L2883=""),"",IF(L2883="Sim",ROUND(F2883-D2883,2),0)),0)</f>
        <v/>
      </c>
      <c r="I2883" s="350">
        <f>IF(G2883="Sim",0,IF(OR(F2883="",L2883=""),"",F2883))</f>
        <v/>
      </c>
      <c r="J2883" s="350">
        <f>IF(G2883="Sim",0,IF(OR(F2883="",D2883="",L2883=""),"",IF(L2883="Sim",ROUND(F2883-D2883,2),0)))</f>
        <v/>
      </c>
      <c r="K2883" s="97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inlineStr">
        <is>
          <t>Nao</t>
        </is>
      </c>
      <c r="W2883" s="110" t="inlineStr">
        <is>
          <t>PC em analise</t>
        </is>
      </c>
      <c r="X2883" s="110" t="inlineStr">
        <is>
          <t>Pedido de Compra</t>
        </is>
      </c>
      <c r="Y2883" s="111" t="inlineStr">
        <is>
          <t>Impacto Potencial</t>
        </is>
      </c>
      <c r="Z2883" s="111" t="inlineStr">
        <is>
          <t>PC</t>
        </is>
      </c>
      <c r="AA2883" s="111" t="inlineStr">
        <is>
          <t>Nao</t>
        </is>
      </c>
      <c r="AB2883" s="111" t="inlineStr">
        <is>
          <t>NAO_COMPUTADO</t>
        </is>
      </c>
      <c r="AC2883" s="112" t="inlineStr">
        <is>
          <t>Estrutura Fase 1: sem impacto no VTA oficial</t>
        </is>
      </c>
    </row>
    <row r="2884" ht="25.5" customHeight="1" s="289">
      <c r="A2884" s="205" t="n"/>
      <c r="B2884" s="207" t="n"/>
      <c r="C2884" s="104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348" t="n"/>
      <c r="E2884" s="349">
        <f>IF(C2884="","",IFERROR(VLOOKUP(C2884,parametros!$A$11:$E$15,5,0),""))</f>
        <v/>
      </c>
      <c r="F2884" s="335">
        <f>IF(OR(D2884="",E2884=""),"",ROUND(D2884*E2884,2))</f>
        <v/>
      </c>
      <c r="G2884" s="106" t="n"/>
      <c r="H2884" s="350">
        <f>IF(G2884="Sim",IF(OR(F2884="",D2884="",L2884=""),"",IF(L2884="Sim",ROUND(F2884-D2884,2),0)),0)</f>
        <v/>
      </c>
      <c r="I2884" s="350">
        <f>IF(G2884="Sim",0,IF(OR(F2884="",L2884=""),"",F2884))</f>
        <v/>
      </c>
      <c r="J2884" s="350">
        <f>IF(G2884="Sim",0,IF(OR(F2884="",D2884="",L2884=""),"",IF(L2884="Sim",ROUND(F2884-D2884,2),0)))</f>
        <v/>
      </c>
      <c r="K2884" s="97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inlineStr">
        <is>
          <t>Nao</t>
        </is>
      </c>
      <c r="W2884" s="110" t="inlineStr">
        <is>
          <t>PC em analise</t>
        </is>
      </c>
      <c r="X2884" s="110" t="inlineStr">
        <is>
          <t>Pedido de Compra</t>
        </is>
      </c>
      <c r="Y2884" s="111" t="inlineStr">
        <is>
          <t>Impacto Potencial</t>
        </is>
      </c>
      <c r="Z2884" s="111" t="inlineStr">
        <is>
          <t>PC</t>
        </is>
      </c>
      <c r="AA2884" s="111" t="inlineStr">
        <is>
          <t>Nao</t>
        </is>
      </c>
      <c r="AB2884" s="111" t="inlineStr">
        <is>
          <t>NAO_COMPUTADO</t>
        </is>
      </c>
      <c r="AC2884" s="112" t="inlineStr">
        <is>
          <t>Estrutura Fase 1: sem impacto no VTA oficial</t>
        </is>
      </c>
    </row>
    <row r="2885" ht="25.5" customHeight="1" s="289">
      <c r="A2885" s="205" t="n"/>
      <c r="B2885" s="207" t="n"/>
      <c r="C2885" s="104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348" t="n"/>
      <c r="E2885" s="349">
        <f>IF(C2885="","",IFERROR(VLOOKUP(C2885,parametros!$A$11:$E$15,5,0),""))</f>
        <v/>
      </c>
      <c r="F2885" s="335">
        <f>IF(OR(D2885="",E2885=""),"",ROUND(D2885*E2885,2))</f>
        <v/>
      </c>
      <c r="G2885" s="106" t="n"/>
      <c r="H2885" s="350">
        <f>IF(G2885="Sim",IF(OR(F2885="",D2885="",L2885=""),"",IF(L2885="Sim",ROUND(F2885-D2885,2),0)),0)</f>
        <v/>
      </c>
      <c r="I2885" s="350">
        <f>IF(G2885="Sim",0,IF(OR(F2885="",L2885=""),"",F2885))</f>
        <v/>
      </c>
      <c r="J2885" s="350">
        <f>IF(G2885="Sim",0,IF(OR(F2885="",D2885="",L2885=""),"",IF(L2885="Sim",ROUND(F2885-D2885,2),0)))</f>
        <v/>
      </c>
      <c r="K2885" s="97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inlineStr">
        <is>
          <t>Nao</t>
        </is>
      </c>
      <c r="W2885" s="110" t="inlineStr">
        <is>
          <t>PC em analise</t>
        </is>
      </c>
      <c r="X2885" s="110" t="inlineStr">
        <is>
          <t>Pedido de Compra</t>
        </is>
      </c>
      <c r="Y2885" s="111" t="inlineStr">
        <is>
          <t>Impacto Potencial</t>
        </is>
      </c>
      <c r="Z2885" s="111" t="inlineStr">
        <is>
          <t>PC</t>
        </is>
      </c>
      <c r="AA2885" s="111" t="inlineStr">
        <is>
          <t>Nao</t>
        </is>
      </c>
      <c r="AB2885" s="111" t="inlineStr">
        <is>
          <t>NAO_COMPUTADO</t>
        </is>
      </c>
      <c r="AC2885" s="112" t="inlineStr">
        <is>
          <t>Estrutura Fase 1: sem impacto no VTA oficial</t>
        </is>
      </c>
    </row>
    <row r="2886" ht="25.5" customHeight="1" s="289">
      <c r="A2886" s="205" t="n"/>
      <c r="B2886" s="207" t="n"/>
      <c r="C2886" s="104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348" t="n"/>
      <c r="E2886" s="349">
        <f>IF(C2886="","",IFERROR(VLOOKUP(C2886,parametros!$A$11:$E$15,5,0),""))</f>
        <v/>
      </c>
      <c r="F2886" s="335">
        <f>IF(OR(D2886="",E2886=""),"",ROUND(D2886*E2886,2))</f>
        <v/>
      </c>
      <c r="G2886" s="106" t="n"/>
      <c r="H2886" s="350">
        <f>IF(G2886="Sim",IF(OR(F2886="",D2886="",L2886=""),"",IF(L2886="Sim",ROUND(F2886-D2886,2),0)),0)</f>
        <v/>
      </c>
      <c r="I2886" s="350">
        <f>IF(G2886="Sim",0,IF(OR(F2886="",L2886=""),"",F2886))</f>
        <v/>
      </c>
      <c r="J2886" s="350">
        <f>IF(G2886="Sim",0,IF(OR(F2886="",D2886="",L2886=""),"",IF(L2886="Sim",ROUND(F2886-D2886,2),0)))</f>
        <v/>
      </c>
      <c r="K2886" s="97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inlineStr">
        <is>
          <t>Nao</t>
        </is>
      </c>
      <c r="W2886" s="110" t="inlineStr">
        <is>
          <t>PC em analise</t>
        </is>
      </c>
      <c r="X2886" s="110" t="inlineStr">
        <is>
          <t>Pedido de Compra</t>
        </is>
      </c>
      <c r="Y2886" s="111" t="inlineStr">
        <is>
          <t>Impacto Potencial</t>
        </is>
      </c>
      <c r="Z2886" s="111" t="inlineStr">
        <is>
          <t>PC</t>
        </is>
      </c>
      <c r="AA2886" s="111" t="inlineStr">
        <is>
          <t>Nao</t>
        </is>
      </c>
      <c r="AB2886" s="111" t="inlineStr">
        <is>
          <t>NAO_COMPUTADO</t>
        </is>
      </c>
      <c r="AC2886" s="112" t="inlineStr">
        <is>
          <t>Estrutura Fase 1: sem impacto no VTA oficial</t>
        </is>
      </c>
    </row>
    <row r="2887" ht="25.5" customHeight="1" s="289">
      <c r="A2887" s="205" t="n"/>
      <c r="B2887" s="207" t="n"/>
      <c r="C2887" s="104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348" t="n"/>
      <c r="E2887" s="349">
        <f>IF(C2887="","",IFERROR(VLOOKUP(C2887,parametros!$A$11:$E$15,5,0),""))</f>
        <v/>
      </c>
      <c r="F2887" s="335">
        <f>IF(OR(D2887="",E2887=""),"",ROUND(D2887*E2887,2))</f>
        <v/>
      </c>
      <c r="G2887" s="106" t="n"/>
      <c r="H2887" s="350">
        <f>IF(G2887="Sim",IF(OR(F2887="",D2887="",L2887=""),"",IF(L2887="Sim",ROUND(F2887-D2887,2),0)),0)</f>
        <v/>
      </c>
      <c r="I2887" s="350">
        <f>IF(G2887="Sim",0,IF(OR(F2887="",L2887=""),"",F2887))</f>
        <v/>
      </c>
      <c r="J2887" s="350">
        <f>IF(G2887="Sim",0,IF(OR(F2887="",D2887="",L2887=""),"",IF(L2887="Sim",ROUND(F2887-D2887,2),0)))</f>
        <v/>
      </c>
      <c r="K2887" s="97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inlineStr">
        <is>
          <t>Nao</t>
        </is>
      </c>
      <c r="W2887" s="110" t="inlineStr">
        <is>
          <t>PC em analise</t>
        </is>
      </c>
      <c r="X2887" s="110" t="inlineStr">
        <is>
          <t>Pedido de Compra</t>
        </is>
      </c>
      <c r="Y2887" s="111" t="inlineStr">
        <is>
          <t>Impacto Potencial</t>
        </is>
      </c>
      <c r="Z2887" s="111" t="inlineStr">
        <is>
          <t>PC</t>
        </is>
      </c>
      <c r="AA2887" s="111" t="inlineStr">
        <is>
          <t>Nao</t>
        </is>
      </c>
      <c r="AB2887" s="111" t="inlineStr">
        <is>
          <t>NAO_COMPUTADO</t>
        </is>
      </c>
      <c r="AC2887" s="112" t="inlineStr">
        <is>
          <t>Estrutura Fase 1: sem impacto no VTA oficial</t>
        </is>
      </c>
    </row>
    <row r="2888" ht="25.5" customHeight="1" s="289">
      <c r="A2888" s="205" t="n"/>
      <c r="B2888" s="207" t="n"/>
      <c r="C2888" s="104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348" t="n"/>
      <c r="E2888" s="349">
        <f>IF(C2888="","",IFERROR(VLOOKUP(C2888,parametros!$A$11:$E$15,5,0),""))</f>
        <v/>
      </c>
      <c r="F2888" s="335">
        <f>IF(OR(D2888="",E2888=""),"",ROUND(D2888*E2888,2))</f>
        <v/>
      </c>
      <c r="G2888" s="106" t="n"/>
      <c r="H2888" s="350">
        <f>IF(G2888="Sim",IF(OR(F2888="",D2888="",L2888=""),"",IF(L2888="Sim",ROUND(F2888-D2888,2),0)),0)</f>
        <v/>
      </c>
      <c r="I2888" s="350">
        <f>IF(G2888="Sim",0,IF(OR(F2888="",L2888=""),"",F2888))</f>
        <v/>
      </c>
      <c r="J2888" s="350">
        <f>IF(G2888="Sim",0,IF(OR(F2888="",D2888="",L2888=""),"",IF(L2888="Sim",ROUND(F2888-D2888,2),0)))</f>
        <v/>
      </c>
      <c r="K2888" s="97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inlineStr">
        <is>
          <t>Nao</t>
        </is>
      </c>
      <c r="W2888" s="110" t="inlineStr">
        <is>
          <t>PC em analise</t>
        </is>
      </c>
      <c r="X2888" s="110" t="inlineStr">
        <is>
          <t>Pedido de Compra</t>
        </is>
      </c>
      <c r="Y2888" s="111" t="inlineStr">
        <is>
          <t>Impacto Potencial</t>
        </is>
      </c>
      <c r="Z2888" s="111" t="inlineStr">
        <is>
          <t>PC</t>
        </is>
      </c>
      <c r="AA2888" s="111" t="inlineStr">
        <is>
          <t>Nao</t>
        </is>
      </c>
      <c r="AB2888" s="111" t="inlineStr">
        <is>
          <t>NAO_COMPUTADO</t>
        </is>
      </c>
      <c r="AC2888" s="112" t="inlineStr">
        <is>
          <t>Estrutura Fase 1: sem impacto no VTA oficial</t>
        </is>
      </c>
    </row>
    <row r="2889" ht="25.5" customHeight="1" s="289">
      <c r="A2889" s="205" t="n"/>
      <c r="B2889" s="207" t="n"/>
      <c r="C2889" s="104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348" t="n"/>
      <c r="E2889" s="349">
        <f>IF(C2889="","",IFERROR(VLOOKUP(C2889,parametros!$A$11:$E$15,5,0),""))</f>
        <v/>
      </c>
      <c r="F2889" s="335">
        <f>IF(OR(D2889="",E2889=""),"",ROUND(D2889*E2889,2))</f>
        <v/>
      </c>
      <c r="G2889" s="106" t="n"/>
      <c r="H2889" s="350">
        <f>IF(G2889="Sim",IF(OR(F2889="",D2889="",L2889=""),"",IF(L2889="Sim",ROUND(F2889-D2889,2),0)),0)</f>
        <v/>
      </c>
      <c r="I2889" s="350">
        <f>IF(G2889="Sim",0,IF(OR(F2889="",L2889=""),"",F2889))</f>
        <v/>
      </c>
      <c r="J2889" s="350">
        <f>IF(G2889="Sim",0,IF(OR(F2889="",D2889="",L2889=""),"",IF(L2889="Sim",ROUND(F2889-D2889,2),0)))</f>
        <v/>
      </c>
      <c r="K2889" s="97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inlineStr">
        <is>
          <t>Nao</t>
        </is>
      </c>
      <c r="W2889" s="110" t="inlineStr">
        <is>
          <t>PC em analise</t>
        </is>
      </c>
      <c r="X2889" s="110" t="inlineStr">
        <is>
          <t>Pedido de Compra</t>
        </is>
      </c>
      <c r="Y2889" s="111" t="inlineStr">
        <is>
          <t>Impacto Potencial</t>
        </is>
      </c>
      <c r="Z2889" s="111" t="inlineStr">
        <is>
          <t>PC</t>
        </is>
      </c>
      <c r="AA2889" s="111" t="inlineStr">
        <is>
          <t>Nao</t>
        </is>
      </c>
      <c r="AB2889" s="111" t="inlineStr">
        <is>
          <t>NAO_COMPUTADO</t>
        </is>
      </c>
      <c r="AC2889" s="112" t="inlineStr">
        <is>
          <t>Estrutura Fase 1: sem impacto no VTA oficial</t>
        </is>
      </c>
    </row>
    <row r="2890" ht="25.5" customHeight="1" s="289">
      <c r="A2890" s="205" t="n"/>
      <c r="B2890" s="207" t="n"/>
      <c r="C2890" s="104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348" t="n"/>
      <c r="E2890" s="349">
        <f>IF(C2890="","",IFERROR(VLOOKUP(C2890,parametros!$A$11:$E$15,5,0),""))</f>
        <v/>
      </c>
      <c r="F2890" s="335">
        <f>IF(OR(D2890="",E2890=""),"",ROUND(D2890*E2890,2))</f>
        <v/>
      </c>
      <c r="G2890" s="106" t="n"/>
      <c r="H2890" s="350">
        <f>IF(G2890="Sim",IF(OR(F2890="",D2890="",L2890=""),"",IF(L2890="Sim",ROUND(F2890-D2890,2),0)),0)</f>
        <v/>
      </c>
      <c r="I2890" s="350">
        <f>IF(G2890="Sim",0,IF(OR(F2890="",L2890=""),"",F2890))</f>
        <v/>
      </c>
      <c r="J2890" s="350">
        <f>IF(G2890="Sim",0,IF(OR(F2890="",D2890="",L2890=""),"",IF(L2890="Sim",ROUND(F2890-D2890,2),0)))</f>
        <v/>
      </c>
      <c r="K2890" s="97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inlineStr">
        <is>
          <t>Nao</t>
        </is>
      </c>
      <c r="W2890" s="110" t="inlineStr">
        <is>
          <t>PC em analise</t>
        </is>
      </c>
      <c r="X2890" s="110" t="inlineStr">
        <is>
          <t>Pedido de Compra</t>
        </is>
      </c>
      <c r="Y2890" s="111" t="inlineStr">
        <is>
          <t>Impacto Potencial</t>
        </is>
      </c>
      <c r="Z2890" s="111" t="inlineStr">
        <is>
          <t>PC</t>
        </is>
      </c>
      <c r="AA2890" s="111" t="inlineStr">
        <is>
          <t>Nao</t>
        </is>
      </c>
      <c r="AB2890" s="111" t="inlineStr">
        <is>
          <t>NAO_COMPUTADO</t>
        </is>
      </c>
      <c r="AC2890" s="112" t="inlineStr">
        <is>
          <t>Estrutura Fase 1: sem impacto no VTA oficial</t>
        </is>
      </c>
    </row>
    <row r="2891" ht="25.5" customHeight="1" s="289">
      <c r="A2891" s="205" t="n"/>
      <c r="B2891" s="207" t="n"/>
      <c r="C2891" s="104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348" t="n"/>
      <c r="E2891" s="349">
        <f>IF(C2891="","",IFERROR(VLOOKUP(C2891,parametros!$A$11:$E$15,5,0),""))</f>
        <v/>
      </c>
      <c r="F2891" s="335">
        <f>IF(OR(D2891="",E2891=""),"",ROUND(D2891*E2891,2))</f>
        <v/>
      </c>
      <c r="G2891" s="106" t="n"/>
      <c r="H2891" s="350">
        <f>IF(G2891="Sim",IF(OR(F2891="",D2891="",L2891=""),"",IF(L2891="Sim",ROUND(F2891-D2891,2),0)),0)</f>
        <v/>
      </c>
      <c r="I2891" s="350">
        <f>IF(G2891="Sim",0,IF(OR(F2891="",L2891=""),"",F2891))</f>
        <v/>
      </c>
      <c r="J2891" s="350">
        <f>IF(G2891="Sim",0,IF(OR(F2891="",D2891="",L2891=""),"",IF(L2891="Sim",ROUND(F2891-D2891,2),0)))</f>
        <v/>
      </c>
      <c r="K2891" s="97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inlineStr">
        <is>
          <t>Nao</t>
        </is>
      </c>
      <c r="W2891" s="110" t="inlineStr">
        <is>
          <t>PC em analise</t>
        </is>
      </c>
      <c r="X2891" s="110" t="inlineStr">
        <is>
          <t>Pedido de Compra</t>
        </is>
      </c>
      <c r="Y2891" s="111" t="inlineStr">
        <is>
          <t>Impacto Potencial</t>
        </is>
      </c>
      <c r="Z2891" s="111" t="inlineStr">
        <is>
          <t>PC</t>
        </is>
      </c>
      <c r="AA2891" s="111" t="inlineStr">
        <is>
          <t>Nao</t>
        </is>
      </c>
      <c r="AB2891" s="111" t="inlineStr">
        <is>
          <t>NAO_COMPUTADO</t>
        </is>
      </c>
      <c r="AC2891" s="112" t="inlineStr">
        <is>
          <t>Estrutura Fase 1: sem impacto no VTA oficial</t>
        </is>
      </c>
    </row>
    <row r="2892" ht="25.5" customHeight="1" s="289">
      <c r="A2892" s="205" t="n"/>
      <c r="B2892" s="207" t="n"/>
      <c r="C2892" s="104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348" t="n"/>
      <c r="E2892" s="349">
        <f>IF(C2892="","",IFERROR(VLOOKUP(C2892,parametros!$A$11:$E$15,5,0),""))</f>
        <v/>
      </c>
      <c r="F2892" s="335">
        <f>IF(OR(D2892="",E2892=""),"",ROUND(D2892*E2892,2))</f>
        <v/>
      </c>
      <c r="G2892" s="106" t="n"/>
      <c r="H2892" s="350">
        <f>IF(G2892="Sim",IF(OR(F2892="",D2892="",L2892=""),"",IF(L2892="Sim",ROUND(F2892-D2892,2),0)),0)</f>
        <v/>
      </c>
      <c r="I2892" s="350">
        <f>IF(G2892="Sim",0,IF(OR(F2892="",L2892=""),"",F2892))</f>
        <v/>
      </c>
      <c r="J2892" s="350">
        <f>IF(G2892="Sim",0,IF(OR(F2892="",D2892="",L2892=""),"",IF(L2892="Sim",ROUND(F2892-D2892,2),0)))</f>
        <v/>
      </c>
      <c r="K2892" s="97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inlineStr">
        <is>
          <t>Nao</t>
        </is>
      </c>
      <c r="W2892" s="110" t="inlineStr">
        <is>
          <t>PC em analise</t>
        </is>
      </c>
      <c r="X2892" s="110" t="inlineStr">
        <is>
          <t>Pedido de Compra</t>
        </is>
      </c>
      <c r="Y2892" s="111" t="inlineStr">
        <is>
          <t>Impacto Potencial</t>
        </is>
      </c>
      <c r="Z2892" s="111" t="inlineStr">
        <is>
          <t>PC</t>
        </is>
      </c>
      <c r="AA2892" s="111" t="inlineStr">
        <is>
          <t>Nao</t>
        </is>
      </c>
      <c r="AB2892" s="111" t="inlineStr">
        <is>
          <t>NAO_COMPUTADO</t>
        </is>
      </c>
      <c r="AC2892" s="112" t="inlineStr">
        <is>
          <t>Estrutura Fase 1: sem impacto no VTA oficial</t>
        </is>
      </c>
    </row>
    <row r="2893" ht="25.5" customHeight="1" s="289">
      <c r="A2893" s="205" t="n"/>
      <c r="B2893" s="207" t="n"/>
      <c r="C2893" s="104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348" t="n"/>
      <c r="E2893" s="349">
        <f>IF(C2893="","",IFERROR(VLOOKUP(C2893,parametros!$A$11:$E$15,5,0),""))</f>
        <v/>
      </c>
      <c r="F2893" s="335">
        <f>IF(OR(D2893="",E2893=""),"",ROUND(D2893*E2893,2))</f>
        <v/>
      </c>
      <c r="G2893" s="106" t="n"/>
      <c r="H2893" s="350">
        <f>IF(G2893="Sim",IF(OR(F2893="",D2893="",L2893=""),"",IF(L2893="Sim",ROUND(F2893-D2893,2),0)),0)</f>
        <v/>
      </c>
      <c r="I2893" s="350">
        <f>IF(G2893="Sim",0,IF(OR(F2893="",L2893=""),"",F2893))</f>
        <v/>
      </c>
      <c r="J2893" s="350">
        <f>IF(G2893="Sim",0,IF(OR(F2893="",D2893="",L2893=""),"",IF(L2893="Sim",ROUND(F2893-D2893,2),0)))</f>
        <v/>
      </c>
      <c r="K2893" s="97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inlineStr">
        <is>
          <t>Nao</t>
        </is>
      </c>
      <c r="W2893" s="110" t="inlineStr">
        <is>
          <t>PC em analise</t>
        </is>
      </c>
      <c r="X2893" s="110" t="inlineStr">
        <is>
          <t>Pedido de Compra</t>
        </is>
      </c>
      <c r="Y2893" s="111" t="inlineStr">
        <is>
          <t>Impacto Potencial</t>
        </is>
      </c>
      <c r="Z2893" s="111" t="inlineStr">
        <is>
          <t>PC</t>
        </is>
      </c>
      <c r="AA2893" s="111" t="inlineStr">
        <is>
          <t>Nao</t>
        </is>
      </c>
      <c r="AB2893" s="111" t="inlineStr">
        <is>
          <t>NAO_COMPUTADO</t>
        </is>
      </c>
      <c r="AC2893" s="112" t="inlineStr">
        <is>
          <t>Estrutura Fase 1: sem impacto no VTA oficial</t>
        </is>
      </c>
    </row>
    <row r="2894" ht="25.5" customHeight="1" s="289">
      <c r="A2894" s="205" t="n"/>
      <c r="B2894" s="207" t="n"/>
      <c r="C2894" s="104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348" t="n"/>
      <c r="E2894" s="349">
        <f>IF(C2894="","",IFERROR(VLOOKUP(C2894,parametros!$A$11:$E$15,5,0),""))</f>
        <v/>
      </c>
      <c r="F2894" s="335">
        <f>IF(OR(D2894="",E2894=""),"",ROUND(D2894*E2894,2))</f>
        <v/>
      </c>
      <c r="G2894" s="106" t="n"/>
      <c r="H2894" s="350">
        <f>IF(G2894="Sim",IF(OR(F2894="",D2894="",L2894=""),"",IF(L2894="Sim",ROUND(F2894-D2894,2),0)),0)</f>
        <v/>
      </c>
      <c r="I2894" s="350">
        <f>IF(G2894="Sim",0,IF(OR(F2894="",L2894=""),"",F2894))</f>
        <v/>
      </c>
      <c r="J2894" s="350">
        <f>IF(G2894="Sim",0,IF(OR(F2894="",D2894="",L2894=""),"",IF(L2894="Sim",ROUND(F2894-D2894,2),0)))</f>
        <v/>
      </c>
      <c r="K2894" s="97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inlineStr">
        <is>
          <t>Nao</t>
        </is>
      </c>
      <c r="W2894" s="110" t="inlineStr">
        <is>
          <t>PC em analise</t>
        </is>
      </c>
      <c r="X2894" s="110" t="inlineStr">
        <is>
          <t>Pedido de Compra</t>
        </is>
      </c>
      <c r="Y2894" s="111" t="inlineStr">
        <is>
          <t>Impacto Potencial</t>
        </is>
      </c>
      <c r="Z2894" s="111" t="inlineStr">
        <is>
          <t>PC</t>
        </is>
      </c>
      <c r="AA2894" s="111" t="inlineStr">
        <is>
          <t>Nao</t>
        </is>
      </c>
      <c r="AB2894" s="111" t="inlineStr">
        <is>
          <t>NAO_COMPUTADO</t>
        </is>
      </c>
      <c r="AC2894" s="112" t="inlineStr">
        <is>
          <t>Estrutura Fase 1: sem impacto no VTA oficial</t>
        </is>
      </c>
    </row>
    <row r="2895" ht="25.5" customHeight="1" s="289">
      <c r="A2895" s="205" t="n"/>
      <c r="B2895" s="207" t="n"/>
      <c r="C2895" s="104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348" t="n"/>
      <c r="E2895" s="349">
        <f>IF(C2895="","",IFERROR(VLOOKUP(C2895,parametros!$A$11:$E$15,5,0),""))</f>
        <v/>
      </c>
      <c r="F2895" s="335">
        <f>IF(OR(D2895="",E2895=""),"",ROUND(D2895*E2895,2))</f>
        <v/>
      </c>
      <c r="G2895" s="106" t="n"/>
      <c r="H2895" s="350">
        <f>IF(G2895="Sim",IF(OR(F2895="",D2895="",L2895=""),"",IF(L2895="Sim",ROUND(F2895-D2895,2),0)),0)</f>
        <v/>
      </c>
      <c r="I2895" s="350">
        <f>IF(G2895="Sim",0,IF(OR(F2895="",L2895=""),"",F2895))</f>
        <v/>
      </c>
      <c r="J2895" s="350">
        <f>IF(G2895="Sim",0,IF(OR(F2895="",D2895="",L2895=""),"",IF(L2895="Sim",ROUND(F2895-D2895,2),0)))</f>
        <v/>
      </c>
      <c r="K2895" s="97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inlineStr">
        <is>
          <t>Nao</t>
        </is>
      </c>
      <c r="W2895" s="110" t="inlineStr">
        <is>
          <t>PC em analise</t>
        </is>
      </c>
      <c r="X2895" s="110" t="inlineStr">
        <is>
          <t>Pedido de Compra</t>
        </is>
      </c>
      <c r="Y2895" s="111" t="inlineStr">
        <is>
          <t>Impacto Potencial</t>
        </is>
      </c>
      <c r="Z2895" s="111" t="inlineStr">
        <is>
          <t>PC</t>
        </is>
      </c>
      <c r="AA2895" s="111" t="inlineStr">
        <is>
          <t>Nao</t>
        </is>
      </c>
      <c r="AB2895" s="111" t="inlineStr">
        <is>
          <t>NAO_COMPUTADO</t>
        </is>
      </c>
      <c r="AC2895" s="112" t="inlineStr">
        <is>
          <t>Estrutura Fase 1: sem impacto no VTA oficial</t>
        </is>
      </c>
    </row>
    <row r="2896" ht="25.5" customHeight="1" s="289">
      <c r="A2896" s="205" t="n"/>
      <c r="B2896" s="207" t="n"/>
      <c r="C2896" s="104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348" t="n"/>
      <c r="E2896" s="349">
        <f>IF(C2896="","",IFERROR(VLOOKUP(C2896,parametros!$A$11:$E$15,5,0),""))</f>
        <v/>
      </c>
      <c r="F2896" s="335">
        <f>IF(OR(D2896="",E2896=""),"",ROUND(D2896*E2896,2))</f>
        <v/>
      </c>
      <c r="G2896" s="106" t="n"/>
      <c r="H2896" s="350">
        <f>IF(G2896="Sim",IF(OR(F2896="",D2896="",L2896=""),"",IF(L2896="Sim",ROUND(F2896-D2896,2),0)),0)</f>
        <v/>
      </c>
      <c r="I2896" s="350">
        <f>IF(G2896="Sim",0,IF(OR(F2896="",L2896=""),"",F2896))</f>
        <v/>
      </c>
      <c r="J2896" s="350">
        <f>IF(G2896="Sim",0,IF(OR(F2896="",D2896="",L2896=""),"",IF(L2896="Sim",ROUND(F2896-D2896,2),0)))</f>
        <v/>
      </c>
      <c r="K2896" s="97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inlineStr">
        <is>
          <t>Nao</t>
        </is>
      </c>
      <c r="W2896" s="110" t="inlineStr">
        <is>
          <t>PC em analise</t>
        </is>
      </c>
      <c r="X2896" s="110" t="inlineStr">
        <is>
          <t>Pedido de Compra</t>
        </is>
      </c>
      <c r="Y2896" s="111" t="inlineStr">
        <is>
          <t>Impacto Potencial</t>
        </is>
      </c>
      <c r="Z2896" s="111" t="inlineStr">
        <is>
          <t>PC</t>
        </is>
      </c>
      <c r="AA2896" s="111" t="inlineStr">
        <is>
          <t>Nao</t>
        </is>
      </c>
      <c r="AB2896" s="111" t="inlineStr">
        <is>
          <t>NAO_COMPUTADO</t>
        </is>
      </c>
      <c r="AC2896" s="112" t="inlineStr">
        <is>
          <t>Estrutura Fase 1: sem impacto no VTA oficial</t>
        </is>
      </c>
    </row>
    <row r="2897" ht="25.5" customHeight="1" s="289">
      <c r="A2897" s="205" t="n"/>
      <c r="B2897" s="207" t="n"/>
      <c r="C2897" s="104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348" t="n"/>
      <c r="E2897" s="349">
        <f>IF(C2897="","",IFERROR(VLOOKUP(C2897,parametros!$A$11:$E$15,5,0),""))</f>
        <v/>
      </c>
      <c r="F2897" s="335">
        <f>IF(OR(D2897="",E2897=""),"",ROUND(D2897*E2897,2))</f>
        <v/>
      </c>
      <c r="G2897" s="106" t="n"/>
      <c r="H2897" s="350">
        <f>IF(G2897="Sim",IF(OR(F2897="",D2897="",L2897=""),"",IF(L2897="Sim",ROUND(F2897-D2897,2),0)),0)</f>
        <v/>
      </c>
      <c r="I2897" s="350">
        <f>IF(G2897="Sim",0,IF(OR(F2897="",L2897=""),"",F2897))</f>
        <v/>
      </c>
      <c r="J2897" s="350">
        <f>IF(G2897="Sim",0,IF(OR(F2897="",D2897="",L2897=""),"",IF(L2897="Sim",ROUND(F2897-D2897,2),0)))</f>
        <v/>
      </c>
      <c r="K2897" s="97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inlineStr">
        <is>
          <t>Nao</t>
        </is>
      </c>
      <c r="W2897" s="110" t="inlineStr">
        <is>
          <t>PC em analise</t>
        </is>
      </c>
      <c r="X2897" s="110" t="inlineStr">
        <is>
          <t>Pedido de Compra</t>
        </is>
      </c>
      <c r="Y2897" s="111" t="inlineStr">
        <is>
          <t>Impacto Potencial</t>
        </is>
      </c>
      <c r="Z2897" s="111" t="inlineStr">
        <is>
          <t>PC</t>
        </is>
      </c>
      <c r="AA2897" s="111" t="inlineStr">
        <is>
          <t>Nao</t>
        </is>
      </c>
      <c r="AB2897" s="111" t="inlineStr">
        <is>
          <t>NAO_COMPUTADO</t>
        </is>
      </c>
      <c r="AC2897" s="112" t="inlineStr">
        <is>
          <t>Estrutura Fase 1: sem impacto no VTA oficial</t>
        </is>
      </c>
    </row>
    <row r="2898" ht="25.5" customHeight="1" s="289">
      <c r="A2898" s="205" t="n"/>
      <c r="B2898" s="207" t="n"/>
      <c r="C2898" s="104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348" t="n"/>
      <c r="E2898" s="349">
        <f>IF(C2898="","",IFERROR(VLOOKUP(C2898,parametros!$A$11:$E$15,5,0),""))</f>
        <v/>
      </c>
      <c r="F2898" s="335">
        <f>IF(OR(D2898="",E2898=""),"",ROUND(D2898*E2898,2))</f>
        <v/>
      </c>
      <c r="G2898" s="106" t="n"/>
      <c r="H2898" s="350">
        <f>IF(G2898="Sim",IF(OR(F2898="",D2898="",L2898=""),"",IF(L2898="Sim",ROUND(F2898-D2898,2),0)),0)</f>
        <v/>
      </c>
      <c r="I2898" s="350">
        <f>IF(G2898="Sim",0,IF(OR(F2898="",L2898=""),"",F2898))</f>
        <v/>
      </c>
      <c r="J2898" s="350">
        <f>IF(G2898="Sim",0,IF(OR(F2898="",D2898="",L2898=""),"",IF(L2898="Sim",ROUND(F2898-D2898,2),0)))</f>
        <v/>
      </c>
      <c r="K2898" s="97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inlineStr">
        <is>
          <t>Nao</t>
        </is>
      </c>
      <c r="W2898" s="110" t="inlineStr">
        <is>
          <t>PC em analise</t>
        </is>
      </c>
      <c r="X2898" s="110" t="inlineStr">
        <is>
          <t>Pedido de Compra</t>
        </is>
      </c>
      <c r="Y2898" s="111" t="inlineStr">
        <is>
          <t>Impacto Potencial</t>
        </is>
      </c>
      <c r="Z2898" s="111" t="inlineStr">
        <is>
          <t>PC</t>
        </is>
      </c>
      <c r="AA2898" s="111" t="inlineStr">
        <is>
          <t>Nao</t>
        </is>
      </c>
      <c r="AB2898" s="111" t="inlineStr">
        <is>
          <t>NAO_COMPUTADO</t>
        </is>
      </c>
      <c r="AC2898" s="112" t="inlineStr">
        <is>
          <t>Estrutura Fase 1: sem impacto no VTA oficial</t>
        </is>
      </c>
    </row>
    <row r="2899" ht="25.5" customHeight="1" s="289">
      <c r="A2899" s="205" t="n"/>
      <c r="B2899" s="207" t="n"/>
      <c r="C2899" s="104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348" t="n"/>
      <c r="E2899" s="349">
        <f>IF(C2899="","",IFERROR(VLOOKUP(C2899,parametros!$A$11:$E$15,5,0),""))</f>
        <v/>
      </c>
      <c r="F2899" s="335">
        <f>IF(OR(D2899="",E2899=""),"",ROUND(D2899*E2899,2))</f>
        <v/>
      </c>
      <c r="G2899" s="106" t="n"/>
      <c r="H2899" s="350">
        <f>IF(G2899="Sim",IF(OR(F2899="",D2899="",L2899=""),"",IF(L2899="Sim",ROUND(F2899-D2899,2),0)),0)</f>
        <v/>
      </c>
      <c r="I2899" s="350">
        <f>IF(G2899="Sim",0,IF(OR(F2899="",L2899=""),"",F2899))</f>
        <v/>
      </c>
      <c r="J2899" s="350">
        <f>IF(G2899="Sim",0,IF(OR(F2899="",D2899="",L2899=""),"",IF(L2899="Sim",ROUND(F2899-D2899,2),0)))</f>
        <v/>
      </c>
      <c r="K2899" s="97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inlineStr">
        <is>
          <t>Nao</t>
        </is>
      </c>
      <c r="W2899" s="110" t="inlineStr">
        <is>
          <t>PC em analise</t>
        </is>
      </c>
      <c r="X2899" s="110" t="inlineStr">
        <is>
          <t>Pedido de Compra</t>
        </is>
      </c>
      <c r="Y2899" s="111" t="inlineStr">
        <is>
          <t>Impacto Potencial</t>
        </is>
      </c>
      <c r="Z2899" s="111" t="inlineStr">
        <is>
          <t>PC</t>
        </is>
      </c>
      <c r="AA2899" s="111" t="inlineStr">
        <is>
          <t>Nao</t>
        </is>
      </c>
      <c r="AB2899" s="111" t="inlineStr">
        <is>
          <t>NAO_COMPUTADO</t>
        </is>
      </c>
      <c r="AC2899" s="112" t="inlineStr">
        <is>
          <t>Estrutura Fase 1: sem impacto no VTA oficial</t>
        </is>
      </c>
    </row>
    <row r="2900" ht="25.5" customHeight="1" s="289">
      <c r="A2900" s="205" t="n"/>
      <c r="B2900" s="207" t="n"/>
      <c r="C2900" s="104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348" t="n"/>
      <c r="E2900" s="349">
        <f>IF(C2900="","",IFERROR(VLOOKUP(C2900,parametros!$A$11:$E$15,5,0),""))</f>
        <v/>
      </c>
      <c r="F2900" s="335">
        <f>IF(OR(D2900="",E2900=""),"",ROUND(D2900*E2900,2))</f>
        <v/>
      </c>
      <c r="G2900" s="106" t="n"/>
      <c r="H2900" s="350">
        <f>IF(G2900="Sim",IF(OR(F2900="",D2900="",L2900=""),"",IF(L2900="Sim",ROUND(F2900-D2900,2),0)),0)</f>
        <v/>
      </c>
      <c r="I2900" s="350">
        <f>IF(G2900="Sim",0,IF(OR(F2900="",L2900=""),"",F2900))</f>
        <v/>
      </c>
      <c r="J2900" s="350">
        <f>IF(G2900="Sim",0,IF(OR(F2900="",D2900="",L2900=""),"",IF(L2900="Sim",ROUND(F2900-D2900,2),0)))</f>
        <v/>
      </c>
      <c r="K2900" s="97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inlineStr">
        <is>
          <t>Nao</t>
        </is>
      </c>
      <c r="W2900" s="110" t="inlineStr">
        <is>
          <t>PC em analise</t>
        </is>
      </c>
      <c r="X2900" s="110" t="inlineStr">
        <is>
          <t>Pedido de Compra</t>
        </is>
      </c>
      <c r="Y2900" s="111" t="inlineStr">
        <is>
          <t>Impacto Potencial</t>
        </is>
      </c>
      <c r="Z2900" s="111" t="inlineStr">
        <is>
          <t>PC</t>
        </is>
      </c>
      <c r="AA2900" s="111" t="inlineStr">
        <is>
          <t>Nao</t>
        </is>
      </c>
      <c r="AB2900" s="111" t="inlineStr">
        <is>
          <t>NAO_COMPUTADO</t>
        </is>
      </c>
      <c r="AC2900" s="112" t="inlineStr">
        <is>
          <t>Estrutura Fase 1: sem impacto no VTA oficial</t>
        </is>
      </c>
    </row>
    <row r="2901" ht="25.5" customHeight="1" s="289">
      <c r="A2901" s="205" t="n"/>
      <c r="B2901" s="207" t="n"/>
      <c r="C2901" s="104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348" t="n"/>
      <c r="E2901" s="349">
        <f>IF(C2901="","",IFERROR(VLOOKUP(C2901,parametros!$A$11:$E$15,5,0),""))</f>
        <v/>
      </c>
      <c r="F2901" s="335">
        <f>IF(OR(D2901="",E2901=""),"",ROUND(D2901*E2901,2))</f>
        <v/>
      </c>
      <c r="G2901" s="106" t="n"/>
      <c r="H2901" s="350">
        <f>IF(G2901="Sim",IF(OR(F2901="",D2901="",L2901=""),"",IF(L2901="Sim",ROUND(F2901-D2901,2),0)),0)</f>
        <v/>
      </c>
      <c r="I2901" s="350">
        <f>IF(G2901="Sim",0,IF(OR(F2901="",L2901=""),"",F2901))</f>
        <v/>
      </c>
      <c r="J2901" s="350">
        <f>IF(G2901="Sim",0,IF(OR(F2901="",D2901="",L2901=""),"",IF(L2901="Sim",ROUND(F2901-D2901,2),0)))</f>
        <v/>
      </c>
      <c r="K2901" s="97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inlineStr">
        <is>
          <t>Nao</t>
        </is>
      </c>
      <c r="W2901" s="110" t="inlineStr">
        <is>
          <t>PC em analise</t>
        </is>
      </c>
      <c r="X2901" s="110" t="inlineStr">
        <is>
          <t>Pedido de Compra</t>
        </is>
      </c>
      <c r="Y2901" s="111" t="inlineStr">
        <is>
          <t>Impacto Potencial</t>
        </is>
      </c>
      <c r="Z2901" s="111" t="inlineStr">
        <is>
          <t>PC</t>
        </is>
      </c>
      <c r="AA2901" s="111" t="inlineStr">
        <is>
          <t>Nao</t>
        </is>
      </c>
      <c r="AB2901" s="111" t="inlineStr">
        <is>
          <t>NAO_COMPUTADO</t>
        </is>
      </c>
      <c r="AC2901" s="112" t="inlineStr">
        <is>
          <t>Estrutura Fase 1: sem impacto no VTA oficial</t>
        </is>
      </c>
    </row>
    <row r="2902" ht="25.5" customHeight="1" s="289">
      <c r="A2902" s="205" t="n"/>
      <c r="B2902" s="207" t="n"/>
      <c r="C2902" s="104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348" t="n"/>
      <c r="E2902" s="349">
        <f>IF(C2902="","",IFERROR(VLOOKUP(C2902,parametros!$A$11:$E$15,5,0),""))</f>
        <v/>
      </c>
      <c r="F2902" s="335">
        <f>IF(OR(D2902="",E2902=""),"",ROUND(D2902*E2902,2))</f>
        <v/>
      </c>
      <c r="G2902" s="106" t="n"/>
      <c r="H2902" s="350">
        <f>IF(G2902="Sim",IF(OR(F2902="",D2902="",L2902=""),"",IF(L2902="Sim",ROUND(F2902-D2902,2),0)),0)</f>
        <v/>
      </c>
      <c r="I2902" s="350">
        <f>IF(G2902="Sim",0,IF(OR(F2902="",L2902=""),"",F2902))</f>
        <v/>
      </c>
      <c r="J2902" s="350">
        <f>IF(G2902="Sim",0,IF(OR(F2902="",D2902="",L2902=""),"",IF(L2902="Sim",ROUND(F2902-D2902,2),0)))</f>
        <v/>
      </c>
      <c r="K2902" s="97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inlineStr">
        <is>
          <t>Nao</t>
        </is>
      </c>
      <c r="W2902" s="110" t="inlineStr">
        <is>
          <t>PC em analise</t>
        </is>
      </c>
      <c r="X2902" s="110" t="inlineStr">
        <is>
          <t>Pedido de Compra</t>
        </is>
      </c>
      <c r="Y2902" s="111" t="inlineStr">
        <is>
          <t>Impacto Potencial</t>
        </is>
      </c>
      <c r="Z2902" s="111" t="inlineStr">
        <is>
          <t>PC</t>
        </is>
      </c>
      <c r="AA2902" s="111" t="inlineStr">
        <is>
          <t>Nao</t>
        </is>
      </c>
      <c r="AB2902" s="111" t="inlineStr">
        <is>
          <t>NAO_COMPUTADO</t>
        </is>
      </c>
      <c r="AC2902" s="112" t="inlineStr">
        <is>
          <t>Estrutura Fase 1: sem impacto no VTA oficial</t>
        </is>
      </c>
    </row>
    <row r="2903" ht="25.5" customHeight="1" s="289">
      <c r="A2903" s="205" t="n"/>
      <c r="B2903" s="207" t="n"/>
      <c r="C2903" s="104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348" t="n"/>
      <c r="E2903" s="349">
        <f>IF(C2903="","",IFERROR(VLOOKUP(C2903,parametros!$A$11:$E$15,5,0),""))</f>
        <v/>
      </c>
      <c r="F2903" s="335">
        <f>IF(OR(D2903="",E2903=""),"",ROUND(D2903*E2903,2))</f>
        <v/>
      </c>
      <c r="G2903" s="106" t="n"/>
      <c r="H2903" s="350">
        <f>IF(G2903="Sim",IF(OR(F2903="",D2903="",L2903=""),"",IF(L2903="Sim",ROUND(F2903-D2903,2),0)),0)</f>
        <v/>
      </c>
      <c r="I2903" s="350">
        <f>IF(G2903="Sim",0,IF(OR(F2903="",L2903=""),"",F2903))</f>
        <v/>
      </c>
      <c r="J2903" s="350">
        <f>IF(G2903="Sim",0,IF(OR(F2903="",D2903="",L2903=""),"",IF(L2903="Sim",ROUND(F2903-D2903,2),0)))</f>
        <v/>
      </c>
      <c r="K2903" s="97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inlineStr">
        <is>
          <t>Nao</t>
        </is>
      </c>
      <c r="W2903" s="110" t="inlineStr">
        <is>
          <t>PC em analise</t>
        </is>
      </c>
      <c r="X2903" s="110" t="inlineStr">
        <is>
          <t>Pedido de Compra</t>
        </is>
      </c>
      <c r="Y2903" s="111" t="inlineStr">
        <is>
          <t>Impacto Potencial</t>
        </is>
      </c>
      <c r="Z2903" s="111" t="inlineStr">
        <is>
          <t>PC</t>
        </is>
      </c>
      <c r="AA2903" s="111" t="inlineStr">
        <is>
          <t>Nao</t>
        </is>
      </c>
      <c r="AB2903" s="111" t="inlineStr">
        <is>
          <t>NAO_COMPUTADO</t>
        </is>
      </c>
      <c r="AC2903" s="112" t="inlineStr">
        <is>
          <t>Estrutura Fase 1: sem impacto no VTA oficial</t>
        </is>
      </c>
    </row>
    <row r="2904" ht="25.5" customHeight="1" s="289">
      <c r="A2904" s="205" t="n"/>
      <c r="B2904" s="207" t="n"/>
      <c r="C2904" s="104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348" t="n"/>
      <c r="E2904" s="349">
        <f>IF(C2904="","",IFERROR(VLOOKUP(C2904,parametros!$A$11:$E$15,5,0),""))</f>
        <v/>
      </c>
      <c r="F2904" s="335">
        <f>IF(OR(D2904="",E2904=""),"",ROUND(D2904*E2904,2))</f>
        <v/>
      </c>
      <c r="G2904" s="106" t="n"/>
      <c r="H2904" s="350">
        <f>IF(G2904="Sim",IF(OR(F2904="",D2904="",L2904=""),"",IF(L2904="Sim",ROUND(F2904-D2904,2),0)),0)</f>
        <v/>
      </c>
      <c r="I2904" s="350">
        <f>IF(G2904="Sim",0,IF(OR(F2904="",L2904=""),"",F2904))</f>
        <v/>
      </c>
      <c r="J2904" s="350">
        <f>IF(G2904="Sim",0,IF(OR(F2904="",D2904="",L2904=""),"",IF(L2904="Sim",ROUND(F2904-D2904,2),0)))</f>
        <v/>
      </c>
      <c r="K2904" s="97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inlineStr">
        <is>
          <t>Nao</t>
        </is>
      </c>
      <c r="W2904" s="110" t="inlineStr">
        <is>
          <t>PC em analise</t>
        </is>
      </c>
      <c r="X2904" s="110" t="inlineStr">
        <is>
          <t>Pedido de Compra</t>
        </is>
      </c>
      <c r="Y2904" s="111" t="inlineStr">
        <is>
          <t>Impacto Potencial</t>
        </is>
      </c>
      <c r="Z2904" s="111" t="inlineStr">
        <is>
          <t>PC</t>
        </is>
      </c>
      <c r="AA2904" s="111" t="inlineStr">
        <is>
          <t>Nao</t>
        </is>
      </c>
      <c r="AB2904" s="111" t="inlineStr">
        <is>
          <t>NAO_COMPUTADO</t>
        </is>
      </c>
      <c r="AC2904" s="112" t="inlineStr">
        <is>
          <t>Estrutura Fase 1: sem impacto no VTA oficial</t>
        </is>
      </c>
    </row>
    <row r="2905" ht="25.5" customHeight="1" s="289">
      <c r="A2905" s="205" t="n"/>
      <c r="B2905" s="207" t="n"/>
      <c r="C2905" s="104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348" t="n"/>
      <c r="E2905" s="349">
        <f>IF(C2905="","",IFERROR(VLOOKUP(C2905,parametros!$A$11:$E$15,5,0),""))</f>
        <v/>
      </c>
      <c r="F2905" s="335">
        <f>IF(OR(D2905="",E2905=""),"",ROUND(D2905*E2905,2))</f>
        <v/>
      </c>
      <c r="G2905" s="106" t="n"/>
      <c r="H2905" s="350">
        <f>IF(G2905="Sim",IF(OR(F2905="",D2905="",L2905=""),"",IF(L2905="Sim",ROUND(F2905-D2905,2),0)),0)</f>
        <v/>
      </c>
      <c r="I2905" s="350">
        <f>IF(G2905="Sim",0,IF(OR(F2905="",L2905=""),"",F2905))</f>
        <v/>
      </c>
      <c r="J2905" s="350">
        <f>IF(G2905="Sim",0,IF(OR(F2905="",D2905="",L2905=""),"",IF(L2905="Sim",ROUND(F2905-D2905,2),0)))</f>
        <v/>
      </c>
      <c r="K2905" s="97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inlineStr">
        <is>
          <t>Nao</t>
        </is>
      </c>
      <c r="W2905" s="110" t="inlineStr">
        <is>
          <t>PC em analise</t>
        </is>
      </c>
      <c r="X2905" s="110" t="inlineStr">
        <is>
          <t>Pedido de Compra</t>
        </is>
      </c>
      <c r="Y2905" s="111" t="inlineStr">
        <is>
          <t>Impacto Potencial</t>
        </is>
      </c>
      <c r="Z2905" s="111" t="inlineStr">
        <is>
          <t>PC</t>
        </is>
      </c>
      <c r="AA2905" s="111" t="inlineStr">
        <is>
          <t>Nao</t>
        </is>
      </c>
      <c r="AB2905" s="111" t="inlineStr">
        <is>
          <t>NAO_COMPUTADO</t>
        </is>
      </c>
      <c r="AC2905" s="112" t="inlineStr">
        <is>
          <t>Estrutura Fase 1: sem impacto no VTA oficial</t>
        </is>
      </c>
    </row>
    <row r="2906" ht="25.5" customHeight="1" s="289">
      <c r="A2906" s="205" t="n"/>
      <c r="B2906" s="207" t="n"/>
      <c r="C2906" s="104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348" t="n"/>
      <c r="E2906" s="349">
        <f>IF(C2906="","",IFERROR(VLOOKUP(C2906,parametros!$A$11:$E$15,5,0),""))</f>
        <v/>
      </c>
      <c r="F2906" s="335">
        <f>IF(OR(D2906="",E2906=""),"",ROUND(D2906*E2906,2))</f>
        <v/>
      </c>
      <c r="G2906" s="106" t="n"/>
      <c r="H2906" s="350">
        <f>IF(G2906="Sim",IF(OR(F2906="",D2906="",L2906=""),"",IF(L2906="Sim",ROUND(F2906-D2906,2),0)),0)</f>
        <v/>
      </c>
      <c r="I2906" s="350">
        <f>IF(G2906="Sim",0,IF(OR(F2906="",L2906=""),"",F2906))</f>
        <v/>
      </c>
      <c r="J2906" s="350">
        <f>IF(G2906="Sim",0,IF(OR(F2906="",D2906="",L2906=""),"",IF(L2906="Sim",ROUND(F2906-D2906,2),0)))</f>
        <v/>
      </c>
      <c r="K2906" s="97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inlineStr">
        <is>
          <t>Nao</t>
        </is>
      </c>
      <c r="W2906" s="110" t="inlineStr">
        <is>
          <t>PC em analise</t>
        </is>
      </c>
      <c r="X2906" s="110" t="inlineStr">
        <is>
          <t>Pedido de Compra</t>
        </is>
      </c>
      <c r="Y2906" s="111" t="inlineStr">
        <is>
          <t>Impacto Potencial</t>
        </is>
      </c>
      <c r="Z2906" s="111" t="inlineStr">
        <is>
          <t>PC</t>
        </is>
      </c>
      <c r="AA2906" s="111" t="inlineStr">
        <is>
          <t>Nao</t>
        </is>
      </c>
      <c r="AB2906" s="111" t="inlineStr">
        <is>
          <t>NAO_COMPUTADO</t>
        </is>
      </c>
      <c r="AC2906" s="112" t="inlineStr">
        <is>
          <t>Estrutura Fase 1: sem impacto no VTA oficial</t>
        </is>
      </c>
    </row>
    <row r="2907" ht="25.5" customHeight="1" s="289">
      <c r="A2907" s="205" t="n"/>
      <c r="B2907" s="207" t="n"/>
      <c r="C2907" s="104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348" t="n"/>
      <c r="E2907" s="349">
        <f>IF(C2907="","",IFERROR(VLOOKUP(C2907,parametros!$A$11:$E$15,5,0),""))</f>
        <v/>
      </c>
      <c r="F2907" s="335">
        <f>IF(OR(D2907="",E2907=""),"",ROUND(D2907*E2907,2))</f>
        <v/>
      </c>
      <c r="G2907" s="106" t="n"/>
      <c r="H2907" s="350">
        <f>IF(G2907="Sim",IF(OR(F2907="",D2907="",L2907=""),"",IF(L2907="Sim",ROUND(F2907-D2907,2),0)),0)</f>
        <v/>
      </c>
      <c r="I2907" s="350">
        <f>IF(G2907="Sim",0,IF(OR(F2907="",L2907=""),"",F2907))</f>
        <v/>
      </c>
      <c r="J2907" s="350">
        <f>IF(G2907="Sim",0,IF(OR(F2907="",D2907="",L2907=""),"",IF(L2907="Sim",ROUND(F2907-D2907,2),0)))</f>
        <v/>
      </c>
      <c r="K2907" s="97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inlineStr">
        <is>
          <t>Nao</t>
        </is>
      </c>
      <c r="W2907" s="110" t="inlineStr">
        <is>
          <t>PC em analise</t>
        </is>
      </c>
      <c r="X2907" s="110" t="inlineStr">
        <is>
          <t>Pedido de Compra</t>
        </is>
      </c>
      <c r="Y2907" s="111" t="inlineStr">
        <is>
          <t>Impacto Potencial</t>
        </is>
      </c>
      <c r="Z2907" s="111" t="inlineStr">
        <is>
          <t>PC</t>
        </is>
      </c>
      <c r="AA2907" s="111" t="inlineStr">
        <is>
          <t>Nao</t>
        </is>
      </c>
      <c r="AB2907" s="111" t="inlineStr">
        <is>
          <t>NAO_COMPUTADO</t>
        </is>
      </c>
      <c r="AC2907" s="112" t="inlineStr">
        <is>
          <t>Estrutura Fase 1: sem impacto no VTA oficial</t>
        </is>
      </c>
    </row>
    <row r="2908" ht="25.5" customHeight="1" s="289">
      <c r="A2908" s="205" t="n"/>
      <c r="B2908" s="207" t="n"/>
      <c r="C2908" s="104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348" t="n"/>
      <c r="E2908" s="349">
        <f>IF(C2908="","",IFERROR(VLOOKUP(C2908,parametros!$A$11:$E$15,5,0),""))</f>
        <v/>
      </c>
      <c r="F2908" s="335">
        <f>IF(OR(D2908="",E2908=""),"",ROUND(D2908*E2908,2))</f>
        <v/>
      </c>
      <c r="G2908" s="106" t="n"/>
      <c r="H2908" s="350">
        <f>IF(G2908="Sim",IF(OR(F2908="",D2908="",L2908=""),"",IF(L2908="Sim",ROUND(F2908-D2908,2),0)),0)</f>
        <v/>
      </c>
      <c r="I2908" s="350">
        <f>IF(G2908="Sim",0,IF(OR(F2908="",L2908=""),"",F2908))</f>
        <v/>
      </c>
      <c r="J2908" s="350">
        <f>IF(G2908="Sim",0,IF(OR(F2908="",D2908="",L2908=""),"",IF(L2908="Sim",ROUND(F2908-D2908,2),0)))</f>
        <v/>
      </c>
      <c r="K2908" s="97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inlineStr">
        <is>
          <t>Nao</t>
        </is>
      </c>
      <c r="W2908" s="110" t="inlineStr">
        <is>
          <t>PC em analise</t>
        </is>
      </c>
      <c r="X2908" s="110" t="inlineStr">
        <is>
          <t>Pedido de Compra</t>
        </is>
      </c>
      <c r="Y2908" s="111" t="inlineStr">
        <is>
          <t>Impacto Potencial</t>
        </is>
      </c>
      <c r="Z2908" s="111" t="inlineStr">
        <is>
          <t>PC</t>
        </is>
      </c>
      <c r="AA2908" s="111" t="inlineStr">
        <is>
          <t>Nao</t>
        </is>
      </c>
      <c r="AB2908" s="111" t="inlineStr">
        <is>
          <t>NAO_COMPUTADO</t>
        </is>
      </c>
      <c r="AC2908" s="112" t="inlineStr">
        <is>
          <t>Estrutura Fase 1: sem impacto no VTA oficial</t>
        </is>
      </c>
    </row>
    <row r="2909" ht="25.5" customHeight="1" s="289">
      <c r="A2909" s="205" t="n"/>
      <c r="B2909" s="207" t="n"/>
      <c r="C2909" s="104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348" t="n"/>
      <c r="E2909" s="349">
        <f>IF(C2909="","",IFERROR(VLOOKUP(C2909,parametros!$A$11:$E$15,5,0),""))</f>
        <v/>
      </c>
      <c r="F2909" s="335">
        <f>IF(OR(D2909="",E2909=""),"",ROUND(D2909*E2909,2))</f>
        <v/>
      </c>
      <c r="G2909" s="106" t="n"/>
      <c r="H2909" s="350">
        <f>IF(G2909="Sim",IF(OR(F2909="",D2909="",L2909=""),"",IF(L2909="Sim",ROUND(F2909-D2909,2),0)),0)</f>
        <v/>
      </c>
      <c r="I2909" s="350">
        <f>IF(G2909="Sim",0,IF(OR(F2909="",L2909=""),"",F2909))</f>
        <v/>
      </c>
      <c r="J2909" s="350">
        <f>IF(G2909="Sim",0,IF(OR(F2909="",D2909="",L2909=""),"",IF(L2909="Sim",ROUND(F2909-D2909,2),0)))</f>
        <v/>
      </c>
      <c r="K2909" s="97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inlineStr">
        <is>
          <t>Nao</t>
        </is>
      </c>
      <c r="W2909" s="110" t="inlineStr">
        <is>
          <t>PC em analise</t>
        </is>
      </c>
      <c r="X2909" s="110" t="inlineStr">
        <is>
          <t>Pedido de Compra</t>
        </is>
      </c>
      <c r="Y2909" s="111" t="inlineStr">
        <is>
          <t>Impacto Potencial</t>
        </is>
      </c>
      <c r="Z2909" s="111" t="inlineStr">
        <is>
          <t>PC</t>
        </is>
      </c>
      <c r="AA2909" s="111" t="inlineStr">
        <is>
          <t>Nao</t>
        </is>
      </c>
      <c r="AB2909" s="111" t="inlineStr">
        <is>
          <t>NAO_COMPUTADO</t>
        </is>
      </c>
      <c r="AC2909" s="112" t="inlineStr">
        <is>
          <t>Estrutura Fase 1: sem impacto no VTA oficial</t>
        </is>
      </c>
    </row>
    <row r="2910" ht="25.5" customHeight="1" s="289">
      <c r="A2910" s="205" t="n"/>
      <c r="B2910" s="207" t="n"/>
      <c r="C2910" s="104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348" t="n"/>
      <c r="E2910" s="349">
        <f>IF(C2910="","",IFERROR(VLOOKUP(C2910,parametros!$A$11:$E$15,5,0),""))</f>
        <v/>
      </c>
      <c r="F2910" s="335">
        <f>IF(OR(D2910="",E2910=""),"",ROUND(D2910*E2910,2))</f>
        <v/>
      </c>
      <c r="G2910" s="106" t="n"/>
      <c r="H2910" s="350">
        <f>IF(G2910="Sim",IF(OR(F2910="",D2910="",L2910=""),"",IF(L2910="Sim",ROUND(F2910-D2910,2),0)),0)</f>
        <v/>
      </c>
      <c r="I2910" s="350">
        <f>IF(G2910="Sim",0,IF(OR(F2910="",L2910=""),"",F2910))</f>
        <v/>
      </c>
      <c r="J2910" s="350">
        <f>IF(G2910="Sim",0,IF(OR(F2910="",D2910="",L2910=""),"",IF(L2910="Sim",ROUND(F2910-D2910,2),0)))</f>
        <v/>
      </c>
      <c r="K2910" s="97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inlineStr">
        <is>
          <t>Nao</t>
        </is>
      </c>
      <c r="W2910" s="110" t="inlineStr">
        <is>
          <t>PC em analise</t>
        </is>
      </c>
      <c r="X2910" s="110" t="inlineStr">
        <is>
          <t>Pedido de Compra</t>
        </is>
      </c>
      <c r="Y2910" s="111" t="inlineStr">
        <is>
          <t>Impacto Potencial</t>
        </is>
      </c>
      <c r="Z2910" s="111" t="inlineStr">
        <is>
          <t>PC</t>
        </is>
      </c>
      <c r="AA2910" s="111" t="inlineStr">
        <is>
          <t>Nao</t>
        </is>
      </c>
      <c r="AB2910" s="111" t="inlineStr">
        <is>
          <t>NAO_COMPUTADO</t>
        </is>
      </c>
      <c r="AC2910" s="112" t="inlineStr">
        <is>
          <t>Estrutura Fase 1: sem impacto no VTA oficial</t>
        </is>
      </c>
    </row>
    <row r="2911" ht="25.5" customHeight="1" s="289">
      <c r="A2911" s="205" t="n"/>
      <c r="B2911" s="207" t="n"/>
      <c r="C2911" s="104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348" t="n"/>
      <c r="E2911" s="349">
        <f>IF(C2911="","",IFERROR(VLOOKUP(C2911,parametros!$A$11:$E$15,5,0),""))</f>
        <v/>
      </c>
      <c r="F2911" s="335">
        <f>IF(OR(D2911="",E2911=""),"",ROUND(D2911*E2911,2))</f>
        <v/>
      </c>
      <c r="G2911" s="106" t="n"/>
      <c r="H2911" s="350">
        <f>IF(G2911="Sim",IF(OR(F2911="",D2911="",L2911=""),"",IF(L2911="Sim",ROUND(F2911-D2911,2),0)),0)</f>
        <v/>
      </c>
      <c r="I2911" s="350">
        <f>IF(G2911="Sim",0,IF(OR(F2911="",L2911=""),"",F2911))</f>
        <v/>
      </c>
      <c r="J2911" s="350">
        <f>IF(G2911="Sim",0,IF(OR(F2911="",D2911="",L2911=""),"",IF(L2911="Sim",ROUND(F2911-D2911,2),0)))</f>
        <v/>
      </c>
      <c r="K2911" s="97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inlineStr">
        <is>
          <t>Nao</t>
        </is>
      </c>
      <c r="W2911" s="110" t="inlineStr">
        <is>
          <t>PC em analise</t>
        </is>
      </c>
      <c r="X2911" s="110" t="inlineStr">
        <is>
          <t>Pedido de Compra</t>
        </is>
      </c>
      <c r="Y2911" s="111" t="inlineStr">
        <is>
          <t>Impacto Potencial</t>
        </is>
      </c>
      <c r="Z2911" s="111" t="inlineStr">
        <is>
          <t>PC</t>
        </is>
      </c>
      <c r="AA2911" s="111" t="inlineStr">
        <is>
          <t>Nao</t>
        </is>
      </c>
      <c r="AB2911" s="111" t="inlineStr">
        <is>
          <t>NAO_COMPUTADO</t>
        </is>
      </c>
      <c r="AC2911" s="112" t="inlineStr">
        <is>
          <t>Estrutura Fase 1: sem impacto no VTA oficial</t>
        </is>
      </c>
    </row>
    <row r="2912" ht="25.5" customHeight="1" s="289">
      <c r="A2912" s="205" t="n"/>
      <c r="B2912" s="207" t="n"/>
      <c r="C2912" s="104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348" t="n"/>
      <c r="E2912" s="349">
        <f>IF(C2912="","",IFERROR(VLOOKUP(C2912,parametros!$A$11:$E$15,5,0),""))</f>
        <v/>
      </c>
      <c r="F2912" s="335">
        <f>IF(OR(D2912="",E2912=""),"",ROUND(D2912*E2912,2))</f>
        <v/>
      </c>
      <c r="G2912" s="106" t="n"/>
      <c r="H2912" s="350">
        <f>IF(G2912="Sim",IF(OR(F2912="",D2912="",L2912=""),"",IF(L2912="Sim",ROUND(F2912-D2912,2),0)),0)</f>
        <v/>
      </c>
      <c r="I2912" s="350">
        <f>IF(G2912="Sim",0,IF(OR(F2912="",L2912=""),"",F2912))</f>
        <v/>
      </c>
      <c r="J2912" s="350">
        <f>IF(G2912="Sim",0,IF(OR(F2912="",D2912="",L2912=""),"",IF(L2912="Sim",ROUND(F2912-D2912,2),0)))</f>
        <v/>
      </c>
      <c r="K2912" s="97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inlineStr">
        <is>
          <t>Nao</t>
        </is>
      </c>
      <c r="W2912" s="110" t="inlineStr">
        <is>
          <t>PC em analise</t>
        </is>
      </c>
      <c r="X2912" s="110" t="inlineStr">
        <is>
          <t>Pedido de Compra</t>
        </is>
      </c>
      <c r="Y2912" s="111" t="inlineStr">
        <is>
          <t>Impacto Potencial</t>
        </is>
      </c>
      <c r="Z2912" s="111" t="inlineStr">
        <is>
          <t>PC</t>
        </is>
      </c>
      <c r="AA2912" s="111" t="inlineStr">
        <is>
          <t>Nao</t>
        </is>
      </c>
      <c r="AB2912" s="111" t="inlineStr">
        <is>
          <t>NAO_COMPUTADO</t>
        </is>
      </c>
      <c r="AC2912" s="112" t="inlineStr">
        <is>
          <t>Estrutura Fase 1: sem impacto no VTA oficial</t>
        </is>
      </c>
    </row>
    <row r="2913" ht="25.5" customHeight="1" s="289">
      <c r="A2913" s="205" t="n"/>
      <c r="B2913" s="207" t="n"/>
      <c r="C2913" s="104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348" t="n"/>
      <c r="E2913" s="349">
        <f>IF(C2913="","",IFERROR(VLOOKUP(C2913,parametros!$A$11:$E$15,5,0),""))</f>
        <v/>
      </c>
      <c r="F2913" s="335">
        <f>IF(OR(D2913="",E2913=""),"",ROUND(D2913*E2913,2))</f>
        <v/>
      </c>
      <c r="G2913" s="106" t="n"/>
      <c r="H2913" s="350">
        <f>IF(G2913="Sim",IF(OR(F2913="",D2913="",L2913=""),"",IF(L2913="Sim",ROUND(F2913-D2913,2),0)),0)</f>
        <v/>
      </c>
      <c r="I2913" s="350">
        <f>IF(G2913="Sim",0,IF(OR(F2913="",L2913=""),"",F2913))</f>
        <v/>
      </c>
      <c r="J2913" s="350">
        <f>IF(G2913="Sim",0,IF(OR(F2913="",D2913="",L2913=""),"",IF(L2913="Sim",ROUND(F2913-D2913,2),0)))</f>
        <v/>
      </c>
      <c r="K2913" s="97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inlineStr">
        <is>
          <t>Nao</t>
        </is>
      </c>
      <c r="W2913" s="110" t="inlineStr">
        <is>
          <t>PC em analise</t>
        </is>
      </c>
      <c r="X2913" s="110" t="inlineStr">
        <is>
          <t>Pedido de Compra</t>
        </is>
      </c>
      <c r="Y2913" s="111" t="inlineStr">
        <is>
          <t>Impacto Potencial</t>
        </is>
      </c>
      <c r="Z2913" s="111" t="inlineStr">
        <is>
          <t>PC</t>
        </is>
      </c>
      <c r="AA2913" s="111" t="inlineStr">
        <is>
          <t>Nao</t>
        </is>
      </c>
      <c r="AB2913" s="111" t="inlineStr">
        <is>
          <t>NAO_COMPUTADO</t>
        </is>
      </c>
      <c r="AC2913" s="112" t="inlineStr">
        <is>
          <t>Estrutura Fase 1: sem impacto no VTA oficial</t>
        </is>
      </c>
    </row>
    <row r="2914" ht="25.5" customHeight="1" s="289">
      <c r="A2914" s="205" t="n"/>
      <c r="B2914" s="207" t="n"/>
      <c r="C2914" s="104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348" t="n"/>
      <c r="E2914" s="349">
        <f>IF(C2914="","",IFERROR(VLOOKUP(C2914,parametros!$A$11:$E$15,5,0),""))</f>
        <v/>
      </c>
      <c r="F2914" s="335">
        <f>IF(OR(D2914="",E2914=""),"",ROUND(D2914*E2914,2))</f>
        <v/>
      </c>
      <c r="G2914" s="106" t="n"/>
      <c r="H2914" s="350">
        <f>IF(G2914="Sim",IF(OR(F2914="",D2914="",L2914=""),"",IF(L2914="Sim",ROUND(F2914-D2914,2),0)),0)</f>
        <v/>
      </c>
      <c r="I2914" s="350">
        <f>IF(G2914="Sim",0,IF(OR(F2914="",L2914=""),"",F2914))</f>
        <v/>
      </c>
      <c r="J2914" s="350">
        <f>IF(G2914="Sim",0,IF(OR(F2914="",D2914="",L2914=""),"",IF(L2914="Sim",ROUND(F2914-D2914,2),0)))</f>
        <v/>
      </c>
      <c r="K2914" s="97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inlineStr">
        <is>
          <t>Nao</t>
        </is>
      </c>
      <c r="W2914" s="110" t="inlineStr">
        <is>
          <t>PC em analise</t>
        </is>
      </c>
      <c r="X2914" s="110" t="inlineStr">
        <is>
          <t>Pedido de Compra</t>
        </is>
      </c>
      <c r="Y2914" s="111" t="inlineStr">
        <is>
          <t>Impacto Potencial</t>
        </is>
      </c>
      <c r="Z2914" s="111" t="inlineStr">
        <is>
          <t>PC</t>
        </is>
      </c>
      <c r="AA2914" s="111" t="inlineStr">
        <is>
          <t>Nao</t>
        </is>
      </c>
      <c r="AB2914" s="111" t="inlineStr">
        <is>
          <t>NAO_COMPUTADO</t>
        </is>
      </c>
      <c r="AC2914" s="112" t="inlineStr">
        <is>
          <t>Estrutura Fase 1: sem impacto no VTA oficial</t>
        </is>
      </c>
    </row>
    <row r="2915" ht="25.5" customHeight="1" s="289">
      <c r="A2915" s="205" t="n"/>
      <c r="B2915" s="207" t="n"/>
      <c r="C2915" s="104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348" t="n"/>
      <c r="E2915" s="349">
        <f>IF(C2915="","",IFERROR(VLOOKUP(C2915,parametros!$A$11:$E$15,5,0),""))</f>
        <v/>
      </c>
      <c r="F2915" s="335">
        <f>IF(OR(D2915="",E2915=""),"",ROUND(D2915*E2915,2))</f>
        <v/>
      </c>
      <c r="G2915" s="106" t="n"/>
      <c r="H2915" s="350">
        <f>IF(G2915="Sim",IF(OR(F2915="",D2915="",L2915=""),"",IF(L2915="Sim",ROUND(F2915-D2915,2),0)),0)</f>
        <v/>
      </c>
      <c r="I2915" s="350">
        <f>IF(G2915="Sim",0,IF(OR(F2915="",L2915=""),"",F2915))</f>
        <v/>
      </c>
      <c r="J2915" s="350">
        <f>IF(G2915="Sim",0,IF(OR(F2915="",D2915="",L2915=""),"",IF(L2915="Sim",ROUND(F2915-D2915,2),0)))</f>
        <v/>
      </c>
      <c r="K2915" s="97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inlineStr">
        <is>
          <t>Nao</t>
        </is>
      </c>
      <c r="W2915" s="110" t="inlineStr">
        <is>
          <t>PC em analise</t>
        </is>
      </c>
      <c r="X2915" s="110" t="inlineStr">
        <is>
          <t>Pedido de Compra</t>
        </is>
      </c>
      <c r="Y2915" s="111" t="inlineStr">
        <is>
          <t>Impacto Potencial</t>
        </is>
      </c>
      <c r="Z2915" s="111" t="inlineStr">
        <is>
          <t>PC</t>
        </is>
      </c>
      <c r="AA2915" s="111" t="inlineStr">
        <is>
          <t>Nao</t>
        </is>
      </c>
      <c r="AB2915" s="111" t="inlineStr">
        <is>
          <t>NAO_COMPUTADO</t>
        </is>
      </c>
      <c r="AC2915" s="112" t="inlineStr">
        <is>
          <t>Estrutura Fase 1: sem impacto no VTA oficial</t>
        </is>
      </c>
    </row>
    <row r="2916" ht="25.5" customHeight="1" s="289">
      <c r="A2916" s="205" t="n"/>
      <c r="B2916" s="207" t="n"/>
      <c r="C2916" s="104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348" t="n"/>
      <c r="E2916" s="349">
        <f>IF(C2916="","",IFERROR(VLOOKUP(C2916,parametros!$A$11:$E$15,5,0),""))</f>
        <v/>
      </c>
      <c r="F2916" s="335">
        <f>IF(OR(D2916="",E2916=""),"",ROUND(D2916*E2916,2))</f>
        <v/>
      </c>
      <c r="G2916" s="106" t="n"/>
      <c r="H2916" s="350">
        <f>IF(G2916="Sim",IF(OR(F2916="",D2916="",L2916=""),"",IF(L2916="Sim",ROUND(F2916-D2916,2),0)),0)</f>
        <v/>
      </c>
      <c r="I2916" s="350">
        <f>IF(G2916="Sim",0,IF(OR(F2916="",L2916=""),"",F2916))</f>
        <v/>
      </c>
      <c r="J2916" s="350">
        <f>IF(G2916="Sim",0,IF(OR(F2916="",D2916="",L2916=""),"",IF(L2916="Sim",ROUND(F2916-D2916,2),0)))</f>
        <v/>
      </c>
      <c r="K2916" s="97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inlineStr">
        <is>
          <t>Nao</t>
        </is>
      </c>
      <c r="W2916" s="110" t="inlineStr">
        <is>
          <t>PC em analise</t>
        </is>
      </c>
      <c r="X2916" s="110" t="inlineStr">
        <is>
          <t>Pedido de Compra</t>
        </is>
      </c>
      <c r="Y2916" s="111" t="inlineStr">
        <is>
          <t>Impacto Potencial</t>
        </is>
      </c>
      <c r="Z2916" s="111" t="inlineStr">
        <is>
          <t>PC</t>
        </is>
      </c>
      <c r="AA2916" s="111" t="inlineStr">
        <is>
          <t>Nao</t>
        </is>
      </c>
      <c r="AB2916" s="111" t="inlineStr">
        <is>
          <t>NAO_COMPUTADO</t>
        </is>
      </c>
      <c r="AC2916" s="112" t="inlineStr">
        <is>
          <t>Estrutura Fase 1: sem impacto no VTA oficial</t>
        </is>
      </c>
    </row>
    <row r="2917" ht="25.5" customHeight="1" s="289">
      <c r="A2917" s="205" t="n"/>
      <c r="B2917" s="207" t="n"/>
      <c r="C2917" s="104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348" t="n"/>
      <c r="E2917" s="349">
        <f>IF(C2917="","",IFERROR(VLOOKUP(C2917,parametros!$A$11:$E$15,5,0),""))</f>
        <v/>
      </c>
      <c r="F2917" s="335">
        <f>IF(OR(D2917="",E2917=""),"",ROUND(D2917*E2917,2))</f>
        <v/>
      </c>
      <c r="G2917" s="106" t="n"/>
      <c r="H2917" s="350">
        <f>IF(G2917="Sim",IF(OR(F2917="",D2917="",L2917=""),"",IF(L2917="Sim",ROUND(F2917-D2917,2),0)),0)</f>
        <v/>
      </c>
      <c r="I2917" s="350">
        <f>IF(G2917="Sim",0,IF(OR(F2917="",L2917=""),"",F2917))</f>
        <v/>
      </c>
      <c r="J2917" s="350">
        <f>IF(G2917="Sim",0,IF(OR(F2917="",D2917="",L2917=""),"",IF(L2917="Sim",ROUND(F2917-D2917,2),0)))</f>
        <v/>
      </c>
      <c r="K2917" s="97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inlineStr">
        <is>
          <t>Nao</t>
        </is>
      </c>
      <c r="W2917" s="110" t="inlineStr">
        <is>
          <t>PC em analise</t>
        </is>
      </c>
      <c r="X2917" s="110" t="inlineStr">
        <is>
          <t>Pedido de Compra</t>
        </is>
      </c>
      <c r="Y2917" s="111" t="inlineStr">
        <is>
          <t>Impacto Potencial</t>
        </is>
      </c>
      <c r="Z2917" s="111" t="inlineStr">
        <is>
          <t>PC</t>
        </is>
      </c>
      <c r="AA2917" s="111" t="inlineStr">
        <is>
          <t>Nao</t>
        </is>
      </c>
      <c r="AB2917" s="111" t="inlineStr">
        <is>
          <t>NAO_COMPUTADO</t>
        </is>
      </c>
      <c r="AC2917" s="112" t="inlineStr">
        <is>
          <t>Estrutura Fase 1: sem impacto no VTA oficial</t>
        </is>
      </c>
    </row>
    <row r="2918" ht="25.5" customHeight="1" s="289">
      <c r="A2918" s="205" t="n"/>
      <c r="B2918" s="207" t="n"/>
      <c r="C2918" s="104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348" t="n"/>
      <c r="E2918" s="349">
        <f>IF(C2918="","",IFERROR(VLOOKUP(C2918,parametros!$A$11:$E$15,5,0),""))</f>
        <v/>
      </c>
      <c r="F2918" s="335">
        <f>IF(OR(D2918="",E2918=""),"",ROUND(D2918*E2918,2))</f>
        <v/>
      </c>
      <c r="G2918" s="106" t="n"/>
      <c r="H2918" s="350">
        <f>IF(G2918="Sim",IF(OR(F2918="",D2918="",L2918=""),"",IF(L2918="Sim",ROUND(F2918-D2918,2),0)),0)</f>
        <v/>
      </c>
      <c r="I2918" s="350">
        <f>IF(G2918="Sim",0,IF(OR(F2918="",L2918=""),"",F2918))</f>
        <v/>
      </c>
      <c r="J2918" s="350">
        <f>IF(G2918="Sim",0,IF(OR(F2918="",D2918="",L2918=""),"",IF(L2918="Sim",ROUND(F2918-D2918,2),0)))</f>
        <v/>
      </c>
      <c r="K2918" s="97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inlineStr">
        <is>
          <t>Nao</t>
        </is>
      </c>
      <c r="W2918" s="110" t="inlineStr">
        <is>
          <t>PC em analise</t>
        </is>
      </c>
      <c r="X2918" s="110" t="inlineStr">
        <is>
          <t>Pedido de Compra</t>
        </is>
      </c>
      <c r="Y2918" s="111" t="inlineStr">
        <is>
          <t>Impacto Potencial</t>
        </is>
      </c>
      <c r="Z2918" s="111" t="inlineStr">
        <is>
          <t>PC</t>
        </is>
      </c>
      <c r="AA2918" s="111" t="inlineStr">
        <is>
          <t>Nao</t>
        </is>
      </c>
      <c r="AB2918" s="111" t="inlineStr">
        <is>
          <t>NAO_COMPUTADO</t>
        </is>
      </c>
      <c r="AC2918" s="112" t="inlineStr">
        <is>
          <t>Estrutura Fase 1: sem impacto no VTA oficial</t>
        </is>
      </c>
    </row>
    <row r="2919" ht="25.5" customHeight="1" s="289">
      <c r="A2919" s="205" t="n"/>
      <c r="B2919" s="207" t="n"/>
      <c r="C2919" s="104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348" t="n"/>
      <c r="E2919" s="349">
        <f>IF(C2919="","",IFERROR(VLOOKUP(C2919,parametros!$A$11:$E$15,5,0),""))</f>
        <v/>
      </c>
      <c r="F2919" s="335">
        <f>IF(OR(D2919="",E2919=""),"",ROUND(D2919*E2919,2))</f>
        <v/>
      </c>
      <c r="G2919" s="106" t="n"/>
      <c r="H2919" s="350">
        <f>IF(G2919="Sim",IF(OR(F2919="",D2919="",L2919=""),"",IF(L2919="Sim",ROUND(F2919-D2919,2),0)),0)</f>
        <v/>
      </c>
      <c r="I2919" s="350">
        <f>IF(G2919="Sim",0,IF(OR(F2919="",L2919=""),"",F2919))</f>
        <v/>
      </c>
      <c r="J2919" s="350">
        <f>IF(G2919="Sim",0,IF(OR(F2919="",D2919="",L2919=""),"",IF(L2919="Sim",ROUND(F2919-D2919,2),0)))</f>
        <v/>
      </c>
      <c r="K2919" s="97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inlineStr">
        <is>
          <t>Nao</t>
        </is>
      </c>
      <c r="W2919" s="110" t="inlineStr">
        <is>
          <t>PC em analise</t>
        </is>
      </c>
      <c r="X2919" s="110" t="inlineStr">
        <is>
          <t>Pedido de Compra</t>
        </is>
      </c>
      <c r="Y2919" s="111" t="inlineStr">
        <is>
          <t>Impacto Potencial</t>
        </is>
      </c>
      <c r="Z2919" s="111" t="inlineStr">
        <is>
          <t>PC</t>
        </is>
      </c>
      <c r="AA2919" s="111" t="inlineStr">
        <is>
          <t>Nao</t>
        </is>
      </c>
      <c r="AB2919" s="111" t="inlineStr">
        <is>
          <t>NAO_COMPUTADO</t>
        </is>
      </c>
      <c r="AC2919" s="112" t="inlineStr">
        <is>
          <t>Estrutura Fase 1: sem impacto no VTA oficial</t>
        </is>
      </c>
    </row>
    <row r="2920" ht="25.5" customHeight="1" s="289">
      <c r="A2920" s="205" t="n"/>
      <c r="B2920" s="207" t="n"/>
      <c r="C2920" s="104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348" t="n"/>
      <c r="E2920" s="349">
        <f>IF(C2920="","",IFERROR(VLOOKUP(C2920,parametros!$A$11:$E$15,5,0),""))</f>
        <v/>
      </c>
      <c r="F2920" s="335">
        <f>IF(OR(D2920="",E2920=""),"",ROUND(D2920*E2920,2))</f>
        <v/>
      </c>
      <c r="G2920" s="106" t="n"/>
      <c r="H2920" s="350">
        <f>IF(G2920="Sim",IF(OR(F2920="",D2920="",L2920=""),"",IF(L2920="Sim",ROUND(F2920-D2920,2),0)),0)</f>
        <v/>
      </c>
      <c r="I2920" s="350">
        <f>IF(G2920="Sim",0,IF(OR(F2920="",L2920=""),"",F2920))</f>
        <v/>
      </c>
      <c r="J2920" s="350">
        <f>IF(G2920="Sim",0,IF(OR(F2920="",D2920="",L2920=""),"",IF(L2920="Sim",ROUND(F2920-D2920,2),0)))</f>
        <v/>
      </c>
      <c r="K2920" s="97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inlineStr">
        <is>
          <t>Nao</t>
        </is>
      </c>
      <c r="W2920" s="110" t="inlineStr">
        <is>
          <t>PC em analise</t>
        </is>
      </c>
      <c r="X2920" s="110" t="inlineStr">
        <is>
          <t>Pedido de Compra</t>
        </is>
      </c>
      <c r="Y2920" s="111" t="inlineStr">
        <is>
          <t>Impacto Potencial</t>
        </is>
      </c>
      <c r="Z2920" s="111" t="inlineStr">
        <is>
          <t>PC</t>
        </is>
      </c>
      <c r="AA2920" s="111" t="inlineStr">
        <is>
          <t>Nao</t>
        </is>
      </c>
      <c r="AB2920" s="111" t="inlineStr">
        <is>
          <t>NAO_COMPUTADO</t>
        </is>
      </c>
      <c r="AC2920" s="112" t="inlineStr">
        <is>
          <t>Estrutura Fase 1: sem impacto no VTA oficial</t>
        </is>
      </c>
    </row>
    <row r="2921" ht="25.5" customHeight="1" s="289">
      <c r="A2921" s="205" t="n"/>
      <c r="B2921" s="207" t="n"/>
      <c r="C2921" s="104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348" t="n"/>
      <c r="E2921" s="349">
        <f>IF(C2921="","",IFERROR(VLOOKUP(C2921,parametros!$A$11:$E$15,5,0),""))</f>
        <v/>
      </c>
      <c r="F2921" s="335">
        <f>IF(OR(D2921="",E2921=""),"",ROUND(D2921*E2921,2))</f>
        <v/>
      </c>
      <c r="G2921" s="106" t="n"/>
      <c r="H2921" s="350">
        <f>IF(G2921="Sim",IF(OR(F2921="",D2921="",L2921=""),"",IF(L2921="Sim",ROUND(F2921-D2921,2),0)),0)</f>
        <v/>
      </c>
      <c r="I2921" s="350">
        <f>IF(G2921="Sim",0,IF(OR(F2921="",L2921=""),"",F2921))</f>
        <v/>
      </c>
      <c r="J2921" s="350">
        <f>IF(G2921="Sim",0,IF(OR(F2921="",D2921="",L2921=""),"",IF(L2921="Sim",ROUND(F2921-D2921,2),0)))</f>
        <v/>
      </c>
      <c r="K2921" s="97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inlineStr">
        <is>
          <t>Nao</t>
        </is>
      </c>
      <c r="W2921" s="110" t="inlineStr">
        <is>
          <t>PC em analise</t>
        </is>
      </c>
      <c r="X2921" s="110" t="inlineStr">
        <is>
          <t>Pedido de Compra</t>
        </is>
      </c>
      <c r="Y2921" s="111" t="inlineStr">
        <is>
          <t>Impacto Potencial</t>
        </is>
      </c>
      <c r="Z2921" s="111" t="inlineStr">
        <is>
          <t>PC</t>
        </is>
      </c>
      <c r="AA2921" s="111" t="inlineStr">
        <is>
          <t>Nao</t>
        </is>
      </c>
      <c r="AB2921" s="111" t="inlineStr">
        <is>
          <t>NAO_COMPUTADO</t>
        </is>
      </c>
      <c r="AC2921" s="112" t="inlineStr">
        <is>
          <t>Estrutura Fase 1: sem impacto no VTA oficial</t>
        </is>
      </c>
    </row>
    <row r="2922" ht="25.5" customHeight="1" s="289">
      <c r="A2922" s="205" t="n"/>
      <c r="B2922" s="207" t="n"/>
      <c r="C2922" s="104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348" t="n"/>
      <c r="E2922" s="349">
        <f>IF(C2922="","",IFERROR(VLOOKUP(C2922,parametros!$A$11:$E$15,5,0),""))</f>
        <v/>
      </c>
      <c r="F2922" s="335">
        <f>IF(OR(D2922="",E2922=""),"",ROUND(D2922*E2922,2))</f>
        <v/>
      </c>
      <c r="G2922" s="106" t="n"/>
      <c r="H2922" s="350">
        <f>IF(G2922="Sim",IF(OR(F2922="",D2922="",L2922=""),"",IF(L2922="Sim",ROUND(F2922-D2922,2),0)),0)</f>
        <v/>
      </c>
      <c r="I2922" s="350">
        <f>IF(G2922="Sim",0,IF(OR(F2922="",L2922=""),"",F2922))</f>
        <v/>
      </c>
      <c r="J2922" s="350">
        <f>IF(G2922="Sim",0,IF(OR(F2922="",D2922="",L2922=""),"",IF(L2922="Sim",ROUND(F2922-D2922,2),0)))</f>
        <v/>
      </c>
      <c r="K2922" s="97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inlineStr">
        <is>
          <t>Nao</t>
        </is>
      </c>
      <c r="W2922" s="110" t="inlineStr">
        <is>
          <t>PC em analise</t>
        </is>
      </c>
      <c r="X2922" s="110" t="inlineStr">
        <is>
          <t>Pedido de Compra</t>
        </is>
      </c>
      <c r="Y2922" s="111" t="inlineStr">
        <is>
          <t>Impacto Potencial</t>
        </is>
      </c>
      <c r="Z2922" s="111" t="inlineStr">
        <is>
          <t>PC</t>
        </is>
      </c>
      <c r="AA2922" s="111" t="inlineStr">
        <is>
          <t>Nao</t>
        </is>
      </c>
      <c r="AB2922" s="111" t="inlineStr">
        <is>
          <t>NAO_COMPUTADO</t>
        </is>
      </c>
      <c r="AC2922" s="112" t="inlineStr">
        <is>
          <t>Estrutura Fase 1: sem impacto no VTA oficial</t>
        </is>
      </c>
    </row>
    <row r="2923" ht="25.5" customHeight="1" s="289">
      <c r="A2923" s="205" t="n"/>
      <c r="B2923" s="207" t="n"/>
      <c r="C2923" s="104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348" t="n"/>
      <c r="E2923" s="349">
        <f>IF(C2923="","",IFERROR(VLOOKUP(C2923,parametros!$A$11:$E$15,5,0),""))</f>
        <v/>
      </c>
      <c r="F2923" s="335">
        <f>IF(OR(D2923="",E2923=""),"",ROUND(D2923*E2923,2))</f>
        <v/>
      </c>
      <c r="G2923" s="106" t="n"/>
      <c r="H2923" s="350">
        <f>IF(G2923="Sim",IF(OR(F2923="",D2923="",L2923=""),"",IF(L2923="Sim",ROUND(F2923-D2923,2),0)),0)</f>
        <v/>
      </c>
      <c r="I2923" s="350">
        <f>IF(G2923="Sim",0,IF(OR(F2923="",L2923=""),"",F2923))</f>
        <v/>
      </c>
      <c r="J2923" s="350">
        <f>IF(G2923="Sim",0,IF(OR(F2923="",D2923="",L2923=""),"",IF(L2923="Sim",ROUND(F2923-D2923,2),0)))</f>
        <v/>
      </c>
      <c r="K2923" s="97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inlineStr">
        <is>
          <t>Nao</t>
        </is>
      </c>
      <c r="W2923" s="110" t="inlineStr">
        <is>
          <t>PC em analise</t>
        </is>
      </c>
      <c r="X2923" s="110" t="inlineStr">
        <is>
          <t>Pedido de Compra</t>
        </is>
      </c>
      <c r="Y2923" s="111" t="inlineStr">
        <is>
          <t>Impacto Potencial</t>
        </is>
      </c>
      <c r="Z2923" s="111" t="inlineStr">
        <is>
          <t>PC</t>
        </is>
      </c>
      <c r="AA2923" s="111" t="inlineStr">
        <is>
          <t>Nao</t>
        </is>
      </c>
      <c r="AB2923" s="111" t="inlineStr">
        <is>
          <t>NAO_COMPUTADO</t>
        </is>
      </c>
      <c r="AC2923" s="112" t="inlineStr">
        <is>
          <t>Estrutura Fase 1: sem impacto no VTA oficial</t>
        </is>
      </c>
    </row>
    <row r="2924" ht="25.5" customHeight="1" s="289">
      <c r="A2924" s="205" t="n"/>
      <c r="B2924" s="207" t="n"/>
      <c r="C2924" s="104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348" t="n"/>
      <c r="E2924" s="349">
        <f>IF(C2924="","",IFERROR(VLOOKUP(C2924,parametros!$A$11:$E$15,5,0),""))</f>
        <v/>
      </c>
      <c r="F2924" s="335">
        <f>IF(OR(D2924="",E2924=""),"",ROUND(D2924*E2924,2))</f>
        <v/>
      </c>
      <c r="G2924" s="106" t="n"/>
      <c r="H2924" s="350">
        <f>IF(G2924="Sim",IF(OR(F2924="",D2924="",L2924=""),"",IF(L2924="Sim",ROUND(F2924-D2924,2),0)),0)</f>
        <v/>
      </c>
      <c r="I2924" s="350">
        <f>IF(G2924="Sim",0,IF(OR(F2924="",L2924=""),"",F2924))</f>
        <v/>
      </c>
      <c r="J2924" s="350">
        <f>IF(G2924="Sim",0,IF(OR(F2924="",D2924="",L2924=""),"",IF(L2924="Sim",ROUND(F2924-D2924,2),0)))</f>
        <v/>
      </c>
      <c r="K2924" s="97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inlineStr">
        <is>
          <t>Nao</t>
        </is>
      </c>
      <c r="W2924" s="110" t="inlineStr">
        <is>
          <t>PC em analise</t>
        </is>
      </c>
      <c r="X2924" s="110" t="inlineStr">
        <is>
          <t>Pedido de Compra</t>
        </is>
      </c>
      <c r="Y2924" s="111" t="inlineStr">
        <is>
          <t>Impacto Potencial</t>
        </is>
      </c>
      <c r="Z2924" s="111" t="inlineStr">
        <is>
          <t>PC</t>
        </is>
      </c>
      <c r="AA2924" s="111" t="inlineStr">
        <is>
          <t>Nao</t>
        </is>
      </c>
      <c r="AB2924" s="111" t="inlineStr">
        <is>
          <t>NAO_COMPUTADO</t>
        </is>
      </c>
      <c r="AC2924" s="112" t="inlineStr">
        <is>
          <t>Estrutura Fase 1: sem impacto no VTA oficial</t>
        </is>
      </c>
    </row>
    <row r="2925" ht="25.5" customHeight="1" s="289">
      <c r="A2925" s="205" t="n"/>
      <c r="B2925" s="207" t="n"/>
      <c r="C2925" s="104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348" t="n"/>
      <c r="E2925" s="349">
        <f>IF(C2925="","",IFERROR(VLOOKUP(C2925,parametros!$A$11:$E$15,5,0),""))</f>
        <v/>
      </c>
      <c r="F2925" s="335">
        <f>IF(OR(D2925="",E2925=""),"",ROUND(D2925*E2925,2))</f>
        <v/>
      </c>
      <c r="G2925" s="106" t="n"/>
      <c r="H2925" s="350">
        <f>IF(G2925="Sim",IF(OR(F2925="",D2925="",L2925=""),"",IF(L2925="Sim",ROUND(F2925-D2925,2),0)),0)</f>
        <v/>
      </c>
      <c r="I2925" s="350">
        <f>IF(G2925="Sim",0,IF(OR(F2925="",L2925=""),"",F2925))</f>
        <v/>
      </c>
      <c r="J2925" s="350">
        <f>IF(G2925="Sim",0,IF(OR(F2925="",D2925="",L2925=""),"",IF(L2925="Sim",ROUND(F2925-D2925,2),0)))</f>
        <v/>
      </c>
      <c r="K2925" s="97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inlineStr">
        <is>
          <t>Nao</t>
        </is>
      </c>
      <c r="W2925" s="110" t="inlineStr">
        <is>
          <t>PC em analise</t>
        </is>
      </c>
      <c r="X2925" s="110" t="inlineStr">
        <is>
          <t>Pedido de Compra</t>
        </is>
      </c>
      <c r="Y2925" s="111" t="inlineStr">
        <is>
          <t>Impacto Potencial</t>
        </is>
      </c>
      <c r="Z2925" s="111" t="inlineStr">
        <is>
          <t>PC</t>
        </is>
      </c>
      <c r="AA2925" s="111" t="inlineStr">
        <is>
          <t>Nao</t>
        </is>
      </c>
      <c r="AB2925" s="111" t="inlineStr">
        <is>
          <t>NAO_COMPUTADO</t>
        </is>
      </c>
      <c r="AC2925" s="112" t="inlineStr">
        <is>
          <t>Estrutura Fase 1: sem impacto no VTA oficial</t>
        </is>
      </c>
    </row>
    <row r="2926" ht="25.5" customHeight="1" s="289">
      <c r="A2926" s="205" t="n"/>
      <c r="B2926" s="207" t="n"/>
      <c r="C2926" s="104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348" t="n"/>
      <c r="E2926" s="349">
        <f>IF(C2926="","",IFERROR(VLOOKUP(C2926,parametros!$A$11:$E$15,5,0),""))</f>
        <v/>
      </c>
      <c r="F2926" s="335">
        <f>IF(OR(D2926="",E2926=""),"",ROUND(D2926*E2926,2))</f>
        <v/>
      </c>
      <c r="G2926" s="106" t="n"/>
      <c r="H2926" s="350">
        <f>IF(G2926="Sim",IF(OR(F2926="",D2926="",L2926=""),"",IF(L2926="Sim",ROUND(F2926-D2926,2),0)),0)</f>
        <v/>
      </c>
      <c r="I2926" s="350">
        <f>IF(G2926="Sim",0,IF(OR(F2926="",L2926=""),"",F2926))</f>
        <v/>
      </c>
      <c r="J2926" s="350">
        <f>IF(G2926="Sim",0,IF(OR(F2926="",D2926="",L2926=""),"",IF(L2926="Sim",ROUND(F2926-D2926,2),0)))</f>
        <v/>
      </c>
      <c r="K2926" s="97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inlineStr">
        <is>
          <t>Nao</t>
        </is>
      </c>
      <c r="W2926" s="110" t="inlineStr">
        <is>
          <t>PC em analise</t>
        </is>
      </c>
      <c r="X2926" s="110" t="inlineStr">
        <is>
          <t>Pedido de Compra</t>
        </is>
      </c>
      <c r="Y2926" s="111" t="inlineStr">
        <is>
          <t>Impacto Potencial</t>
        </is>
      </c>
      <c r="Z2926" s="111" t="inlineStr">
        <is>
          <t>PC</t>
        </is>
      </c>
      <c r="AA2926" s="111" t="inlineStr">
        <is>
          <t>Nao</t>
        </is>
      </c>
      <c r="AB2926" s="111" t="inlineStr">
        <is>
          <t>NAO_COMPUTADO</t>
        </is>
      </c>
      <c r="AC2926" s="112" t="inlineStr">
        <is>
          <t>Estrutura Fase 1: sem impacto no VTA oficial</t>
        </is>
      </c>
    </row>
    <row r="2927" ht="25.5" customHeight="1" s="289">
      <c r="A2927" s="205" t="n"/>
      <c r="B2927" s="207" t="n"/>
      <c r="C2927" s="104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348" t="n"/>
      <c r="E2927" s="349">
        <f>IF(C2927="","",IFERROR(VLOOKUP(C2927,parametros!$A$11:$E$15,5,0),""))</f>
        <v/>
      </c>
      <c r="F2927" s="335">
        <f>IF(OR(D2927="",E2927=""),"",ROUND(D2927*E2927,2))</f>
        <v/>
      </c>
      <c r="G2927" s="106" t="n"/>
      <c r="H2927" s="350">
        <f>IF(G2927="Sim",IF(OR(F2927="",D2927="",L2927=""),"",IF(L2927="Sim",ROUND(F2927-D2927,2),0)),0)</f>
        <v/>
      </c>
      <c r="I2927" s="350">
        <f>IF(G2927="Sim",0,IF(OR(F2927="",L2927=""),"",F2927))</f>
        <v/>
      </c>
      <c r="J2927" s="350">
        <f>IF(G2927="Sim",0,IF(OR(F2927="",D2927="",L2927=""),"",IF(L2927="Sim",ROUND(F2927-D2927,2),0)))</f>
        <v/>
      </c>
      <c r="K2927" s="97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inlineStr">
        <is>
          <t>Nao</t>
        </is>
      </c>
      <c r="W2927" s="110" t="inlineStr">
        <is>
          <t>PC em analise</t>
        </is>
      </c>
      <c r="X2927" s="110" t="inlineStr">
        <is>
          <t>Pedido de Compra</t>
        </is>
      </c>
      <c r="Y2927" s="111" t="inlineStr">
        <is>
          <t>Impacto Potencial</t>
        </is>
      </c>
      <c r="Z2927" s="111" t="inlineStr">
        <is>
          <t>PC</t>
        </is>
      </c>
      <c r="AA2927" s="111" t="inlineStr">
        <is>
          <t>Nao</t>
        </is>
      </c>
      <c r="AB2927" s="111" t="inlineStr">
        <is>
          <t>NAO_COMPUTADO</t>
        </is>
      </c>
      <c r="AC2927" s="112" t="inlineStr">
        <is>
          <t>Estrutura Fase 1: sem impacto no VTA oficial</t>
        </is>
      </c>
    </row>
    <row r="2928" ht="25.5" customHeight="1" s="289">
      <c r="A2928" s="205" t="n"/>
      <c r="B2928" s="207" t="n"/>
      <c r="C2928" s="104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348" t="n"/>
      <c r="E2928" s="349">
        <f>IF(C2928="","",IFERROR(VLOOKUP(C2928,parametros!$A$11:$E$15,5,0),""))</f>
        <v/>
      </c>
      <c r="F2928" s="335">
        <f>IF(OR(D2928="",E2928=""),"",ROUND(D2928*E2928,2))</f>
        <v/>
      </c>
      <c r="G2928" s="106" t="n"/>
      <c r="H2928" s="350">
        <f>IF(G2928="Sim",IF(OR(F2928="",D2928="",L2928=""),"",IF(L2928="Sim",ROUND(F2928-D2928,2),0)),0)</f>
        <v/>
      </c>
      <c r="I2928" s="350">
        <f>IF(G2928="Sim",0,IF(OR(F2928="",L2928=""),"",F2928))</f>
        <v/>
      </c>
      <c r="J2928" s="350">
        <f>IF(G2928="Sim",0,IF(OR(F2928="",D2928="",L2928=""),"",IF(L2928="Sim",ROUND(F2928-D2928,2),0)))</f>
        <v/>
      </c>
      <c r="K2928" s="97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inlineStr">
        <is>
          <t>Nao</t>
        </is>
      </c>
      <c r="W2928" s="110" t="inlineStr">
        <is>
          <t>PC em analise</t>
        </is>
      </c>
      <c r="X2928" s="110" t="inlineStr">
        <is>
          <t>Pedido de Compra</t>
        </is>
      </c>
      <c r="Y2928" s="111" t="inlineStr">
        <is>
          <t>Impacto Potencial</t>
        </is>
      </c>
      <c r="Z2928" s="111" t="inlineStr">
        <is>
          <t>PC</t>
        </is>
      </c>
      <c r="AA2928" s="111" t="inlineStr">
        <is>
          <t>Nao</t>
        </is>
      </c>
      <c r="AB2928" s="111" t="inlineStr">
        <is>
          <t>NAO_COMPUTADO</t>
        </is>
      </c>
      <c r="AC2928" s="112" t="inlineStr">
        <is>
          <t>Estrutura Fase 1: sem impacto no VTA oficial</t>
        </is>
      </c>
    </row>
    <row r="2929" ht="25.5" customHeight="1" s="289">
      <c r="A2929" s="205" t="n"/>
      <c r="B2929" s="207" t="n"/>
      <c r="C2929" s="104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348" t="n"/>
      <c r="E2929" s="349">
        <f>IF(C2929="","",IFERROR(VLOOKUP(C2929,parametros!$A$11:$E$15,5,0),""))</f>
        <v/>
      </c>
      <c r="F2929" s="335">
        <f>IF(OR(D2929="",E2929=""),"",ROUND(D2929*E2929,2))</f>
        <v/>
      </c>
      <c r="G2929" s="106" t="n"/>
      <c r="H2929" s="350">
        <f>IF(G2929="Sim",IF(OR(F2929="",D2929="",L2929=""),"",IF(L2929="Sim",ROUND(F2929-D2929,2),0)),0)</f>
        <v/>
      </c>
      <c r="I2929" s="350">
        <f>IF(G2929="Sim",0,IF(OR(F2929="",L2929=""),"",F2929))</f>
        <v/>
      </c>
      <c r="J2929" s="350">
        <f>IF(G2929="Sim",0,IF(OR(F2929="",D2929="",L2929=""),"",IF(L2929="Sim",ROUND(F2929-D2929,2),0)))</f>
        <v/>
      </c>
      <c r="K2929" s="97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inlineStr">
        <is>
          <t>Nao</t>
        </is>
      </c>
      <c r="W2929" s="110" t="inlineStr">
        <is>
          <t>PC em analise</t>
        </is>
      </c>
      <c r="X2929" s="110" t="inlineStr">
        <is>
          <t>Pedido de Compra</t>
        </is>
      </c>
      <c r="Y2929" s="111" t="inlineStr">
        <is>
          <t>Impacto Potencial</t>
        </is>
      </c>
      <c r="Z2929" s="111" t="inlineStr">
        <is>
          <t>PC</t>
        </is>
      </c>
      <c r="AA2929" s="111" t="inlineStr">
        <is>
          <t>Nao</t>
        </is>
      </c>
      <c r="AB2929" s="111" t="inlineStr">
        <is>
          <t>NAO_COMPUTADO</t>
        </is>
      </c>
      <c r="AC2929" s="112" t="inlineStr">
        <is>
          <t>Estrutura Fase 1: sem impacto no VTA oficial</t>
        </is>
      </c>
    </row>
    <row r="2930" ht="25.5" customHeight="1" s="289">
      <c r="A2930" s="205" t="n"/>
      <c r="B2930" s="207" t="n"/>
      <c r="C2930" s="104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348" t="n"/>
      <c r="E2930" s="349">
        <f>IF(C2930="","",IFERROR(VLOOKUP(C2930,parametros!$A$11:$E$15,5,0),""))</f>
        <v/>
      </c>
      <c r="F2930" s="335">
        <f>IF(OR(D2930="",E2930=""),"",ROUND(D2930*E2930,2))</f>
        <v/>
      </c>
      <c r="G2930" s="106" t="n"/>
      <c r="H2930" s="350">
        <f>IF(G2930="Sim",IF(OR(F2930="",D2930="",L2930=""),"",IF(L2930="Sim",ROUND(F2930-D2930,2),0)),0)</f>
        <v/>
      </c>
      <c r="I2930" s="350">
        <f>IF(G2930="Sim",0,IF(OR(F2930="",L2930=""),"",F2930))</f>
        <v/>
      </c>
      <c r="J2930" s="350">
        <f>IF(G2930="Sim",0,IF(OR(F2930="",D2930="",L2930=""),"",IF(L2930="Sim",ROUND(F2930-D2930,2),0)))</f>
        <v/>
      </c>
      <c r="K2930" s="97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inlineStr">
        <is>
          <t>Nao</t>
        </is>
      </c>
      <c r="W2930" s="110" t="inlineStr">
        <is>
          <t>PC em analise</t>
        </is>
      </c>
      <c r="X2930" s="110" t="inlineStr">
        <is>
          <t>Pedido de Compra</t>
        </is>
      </c>
      <c r="Y2930" s="111" t="inlineStr">
        <is>
          <t>Impacto Potencial</t>
        </is>
      </c>
      <c r="Z2930" s="111" t="inlineStr">
        <is>
          <t>PC</t>
        </is>
      </c>
      <c r="AA2930" s="111" t="inlineStr">
        <is>
          <t>Nao</t>
        </is>
      </c>
      <c r="AB2930" s="111" t="inlineStr">
        <is>
          <t>NAO_COMPUTADO</t>
        </is>
      </c>
      <c r="AC2930" s="112" t="inlineStr">
        <is>
          <t>Estrutura Fase 1: sem impacto no VTA oficial</t>
        </is>
      </c>
    </row>
    <row r="2931" ht="25.5" customHeight="1" s="289">
      <c r="A2931" s="205" t="n"/>
      <c r="B2931" s="207" t="n"/>
      <c r="C2931" s="104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348" t="n"/>
      <c r="E2931" s="349">
        <f>IF(C2931="","",IFERROR(VLOOKUP(C2931,parametros!$A$11:$E$15,5,0),""))</f>
        <v/>
      </c>
      <c r="F2931" s="335">
        <f>IF(OR(D2931="",E2931=""),"",ROUND(D2931*E2931,2))</f>
        <v/>
      </c>
      <c r="G2931" s="106" t="n"/>
      <c r="H2931" s="350">
        <f>IF(G2931="Sim",IF(OR(F2931="",D2931="",L2931=""),"",IF(L2931="Sim",ROUND(F2931-D2931,2),0)),0)</f>
        <v/>
      </c>
      <c r="I2931" s="350">
        <f>IF(G2931="Sim",0,IF(OR(F2931="",L2931=""),"",F2931))</f>
        <v/>
      </c>
      <c r="J2931" s="350">
        <f>IF(G2931="Sim",0,IF(OR(F2931="",D2931="",L2931=""),"",IF(L2931="Sim",ROUND(F2931-D2931,2),0)))</f>
        <v/>
      </c>
      <c r="K2931" s="97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inlineStr">
        <is>
          <t>Nao</t>
        </is>
      </c>
      <c r="W2931" s="110" t="inlineStr">
        <is>
          <t>PC em analise</t>
        </is>
      </c>
      <c r="X2931" s="110" t="inlineStr">
        <is>
          <t>Pedido de Compra</t>
        </is>
      </c>
      <c r="Y2931" s="111" t="inlineStr">
        <is>
          <t>Impacto Potencial</t>
        </is>
      </c>
      <c r="Z2931" s="111" t="inlineStr">
        <is>
          <t>PC</t>
        </is>
      </c>
      <c r="AA2931" s="111" t="inlineStr">
        <is>
          <t>Nao</t>
        </is>
      </c>
      <c r="AB2931" s="111" t="inlineStr">
        <is>
          <t>NAO_COMPUTADO</t>
        </is>
      </c>
      <c r="AC2931" s="112" t="inlineStr">
        <is>
          <t>Estrutura Fase 1: sem impacto no VTA oficial</t>
        </is>
      </c>
    </row>
    <row r="2932" ht="25.5" customHeight="1" s="289">
      <c r="A2932" s="205" t="n"/>
      <c r="B2932" s="207" t="n"/>
      <c r="C2932" s="104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348" t="n"/>
      <c r="E2932" s="349">
        <f>IF(C2932="","",IFERROR(VLOOKUP(C2932,parametros!$A$11:$E$15,5,0),""))</f>
        <v/>
      </c>
      <c r="F2932" s="335">
        <f>IF(OR(D2932="",E2932=""),"",ROUND(D2932*E2932,2))</f>
        <v/>
      </c>
      <c r="G2932" s="106" t="n"/>
      <c r="H2932" s="350">
        <f>IF(G2932="Sim",IF(OR(F2932="",D2932="",L2932=""),"",IF(L2932="Sim",ROUND(F2932-D2932,2),0)),0)</f>
        <v/>
      </c>
      <c r="I2932" s="350">
        <f>IF(G2932="Sim",0,IF(OR(F2932="",L2932=""),"",F2932))</f>
        <v/>
      </c>
      <c r="J2932" s="350">
        <f>IF(G2932="Sim",0,IF(OR(F2932="",D2932="",L2932=""),"",IF(L2932="Sim",ROUND(F2932-D2932,2),0)))</f>
        <v/>
      </c>
      <c r="K2932" s="97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inlineStr">
        <is>
          <t>Nao</t>
        </is>
      </c>
      <c r="W2932" s="110" t="inlineStr">
        <is>
          <t>PC em analise</t>
        </is>
      </c>
      <c r="X2932" s="110" t="inlineStr">
        <is>
          <t>Pedido de Compra</t>
        </is>
      </c>
      <c r="Y2932" s="111" t="inlineStr">
        <is>
          <t>Impacto Potencial</t>
        </is>
      </c>
      <c r="Z2932" s="111" t="inlineStr">
        <is>
          <t>PC</t>
        </is>
      </c>
      <c r="AA2932" s="111" t="inlineStr">
        <is>
          <t>Nao</t>
        </is>
      </c>
      <c r="AB2932" s="111" t="inlineStr">
        <is>
          <t>NAO_COMPUTADO</t>
        </is>
      </c>
      <c r="AC2932" s="112" t="inlineStr">
        <is>
          <t>Estrutura Fase 1: sem impacto no VTA oficial</t>
        </is>
      </c>
    </row>
    <row r="2933" ht="25.5" customHeight="1" s="289">
      <c r="A2933" s="205" t="n"/>
      <c r="B2933" s="207" t="n"/>
      <c r="C2933" s="104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348" t="n"/>
      <c r="E2933" s="349">
        <f>IF(C2933="","",IFERROR(VLOOKUP(C2933,parametros!$A$11:$E$15,5,0),""))</f>
        <v/>
      </c>
      <c r="F2933" s="335">
        <f>IF(OR(D2933="",E2933=""),"",ROUND(D2933*E2933,2))</f>
        <v/>
      </c>
      <c r="G2933" s="106" t="n"/>
      <c r="H2933" s="350">
        <f>IF(G2933="Sim",IF(OR(F2933="",D2933="",L2933=""),"",IF(L2933="Sim",ROUND(F2933-D2933,2),0)),0)</f>
        <v/>
      </c>
      <c r="I2933" s="350">
        <f>IF(G2933="Sim",0,IF(OR(F2933="",L2933=""),"",F2933))</f>
        <v/>
      </c>
      <c r="J2933" s="350">
        <f>IF(G2933="Sim",0,IF(OR(F2933="",D2933="",L2933=""),"",IF(L2933="Sim",ROUND(F2933-D2933,2),0)))</f>
        <v/>
      </c>
      <c r="K2933" s="97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inlineStr">
        <is>
          <t>Nao</t>
        </is>
      </c>
      <c r="W2933" s="110" t="inlineStr">
        <is>
          <t>PC em analise</t>
        </is>
      </c>
      <c r="X2933" s="110" t="inlineStr">
        <is>
          <t>Pedido de Compra</t>
        </is>
      </c>
      <c r="Y2933" s="111" t="inlineStr">
        <is>
          <t>Impacto Potencial</t>
        </is>
      </c>
      <c r="Z2933" s="111" t="inlineStr">
        <is>
          <t>PC</t>
        </is>
      </c>
      <c r="AA2933" s="111" t="inlineStr">
        <is>
          <t>Nao</t>
        </is>
      </c>
      <c r="AB2933" s="111" t="inlineStr">
        <is>
          <t>NAO_COMPUTADO</t>
        </is>
      </c>
      <c r="AC2933" s="112" t="inlineStr">
        <is>
          <t>Estrutura Fase 1: sem impacto no VTA oficial</t>
        </is>
      </c>
    </row>
    <row r="2934" ht="25.5" customHeight="1" s="289">
      <c r="A2934" s="205" t="n"/>
      <c r="B2934" s="207" t="n"/>
      <c r="C2934" s="104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348" t="n"/>
      <c r="E2934" s="349">
        <f>IF(C2934="","",IFERROR(VLOOKUP(C2934,parametros!$A$11:$E$15,5,0),""))</f>
        <v/>
      </c>
      <c r="F2934" s="335">
        <f>IF(OR(D2934="",E2934=""),"",ROUND(D2934*E2934,2))</f>
        <v/>
      </c>
      <c r="G2934" s="106" t="n"/>
      <c r="H2934" s="350">
        <f>IF(G2934="Sim",IF(OR(F2934="",D2934="",L2934=""),"",IF(L2934="Sim",ROUND(F2934-D2934,2),0)),0)</f>
        <v/>
      </c>
      <c r="I2934" s="350">
        <f>IF(G2934="Sim",0,IF(OR(F2934="",L2934=""),"",F2934))</f>
        <v/>
      </c>
      <c r="J2934" s="350">
        <f>IF(G2934="Sim",0,IF(OR(F2934="",D2934="",L2934=""),"",IF(L2934="Sim",ROUND(F2934-D2934,2),0)))</f>
        <v/>
      </c>
      <c r="K2934" s="97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inlineStr">
        <is>
          <t>Nao</t>
        </is>
      </c>
      <c r="W2934" s="110" t="inlineStr">
        <is>
          <t>PC em analise</t>
        </is>
      </c>
      <c r="X2934" s="110" t="inlineStr">
        <is>
          <t>Pedido de Compra</t>
        </is>
      </c>
      <c r="Y2934" s="111" t="inlineStr">
        <is>
          <t>Impacto Potencial</t>
        </is>
      </c>
      <c r="Z2934" s="111" t="inlineStr">
        <is>
          <t>PC</t>
        </is>
      </c>
      <c r="AA2934" s="111" t="inlineStr">
        <is>
          <t>Nao</t>
        </is>
      </c>
      <c r="AB2934" s="111" t="inlineStr">
        <is>
          <t>NAO_COMPUTADO</t>
        </is>
      </c>
      <c r="AC2934" s="112" t="inlineStr">
        <is>
          <t>Estrutura Fase 1: sem impacto no VTA oficial</t>
        </is>
      </c>
    </row>
    <row r="2935" ht="25.5" customHeight="1" s="289">
      <c r="A2935" s="205" t="n"/>
      <c r="B2935" s="207" t="n"/>
      <c r="C2935" s="104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348" t="n"/>
      <c r="E2935" s="349">
        <f>IF(C2935="","",IFERROR(VLOOKUP(C2935,parametros!$A$11:$E$15,5,0),""))</f>
        <v/>
      </c>
      <c r="F2935" s="335">
        <f>IF(OR(D2935="",E2935=""),"",ROUND(D2935*E2935,2))</f>
        <v/>
      </c>
      <c r="G2935" s="106" t="n"/>
      <c r="H2935" s="350">
        <f>IF(G2935="Sim",IF(OR(F2935="",D2935="",L2935=""),"",IF(L2935="Sim",ROUND(F2935-D2935,2),0)),0)</f>
        <v/>
      </c>
      <c r="I2935" s="350">
        <f>IF(G2935="Sim",0,IF(OR(F2935="",L2935=""),"",F2935))</f>
        <v/>
      </c>
      <c r="J2935" s="350">
        <f>IF(G2935="Sim",0,IF(OR(F2935="",D2935="",L2935=""),"",IF(L2935="Sim",ROUND(F2935-D2935,2),0)))</f>
        <v/>
      </c>
      <c r="K2935" s="97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inlineStr">
        <is>
          <t>Nao</t>
        </is>
      </c>
      <c r="W2935" s="110" t="inlineStr">
        <is>
          <t>PC em analise</t>
        </is>
      </c>
      <c r="X2935" s="110" t="inlineStr">
        <is>
          <t>Pedido de Compra</t>
        </is>
      </c>
      <c r="Y2935" s="111" t="inlineStr">
        <is>
          <t>Impacto Potencial</t>
        </is>
      </c>
      <c r="Z2935" s="111" t="inlineStr">
        <is>
          <t>PC</t>
        </is>
      </c>
      <c r="AA2935" s="111" t="inlineStr">
        <is>
          <t>Nao</t>
        </is>
      </c>
      <c r="AB2935" s="111" t="inlineStr">
        <is>
          <t>NAO_COMPUTADO</t>
        </is>
      </c>
      <c r="AC2935" s="112" t="inlineStr">
        <is>
          <t>Estrutura Fase 1: sem impacto no VTA oficial</t>
        </is>
      </c>
    </row>
    <row r="2936" ht="25.5" customHeight="1" s="289">
      <c r="A2936" s="205" t="n"/>
      <c r="B2936" s="207" t="n"/>
      <c r="C2936" s="104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348" t="n"/>
      <c r="E2936" s="349">
        <f>IF(C2936="","",IFERROR(VLOOKUP(C2936,parametros!$A$11:$E$15,5,0),""))</f>
        <v/>
      </c>
      <c r="F2936" s="335">
        <f>IF(OR(D2936="",E2936=""),"",ROUND(D2936*E2936,2))</f>
        <v/>
      </c>
      <c r="G2936" s="106" t="n"/>
      <c r="H2936" s="350">
        <f>IF(G2936="Sim",IF(OR(F2936="",D2936="",L2936=""),"",IF(L2936="Sim",ROUND(F2936-D2936,2),0)),0)</f>
        <v/>
      </c>
      <c r="I2936" s="350">
        <f>IF(G2936="Sim",0,IF(OR(F2936="",L2936=""),"",F2936))</f>
        <v/>
      </c>
      <c r="J2936" s="350">
        <f>IF(G2936="Sim",0,IF(OR(F2936="",D2936="",L2936=""),"",IF(L2936="Sim",ROUND(F2936-D2936,2),0)))</f>
        <v/>
      </c>
      <c r="K2936" s="97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inlineStr">
        <is>
          <t>Nao</t>
        </is>
      </c>
      <c r="W2936" s="110" t="inlineStr">
        <is>
          <t>PC em analise</t>
        </is>
      </c>
      <c r="X2936" s="110" t="inlineStr">
        <is>
          <t>Pedido de Compra</t>
        </is>
      </c>
      <c r="Y2936" s="111" t="inlineStr">
        <is>
          <t>Impacto Potencial</t>
        </is>
      </c>
      <c r="Z2936" s="111" t="inlineStr">
        <is>
          <t>PC</t>
        </is>
      </c>
      <c r="AA2936" s="111" t="inlineStr">
        <is>
          <t>Nao</t>
        </is>
      </c>
      <c r="AB2936" s="111" t="inlineStr">
        <is>
          <t>NAO_COMPUTADO</t>
        </is>
      </c>
      <c r="AC2936" s="112" t="inlineStr">
        <is>
          <t>Estrutura Fase 1: sem impacto no VTA oficial</t>
        </is>
      </c>
    </row>
    <row r="2937" ht="25.5" customHeight="1" s="289">
      <c r="A2937" s="205" t="n"/>
      <c r="B2937" s="207" t="n"/>
      <c r="C2937" s="104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348" t="n"/>
      <c r="E2937" s="349">
        <f>IF(C2937="","",IFERROR(VLOOKUP(C2937,parametros!$A$11:$E$15,5,0),""))</f>
        <v/>
      </c>
      <c r="F2937" s="335">
        <f>IF(OR(D2937="",E2937=""),"",ROUND(D2937*E2937,2))</f>
        <v/>
      </c>
      <c r="G2937" s="106" t="n"/>
      <c r="H2937" s="350">
        <f>IF(G2937="Sim",IF(OR(F2937="",D2937="",L2937=""),"",IF(L2937="Sim",ROUND(F2937-D2937,2),0)),0)</f>
        <v/>
      </c>
      <c r="I2937" s="350">
        <f>IF(G2937="Sim",0,IF(OR(F2937="",L2937=""),"",F2937))</f>
        <v/>
      </c>
      <c r="J2937" s="350">
        <f>IF(G2937="Sim",0,IF(OR(F2937="",D2937="",L2937=""),"",IF(L2937="Sim",ROUND(F2937-D2937,2),0)))</f>
        <v/>
      </c>
      <c r="K2937" s="97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inlineStr">
        <is>
          <t>Nao</t>
        </is>
      </c>
      <c r="W2937" s="110" t="inlineStr">
        <is>
          <t>PC em analise</t>
        </is>
      </c>
      <c r="X2937" s="110" t="inlineStr">
        <is>
          <t>Pedido de Compra</t>
        </is>
      </c>
      <c r="Y2937" s="111" t="inlineStr">
        <is>
          <t>Impacto Potencial</t>
        </is>
      </c>
      <c r="Z2937" s="111" t="inlineStr">
        <is>
          <t>PC</t>
        </is>
      </c>
      <c r="AA2937" s="111" t="inlineStr">
        <is>
          <t>Nao</t>
        </is>
      </c>
      <c r="AB2937" s="111" t="inlineStr">
        <is>
          <t>NAO_COMPUTADO</t>
        </is>
      </c>
      <c r="AC2937" s="112" t="inlineStr">
        <is>
          <t>Estrutura Fase 1: sem impacto no VTA oficial</t>
        </is>
      </c>
    </row>
    <row r="2938" ht="25.5" customHeight="1" s="289">
      <c r="A2938" s="205" t="n"/>
      <c r="B2938" s="207" t="n"/>
      <c r="C2938" s="104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348" t="n"/>
      <c r="E2938" s="349">
        <f>IF(C2938="","",IFERROR(VLOOKUP(C2938,parametros!$A$11:$E$15,5,0),""))</f>
        <v/>
      </c>
      <c r="F2938" s="335">
        <f>IF(OR(D2938="",E2938=""),"",ROUND(D2938*E2938,2))</f>
        <v/>
      </c>
      <c r="G2938" s="106" t="n"/>
      <c r="H2938" s="350">
        <f>IF(G2938="Sim",IF(OR(F2938="",D2938="",L2938=""),"",IF(L2938="Sim",ROUND(F2938-D2938,2),0)),0)</f>
        <v/>
      </c>
      <c r="I2938" s="350">
        <f>IF(G2938="Sim",0,IF(OR(F2938="",L2938=""),"",F2938))</f>
        <v/>
      </c>
      <c r="J2938" s="350">
        <f>IF(G2938="Sim",0,IF(OR(F2938="",D2938="",L2938=""),"",IF(L2938="Sim",ROUND(F2938-D2938,2),0)))</f>
        <v/>
      </c>
      <c r="K2938" s="97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inlineStr">
        <is>
          <t>Nao</t>
        </is>
      </c>
      <c r="W2938" s="110" t="inlineStr">
        <is>
          <t>PC em analise</t>
        </is>
      </c>
      <c r="X2938" s="110" t="inlineStr">
        <is>
          <t>Pedido de Compra</t>
        </is>
      </c>
      <c r="Y2938" s="111" t="inlineStr">
        <is>
          <t>Impacto Potencial</t>
        </is>
      </c>
      <c r="Z2938" s="111" t="inlineStr">
        <is>
          <t>PC</t>
        </is>
      </c>
      <c r="AA2938" s="111" t="inlineStr">
        <is>
          <t>Nao</t>
        </is>
      </c>
      <c r="AB2938" s="111" t="inlineStr">
        <is>
          <t>NAO_COMPUTADO</t>
        </is>
      </c>
      <c r="AC2938" s="112" t="inlineStr">
        <is>
          <t>Estrutura Fase 1: sem impacto no VTA oficial</t>
        </is>
      </c>
    </row>
    <row r="2939" ht="25.5" customHeight="1" s="289">
      <c r="A2939" s="205" t="n"/>
      <c r="B2939" s="207" t="n"/>
      <c r="C2939" s="104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348" t="n"/>
      <c r="E2939" s="349">
        <f>IF(C2939="","",IFERROR(VLOOKUP(C2939,parametros!$A$11:$E$15,5,0),""))</f>
        <v/>
      </c>
      <c r="F2939" s="335">
        <f>IF(OR(D2939="",E2939=""),"",ROUND(D2939*E2939,2))</f>
        <v/>
      </c>
      <c r="G2939" s="106" t="n"/>
      <c r="H2939" s="350">
        <f>IF(G2939="Sim",IF(OR(F2939="",D2939="",L2939=""),"",IF(L2939="Sim",ROUND(F2939-D2939,2),0)),0)</f>
        <v/>
      </c>
      <c r="I2939" s="350">
        <f>IF(G2939="Sim",0,IF(OR(F2939="",L2939=""),"",F2939))</f>
        <v/>
      </c>
      <c r="J2939" s="350">
        <f>IF(G2939="Sim",0,IF(OR(F2939="",D2939="",L2939=""),"",IF(L2939="Sim",ROUND(F2939-D2939,2),0)))</f>
        <v/>
      </c>
      <c r="K2939" s="97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inlineStr">
        <is>
          <t>Nao</t>
        </is>
      </c>
      <c r="W2939" s="110" t="inlineStr">
        <is>
          <t>PC em analise</t>
        </is>
      </c>
      <c r="X2939" s="110" t="inlineStr">
        <is>
          <t>Pedido de Compra</t>
        </is>
      </c>
      <c r="Y2939" s="111" t="inlineStr">
        <is>
          <t>Impacto Potencial</t>
        </is>
      </c>
      <c r="Z2939" s="111" t="inlineStr">
        <is>
          <t>PC</t>
        </is>
      </c>
      <c r="AA2939" s="111" t="inlineStr">
        <is>
          <t>Nao</t>
        </is>
      </c>
      <c r="AB2939" s="111" t="inlineStr">
        <is>
          <t>NAO_COMPUTADO</t>
        </is>
      </c>
      <c r="AC2939" s="112" t="inlineStr">
        <is>
          <t>Estrutura Fase 1: sem impacto no VTA oficial</t>
        </is>
      </c>
    </row>
    <row r="2940" ht="25.5" customHeight="1" s="289">
      <c r="A2940" s="205" t="n"/>
      <c r="B2940" s="207" t="n"/>
      <c r="C2940" s="104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348" t="n"/>
      <c r="E2940" s="349">
        <f>IF(C2940="","",IFERROR(VLOOKUP(C2940,parametros!$A$11:$E$15,5,0),""))</f>
        <v/>
      </c>
      <c r="F2940" s="335">
        <f>IF(OR(D2940="",E2940=""),"",ROUND(D2940*E2940,2))</f>
        <v/>
      </c>
      <c r="G2940" s="106" t="n"/>
      <c r="H2940" s="350">
        <f>IF(G2940="Sim",IF(OR(F2940="",D2940="",L2940=""),"",IF(L2940="Sim",ROUND(F2940-D2940,2),0)),0)</f>
        <v/>
      </c>
      <c r="I2940" s="350">
        <f>IF(G2940="Sim",0,IF(OR(F2940="",L2940=""),"",F2940))</f>
        <v/>
      </c>
      <c r="J2940" s="350">
        <f>IF(G2940="Sim",0,IF(OR(F2940="",D2940="",L2940=""),"",IF(L2940="Sim",ROUND(F2940-D2940,2),0)))</f>
        <v/>
      </c>
      <c r="K2940" s="97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inlineStr">
        <is>
          <t>Nao</t>
        </is>
      </c>
      <c r="W2940" s="110" t="inlineStr">
        <is>
          <t>PC em analise</t>
        </is>
      </c>
      <c r="X2940" s="110" t="inlineStr">
        <is>
          <t>Pedido de Compra</t>
        </is>
      </c>
      <c r="Y2940" s="111" t="inlineStr">
        <is>
          <t>Impacto Potencial</t>
        </is>
      </c>
      <c r="Z2940" s="111" t="inlineStr">
        <is>
          <t>PC</t>
        </is>
      </c>
      <c r="AA2940" s="111" t="inlineStr">
        <is>
          <t>Nao</t>
        </is>
      </c>
      <c r="AB2940" s="111" t="inlineStr">
        <is>
          <t>NAO_COMPUTADO</t>
        </is>
      </c>
      <c r="AC2940" s="112" t="inlineStr">
        <is>
          <t>Estrutura Fase 1: sem impacto no VTA oficial</t>
        </is>
      </c>
    </row>
    <row r="2941" ht="25.5" customHeight="1" s="289">
      <c r="A2941" s="205" t="n"/>
      <c r="B2941" s="207" t="n"/>
      <c r="C2941" s="104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348" t="n"/>
      <c r="E2941" s="349">
        <f>IF(C2941="","",IFERROR(VLOOKUP(C2941,parametros!$A$11:$E$15,5,0),""))</f>
        <v/>
      </c>
      <c r="F2941" s="335">
        <f>IF(OR(D2941="",E2941=""),"",ROUND(D2941*E2941,2))</f>
        <v/>
      </c>
      <c r="G2941" s="106" t="n"/>
      <c r="H2941" s="350">
        <f>IF(G2941="Sim",IF(OR(F2941="",D2941="",L2941=""),"",IF(L2941="Sim",ROUND(F2941-D2941,2),0)),0)</f>
        <v/>
      </c>
      <c r="I2941" s="350">
        <f>IF(G2941="Sim",0,IF(OR(F2941="",L2941=""),"",F2941))</f>
        <v/>
      </c>
      <c r="J2941" s="350">
        <f>IF(G2941="Sim",0,IF(OR(F2941="",D2941="",L2941=""),"",IF(L2941="Sim",ROUND(F2941-D2941,2),0)))</f>
        <v/>
      </c>
      <c r="K2941" s="97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inlineStr">
        <is>
          <t>Nao</t>
        </is>
      </c>
      <c r="W2941" s="110" t="inlineStr">
        <is>
          <t>PC em analise</t>
        </is>
      </c>
      <c r="X2941" s="110" t="inlineStr">
        <is>
          <t>Pedido de Compra</t>
        </is>
      </c>
      <c r="Y2941" s="111" t="inlineStr">
        <is>
          <t>Impacto Potencial</t>
        </is>
      </c>
      <c r="Z2941" s="111" t="inlineStr">
        <is>
          <t>PC</t>
        </is>
      </c>
      <c r="AA2941" s="111" t="inlineStr">
        <is>
          <t>Nao</t>
        </is>
      </c>
      <c r="AB2941" s="111" t="inlineStr">
        <is>
          <t>NAO_COMPUTADO</t>
        </is>
      </c>
      <c r="AC2941" s="112" t="inlineStr">
        <is>
          <t>Estrutura Fase 1: sem impacto no VTA oficial</t>
        </is>
      </c>
    </row>
    <row r="2942" ht="25.5" customHeight="1" s="289">
      <c r="A2942" s="205" t="n"/>
      <c r="B2942" s="207" t="n"/>
      <c r="C2942" s="104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348" t="n"/>
      <c r="E2942" s="349">
        <f>IF(C2942="","",IFERROR(VLOOKUP(C2942,parametros!$A$11:$E$15,5,0),""))</f>
        <v/>
      </c>
      <c r="F2942" s="335">
        <f>IF(OR(D2942="",E2942=""),"",ROUND(D2942*E2942,2))</f>
        <v/>
      </c>
      <c r="G2942" s="106" t="n"/>
      <c r="H2942" s="350">
        <f>IF(G2942="Sim",IF(OR(F2942="",D2942="",L2942=""),"",IF(L2942="Sim",ROUND(F2942-D2942,2),0)),0)</f>
        <v/>
      </c>
      <c r="I2942" s="350">
        <f>IF(G2942="Sim",0,IF(OR(F2942="",L2942=""),"",F2942))</f>
        <v/>
      </c>
      <c r="J2942" s="350">
        <f>IF(G2942="Sim",0,IF(OR(F2942="",D2942="",L2942=""),"",IF(L2942="Sim",ROUND(F2942-D2942,2),0)))</f>
        <v/>
      </c>
      <c r="K2942" s="97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inlineStr">
        <is>
          <t>Nao</t>
        </is>
      </c>
      <c r="W2942" s="110" t="inlineStr">
        <is>
          <t>PC em analise</t>
        </is>
      </c>
      <c r="X2942" s="110" t="inlineStr">
        <is>
          <t>Pedido de Compra</t>
        </is>
      </c>
      <c r="Y2942" s="111" t="inlineStr">
        <is>
          <t>Impacto Potencial</t>
        </is>
      </c>
      <c r="Z2942" s="111" t="inlineStr">
        <is>
          <t>PC</t>
        </is>
      </c>
      <c r="AA2942" s="111" t="inlineStr">
        <is>
          <t>Nao</t>
        </is>
      </c>
      <c r="AB2942" s="111" t="inlineStr">
        <is>
          <t>NAO_COMPUTADO</t>
        </is>
      </c>
      <c r="AC2942" s="112" t="inlineStr">
        <is>
          <t>Estrutura Fase 1: sem impacto no VTA oficial</t>
        </is>
      </c>
    </row>
    <row r="2943" ht="25.5" customHeight="1" s="289">
      <c r="A2943" s="205" t="n"/>
      <c r="B2943" s="207" t="n"/>
      <c r="C2943" s="104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348" t="n"/>
      <c r="E2943" s="349">
        <f>IF(C2943="","",IFERROR(VLOOKUP(C2943,parametros!$A$11:$E$15,5,0),""))</f>
        <v/>
      </c>
      <c r="F2943" s="335">
        <f>IF(OR(D2943="",E2943=""),"",ROUND(D2943*E2943,2))</f>
        <v/>
      </c>
      <c r="G2943" s="106" t="n"/>
      <c r="H2943" s="350">
        <f>IF(G2943="Sim",IF(OR(F2943="",D2943="",L2943=""),"",IF(L2943="Sim",ROUND(F2943-D2943,2),0)),0)</f>
        <v/>
      </c>
      <c r="I2943" s="350">
        <f>IF(G2943="Sim",0,IF(OR(F2943="",L2943=""),"",F2943))</f>
        <v/>
      </c>
      <c r="J2943" s="350">
        <f>IF(G2943="Sim",0,IF(OR(F2943="",D2943="",L2943=""),"",IF(L2943="Sim",ROUND(F2943-D2943,2),0)))</f>
        <v/>
      </c>
      <c r="K2943" s="97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inlineStr">
        <is>
          <t>Nao</t>
        </is>
      </c>
      <c r="W2943" s="110" t="inlineStr">
        <is>
          <t>PC em analise</t>
        </is>
      </c>
      <c r="X2943" s="110" t="inlineStr">
        <is>
          <t>Pedido de Compra</t>
        </is>
      </c>
      <c r="Y2943" s="111" t="inlineStr">
        <is>
          <t>Impacto Potencial</t>
        </is>
      </c>
      <c r="Z2943" s="111" t="inlineStr">
        <is>
          <t>PC</t>
        </is>
      </c>
      <c r="AA2943" s="111" t="inlineStr">
        <is>
          <t>Nao</t>
        </is>
      </c>
      <c r="AB2943" s="111" t="inlineStr">
        <is>
          <t>NAO_COMPUTADO</t>
        </is>
      </c>
      <c r="AC2943" s="112" t="inlineStr">
        <is>
          <t>Estrutura Fase 1: sem impacto no VTA oficial</t>
        </is>
      </c>
    </row>
    <row r="2944" ht="25.5" customHeight="1" s="289">
      <c r="A2944" s="205" t="n"/>
      <c r="B2944" s="207" t="n"/>
      <c r="C2944" s="104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348" t="n"/>
      <c r="E2944" s="349">
        <f>IF(C2944="","",IFERROR(VLOOKUP(C2944,parametros!$A$11:$E$15,5,0),""))</f>
        <v/>
      </c>
      <c r="F2944" s="335">
        <f>IF(OR(D2944="",E2944=""),"",ROUND(D2944*E2944,2))</f>
        <v/>
      </c>
      <c r="G2944" s="106" t="n"/>
      <c r="H2944" s="350">
        <f>IF(G2944="Sim",IF(OR(F2944="",D2944="",L2944=""),"",IF(L2944="Sim",ROUND(F2944-D2944,2),0)),0)</f>
        <v/>
      </c>
      <c r="I2944" s="350">
        <f>IF(G2944="Sim",0,IF(OR(F2944="",L2944=""),"",F2944))</f>
        <v/>
      </c>
      <c r="J2944" s="350">
        <f>IF(G2944="Sim",0,IF(OR(F2944="",D2944="",L2944=""),"",IF(L2944="Sim",ROUND(F2944-D2944,2),0)))</f>
        <v/>
      </c>
      <c r="K2944" s="97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inlineStr">
        <is>
          <t>Nao</t>
        </is>
      </c>
      <c r="W2944" s="110" t="inlineStr">
        <is>
          <t>PC em analise</t>
        </is>
      </c>
      <c r="X2944" s="110" t="inlineStr">
        <is>
          <t>Pedido de Compra</t>
        </is>
      </c>
      <c r="Y2944" s="111" t="inlineStr">
        <is>
          <t>Impacto Potencial</t>
        </is>
      </c>
      <c r="Z2944" s="111" t="inlineStr">
        <is>
          <t>PC</t>
        </is>
      </c>
      <c r="AA2944" s="111" t="inlineStr">
        <is>
          <t>Nao</t>
        </is>
      </c>
      <c r="AB2944" s="111" t="inlineStr">
        <is>
          <t>NAO_COMPUTADO</t>
        </is>
      </c>
      <c r="AC2944" s="112" t="inlineStr">
        <is>
          <t>Estrutura Fase 1: sem impacto no VTA oficial</t>
        </is>
      </c>
    </row>
    <row r="2945" ht="25.5" customHeight="1" s="289">
      <c r="A2945" s="205" t="n"/>
      <c r="B2945" s="207" t="n"/>
      <c r="C2945" s="104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348" t="n"/>
      <c r="E2945" s="349">
        <f>IF(C2945="","",IFERROR(VLOOKUP(C2945,parametros!$A$11:$E$15,5,0),""))</f>
        <v/>
      </c>
      <c r="F2945" s="335">
        <f>IF(OR(D2945="",E2945=""),"",ROUND(D2945*E2945,2))</f>
        <v/>
      </c>
      <c r="G2945" s="106" t="n"/>
      <c r="H2945" s="350">
        <f>IF(G2945="Sim",IF(OR(F2945="",D2945="",L2945=""),"",IF(L2945="Sim",ROUND(F2945-D2945,2),0)),0)</f>
        <v/>
      </c>
      <c r="I2945" s="350">
        <f>IF(G2945="Sim",0,IF(OR(F2945="",L2945=""),"",F2945))</f>
        <v/>
      </c>
      <c r="J2945" s="350">
        <f>IF(G2945="Sim",0,IF(OR(F2945="",D2945="",L2945=""),"",IF(L2945="Sim",ROUND(F2945-D2945,2),0)))</f>
        <v/>
      </c>
      <c r="K2945" s="97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inlineStr">
        <is>
          <t>Nao</t>
        </is>
      </c>
      <c r="W2945" s="110" t="inlineStr">
        <is>
          <t>PC em analise</t>
        </is>
      </c>
      <c r="X2945" s="110" t="inlineStr">
        <is>
          <t>Pedido de Compra</t>
        </is>
      </c>
      <c r="Y2945" s="111" t="inlineStr">
        <is>
          <t>Impacto Potencial</t>
        </is>
      </c>
      <c r="Z2945" s="111" t="inlineStr">
        <is>
          <t>PC</t>
        </is>
      </c>
      <c r="AA2945" s="111" t="inlineStr">
        <is>
          <t>Nao</t>
        </is>
      </c>
      <c r="AB2945" s="111" t="inlineStr">
        <is>
          <t>NAO_COMPUTADO</t>
        </is>
      </c>
      <c r="AC2945" s="112" t="inlineStr">
        <is>
          <t>Estrutura Fase 1: sem impacto no VTA oficial</t>
        </is>
      </c>
    </row>
    <row r="2946" ht="25.5" customHeight="1" s="289">
      <c r="A2946" s="205" t="n"/>
      <c r="B2946" s="207" t="n"/>
      <c r="C2946" s="104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348" t="n"/>
      <c r="E2946" s="349">
        <f>IF(C2946="","",IFERROR(VLOOKUP(C2946,parametros!$A$11:$E$15,5,0),""))</f>
        <v/>
      </c>
      <c r="F2946" s="335">
        <f>IF(OR(D2946="",E2946=""),"",ROUND(D2946*E2946,2))</f>
        <v/>
      </c>
      <c r="G2946" s="106" t="n"/>
      <c r="H2946" s="350">
        <f>IF(G2946="Sim",IF(OR(F2946="",D2946="",L2946=""),"",IF(L2946="Sim",ROUND(F2946-D2946,2),0)),0)</f>
        <v/>
      </c>
      <c r="I2946" s="350">
        <f>IF(G2946="Sim",0,IF(OR(F2946="",L2946=""),"",F2946))</f>
        <v/>
      </c>
      <c r="J2946" s="350">
        <f>IF(G2946="Sim",0,IF(OR(F2946="",D2946="",L2946=""),"",IF(L2946="Sim",ROUND(F2946-D2946,2),0)))</f>
        <v/>
      </c>
      <c r="K2946" s="97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inlineStr">
        <is>
          <t>Nao</t>
        </is>
      </c>
      <c r="W2946" s="110" t="inlineStr">
        <is>
          <t>PC em analise</t>
        </is>
      </c>
      <c r="X2946" s="110" t="inlineStr">
        <is>
          <t>Pedido de Compra</t>
        </is>
      </c>
      <c r="Y2946" s="111" t="inlineStr">
        <is>
          <t>Impacto Potencial</t>
        </is>
      </c>
      <c r="Z2946" s="111" t="inlineStr">
        <is>
          <t>PC</t>
        </is>
      </c>
      <c r="AA2946" s="111" t="inlineStr">
        <is>
          <t>Nao</t>
        </is>
      </c>
      <c r="AB2946" s="111" t="inlineStr">
        <is>
          <t>NAO_COMPUTADO</t>
        </is>
      </c>
      <c r="AC2946" s="112" t="inlineStr">
        <is>
          <t>Estrutura Fase 1: sem impacto no VTA oficial</t>
        </is>
      </c>
    </row>
    <row r="2947" ht="25.5" customHeight="1" s="289">
      <c r="A2947" s="205" t="n"/>
      <c r="B2947" s="207" t="n"/>
      <c r="C2947" s="104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348" t="n"/>
      <c r="E2947" s="349">
        <f>IF(C2947="","",IFERROR(VLOOKUP(C2947,parametros!$A$11:$E$15,5,0),""))</f>
        <v/>
      </c>
      <c r="F2947" s="335">
        <f>IF(OR(D2947="",E2947=""),"",ROUND(D2947*E2947,2))</f>
        <v/>
      </c>
      <c r="G2947" s="106" t="n"/>
      <c r="H2947" s="350">
        <f>IF(G2947="Sim",IF(OR(F2947="",D2947="",L2947=""),"",IF(L2947="Sim",ROUND(F2947-D2947,2),0)),0)</f>
        <v/>
      </c>
      <c r="I2947" s="350">
        <f>IF(G2947="Sim",0,IF(OR(F2947="",L2947=""),"",F2947))</f>
        <v/>
      </c>
      <c r="J2947" s="350">
        <f>IF(G2947="Sim",0,IF(OR(F2947="",D2947="",L2947=""),"",IF(L2947="Sim",ROUND(F2947-D2947,2),0)))</f>
        <v/>
      </c>
      <c r="K2947" s="97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inlineStr">
        <is>
          <t>Nao</t>
        </is>
      </c>
      <c r="W2947" s="110" t="inlineStr">
        <is>
          <t>PC em analise</t>
        </is>
      </c>
      <c r="X2947" s="110" t="inlineStr">
        <is>
          <t>Pedido de Compra</t>
        </is>
      </c>
      <c r="Y2947" s="111" t="inlineStr">
        <is>
          <t>Impacto Potencial</t>
        </is>
      </c>
      <c r="Z2947" s="111" t="inlineStr">
        <is>
          <t>PC</t>
        </is>
      </c>
      <c r="AA2947" s="111" t="inlineStr">
        <is>
          <t>Nao</t>
        </is>
      </c>
      <c r="AB2947" s="111" t="inlineStr">
        <is>
          <t>NAO_COMPUTADO</t>
        </is>
      </c>
      <c r="AC2947" s="112" t="inlineStr">
        <is>
          <t>Estrutura Fase 1: sem impacto no VTA oficial</t>
        </is>
      </c>
    </row>
    <row r="2948" ht="25.5" customHeight="1" s="289">
      <c r="A2948" s="205" t="n"/>
      <c r="B2948" s="207" t="n"/>
      <c r="C2948" s="104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348" t="n"/>
      <c r="E2948" s="349">
        <f>IF(C2948="","",IFERROR(VLOOKUP(C2948,parametros!$A$11:$E$15,5,0),""))</f>
        <v/>
      </c>
      <c r="F2948" s="335">
        <f>IF(OR(D2948="",E2948=""),"",ROUND(D2948*E2948,2))</f>
        <v/>
      </c>
      <c r="G2948" s="106" t="n"/>
      <c r="H2948" s="350">
        <f>IF(G2948="Sim",IF(OR(F2948="",D2948="",L2948=""),"",IF(L2948="Sim",ROUND(F2948-D2948,2),0)),0)</f>
        <v/>
      </c>
      <c r="I2948" s="350">
        <f>IF(G2948="Sim",0,IF(OR(F2948="",L2948=""),"",F2948))</f>
        <v/>
      </c>
      <c r="J2948" s="350">
        <f>IF(G2948="Sim",0,IF(OR(F2948="",D2948="",L2948=""),"",IF(L2948="Sim",ROUND(F2948-D2948,2),0)))</f>
        <v/>
      </c>
      <c r="K2948" s="97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inlineStr">
        <is>
          <t>Nao</t>
        </is>
      </c>
      <c r="W2948" s="110" t="inlineStr">
        <is>
          <t>PC em analise</t>
        </is>
      </c>
      <c r="X2948" s="110" t="inlineStr">
        <is>
          <t>Pedido de Compra</t>
        </is>
      </c>
      <c r="Y2948" s="111" t="inlineStr">
        <is>
          <t>Impacto Potencial</t>
        </is>
      </c>
      <c r="Z2948" s="111" t="inlineStr">
        <is>
          <t>PC</t>
        </is>
      </c>
      <c r="AA2948" s="111" t="inlineStr">
        <is>
          <t>Nao</t>
        </is>
      </c>
      <c r="AB2948" s="111" t="inlineStr">
        <is>
          <t>NAO_COMPUTADO</t>
        </is>
      </c>
      <c r="AC2948" s="112" t="inlineStr">
        <is>
          <t>Estrutura Fase 1: sem impacto no VTA oficial</t>
        </is>
      </c>
    </row>
    <row r="2949" ht="25.5" customHeight="1" s="289">
      <c r="A2949" s="205" t="n"/>
      <c r="B2949" s="207" t="n"/>
      <c r="C2949" s="104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348" t="n"/>
      <c r="E2949" s="349">
        <f>IF(C2949="","",IFERROR(VLOOKUP(C2949,parametros!$A$11:$E$15,5,0),""))</f>
        <v/>
      </c>
      <c r="F2949" s="335">
        <f>IF(OR(D2949="",E2949=""),"",ROUND(D2949*E2949,2))</f>
        <v/>
      </c>
      <c r="G2949" s="106" t="n"/>
      <c r="H2949" s="350">
        <f>IF(G2949="Sim",IF(OR(F2949="",D2949="",L2949=""),"",IF(L2949="Sim",ROUND(F2949-D2949,2),0)),0)</f>
        <v/>
      </c>
      <c r="I2949" s="350">
        <f>IF(G2949="Sim",0,IF(OR(F2949="",L2949=""),"",F2949))</f>
        <v/>
      </c>
      <c r="J2949" s="350">
        <f>IF(G2949="Sim",0,IF(OR(F2949="",D2949="",L2949=""),"",IF(L2949="Sim",ROUND(F2949-D2949,2),0)))</f>
        <v/>
      </c>
      <c r="K2949" s="97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inlineStr">
        <is>
          <t>Nao</t>
        </is>
      </c>
      <c r="W2949" s="110" t="inlineStr">
        <is>
          <t>PC em analise</t>
        </is>
      </c>
      <c r="X2949" s="110" t="inlineStr">
        <is>
          <t>Pedido de Compra</t>
        </is>
      </c>
      <c r="Y2949" s="111" t="inlineStr">
        <is>
          <t>Impacto Potencial</t>
        </is>
      </c>
      <c r="Z2949" s="111" t="inlineStr">
        <is>
          <t>PC</t>
        </is>
      </c>
      <c r="AA2949" s="111" t="inlineStr">
        <is>
          <t>Nao</t>
        </is>
      </c>
      <c r="AB2949" s="111" t="inlineStr">
        <is>
          <t>NAO_COMPUTADO</t>
        </is>
      </c>
      <c r="AC2949" s="112" t="inlineStr">
        <is>
          <t>Estrutura Fase 1: sem impacto no VTA oficial</t>
        </is>
      </c>
    </row>
    <row r="2950" ht="25.5" customHeight="1" s="289">
      <c r="A2950" s="205" t="n"/>
      <c r="B2950" s="207" t="n"/>
      <c r="C2950" s="104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348" t="n"/>
      <c r="E2950" s="349">
        <f>IF(C2950="","",IFERROR(VLOOKUP(C2950,parametros!$A$11:$E$15,5,0),""))</f>
        <v/>
      </c>
      <c r="F2950" s="335">
        <f>IF(OR(D2950="",E2950=""),"",ROUND(D2950*E2950,2))</f>
        <v/>
      </c>
      <c r="G2950" s="106" t="n"/>
      <c r="H2950" s="350">
        <f>IF(G2950="Sim",IF(OR(F2950="",D2950="",L2950=""),"",IF(L2950="Sim",ROUND(F2950-D2950,2),0)),0)</f>
        <v/>
      </c>
      <c r="I2950" s="350">
        <f>IF(G2950="Sim",0,IF(OR(F2950="",L2950=""),"",F2950))</f>
        <v/>
      </c>
      <c r="J2950" s="350">
        <f>IF(G2950="Sim",0,IF(OR(F2950="",D2950="",L2950=""),"",IF(L2950="Sim",ROUND(F2950-D2950,2),0)))</f>
        <v/>
      </c>
      <c r="K2950" s="97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inlineStr">
        <is>
          <t>Nao</t>
        </is>
      </c>
      <c r="W2950" s="110" t="inlineStr">
        <is>
          <t>PC em analise</t>
        </is>
      </c>
      <c r="X2950" s="110" t="inlineStr">
        <is>
          <t>Pedido de Compra</t>
        </is>
      </c>
      <c r="Y2950" s="111" t="inlineStr">
        <is>
          <t>Impacto Potencial</t>
        </is>
      </c>
      <c r="Z2950" s="111" t="inlineStr">
        <is>
          <t>PC</t>
        </is>
      </c>
      <c r="AA2950" s="111" t="inlineStr">
        <is>
          <t>Nao</t>
        </is>
      </c>
      <c r="AB2950" s="111" t="inlineStr">
        <is>
          <t>NAO_COMPUTADO</t>
        </is>
      </c>
      <c r="AC2950" s="112" t="inlineStr">
        <is>
          <t>Estrutura Fase 1: sem impacto no VTA oficial</t>
        </is>
      </c>
    </row>
    <row r="2951" ht="25.5" customHeight="1" s="289">
      <c r="A2951" s="205" t="n"/>
      <c r="B2951" s="207" t="n"/>
      <c r="C2951" s="104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348" t="n"/>
      <c r="E2951" s="349">
        <f>IF(C2951="","",IFERROR(VLOOKUP(C2951,parametros!$A$11:$E$15,5,0),""))</f>
        <v/>
      </c>
      <c r="F2951" s="335">
        <f>IF(OR(D2951="",E2951=""),"",ROUND(D2951*E2951,2))</f>
        <v/>
      </c>
      <c r="G2951" s="106" t="n"/>
      <c r="H2951" s="350">
        <f>IF(G2951="Sim",IF(OR(F2951="",D2951="",L2951=""),"",IF(L2951="Sim",ROUND(F2951-D2951,2),0)),0)</f>
        <v/>
      </c>
      <c r="I2951" s="350">
        <f>IF(G2951="Sim",0,IF(OR(F2951="",L2951=""),"",F2951))</f>
        <v/>
      </c>
      <c r="J2951" s="350">
        <f>IF(G2951="Sim",0,IF(OR(F2951="",D2951="",L2951=""),"",IF(L2951="Sim",ROUND(F2951-D2951,2),0)))</f>
        <v/>
      </c>
      <c r="K2951" s="97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inlineStr">
        <is>
          <t>Nao</t>
        </is>
      </c>
      <c r="W2951" s="110" t="inlineStr">
        <is>
          <t>PC em analise</t>
        </is>
      </c>
      <c r="X2951" s="110" t="inlineStr">
        <is>
          <t>Pedido de Compra</t>
        </is>
      </c>
      <c r="Y2951" s="111" t="inlineStr">
        <is>
          <t>Impacto Potencial</t>
        </is>
      </c>
      <c r="Z2951" s="111" t="inlineStr">
        <is>
          <t>PC</t>
        </is>
      </c>
      <c r="AA2951" s="111" t="inlineStr">
        <is>
          <t>Nao</t>
        </is>
      </c>
      <c r="AB2951" s="111" t="inlineStr">
        <is>
          <t>NAO_COMPUTADO</t>
        </is>
      </c>
      <c r="AC2951" s="112" t="inlineStr">
        <is>
          <t>Estrutura Fase 1: sem impacto no VTA oficial</t>
        </is>
      </c>
    </row>
    <row r="2952" ht="25.5" customHeight="1" s="289">
      <c r="A2952" s="205" t="n"/>
      <c r="B2952" s="207" t="n"/>
      <c r="C2952" s="104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348" t="n"/>
      <c r="E2952" s="349">
        <f>IF(C2952="","",IFERROR(VLOOKUP(C2952,parametros!$A$11:$E$15,5,0),""))</f>
        <v/>
      </c>
      <c r="F2952" s="335">
        <f>IF(OR(D2952="",E2952=""),"",ROUND(D2952*E2952,2))</f>
        <v/>
      </c>
      <c r="G2952" s="106" t="n"/>
      <c r="H2952" s="350">
        <f>IF(G2952="Sim",IF(OR(F2952="",D2952="",L2952=""),"",IF(L2952="Sim",ROUND(F2952-D2952,2),0)),0)</f>
        <v/>
      </c>
      <c r="I2952" s="350">
        <f>IF(G2952="Sim",0,IF(OR(F2952="",L2952=""),"",F2952))</f>
        <v/>
      </c>
      <c r="J2952" s="350">
        <f>IF(G2952="Sim",0,IF(OR(F2952="",D2952="",L2952=""),"",IF(L2952="Sim",ROUND(F2952-D2952,2),0)))</f>
        <v/>
      </c>
      <c r="K2952" s="97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inlineStr">
        <is>
          <t>Nao</t>
        </is>
      </c>
      <c r="W2952" s="110" t="inlineStr">
        <is>
          <t>PC em analise</t>
        </is>
      </c>
      <c r="X2952" s="110" t="inlineStr">
        <is>
          <t>Pedido de Compra</t>
        </is>
      </c>
      <c r="Y2952" s="111" t="inlineStr">
        <is>
          <t>Impacto Potencial</t>
        </is>
      </c>
      <c r="Z2952" s="111" t="inlineStr">
        <is>
          <t>PC</t>
        </is>
      </c>
      <c r="AA2952" s="111" t="inlineStr">
        <is>
          <t>Nao</t>
        </is>
      </c>
      <c r="AB2952" s="111" t="inlineStr">
        <is>
          <t>NAO_COMPUTADO</t>
        </is>
      </c>
      <c r="AC2952" s="112" t="inlineStr">
        <is>
          <t>Estrutura Fase 1: sem impacto no VTA oficial</t>
        </is>
      </c>
    </row>
    <row r="2953" ht="25.5" customHeight="1" s="289">
      <c r="A2953" s="205" t="n"/>
      <c r="B2953" s="207" t="n"/>
      <c r="C2953" s="104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348" t="n"/>
      <c r="E2953" s="349">
        <f>IF(C2953="","",IFERROR(VLOOKUP(C2953,parametros!$A$11:$E$15,5,0),""))</f>
        <v/>
      </c>
      <c r="F2953" s="335">
        <f>IF(OR(D2953="",E2953=""),"",ROUND(D2953*E2953,2))</f>
        <v/>
      </c>
      <c r="G2953" s="106" t="n"/>
      <c r="H2953" s="350">
        <f>IF(G2953="Sim",IF(OR(F2953="",D2953="",L2953=""),"",IF(L2953="Sim",ROUND(F2953-D2953,2),0)),0)</f>
        <v/>
      </c>
      <c r="I2953" s="350">
        <f>IF(G2953="Sim",0,IF(OR(F2953="",L2953=""),"",F2953))</f>
        <v/>
      </c>
      <c r="J2953" s="350">
        <f>IF(G2953="Sim",0,IF(OR(F2953="",D2953="",L2953=""),"",IF(L2953="Sim",ROUND(F2953-D2953,2),0)))</f>
        <v/>
      </c>
      <c r="K2953" s="97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inlineStr">
        <is>
          <t>Nao</t>
        </is>
      </c>
      <c r="W2953" s="110" t="inlineStr">
        <is>
          <t>PC em analise</t>
        </is>
      </c>
      <c r="X2953" s="110" t="inlineStr">
        <is>
          <t>Pedido de Compra</t>
        </is>
      </c>
      <c r="Y2953" s="111" t="inlineStr">
        <is>
          <t>Impacto Potencial</t>
        </is>
      </c>
      <c r="Z2953" s="111" t="inlineStr">
        <is>
          <t>PC</t>
        </is>
      </c>
      <c r="AA2953" s="111" t="inlineStr">
        <is>
          <t>Nao</t>
        </is>
      </c>
      <c r="AB2953" s="111" t="inlineStr">
        <is>
          <t>NAO_COMPUTADO</t>
        </is>
      </c>
      <c r="AC2953" s="112" t="inlineStr">
        <is>
          <t>Estrutura Fase 1: sem impacto no VTA oficial</t>
        </is>
      </c>
    </row>
    <row r="2954" ht="25.5" customHeight="1" s="289">
      <c r="A2954" s="205" t="n"/>
      <c r="B2954" s="207" t="n"/>
      <c r="C2954" s="104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348" t="n"/>
      <c r="E2954" s="349">
        <f>IF(C2954="","",IFERROR(VLOOKUP(C2954,parametros!$A$11:$E$15,5,0),""))</f>
        <v/>
      </c>
      <c r="F2954" s="335">
        <f>IF(OR(D2954="",E2954=""),"",ROUND(D2954*E2954,2))</f>
        <v/>
      </c>
      <c r="G2954" s="106" t="n"/>
      <c r="H2954" s="350">
        <f>IF(G2954="Sim",IF(OR(F2954="",D2954="",L2954=""),"",IF(L2954="Sim",ROUND(F2954-D2954,2),0)),0)</f>
        <v/>
      </c>
      <c r="I2954" s="350">
        <f>IF(G2954="Sim",0,IF(OR(F2954="",L2954=""),"",F2954))</f>
        <v/>
      </c>
      <c r="J2954" s="350">
        <f>IF(G2954="Sim",0,IF(OR(F2954="",D2954="",L2954=""),"",IF(L2954="Sim",ROUND(F2954-D2954,2),0)))</f>
        <v/>
      </c>
      <c r="K2954" s="97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inlineStr">
        <is>
          <t>Nao</t>
        </is>
      </c>
      <c r="W2954" s="110" t="inlineStr">
        <is>
          <t>PC em analise</t>
        </is>
      </c>
      <c r="X2954" s="110" t="inlineStr">
        <is>
          <t>Pedido de Compra</t>
        </is>
      </c>
      <c r="Y2954" s="111" t="inlineStr">
        <is>
          <t>Impacto Potencial</t>
        </is>
      </c>
      <c r="Z2954" s="111" t="inlineStr">
        <is>
          <t>PC</t>
        </is>
      </c>
      <c r="AA2954" s="111" t="inlineStr">
        <is>
          <t>Nao</t>
        </is>
      </c>
      <c r="AB2954" s="111" t="inlineStr">
        <is>
          <t>NAO_COMPUTADO</t>
        </is>
      </c>
      <c r="AC2954" s="112" t="inlineStr">
        <is>
          <t>Estrutura Fase 1: sem impacto no VTA oficial</t>
        </is>
      </c>
    </row>
    <row r="2955" ht="25.5" customHeight="1" s="289">
      <c r="A2955" s="205" t="n"/>
      <c r="B2955" s="207" t="n"/>
      <c r="C2955" s="104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348" t="n"/>
      <c r="E2955" s="349">
        <f>IF(C2955="","",IFERROR(VLOOKUP(C2955,parametros!$A$11:$E$15,5,0),""))</f>
        <v/>
      </c>
      <c r="F2955" s="335">
        <f>IF(OR(D2955="",E2955=""),"",ROUND(D2955*E2955,2))</f>
        <v/>
      </c>
      <c r="G2955" s="106" t="n"/>
      <c r="H2955" s="350">
        <f>IF(G2955="Sim",IF(OR(F2955="",D2955="",L2955=""),"",IF(L2955="Sim",ROUND(F2955-D2955,2),0)),0)</f>
        <v/>
      </c>
      <c r="I2955" s="350">
        <f>IF(G2955="Sim",0,IF(OR(F2955="",L2955=""),"",F2955))</f>
        <v/>
      </c>
      <c r="J2955" s="350">
        <f>IF(G2955="Sim",0,IF(OR(F2955="",D2955="",L2955=""),"",IF(L2955="Sim",ROUND(F2955-D2955,2),0)))</f>
        <v/>
      </c>
      <c r="K2955" s="97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inlineStr">
        <is>
          <t>Nao</t>
        </is>
      </c>
      <c r="W2955" s="110" t="inlineStr">
        <is>
          <t>PC em analise</t>
        </is>
      </c>
      <c r="X2955" s="110" t="inlineStr">
        <is>
          <t>Pedido de Compra</t>
        </is>
      </c>
      <c r="Y2955" s="111" t="inlineStr">
        <is>
          <t>Impacto Potencial</t>
        </is>
      </c>
      <c r="Z2955" s="111" t="inlineStr">
        <is>
          <t>PC</t>
        </is>
      </c>
      <c r="AA2955" s="111" t="inlineStr">
        <is>
          <t>Nao</t>
        </is>
      </c>
      <c r="AB2955" s="111" t="inlineStr">
        <is>
          <t>NAO_COMPUTADO</t>
        </is>
      </c>
      <c r="AC2955" s="112" t="inlineStr">
        <is>
          <t>Estrutura Fase 1: sem impacto no VTA oficial</t>
        </is>
      </c>
    </row>
    <row r="2956" ht="25.5" customHeight="1" s="289">
      <c r="A2956" s="205" t="n"/>
      <c r="B2956" s="207" t="n"/>
      <c r="C2956" s="104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348" t="n"/>
      <c r="E2956" s="349">
        <f>IF(C2956="","",IFERROR(VLOOKUP(C2956,parametros!$A$11:$E$15,5,0),""))</f>
        <v/>
      </c>
      <c r="F2956" s="335">
        <f>IF(OR(D2956="",E2956=""),"",ROUND(D2956*E2956,2))</f>
        <v/>
      </c>
      <c r="G2956" s="106" t="n"/>
      <c r="H2956" s="350">
        <f>IF(G2956="Sim",IF(OR(F2956="",D2956="",L2956=""),"",IF(L2956="Sim",ROUND(F2956-D2956,2),0)),0)</f>
        <v/>
      </c>
      <c r="I2956" s="350">
        <f>IF(G2956="Sim",0,IF(OR(F2956="",L2956=""),"",F2956))</f>
        <v/>
      </c>
      <c r="J2956" s="350">
        <f>IF(G2956="Sim",0,IF(OR(F2956="",D2956="",L2956=""),"",IF(L2956="Sim",ROUND(F2956-D2956,2),0)))</f>
        <v/>
      </c>
      <c r="K2956" s="97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inlineStr">
        <is>
          <t>Nao</t>
        </is>
      </c>
      <c r="W2956" s="110" t="inlineStr">
        <is>
          <t>PC em analise</t>
        </is>
      </c>
      <c r="X2956" s="110" t="inlineStr">
        <is>
          <t>Pedido de Compra</t>
        </is>
      </c>
      <c r="Y2956" s="111" t="inlineStr">
        <is>
          <t>Impacto Potencial</t>
        </is>
      </c>
      <c r="Z2956" s="111" t="inlineStr">
        <is>
          <t>PC</t>
        </is>
      </c>
      <c r="AA2956" s="111" t="inlineStr">
        <is>
          <t>Nao</t>
        </is>
      </c>
      <c r="AB2956" s="111" t="inlineStr">
        <is>
          <t>NAO_COMPUTADO</t>
        </is>
      </c>
      <c r="AC2956" s="112" t="inlineStr">
        <is>
          <t>Estrutura Fase 1: sem impacto no VTA oficial</t>
        </is>
      </c>
    </row>
    <row r="2957" ht="25.5" customHeight="1" s="289">
      <c r="A2957" s="205" t="n"/>
      <c r="B2957" s="207" t="n"/>
      <c r="C2957" s="104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348" t="n"/>
      <c r="E2957" s="349">
        <f>IF(C2957="","",IFERROR(VLOOKUP(C2957,parametros!$A$11:$E$15,5,0),""))</f>
        <v/>
      </c>
      <c r="F2957" s="335">
        <f>IF(OR(D2957="",E2957=""),"",ROUND(D2957*E2957,2))</f>
        <v/>
      </c>
      <c r="G2957" s="106" t="n"/>
      <c r="H2957" s="350">
        <f>IF(G2957="Sim",IF(OR(F2957="",D2957="",L2957=""),"",IF(L2957="Sim",ROUND(F2957-D2957,2),0)),0)</f>
        <v/>
      </c>
      <c r="I2957" s="350">
        <f>IF(G2957="Sim",0,IF(OR(F2957="",L2957=""),"",F2957))</f>
        <v/>
      </c>
      <c r="J2957" s="350">
        <f>IF(G2957="Sim",0,IF(OR(F2957="",D2957="",L2957=""),"",IF(L2957="Sim",ROUND(F2957-D2957,2),0)))</f>
        <v/>
      </c>
      <c r="K2957" s="97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inlineStr">
        <is>
          <t>Nao</t>
        </is>
      </c>
      <c r="W2957" s="110" t="inlineStr">
        <is>
          <t>PC em analise</t>
        </is>
      </c>
      <c r="X2957" s="110" t="inlineStr">
        <is>
          <t>Pedido de Compra</t>
        </is>
      </c>
      <c r="Y2957" s="111" t="inlineStr">
        <is>
          <t>Impacto Potencial</t>
        </is>
      </c>
      <c r="Z2957" s="111" t="inlineStr">
        <is>
          <t>PC</t>
        </is>
      </c>
      <c r="AA2957" s="111" t="inlineStr">
        <is>
          <t>Nao</t>
        </is>
      </c>
      <c r="AB2957" s="111" t="inlineStr">
        <is>
          <t>NAO_COMPUTADO</t>
        </is>
      </c>
      <c r="AC2957" s="112" t="inlineStr">
        <is>
          <t>Estrutura Fase 1: sem impacto no VTA oficial</t>
        </is>
      </c>
    </row>
    <row r="2958" ht="25.5" customHeight="1" s="289">
      <c r="A2958" s="205" t="n"/>
      <c r="B2958" s="207" t="n"/>
      <c r="C2958" s="104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348" t="n"/>
      <c r="E2958" s="349">
        <f>IF(C2958="","",IFERROR(VLOOKUP(C2958,parametros!$A$11:$E$15,5,0),""))</f>
        <v/>
      </c>
      <c r="F2958" s="335">
        <f>IF(OR(D2958="",E2958=""),"",ROUND(D2958*E2958,2))</f>
        <v/>
      </c>
      <c r="G2958" s="106" t="n"/>
      <c r="H2958" s="350">
        <f>IF(G2958="Sim",IF(OR(F2958="",D2958="",L2958=""),"",IF(L2958="Sim",ROUND(F2958-D2958,2),0)),0)</f>
        <v/>
      </c>
      <c r="I2958" s="350">
        <f>IF(G2958="Sim",0,IF(OR(F2958="",L2958=""),"",F2958))</f>
        <v/>
      </c>
      <c r="J2958" s="350">
        <f>IF(G2958="Sim",0,IF(OR(F2958="",D2958="",L2958=""),"",IF(L2958="Sim",ROUND(F2958-D2958,2),0)))</f>
        <v/>
      </c>
      <c r="K2958" s="97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inlineStr">
        <is>
          <t>Nao</t>
        </is>
      </c>
      <c r="W2958" s="110" t="inlineStr">
        <is>
          <t>PC em analise</t>
        </is>
      </c>
      <c r="X2958" s="110" t="inlineStr">
        <is>
          <t>Pedido de Compra</t>
        </is>
      </c>
      <c r="Y2958" s="111" t="inlineStr">
        <is>
          <t>Impacto Potencial</t>
        </is>
      </c>
      <c r="Z2958" s="111" t="inlineStr">
        <is>
          <t>PC</t>
        </is>
      </c>
      <c r="AA2958" s="111" t="inlineStr">
        <is>
          <t>Nao</t>
        </is>
      </c>
      <c r="AB2958" s="111" t="inlineStr">
        <is>
          <t>NAO_COMPUTADO</t>
        </is>
      </c>
      <c r="AC2958" s="112" t="inlineStr">
        <is>
          <t>Estrutura Fase 1: sem impacto no VTA oficial</t>
        </is>
      </c>
    </row>
    <row r="2959" ht="25.5" customHeight="1" s="289">
      <c r="A2959" s="205" t="n"/>
      <c r="B2959" s="207" t="n"/>
      <c r="C2959" s="104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348" t="n"/>
      <c r="E2959" s="349">
        <f>IF(C2959="","",IFERROR(VLOOKUP(C2959,parametros!$A$11:$E$15,5,0),""))</f>
        <v/>
      </c>
      <c r="F2959" s="335">
        <f>IF(OR(D2959="",E2959=""),"",ROUND(D2959*E2959,2))</f>
        <v/>
      </c>
      <c r="G2959" s="106" t="n"/>
      <c r="H2959" s="350">
        <f>IF(G2959="Sim",IF(OR(F2959="",D2959="",L2959=""),"",IF(L2959="Sim",ROUND(F2959-D2959,2),0)),0)</f>
        <v/>
      </c>
      <c r="I2959" s="350">
        <f>IF(G2959="Sim",0,IF(OR(F2959="",L2959=""),"",F2959))</f>
        <v/>
      </c>
      <c r="J2959" s="350">
        <f>IF(G2959="Sim",0,IF(OR(F2959="",D2959="",L2959=""),"",IF(L2959="Sim",ROUND(F2959-D2959,2),0)))</f>
        <v/>
      </c>
      <c r="K2959" s="97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inlineStr">
        <is>
          <t>Nao</t>
        </is>
      </c>
      <c r="W2959" s="110" t="inlineStr">
        <is>
          <t>PC em analise</t>
        </is>
      </c>
      <c r="X2959" s="110" t="inlineStr">
        <is>
          <t>Pedido de Compra</t>
        </is>
      </c>
      <c r="Y2959" s="111" t="inlineStr">
        <is>
          <t>Impacto Potencial</t>
        </is>
      </c>
      <c r="Z2959" s="111" t="inlineStr">
        <is>
          <t>PC</t>
        </is>
      </c>
      <c r="AA2959" s="111" t="inlineStr">
        <is>
          <t>Nao</t>
        </is>
      </c>
      <c r="AB2959" s="111" t="inlineStr">
        <is>
          <t>NAO_COMPUTADO</t>
        </is>
      </c>
      <c r="AC2959" s="112" t="inlineStr">
        <is>
          <t>Estrutura Fase 1: sem impacto no VTA oficial</t>
        </is>
      </c>
    </row>
    <row r="2960" ht="25.5" customHeight="1" s="289">
      <c r="A2960" s="205" t="n"/>
      <c r="B2960" s="207" t="n"/>
      <c r="C2960" s="104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348" t="n"/>
      <c r="E2960" s="349">
        <f>IF(C2960="","",IFERROR(VLOOKUP(C2960,parametros!$A$11:$E$15,5,0),""))</f>
        <v/>
      </c>
      <c r="F2960" s="335">
        <f>IF(OR(D2960="",E2960=""),"",ROUND(D2960*E2960,2))</f>
        <v/>
      </c>
      <c r="G2960" s="106" t="n"/>
      <c r="H2960" s="350">
        <f>IF(G2960="Sim",IF(OR(F2960="",D2960="",L2960=""),"",IF(L2960="Sim",ROUND(F2960-D2960,2),0)),0)</f>
        <v/>
      </c>
      <c r="I2960" s="350">
        <f>IF(G2960="Sim",0,IF(OR(F2960="",L2960=""),"",F2960))</f>
        <v/>
      </c>
      <c r="J2960" s="350">
        <f>IF(G2960="Sim",0,IF(OR(F2960="",D2960="",L2960=""),"",IF(L2960="Sim",ROUND(F2960-D2960,2),0)))</f>
        <v/>
      </c>
      <c r="K2960" s="97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inlineStr">
        <is>
          <t>Nao</t>
        </is>
      </c>
      <c r="W2960" s="110" t="inlineStr">
        <is>
          <t>PC em analise</t>
        </is>
      </c>
      <c r="X2960" s="110" t="inlineStr">
        <is>
          <t>Pedido de Compra</t>
        </is>
      </c>
      <c r="Y2960" s="111" t="inlineStr">
        <is>
          <t>Impacto Potencial</t>
        </is>
      </c>
      <c r="Z2960" s="111" t="inlineStr">
        <is>
          <t>PC</t>
        </is>
      </c>
      <c r="AA2960" s="111" t="inlineStr">
        <is>
          <t>Nao</t>
        </is>
      </c>
      <c r="AB2960" s="111" t="inlineStr">
        <is>
          <t>NAO_COMPUTADO</t>
        </is>
      </c>
      <c r="AC2960" s="112" t="inlineStr">
        <is>
          <t>Estrutura Fase 1: sem impacto no VTA oficial</t>
        </is>
      </c>
    </row>
    <row r="2961" ht="25.5" customHeight="1" s="289">
      <c r="A2961" s="205" t="n"/>
      <c r="B2961" s="207" t="n"/>
      <c r="C2961" s="104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348" t="n"/>
      <c r="E2961" s="349">
        <f>IF(C2961="","",IFERROR(VLOOKUP(C2961,parametros!$A$11:$E$15,5,0),""))</f>
        <v/>
      </c>
      <c r="F2961" s="335">
        <f>IF(OR(D2961="",E2961=""),"",ROUND(D2961*E2961,2))</f>
        <v/>
      </c>
      <c r="G2961" s="106" t="n"/>
      <c r="H2961" s="350">
        <f>IF(G2961="Sim",IF(OR(F2961="",D2961="",L2961=""),"",IF(L2961="Sim",ROUND(F2961-D2961,2),0)),0)</f>
        <v/>
      </c>
      <c r="I2961" s="350">
        <f>IF(G2961="Sim",0,IF(OR(F2961="",L2961=""),"",F2961))</f>
        <v/>
      </c>
      <c r="J2961" s="350">
        <f>IF(G2961="Sim",0,IF(OR(F2961="",D2961="",L2961=""),"",IF(L2961="Sim",ROUND(F2961-D2961,2),0)))</f>
        <v/>
      </c>
      <c r="K2961" s="97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inlineStr">
        <is>
          <t>Nao</t>
        </is>
      </c>
      <c r="W2961" s="110" t="inlineStr">
        <is>
          <t>PC em analise</t>
        </is>
      </c>
      <c r="X2961" s="110" t="inlineStr">
        <is>
          <t>Pedido de Compra</t>
        </is>
      </c>
      <c r="Y2961" s="111" t="inlineStr">
        <is>
          <t>Impacto Potencial</t>
        </is>
      </c>
      <c r="Z2961" s="111" t="inlineStr">
        <is>
          <t>PC</t>
        </is>
      </c>
      <c r="AA2961" s="111" t="inlineStr">
        <is>
          <t>Nao</t>
        </is>
      </c>
      <c r="AB2961" s="111" t="inlineStr">
        <is>
          <t>NAO_COMPUTADO</t>
        </is>
      </c>
      <c r="AC2961" s="112" t="inlineStr">
        <is>
          <t>Estrutura Fase 1: sem impacto no VTA oficial</t>
        </is>
      </c>
    </row>
    <row r="2962" ht="25.5" customHeight="1" s="289">
      <c r="A2962" s="205" t="n"/>
      <c r="B2962" s="207" t="n"/>
      <c r="C2962" s="104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348" t="n"/>
      <c r="E2962" s="349">
        <f>IF(C2962="","",IFERROR(VLOOKUP(C2962,parametros!$A$11:$E$15,5,0),""))</f>
        <v/>
      </c>
      <c r="F2962" s="335">
        <f>IF(OR(D2962="",E2962=""),"",ROUND(D2962*E2962,2))</f>
        <v/>
      </c>
      <c r="G2962" s="106" t="n"/>
      <c r="H2962" s="350">
        <f>IF(G2962="Sim",IF(OR(F2962="",D2962="",L2962=""),"",IF(L2962="Sim",ROUND(F2962-D2962,2),0)),0)</f>
        <v/>
      </c>
      <c r="I2962" s="350">
        <f>IF(G2962="Sim",0,IF(OR(F2962="",L2962=""),"",F2962))</f>
        <v/>
      </c>
      <c r="J2962" s="350">
        <f>IF(G2962="Sim",0,IF(OR(F2962="",D2962="",L2962=""),"",IF(L2962="Sim",ROUND(F2962-D2962,2),0)))</f>
        <v/>
      </c>
      <c r="K2962" s="97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inlineStr">
        <is>
          <t>Nao</t>
        </is>
      </c>
      <c r="W2962" s="110" t="inlineStr">
        <is>
          <t>PC em analise</t>
        </is>
      </c>
      <c r="X2962" s="110" t="inlineStr">
        <is>
          <t>Pedido de Compra</t>
        </is>
      </c>
      <c r="Y2962" s="111" t="inlineStr">
        <is>
          <t>Impacto Potencial</t>
        </is>
      </c>
      <c r="Z2962" s="111" t="inlineStr">
        <is>
          <t>PC</t>
        </is>
      </c>
      <c r="AA2962" s="111" t="inlineStr">
        <is>
          <t>Nao</t>
        </is>
      </c>
      <c r="AB2962" s="111" t="inlineStr">
        <is>
          <t>NAO_COMPUTADO</t>
        </is>
      </c>
      <c r="AC2962" s="112" t="inlineStr">
        <is>
          <t>Estrutura Fase 1: sem impacto no VTA oficial</t>
        </is>
      </c>
    </row>
    <row r="2963" ht="25.5" customHeight="1" s="289">
      <c r="A2963" s="205" t="n"/>
      <c r="B2963" s="207" t="n"/>
      <c r="C2963" s="104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348" t="n"/>
      <c r="E2963" s="349">
        <f>IF(C2963="","",IFERROR(VLOOKUP(C2963,parametros!$A$11:$E$15,5,0),""))</f>
        <v/>
      </c>
      <c r="F2963" s="335">
        <f>IF(OR(D2963="",E2963=""),"",ROUND(D2963*E2963,2))</f>
        <v/>
      </c>
      <c r="G2963" s="106" t="n"/>
      <c r="H2963" s="350">
        <f>IF(G2963="Sim",IF(OR(F2963="",D2963="",L2963=""),"",IF(L2963="Sim",ROUND(F2963-D2963,2),0)),0)</f>
        <v/>
      </c>
      <c r="I2963" s="350">
        <f>IF(G2963="Sim",0,IF(OR(F2963="",L2963=""),"",F2963))</f>
        <v/>
      </c>
      <c r="J2963" s="350">
        <f>IF(G2963="Sim",0,IF(OR(F2963="",D2963="",L2963=""),"",IF(L2963="Sim",ROUND(F2963-D2963,2),0)))</f>
        <v/>
      </c>
      <c r="K2963" s="97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inlineStr">
        <is>
          <t>Nao</t>
        </is>
      </c>
      <c r="W2963" s="110" t="inlineStr">
        <is>
          <t>PC em analise</t>
        </is>
      </c>
      <c r="X2963" s="110" t="inlineStr">
        <is>
          <t>Pedido de Compra</t>
        </is>
      </c>
      <c r="Y2963" s="111" t="inlineStr">
        <is>
          <t>Impacto Potencial</t>
        </is>
      </c>
      <c r="Z2963" s="111" t="inlineStr">
        <is>
          <t>PC</t>
        </is>
      </c>
      <c r="AA2963" s="111" t="inlineStr">
        <is>
          <t>Nao</t>
        </is>
      </c>
      <c r="AB2963" s="111" t="inlineStr">
        <is>
          <t>NAO_COMPUTADO</t>
        </is>
      </c>
      <c r="AC2963" s="112" t="inlineStr">
        <is>
          <t>Estrutura Fase 1: sem impacto no VTA oficial</t>
        </is>
      </c>
    </row>
    <row r="2964" ht="25.5" customHeight="1" s="289">
      <c r="A2964" s="205" t="n"/>
      <c r="B2964" s="207" t="n"/>
      <c r="C2964" s="104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348" t="n"/>
      <c r="E2964" s="349">
        <f>IF(C2964="","",IFERROR(VLOOKUP(C2964,parametros!$A$11:$E$15,5,0),""))</f>
        <v/>
      </c>
      <c r="F2964" s="335">
        <f>IF(OR(D2964="",E2964=""),"",ROUND(D2964*E2964,2))</f>
        <v/>
      </c>
      <c r="G2964" s="106" t="n"/>
      <c r="H2964" s="350">
        <f>IF(G2964="Sim",IF(OR(F2964="",D2964="",L2964=""),"",IF(L2964="Sim",ROUND(F2964-D2964,2),0)),0)</f>
        <v/>
      </c>
      <c r="I2964" s="350">
        <f>IF(G2964="Sim",0,IF(OR(F2964="",L2964=""),"",F2964))</f>
        <v/>
      </c>
      <c r="J2964" s="350">
        <f>IF(G2964="Sim",0,IF(OR(F2964="",D2964="",L2964=""),"",IF(L2964="Sim",ROUND(F2964-D2964,2),0)))</f>
        <v/>
      </c>
      <c r="K2964" s="97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inlineStr">
        <is>
          <t>Nao</t>
        </is>
      </c>
      <c r="W2964" s="110" t="inlineStr">
        <is>
          <t>PC em analise</t>
        </is>
      </c>
      <c r="X2964" s="110" t="inlineStr">
        <is>
          <t>Pedido de Compra</t>
        </is>
      </c>
      <c r="Y2964" s="111" t="inlineStr">
        <is>
          <t>Impacto Potencial</t>
        </is>
      </c>
      <c r="Z2964" s="111" t="inlineStr">
        <is>
          <t>PC</t>
        </is>
      </c>
      <c r="AA2964" s="111" t="inlineStr">
        <is>
          <t>Nao</t>
        </is>
      </c>
      <c r="AB2964" s="111" t="inlineStr">
        <is>
          <t>NAO_COMPUTADO</t>
        </is>
      </c>
      <c r="AC2964" s="112" t="inlineStr">
        <is>
          <t>Estrutura Fase 1: sem impacto no VTA oficial</t>
        </is>
      </c>
    </row>
    <row r="2965" ht="25.5" customHeight="1" s="289">
      <c r="A2965" s="205" t="n"/>
      <c r="B2965" s="207" t="n"/>
      <c r="C2965" s="104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348" t="n"/>
      <c r="E2965" s="349">
        <f>IF(C2965="","",IFERROR(VLOOKUP(C2965,parametros!$A$11:$E$15,5,0),""))</f>
        <v/>
      </c>
      <c r="F2965" s="335">
        <f>IF(OR(D2965="",E2965=""),"",ROUND(D2965*E2965,2))</f>
        <v/>
      </c>
      <c r="G2965" s="106" t="n"/>
      <c r="H2965" s="350">
        <f>IF(G2965="Sim",IF(OR(F2965="",D2965="",L2965=""),"",IF(L2965="Sim",ROUND(F2965-D2965,2),0)),0)</f>
        <v/>
      </c>
      <c r="I2965" s="350">
        <f>IF(G2965="Sim",0,IF(OR(F2965="",L2965=""),"",F2965))</f>
        <v/>
      </c>
      <c r="J2965" s="350">
        <f>IF(G2965="Sim",0,IF(OR(F2965="",D2965="",L2965=""),"",IF(L2965="Sim",ROUND(F2965-D2965,2),0)))</f>
        <v/>
      </c>
      <c r="K2965" s="97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inlineStr">
        <is>
          <t>Nao</t>
        </is>
      </c>
      <c r="W2965" s="110" t="inlineStr">
        <is>
          <t>PC em analise</t>
        </is>
      </c>
      <c r="X2965" s="110" t="inlineStr">
        <is>
          <t>Pedido de Compra</t>
        </is>
      </c>
      <c r="Y2965" s="111" t="inlineStr">
        <is>
          <t>Impacto Potencial</t>
        </is>
      </c>
      <c r="Z2965" s="111" t="inlineStr">
        <is>
          <t>PC</t>
        </is>
      </c>
      <c r="AA2965" s="111" t="inlineStr">
        <is>
          <t>Nao</t>
        </is>
      </c>
      <c r="AB2965" s="111" t="inlineStr">
        <is>
          <t>NAO_COMPUTADO</t>
        </is>
      </c>
      <c r="AC2965" s="112" t="inlineStr">
        <is>
          <t>Estrutura Fase 1: sem impacto no VTA oficial</t>
        </is>
      </c>
    </row>
    <row r="2966" ht="25.5" customHeight="1" s="289">
      <c r="A2966" s="205" t="n"/>
      <c r="B2966" s="207" t="n"/>
      <c r="C2966" s="104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348" t="n"/>
      <c r="E2966" s="349">
        <f>IF(C2966="","",IFERROR(VLOOKUP(C2966,parametros!$A$11:$E$15,5,0),""))</f>
        <v/>
      </c>
      <c r="F2966" s="335">
        <f>IF(OR(D2966="",E2966=""),"",ROUND(D2966*E2966,2))</f>
        <v/>
      </c>
      <c r="G2966" s="106" t="n"/>
      <c r="H2966" s="350">
        <f>IF(G2966="Sim",IF(OR(F2966="",D2966="",L2966=""),"",IF(L2966="Sim",ROUND(F2966-D2966,2),0)),0)</f>
        <v/>
      </c>
      <c r="I2966" s="350">
        <f>IF(G2966="Sim",0,IF(OR(F2966="",L2966=""),"",F2966))</f>
        <v/>
      </c>
      <c r="J2966" s="350">
        <f>IF(G2966="Sim",0,IF(OR(F2966="",D2966="",L2966=""),"",IF(L2966="Sim",ROUND(F2966-D2966,2),0)))</f>
        <v/>
      </c>
      <c r="K2966" s="97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inlineStr">
        <is>
          <t>Nao</t>
        </is>
      </c>
      <c r="W2966" s="110" t="inlineStr">
        <is>
          <t>PC em analise</t>
        </is>
      </c>
      <c r="X2966" s="110" t="inlineStr">
        <is>
          <t>Pedido de Compra</t>
        </is>
      </c>
      <c r="Y2966" s="111" t="inlineStr">
        <is>
          <t>Impacto Potencial</t>
        </is>
      </c>
      <c r="Z2966" s="111" t="inlineStr">
        <is>
          <t>PC</t>
        </is>
      </c>
      <c r="AA2966" s="111" t="inlineStr">
        <is>
          <t>Nao</t>
        </is>
      </c>
      <c r="AB2966" s="111" t="inlineStr">
        <is>
          <t>NAO_COMPUTADO</t>
        </is>
      </c>
      <c r="AC2966" s="112" t="inlineStr">
        <is>
          <t>Estrutura Fase 1: sem impacto no VTA oficial</t>
        </is>
      </c>
    </row>
    <row r="2967" ht="25.5" customHeight="1" s="289">
      <c r="A2967" s="205" t="n"/>
      <c r="B2967" s="207" t="n"/>
      <c r="C2967" s="104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348" t="n"/>
      <c r="E2967" s="349">
        <f>IF(C2967="","",IFERROR(VLOOKUP(C2967,parametros!$A$11:$E$15,5,0),""))</f>
        <v/>
      </c>
      <c r="F2967" s="335">
        <f>IF(OR(D2967="",E2967=""),"",ROUND(D2967*E2967,2))</f>
        <v/>
      </c>
      <c r="G2967" s="106" t="n"/>
      <c r="H2967" s="350">
        <f>IF(G2967="Sim",IF(OR(F2967="",D2967="",L2967=""),"",IF(L2967="Sim",ROUND(F2967-D2967,2),0)),0)</f>
        <v/>
      </c>
      <c r="I2967" s="350">
        <f>IF(G2967="Sim",0,IF(OR(F2967="",L2967=""),"",F2967))</f>
        <v/>
      </c>
      <c r="J2967" s="350">
        <f>IF(G2967="Sim",0,IF(OR(F2967="",D2967="",L2967=""),"",IF(L2967="Sim",ROUND(F2967-D2967,2),0)))</f>
        <v/>
      </c>
      <c r="K2967" s="97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inlineStr">
        <is>
          <t>Nao</t>
        </is>
      </c>
      <c r="W2967" s="110" t="inlineStr">
        <is>
          <t>PC em analise</t>
        </is>
      </c>
      <c r="X2967" s="110" t="inlineStr">
        <is>
          <t>Pedido de Compra</t>
        </is>
      </c>
      <c r="Y2967" s="111" t="inlineStr">
        <is>
          <t>Impacto Potencial</t>
        </is>
      </c>
      <c r="Z2967" s="111" t="inlineStr">
        <is>
          <t>PC</t>
        </is>
      </c>
      <c r="AA2967" s="111" t="inlineStr">
        <is>
          <t>Nao</t>
        </is>
      </c>
      <c r="AB2967" s="111" t="inlineStr">
        <is>
          <t>NAO_COMPUTADO</t>
        </is>
      </c>
      <c r="AC2967" s="112" t="inlineStr">
        <is>
          <t>Estrutura Fase 1: sem impacto no VTA oficial</t>
        </is>
      </c>
    </row>
    <row r="2968" ht="25.5" customHeight="1" s="289">
      <c r="A2968" s="205" t="n"/>
      <c r="B2968" s="207" t="n"/>
      <c r="C2968" s="104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348" t="n"/>
      <c r="E2968" s="349">
        <f>IF(C2968="","",IFERROR(VLOOKUP(C2968,parametros!$A$11:$E$15,5,0),""))</f>
        <v/>
      </c>
      <c r="F2968" s="335">
        <f>IF(OR(D2968="",E2968=""),"",ROUND(D2968*E2968,2))</f>
        <v/>
      </c>
      <c r="G2968" s="106" t="n"/>
      <c r="H2968" s="350">
        <f>IF(G2968="Sim",IF(OR(F2968="",D2968="",L2968=""),"",IF(L2968="Sim",ROUND(F2968-D2968,2),0)),0)</f>
        <v/>
      </c>
      <c r="I2968" s="350">
        <f>IF(G2968="Sim",0,IF(OR(F2968="",L2968=""),"",F2968))</f>
        <v/>
      </c>
      <c r="J2968" s="350">
        <f>IF(G2968="Sim",0,IF(OR(F2968="",D2968="",L2968=""),"",IF(L2968="Sim",ROUND(F2968-D2968,2),0)))</f>
        <v/>
      </c>
      <c r="K2968" s="97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inlineStr">
        <is>
          <t>Nao</t>
        </is>
      </c>
      <c r="W2968" s="110" t="inlineStr">
        <is>
          <t>PC em analise</t>
        </is>
      </c>
      <c r="X2968" s="110" t="inlineStr">
        <is>
          <t>Pedido de Compra</t>
        </is>
      </c>
      <c r="Y2968" s="111" t="inlineStr">
        <is>
          <t>Impacto Potencial</t>
        </is>
      </c>
      <c r="Z2968" s="111" t="inlineStr">
        <is>
          <t>PC</t>
        </is>
      </c>
      <c r="AA2968" s="111" t="inlineStr">
        <is>
          <t>Nao</t>
        </is>
      </c>
      <c r="AB2968" s="111" t="inlineStr">
        <is>
          <t>NAO_COMPUTADO</t>
        </is>
      </c>
      <c r="AC2968" s="112" t="inlineStr">
        <is>
          <t>Estrutura Fase 1: sem impacto no VTA oficial</t>
        </is>
      </c>
    </row>
    <row r="2969" ht="25.5" customHeight="1" s="289">
      <c r="A2969" s="205" t="n"/>
      <c r="B2969" s="207" t="n"/>
      <c r="C2969" s="104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348" t="n"/>
      <c r="E2969" s="349">
        <f>IF(C2969="","",IFERROR(VLOOKUP(C2969,parametros!$A$11:$E$15,5,0),""))</f>
        <v/>
      </c>
      <c r="F2969" s="335">
        <f>IF(OR(D2969="",E2969=""),"",ROUND(D2969*E2969,2))</f>
        <v/>
      </c>
      <c r="G2969" s="106" t="n"/>
      <c r="H2969" s="350">
        <f>IF(G2969="Sim",IF(OR(F2969="",D2969="",L2969=""),"",IF(L2969="Sim",ROUND(F2969-D2969,2),0)),0)</f>
        <v/>
      </c>
      <c r="I2969" s="350">
        <f>IF(G2969="Sim",0,IF(OR(F2969="",L2969=""),"",F2969))</f>
        <v/>
      </c>
      <c r="J2969" s="350">
        <f>IF(G2969="Sim",0,IF(OR(F2969="",D2969="",L2969=""),"",IF(L2969="Sim",ROUND(F2969-D2969,2),0)))</f>
        <v/>
      </c>
      <c r="K2969" s="97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inlineStr">
        <is>
          <t>Nao</t>
        </is>
      </c>
      <c r="W2969" s="110" t="inlineStr">
        <is>
          <t>PC em analise</t>
        </is>
      </c>
      <c r="X2969" s="110" t="inlineStr">
        <is>
          <t>Pedido de Compra</t>
        </is>
      </c>
      <c r="Y2969" s="111" t="inlineStr">
        <is>
          <t>Impacto Potencial</t>
        </is>
      </c>
      <c r="Z2969" s="111" t="inlineStr">
        <is>
          <t>PC</t>
        </is>
      </c>
      <c r="AA2969" s="111" t="inlineStr">
        <is>
          <t>Nao</t>
        </is>
      </c>
      <c r="AB2969" s="111" t="inlineStr">
        <is>
          <t>NAO_COMPUTADO</t>
        </is>
      </c>
      <c r="AC2969" s="112" t="inlineStr">
        <is>
          <t>Estrutura Fase 1: sem impacto no VTA oficial</t>
        </is>
      </c>
    </row>
    <row r="2970" ht="25.5" customHeight="1" s="289">
      <c r="A2970" s="205" t="n"/>
      <c r="B2970" s="207" t="n"/>
      <c r="C2970" s="104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348" t="n"/>
      <c r="E2970" s="349">
        <f>IF(C2970="","",IFERROR(VLOOKUP(C2970,parametros!$A$11:$E$15,5,0),""))</f>
        <v/>
      </c>
      <c r="F2970" s="335">
        <f>IF(OR(D2970="",E2970=""),"",ROUND(D2970*E2970,2))</f>
        <v/>
      </c>
      <c r="G2970" s="106" t="n"/>
      <c r="H2970" s="350">
        <f>IF(G2970="Sim",IF(OR(F2970="",D2970="",L2970=""),"",IF(L2970="Sim",ROUND(F2970-D2970,2),0)),0)</f>
        <v/>
      </c>
      <c r="I2970" s="350">
        <f>IF(G2970="Sim",0,IF(OR(F2970="",L2970=""),"",F2970))</f>
        <v/>
      </c>
      <c r="J2970" s="350">
        <f>IF(G2970="Sim",0,IF(OR(F2970="",D2970="",L2970=""),"",IF(L2970="Sim",ROUND(F2970-D2970,2),0)))</f>
        <v/>
      </c>
      <c r="K2970" s="97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inlineStr">
        <is>
          <t>Nao</t>
        </is>
      </c>
      <c r="W2970" s="110" t="inlineStr">
        <is>
          <t>PC em analise</t>
        </is>
      </c>
      <c r="X2970" s="110" t="inlineStr">
        <is>
          <t>Pedido de Compra</t>
        </is>
      </c>
      <c r="Y2970" s="111" t="inlineStr">
        <is>
          <t>Impacto Potencial</t>
        </is>
      </c>
      <c r="Z2970" s="111" t="inlineStr">
        <is>
          <t>PC</t>
        </is>
      </c>
      <c r="AA2970" s="111" t="inlineStr">
        <is>
          <t>Nao</t>
        </is>
      </c>
      <c r="AB2970" s="111" t="inlineStr">
        <is>
          <t>NAO_COMPUTADO</t>
        </is>
      </c>
      <c r="AC2970" s="112" t="inlineStr">
        <is>
          <t>Estrutura Fase 1: sem impacto no VTA oficial</t>
        </is>
      </c>
    </row>
    <row r="2971" ht="25.5" customHeight="1" s="289">
      <c r="A2971" s="205" t="n"/>
      <c r="B2971" s="207" t="n"/>
      <c r="C2971" s="104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348" t="n"/>
      <c r="E2971" s="349">
        <f>IF(C2971="","",IFERROR(VLOOKUP(C2971,parametros!$A$11:$E$15,5,0),""))</f>
        <v/>
      </c>
      <c r="F2971" s="335">
        <f>IF(OR(D2971="",E2971=""),"",ROUND(D2971*E2971,2))</f>
        <v/>
      </c>
      <c r="G2971" s="106" t="n"/>
      <c r="H2971" s="350">
        <f>IF(G2971="Sim",IF(OR(F2971="",D2971="",L2971=""),"",IF(L2971="Sim",ROUND(F2971-D2971,2),0)),0)</f>
        <v/>
      </c>
      <c r="I2971" s="350">
        <f>IF(G2971="Sim",0,IF(OR(F2971="",L2971=""),"",F2971))</f>
        <v/>
      </c>
      <c r="J2971" s="350">
        <f>IF(G2971="Sim",0,IF(OR(F2971="",D2971="",L2971=""),"",IF(L2971="Sim",ROUND(F2971-D2971,2),0)))</f>
        <v/>
      </c>
      <c r="K2971" s="97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inlineStr">
        <is>
          <t>Nao</t>
        </is>
      </c>
      <c r="W2971" s="110" t="inlineStr">
        <is>
          <t>PC em analise</t>
        </is>
      </c>
      <c r="X2971" s="110" t="inlineStr">
        <is>
          <t>Pedido de Compra</t>
        </is>
      </c>
      <c r="Y2971" s="111" t="inlineStr">
        <is>
          <t>Impacto Potencial</t>
        </is>
      </c>
      <c r="Z2971" s="111" t="inlineStr">
        <is>
          <t>PC</t>
        </is>
      </c>
      <c r="AA2971" s="111" t="inlineStr">
        <is>
          <t>Nao</t>
        </is>
      </c>
      <c r="AB2971" s="111" t="inlineStr">
        <is>
          <t>NAO_COMPUTADO</t>
        </is>
      </c>
      <c r="AC2971" s="112" t="inlineStr">
        <is>
          <t>Estrutura Fase 1: sem impacto no VTA oficial</t>
        </is>
      </c>
    </row>
    <row r="2972" ht="25.5" customHeight="1" s="289">
      <c r="A2972" s="205" t="n"/>
      <c r="B2972" s="207" t="n"/>
      <c r="C2972" s="104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348" t="n"/>
      <c r="E2972" s="349">
        <f>IF(C2972="","",IFERROR(VLOOKUP(C2972,parametros!$A$11:$E$15,5,0),""))</f>
        <v/>
      </c>
      <c r="F2972" s="335">
        <f>IF(OR(D2972="",E2972=""),"",ROUND(D2972*E2972,2))</f>
        <v/>
      </c>
      <c r="G2972" s="106" t="n"/>
      <c r="H2972" s="350">
        <f>IF(G2972="Sim",IF(OR(F2972="",D2972="",L2972=""),"",IF(L2972="Sim",ROUND(F2972-D2972,2),0)),0)</f>
        <v/>
      </c>
      <c r="I2972" s="350">
        <f>IF(G2972="Sim",0,IF(OR(F2972="",L2972=""),"",F2972))</f>
        <v/>
      </c>
      <c r="J2972" s="350">
        <f>IF(G2972="Sim",0,IF(OR(F2972="",D2972="",L2972=""),"",IF(L2972="Sim",ROUND(F2972-D2972,2),0)))</f>
        <v/>
      </c>
      <c r="K2972" s="97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inlineStr">
        <is>
          <t>Nao</t>
        </is>
      </c>
      <c r="W2972" s="110" t="inlineStr">
        <is>
          <t>PC em analise</t>
        </is>
      </c>
      <c r="X2972" s="110" t="inlineStr">
        <is>
          <t>Pedido de Compra</t>
        </is>
      </c>
      <c r="Y2972" s="111" t="inlineStr">
        <is>
          <t>Impacto Potencial</t>
        </is>
      </c>
      <c r="Z2972" s="111" t="inlineStr">
        <is>
          <t>PC</t>
        </is>
      </c>
      <c r="AA2972" s="111" t="inlineStr">
        <is>
          <t>Nao</t>
        </is>
      </c>
      <c r="AB2972" s="111" t="inlineStr">
        <is>
          <t>NAO_COMPUTADO</t>
        </is>
      </c>
      <c r="AC2972" s="112" t="inlineStr">
        <is>
          <t>Estrutura Fase 1: sem impacto no VTA oficial</t>
        </is>
      </c>
    </row>
    <row r="2973" ht="25.5" customHeight="1" s="289">
      <c r="A2973" s="205" t="n"/>
      <c r="B2973" s="207" t="n"/>
      <c r="C2973" s="104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348" t="n"/>
      <c r="E2973" s="349">
        <f>IF(C2973="","",IFERROR(VLOOKUP(C2973,parametros!$A$11:$E$15,5,0),""))</f>
        <v/>
      </c>
      <c r="F2973" s="335">
        <f>IF(OR(D2973="",E2973=""),"",ROUND(D2973*E2973,2))</f>
        <v/>
      </c>
      <c r="G2973" s="106" t="n"/>
      <c r="H2973" s="350">
        <f>IF(G2973="Sim",IF(OR(F2973="",D2973="",L2973=""),"",IF(L2973="Sim",ROUND(F2973-D2973,2),0)),0)</f>
        <v/>
      </c>
      <c r="I2973" s="350">
        <f>IF(G2973="Sim",0,IF(OR(F2973="",L2973=""),"",F2973))</f>
        <v/>
      </c>
      <c r="J2973" s="350">
        <f>IF(G2973="Sim",0,IF(OR(F2973="",D2973="",L2973=""),"",IF(L2973="Sim",ROUND(F2973-D2973,2),0)))</f>
        <v/>
      </c>
      <c r="K2973" s="97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inlineStr">
        <is>
          <t>Nao</t>
        </is>
      </c>
      <c r="W2973" s="110" t="inlineStr">
        <is>
          <t>PC em analise</t>
        </is>
      </c>
      <c r="X2973" s="110" t="inlineStr">
        <is>
          <t>Pedido de Compra</t>
        </is>
      </c>
      <c r="Y2973" s="111" t="inlineStr">
        <is>
          <t>Impacto Potencial</t>
        </is>
      </c>
      <c r="Z2973" s="111" t="inlineStr">
        <is>
          <t>PC</t>
        </is>
      </c>
      <c r="AA2973" s="111" t="inlineStr">
        <is>
          <t>Nao</t>
        </is>
      </c>
      <c r="AB2973" s="111" t="inlineStr">
        <is>
          <t>NAO_COMPUTADO</t>
        </is>
      </c>
      <c r="AC2973" s="112" t="inlineStr">
        <is>
          <t>Estrutura Fase 1: sem impacto no VTA oficial</t>
        </is>
      </c>
    </row>
    <row r="2974" ht="25.5" customHeight="1" s="289">
      <c r="A2974" s="205" t="n"/>
      <c r="B2974" s="207" t="n"/>
      <c r="C2974" s="104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348" t="n"/>
      <c r="E2974" s="349">
        <f>IF(C2974="","",IFERROR(VLOOKUP(C2974,parametros!$A$11:$E$15,5,0),""))</f>
        <v/>
      </c>
      <c r="F2974" s="335">
        <f>IF(OR(D2974="",E2974=""),"",ROUND(D2974*E2974,2))</f>
        <v/>
      </c>
      <c r="G2974" s="106" t="n"/>
      <c r="H2974" s="350">
        <f>IF(G2974="Sim",IF(OR(F2974="",D2974="",L2974=""),"",IF(L2974="Sim",ROUND(F2974-D2974,2),0)),0)</f>
        <v/>
      </c>
      <c r="I2974" s="350">
        <f>IF(G2974="Sim",0,IF(OR(F2974="",L2974=""),"",F2974))</f>
        <v/>
      </c>
      <c r="J2974" s="350">
        <f>IF(G2974="Sim",0,IF(OR(F2974="",D2974="",L2974=""),"",IF(L2974="Sim",ROUND(F2974-D2974,2),0)))</f>
        <v/>
      </c>
      <c r="K2974" s="97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inlineStr">
        <is>
          <t>Nao</t>
        </is>
      </c>
      <c r="W2974" s="110" t="inlineStr">
        <is>
          <t>PC em analise</t>
        </is>
      </c>
      <c r="X2974" s="110" t="inlineStr">
        <is>
          <t>Pedido de Compra</t>
        </is>
      </c>
      <c r="Y2974" s="111" t="inlineStr">
        <is>
          <t>Impacto Potencial</t>
        </is>
      </c>
      <c r="Z2974" s="111" t="inlineStr">
        <is>
          <t>PC</t>
        </is>
      </c>
      <c r="AA2974" s="111" t="inlineStr">
        <is>
          <t>Nao</t>
        </is>
      </c>
      <c r="AB2974" s="111" t="inlineStr">
        <is>
          <t>NAO_COMPUTADO</t>
        </is>
      </c>
      <c r="AC2974" s="112" t="inlineStr">
        <is>
          <t>Estrutura Fase 1: sem impacto no VTA oficial</t>
        </is>
      </c>
    </row>
    <row r="2975" ht="25.5" customHeight="1" s="289">
      <c r="A2975" s="205" t="n"/>
      <c r="B2975" s="207" t="n"/>
      <c r="C2975" s="104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348" t="n"/>
      <c r="E2975" s="349">
        <f>IF(C2975="","",IFERROR(VLOOKUP(C2975,parametros!$A$11:$E$15,5,0),""))</f>
        <v/>
      </c>
      <c r="F2975" s="335">
        <f>IF(OR(D2975="",E2975=""),"",ROUND(D2975*E2975,2))</f>
        <v/>
      </c>
      <c r="G2975" s="106" t="n"/>
      <c r="H2975" s="350">
        <f>IF(G2975="Sim",IF(OR(F2975="",D2975="",L2975=""),"",IF(L2975="Sim",ROUND(F2975-D2975,2),0)),0)</f>
        <v/>
      </c>
      <c r="I2975" s="350">
        <f>IF(G2975="Sim",0,IF(OR(F2975="",L2975=""),"",F2975))</f>
        <v/>
      </c>
      <c r="J2975" s="350">
        <f>IF(G2975="Sim",0,IF(OR(F2975="",D2975="",L2975=""),"",IF(L2975="Sim",ROUND(F2975-D2975,2),0)))</f>
        <v/>
      </c>
      <c r="K2975" s="97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inlineStr">
        <is>
          <t>Nao</t>
        </is>
      </c>
      <c r="W2975" s="110" t="inlineStr">
        <is>
          <t>PC em analise</t>
        </is>
      </c>
      <c r="X2975" s="110" t="inlineStr">
        <is>
          <t>Pedido de Compra</t>
        </is>
      </c>
      <c r="Y2975" s="111" t="inlineStr">
        <is>
          <t>Impacto Potencial</t>
        </is>
      </c>
      <c r="Z2975" s="111" t="inlineStr">
        <is>
          <t>PC</t>
        </is>
      </c>
      <c r="AA2975" s="111" t="inlineStr">
        <is>
          <t>Nao</t>
        </is>
      </c>
      <c r="AB2975" s="111" t="inlineStr">
        <is>
          <t>NAO_COMPUTADO</t>
        </is>
      </c>
      <c r="AC2975" s="112" t="inlineStr">
        <is>
          <t>Estrutura Fase 1: sem impacto no VTA oficial</t>
        </is>
      </c>
    </row>
    <row r="2976" ht="25.5" customHeight="1" s="289">
      <c r="A2976" s="205" t="n"/>
      <c r="B2976" s="207" t="n"/>
      <c r="C2976" s="104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348" t="n"/>
      <c r="E2976" s="349">
        <f>IF(C2976="","",IFERROR(VLOOKUP(C2976,parametros!$A$11:$E$15,5,0),""))</f>
        <v/>
      </c>
      <c r="F2976" s="335">
        <f>IF(OR(D2976="",E2976=""),"",ROUND(D2976*E2976,2))</f>
        <v/>
      </c>
      <c r="G2976" s="106" t="n"/>
      <c r="H2976" s="350">
        <f>IF(G2976="Sim",IF(OR(F2976="",D2976="",L2976=""),"",IF(L2976="Sim",ROUND(F2976-D2976,2),0)),0)</f>
        <v/>
      </c>
      <c r="I2976" s="350">
        <f>IF(G2976="Sim",0,IF(OR(F2976="",L2976=""),"",F2976))</f>
        <v/>
      </c>
      <c r="J2976" s="350">
        <f>IF(G2976="Sim",0,IF(OR(F2976="",D2976="",L2976=""),"",IF(L2976="Sim",ROUND(F2976-D2976,2),0)))</f>
        <v/>
      </c>
      <c r="K2976" s="97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inlineStr">
        <is>
          <t>Nao</t>
        </is>
      </c>
      <c r="W2976" s="110" t="inlineStr">
        <is>
          <t>PC em analise</t>
        </is>
      </c>
      <c r="X2976" s="110" t="inlineStr">
        <is>
          <t>Pedido de Compra</t>
        </is>
      </c>
      <c r="Y2976" s="111" t="inlineStr">
        <is>
          <t>Impacto Potencial</t>
        </is>
      </c>
      <c r="Z2976" s="111" t="inlineStr">
        <is>
          <t>PC</t>
        </is>
      </c>
      <c r="AA2976" s="111" t="inlineStr">
        <is>
          <t>Nao</t>
        </is>
      </c>
      <c r="AB2976" s="111" t="inlineStr">
        <is>
          <t>NAO_COMPUTADO</t>
        </is>
      </c>
      <c r="AC2976" s="112" t="inlineStr">
        <is>
          <t>Estrutura Fase 1: sem impacto no VTA oficial</t>
        </is>
      </c>
    </row>
    <row r="2977" ht="25.5" customHeight="1" s="289">
      <c r="A2977" s="205" t="n"/>
      <c r="B2977" s="207" t="n"/>
      <c r="C2977" s="104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348" t="n"/>
      <c r="E2977" s="349">
        <f>IF(C2977="","",IFERROR(VLOOKUP(C2977,parametros!$A$11:$E$15,5,0),""))</f>
        <v/>
      </c>
      <c r="F2977" s="335">
        <f>IF(OR(D2977="",E2977=""),"",ROUND(D2977*E2977,2))</f>
        <v/>
      </c>
      <c r="G2977" s="106" t="n"/>
      <c r="H2977" s="350">
        <f>IF(G2977="Sim",IF(OR(F2977="",D2977="",L2977=""),"",IF(L2977="Sim",ROUND(F2977-D2977,2),0)),0)</f>
        <v/>
      </c>
      <c r="I2977" s="350">
        <f>IF(G2977="Sim",0,IF(OR(F2977="",L2977=""),"",F2977))</f>
        <v/>
      </c>
      <c r="J2977" s="350">
        <f>IF(G2977="Sim",0,IF(OR(F2977="",D2977="",L2977=""),"",IF(L2977="Sim",ROUND(F2977-D2977,2),0)))</f>
        <v/>
      </c>
      <c r="K2977" s="97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inlineStr">
        <is>
          <t>Nao</t>
        </is>
      </c>
      <c r="W2977" s="110" t="inlineStr">
        <is>
          <t>PC em analise</t>
        </is>
      </c>
      <c r="X2977" s="110" t="inlineStr">
        <is>
          <t>Pedido de Compra</t>
        </is>
      </c>
      <c r="Y2977" s="111" t="inlineStr">
        <is>
          <t>Impacto Potencial</t>
        </is>
      </c>
      <c r="Z2977" s="111" t="inlineStr">
        <is>
          <t>PC</t>
        </is>
      </c>
      <c r="AA2977" s="111" t="inlineStr">
        <is>
          <t>Nao</t>
        </is>
      </c>
      <c r="AB2977" s="111" t="inlineStr">
        <is>
          <t>NAO_COMPUTADO</t>
        </is>
      </c>
      <c r="AC2977" s="112" t="inlineStr">
        <is>
          <t>Estrutura Fase 1: sem impacto no VTA oficial</t>
        </is>
      </c>
    </row>
    <row r="2978" ht="25.5" customHeight="1" s="289">
      <c r="A2978" s="205" t="n"/>
      <c r="B2978" s="207" t="n"/>
      <c r="C2978" s="104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348" t="n"/>
      <c r="E2978" s="349">
        <f>IF(C2978="","",IFERROR(VLOOKUP(C2978,parametros!$A$11:$E$15,5,0),""))</f>
        <v/>
      </c>
      <c r="F2978" s="335">
        <f>IF(OR(D2978="",E2978=""),"",ROUND(D2978*E2978,2))</f>
        <v/>
      </c>
      <c r="G2978" s="106" t="n"/>
      <c r="H2978" s="350">
        <f>IF(G2978="Sim",IF(OR(F2978="",D2978="",L2978=""),"",IF(L2978="Sim",ROUND(F2978-D2978,2),0)),0)</f>
        <v/>
      </c>
      <c r="I2978" s="350">
        <f>IF(G2978="Sim",0,IF(OR(F2978="",L2978=""),"",F2978))</f>
        <v/>
      </c>
      <c r="J2978" s="350">
        <f>IF(G2978="Sim",0,IF(OR(F2978="",D2978="",L2978=""),"",IF(L2978="Sim",ROUND(F2978-D2978,2),0)))</f>
        <v/>
      </c>
      <c r="K2978" s="97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inlineStr">
        <is>
          <t>Nao</t>
        </is>
      </c>
      <c r="W2978" s="110" t="inlineStr">
        <is>
          <t>PC em analise</t>
        </is>
      </c>
      <c r="X2978" s="110" t="inlineStr">
        <is>
          <t>Pedido de Compra</t>
        </is>
      </c>
      <c r="Y2978" s="111" t="inlineStr">
        <is>
          <t>Impacto Potencial</t>
        </is>
      </c>
      <c r="Z2978" s="111" t="inlineStr">
        <is>
          <t>PC</t>
        </is>
      </c>
      <c r="AA2978" s="111" t="inlineStr">
        <is>
          <t>Nao</t>
        </is>
      </c>
      <c r="AB2978" s="111" t="inlineStr">
        <is>
          <t>NAO_COMPUTADO</t>
        </is>
      </c>
      <c r="AC2978" s="112" t="inlineStr">
        <is>
          <t>Estrutura Fase 1: sem impacto no VTA oficial</t>
        </is>
      </c>
    </row>
    <row r="2979" ht="25.5" customHeight="1" s="289">
      <c r="A2979" s="205" t="n"/>
      <c r="B2979" s="207" t="n"/>
      <c r="C2979" s="104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348" t="n"/>
      <c r="E2979" s="349">
        <f>IF(C2979="","",IFERROR(VLOOKUP(C2979,parametros!$A$11:$E$15,5,0),""))</f>
        <v/>
      </c>
      <c r="F2979" s="335">
        <f>IF(OR(D2979="",E2979=""),"",ROUND(D2979*E2979,2))</f>
        <v/>
      </c>
      <c r="G2979" s="106" t="n"/>
      <c r="H2979" s="350">
        <f>IF(G2979="Sim",IF(OR(F2979="",D2979="",L2979=""),"",IF(L2979="Sim",ROUND(F2979-D2979,2),0)),0)</f>
        <v/>
      </c>
      <c r="I2979" s="350">
        <f>IF(G2979="Sim",0,IF(OR(F2979="",L2979=""),"",F2979))</f>
        <v/>
      </c>
      <c r="J2979" s="350">
        <f>IF(G2979="Sim",0,IF(OR(F2979="",D2979="",L2979=""),"",IF(L2979="Sim",ROUND(F2979-D2979,2),0)))</f>
        <v/>
      </c>
      <c r="K2979" s="97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inlineStr">
        <is>
          <t>Nao</t>
        </is>
      </c>
      <c r="W2979" s="110" t="inlineStr">
        <is>
          <t>PC em analise</t>
        </is>
      </c>
      <c r="X2979" s="110" t="inlineStr">
        <is>
          <t>Pedido de Compra</t>
        </is>
      </c>
      <c r="Y2979" s="111" t="inlineStr">
        <is>
          <t>Impacto Potencial</t>
        </is>
      </c>
      <c r="Z2979" s="111" t="inlineStr">
        <is>
          <t>PC</t>
        </is>
      </c>
      <c r="AA2979" s="111" t="inlineStr">
        <is>
          <t>Nao</t>
        </is>
      </c>
      <c r="AB2979" s="111" t="inlineStr">
        <is>
          <t>NAO_COMPUTADO</t>
        </is>
      </c>
      <c r="AC2979" s="112" t="inlineStr">
        <is>
          <t>Estrutura Fase 1: sem impacto no VTA oficial</t>
        </is>
      </c>
    </row>
    <row r="2980" ht="25.5" customHeight="1" s="289">
      <c r="A2980" s="205" t="n"/>
      <c r="B2980" s="207" t="n"/>
      <c r="C2980" s="104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348" t="n"/>
      <c r="E2980" s="349">
        <f>IF(C2980="","",IFERROR(VLOOKUP(C2980,parametros!$A$11:$E$15,5,0),""))</f>
        <v/>
      </c>
      <c r="F2980" s="335">
        <f>IF(OR(D2980="",E2980=""),"",ROUND(D2980*E2980,2))</f>
        <v/>
      </c>
      <c r="G2980" s="106" t="n"/>
      <c r="H2980" s="350">
        <f>IF(G2980="Sim",IF(OR(F2980="",D2980="",L2980=""),"",IF(L2980="Sim",ROUND(F2980-D2980,2),0)),0)</f>
        <v/>
      </c>
      <c r="I2980" s="350">
        <f>IF(G2980="Sim",0,IF(OR(F2980="",L2980=""),"",F2980))</f>
        <v/>
      </c>
      <c r="J2980" s="350">
        <f>IF(G2980="Sim",0,IF(OR(F2980="",D2980="",L2980=""),"",IF(L2980="Sim",ROUND(F2980-D2980,2),0)))</f>
        <v/>
      </c>
      <c r="K2980" s="97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inlineStr">
        <is>
          <t>Nao</t>
        </is>
      </c>
      <c r="W2980" s="110" t="inlineStr">
        <is>
          <t>PC em analise</t>
        </is>
      </c>
      <c r="X2980" s="110" t="inlineStr">
        <is>
          <t>Pedido de Compra</t>
        </is>
      </c>
      <c r="Y2980" s="111" t="inlineStr">
        <is>
          <t>Impacto Potencial</t>
        </is>
      </c>
      <c r="Z2980" s="111" t="inlineStr">
        <is>
          <t>PC</t>
        </is>
      </c>
      <c r="AA2980" s="111" t="inlineStr">
        <is>
          <t>Nao</t>
        </is>
      </c>
      <c r="AB2980" s="111" t="inlineStr">
        <is>
          <t>NAO_COMPUTADO</t>
        </is>
      </c>
      <c r="AC2980" s="112" t="inlineStr">
        <is>
          <t>Estrutura Fase 1: sem impacto no VTA oficial</t>
        </is>
      </c>
    </row>
    <row r="2981" ht="25.5" customHeight="1" s="289">
      <c r="A2981" s="205" t="n"/>
      <c r="B2981" s="207" t="n"/>
      <c r="C2981" s="104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348" t="n"/>
      <c r="E2981" s="349">
        <f>IF(C2981="","",IFERROR(VLOOKUP(C2981,parametros!$A$11:$E$15,5,0),""))</f>
        <v/>
      </c>
      <c r="F2981" s="335">
        <f>IF(OR(D2981="",E2981=""),"",ROUND(D2981*E2981,2))</f>
        <v/>
      </c>
      <c r="G2981" s="106" t="n"/>
      <c r="H2981" s="350">
        <f>IF(G2981="Sim",IF(OR(F2981="",D2981="",L2981=""),"",IF(L2981="Sim",ROUND(F2981-D2981,2),0)),0)</f>
        <v/>
      </c>
      <c r="I2981" s="350">
        <f>IF(G2981="Sim",0,IF(OR(F2981="",L2981=""),"",F2981))</f>
        <v/>
      </c>
      <c r="J2981" s="350">
        <f>IF(G2981="Sim",0,IF(OR(F2981="",D2981="",L2981=""),"",IF(L2981="Sim",ROUND(F2981-D2981,2),0)))</f>
        <v/>
      </c>
      <c r="K2981" s="97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inlineStr">
        <is>
          <t>Nao</t>
        </is>
      </c>
      <c r="W2981" s="110" t="inlineStr">
        <is>
          <t>PC em analise</t>
        </is>
      </c>
      <c r="X2981" s="110" t="inlineStr">
        <is>
          <t>Pedido de Compra</t>
        </is>
      </c>
      <c r="Y2981" s="111" t="inlineStr">
        <is>
          <t>Impacto Potencial</t>
        </is>
      </c>
      <c r="Z2981" s="111" t="inlineStr">
        <is>
          <t>PC</t>
        </is>
      </c>
      <c r="AA2981" s="111" t="inlineStr">
        <is>
          <t>Nao</t>
        </is>
      </c>
      <c r="AB2981" s="111" t="inlineStr">
        <is>
          <t>NAO_COMPUTADO</t>
        </is>
      </c>
      <c r="AC2981" s="112" t="inlineStr">
        <is>
          <t>Estrutura Fase 1: sem impacto no VTA oficial</t>
        </is>
      </c>
    </row>
    <row r="2982" ht="25.5" customHeight="1" s="289">
      <c r="A2982" s="205" t="n"/>
      <c r="B2982" s="207" t="n"/>
      <c r="C2982" s="104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348" t="n"/>
      <c r="E2982" s="349">
        <f>IF(C2982="","",IFERROR(VLOOKUP(C2982,parametros!$A$11:$E$15,5,0),""))</f>
        <v/>
      </c>
      <c r="F2982" s="335">
        <f>IF(OR(D2982="",E2982=""),"",ROUND(D2982*E2982,2))</f>
        <v/>
      </c>
      <c r="G2982" s="106" t="n"/>
      <c r="H2982" s="350">
        <f>IF(G2982="Sim",IF(OR(F2982="",D2982="",L2982=""),"",IF(L2982="Sim",ROUND(F2982-D2982,2),0)),0)</f>
        <v/>
      </c>
      <c r="I2982" s="350">
        <f>IF(G2982="Sim",0,IF(OR(F2982="",L2982=""),"",F2982))</f>
        <v/>
      </c>
      <c r="J2982" s="350">
        <f>IF(G2982="Sim",0,IF(OR(F2982="",D2982="",L2982=""),"",IF(L2982="Sim",ROUND(F2982-D2982,2),0)))</f>
        <v/>
      </c>
      <c r="K2982" s="97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inlineStr">
        <is>
          <t>Nao</t>
        </is>
      </c>
      <c r="W2982" s="110" t="inlineStr">
        <is>
          <t>PC em analise</t>
        </is>
      </c>
      <c r="X2982" s="110" t="inlineStr">
        <is>
          <t>Pedido de Compra</t>
        </is>
      </c>
      <c r="Y2982" s="111" t="inlineStr">
        <is>
          <t>Impacto Potencial</t>
        </is>
      </c>
      <c r="Z2982" s="111" t="inlineStr">
        <is>
          <t>PC</t>
        </is>
      </c>
      <c r="AA2982" s="111" t="inlineStr">
        <is>
          <t>Nao</t>
        </is>
      </c>
      <c r="AB2982" s="111" t="inlineStr">
        <is>
          <t>NAO_COMPUTADO</t>
        </is>
      </c>
      <c r="AC2982" s="112" t="inlineStr">
        <is>
          <t>Estrutura Fase 1: sem impacto no VTA oficial</t>
        </is>
      </c>
    </row>
    <row r="2983" ht="25.5" customHeight="1" s="289">
      <c r="A2983" s="205" t="n"/>
      <c r="B2983" s="207" t="n"/>
      <c r="C2983" s="104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348" t="n"/>
      <c r="E2983" s="349">
        <f>IF(C2983="","",IFERROR(VLOOKUP(C2983,parametros!$A$11:$E$15,5,0),""))</f>
        <v/>
      </c>
      <c r="F2983" s="335">
        <f>IF(OR(D2983="",E2983=""),"",ROUND(D2983*E2983,2))</f>
        <v/>
      </c>
      <c r="G2983" s="106" t="n"/>
      <c r="H2983" s="350">
        <f>IF(G2983="Sim",IF(OR(F2983="",D2983="",L2983=""),"",IF(L2983="Sim",ROUND(F2983-D2983,2),0)),0)</f>
        <v/>
      </c>
      <c r="I2983" s="350">
        <f>IF(G2983="Sim",0,IF(OR(F2983="",L2983=""),"",F2983))</f>
        <v/>
      </c>
      <c r="J2983" s="350">
        <f>IF(G2983="Sim",0,IF(OR(F2983="",D2983="",L2983=""),"",IF(L2983="Sim",ROUND(F2983-D2983,2),0)))</f>
        <v/>
      </c>
      <c r="K2983" s="97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inlineStr">
        <is>
          <t>Nao</t>
        </is>
      </c>
      <c r="W2983" s="110" t="inlineStr">
        <is>
          <t>PC em analise</t>
        </is>
      </c>
      <c r="X2983" s="110" t="inlineStr">
        <is>
          <t>Pedido de Compra</t>
        </is>
      </c>
      <c r="Y2983" s="111" t="inlineStr">
        <is>
          <t>Impacto Potencial</t>
        </is>
      </c>
      <c r="Z2983" s="111" t="inlineStr">
        <is>
          <t>PC</t>
        </is>
      </c>
      <c r="AA2983" s="111" t="inlineStr">
        <is>
          <t>Nao</t>
        </is>
      </c>
      <c r="AB2983" s="111" t="inlineStr">
        <is>
          <t>NAO_COMPUTADO</t>
        </is>
      </c>
      <c r="AC2983" s="112" t="inlineStr">
        <is>
          <t>Estrutura Fase 1: sem impacto no VTA oficial</t>
        </is>
      </c>
    </row>
    <row r="2984" ht="25.5" customHeight="1" s="289">
      <c r="A2984" s="205" t="n"/>
      <c r="B2984" s="207" t="n"/>
      <c r="C2984" s="104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348" t="n"/>
      <c r="E2984" s="349">
        <f>IF(C2984="","",IFERROR(VLOOKUP(C2984,parametros!$A$11:$E$15,5,0),""))</f>
        <v/>
      </c>
      <c r="F2984" s="335">
        <f>IF(OR(D2984="",E2984=""),"",ROUND(D2984*E2984,2))</f>
        <v/>
      </c>
      <c r="G2984" s="106" t="n"/>
      <c r="H2984" s="350">
        <f>IF(G2984="Sim",IF(OR(F2984="",D2984="",L2984=""),"",IF(L2984="Sim",ROUND(F2984-D2984,2),0)),0)</f>
        <v/>
      </c>
      <c r="I2984" s="350">
        <f>IF(G2984="Sim",0,IF(OR(F2984="",L2984=""),"",F2984))</f>
        <v/>
      </c>
      <c r="J2984" s="350">
        <f>IF(G2984="Sim",0,IF(OR(F2984="",D2984="",L2984=""),"",IF(L2984="Sim",ROUND(F2984-D2984,2),0)))</f>
        <v/>
      </c>
      <c r="K2984" s="97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inlineStr">
        <is>
          <t>Nao</t>
        </is>
      </c>
      <c r="W2984" s="110" t="inlineStr">
        <is>
          <t>PC em analise</t>
        </is>
      </c>
      <c r="X2984" s="110" t="inlineStr">
        <is>
          <t>Pedido de Compra</t>
        </is>
      </c>
      <c r="Y2984" s="111" t="inlineStr">
        <is>
          <t>Impacto Potencial</t>
        </is>
      </c>
      <c r="Z2984" s="111" t="inlineStr">
        <is>
          <t>PC</t>
        </is>
      </c>
      <c r="AA2984" s="111" t="inlineStr">
        <is>
          <t>Nao</t>
        </is>
      </c>
      <c r="AB2984" s="111" t="inlineStr">
        <is>
          <t>NAO_COMPUTADO</t>
        </is>
      </c>
      <c r="AC2984" s="112" t="inlineStr">
        <is>
          <t>Estrutura Fase 1: sem impacto no VTA oficial</t>
        </is>
      </c>
    </row>
    <row r="2985" ht="25.5" customHeight="1" s="289">
      <c r="A2985" s="205" t="n"/>
      <c r="B2985" s="207" t="n"/>
      <c r="C2985" s="104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348" t="n"/>
      <c r="E2985" s="349">
        <f>IF(C2985="","",IFERROR(VLOOKUP(C2985,parametros!$A$11:$E$15,5,0),""))</f>
        <v/>
      </c>
      <c r="F2985" s="335">
        <f>IF(OR(D2985="",E2985=""),"",ROUND(D2985*E2985,2))</f>
        <v/>
      </c>
      <c r="G2985" s="106" t="n"/>
      <c r="H2985" s="350">
        <f>IF(G2985="Sim",IF(OR(F2985="",D2985="",L2985=""),"",IF(L2985="Sim",ROUND(F2985-D2985,2),0)),0)</f>
        <v/>
      </c>
      <c r="I2985" s="350">
        <f>IF(G2985="Sim",0,IF(OR(F2985="",L2985=""),"",F2985))</f>
        <v/>
      </c>
      <c r="J2985" s="350">
        <f>IF(G2985="Sim",0,IF(OR(F2985="",D2985="",L2985=""),"",IF(L2985="Sim",ROUND(F2985-D2985,2),0)))</f>
        <v/>
      </c>
      <c r="K2985" s="97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inlineStr">
        <is>
          <t>Nao</t>
        </is>
      </c>
      <c r="W2985" s="110" t="inlineStr">
        <is>
          <t>PC em analise</t>
        </is>
      </c>
      <c r="X2985" s="110" t="inlineStr">
        <is>
          <t>Pedido de Compra</t>
        </is>
      </c>
      <c r="Y2985" s="111" t="inlineStr">
        <is>
          <t>Impacto Potencial</t>
        </is>
      </c>
      <c r="Z2985" s="111" t="inlineStr">
        <is>
          <t>PC</t>
        </is>
      </c>
      <c r="AA2985" s="111" t="inlineStr">
        <is>
          <t>Nao</t>
        </is>
      </c>
      <c r="AB2985" s="111" t="inlineStr">
        <is>
          <t>NAO_COMPUTADO</t>
        </is>
      </c>
      <c r="AC2985" s="112" t="inlineStr">
        <is>
          <t>Estrutura Fase 1: sem impacto no VTA oficial</t>
        </is>
      </c>
    </row>
    <row r="2986" ht="25.5" customHeight="1" s="289">
      <c r="A2986" s="205" t="n"/>
      <c r="B2986" s="207" t="n"/>
      <c r="C2986" s="104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348" t="n"/>
      <c r="E2986" s="349">
        <f>IF(C2986="","",IFERROR(VLOOKUP(C2986,parametros!$A$11:$E$15,5,0),""))</f>
        <v/>
      </c>
      <c r="F2986" s="335">
        <f>IF(OR(D2986="",E2986=""),"",ROUND(D2986*E2986,2))</f>
        <v/>
      </c>
      <c r="G2986" s="106" t="n"/>
      <c r="H2986" s="350">
        <f>IF(G2986="Sim",IF(OR(F2986="",D2986="",L2986=""),"",IF(L2986="Sim",ROUND(F2986-D2986,2),0)),0)</f>
        <v/>
      </c>
      <c r="I2986" s="350">
        <f>IF(G2986="Sim",0,IF(OR(F2986="",L2986=""),"",F2986))</f>
        <v/>
      </c>
      <c r="J2986" s="350">
        <f>IF(G2986="Sim",0,IF(OR(F2986="",D2986="",L2986=""),"",IF(L2986="Sim",ROUND(F2986-D2986,2),0)))</f>
        <v/>
      </c>
      <c r="K2986" s="97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inlineStr">
        <is>
          <t>Nao</t>
        </is>
      </c>
      <c r="W2986" s="110" t="inlineStr">
        <is>
          <t>PC em analise</t>
        </is>
      </c>
      <c r="X2986" s="110" t="inlineStr">
        <is>
          <t>Pedido de Compra</t>
        </is>
      </c>
      <c r="Y2986" s="111" t="inlineStr">
        <is>
          <t>Impacto Potencial</t>
        </is>
      </c>
      <c r="Z2986" s="111" t="inlineStr">
        <is>
          <t>PC</t>
        </is>
      </c>
      <c r="AA2986" s="111" t="inlineStr">
        <is>
          <t>Nao</t>
        </is>
      </c>
      <c r="AB2986" s="111" t="inlineStr">
        <is>
          <t>NAO_COMPUTADO</t>
        </is>
      </c>
      <c r="AC2986" s="112" t="inlineStr">
        <is>
          <t>Estrutura Fase 1: sem impacto no VTA oficial</t>
        </is>
      </c>
    </row>
    <row r="2987" ht="25.5" customHeight="1" s="289">
      <c r="A2987" s="205" t="n"/>
      <c r="B2987" s="207" t="n"/>
      <c r="C2987" s="104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348" t="n"/>
      <c r="E2987" s="349">
        <f>IF(C2987="","",IFERROR(VLOOKUP(C2987,parametros!$A$11:$E$15,5,0),""))</f>
        <v/>
      </c>
      <c r="F2987" s="335">
        <f>IF(OR(D2987="",E2987=""),"",ROUND(D2987*E2987,2))</f>
        <v/>
      </c>
      <c r="G2987" s="106" t="n"/>
      <c r="H2987" s="350">
        <f>IF(G2987="Sim",IF(OR(F2987="",D2987="",L2987=""),"",IF(L2987="Sim",ROUND(F2987-D2987,2),0)),0)</f>
        <v/>
      </c>
      <c r="I2987" s="350">
        <f>IF(G2987="Sim",0,IF(OR(F2987="",L2987=""),"",F2987))</f>
        <v/>
      </c>
      <c r="J2987" s="350">
        <f>IF(G2987="Sim",0,IF(OR(F2987="",D2987="",L2987=""),"",IF(L2987="Sim",ROUND(F2987-D2987,2),0)))</f>
        <v/>
      </c>
      <c r="K2987" s="97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inlineStr">
        <is>
          <t>Nao</t>
        </is>
      </c>
      <c r="W2987" s="110" t="inlineStr">
        <is>
          <t>PC em analise</t>
        </is>
      </c>
      <c r="X2987" s="110" t="inlineStr">
        <is>
          <t>Pedido de Compra</t>
        </is>
      </c>
      <c r="Y2987" s="111" t="inlineStr">
        <is>
          <t>Impacto Potencial</t>
        </is>
      </c>
      <c r="Z2987" s="111" t="inlineStr">
        <is>
          <t>PC</t>
        </is>
      </c>
      <c r="AA2987" s="111" t="inlineStr">
        <is>
          <t>Nao</t>
        </is>
      </c>
      <c r="AB2987" s="111" t="inlineStr">
        <is>
          <t>NAO_COMPUTADO</t>
        </is>
      </c>
      <c r="AC2987" s="112" t="inlineStr">
        <is>
          <t>Estrutura Fase 1: sem impacto no VTA oficial</t>
        </is>
      </c>
    </row>
    <row r="2988" ht="25.5" customHeight="1" s="289">
      <c r="A2988" s="205" t="n"/>
      <c r="B2988" s="207" t="n"/>
      <c r="C2988" s="104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348" t="n"/>
      <c r="E2988" s="349">
        <f>IF(C2988="","",IFERROR(VLOOKUP(C2988,parametros!$A$11:$E$15,5,0),""))</f>
        <v/>
      </c>
      <c r="F2988" s="335">
        <f>IF(OR(D2988="",E2988=""),"",ROUND(D2988*E2988,2))</f>
        <v/>
      </c>
      <c r="G2988" s="106" t="n"/>
      <c r="H2988" s="350">
        <f>IF(G2988="Sim",IF(OR(F2988="",D2988="",L2988=""),"",IF(L2988="Sim",ROUND(F2988-D2988,2),0)),0)</f>
        <v/>
      </c>
      <c r="I2988" s="350">
        <f>IF(G2988="Sim",0,IF(OR(F2988="",L2988=""),"",F2988))</f>
        <v/>
      </c>
      <c r="J2988" s="350">
        <f>IF(G2988="Sim",0,IF(OR(F2988="",D2988="",L2988=""),"",IF(L2988="Sim",ROUND(F2988-D2988,2),0)))</f>
        <v/>
      </c>
      <c r="K2988" s="97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inlineStr">
        <is>
          <t>Nao</t>
        </is>
      </c>
      <c r="W2988" s="110" t="inlineStr">
        <is>
          <t>PC em analise</t>
        </is>
      </c>
      <c r="X2988" s="110" t="inlineStr">
        <is>
          <t>Pedido de Compra</t>
        </is>
      </c>
      <c r="Y2988" s="111" t="inlineStr">
        <is>
          <t>Impacto Potencial</t>
        </is>
      </c>
      <c r="Z2988" s="111" t="inlineStr">
        <is>
          <t>PC</t>
        </is>
      </c>
      <c r="AA2988" s="111" t="inlineStr">
        <is>
          <t>Nao</t>
        </is>
      </c>
      <c r="AB2988" s="111" t="inlineStr">
        <is>
          <t>NAO_COMPUTADO</t>
        </is>
      </c>
      <c r="AC2988" s="112" t="inlineStr">
        <is>
          <t>Estrutura Fase 1: sem impacto no VTA oficial</t>
        </is>
      </c>
    </row>
    <row r="2989" ht="25.5" customHeight="1" s="289">
      <c r="A2989" s="205" t="n"/>
      <c r="B2989" s="207" t="n"/>
      <c r="C2989" s="104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348" t="n"/>
      <c r="E2989" s="349">
        <f>IF(C2989="","",IFERROR(VLOOKUP(C2989,parametros!$A$11:$E$15,5,0),""))</f>
        <v/>
      </c>
      <c r="F2989" s="335">
        <f>IF(OR(D2989="",E2989=""),"",ROUND(D2989*E2989,2))</f>
        <v/>
      </c>
      <c r="G2989" s="106" t="n"/>
      <c r="H2989" s="350">
        <f>IF(G2989="Sim",IF(OR(F2989="",D2989="",L2989=""),"",IF(L2989="Sim",ROUND(F2989-D2989,2),0)),0)</f>
        <v/>
      </c>
      <c r="I2989" s="350">
        <f>IF(G2989="Sim",0,IF(OR(F2989="",L2989=""),"",F2989))</f>
        <v/>
      </c>
      <c r="J2989" s="350">
        <f>IF(G2989="Sim",0,IF(OR(F2989="",D2989="",L2989=""),"",IF(L2989="Sim",ROUND(F2989-D2989,2),0)))</f>
        <v/>
      </c>
      <c r="K2989" s="97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inlineStr">
        <is>
          <t>Nao</t>
        </is>
      </c>
      <c r="W2989" s="110" t="inlineStr">
        <is>
          <t>PC em analise</t>
        </is>
      </c>
      <c r="X2989" s="110" t="inlineStr">
        <is>
          <t>Pedido de Compra</t>
        </is>
      </c>
      <c r="Y2989" s="111" t="inlineStr">
        <is>
          <t>Impacto Potencial</t>
        </is>
      </c>
      <c r="Z2989" s="111" t="inlineStr">
        <is>
          <t>PC</t>
        </is>
      </c>
      <c r="AA2989" s="111" t="inlineStr">
        <is>
          <t>Nao</t>
        </is>
      </c>
      <c r="AB2989" s="111" t="inlineStr">
        <is>
          <t>NAO_COMPUTADO</t>
        </is>
      </c>
      <c r="AC2989" s="112" t="inlineStr">
        <is>
          <t>Estrutura Fase 1: sem impacto no VTA oficial</t>
        </is>
      </c>
    </row>
    <row r="2990" ht="25.5" customHeight="1" s="289">
      <c r="A2990" s="205" t="n"/>
      <c r="B2990" s="207" t="n"/>
      <c r="C2990" s="104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348" t="n"/>
      <c r="E2990" s="349">
        <f>IF(C2990="","",IFERROR(VLOOKUP(C2990,parametros!$A$11:$E$15,5,0),""))</f>
        <v/>
      </c>
      <c r="F2990" s="335">
        <f>IF(OR(D2990="",E2990=""),"",ROUND(D2990*E2990,2))</f>
        <v/>
      </c>
      <c r="G2990" s="106" t="n"/>
      <c r="H2990" s="350">
        <f>IF(G2990="Sim",IF(OR(F2990="",D2990="",L2990=""),"",IF(L2990="Sim",ROUND(F2990-D2990,2),0)),0)</f>
        <v/>
      </c>
      <c r="I2990" s="350">
        <f>IF(G2990="Sim",0,IF(OR(F2990="",L2990=""),"",F2990))</f>
        <v/>
      </c>
      <c r="J2990" s="350">
        <f>IF(G2990="Sim",0,IF(OR(F2990="",D2990="",L2990=""),"",IF(L2990="Sim",ROUND(F2990-D2990,2),0)))</f>
        <v/>
      </c>
      <c r="K2990" s="97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inlineStr">
        <is>
          <t>Nao</t>
        </is>
      </c>
      <c r="W2990" s="110" t="inlineStr">
        <is>
          <t>PC em analise</t>
        </is>
      </c>
      <c r="X2990" s="110" t="inlineStr">
        <is>
          <t>Pedido de Compra</t>
        </is>
      </c>
      <c r="Y2990" s="111" t="inlineStr">
        <is>
          <t>Impacto Potencial</t>
        </is>
      </c>
      <c r="Z2990" s="111" t="inlineStr">
        <is>
          <t>PC</t>
        </is>
      </c>
      <c r="AA2990" s="111" t="inlineStr">
        <is>
          <t>Nao</t>
        </is>
      </c>
      <c r="AB2990" s="111" t="inlineStr">
        <is>
          <t>NAO_COMPUTADO</t>
        </is>
      </c>
      <c r="AC2990" s="112" t="inlineStr">
        <is>
          <t>Estrutura Fase 1: sem impacto no VTA oficial</t>
        </is>
      </c>
    </row>
    <row r="2991" ht="25.5" customHeight="1" s="289">
      <c r="A2991" s="205" t="n"/>
      <c r="B2991" s="207" t="n"/>
      <c r="C2991" s="104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348" t="n"/>
      <c r="E2991" s="349">
        <f>IF(C2991="","",IFERROR(VLOOKUP(C2991,parametros!$A$11:$E$15,5,0),""))</f>
        <v/>
      </c>
      <c r="F2991" s="335">
        <f>IF(OR(D2991="",E2991=""),"",ROUND(D2991*E2991,2))</f>
        <v/>
      </c>
      <c r="G2991" s="106" t="n"/>
      <c r="H2991" s="350">
        <f>IF(G2991="Sim",IF(OR(F2991="",D2991="",L2991=""),"",IF(L2991="Sim",ROUND(F2991-D2991,2),0)),0)</f>
        <v/>
      </c>
      <c r="I2991" s="350">
        <f>IF(G2991="Sim",0,IF(OR(F2991="",L2991=""),"",F2991))</f>
        <v/>
      </c>
      <c r="J2991" s="350">
        <f>IF(G2991="Sim",0,IF(OR(F2991="",D2991="",L2991=""),"",IF(L2991="Sim",ROUND(F2991-D2991,2),0)))</f>
        <v/>
      </c>
      <c r="K2991" s="97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inlineStr">
        <is>
          <t>Nao</t>
        </is>
      </c>
      <c r="W2991" s="110" t="inlineStr">
        <is>
          <t>PC em analise</t>
        </is>
      </c>
      <c r="X2991" s="110" t="inlineStr">
        <is>
          <t>Pedido de Compra</t>
        </is>
      </c>
      <c r="Y2991" s="111" t="inlineStr">
        <is>
          <t>Impacto Potencial</t>
        </is>
      </c>
      <c r="Z2991" s="111" t="inlineStr">
        <is>
          <t>PC</t>
        </is>
      </c>
      <c r="AA2991" s="111" t="inlineStr">
        <is>
          <t>Nao</t>
        </is>
      </c>
      <c r="AB2991" s="111" t="inlineStr">
        <is>
          <t>NAO_COMPUTADO</t>
        </is>
      </c>
      <c r="AC2991" s="112" t="inlineStr">
        <is>
          <t>Estrutura Fase 1: sem impacto no VTA oficial</t>
        </is>
      </c>
    </row>
    <row r="2992" ht="25.5" customHeight="1" s="289">
      <c r="A2992" s="205" t="n"/>
      <c r="B2992" s="207" t="n"/>
      <c r="C2992" s="104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348" t="n"/>
      <c r="E2992" s="349">
        <f>IF(C2992="","",IFERROR(VLOOKUP(C2992,parametros!$A$11:$E$15,5,0),""))</f>
        <v/>
      </c>
      <c r="F2992" s="335">
        <f>IF(OR(D2992="",E2992=""),"",ROUND(D2992*E2992,2))</f>
        <v/>
      </c>
      <c r="G2992" s="106" t="n"/>
      <c r="H2992" s="350">
        <f>IF(G2992="Sim",IF(OR(F2992="",D2992="",L2992=""),"",IF(L2992="Sim",ROUND(F2992-D2992,2),0)),0)</f>
        <v/>
      </c>
      <c r="I2992" s="350">
        <f>IF(G2992="Sim",0,IF(OR(F2992="",L2992=""),"",F2992))</f>
        <v/>
      </c>
      <c r="J2992" s="350">
        <f>IF(G2992="Sim",0,IF(OR(F2992="",D2992="",L2992=""),"",IF(L2992="Sim",ROUND(F2992-D2992,2),0)))</f>
        <v/>
      </c>
      <c r="K2992" s="97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inlineStr">
        <is>
          <t>Nao</t>
        </is>
      </c>
      <c r="W2992" s="110" t="inlineStr">
        <is>
          <t>PC em analise</t>
        </is>
      </c>
      <c r="X2992" s="110" t="inlineStr">
        <is>
          <t>Pedido de Compra</t>
        </is>
      </c>
      <c r="Y2992" s="111" t="inlineStr">
        <is>
          <t>Impacto Potencial</t>
        </is>
      </c>
      <c r="Z2992" s="111" t="inlineStr">
        <is>
          <t>PC</t>
        </is>
      </c>
      <c r="AA2992" s="111" t="inlineStr">
        <is>
          <t>Nao</t>
        </is>
      </c>
      <c r="AB2992" s="111" t="inlineStr">
        <is>
          <t>NAO_COMPUTADO</t>
        </is>
      </c>
      <c r="AC2992" s="112" t="inlineStr">
        <is>
          <t>Estrutura Fase 1: sem impacto no VTA oficial</t>
        </is>
      </c>
    </row>
    <row r="2993" ht="25.5" customHeight="1" s="289">
      <c r="A2993" s="205" t="n"/>
      <c r="B2993" s="207" t="n"/>
      <c r="C2993" s="104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348" t="n"/>
      <c r="E2993" s="349">
        <f>IF(C2993="","",IFERROR(VLOOKUP(C2993,parametros!$A$11:$E$15,5,0),""))</f>
        <v/>
      </c>
      <c r="F2993" s="335">
        <f>IF(OR(D2993="",E2993=""),"",ROUND(D2993*E2993,2))</f>
        <v/>
      </c>
      <c r="G2993" s="106" t="n"/>
      <c r="H2993" s="350">
        <f>IF(G2993="Sim",IF(OR(F2993="",D2993="",L2993=""),"",IF(L2993="Sim",ROUND(F2993-D2993,2),0)),0)</f>
        <v/>
      </c>
      <c r="I2993" s="350">
        <f>IF(G2993="Sim",0,IF(OR(F2993="",L2993=""),"",F2993))</f>
        <v/>
      </c>
      <c r="J2993" s="350">
        <f>IF(G2993="Sim",0,IF(OR(F2993="",D2993="",L2993=""),"",IF(L2993="Sim",ROUND(F2993-D2993,2),0)))</f>
        <v/>
      </c>
      <c r="K2993" s="97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inlineStr">
        <is>
          <t>Nao</t>
        </is>
      </c>
      <c r="W2993" s="110" t="inlineStr">
        <is>
          <t>PC em analise</t>
        </is>
      </c>
      <c r="X2993" s="110" t="inlineStr">
        <is>
          <t>Pedido de Compra</t>
        </is>
      </c>
      <c r="Y2993" s="111" t="inlineStr">
        <is>
          <t>Impacto Potencial</t>
        </is>
      </c>
      <c r="Z2993" s="111" t="inlineStr">
        <is>
          <t>PC</t>
        </is>
      </c>
      <c r="AA2993" s="111" t="inlineStr">
        <is>
          <t>Nao</t>
        </is>
      </c>
      <c r="AB2993" s="111" t="inlineStr">
        <is>
          <t>NAO_COMPUTADO</t>
        </is>
      </c>
      <c r="AC2993" s="112" t="inlineStr">
        <is>
          <t>Estrutura Fase 1: sem impacto no VTA oficial</t>
        </is>
      </c>
    </row>
    <row r="2994" ht="25.5" customHeight="1" s="289">
      <c r="A2994" s="205" t="n"/>
      <c r="B2994" s="207" t="n"/>
      <c r="C2994" s="104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348" t="n"/>
      <c r="E2994" s="349">
        <f>IF(C2994="","",IFERROR(VLOOKUP(C2994,parametros!$A$11:$E$15,5,0),""))</f>
        <v/>
      </c>
      <c r="F2994" s="335">
        <f>IF(OR(D2994="",E2994=""),"",ROUND(D2994*E2994,2))</f>
        <v/>
      </c>
      <c r="G2994" s="106" t="n"/>
      <c r="H2994" s="350">
        <f>IF(G2994="Sim",IF(OR(F2994="",D2994="",L2994=""),"",IF(L2994="Sim",ROUND(F2994-D2994,2),0)),0)</f>
        <v/>
      </c>
      <c r="I2994" s="350">
        <f>IF(G2994="Sim",0,IF(OR(F2994="",L2994=""),"",F2994))</f>
        <v/>
      </c>
      <c r="J2994" s="350">
        <f>IF(G2994="Sim",0,IF(OR(F2994="",D2994="",L2994=""),"",IF(L2994="Sim",ROUND(F2994-D2994,2),0)))</f>
        <v/>
      </c>
      <c r="K2994" s="97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inlineStr">
        <is>
          <t>Nao</t>
        </is>
      </c>
      <c r="W2994" s="110" t="inlineStr">
        <is>
          <t>PC em analise</t>
        </is>
      </c>
      <c r="X2994" s="110" t="inlineStr">
        <is>
          <t>Pedido de Compra</t>
        </is>
      </c>
      <c r="Y2994" s="111" t="inlineStr">
        <is>
          <t>Impacto Potencial</t>
        </is>
      </c>
      <c r="Z2994" s="111" t="inlineStr">
        <is>
          <t>PC</t>
        </is>
      </c>
      <c r="AA2994" s="111" t="inlineStr">
        <is>
          <t>Nao</t>
        </is>
      </c>
      <c r="AB2994" s="111" t="inlineStr">
        <is>
          <t>NAO_COMPUTADO</t>
        </is>
      </c>
      <c r="AC2994" s="112" t="inlineStr">
        <is>
          <t>Estrutura Fase 1: sem impacto no VTA oficial</t>
        </is>
      </c>
    </row>
    <row r="2995" ht="25.5" customHeight="1" s="289">
      <c r="A2995" s="205" t="n"/>
      <c r="B2995" s="207" t="n"/>
      <c r="C2995" s="104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348" t="n"/>
      <c r="E2995" s="349">
        <f>IF(C2995="","",IFERROR(VLOOKUP(C2995,parametros!$A$11:$E$15,5,0),""))</f>
        <v/>
      </c>
      <c r="F2995" s="335">
        <f>IF(OR(D2995="",E2995=""),"",ROUND(D2995*E2995,2))</f>
        <v/>
      </c>
      <c r="G2995" s="106" t="n"/>
      <c r="H2995" s="350">
        <f>IF(G2995="Sim",IF(OR(F2995="",D2995="",L2995=""),"",IF(L2995="Sim",ROUND(F2995-D2995,2),0)),0)</f>
        <v/>
      </c>
      <c r="I2995" s="350">
        <f>IF(G2995="Sim",0,IF(OR(F2995="",L2995=""),"",F2995))</f>
        <v/>
      </c>
      <c r="J2995" s="350">
        <f>IF(G2995="Sim",0,IF(OR(F2995="",D2995="",L2995=""),"",IF(L2995="Sim",ROUND(F2995-D2995,2),0)))</f>
        <v/>
      </c>
      <c r="K2995" s="97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inlineStr">
        <is>
          <t>Nao</t>
        </is>
      </c>
      <c r="W2995" s="110" t="inlineStr">
        <is>
          <t>PC em analise</t>
        </is>
      </c>
      <c r="X2995" s="110" t="inlineStr">
        <is>
          <t>Pedido de Compra</t>
        </is>
      </c>
      <c r="Y2995" s="111" t="inlineStr">
        <is>
          <t>Impacto Potencial</t>
        </is>
      </c>
      <c r="Z2995" s="111" t="inlineStr">
        <is>
          <t>PC</t>
        </is>
      </c>
      <c r="AA2995" s="111" t="inlineStr">
        <is>
          <t>Nao</t>
        </is>
      </c>
      <c r="AB2995" s="111" t="inlineStr">
        <is>
          <t>NAO_COMPUTADO</t>
        </is>
      </c>
      <c r="AC2995" s="112" t="inlineStr">
        <is>
          <t>Estrutura Fase 1: sem impacto no VTA oficial</t>
        </is>
      </c>
    </row>
    <row r="2996" ht="25.5" customHeight="1" s="289">
      <c r="A2996" s="205" t="n"/>
      <c r="B2996" s="207" t="n"/>
      <c r="C2996" s="104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348" t="n"/>
      <c r="E2996" s="349">
        <f>IF(C2996="","",IFERROR(VLOOKUP(C2996,parametros!$A$11:$E$15,5,0),""))</f>
        <v/>
      </c>
      <c r="F2996" s="335">
        <f>IF(OR(D2996="",E2996=""),"",ROUND(D2996*E2996,2))</f>
        <v/>
      </c>
      <c r="G2996" s="106" t="n"/>
      <c r="H2996" s="350">
        <f>IF(G2996="Sim",IF(OR(F2996="",D2996="",L2996=""),"",IF(L2996="Sim",ROUND(F2996-D2996,2),0)),0)</f>
        <v/>
      </c>
      <c r="I2996" s="350">
        <f>IF(G2996="Sim",0,IF(OR(F2996="",L2996=""),"",F2996))</f>
        <v/>
      </c>
      <c r="J2996" s="350">
        <f>IF(G2996="Sim",0,IF(OR(F2996="",D2996="",L2996=""),"",IF(L2996="Sim",ROUND(F2996-D2996,2),0)))</f>
        <v/>
      </c>
      <c r="K2996" s="97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inlineStr">
        <is>
          <t>Nao</t>
        </is>
      </c>
      <c r="W2996" s="110" t="inlineStr">
        <is>
          <t>PC em analise</t>
        </is>
      </c>
      <c r="X2996" s="110" t="inlineStr">
        <is>
          <t>Pedido de Compra</t>
        </is>
      </c>
      <c r="Y2996" s="111" t="inlineStr">
        <is>
          <t>Impacto Potencial</t>
        </is>
      </c>
      <c r="Z2996" s="111" t="inlineStr">
        <is>
          <t>PC</t>
        </is>
      </c>
      <c r="AA2996" s="111" t="inlineStr">
        <is>
          <t>Nao</t>
        </is>
      </c>
      <c r="AB2996" s="111" t="inlineStr">
        <is>
          <t>NAO_COMPUTADO</t>
        </is>
      </c>
      <c r="AC2996" s="112" t="inlineStr">
        <is>
          <t>Estrutura Fase 1: sem impacto no VTA oficial</t>
        </is>
      </c>
    </row>
    <row r="2997" ht="25.5" customHeight="1" s="289">
      <c r="A2997" s="205" t="n"/>
      <c r="B2997" s="207" t="n"/>
      <c r="C2997" s="104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348" t="n"/>
      <c r="E2997" s="349">
        <f>IF(C2997="","",IFERROR(VLOOKUP(C2997,parametros!$A$11:$E$15,5,0),""))</f>
        <v/>
      </c>
      <c r="F2997" s="335">
        <f>IF(OR(D2997="",E2997=""),"",ROUND(D2997*E2997,2))</f>
        <v/>
      </c>
      <c r="G2997" s="106" t="n"/>
      <c r="H2997" s="350">
        <f>IF(G2997="Sim",IF(OR(F2997="",D2997="",L2997=""),"",IF(L2997="Sim",ROUND(F2997-D2997,2),0)),0)</f>
        <v/>
      </c>
      <c r="I2997" s="350">
        <f>IF(G2997="Sim",0,IF(OR(F2997="",L2997=""),"",F2997))</f>
        <v/>
      </c>
      <c r="J2997" s="350">
        <f>IF(G2997="Sim",0,IF(OR(F2997="",D2997="",L2997=""),"",IF(L2997="Sim",ROUND(F2997-D2997,2),0)))</f>
        <v/>
      </c>
      <c r="K2997" s="97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inlineStr">
        <is>
          <t>Nao</t>
        </is>
      </c>
      <c r="W2997" s="110" t="inlineStr">
        <is>
          <t>PC em analise</t>
        </is>
      </c>
      <c r="X2997" s="110" t="inlineStr">
        <is>
          <t>Pedido de Compra</t>
        </is>
      </c>
      <c r="Y2997" s="111" t="inlineStr">
        <is>
          <t>Impacto Potencial</t>
        </is>
      </c>
      <c r="Z2997" s="111" t="inlineStr">
        <is>
          <t>PC</t>
        </is>
      </c>
      <c r="AA2997" s="111" t="inlineStr">
        <is>
          <t>Nao</t>
        </is>
      </c>
      <c r="AB2997" s="111" t="inlineStr">
        <is>
          <t>NAO_COMPUTADO</t>
        </is>
      </c>
      <c r="AC2997" s="112" t="inlineStr">
        <is>
          <t>Estrutura Fase 1: sem impacto no VTA oficial</t>
        </is>
      </c>
    </row>
    <row r="2998" ht="25.5" customHeight="1" s="289">
      <c r="A2998" s="205" t="n"/>
      <c r="B2998" s="207" t="n"/>
      <c r="C2998" s="104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348" t="n"/>
      <c r="E2998" s="349">
        <f>IF(C2998="","",IFERROR(VLOOKUP(C2998,parametros!$A$11:$E$15,5,0),""))</f>
        <v/>
      </c>
      <c r="F2998" s="335">
        <f>IF(OR(D2998="",E2998=""),"",ROUND(D2998*E2998,2))</f>
        <v/>
      </c>
      <c r="G2998" s="106" t="n"/>
      <c r="H2998" s="350">
        <f>IF(G2998="Sim",IF(OR(F2998="",D2998="",L2998=""),"",IF(L2998="Sim",ROUND(F2998-D2998,2),0)),0)</f>
        <v/>
      </c>
      <c r="I2998" s="350">
        <f>IF(G2998="Sim",0,IF(OR(F2998="",L2998=""),"",F2998))</f>
        <v/>
      </c>
      <c r="J2998" s="350">
        <f>IF(G2998="Sim",0,IF(OR(F2998="",D2998="",L2998=""),"",IF(L2998="Sim",ROUND(F2998-D2998,2),0)))</f>
        <v/>
      </c>
      <c r="K2998" s="97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inlineStr">
        <is>
          <t>Nao</t>
        </is>
      </c>
      <c r="W2998" s="110" t="inlineStr">
        <is>
          <t>PC em analise</t>
        </is>
      </c>
      <c r="X2998" s="110" t="inlineStr">
        <is>
          <t>Pedido de Compra</t>
        </is>
      </c>
      <c r="Y2998" s="111" t="inlineStr">
        <is>
          <t>Impacto Potencial</t>
        </is>
      </c>
      <c r="Z2998" s="111" t="inlineStr">
        <is>
          <t>PC</t>
        </is>
      </c>
      <c r="AA2998" s="111" t="inlineStr">
        <is>
          <t>Nao</t>
        </is>
      </c>
      <c r="AB2998" s="111" t="inlineStr">
        <is>
          <t>NAO_COMPUTADO</t>
        </is>
      </c>
      <c r="AC2998" s="112" t="inlineStr">
        <is>
          <t>Estrutura Fase 1: sem impacto no VTA oficial</t>
        </is>
      </c>
    </row>
    <row r="2999" ht="25.5" customHeight="1" s="289">
      <c r="A2999" s="205" t="n"/>
      <c r="B2999" s="207" t="n"/>
      <c r="C2999" s="104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348" t="n"/>
      <c r="E2999" s="349">
        <f>IF(C2999="","",IFERROR(VLOOKUP(C2999,parametros!$A$11:$E$15,5,0),""))</f>
        <v/>
      </c>
      <c r="F2999" s="335">
        <f>IF(OR(D2999="",E2999=""),"",ROUND(D2999*E2999,2))</f>
        <v/>
      </c>
      <c r="G2999" s="106" t="n"/>
      <c r="H2999" s="350">
        <f>IF(G2999="Sim",IF(OR(F2999="",D2999="",L2999=""),"",IF(L2999="Sim",ROUND(F2999-D2999,2),0)),0)</f>
        <v/>
      </c>
      <c r="I2999" s="350">
        <f>IF(G2999="Sim",0,IF(OR(F2999="",L2999=""),"",F2999))</f>
        <v/>
      </c>
      <c r="J2999" s="350">
        <f>IF(G2999="Sim",0,IF(OR(F2999="",D2999="",L2999=""),"",IF(L2999="Sim",ROUND(F2999-D2999,2),0)))</f>
        <v/>
      </c>
      <c r="K2999" s="97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inlineStr">
        <is>
          <t>Nao</t>
        </is>
      </c>
      <c r="W2999" s="110" t="inlineStr">
        <is>
          <t>PC em analise</t>
        </is>
      </c>
      <c r="X2999" s="110" t="inlineStr">
        <is>
          <t>Pedido de Compra</t>
        </is>
      </c>
      <c r="Y2999" s="111" t="inlineStr">
        <is>
          <t>Impacto Potencial</t>
        </is>
      </c>
      <c r="Z2999" s="111" t="inlineStr">
        <is>
          <t>PC</t>
        </is>
      </c>
      <c r="AA2999" s="111" t="inlineStr">
        <is>
          <t>Nao</t>
        </is>
      </c>
      <c r="AB2999" s="111" t="inlineStr">
        <is>
          <t>NAO_COMPUTADO</t>
        </is>
      </c>
      <c r="AC2999" s="112" t="inlineStr">
        <is>
          <t>Estrutura Fase 1: sem impacto no VTA oficial</t>
        </is>
      </c>
    </row>
    <row r="3000" ht="25.5" customHeight="1" s="289">
      <c r="A3000" s="205" t="n"/>
      <c r="B3000" s="207" t="n"/>
      <c r="C3000" s="104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348" t="n"/>
      <c r="E3000" s="349">
        <f>IF(C3000="","",IFERROR(VLOOKUP(C3000,parametros!$A$11:$E$15,5,0),""))</f>
        <v/>
      </c>
      <c r="F3000" s="335">
        <f>IF(OR(D3000="",E3000=""),"",ROUND(D3000*E3000,2))</f>
        <v/>
      </c>
      <c r="G3000" s="106" t="n"/>
      <c r="H3000" s="350">
        <f>IF(G3000="Sim",IF(OR(F3000="",D3000="",L3000=""),"",IF(L3000="Sim",ROUND(F3000-D3000,2),0)),0)</f>
        <v/>
      </c>
      <c r="I3000" s="350">
        <f>IF(G3000="Sim",0,IF(OR(F3000="",L3000=""),"",F3000))</f>
        <v/>
      </c>
      <c r="J3000" s="350">
        <f>IF(G3000="Sim",0,IF(OR(F3000="",D3000="",L3000=""),"",IF(L3000="Sim",ROUND(F3000-D3000,2),0)))</f>
        <v/>
      </c>
      <c r="K3000" s="97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inlineStr">
        <is>
          <t>Nao</t>
        </is>
      </c>
      <c r="W3000" s="110" t="inlineStr">
        <is>
          <t>PC em analise</t>
        </is>
      </c>
      <c r="X3000" s="110" t="inlineStr">
        <is>
          <t>Pedido de Compra</t>
        </is>
      </c>
      <c r="Y3000" s="111" t="inlineStr">
        <is>
          <t>Impacto Potencial</t>
        </is>
      </c>
      <c r="Z3000" s="111" t="inlineStr">
        <is>
          <t>PC</t>
        </is>
      </c>
      <c r="AA3000" s="111" t="inlineStr">
        <is>
          <t>Nao</t>
        </is>
      </c>
      <c r="AB3000" s="111" t="inlineStr">
        <is>
          <t>NAO_COMPUTADO</t>
        </is>
      </c>
      <c r="AC3000" s="112" t="inlineStr">
        <is>
          <t>Estrutura Fase 1: sem impacto no VTA oficial</t>
        </is>
      </c>
    </row>
    <row r="3001" ht="25.5" customHeight="1" s="289">
      <c r="A3001" s="205" t="n"/>
      <c r="B3001" s="207" t="n"/>
      <c r="C3001" s="104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348" t="n"/>
      <c r="E3001" s="349">
        <f>IF(C3001="","",IFERROR(VLOOKUP(C3001,parametros!$A$11:$E$15,5,0),""))</f>
        <v/>
      </c>
      <c r="F3001" s="335">
        <f>IF(OR(D3001="",E3001=""),"",ROUND(D3001*E3001,2))</f>
        <v/>
      </c>
      <c r="G3001" s="106" t="n"/>
      <c r="H3001" s="350">
        <f>IF(G3001="Sim",IF(OR(F3001="",D3001="",L3001=""),"",IF(L3001="Sim",ROUND(F3001-D3001,2),0)),0)</f>
        <v/>
      </c>
      <c r="I3001" s="350">
        <f>IF(G3001="Sim",0,IF(OR(F3001="",L3001=""),"",F3001))</f>
        <v/>
      </c>
      <c r="J3001" s="350">
        <f>IF(G3001="Sim",0,IF(OR(F3001="",D3001="",L3001=""),"",IF(L3001="Sim",ROUND(F3001-D3001,2),0)))</f>
        <v/>
      </c>
      <c r="K3001" s="97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inlineStr">
        <is>
          <t>Nao</t>
        </is>
      </c>
      <c r="W3001" s="110" t="inlineStr">
        <is>
          <t>PC em analise</t>
        </is>
      </c>
      <c r="X3001" s="110" t="inlineStr">
        <is>
          <t>Pedido de Compra</t>
        </is>
      </c>
      <c r="Y3001" s="111" t="inlineStr">
        <is>
          <t>Impacto Potencial</t>
        </is>
      </c>
      <c r="Z3001" s="111" t="inlineStr">
        <is>
          <t>PC</t>
        </is>
      </c>
      <c r="AA3001" s="111" t="inlineStr">
        <is>
          <t>Nao</t>
        </is>
      </c>
      <c r="AB3001" s="111" t="inlineStr">
        <is>
          <t>NAO_COMPUTADO</t>
        </is>
      </c>
      <c r="AC3001" s="112" t="inlineStr">
        <is>
          <t>Estrutura Fase 1: sem impacto no VTA oficial</t>
        </is>
      </c>
    </row>
    <row r="3002" ht="25.5" customHeight="1" s="289">
      <c r="A3002" s="205" t="n"/>
      <c r="B3002" s="207" t="n"/>
      <c r="C3002" s="104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348" t="n"/>
      <c r="E3002" s="349">
        <f>IF(C3002="","",IFERROR(VLOOKUP(C3002,parametros!$A$11:$E$15,5,0),""))</f>
        <v/>
      </c>
      <c r="F3002" s="335">
        <f>IF(OR(D3002="",E3002=""),"",ROUND(D3002*E3002,2))</f>
        <v/>
      </c>
      <c r="G3002" s="106" t="n"/>
      <c r="H3002" s="350">
        <f>IF(G3002="Sim",IF(OR(F3002="",D3002="",L3002=""),"",IF(L3002="Sim",ROUND(F3002-D3002,2),0)),0)</f>
        <v/>
      </c>
      <c r="I3002" s="350">
        <f>IF(G3002="Sim",0,IF(OR(F3002="",L3002=""),"",F3002))</f>
        <v/>
      </c>
      <c r="J3002" s="350">
        <f>IF(G3002="Sim",0,IF(OR(F3002="",D3002="",L3002=""),"",IF(L3002="Sim",ROUND(F3002-D3002,2),0)))</f>
        <v/>
      </c>
      <c r="K3002" s="97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inlineStr">
        <is>
          <t>Nao</t>
        </is>
      </c>
      <c r="W3002" s="110" t="inlineStr">
        <is>
          <t>PC em analise</t>
        </is>
      </c>
      <c r="X3002" s="110" t="inlineStr">
        <is>
          <t>Pedido de Compra</t>
        </is>
      </c>
      <c r="Y3002" s="111" t="inlineStr">
        <is>
          <t>Impacto Potencial</t>
        </is>
      </c>
      <c r="Z3002" s="111" t="inlineStr">
        <is>
          <t>PC</t>
        </is>
      </c>
      <c r="AA3002" s="111" t="inlineStr">
        <is>
          <t>Nao</t>
        </is>
      </c>
      <c r="AB3002" s="111" t="inlineStr">
        <is>
          <t>NAO_COMPUTADO</t>
        </is>
      </c>
      <c r="AC3002" s="112" t="inlineStr">
        <is>
          <t>Estrutura Fase 1: sem impacto no VTA oficial</t>
        </is>
      </c>
    </row>
    <row r="3003" ht="25.5" customHeight="1" s="289">
      <c r="A3003" s="205" t="n"/>
      <c r="B3003" s="207" t="n"/>
      <c r="C3003" s="104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348" t="n"/>
      <c r="E3003" s="349">
        <f>IF(C3003="","",IFERROR(VLOOKUP(C3003,parametros!$A$11:$E$15,5,0),""))</f>
        <v/>
      </c>
      <c r="F3003" s="335">
        <f>IF(OR(D3003="",E3003=""),"",ROUND(D3003*E3003,2))</f>
        <v/>
      </c>
      <c r="G3003" s="106" t="n"/>
      <c r="H3003" s="350">
        <f>IF(G3003="Sim",IF(OR(F3003="",D3003="",L3003=""),"",IF(L3003="Sim",ROUND(F3003-D3003,2),0)),0)</f>
        <v/>
      </c>
      <c r="I3003" s="350">
        <f>IF(G3003="Sim",0,IF(OR(F3003="",L3003=""),"",F3003))</f>
        <v/>
      </c>
      <c r="J3003" s="350">
        <f>IF(G3003="Sim",0,IF(OR(F3003="",D3003="",L3003=""),"",IF(L3003="Sim",ROUND(F3003-D3003,2),0)))</f>
        <v/>
      </c>
      <c r="K3003" s="97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inlineStr">
        <is>
          <t>Nao</t>
        </is>
      </c>
      <c r="W3003" s="110" t="inlineStr">
        <is>
          <t>PC em analise</t>
        </is>
      </c>
      <c r="X3003" s="110" t="inlineStr">
        <is>
          <t>Pedido de Compra</t>
        </is>
      </c>
      <c r="Y3003" s="111" t="inlineStr">
        <is>
          <t>Impacto Potencial</t>
        </is>
      </c>
      <c r="Z3003" s="111" t="inlineStr">
        <is>
          <t>PC</t>
        </is>
      </c>
      <c r="AA3003" s="111" t="inlineStr">
        <is>
          <t>Nao</t>
        </is>
      </c>
      <c r="AB3003" s="111" t="inlineStr">
        <is>
          <t>NAO_COMPUTADO</t>
        </is>
      </c>
      <c r="AC3003" s="112" t="inlineStr">
        <is>
          <t>Estrutura Fase 1: sem impacto no VTA oficial</t>
        </is>
      </c>
    </row>
    <row r="3004" ht="25.5" customHeight="1" s="289">
      <c r="A3004" s="205" t="n"/>
      <c r="B3004" s="207" t="n"/>
      <c r="C3004" s="104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348" t="n"/>
      <c r="E3004" s="349">
        <f>IF(C3004="","",IFERROR(VLOOKUP(C3004,parametros!$A$11:$E$15,5,0),""))</f>
        <v/>
      </c>
      <c r="F3004" s="335">
        <f>IF(OR(D3004="",E3004=""),"",ROUND(D3004*E3004,2))</f>
        <v/>
      </c>
      <c r="G3004" s="106" t="n"/>
      <c r="H3004" s="350">
        <f>IF(G3004="Sim",IF(OR(F3004="",D3004="",L3004=""),"",IF(L3004="Sim",ROUND(F3004-D3004,2),0)),0)</f>
        <v/>
      </c>
      <c r="I3004" s="350">
        <f>IF(G3004="Sim",0,IF(OR(F3004="",L3004=""),"",F3004))</f>
        <v/>
      </c>
      <c r="J3004" s="350">
        <f>IF(G3004="Sim",0,IF(OR(F3004="",D3004="",L3004=""),"",IF(L3004="Sim",ROUND(F3004-D3004,2),0)))</f>
        <v/>
      </c>
      <c r="K3004" s="97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inlineStr">
        <is>
          <t>Nao</t>
        </is>
      </c>
      <c r="W3004" s="110" t="inlineStr">
        <is>
          <t>PC em analise</t>
        </is>
      </c>
      <c r="X3004" s="110" t="inlineStr">
        <is>
          <t>Pedido de Compra</t>
        </is>
      </c>
      <c r="Y3004" s="111" t="inlineStr">
        <is>
          <t>Impacto Potencial</t>
        </is>
      </c>
      <c r="Z3004" s="111" t="inlineStr">
        <is>
          <t>PC</t>
        </is>
      </c>
      <c r="AA3004" s="111" t="inlineStr">
        <is>
          <t>Nao</t>
        </is>
      </c>
      <c r="AB3004" s="111" t="inlineStr">
        <is>
          <t>NAO_COMPUTADO</t>
        </is>
      </c>
      <c r="AC3004" s="112" t="inlineStr">
        <is>
          <t>Estrutura Fase 1: sem impacto no VTA oficial</t>
        </is>
      </c>
    </row>
    <row r="3005" ht="25.5" customHeight="1" s="289">
      <c r="A3005" s="205" t="n"/>
      <c r="B3005" s="207" t="n"/>
      <c r="C3005" s="104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348" t="n"/>
      <c r="E3005" s="349">
        <f>IF(C3005="","",IFERROR(VLOOKUP(C3005,parametros!$A$11:$E$15,5,0),""))</f>
        <v/>
      </c>
      <c r="F3005" s="335">
        <f>IF(OR(D3005="",E3005=""),"",ROUND(D3005*E3005,2))</f>
        <v/>
      </c>
      <c r="G3005" s="106" t="n"/>
      <c r="H3005" s="350">
        <f>IF(G3005="Sim",IF(OR(F3005="",D3005="",L3005=""),"",IF(L3005="Sim",ROUND(F3005-D3005,2),0)),0)</f>
        <v/>
      </c>
      <c r="I3005" s="350">
        <f>IF(G3005="Sim",0,IF(OR(F3005="",L3005=""),"",F3005))</f>
        <v/>
      </c>
      <c r="J3005" s="350">
        <f>IF(G3005="Sim",0,IF(OR(F3005="",D3005="",L3005=""),"",IF(L3005="Sim",ROUND(F3005-D3005,2),0)))</f>
        <v/>
      </c>
      <c r="K3005" s="97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inlineStr">
        <is>
          <t>Nao</t>
        </is>
      </c>
      <c r="W3005" s="110" t="inlineStr">
        <is>
          <t>PC em analise</t>
        </is>
      </c>
      <c r="X3005" s="110" t="inlineStr">
        <is>
          <t>Pedido de Compra</t>
        </is>
      </c>
      <c r="Y3005" s="111" t="inlineStr">
        <is>
          <t>Impacto Potencial</t>
        </is>
      </c>
      <c r="Z3005" s="111" t="inlineStr">
        <is>
          <t>PC</t>
        </is>
      </c>
      <c r="AA3005" s="111" t="inlineStr">
        <is>
          <t>Nao</t>
        </is>
      </c>
      <c r="AB3005" s="111" t="inlineStr">
        <is>
          <t>NAO_COMPUTADO</t>
        </is>
      </c>
      <c r="AC3005" s="112" t="inlineStr">
        <is>
          <t>Estrutura Fase 1: sem impacto no VTA oficial</t>
        </is>
      </c>
    </row>
    <row r="3006" ht="25.5" customHeight="1" s="289">
      <c r="A3006" s="205" t="n"/>
      <c r="B3006" s="207" t="n"/>
      <c r="C3006" s="104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348" t="n"/>
      <c r="E3006" s="349">
        <f>IF(C3006="","",IFERROR(VLOOKUP(C3006,parametros!$A$11:$E$15,5,0),""))</f>
        <v/>
      </c>
      <c r="F3006" s="335">
        <f>IF(OR(D3006="",E3006=""),"",ROUND(D3006*E3006,2))</f>
        <v/>
      </c>
      <c r="G3006" s="106" t="n"/>
      <c r="H3006" s="350">
        <f>IF(G3006="Sim",IF(OR(F3006="",D3006="",L3006=""),"",IF(L3006="Sim",ROUND(F3006-D3006,2),0)),0)</f>
        <v/>
      </c>
      <c r="I3006" s="350">
        <f>IF(G3006="Sim",0,IF(OR(F3006="",L3006=""),"",F3006))</f>
        <v/>
      </c>
      <c r="J3006" s="350">
        <f>IF(G3006="Sim",0,IF(OR(F3006="",D3006="",L3006=""),"",IF(L3006="Sim",ROUND(F3006-D3006,2),0)))</f>
        <v/>
      </c>
      <c r="K3006" s="97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inlineStr">
        <is>
          <t>Nao</t>
        </is>
      </c>
      <c r="W3006" s="110" t="inlineStr">
        <is>
          <t>PC em analise</t>
        </is>
      </c>
      <c r="X3006" s="110" t="inlineStr">
        <is>
          <t>Pedido de Compra</t>
        </is>
      </c>
      <c r="Y3006" s="111" t="inlineStr">
        <is>
          <t>Impacto Potencial</t>
        </is>
      </c>
      <c r="Z3006" s="111" t="inlineStr">
        <is>
          <t>PC</t>
        </is>
      </c>
      <c r="AA3006" s="111" t="inlineStr">
        <is>
          <t>Nao</t>
        </is>
      </c>
      <c r="AB3006" s="111" t="inlineStr">
        <is>
          <t>NAO_COMPUTADO</t>
        </is>
      </c>
      <c r="AC3006" s="112" t="inlineStr">
        <is>
          <t>Estrutura Fase 1: sem impacto no VTA oficial</t>
        </is>
      </c>
    </row>
    <row r="3007" ht="25.5" customHeight="1" s="289">
      <c r="A3007" s="205" t="n"/>
      <c r="B3007" s="207" t="n"/>
      <c r="C3007" s="104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348" t="n"/>
      <c r="E3007" s="349">
        <f>IF(C3007="","",IFERROR(VLOOKUP(C3007,parametros!$A$11:$E$15,5,0),""))</f>
        <v/>
      </c>
      <c r="F3007" s="335">
        <f>IF(OR(D3007="",E3007=""),"",ROUND(D3007*E3007,2))</f>
        <v/>
      </c>
      <c r="G3007" s="106" t="n"/>
      <c r="H3007" s="350">
        <f>IF(G3007="Sim",IF(OR(F3007="",D3007="",L3007=""),"",IF(L3007="Sim",ROUND(F3007-D3007,2),0)),0)</f>
        <v/>
      </c>
      <c r="I3007" s="350">
        <f>IF(G3007="Sim",0,IF(OR(F3007="",L3007=""),"",F3007))</f>
        <v/>
      </c>
      <c r="J3007" s="350">
        <f>IF(G3007="Sim",0,IF(OR(F3007="",D3007="",L3007=""),"",IF(L3007="Sim",ROUND(F3007-D3007,2),0)))</f>
        <v/>
      </c>
      <c r="K3007" s="97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inlineStr">
        <is>
          <t>Nao</t>
        </is>
      </c>
      <c r="W3007" s="110" t="inlineStr">
        <is>
          <t>PC em analise</t>
        </is>
      </c>
      <c r="X3007" s="110" t="inlineStr">
        <is>
          <t>Pedido de Compra</t>
        </is>
      </c>
      <c r="Y3007" s="111" t="inlineStr">
        <is>
          <t>Impacto Potencial</t>
        </is>
      </c>
      <c r="Z3007" s="111" t="inlineStr">
        <is>
          <t>PC</t>
        </is>
      </c>
      <c r="AA3007" s="111" t="inlineStr">
        <is>
          <t>Nao</t>
        </is>
      </c>
      <c r="AB3007" s="111" t="inlineStr">
        <is>
          <t>NAO_COMPUTADO</t>
        </is>
      </c>
      <c r="AC3007" s="112" t="inlineStr">
        <is>
          <t>Estrutura Fase 1: sem impacto no VTA oficial</t>
        </is>
      </c>
    </row>
    <row r="3008" ht="25.5" customHeight="1" s="289">
      <c r="A3008" s="205" t="n"/>
      <c r="B3008" s="207" t="n"/>
      <c r="C3008" s="104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348" t="n"/>
      <c r="E3008" s="349">
        <f>IF(C3008="","",IFERROR(VLOOKUP(C3008,parametros!$A$11:$E$15,5,0),""))</f>
        <v/>
      </c>
      <c r="F3008" s="335">
        <f>IF(OR(D3008="",E3008=""),"",ROUND(D3008*E3008,2))</f>
        <v/>
      </c>
      <c r="G3008" s="106" t="n"/>
      <c r="H3008" s="350">
        <f>IF(G3008="Sim",IF(OR(F3008="",D3008="",L3008=""),"",IF(L3008="Sim",ROUND(F3008-D3008,2),0)),0)</f>
        <v/>
      </c>
      <c r="I3008" s="350">
        <f>IF(G3008="Sim",0,IF(OR(F3008="",L3008=""),"",F3008))</f>
        <v/>
      </c>
      <c r="J3008" s="350">
        <f>IF(G3008="Sim",0,IF(OR(F3008="",D3008="",L3008=""),"",IF(L3008="Sim",ROUND(F3008-D3008,2),0)))</f>
        <v/>
      </c>
      <c r="K3008" s="97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inlineStr">
        <is>
          <t>Nao</t>
        </is>
      </c>
      <c r="W3008" s="110" t="inlineStr">
        <is>
          <t>PC em analise</t>
        </is>
      </c>
      <c r="X3008" s="110" t="inlineStr">
        <is>
          <t>Pedido de Compra</t>
        </is>
      </c>
      <c r="Y3008" s="111" t="inlineStr">
        <is>
          <t>Impacto Potencial</t>
        </is>
      </c>
      <c r="Z3008" s="111" t="inlineStr">
        <is>
          <t>PC</t>
        </is>
      </c>
      <c r="AA3008" s="111" t="inlineStr">
        <is>
          <t>Nao</t>
        </is>
      </c>
      <c r="AB3008" s="111" t="inlineStr">
        <is>
          <t>NAO_COMPUTADO</t>
        </is>
      </c>
      <c r="AC3008" s="112" t="inlineStr">
        <is>
          <t>Estrutura Fase 1: sem impacto no VTA oficial</t>
        </is>
      </c>
    </row>
    <row r="3009" ht="25.5" customHeight="1" s="289">
      <c r="A3009" s="205" t="n"/>
      <c r="B3009" s="207" t="n"/>
      <c r="C3009" s="104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348" t="n"/>
      <c r="E3009" s="349">
        <f>IF(C3009="","",IFERROR(VLOOKUP(C3009,parametros!$A$11:$E$15,5,0),""))</f>
        <v/>
      </c>
      <c r="F3009" s="335">
        <f>IF(OR(D3009="",E3009=""),"",ROUND(D3009*E3009,2))</f>
        <v/>
      </c>
      <c r="G3009" s="106" t="n"/>
      <c r="H3009" s="350">
        <f>IF(G3009="Sim",IF(OR(F3009="",D3009="",L3009=""),"",IF(L3009="Sim",ROUND(F3009-D3009,2),0)),0)</f>
        <v/>
      </c>
      <c r="I3009" s="350">
        <f>IF(G3009="Sim",0,IF(OR(F3009="",L3009=""),"",F3009))</f>
        <v/>
      </c>
      <c r="J3009" s="350">
        <f>IF(G3009="Sim",0,IF(OR(F3009="",D3009="",L3009=""),"",IF(L3009="Sim",ROUND(F3009-D3009,2),0)))</f>
        <v/>
      </c>
      <c r="K3009" s="97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inlineStr">
        <is>
          <t>Nao</t>
        </is>
      </c>
      <c r="W3009" s="110" t="inlineStr">
        <is>
          <t>PC em analise</t>
        </is>
      </c>
      <c r="X3009" s="110" t="inlineStr">
        <is>
          <t>Pedido de Compra</t>
        </is>
      </c>
      <c r="Y3009" s="111" t="inlineStr">
        <is>
          <t>Impacto Potencial</t>
        </is>
      </c>
      <c r="Z3009" s="111" t="inlineStr">
        <is>
          <t>PC</t>
        </is>
      </c>
      <c r="AA3009" s="111" t="inlineStr">
        <is>
          <t>Nao</t>
        </is>
      </c>
      <c r="AB3009" s="111" t="inlineStr">
        <is>
          <t>NAO_COMPUTADO</t>
        </is>
      </c>
      <c r="AC3009" s="112" t="inlineStr">
        <is>
          <t>Estrutura Fase 1: sem impacto no VTA oficial</t>
        </is>
      </c>
    </row>
    <row r="3010" ht="25.5" customHeight="1" s="289">
      <c r="A3010" s="205" t="n"/>
      <c r="B3010" s="207" t="n"/>
      <c r="C3010" s="104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348" t="n"/>
      <c r="E3010" s="349">
        <f>IF(C3010="","",IFERROR(VLOOKUP(C3010,parametros!$A$11:$E$15,5,0),""))</f>
        <v/>
      </c>
      <c r="F3010" s="335">
        <f>IF(OR(D3010="",E3010=""),"",ROUND(D3010*E3010,2))</f>
        <v/>
      </c>
      <c r="G3010" s="106" t="n"/>
      <c r="H3010" s="350">
        <f>IF(G3010="Sim",IF(OR(F3010="",D3010="",L3010=""),"",IF(L3010="Sim",ROUND(F3010-D3010,2),0)),0)</f>
        <v/>
      </c>
      <c r="I3010" s="350">
        <f>IF(G3010="Sim",0,IF(OR(F3010="",L3010=""),"",F3010))</f>
        <v/>
      </c>
      <c r="J3010" s="350">
        <f>IF(G3010="Sim",0,IF(OR(F3010="",D3010="",L3010=""),"",IF(L3010="Sim",ROUND(F3010-D3010,2),0)))</f>
        <v/>
      </c>
      <c r="K3010" s="97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inlineStr">
        <is>
          <t>Nao</t>
        </is>
      </c>
      <c r="W3010" s="110" t="inlineStr">
        <is>
          <t>PC em analise</t>
        </is>
      </c>
      <c r="X3010" s="110" t="inlineStr">
        <is>
          <t>Pedido de Compra</t>
        </is>
      </c>
      <c r="Y3010" s="111" t="inlineStr">
        <is>
          <t>Impacto Potencial</t>
        </is>
      </c>
      <c r="Z3010" s="111" t="inlineStr">
        <is>
          <t>PC</t>
        </is>
      </c>
      <c r="AA3010" s="111" t="inlineStr">
        <is>
          <t>Nao</t>
        </is>
      </c>
      <c r="AB3010" s="111" t="inlineStr">
        <is>
          <t>NAO_COMPUTADO</t>
        </is>
      </c>
      <c r="AC3010" s="112" t="inlineStr">
        <is>
          <t>Estrutura Fase 1: sem impacto no VTA oficial</t>
        </is>
      </c>
    </row>
    <row r="3011" ht="25.5" customHeight="1" s="289">
      <c r="A3011" s="205" t="n"/>
      <c r="B3011" s="207" t="n"/>
      <c r="C3011" s="104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348" t="n"/>
      <c r="E3011" s="349">
        <f>IF(C3011="","",IFERROR(VLOOKUP(C3011,parametros!$A$11:$E$15,5,0),""))</f>
        <v/>
      </c>
      <c r="F3011" s="335">
        <f>IF(OR(D3011="",E3011=""),"",ROUND(D3011*E3011,2))</f>
        <v/>
      </c>
      <c r="G3011" s="106" t="n"/>
      <c r="H3011" s="350">
        <f>IF(G3011="Sim",IF(OR(F3011="",D3011="",L3011=""),"",IF(L3011="Sim",ROUND(F3011-D3011,2),0)),0)</f>
        <v/>
      </c>
      <c r="I3011" s="350">
        <f>IF(G3011="Sim",0,IF(OR(F3011="",L3011=""),"",F3011))</f>
        <v/>
      </c>
      <c r="J3011" s="350">
        <f>IF(G3011="Sim",0,IF(OR(F3011="",D3011="",L3011=""),"",IF(L3011="Sim",ROUND(F3011-D3011,2),0)))</f>
        <v/>
      </c>
      <c r="K3011" s="97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inlineStr">
        <is>
          <t>Nao</t>
        </is>
      </c>
      <c r="W3011" s="110" t="inlineStr">
        <is>
          <t>PC em analise</t>
        </is>
      </c>
      <c r="X3011" s="110" t="inlineStr">
        <is>
          <t>Pedido de Compra</t>
        </is>
      </c>
      <c r="Y3011" s="111" t="inlineStr">
        <is>
          <t>Impacto Potencial</t>
        </is>
      </c>
      <c r="Z3011" s="111" t="inlineStr">
        <is>
          <t>PC</t>
        </is>
      </c>
      <c r="AA3011" s="111" t="inlineStr">
        <is>
          <t>Nao</t>
        </is>
      </c>
      <c r="AB3011" s="111" t="inlineStr">
        <is>
          <t>NAO_COMPUTADO</t>
        </is>
      </c>
      <c r="AC3011" s="112" t="inlineStr">
        <is>
          <t>Estrutura Fase 1: sem impacto no VTA oficial</t>
        </is>
      </c>
    </row>
    <row r="3012" ht="25.5" customHeight="1" s="289">
      <c r="A3012" s="205" t="n"/>
      <c r="B3012" s="207" t="n"/>
      <c r="C3012" s="104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348" t="n"/>
      <c r="E3012" s="349">
        <f>IF(C3012="","",IFERROR(VLOOKUP(C3012,parametros!$A$11:$E$15,5,0),""))</f>
        <v/>
      </c>
      <c r="F3012" s="335">
        <f>IF(OR(D3012="",E3012=""),"",ROUND(D3012*E3012,2))</f>
        <v/>
      </c>
      <c r="G3012" s="106" t="n"/>
      <c r="H3012" s="350">
        <f>IF(G3012="Sim",IF(OR(F3012="",D3012="",L3012=""),"",IF(L3012="Sim",ROUND(F3012-D3012,2),0)),0)</f>
        <v/>
      </c>
      <c r="I3012" s="350">
        <f>IF(G3012="Sim",0,IF(OR(F3012="",L3012=""),"",F3012))</f>
        <v/>
      </c>
      <c r="J3012" s="350">
        <f>IF(G3012="Sim",0,IF(OR(F3012="",D3012="",L3012=""),"",IF(L3012="Sim",ROUND(F3012-D3012,2),0)))</f>
        <v/>
      </c>
      <c r="K3012" s="97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inlineStr">
        <is>
          <t>Nao</t>
        </is>
      </c>
      <c r="W3012" s="110" t="inlineStr">
        <is>
          <t>PC em analise</t>
        </is>
      </c>
      <c r="X3012" s="110" t="inlineStr">
        <is>
          <t>Pedido de Compra</t>
        </is>
      </c>
      <c r="Y3012" s="111" t="inlineStr">
        <is>
          <t>Impacto Potencial</t>
        </is>
      </c>
      <c r="Z3012" s="111" t="inlineStr">
        <is>
          <t>PC</t>
        </is>
      </c>
      <c r="AA3012" s="111" t="inlineStr">
        <is>
          <t>Nao</t>
        </is>
      </c>
      <c r="AB3012" s="111" t="inlineStr">
        <is>
          <t>NAO_COMPUTADO</t>
        </is>
      </c>
      <c r="AC3012" s="112" t="inlineStr">
        <is>
          <t>Estrutura Fase 1: sem impacto no VTA oficial</t>
        </is>
      </c>
    </row>
    <row r="3013" ht="25.5" customHeight="1" s="289">
      <c r="A3013" s="205" t="n"/>
      <c r="B3013" s="207" t="n"/>
      <c r="C3013" s="104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348" t="n"/>
      <c r="E3013" s="349">
        <f>IF(C3013="","",IFERROR(VLOOKUP(C3013,parametros!$A$11:$E$15,5,0),""))</f>
        <v/>
      </c>
      <c r="F3013" s="335">
        <f>IF(OR(D3013="",E3013=""),"",ROUND(D3013*E3013,2))</f>
        <v/>
      </c>
      <c r="G3013" s="106" t="n"/>
      <c r="H3013" s="350">
        <f>IF(G3013="Sim",IF(OR(F3013="",D3013="",L3013=""),"",IF(L3013="Sim",ROUND(F3013-D3013,2),0)),0)</f>
        <v/>
      </c>
      <c r="I3013" s="350">
        <f>IF(G3013="Sim",0,IF(OR(F3013="",L3013=""),"",F3013))</f>
        <v/>
      </c>
      <c r="J3013" s="350">
        <f>IF(G3013="Sim",0,IF(OR(F3013="",D3013="",L3013=""),"",IF(L3013="Sim",ROUND(F3013-D3013,2),0)))</f>
        <v/>
      </c>
      <c r="K3013" s="97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inlineStr">
        <is>
          <t>Nao</t>
        </is>
      </c>
      <c r="W3013" s="110" t="inlineStr">
        <is>
          <t>PC em analise</t>
        </is>
      </c>
      <c r="X3013" s="110" t="inlineStr">
        <is>
          <t>Pedido de Compra</t>
        </is>
      </c>
      <c r="Y3013" s="111" t="inlineStr">
        <is>
          <t>Impacto Potencial</t>
        </is>
      </c>
      <c r="Z3013" s="111" t="inlineStr">
        <is>
          <t>PC</t>
        </is>
      </c>
      <c r="AA3013" s="111" t="inlineStr">
        <is>
          <t>Nao</t>
        </is>
      </c>
      <c r="AB3013" s="111" t="inlineStr">
        <is>
          <t>NAO_COMPUTADO</t>
        </is>
      </c>
      <c r="AC3013" s="112" t="inlineStr">
        <is>
          <t>Estrutura Fase 1: sem impacto no VTA oficial</t>
        </is>
      </c>
    </row>
    <row r="3014" ht="25.5" customHeight="1" s="289">
      <c r="A3014" s="205" t="n"/>
      <c r="B3014" s="207" t="n"/>
      <c r="C3014" s="104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348" t="n"/>
      <c r="E3014" s="349">
        <f>IF(C3014="","",IFERROR(VLOOKUP(C3014,parametros!$A$11:$E$15,5,0),""))</f>
        <v/>
      </c>
      <c r="F3014" s="335">
        <f>IF(OR(D3014="",E3014=""),"",ROUND(D3014*E3014,2))</f>
        <v/>
      </c>
      <c r="G3014" s="106" t="n"/>
      <c r="H3014" s="350">
        <f>IF(G3014="Sim",IF(OR(F3014="",D3014="",L3014=""),"",IF(L3014="Sim",ROUND(F3014-D3014,2),0)),0)</f>
        <v/>
      </c>
      <c r="I3014" s="350">
        <f>IF(G3014="Sim",0,IF(OR(F3014="",L3014=""),"",F3014))</f>
        <v/>
      </c>
      <c r="J3014" s="350">
        <f>IF(G3014="Sim",0,IF(OR(F3014="",D3014="",L3014=""),"",IF(L3014="Sim",ROUND(F3014-D3014,2),0)))</f>
        <v/>
      </c>
      <c r="K3014" s="97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inlineStr">
        <is>
          <t>Nao</t>
        </is>
      </c>
      <c r="W3014" s="110" t="inlineStr">
        <is>
          <t>PC em analise</t>
        </is>
      </c>
      <c r="X3014" s="110" t="inlineStr">
        <is>
          <t>Pedido de Compra</t>
        </is>
      </c>
      <c r="Y3014" s="111" t="inlineStr">
        <is>
          <t>Impacto Potencial</t>
        </is>
      </c>
      <c r="Z3014" s="111" t="inlineStr">
        <is>
          <t>PC</t>
        </is>
      </c>
      <c r="AA3014" s="111" t="inlineStr">
        <is>
          <t>Nao</t>
        </is>
      </c>
      <c r="AB3014" s="111" t="inlineStr">
        <is>
          <t>NAO_COMPUTADO</t>
        </is>
      </c>
      <c r="AC3014" s="112" t="inlineStr">
        <is>
          <t>Estrutura Fase 1: sem impacto no VTA oficial</t>
        </is>
      </c>
    </row>
    <row r="3015" ht="25.5" customHeight="1" s="289">
      <c r="A3015" s="205" t="n"/>
      <c r="B3015" s="207" t="n"/>
      <c r="C3015" s="104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348" t="n"/>
      <c r="E3015" s="349">
        <f>IF(C3015="","",IFERROR(VLOOKUP(C3015,parametros!$A$11:$E$15,5,0),""))</f>
        <v/>
      </c>
      <c r="F3015" s="335">
        <f>IF(OR(D3015="",E3015=""),"",ROUND(D3015*E3015,2))</f>
        <v/>
      </c>
      <c r="G3015" s="106" t="n"/>
      <c r="H3015" s="350">
        <f>IF(G3015="Sim",IF(OR(F3015="",D3015="",L3015=""),"",IF(L3015="Sim",ROUND(F3015-D3015,2),0)),0)</f>
        <v/>
      </c>
      <c r="I3015" s="350">
        <f>IF(G3015="Sim",0,IF(OR(F3015="",L3015=""),"",F3015))</f>
        <v/>
      </c>
      <c r="J3015" s="350">
        <f>IF(G3015="Sim",0,IF(OR(F3015="",D3015="",L3015=""),"",IF(L3015="Sim",ROUND(F3015-D3015,2),0)))</f>
        <v/>
      </c>
      <c r="K3015" s="97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inlineStr">
        <is>
          <t>Nao</t>
        </is>
      </c>
      <c r="W3015" s="110" t="inlineStr">
        <is>
          <t>PC em analise</t>
        </is>
      </c>
      <c r="X3015" s="110" t="inlineStr">
        <is>
          <t>Pedido de Compra</t>
        </is>
      </c>
      <c r="Y3015" s="111" t="inlineStr">
        <is>
          <t>Impacto Potencial</t>
        </is>
      </c>
      <c r="Z3015" s="111" t="inlineStr">
        <is>
          <t>PC</t>
        </is>
      </c>
      <c r="AA3015" s="111" t="inlineStr">
        <is>
          <t>Nao</t>
        </is>
      </c>
      <c r="AB3015" s="111" t="inlineStr">
        <is>
          <t>NAO_COMPUTADO</t>
        </is>
      </c>
      <c r="AC3015" s="112" t="inlineStr">
        <is>
          <t>Estrutura Fase 1: sem impacto no VTA oficial</t>
        </is>
      </c>
    </row>
    <row r="3016" ht="25.5" customHeight="1" s="289">
      <c r="A3016" s="205" t="n"/>
      <c r="B3016" s="207" t="n"/>
      <c r="C3016" s="104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348" t="n"/>
      <c r="E3016" s="349">
        <f>IF(C3016="","",IFERROR(VLOOKUP(C3016,parametros!$A$11:$E$15,5,0),""))</f>
        <v/>
      </c>
      <c r="F3016" s="335">
        <f>IF(OR(D3016="",E3016=""),"",ROUND(D3016*E3016,2))</f>
        <v/>
      </c>
      <c r="G3016" s="106" t="n"/>
      <c r="H3016" s="350">
        <f>IF(G3016="Sim",IF(OR(F3016="",D3016="",L3016=""),"",IF(L3016="Sim",ROUND(F3016-D3016,2),0)),0)</f>
        <v/>
      </c>
      <c r="I3016" s="350">
        <f>IF(G3016="Sim",0,IF(OR(F3016="",L3016=""),"",F3016))</f>
        <v/>
      </c>
      <c r="J3016" s="350">
        <f>IF(G3016="Sim",0,IF(OR(F3016="",D3016="",L3016=""),"",IF(L3016="Sim",ROUND(F3016-D3016,2),0)))</f>
        <v/>
      </c>
      <c r="K3016" s="97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inlineStr">
        <is>
          <t>Nao</t>
        </is>
      </c>
      <c r="W3016" s="110" t="inlineStr">
        <is>
          <t>PC em analise</t>
        </is>
      </c>
      <c r="X3016" s="110" t="inlineStr">
        <is>
          <t>Pedido de Compra</t>
        </is>
      </c>
      <c r="Y3016" s="111" t="inlineStr">
        <is>
          <t>Impacto Potencial</t>
        </is>
      </c>
      <c r="Z3016" s="111" t="inlineStr">
        <is>
          <t>PC</t>
        </is>
      </c>
      <c r="AA3016" s="111" t="inlineStr">
        <is>
          <t>Nao</t>
        </is>
      </c>
      <c r="AB3016" s="111" t="inlineStr">
        <is>
          <t>NAO_COMPUTADO</t>
        </is>
      </c>
      <c r="AC3016" s="112" t="inlineStr">
        <is>
          <t>Estrutura Fase 1: sem impacto no VTA oficial</t>
        </is>
      </c>
    </row>
    <row r="3017" ht="25.5" customHeight="1" s="289">
      <c r="A3017" s="205" t="n"/>
      <c r="B3017" s="207" t="n"/>
      <c r="C3017" s="104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348" t="n"/>
      <c r="E3017" s="349">
        <f>IF(C3017="","",IFERROR(VLOOKUP(C3017,parametros!$A$11:$E$15,5,0),""))</f>
        <v/>
      </c>
      <c r="F3017" s="335">
        <f>IF(OR(D3017="",E3017=""),"",ROUND(D3017*E3017,2))</f>
        <v/>
      </c>
      <c r="G3017" s="106" t="n"/>
      <c r="H3017" s="350">
        <f>IF(G3017="Sim",IF(OR(F3017="",D3017="",L3017=""),"",IF(L3017="Sim",ROUND(F3017-D3017,2),0)),0)</f>
        <v/>
      </c>
      <c r="I3017" s="350">
        <f>IF(G3017="Sim",0,IF(OR(F3017="",L3017=""),"",F3017))</f>
        <v/>
      </c>
      <c r="J3017" s="350">
        <f>IF(G3017="Sim",0,IF(OR(F3017="",D3017="",L3017=""),"",IF(L3017="Sim",ROUND(F3017-D3017,2),0)))</f>
        <v/>
      </c>
      <c r="K3017" s="97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inlineStr">
        <is>
          <t>Nao</t>
        </is>
      </c>
      <c r="W3017" s="110" t="inlineStr">
        <is>
          <t>PC em analise</t>
        </is>
      </c>
      <c r="X3017" s="110" t="inlineStr">
        <is>
          <t>Pedido de Compra</t>
        </is>
      </c>
      <c r="Y3017" s="111" t="inlineStr">
        <is>
          <t>Impacto Potencial</t>
        </is>
      </c>
      <c r="Z3017" s="111" t="inlineStr">
        <is>
          <t>PC</t>
        </is>
      </c>
      <c r="AA3017" s="111" t="inlineStr">
        <is>
          <t>Nao</t>
        </is>
      </c>
      <c r="AB3017" s="111" t="inlineStr">
        <is>
          <t>NAO_COMPUTADO</t>
        </is>
      </c>
      <c r="AC3017" s="112" t="inlineStr">
        <is>
          <t>Estrutura Fase 1: sem impacto no VTA oficial</t>
        </is>
      </c>
    </row>
    <row r="3018" ht="25.5" customHeight="1" s="289">
      <c r="A3018" s="205" t="n"/>
      <c r="B3018" s="207" t="n"/>
      <c r="C3018" s="104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348" t="n"/>
      <c r="E3018" s="349">
        <f>IF(C3018="","",IFERROR(VLOOKUP(C3018,parametros!$A$11:$E$15,5,0),""))</f>
        <v/>
      </c>
      <c r="F3018" s="335">
        <f>IF(OR(D3018="",E3018=""),"",ROUND(D3018*E3018,2))</f>
        <v/>
      </c>
      <c r="G3018" s="106" t="n"/>
      <c r="H3018" s="350">
        <f>IF(G3018="Sim",IF(OR(F3018="",D3018="",L3018=""),"",IF(L3018="Sim",ROUND(F3018-D3018,2),0)),0)</f>
        <v/>
      </c>
      <c r="I3018" s="350">
        <f>IF(G3018="Sim",0,IF(OR(F3018="",L3018=""),"",F3018))</f>
        <v/>
      </c>
      <c r="J3018" s="350">
        <f>IF(G3018="Sim",0,IF(OR(F3018="",D3018="",L3018=""),"",IF(L3018="Sim",ROUND(F3018-D3018,2),0)))</f>
        <v/>
      </c>
      <c r="K3018" s="97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inlineStr">
        <is>
          <t>Nao</t>
        </is>
      </c>
      <c r="W3018" s="110" t="inlineStr">
        <is>
          <t>PC em analise</t>
        </is>
      </c>
      <c r="X3018" s="110" t="inlineStr">
        <is>
          <t>Pedido de Compra</t>
        </is>
      </c>
      <c r="Y3018" s="111" t="inlineStr">
        <is>
          <t>Impacto Potencial</t>
        </is>
      </c>
      <c r="Z3018" s="111" t="inlineStr">
        <is>
          <t>PC</t>
        </is>
      </c>
      <c r="AA3018" s="111" t="inlineStr">
        <is>
          <t>Nao</t>
        </is>
      </c>
      <c r="AB3018" s="111" t="inlineStr">
        <is>
          <t>NAO_COMPUTADO</t>
        </is>
      </c>
      <c r="AC3018" s="112" t="inlineStr">
        <is>
          <t>Estrutura Fase 1: sem impacto no VTA oficial</t>
        </is>
      </c>
    </row>
    <row r="3019" ht="25.5" customHeight="1" s="289">
      <c r="A3019" s="205" t="n"/>
      <c r="B3019" s="207" t="n"/>
      <c r="C3019" s="104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348" t="n"/>
      <c r="E3019" s="349">
        <f>IF(C3019="","",IFERROR(VLOOKUP(C3019,parametros!$A$11:$E$15,5,0),""))</f>
        <v/>
      </c>
      <c r="F3019" s="335">
        <f>IF(OR(D3019="",E3019=""),"",ROUND(D3019*E3019,2))</f>
        <v/>
      </c>
      <c r="G3019" s="106" t="n"/>
      <c r="H3019" s="350">
        <f>IF(G3019="Sim",IF(OR(F3019="",D3019="",L3019=""),"",IF(L3019="Sim",ROUND(F3019-D3019,2),0)),0)</f>
        <v/>
      </c>
      <c r="I3019" s="350">
        <f>IF(G3019="Sim",0,IF(OR(F3019="",L3019=""),"",F3019))</f>
        <v/>
      </c>
      <c r="J3019" s="350">
        <f>IF(G3019="Sim",0,IF(OR(F3019="",D3019="",L3019=""),"",IF(L3019="Sim",ROUND(F3019-D3019,2),0)))</f>
        <v/>
      </c>
      <c r="K3019" s="97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inlineStr">
        <is>
          <t>Nao</t>
        </is>
      </c>
      <c r="W3019" s="110" t="inlineStr">
        <is>
          <t>PC em analise</t>
        </is>
      </c>
      <c r="X3019" s="110" t="inlineStr">
        <is>
          <t>Pedido de Compra</t>
        </is>
      </c>
      <c r="Y3019" s="111" t="inlineStr">
        <is>
          <t>Impacto Potencial</t>
        </is>
      </c>
      <c r="Z3019" s="111" t="inlineStr">
        <is>
          <t>PC</t>
        </is>
      </c>
      <c r="AA3019" s="111" t="inlineStr">
        <is>
          <t>Nao</t>
        </is>
      </c>
      <c r="AB3019" s="111" t="inlineStr">
        <is>
          <t>NAO_COMPUTADO</t>
        </is>
      </c>
      <c r="AC3019" s="112" t="inlineStr">
        <is>
          <t>Estrutura Fase 1: sem impacto no VTA oficial</t>
        </is>
      </c>
    </row>
    <row r="3020" ht="25.5" customHeight="1" s="289">
      <c r="A3020" s="205" t="n"/>
      <c r="B3020" s="207" t="n"/>
      <c r="C3020" s="104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348" t="n"/>
      <c r="E3020" s="349">
        <f>IF(C3020="","",IFERROR(VLOOKUP(C3020,parametros!$A$11:$E$15,5,0),""))</f>
        <v/>
      </c>
      <c r="F3020" s="335">
        <f>IF(OR(D3020="",E3020=""),"",ROUND(D3020*E3020,2))</f>
        <v/>
      </c>
      <c r="G3020" s="106" t="n"/>
      <c r="H3020" s="350">
        <f>IF(G3020="Sim",IF(OR(F3020="",D3020="",L3020=""),"",IF(L3020="Sim",ROUND(F3020-D3020,2),0)),0)</f>
        <v/>
      </c>
      <c r="I3020" s="350">
        <f>IF(G3020="Sim",0,IF(OR(F3020="",L3020=""),"",F3020))</f>
        <v/>
      </c>
      <c r="J3020" s="350">
        <f>IF(G3020="Sim",0,IF(OR(F3020="",D3020="",L3020=""),"",IF(L3020="Sim",ROUND(F3020-D3020,2),0)))</f>
        <v/>
      </c>
      <c r="K3020" s="97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inlineStr">
        <is>
          <t>Nao</t>
        </is>
      </c>
      <c r="W3020" s="110" t="inlineStr">
        <is>
          <t>PC em analise</t>
        </is>
      </c>
      <c r="X3020" s="110" t="inlineStr">
        <is>
          <t>Pedido de Compra</t>
        </is>
      </c>
      <c r="Y3020" s="111" t="inlineStr">
        <is>
          <t>Impacto Potencial</t>
        </is>
      </c>
      <c r="Z3020" s="111" t="inlineStr">
        <is>
          <t>PC</t>
        </is>
      </c>
      <c r="AA3020" s="111" t="inlineStr">
        <is>
          <t>Nao</t>
        </is>
      </c>
      <c r="AB3020" s="111" t="inlineStr">
        <is>
          <t>NAO_COMPUTADO</t>
        </is>
      </c>
      <c r="AC3020" s="112" t="inlineStr">
        <is>
          <t>Estrutura Fase 1: sem impacto no VTA oficial</t>
        </is>
      </c>
    </row>
    <row r="3021" ht="25.5" customHeight="1" s="289">
      <c r="A3021" s="205" t="n"/>
      <c r="B3021" s="207" t="n"/>
      <c r="C3021" s="104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348" t="n"/>
      <c r="E3021" s="349">
        <f>IF(C3021="","",IFERROR(VLOOKUP(C3021,parametros!$A$11:$E$15,5,0),""))</f>
        <v/>
      </c>
      <c r="F3021" s="335">
        <f>IF(OR(D3021="",E3021=""),"",ROUND(D3021*E3021,2))</f>
        <v/>
      </c>
      <c r="G3021" s="106" t="n"/>
      <c r="H3021" s="350">
        <f>IF(G3021="Sim",IF(OR(F3021="",D3021="",L3021=""),"",IF(L3021="Sim",ROUND(F3021-D3021,2),0)),0)</f>
        <v/>
      </c>
      <c r="I3021" s="350">
        <f>IF(G3021="Sim",0,IF(OR(F3021="",L3021=""),"",F3021))</f>
        <v/>
      </c>
      <c r="J3021" s="350">
        <f>IF(G3021="Sim",0,IF(OR(F3021="",D3021="",L3021=""),"",IF(L3021="Sim",ROUND(F3021-D3021,2),0)))</f>
        <v/>
      </c>
      <c r="K3021" s="97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inlineStr">
        <is>
          <t>Nao</t>
        </is>
      </c>
      <c r="W3021" s="110" t="inlineStr">
        <is>
          <t>PC em analise</t>
        </is>
      </c>
      <c r="X3021" s="110" t="inlineStr">
        <is>
          <t>Pedido de Compra</t>
        </is>
      </c>
      <c r="Y3021" s="111" t="inlineStr">
        <is>
          <t>Impacto Potencial</t>
        </is>
      </c>
      <c r="Z3021" s="111" t="inlineStr">
        <is>
          <t>PC</t>
        </is>
      </c>
      <c r="AA3021" s="111" t="inlineStr">
        <is>
          <t>Nao</t>
        </is>
      </c>
      <c r="AB3021" s="111" t="inlineStr">
        <is>
          <t>NAO_COMPUTADO</t>
        </is>
      </c>
      <c r="AC3021" s="112" t="inlineStr">
        <is>
          <t>Estrutura Fase 1: sem impacto no VTA oficial</t>
        </is>
      </c>
    </row>
    <row r="3022" ht="25.5" customHeight="1" s="289">
      <c r="A3022" s="205" t="n"/>
      <c r="B3022" s="207" t="n"/>
      <c r="C3022" s="104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348" t="n"/>
      <c r="E3022" s="349">
        <f>IF(C3022="","",IFERROR(VLOOKUP(C3022,parametros!$A$11:$E$15,5,0),""))</f>
        <v/>
      </c>
      <c r="F3022" s="335">
        <f>IF(OR(D3022="",E3022=""),"",ROUND(D3022*E3022,2))</f>
        <v/>
      </c>
      <c r="G3022" s="106" t="n"/>
      <c r="H3022" s="350">
        <f>IF(G3022="Sim",IF(OR(F3022="",D3022="",L3022=""),"",IF(L3022="Sim",ROUND(F3022-D3022,2),0)),0)</f>
        <v/>
      </c>
      <c r="I3022" s="350">
        <f>IF(G3022="Sim",0,IF(OR(F3022="",L3022=""),"",F3022))</f>
        <v/>
      </c>
      <c r="J3022" s="350">
        <f>IF(G3022="Sim",0,IF(OR(F3022="",D3022="",L3022=""),"",IF(L3022="Sim",ROUND(F3022-D3022,2),0)))</f>
        <v/>
      </c>
      <c r="K3022" s="97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inlineStr">
        <is>
          <t>Nao</t>
        </is>
      </c>
      <c r="W3022" s="110" t="inlineStr">
        <is>
          <t>PC em analise</t>
        </is>
      </c>
      <c r="X3022" s="110" t="inlineStr">
        <is>
          <t>Pedido de Compra</t>
        </is>
      </c>
      <c r="Y3022" s="111" t="inlineStr">
        <is>
          <t>Impacto Potencial</t>
        </is>
      </c>
      <c r="Z3022" s="111" t="inlineStr">
        <is>
          <t>PC</t>
        </is>
      </c>
      <c r="AA3022" s="111" t="inlineStr">
        <is>
          <t>Nao</t>
        </is>
      </c>
      <c r="AB3022" s="111" t="inlineStr">
        <is>
          <t>NAO_COMPUTADO</t>
        </is>
      </c>
      <c r="AC3022" s="112" t="inlineStr">
        <is>
          <t>Estrutura Fase 1: sem impacto no VTA oficial</t>
        </is>
      </c>
    </row>
    <row r="3023" ht="25.5" customHeight="1" s="289">
      <c r="A3023" s="205" t="n"/>
      <c r="B3023" s="207" t="n"/>
      <c r="C3023" s="104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348" t="n"/>
      <c r="E3023" s="349">
        <f>IF(C3023="","",IFERROR(VLOOKUP(C3023,parametros!$A$11:$E$15,5,0),""))</f>
        <v/>
      </c>
      <c r="F3023" s="335">
        <f>IF(OR(D3023="",E3023=""),"",ROUND(D3023*E3023,2))</f>
        <v/>
      </c>
      <c r="G3023" s="106" t="n"/>
      <c r="H3023" s="350">
        <f>IF(G3023="Sim",IF(OR(F3023="",D3023="",L3023=""),"",IF(L3023="Sim",ROUND(F3023-D3023,2),0)),0)</f>
        <v/>
      </c>
      <c r="I3023" s="350">
        <f>IF(G3023="Sim",0,IF(OR(F3023="",L3023=""),"",F3023))</f>
        <v/>
      </c>
      <c r="J3023" s="350">
        <f>IF(G3023="Sim",0,IF(OR(F3023="",D3023="",L3023=""),"",IF(L3023="Sim",ROUND(F3023-D3023,2),0)))</f>
        <v/>
      </c>
      <c r="K3023" s="97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inlineStr">
        <is>
          <t>Nao</t>
        </is>
      </c>
      <c r="W3023" s="110" t="inlineStr">
        <is>
          <t>PC em analise</t>
        </is>
      </c>
      <c r="X3023" s="110" t="inlineStr">
        <is>
          <t>Pedido de Compra</t>
        </is>
      </c>
      <c r="Y3023" s="111" t="inlineStr">
        <is>
          <t>Impacto Potencial</t>
        </is>
      </c>
      <c r="Z3023" s="111" t="inlineStr">
        <is>
          <t>PC</t>
        </is>
      </c>
      <c r="AA3023" s="111" t="inlineStr">
        <is>
          <t>Nao</t>
        </is>
      </c>
      <c r="AB3023" s="111" t="inlineStr">
        <is>
          <t>NAO_COMPUTADO</t>
        </is>
      </c>
      <c r="AC3023" s="112" t="inlineStr">
        <is>
          <t>Estrutura Fase 1: sem impacto no VTA oficial</t>
        </is>
      </c>
    </row>
    <row r="3024" ht="25.5" customHeight="1" s="289">
      <c r="A3024" s="205" t="n"/>
      <c r="B3024" s="207" t="n"/>
      <c r="C3024" s="104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348" t="n"/>
      <c r="E3024" s="349">
        <f>IF(C3024="","",IFERROR(VLOOKUP(C3024,parametros!$A$11:$E$15,5,0),""))</f>
        <v/>
      </c>
      <c r="F3024" s="335">
        <f>IF(OR(D3024="",E3024=""),"",ROUND(D3024*E3024,2))</f>
        <v/>
      </c>
      <c r="G3024" s="106" t="n"/>
      <c r="H3024" s="350">
        <f>IF(G3024="Sim",IF(OR(F3024="",D3024="",L3024=""),"",IF(L3024="Sim",ROUND(F3024-D3024,2),0)),0)</f>
        <v/>
      </c>
      <c r="I3024" s="350">
        <f>IF(G3024="Sim",0,IF(OR(F3024="",L3024=""),"",F3024))</f>
        <v/>
      </c>
      <c r="J3024" s="350">
        <f>IF(G3024="Sim",0,IF(OR(F3024="",D3024="",L3024=""),"",IF(L3024="Sim",ROUND(F3024-D3024,2),0)))</f>
        <v/>
      </c>
      <c r="K3024" s="97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inlineStr">
        <is>
          <t>Nao</t>
        </is>
      </c>
      <c r="W3024" s="110" t="inlineStr">
        <is>
          <t>PC em analise</t>
        </is>
      </c>
      <c r="X3024" s="110" t="inlineStr">
        <is>
          <t>Pedido de Compra</t>
        </is>
      </c>
      <c r="Y3024" s="111" t="inlineStr">
        <is>
          <t>Impacto Potencial</t>
        </is>
      </c>
      <c r="Z3024" s="111" t="inlineStr">
        <is>
          <t>PC</t>
        </is>
      </c>
      <c r="AA3024" s="111" t="inlineStr">
        <is>
          <t>Nao</t>
        </is>
      </c>
      <c r="AB3024" s="111" t="inlineStr">
        <is>
          <t>NAO_COMPUTADO</t>
        </is>
      </c>
      <c r="AC3024" s="112" t="inlineStr">
        <is>
          <t>Estrutura Fase 1: sem impacto no VTA oficial</t>
        </is>
      </c>
    </row>
    <row r="3025" ht="25.5" customHeight="1" s="289">
      <c r="A3025" s="205" t="n"/>
      <c r="B3025" s="207" t="n"/>
      <c r="C3025" s="104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348" t="n"/>
      <c r="E3025" s="349">
        <f>IF(C3025="","",IFERROR(VLOOKUP(C3025,parametros!$A$11:$E$15,5,0),""))</f>
        <v/>
      </c>
      <c r="F3025" s="335">
        <f>IF(OR(D3025="",E3025=""),"",ROUND(D3025*E3025,2))</f>
        <v/>
      </c>
      <c r="G3025" s="106" t="n"/>
      <c r="H3025" s="350">
        <f>IF(G3025="Sim",IF(OR(F3025="",D3025="",L3025=""),"",IF(L3025="Sim",ROUND(F3025-D3025,2),0)),0)</f>
        <v/>
      </c>
      <c r="I3025" s="350">
        <f>IF(G3025="Sim",0,IF(OR(F3025="",L3025=""),"",F3025))</f>
        <v/>
      </c>
      <c r="J3025" s="350">
        <f>IF(G3025="Sim",0,IF(OR(F3025="",D3025="",L3025=""),"",IF(L3025="Sim",ROUND(F3025-D3025,2),0)))</f>
        <v/>
      </c>
      <c r="K3025" s="97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inlineStr">
        <is>
          <t>Nao</t>
        </is>
      </c>
      <c r="W3025" s="110" t="inlineStr">
        <is>
          <t>PC em analise</t>
        </is>
      </c>
      <c r="X3025" s="110" t="inlineStr">
        <is>
          <t>Pedido de Compra</t>
        </is>
      </c>
      <c r="Y3025" s="111" t="inlineStr">
        <is>
          <t>Impacto Potencial</t>
        </is>
      </c>
      <c r="Z3025" s="111" t="inlineStr">
        <is>
          <t>PC</t>
        </is>
      </c>
      <c r="AA3025" s="111" t="inlineStr">
        <is>
          <t>Nao</t>
        </is>
      </c>
      <c r="AB3025" s="111" t="inlineStr">
        <is>
          <t>NAO_COMPUTADO</t>
        </is>
      </c>
      <c r="AC3025" s="112" t="inlineStr">
        <is>
          <t>Estrutura Fase 1: sem impacto no VTA oficial</t>
        </is>
      </c>
    </row>
    <row r="3026" ht="25.5" customHeight="1" s="289">
      <c r="A3026" s="205" t="n"/>
      <c r="B3026" s="207" t="n"/>
      <c r="C3026" s="104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348" t="n"/>
      <c r="E3026" s="349">
        <f>IF(C3026="","",IFERROR(VLOOKUP(C3026,parametros!$A$11:$E$15,5,0),""))</f>
        <v/>
      </c>
      <c r="F3026" s="335">
        <f>IF(OR(D3026="",E3026=""),"",ROUND(D3026*E3026,2))</f>
        <v/>
      </c>
      <c r="G3026" s="106" t="n"/>
      <c r="H3026" s="350">
        <f>IF(G3026="Sim",IF(OR(F3026="",D3026="",L3026=""),"",IF(L3026="Sim",ROUND(F3026-D3026,2),0)),0)</f>
        <v/>
      </c>
      <c r="I3026" s="350">
        <f>IF(G3026="Sim",0,IF(OR(F3026="",L3026=""),"",F3026))</f>
        <v/>
      </c>
      <c r="J3026" s="350">
        <f>IF(G3026="Sim",0,IF(OR(F3026="",D3026="",L3026=""),"",IF(L3026="Sim",ROUND(F3026-D3026,2),0)))</f>
        <v/>
      </c>
      <c r="K3026" s="97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inlineStr">
        <is>
          <t>Nao</t>
        </is>
      </c>
      <c r="W3026" s="110" t="inlineStr">
        <is>
          <t>PC em analise</t>
        </is>
      </c>
      <c r="X3026" s="110" t="inlineStr">
        <is>
          <t>Pedido de Compra</t>
        </is>
      </c>
      <c r="Y3026" s="111" t="inlineStr">
        <is>
          <t>Impacto Potencial</t>
        </is>
      </c>
      <c r="Z3026" s="111" t="inlineStr">
        <is>
          <t>PC</t>
        </is>
      </c>
      <c r="AA3026" s="111" t="inlineStr">
        <is>
          <t>Nao</t>
        </is>
      </c>
      <c r="AB3026" s="111" t="inlineStr">
        <is>
          <t>NAO_COMPUTADO</t>
        </is>
      </c>
      <c r="AC3026" s="112" t="inlineStr">
        <is>
          <t>Estrutura Fase 1: sem impacto no VTA oficial</t>
        </is>
      </c>
    </row>
    <row r="3027" ht="25.5" customHeight="1" s="289">
      <c r="A3027" s="205" t="n"/>
      <c r="B3027" s="207" t="n"/>
      <c r="C3027" s="104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348" t="n"/>
      <c r="E3027" s="349">
        <f>IF(C3027="","",IFERROR(VLOOKUP(C3027,parametros!$A$11:$E$15,5,0),""))</f>
        <v/>
      </c>
      <c r="F3027" s="335">
        <f>IF(OR(D3027="",E3027=""),"",ROUND(D3027*E3027,2))</f>
        <v/>
      </c>
      <c r="G3027" s="106" t="n"/>
      <c r="H3027" s="350">
        <f>IF(G3027="Sim",IF(OR(F3027="",D3027="",L3027=""),"",IF(L3027="Sim",ROUND(F3027-D3027,2),0)),0)</f>
        <v/>
      </c>
      <c r="I3027" s="350">
        <f>IF(G3027="Sim",0,IF(OR(F3027="",L3027=""),"",F3027))</f>
        <v/>
      </c>
      <c r="J3027" s="350">
        <f>IF(G3027="Sim",0,IF(OR(F3027="",D3027="",L3027=""),"",IF(L3027="Sim",ROUND(F3027-D3027,2),0)))</f>
        <v/>
      </c>
      <c r="K3027" s="97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inlineStr">
        <is>
          <t>Nao</t>
        </is>
      </c>
      <c r="W3027" s="110" t="inlineStr">
        <is>
          <t>PC em analise</t>
        </is>
      </c>
      <c r="X3027" s="110" t="inlineStr">
        <is>
          <t>Pedido de Compra</t>
        </is>
      </c>
      <c r="Y3027" s="111" t="inlineStr">
        <is>
          <t>Impacto Potencial</t>
        </is>
      </c>
      <c r="Z3027" s="111" t="inlineStr">
        <is>
          <t>PC</t>
        </is>
      </c>
      <c r="AA3027" s="111" t="inlineStr">
        <is>
          <t>Nao</t>
        </is>
      </c>
      <c r="AB3027" s="111" t="inlineStr">
        <is>
          <t>NAO_COMPUTADO</t>
        </is>
      </c>
      <c r="AC3027" s="112" t="inlineStr">
        <is>
          <t>Estrutura Fase 1: sem impacto no VTA oficial</t>
        </is>
      </c>
    </row>
    <row r="3028" ht="25.5" customHeight="1" s="289">
      <c r="A3028" s="205" t="n"/>
      <c r="B3028" s="207" t="n"/>
      <c r="C3028" s="104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348" t="n"/>
      <c r="E3028" s="349">
        <f>IF(C3028="","",IFERROR(VLOOKUP(C3028,parametros!$A$11:$E$15,5,0),""))</f>
        <v/>
      </c>
      <c r="F3028" s="335">
        <f>IF(OR(D3028="",E3028=""),"",ROUND(D3028*E3028,2))</f>
        <v/>
      </c>
      <c r="G3028" s="106" t="n"/>
      <c r="H3028" s="350">
        <f>IF(G3028="Sim",IF(OR(F3028="",D3028="",L3028=""),"",IF(L3028="Sim",ROUND(F3028-D3028,2),0)),0)</f>
        <v/>
      </c>
      <c r="I3028" s="350">
        <f>IF(G3028="Sim",0,IF(OR(F3028="",L3028=""),"",F3028))</f>
        <v/>
      </c>
      <c r="J3028" s="350">
        <f>IF(G3028="Sim",0,IF(OR(F3028="",D3028="",L3028=""),"",IF(L3028="Sim",ROUND(F3028-D3028,2),0)))</f>
        <v/>
      </c>
      <c r="K3028" s="97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inlineStr">
        <is>
          <t>Nao</t>
        </is>
      </c>
      <c r="W3028" s="110" t="inlineStr">
        <is>
          <t>PC em analise</t>
        </is>
      </c>
      <c r="X3028" s="110" t="inlineStr">
        <is>
          <t>Pedido de Compra</t>
        </is>
      </c>
      <c r="Y3028" s="111" t="inlineStr">
        <is>
          <t>Impacto Potencial</t>
        </is>
      </c>
      <c r="Z3028" s="111" t="inlineStr">
        <is>
          <t>PC</t>
        </is>
      </c>
      <c r="AA3028" s="111" t="inlineStr">
        <is>
          <t>Nao</t>
        </is>
      </c>
      <c r="AB3028" s="111" t="inlineStr">
        <is>
          <t>NAO_COMPUTADO</t>
        </is>
      </c>
      <c r="AC3028" s="112" t="inlineStr">
        <is>
          <t>Estrutura Fase 1: sem impacto no VTA oficial</t>
        </is>
      </c>
    </row>
    <row r="3029" ht="25.5" customHeight="1" s="289">
      <c r="A3029" s="205" t="n"/>
      <c r="B3029" s="207" t="n"/>
      <c r="C3029" s="104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348" t="n"/>
      <c r="E3029" s="349">
        <f>IF(C3029="","",IFERROR(VLOOKUP(C3029,parametros!$A$11:$E$15,5,0),""))</f>
        <v/>
      </c>
      <c r="F3029" s="335">
        <f>IF(OR(D3029="",E3029=""),"",ROUND(D3029*E3029,2))</f>
        <v/>
      </c>
      <c r="G3029" s="106" t="n"/>
      <c r="H3029" s="350">
        <f>IF(G3029="Sim",IF(OR(F3029="",D3029="",L3029=""),"",IF(L3029="Sim",ROUND(F3029-D3029,2),0)),0)</f>
        <v/>
      </c>
      <c r="I3029" s="350">
        <f>IF(G3029="Sim",0,IF(OR(F3029="",L3029=""),"",F3029))</f>
        <v/>
      </c>
      <c r="J3029" s="350">
        <f>IF(G3029="Sim",0,IF(OR(F3029="",D3029="",L3029=""),"",IF(L3029="Sim",ROUND(F3029-D3029,2),0)))</f>
        <v/>
      </c>
      <c r="K3029" s="97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inlineStr">
        <is>
          <t>Nao</t>
        </is>
      </c>
      <c r="W3029" s="110" t="inlineStr">
        <is>
          <t>PC em analise</t>
        </is>
      </c>
      <c r="X3029" s="110" t="inlineStr">
        <is>
          <t>Pedido de Compra</t>
        </is>
      </c>
      <c r="Y3029" s="111" t="inlineStr">
        <is>
          <t>Impacto Potencial</t>
        </is>
      </c>
      <c r="Z3029" s="111" t="inlineStr">
        <is>
          <t>PC</t>
        </is>
      </c>
      <c r="AA3029" s="111" t="inlineStr">
        <is>
          <t>Nao</t>
        </is>
      </c>
      <c r="AB3029" s="111" t="inlineStr">
        <is>
          <t>NAO_COMPUTADO</t>
        </is>
      </c>
      <c r="AC3029" s="112" t="inlineStr">
        <is>
          <t>Estrutura Fase 1: sem impacto no VTA oficial</t>
        </is>
      </c>
    </row>
    <row r="3030" ht="25.5" customHeight="1" s="289">
      <c r="A3030" s="205" t="n"/>
      <c r="B3030" s="207" t="n"/>
      <c r="C3030" s="104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348" t="n"/>
      <c r="E3030" s="349">
        <f>IF(C3030="","",IFERROR(VLOOKUP(C3030,parametros!$A$11:$E$15,5,0),""))</f>
        <v/>
      </c>
      <c r="F3030" s="335">
        <f>IF(OR(D3030="",E3030=""),"",ROUND(D3030*E3030,2))</f>
        <v/>
      </c>
      <c r="G3030" s="106" t="n"/>
      <c r="H3030" s="350">
        <f>IF(G3030="Sim",IF(OR(F3030="",D3030="",L3030=""),"",IF(L3030="Sim",ROUND(F3030-D3030,2),0)),0)</f>
        <v/>
      </c>
      <c r="I3030" s="350">
        <f>IF(G3030="Sim",0,IF(OR(F3030="",L3030=""),"",F3030))</f>
        <v/>
      </c>
      <c r="J3030" s="350">
        <f>IF(G3030="Sim",0,IF(OR(F3030="",D3030="",L3030=""),"",IF(L3030="Sim",ROUND(F3030-D3030,2),0)))</f>
        <v/>
      </c>
      <c r="K3030" s="97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inlineStr">
        <is>
          <t>Nao</t>
        </is>
      </c>
      <c r="W3030" s="110" t="inlineStr">
        <is>
          <t>PC em analise</t>
        </is>
      </c>
      <c r="X3030" s="110" t="inlineStr">
        <is>
          <t>Pedido de Compra</t>
        </is>
      </c>
      <c r="Y3030" s="111" t="inlineStr">
        <is>
          <t>Impacto Potencial</t>
        </is>
      </c>
      <c r="Z3030" s="111" t="inlineStr">
        <is>
          <t>PC</t>
        </is>
      </c>
      <c r="AA3030" s="111" t="inlineStr">
        <is>
          <t>Nao</t>
        </is>
      </c>
      <c r="AB3030" s="111" t="inlineStr">
        <is>
          <t>NAO_COMPUTADO</t>
        </is>
      </c>
      <c r="AC3030" s="112" t="inlineStr">
        <is>
          <t>Estrutura Fase 1: sem impacto no VTA oficial</t>
        </is>
      </c>
    </row>
    <row r="3031" ht="25.5" customHeight="1" s="289">
      <c r="A3031" s="205" t="n"/>
      <c r="B3031" s="207" t="n"/>
      <c r="C3031" s="104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348" t="n"/>
      <c r="E3031" s="349">
        <f>IF(C3031="","",IFERROR(VLOOKUP(C3031,parametros!$A$11:$E$15,5,0),""))</f>
        <v/>
      </c>
      <c r="F3031" s="335">
        <f>IF(OR(D3031="",E3031=""),"",ROUND(D3031*E3031,2))</f>
        <v/>
      </c>
      <c r="G3031" s="106" t="n"/>
      <c r="H3031" s="350">
        <f>IF(G3031="Sim",IF(OR(F3031="",D3031="",L3031=""),"",IF(L3031="Sim",ROUND(F3031-D3031,2),0)),0)</f>
        <v/>
      </c>
      <c r="I3031" s="350">
        <f>IF(G3031="Sim",0,IF(OR(F3031="",L3031=""),"",F3031))</f>
        <v/>
      </c>
      <c r="J3031" s="350">
        <f>IF(G3031="Sim",0,IF(OR(F3031="",D3031="",L3031=""),"",IF(L3031="Sim",ROUND(F3031-D3031,2),0)))</f>
        <v/>
      </c>
      <c r="K3031" s="97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inlineStr">
        <is>
          <t>Nao</t>
        </is>
      </c>
      <c r="W3031" s="110" t="inlineStr">
        <is>
          <t>PC em analise</t>
        </is>
      </c>
      <c r="X3031" s="110" t="inlineStr">
        <is>
          <t>Pedido de Compra</t>
        </is>
      </c>
      <c r="Y3031" s="111" t="inlineStr">
        <is>
          <t>Impacto Potencial</t>
        </is>
      </c>
      <c r="Z3031" s="111" t="inlineStr">
        <is>
          <t>PC</t>
        </is>
      </c>
      <c r="AA3031" s="111" t="inlineStr">
        <is>
          <t>Nao</t>
        </is>
      </c>
      <c r="AB3031" s="111" t="inlineStr">
        <is>
          <t>NAO_COMPUTADO</t>
        </is>
      </c>
      <c r="AC3031" s="112" t="inlineStr">
        <is>
          <t>Estrutura Fase 1: sem impacto no VTA oficial</t>
        </is>
      </c>
    </row>
    <row r="3032" ht="25.5" customHeight="1" s="289">
      <c r="A3032" s="205" t="n"/>
      <c r="B3032" s="207" t="n"/>
      <c r="C3032" s="104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348" t="n"/>
      <c r="E3032" s="349">
        <f>IF(C3032="","",IFERROR(VLOOKUP(C3032,parametros!$A$11:$E$15,5,0),""))</f>
        <v/>
      </c>
      <c r="F3032" s="335">
        <f>IF(OR(D3032="",E3032=""),"",ROUND(D3032*E3032,2))</f>
        <v/>
      </c>
      <c r="G3032" s="106" t="n"/>
      <c r="H3032" s="350">
        <f>IF(G3032="Sim",IF(OR(F3032="",D3032="",L3032=""),"",IF(L3032="Sim",ROUND(F3032-D3032,2),0)),0)</f>
        <v/>
      </c>
      <c r="I3032" s="350">
        <f>IF(G3032="Sim",0,IF(OR(F3032="",L3032=""),"",F3032))</f>
        <v/>
      </c>
      <c r="J3032" s="350">
        <f>IF(G3032="Sim",0,IF(OR(F3032="",D3032="",L3032=""),"",IF(L3032="Sim",ROUND(F3032-D3032,2),0)))</f>
        <v/>
      </c>
      <c r="K3032" s="97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inlineStr">
        <is>
          <t>Nao</t>
        </is>
      </c>
      <c r="W3032" s="110" t="inlineStr">
        <is>
          <t>PC em analise</t>
        </is>
      </c>
      <c r="X3032" s="110" t="inlineStr">
        <is>
          <t>Pedido de Compra</t>
        </is>
      </c>
      <c r="Y3032" s="111" t="inlineStr">
        <is>
          <t>Impacto Potencial</t>
        </is>
      </c>
      <c r="Z3032" s="111" t="inlineStr">
        <is>
          <t>PC</t>
        </is>
      </c>
      <c r="AA3032" s="111" t="inlineStr">
        <is>
          <t>Nao</t>
        </is>
      </c>
      <c r="AB3032" s="111" t="inlineStr">
        <is>
          <t>NAO_COMPUTADO</t>
        </is>
      </c>
      <c r="AC3032" s="112" t="inlineStr">
        <is>
          <t>Estrutura Fase 1: sem impacto no VTA oficial</t>
        </is>
      </c>
    </row>
    <row r="3033" ht="25.5" customHeight="1" s="289">
      <c r="A3033" s="205" t="n"/>
      <c r="B3033" s="207" t="n"/>
      <c r="C3033" s="104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348" t="n"/>
      <c r="E3033" s="349">
        <f>IF(C3033="","",IFERROR(VLOOKUP(C3033,parametros!$A$11:$E$15,5,0),""))</f>
        <v/>
      </c>
      <c r="F3033" s="335">
        <f>IF(OR(D3033="",E3033=""),"",ROUND(D3033*E3033,2))</f>
        <v/>
      </c>
      <c r="G3033" s="106" t="n"/>
      <c r="H3033" s="350">
        <f>IF(G3033="Sim",IF(OR(F3033="",D3033="",L3033=""),"",IF(L3033="Sim",ROUND(F3033-D3033,2),0)),0)</f>
        <v/>
      </c>
      <c r="I3033" s="350">
        <f>IF(G3033="Sim",0,IF(OR(F3033="",L3033=""),"",F3033))</f>
        <v/>
      </c>
      <c r="J3033" s="350">
        <f>IF(G3033="Sim",0,IF(OR(F3033="",D3033="",L3033=""),"",IF(L3033="Sim",ROUND(F3033-D3033,2),0)))</f>
        <v/>
      </c>
      <c r="K3033" s="97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inlineStr">
        <is>
          <t>Nao</t>
        </is>
      </c>
      <c r="W3033" s="110" t="inlineStr">
        <is>
          <t>PC em analise</t>
        </is>
      </c>
      <c r="X3033" s="110" t="inlineStr">
        <is>
          <t>Pedido de Compra</t>
        </is>
      </c>
      <c r="Y3033" s="111" t="inlineStr">
        <is>
          <t>Impacto Potencial</t>
        </is>
      </c>
      <c r="Z3033" s="111" t="inlineStr">
        <is>
          <t>PC</t>
        </is>
      </c>
      <c r="AA3033" s="111" t="inlineStr">
        <is>
          <t>Nao</t>
        </is>
      </c>
      <c r="AB3033" s="111" t="inlineStr">
        <is>
          <t>NAO_COMPUTADO</t>
        </is>
      </c>
      <c r="AC3033" s="112" t="inlineStr">
        <is>
          <t>Estrutura Fase 1: sem impacto no VTA oficial</t>
        </is>
      </c>
    </row>
    <row r="3034" ht="25.5" customHeight="1" s="289">
      <c r="A3034" s="205" t="n"/>
      <c r="B3034" s="207" t="n"/>
      <c r="C3034" s="104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348" t="n"/>
      <c r="E3034" s="349">
        <f>IF(C3034="","",IFERROR(VLOOKUP(C3034,parametros!$A$11:$E$15,5,0),""))</f>
        <v/>
      </c>
      <c r="F3034" s="335">
        <f>IF(OR(D3034="",E3034=""),"",ROUND(D3034*E3034,2))</f>
        <v/>
      </c>
      <c r="G3034" s="106" t="n"/>
      <c r="H3034" s="350">
        <f>IF(G3034="Sim",IF(OR(F3034="",D3034="",L3034=""),"",IF(L3034="Sim",ROUND(F3034-D3034,2),0)),0)</f>
        <v/>
      </c>
      <c r="I3034" s="350">
        <f>IF(G3034="Sim",0,IF(OR(F3034="",L3034=""),"",F3034))</f>
        <v/>
      </c>
      <c r="J3034" s="350">
        <f>IF(G3034="Sim",0,IF(OR(F3034="",D3034="",L3034=""),"",IF(L3034="Sim",ROUND(F3034-D3034,2),0)))</f>
        <v/>
      </c>
      <c r="K3034" s="97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inlineStr">
        <is>
          <t>Nao</t>
        </is>
      </c>
      <c r="W3034" s="110" t="inlineStr">
        <is>
          <t>PC em analise</t>
        </is>
      </c>
      <c r="X3034" s="110" t="inlineStr">
        <is>
          <t>Pedido de Compra</t>
        </is>
      </c>
      <c r="Y3034" s="111" t="inlineStr">
        <is>
          <t>Impacto Potencial</t>
        </is>
      </c>
      <c r="Z3034" s="111" t="inlineStr">
        <is>
          <t>PC</t>
        </is>
      </c>
      <c r="AA3034" s="111" t="inlineStr">
        <is>
          <t>Nao</t>
        </is>
      </c>
      <c r="AB3034" s="111" t="inlineStr">
        <is>
          <t>NAO_COMPUTADO</t>
        </is>
      </c>
      <c r="AC3034" s="112" t="inlineStr">
        <is>
          <t>Estrutura Fase 1: sem impacto no VTA oficial</t>
        </is>
      </c>
    </row>
    <row r="3035" ht="25.5" customHeight="1" s="289">
      <c r="A3035" s="205" t="n"/>
      <c r="B3035" s="207" t="n"/>
      <c r="C3035" s="104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348" t="n"/>
      <c r="E3035" s="349">
        <f>IF(C3035="","",IFERROR(VLOOKUP(C3035,parametros!$A$11:$E$15,5,0),""))</f>
        <v/>
      </c>
      <c r="F3035" s="335">
        <f>IF(OR(D3035="",E3035=""),"",ROUND(D3035*E3035,2))</f>
        <v/>
      </c>
      <c r="G3035" s="106" t="n"/>
      <c r="H3035" s="350">
        <f>IF(G3035="Sim",IF(OR(F3035="",D3035="",L3035=""),"",IF(L3035="Sim",ROUND(F3035-D3035,2),0)),0)</f>
        <v/>
      </c>
      <c r="I3035" s="350">
        <f>IF(G3035="Sim",0,IF(OR(F3035="",L3035=""),"",F3035))</f>
        <v/>
      </c>
      <c r="J3035" s="350">
        <f>IF(G3035="Sim",0,IF(OR(F3035="",D3035="",L3035=""),"",IF(L3035="Sim",ROUND(F3035-D3035,2),0)))</f>
        <v/>
      </c>
      <c r="K3035" s="97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inlineStr">
        <is>
          <t>Nao</t>
        </is>
      </c>
      <c r="W3035" s="110" t="inlineStr">
        <is>
          <t>PC em analise</t>
        </is>
      </c>
      <c r="X3035" s="110" t="inlineStr">
        <is>
          <t>Pedido de Compra</t>
        </is>
      </c>
      <c r="Y3035" s="111" t="inlineStr">
        <is>
          <t>Impacto Potencial</t>
        </is>
      </c>
      <c r="Z3035" s="111" t="inlineStr">
        <is>
          <t>PC</t>
        </is>
      </c>
      <c r="AA3035" s="111" t="inlineStr">
        <is>
          <t>Nao</t>
        </is>
      </c>
      <c r="AB3035" s="111" t="inlineStr">
        <is>
          <t>NAO_COMPUTADO</t>
        </is>
      </c>
      <c r="AC3035" s="112" t="inlineStr">
        <is>
          <t>Estrutura Fase 1: sem impacto no VTA oficial</t>
        </is>
      </c>
    </row>
    <row r="3036" ht="25.5" customHeight="1" s="289">
      <c r="A3036" s="205" t="n"/>
      <c r="B3036" s="207" t="n"/>
      <c r="C3036" s="104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348" t="n"/>
      <c r="E3036" s="349">
        <f>IF(C3036="","",IFERROR(VLOOKUP(C3036,parametros!$A$11:$E$15,5,0),""))</f>
        <v/>
      </c>
      <c r="F3036" s="335">
        <f>IF(OR(D3036="",E3036=""),"",ROUND(D3036*E3036,2))</f>
        <v/>
      </c>
      <c r="G3036" s="106" t="n"/>
      <c r="H3036" s="350">
        <f>IF(G3036="Sim",IF(OR(F3036="",D3036="",L3036=""),"",IF(L3036="Sim",ROUND(F3036-D3036,2),0)),0)</f>
        <v/>
      </c>
      <c r="I3036" s="350">
        <f>IF(G3036="Sim",0,IF(OR(F3036="",L3036=""),"",F3036))</f>
        <v/>
      </c>
      <c r="J3036" s="350">
        <f>IF(G3036="Sim",0,IF(OR(F3036="",D3036="",L3036=""),"",IF(L3036="Sim",ROUND(F3036-D3036,2),0)))</f>
        <v/>
      </c>
      <c r="K3036" s="97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inlineStr">
        <is>
          <t>Nao</t>
        </is>
      </c>
      <c r="W3036" s="110" t="inlineStr">
        <is>
          <t>PC em analise</t>
        </is>
      </c>
      <c r="X3036" s="110" t="inlineStr">
        <is>
          <t>Pedido de Compra</t>
        </is>
      </c>
      <c r="Y3036" s="111" t="inlineStr">
        <is>
          <t>Impacto Potencial</t>
        </is>
      </c>
      <c r="Z3036" s="111" t="inlineStr">
        <is>
          <t>PC</t>
        </is>
      </c>
      <c r="AA3036" s="111" t="inlineStr">
        <is>
          <t>Nao</t>
        </is>
      </c>
      <c r="AB3036" s="111" t="inlineStr">
        <is>
          <t>NAO_COMPUTADO</t>
        </is>
      </c>
      <c r="AC3036" s="112" t="inlineStr">
        <is>
          <t>Estrutura Fase 1: sem impacto no VTA oficial</t>
        </is>
      </c>
    </row>
    <row r="3037" ht="25.5" customHeight="1" s="289">
      <c r="A3037" s="205" t="n"/>
      <c r="B3037" s="207" t="n"/>
      <c r="C3037" s="104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348" t="n"/>
      <c r="E3037" s="349">
        <f>IF(C3037="","",IFERROR(VLOOKUP(C3037,parametros!$A$11:$E$15,5,0),""))</f>
        <v/>
      </c>
      <c r="F3037" s="335">
        <f>IF(OR(D3037="",E3037=""),"",ROUND(D3037*E3037,2))</f>
        <v/>
      </c>
      <c r="G3037" s="106" t="n"/>
      <c r="H3037" s="350">
        <f>IF(G3037="Sim",IF(OR(F3037="",D3037="",L3037=""),"",IF(L3037="Sim",ROUND(F3037-D3037,2),0)),0)</f>
        <v/>
      </c>
      <c r="I3037" s="350">
        <f>IF(G3037="Sim",0,IF(OR(F3037="",L3037=""),"",F3037))</f>
        <v/>
      </c>
      <c r="J3037" s="350">
        <f>IF(G3037="Sim",0,IF(OR(F3037="",D3037="",L3037=""),"",IF(L3037="Sim",ROUND(F3037-D3037,2),0)))</f>
        <v/>
      </c>
      <c r="K3037" s="97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inlineStr">
        <is>
          <t>Nao</t>
        </is>
      </c>
      <c r="W3037" s="110" t="inlineStr">
        <is>
          <t>PC em analise</t>
        </is>
      </c>
      <c r="X3037" s="110" t="inlineStr">
        <is>
          <t>Pedido de Compra</t>
        </is>
      </c>
      <c r="Y3037" s="111" t="inlineStr">
        <is>
          <t>Impacto Potencial</t>
        </is>
      </c>
      <c r="Z3037" s="111" t="inlineStr">
        <is>
          <t>PC</t>
        </is>
      </c>
      <c r="AA3037" s="111" t="inlineStr">
        <is>
          <t>Nao</t>
        </is>
      </c>
      <c r="AB3037" s="111" t="inlineStr">
        <is>
          <t>NAO_COMPUTADO</t>
        </is>
      </c>
      <c r="AC3037" s="112" t="inlineStr">
        <is>
          <t>Estrutura Fase 1: sem impacto no VTA oficial</t>
        </is>
      </c>
    </row>
    <row r="3038" ht="25.5" customHeight="1" s="289">
      <c r="A3038" s="205" t="n"/>
      <c r="B3038" s="207" t="n"/>
      <c r="C3038" s="104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348" t="n"/>
      <c r="E3038" s="349">
        <f>IF(C3038="","",IFERROR(VLOOKUP(C3038,parametros!$A$11:$E$15,5,0),""))</f>
        <v/>
      </c>
      <c r="F3038" s="335">
        <f>IF(OR(D3038="",E3038=""),"",ROUND(D3038*E3038,2))</f>
        <v/>
      </c>
      <c r="G3038" s="106" t="n"/>
      <c r="H3038" s="350">
        <f>IF(G3038="Sim",IF(OR(F3038="",D3038="",L3038=""),"",IF(L3038="Sim",ROUND(F3038-D3038,2),0)),0)</f>
        <v/>
      </c>
      <c r="I3038" s="350">
        <f>IF(G3038="Sim",0,IF(OR(F3038="",L3038=""),"",F3038))</f>
        <v/>
      </c>
      <c r="J3038" s="350">
        <f>IF(G3038="Sim",0,IF(OR(F3038="",D3038="",L3038=""),"",IF(L3038="Sim",ROUND(F3038-D3038,2),0)))</f>
        <v/>
      </c>
      <c r="K3038" s="97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inlineStr">
        <is>
          <t>Nao</t>
        </is>
      </c>
      <c r="W3038" s="110" t="inlineStr">
        <is>
          <t>PC em analise</t>
        </is>
      </c>
      <c r="X3038" s="110" t="inlineStr">
        <is>
          <t>Pedido de Compra</t>
        </is>
      </c>
      <c r="Y3038" s="111" t="inlineStr">
        <is>
          <t>Impacto Potencial</t>
        </is>
      </c>
      <c r="Z3038" s="111" t="inlineStr">
        <is>
          <t>PC</t>
        </is>
      </c>
      <c r="AA3038" s="111" t="inlineStr">
        <is>
          <t>Nao</t>
        </is>
      </c>
      <c r="AB3038" s="111" t="inlineStr">
        <is>
          <t>NAO_COMPUTADO</t>
        </is>
      </c>
      <c r="AC3038" s="112" t="inlineStr">
        <is>
          <t>Estrutura Fase 1: sem impacto no VTA oficial</t>
        </is>
      </c>
    </row>
    <row r="3039" ht="25.5" customHeight="1" s="289">
      <c r="A3039" s="205" t="n"/>
      <c r="B3039" s="207" t="n"/>
      <c r="C3039" s="104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348" t="n"/>
      <c r="E3039" s="349">
        <f>IF(C3039="","",IFERROR(VLOOKUP(C3039,parametros!$A$11:$E$15,5,0),""))</f>
        <v/>
      </c>
      <c r="F3039" s="335">
        <f>IF(OR(D3039="",E3039=""),"",ROUND(D3039*E3039,2))</f>
        <v/>
      </c>
      <c r="G3039" s="106" t="n"/>
      <c r="H3039" s="350">
        <f>IF(G3039="Sim",IF(OR(F3039="",D3039="",L3039=""),"",IF(L3039="Sim",ROUND(F3039-D3039,2),0)),0)</f>
        <v/>
      </c>
      <c r="I3039" s="350">
        <f>IF(G3039="Sim",0,IF(OR(F3039="",L3039=""),"",F3039))</f>
        <v/>
      </c>
      <c r="J3039" s="350">
        <f>IF(G3039="Sim",0,IF(OR(F3039="",D3039="",L3039=""),"",IF(L3039="Sim",ROUND(F3039-D3039,2),0)))</f>
        <v/>
      </c>
      <c r="K3039" s="97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inlineStr">
        <is>
          <t>Nao</t>
        </is>
      </c>
      <c r="W3039" s="110" t="inlineStr">
        <is>
          <t>PC em analise</t>
        </is>
      </c>
      <c r="X3039" s="110" t="inlineStr">
        <is>
          <t>Pedido de Compra</t>
        </is>
      </c>
      <c r="Y3039" s="111" t="inlineStr">
        <is>
          <t>Impacto Potencial</t>
        </is>
      </c>
      <c r="Z3039" s="111" t="inlineStr">
        <is>
          <t>PC</t>
        </is>
      </c>
      <c r="AA3039" s="111" t="inlineStr">
        <is>
          <t>Nao</t>
        </is>
      </c>
      <c r="AB3039" s="111" t="inlineStr">
        <is>
          <t>NAO_COMPUTADO</t>
        </is>
      </c>
      <c r="AC3039" s="112" t="inlineStr">
        <is>
          <t>Estrutura Fase 1: sem impacto no VTA oficial</t>
        </is>
      </c>
    </row>
    <row r="3040" ht="25.5" customHeight="1" s="289">
      <c r="A3040" s="205" t="n"/>
      <c r="B3040" s="207" t="n"/>
      <c r="C3040" s="104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348" t="n"/>
      <c r="E3040" s="349">
        <f>IF(C3040="","",IFERROR(VLOOKUP(C3040,parametros!$A$11:$E$15,5,0),""))</f>
        <v/>
      </c>
      <c r="F3040" s="335">
        <f>IF(OR(D3040="",E3040=""),"",ROUND(D3040*E3040,2))</f>
        <v/>
      </c>
      <c r="G3040" s="106" t="n"/>
      <c r="H3040" s="350">
        <f>IF(G3040="Sim",IF(OR(F3040="",D3040="",L3040=""),"",IF(L3040="Sim",ROUND(F3040-D3040,2),0)),0)</f>
        <v/>
      </c>
      <c r="I3040" s="350">
        <f>IF(G3040="Sim",0,IF(OR(F3040="",L3040=""),"",F3040))</f>
        <v/>
      </c>
      <c r="J3040" s="350">
        <f>IF(G3040="Sim",0,IF(OR(F3040="",D3040="",L3040=""),"",IF(L3040="Sim",ROUND(F3040-D3040,2),0)))</f>
        <v/>
      </c>
      <c r="K3040" s="97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inlineStr">
        <is>
          <t>Nao</t>
        </is>
      </c>
      <c r="W3040" s="110" t="inlineStr">
        <is>
          <t>PC em analise</t>
        </is>
      </c>
      <c r="X3040" s="110" t="inlineStr">
        <is>
          <t>Pedido de Compra</t>
        </is>
      </c>
      <c r="Y3040" s="111" t="inlineStr">
        <is>
          <t>Impacto Potencial</t>
        </is>
      </c>
      <c r="Z3040" s="111" t="inlineStr">
        <is>
          <t>PC</t>
        </is>
      </c>
      <c r="AA3040" s="111" t="inlineStr">
        <is>
          <t>Nao</t>
        </is>
      </c>
      <c r="AB3040" s="111" t="inlineStr">
        <is>
          <t>NAO_COMPUTADO</t>
        </is>
      </c>
      <c r="AC3040" s="112" t="inlineStr">
        <is>
          <t>Estrutura Fase 1: sem impacto no VTA oficial</t>
        </is>
      </c>
    </row>
    <row r="3041" ht="25.5" customHeight="1" s="289">
      <c r="A3041" s="205" t="n"/>
      <c r="B3041" s="207" t="n"/>
      <c r="C3041" s="104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348" t="n"/>
      <c r="E3041" s="349">
        <f>IF(C3041="","",IFERROR(VLOOKUP(C3041,parametros!$A$11:$E$15,5,0),""))</f>
        <v/>
      </c>
      <c r="F3041" s="335">
        <f>IF(OR(D3041="",E3041=""),"",ROUND(D3041*E3041,2))</f>
        <v/>
      </c>
      <c r="G3041" s="106" t="n"/>
      <c r="H3041" s="350">
        <f>IF(G3041="Sim",IF(OR(F3041="",D3041="",L3041=""),"",IF(L3041="Sim",ROUND(F3041-D3041,2),0)),0)</f>
        <v/>
      </c>
      <c r="I3041" s="350">
        <f>IF(G3041="Sim",0,IF(OR(F3041="",L3041=""),"",F3041))</f>
        <v/>
      </c>
      <c r="J3041" s="350">
        <f>IF(G3041="Sim",0,IF(OR(F3041="",D3041="",L3041=""),"",IF(L3041="Sim",ROUND(F3041-D3041,2),0)))</f>
        <v/>
      </c>
      <c r="K3041" s="97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inlineStr">
        <is>
          <t>Nao</t>
        </is>
      </c>
      <c r="W3041" s="110" t="inlineStr">
        <is>
          <t>PC em analise</t>
        </is>
      </c>
      <c r="X3041" s="110" t="inlineStr">
        <is>
          <t>Pedido de Compra</t>
        </is>
      </c>
      <c r="Y3041" s="111" t="inlineStr">
        <is>
          <t>Impacto Potencial</t>
        </is>
      </c>
      <c r="Z3041" s="111" t="inlineStr">
        <is>
          <t>PC</t>
        </is>
      </c>
      <c r="AA3041" s="111" t="inlineStr">
        <is>
          <t>Nao</t>
        </is>
      </c>
      <c r="AB3041" s="111" t="inlineStr">
        <is>
          <t>NAO_COMPUTADO</t>
        </is>
      </c>
      <c r="AC3041" s="112" t="inlineStr">
        <is>
          <t>Estrutura Fase 1: sem impacto no VTA oficial</t>
        </is>
      </c>
    </row>
    <row r="3042" ht="25.5" customHeight="1" s="289">
      <c r="A3042" s="205" t="n"/>
      <c r="B3042" s="207" t="n"/>
      <c r="C3042" s="104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348" t="n"/>
      <c r="E3042" s="349">
        <f>IF(C3042="","",IFERROR(VLOOKUP(C3042,parametros!$A$11:$E$15,5,0),""))</f>
        <v/>
      </c>
      <c r="F3042" s="335">
        <f>IF(OR(D3042="",E3042=""),"",ROUND(D3042*E3042,2))</f>
        <v/>
      </c>
      <c r="G3042" s="106" t="n"/>
      <c r="H3042" s="350">
        <f>IF(G3042="Sim",IF(OR(F3042="",D3042="",L3042=""),"",IF(L3042="Sim",ROUND(F3042-D3042,2),0)),0)</f>
        <v/>
      </c>
      <c r="I3042" s="350">
        <f>IF(G3042="Sim",0,IF(OR(F3042="",L3042=""),"",F3042))</f>
        <v/>
      </c>
      <c r="J3042" s="350">
        <f>IF(G3042="Sim",0,IF(OR(F3042="",D3042="",L3042=""),"",IF(L3042="Sim",ROUND(F3042-D3042,2),0)))</f>
        <v/>
      </c>
      <c r="K3042" s="97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inlineStr">
        <is>
          <t>Nao</t>
        </is>
      </c>
      <c r="W3042" s="110" t="inlineStr">
        <is>
          <t>PC em analise</t>
        </is>
      </c>
      <c r="X3042" s="110" t="inlineStr">
        <is>
          <t>Pedido de Compra</t>
        </is>
      </c>
      <c r="Y3042" s="111" t="inlineStr">
        <is>
          <t>Impacto Potencial</t>
        </is>
      </c>
      <c r="Z3042" s="111" t="inlineStr">
        <is>
          <t>PC</t>
        </is>
      </c>
      <c r="AA3042" s="111" t="inlineStr">
        <is>
          <t>Nao</t>
        </is>
      </c>
      <c r="AB3042" s="111" t="inlineStr">
        <is>
          <t>NAO_COMPUTADO</t>
        </is>
      </c>
      <c r="AC3042" s="112" t="inlineStr">
        <is>
          <t>Estrutura Fase 1: sem impacto no VTA oficial</t>
        </is>
      </c>
    </row>
    <row r="3043" ht="25.5" customHeight="1" s="289">
      <c r="A3043" s="205" t="n"/>
      <c r="B3043" s="207" t="n"/>
      <c r="C3043" s="104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348" t="n"/>
      <c r="E3043" s="349">
        <f>IF(C3043="","",IFERROR(VLOOKUP(C3043,parametros!$A$11:$E$15,5,0),""))</f>
        <v/>
      </c>
      <c r="F3043" s="335">
        <f>IF(OR(D3043="",E3043=""),"",ROUND(D3043*E3043,2))</f>
        <v/>
      </c>
      <c r="G3043" s="106" t="n"/>
      <c r="H3043" s="350">
        <f>IF(G3043="Sim",IF(OR(F3043="",D3043="",L3043=""),"",IF(L3043="Sim",ROUND(F3043-D3043,2),0)),0)</f>
        <v/>
      </c>
      <c r="I3043" s="350">
        <f>IF(G3043="Sim",0,IF(OR(F3043="",L3043=""),"",F3043))</f>
        <v/>
      </c>
      <c r="J3043" s="350">
        <f>IF(G3043="Sim",0,IF(OR(F3043="",D3043="",L3043=""),"",IF(L3043="Sim",ROUND(F3043-D3043,2),0)))</f>
        <v/>
      </c>
      <c r="K3043" s="97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inlineStr">
        <is>
          <t>Nao</t>
        </is>
      </c>
      <c r="W3043" s="110" t="inlineStr">
        <is>
          <t>PC em analise</t>
        </is>
      </c>
      <c r="X3043" s="110" t="inlineStr">
        <is>
          <t>Pedido de Compra</t>
        </is>
      </c>
      <c r="Y3043" s="111" t="inlineStr">
        <is>
          <t>Impacto Potencial</t>
        </is>
      </c>
      <c r="Z3043" s="111" t="inlineStr">
        <is>
          <t>PC</t>
        </is>
      </c>
      <c r="AA3043" s="111" t="inlineStr">
        <is>
          <t>Nao</t>
        </is>
      </c>
      <c r="AB3043" s="111" t="inlineStr">
        <is>
          <t>NAO_COMPUTADO</t>
        </is>
      </c>
      <c r="AC3043" s="112" t="inlineStr">
        <is>
          <t>Estrutura Fase 1: sem impacto no VTA oficial</t>
        </is>
      </c>
    </row>
    <row r="3044" ht="25.5" customHeight="1" s="289">
      <c r="A3044" s="205" t="n"/>
      <c r="B3044" s="207" t="n"/>
      <c r="C3044" s="104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348" t="n"/>
      <c r="E3044" s="349">
        <f>IF(C3044="","",IFERROR(VLOOKUP(C3044,parametros!$A$11:$E$15,5,0),""))</f>
        <v/>
      </c>
      <c r="F3044" s="335">
        <f>IF(OR(D3044="",E3044=""),"",ROUND(D3044*E3044,2))</f>
        <v/>
      </c>
      <c r="G3044" s="106" t="n"/>
      <c r="H3044" s="350">
        <f>IF(G3044="Sim",IF(OR(F3044="",D3044="",L3044=""),"",IF(L3044="Sim",ROUND(F3044-D3044,2),0)),0)</f>
        <v/>
      </c>
      <c r="I3044" s="350">
        <f>IF(G3044="Sim",0,IF(OR(F3044="",L3044=""),"",F3044))</f>
        <v/>
      </c>
      <c r="J3044" s="350">
        <f>IF(G3044="Sim",0,IF(OR(F3044="",D3044="",L3044=""),"",IF(L3044="Sim",ROUND(F3044-D3044,2),0)))</f>
        <v/>
      </c>
      <c r="K3044" s="97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inlineStr">
        <is>
          <t>Nao</t>
        </is>
      </c>
      <c r="W3044" s="110" t="inlineStr">
        <is>
          <t>PC em analise</t>
        </is>
      </c>
      <c r="X3044" s="110" t="inlineStr">
        <is>
          <t>Pedido de Compra</t>
        </is>
      </c>
      <c r="Y3044" s="111" t="inlineStr">
        <is>
          <t>Impacto Potencial</t>
        </is>
      </c>
      <c r="Z3044" s="111" t="inlineStr">
        <is>
          <t>PC</t>
        </is>
      </c>
      <c r="AA3044" s="111" t="inlineStr">
        <is>
          <t>Nao</t>
        </is>
      </c>
      <c r="AB3044" s="111" t="inlineStr">
        <is>
          <t>NAO_COMPUTADO</t>
        </is>
      </c>
      <c r="AC3044" s="112" t="inlineStr">
        <is>
          <t>Estrutura Fase 1: sem impacto no VTA oficial</t>
        </is>
      </c>
    </row>
    <row r="3045" ht="25.5" customHeight="1" s="289">
      <c r="A3045" s="205" t="n"/>
      <c r="B3045" s="207" t="n"/>
      <c r="C3045" s="104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348" t="n"/>
      <c r="E3045" s="349">
        <f>IF(C3045="","",IFERROR(VLOOKUP(C3045,parametros!$A$11:$E$15,5,0),""))</f>
        <v/>
      </c>
      <c r="F3045" s="335">
        <f>IF(OR(D3045="",E3045=""),"",ROUND(D3045*E3045,2))</f>
        <v/>
      </c>
      <c r="G3045" s="106" t="n"/>
      <c r="H3045" s="350">
        <f>IF(G3045="Sim",IF(OR(F3045="",D3045="",L3045=""),"",IF(L3045="Sim",ROUND(F3045-D3045,2),0)),0)</f>
        <v/>
      </c>
      <c r="I3045" s="350">
        <f>IF(G3045="Sim",0,IF(OR(F3045="",L3045=""),"",F3045))</f>
        <v/>
      </c>
      <c r="J3045" s="350">
        <f>IF(G3045="Sim",0,IF(OR(F3045="",D3045="",L3045=""),"",IF(L3045="Sim",ROUND(F3045-D3045,2),0)))</f>
        <v/>
      </c>
      <c r="K3045" s="97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inlineStr">
        <is>
          <t>Nao</t>
        </is>
      </c>
      <c r="W3045" s="110" t="inlineStr">
        <is>
          <t>PC em analise</t>
        </is>
      </c>
      <c r="X3045" s="110" t="inlineStr">
        <is>
          <t>Pedido de Compra</t>
        </is>
      </c>
      <c r="Y3045" s="111" t="inlineStr">
        <is>
          <t>Impacto Potencial</t>
        </is>
      </c>
      <c r="Z3045" s="111" t="inlineStr">
        <is>
          <t>PC</t>
        </is>
      </c>
      <c r="AA3045" s="111" t="inlineStr">
        <is>
          <t>Nao</t>
        </is>
      </c>
      <c r="AB3045" s="111" t="inlineStr">
        <is>
          <t>NAO_COMPUTADO</t>
        </is>
      </c>
      <c r="AC3045" s="112" t="inlineStr">
        <is>
          <t>Estrutura Fase 1: sem impacto no VTA oficial</t>
        </is>
      </c>
    </row>
    <row r="3046" ht="25.5" customHeight="1" s="289">
      <c r="A3046" s="205" t="n"/>
      <c r="B3046" s="207" t="n"/>
      <c r="C3046" s="104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348" t="n"/>
      <c r="E3046" s="349">
        <f>IF(C3046="","",IFERROR(VLOOKUP(C3046,parametros!$A$11:$E$15,5,0),""))</f>
        <v/>
      </c>
      <c r="F3046" s="335">
        <f>IF(OR(D3046="",E3046=""),"",ROUND(D3046*E3046,2))</f>
        <v/>
      </c>
      <c r="G3046" s="106" t="n"/>
      <c r="H3046" s="350">
        <f>IF(G3046="Sim",IF(OR(F3046="",D3046="",L3046=""),"",IF(L3046="Sim",ROUND(F3046-D3046,2),0)),0)</f>
        <v/>
      </c>
      <c r="I3046" s="350">
        <f>IF(G3046="Sim",0,IF(OR(F3046="",L3046=""),"",F3046))</f>
        <v/>
      </c>
      <c r="J3046" s="350">
        <f>IF(G3046="Sim",0,IF(OR(F3046="",D3046="",L3046=""),"",IF(L3046="Sim",ROUND(F3046-D3046,2),0)))</f>
        <v/>
      </c>
      <c r="K3046" s="97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inlineStr">
        <is>
          <t>Nao</t>
        </is>
      </c>
      <c r="W3046" s="110" t="inlineStr">
        <is>
          <t>PC em analise</t>
        </is>
      </c>
      <c r="X3046" s="110" t="inlineStr">
        <is>
          <t>Pedido de Compra</t>
        </is>
      </c>
      <c r="Y3046" s="111" t="inlineStr">
        <is>
          <t>Impacto Potencial</t>
        </is>
      </c>
      <c r="Z3046" s="111" t="inlineStr">
        <is>
          <t>PC</t>
        </is>
      </c>
      <c r="AA3046" s="111" t="inlineStr">
        <is>
          <t>Nao</t>
        </is>
      </c>
      <c r="AB3046" s="111" t="inlineStr">
        <is>
          <t>NAO_COMPUTADO</t>
        </is>
      </c>
      <c r="AC3046" s="112" t="inlineStr">
        <is>
          <t>Estrutura Fase 1: sem impacto no VTA oficial</t>
        </is>
      </c>
    </row>
    <row r="3047" ht="25.5" customHeight="1" s="289">
      <c r="A3047" s="205" t="n"/>
      <c r="B3047" s="207" t="n"/>
      <c r="C3047" s="104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348" t="n"/>
      <c r="E3047" s="349">
        <f>IF(C3047="","",IFERROR(VLOOKUP(C3047,parametros!$A$11:$E$15,5,0),""))</f>
        <v/>
      </c>
      <c r="F3047" s="335">
        <f>IF(OR(D3047="",E3047=""),"",ROUND(D3047*E3047,2))</f>
        <v/>
      </c>
      <c r="G3047" s="106" t="n"/>
      <c r="H3047" s="350">
        <f>IF(G3047="Sim",IF(OR(F3047="",D3047="",L3047=""),"",IF(L3047="Sim",ROUND(F3047-D3047,2),0)),0)</f>
        <v/>
      </c>
      <c r="I3047" s="350">
        <f>IF(G3047="Sim",0,IF(OR(F3047="",L3047=""),"",F3047))</f>
        <v/>
      </c>
      <c r="J3047" s="350">
        <f>IF(G3047="Sim",0,IF(OR(F3047="",D3047="",L3047=""),"",IF(L3047="Sim",ROUND(F3047-D3047,2),0)))</f>
        <v/>
      </c>
      <c r="K3047" s="97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inlineStr">
        <is>
          <t>Nao</t>
        </is>
      </c>
      <c r="W3047" s="110" t="inlineStr">
        <is>
          <t>PC em analise</t>
        </is>
      </c>
      <c r="X3047" s="110" t="inlineStr">
        <is>
          <t>Pedido de Compra</t>
        </is>
      </c>
      <c r="Y3047" s="111" t="inlineStr">
        <is>
          <t>Impacto Potencial</t>
        </is>
      </c>
      <c r="Z3047" s="111" t="inlineStr">
        <is>
          <t>PC</t>
        </is>
      </c>
      <c r="AA3047" s="111" t="inlineStr">
        <is>
          <t>Nao</t>
        </is>
      </c>
      <c r="AB3047" s="111" t="inlineStr">
        <is>
          <t>NAO_COMPUTADO</t>
        </is>
      </c>
      <c r="AC3047" s="112" t="inlineStr">
        <is>
          <t>Estrutura Fase 1: sem impacto no VTA oficial</t>
        </is>
      </c>
    </row>
    <row r="3048" ht="25.5" customHeight="1" s="289">
      <c r="A3048" s="205" t="n"/>
      <c r="B3048" s="207" t="n"/>
      <c r="C3048" s="104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348" t="n"/>
      <c r="E3048" s="349">
        <f>IF(C3048="","",IFERROR(VLOOKUP(C3048,parametros!$A$11:$E$15,5,0),""))</f>
        <v/>
      </c>
      <c r="F3048" s="335">
        <f>IF(OR(D3048="",E3048=""),"",ROUND(D3048*E3048,2))</f>
        <v/>
      </c>
      <c r="G3048" s="106" t="n"/>
      <c r="H3048" s="350">
        <f>IF(G3048="Sim",IF(OR(F3048="",D3048="",L3048=""),"",IF(L3048="Sim",ROUND(F3048-D3048,2),0)),0)</f>
        <v/>
      </c>
      <c r="I3048" s="350">
        <f>IF(G3048="Sim",0,IF(OR(F3048="",L3048=""),"",F3048))</f>
        <v/>
      </c>
      <c r="J3048" s="350">
        <f>IF(G3048="Sim",0,IF(OR(F3048="",D3048="",L3048=""),"",IF(L3048="Sim",ROUND(F3048-D3048,2),0)))</f>
        <v/>
      </c>
      <c r="K3048" s="97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inlineStr">
        <is>
          <t>Nao</t>
        </is>
      </c>
      <c r="W3048" s="110" t="inlineStr">
        <is>
          <t>PC em analise</t>
        </is>
      </c>
      <c r="X3048" s="110" t="inlineStr">
        <is>
          <t>Pedido de Compra</t>
        </is>
      </c>
      <c r="Y3048" s="111" t="inlineStr">
        <is>
          <t>Impacto Potencial</t>
        </is>
      </c>
      <c r="Z3048" s="111" t="inlineStr">
        <is>
          <t>PC</t>
        </is>
      </c>
      <c r="AA3048" s="111" t="inlineStr">
        <is>
          <t>Nao</t>
        </is>
      </c>
      <c r="AB3048" s="111" t="inlineStr">
        <is>
          <t>NAO_COMPUTADO</t>
        </is>
      </c>
      <c r="AC3048" s="112" t="inlineStr">
        <is>
          <t>Estrutura Fase 1: sem impacto no VTA oficial</t>
        </is>
      </c>
    </row>
    <row r="3049" ht="25.5" customHeight="1" s="289">
      <c r="A3049" s="205" t="n"/>
      <c r="B3049" s="207" t="n"/>
      <c r="C3049" s="104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348" t="n"/>
      <c r="E3049" s="349">
        <f>IF(C3049="","",IFERROR(VLOOKUP(C3049,parametros!$A$11:$E$15,5,0),""))</f>
        <v/>
      </c>
      <c r="F3049" s="335">
        <f>IF(OR(D3049="",E3049=""),"",ROUND(D3049*E3049,2))</f>
        <v/>
      </c>
      <c r="G3049" s="106" t="n"/>
      <c r="H3049" s="350">
        <f>IF(G3049="Sim",IF(OR(F3049="",D3049="",L3049=""),"",IF(L3049="Sim",ROUND(F3049-D3049,2),0)),0)</f>
        <v/>
      </c>
      <c r="I3049" s="350">
        <f>IF(G3049="Sim",0,IF(OR(F3049="",L3049=""),"",F3049))</f>
        <v/>
      </c>
      <c r="J3049" s="350">
        <f>IF(G3049="Sim",0,IF(OR(F3049="",D3049="",L3049=""),"",IF(L3049="Sim",ROUND(F3049-D3049,2),0)))</f>
        <v/>
      </c>
      <c r="K3049" s="97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inlineStr">
        <is>
          <t>Nao</t>
        </is>
      </c>
      <c r="W3049" s="110" t="inlineStr">
        <is>
          <t>PC em analise</t>
        </is>
      </c>
      <c r="X3049" s="110" t="inlineStr">
        <is>
          <t>Pedido de Compra</t>
        </is>
      </c>
      <c r="Y3049" s="111" t="inlineStr">
        <is>
          <t>Impacto Potencial</t>
        </is>
      </c>
      <c r="Z3049" s="111" t="inlineStr">
        <is>
          <t>PC</t>
        </is>
      </c>
      <c r="AA3049" s="111" t="inlineStr">
        <is>
          <t>Nao</t>
        </is>
      </c>
      <c r="AB3049" s="111" t="inlineStr">
        <is>
          <t>NAO_COMPUTADO</t>
        </is>
      </c>
      <c r="AC3049" s="112" t="inlineStr">
        <is>
          <t>Estrutura Fase 1: sem impacto no VTA oficial</t>
        </is>
      </c>
    </row>
    <row r="3050" ht="25.5" customHeight="1" s="289">
      <c r="A3050" s="205" t="n"/>
      <c r="B3050" s="207" t="n"/>
      <c r="C3050" s="104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348" t="n"/>
      <c r="E3050" s="349">
        <f>IF(C3050="","",IFERROR(VLOOKUP(C3050,parametros!$A$11:$E$15,5,0),""))</f>
        <v/>
      </c>
      <c r="F3050" s="335">
        <f>IF(OR(D3050="",E3050=""),"",ROUND(D3050*E3050,2))</f>
        <v/>
      </c>
      <c r="G3050" s="106" t="n"/>
      <c r="H3050" s="350">
        <f>IF(G3050="Sim",IF(OR(F3050="",D3050="",L3050=""),"",IF(L3050="Sim",ROUND(F3050-D3050,2),0)),0)</f>
        <v/>
      </c>
      <c r="I3050" s="350">
        <f>IF(G3050="Sim",0,IF(OR(F3050="",L3050=""),"",F3050))</f>
        <v/>
      </c>
      <c r="J3050" s="350">
        <f>IF(G3050="Sim",0,IF(OR(F3050="",D3050="",L3050=""),"",IF(L3050="Sim",ROUND(F3050-D3050,2),0)))</f>
        <v/>
      </c>
      <c r="K3050" s="97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inlineStr">
        <is>
          <t>Nao</t>
        </is>
      </c>
      <c r="W3050" s="110" t="inlineStr">
        <is>
          <t>PC em analise</t>
        </is>
      </c>
      <c r="X3050" s="110" t="inlineStr">
        <is>
          <t>Pedido de Compra</t>
        </is>
      </c>
      <c r="Y3050" s="111" t="inlineStr">
        <is>
          <t>Impacto Potencial</t>
        </is>
      </c>
      <c r="Z3050" s="111" t="inlineStr">
        <is>
          <t>PC</t>
        </is>
      </c>
      <c r="AA3050" s="111" t="inlineStr">
        <is>
          <t>Nao</t>
        </is>
      </c>
      <c r="AB3050" s="111" t="inlineStr">
        <is>
          <t>NAO_COMPUTADO</t>
        </is>
      </c>
      <c r="AC3050" s="112" t="inlineStr">
        <is>
          <t>Estrutura Fase 1: sem impacto no VTA oficial</t>
        </is>
      </c>
    </row>
    <row r="3051" ht="25.5" customHeight="1" s="289">
      <c r="A3051" s="205" t="n"/>
      <c r="B3051" s="207" t="n"/>
      <c r="C3051" s="104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348" t="n"/>
      <c r="E3051" s="349">
        <f>IF(C3051="","",IFERROR(VLOOKUP(C3051,parametros!$A$11:$E$15,5,0),""))</f>
        <v/>
      </c>
      <c r="F3051" s="335">
        <f>IF(OR(D3051="",E3051=""),"",ROUND(D3051*E3051,2))</f>
        <v/>
      </c>
      <c r="G3051" s="106" t="n"/>
      <c r="H3051" s="350">
        <f>IF(G3051="Sim",IF(OR(F3051="",D3051="",L3051=""),"",IF(L3051="Sim",ROUND(F3051-D3051,2),0)),0)</f>
        <v/>
      </c>
      <c r="I3051" s="350">
        <f>IF(G3051="Sim",0,IF(OR(F3051="",L3051=""),"",F3051))</f>
        <v/>
      </c>
      <c r="J3051" s="350">
        <f>IF(G3051="Sim",0,IF(OR(F3051="",D3051="",L3051=""),"",IF(L3051="Sim",ROUND(F3051-D3051,2),0)))</f>
        <v/>
      </c>
      <c r="K3051" s="97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inlineStr">
        <is>
          <t>Nao</t>
        </is>
      </c>
      <c r="W3051" s="110" t="inlineStr">
        <is>
          <t>PC em analise</t>
        </is>
      </c>
      <c r="X3051" s="110" t="inlineStr">
        <is>
          <t>Pedido de Compra</t>
        </is>
      </c>
      <c r="Y3051" s="111" t="inlineStr">
        <is>
          <t>Impacto Potencial</t>
        </is>
      </c>
      <c r="Z3051" s="111" t="inlineStr">
        <is>
          <t>PC</t>
        </is>
      </c>
      <c r="AA3051" s="111" t="inlineStr">
        <is>
          <t>Nao</t>
        </is>
      </c>
      <c r="AB3051" s="111" t="inlineStr">
        <is>
          <t>NAO_COMPUTADO</t>
        </is>
      </c>
      <c r="AC3051" s="112" t="inlineStr">
        <is>
          <t>Estrutura Fase 1: sem impacto no VTA oficial</t>
        </is>
      </c>
    </row>
    <row r="3052" ht="25.5" customHeight="1" s="289">
      <c r="A3052" s="205" t="n"/>
      <c r="B3052" s="207" t="n"/>
      <c r="C3052" s="104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348" t="n"/>
      <c r="E3052" s="349">
        <f>IF(C3052="","",IFERROR(VLOOKUP(C3052,parametros!$A$11:$E$15,5,0),""))</f>
        <v/>
      </c>
      <c r="F3052" s="335">
        <f>IF(OR(D3052="",E3052=""),"",ROUND(D3052*E3052,2))</f>
        <v/>
      </c>
      <c r="G3052" s="106" t="n"/>
      <c r="H3052" s="350">
        <f>IF(G3052="Sim",IF(OR(F3052="",D3052="",L3052=""),"",IF(L3052="Sim",ROUND(F3052-D3052,2),0)),0)</f>
        <v/>
      </c>
      <c r="I3052" s="350">
        <f>IF(G3052="Sim",0,IF(OR(F3052="",L3052=""),"",F3052))</f>
        <v/>
      </c>
      <c r="J3052" s="350">
        <f>IF(G3052="Sim",0,IF(OR(F3052="",D3052="",L3052=""),"",IF(L3052="Sim",ROUND(F3052-D3052,2),0)))</f>
        <v/>
      </c>
      <c r="K3052" s="97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inlineStr">
        <is>
          <t>Nao</t>
        </is>
      </c>
      <c r="W3052" s="110" t="inlineStr">
        <is>
          <t>PC em analise</t>
        </is>
      </c>
      <c r="X3052" s="110" t="inlineStr">
        <is>
          <t>Pedido de Compra</t>
        </is>
      </c>
      <c r="Y3052" s="111" t="inlineStr">
        <is>
          <t>Impacto Potencial</t>
        </is>
      </c>
      <c r="Z3052" s="111" t="inlineStr">
        <is>
          <t>PC</t>
        </is>
      </c>
      <c r="AA3052" s="111" t="inlineStr">
        <is>
          <t>Nao</t>
        </is>
      </c>
      <c r="AB3052" s="111" t="inlineStr">
        <is>
          <t>NAO_COMPUTADO</t>
        </is>
      </c>
      <c r="AC3052" s="112" t="inlineStr">
        <is>
          <t>Estrutura Fase 1: sem impacto no VTA oficial</t>
        </is>
      </c>
    </row>
    <row r="3053" ht="25.5" customHeight="1" s="289">
      <c r="A3053" s="205" t="n"/>
      <c r="B3053" s="207" t="n"/>
      <c r="C3053" s="104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348" t="n"/>
      <c r="E3053" s="349">
        <f>IF(C3053="","",IFERROR(VLOOKUP(C3053,parametros!$A$11:$E$15,5,0),""))</f>
        <v/>
      </c>
      <c r="F3053" s="335">
        <f>IF(OR(D3053="",E3053=""),"",ROUND(D3053*E3053,2))</f>
        <v/>
      </c>
      <c r="G3053" s="106" t="n"/>
      <c r="H3053" s="350">
        <f>IF(G3053="Sim",IF(OR(F3053="",D3053="",L3053=""),"",IF(L3053="Sim",ROUND(F3053-D3053,2),0)),0)</f>
        <v/>
      </c>
      <c r="I3053" s="350">
        <f>IF(G3053="Sim",0,IF(OR(F3053="",L3053=""),"",F3053))</f>
        <v/>
      </c>
      <c r="J3053" s="350">
        <f>IF(G3053="Sim",0,IF(OR(F3053="",D3053="",L3053=""),"",IF(L3053="Sim",ROUND(F3053-D3053,2),0)))</f>
        <v/>
      </c>
      <c r="K3053" s="97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inlineStr">
        <is>
          <t>Nao</t>
        </is>
      </c>
      <c r="W3053" s="110" t="inlineStr">
        <is>
          <t>PC em analise</t>
        </is>
      </c>
      <c r="X3053" s="110" t="inlineStr">
        <is>
          <t>Pedido de Compra</t>
        </is>
      </c>
      <c r="Y3053" s="111" t="inlineStr">
        <is>
          <t>Impacto Potencial</t>
        </is>
      </c>
      <c r="Z3053" s="111" t="inlineStr">
        <is>
          <t>PC</t>
        </is>
      </c>
      <c r="AA3053" s="111" t="inlineStr">
        <is>
          <t>Nao</t>
        </is>
      </c>
      <c r="AB3053" s="111" t="inlineStr">
        <is>
          <t>NAO_COMPUTADO</t>
        </is>
      </c>
      <c r="AC3053" s="112" t="inlineStr">
        <is>
          <t>Estrutura Fase 1: sem impacto no VTA oficial</t>
        </is>
      </c>
    </row>
    <row r="3054" ht="25.5" customHeight="1" s="289">
      <c r="A3054" s="205" t="n"/>
      <c r="B3054" s="207" t="n"/>
      <c r="C3054" s="104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348" t="n"/>
      <c r="E3054" s="349">
        <f>IF(C3054="","",IFERROR(VLOOKUP(C3054,parametros!$A$11:$E$15,5,0),""))</f>
        <v/>
      </c>
      <c r="F3054" s="335">
        <f>IF(OR(D3054="",E3054=""),"",ROUND(D3054*E3054,2))</f>
        <v/>
      </c>
      <c r="G3054" s="106" t="n"/>
      <c r="H3054" s="350">
        <f>IF(G3054="Sim",IF(OR(F3054="",D3054="",L3054=""),"",IF(L3054="Sim",ROUND(F3054-D3054,2),0)),0)</f>
        <v/>
      </c>
      <c r="I3054" s="350">
        <f>IF(G3054="Sim",0,IF(OR(F3054="",L3054=""),"",F3054))</f>
        <v/>
      </c>
      <c r="J3054" s="350">
        <f>IF(G3054="Sim",0,IF(OR(F3054="",D3054="",L3054=""),"",IF(L3054="Sim",ROUND(F3054-D3054,2),0)))</f>
        <v/>
      </c>
      <c r="K3054" s="97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inlineStr">
        <is>
          <t>Nao</t>
        </is>
      </c>
      <c r="W3054" s="110" t="inlineStr">
        <is>
          <t>PC em analise</t>
        </is>
      </c>
      <c r="X3054" s="110" t="inlineStr">
        <is>
          <t>Pedido de Compra</t>
        </is>
      </c>
      <c r="Y3054" s="111" t="inlineStr">
        <is>
          <t>Impacto Potencial</t>
        </is>
      </c>
      <c r="Z3054" s="111" t="inlineStr">
        <is>
          <t>PC</t>
        </is>
      </c>
      <c r="AA3054" s="111" t="inlineStr">
        <is>
          <t>Nao</t>
        </is>
      </c>
      <c r="AB3054" s="111" t="inlineStr">
        <is>
          <t>NAO_COMPUTADO</t>
        </is>
      </c>
      <c r="AC3054" s="112" t="inlineStr">
        <is>
          <t>Estrutura Fase 1: sem impacto no VTA oficial</t>
        </is>
      </c>
    </row>
    <row r="3055" ht="25.5" customHeight="1" s="289">
      <c r="A3055" s="205" t="n"/>
      <c r="B3055" s="207" t="n"/>
      <c r="C3055" s="104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348" t="n"/>
      <c r="E3055" s="349">
        <f>IF(C3055="","",IFERROR(VLOOKUP(C3055,parametros!$A$11:$E$15,5,0),""))</f>
        <v/>
      </c>
      <c r="F3055" s="335">
        <f>IF(OR(D3055="",E3055=""),"",ROUND(D3055*E3055,2))</f>
        <v/>
      </c>
      <c r="G3055" s="106" t="n"/>
      <c r="H3055" s="350">
        <f>IF(G3055="Sim",IF(OR(F3055="",D3055="",L3055=""),"",IF(L3055="Sim",ROUND(F3055-D3055,2),0)),0)</f>
        <v/>
      </c>
      <c r="I3055" s="350">
        <f>IF(G3055="Sim",0,IF(OR(F3055="",L3055=""),"",F3055))</f>
        <v/>
      </c>
      <c r="J3055" s="350">
        <f>IF(G3055="Sim",0,IF(OR(F3055="",D3055="",L3055=""),"",IF(L3055="Sim",ROUND(F3055-D3055,2),0)))</f>
        <v/>
      </c>
      <c r="K3055" s="97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inlineStr">
        <is>
          <t>Nao</t>
        </is>
      </c>
      <c r="W3055" s="110" t="inlineStr">
        <is>
          <t>PC em analise</t>
        </is>
      </c>
      <c r="X3055" s="110" t="inlineStr">
        <is>
          <t>Pedido de Compra</t>
        </is>
      </c>
      <c r="Y3055" s="111" t="inlineStr">
        <is>
          <t>Impacto Potencial</t>
        </is>
      </c>
      <c r="Z3055" s="111" t="inlineStr">
        <is>
          <t>PC</t>
        </is>
      </c>
      <c r="AA3055" s="111" t="inlineStr">
        <is>
          <t>Nao</t>
        </is>
      </c>
      <c r="AB3055" s="111" t="inlineStr">
        <is>
          <t>NAO_COMPUTADO</t>
        </is>
      </c>
      <c r="AC3055" s="112" t="inlineStr">
        <is>
          <t>Estrutura Fase 1: sem impacto no VTA oficial</t>
        </is>
      </c>
    </row>
    <row r="3056" ht="25.5" customHeight="1" s="289">
      <c r="A3056" s="205" t="n"/>
      <c r="B3056" s="207" t="n"/>
      <c r="C3056" s="104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348" t="n"/>
      <c r="E3056" s="349">
        <f>IF(C3056="","",IFERROR(VLOOKUP(C3056,parametros!$A$11:$E$15,5,0),""))</f>
        <v/>
      </c>
      <c r="F3056" s="335">
        <f>IF(OR(D3056="",E3056=""),"",ROUND(D3056*E3056,2))</f>
        <v/>
      </c>
      <c r="G3056" s="106" t="n"/>
      <c r="H3056" s="350">
        <f>IF(G3056="Sim",IF(OR(F3056="",D3056="",L3056=""),"",IF(L3056="Sim",ROUND(F3056-D3056,2),0)),0)</f>
        <v/>
      </c>
      <c r="I3056" s="350">
        <f>IF(G3056="Sim",0,IF(OR(F3056="",L3056=""),"",F3056))</f>
        <v/>
      </c>
      <c r="J3056" s="350">
        <f>IF(G3056="Sim",0,IF(OR(F3056="",D3056="",L3056=""),"",IF(L3056="Sim",ROUND(F3056-D3056,2),0)))</f>
        <v/>
      </c>
      <c r="K3056" s="97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inlineStr">
        <is>
          <t>Nao</t>
        </is>
      </c>
      <c r="W3056" s="110" t="inlineStr">
        <is>
          <t>PC em analise</t>
        </is>
      </c>
      <c r="X3056" s="110" t="inlineStr">
        <is>
          <t>Pedido de Compra</t>
        </is>
      </c>
      <c r="Y3056" s="111" t="inlineStr">
        <is>
          <t>Impacto Potencial</t>
        </is>
      </c>
      <c r="Z3056" s="111" t="inlineStr">
        <is>
          <t>PC</t>
        </is>
      </c>
      <c r="AA3056" s="111" t="inlineStr">
        <is>
          <t>Nao</t>
        </is>
      </c>
      <c r="AB3056" s="111" t="inlineStr">
        <is>
          <t>NAO_COMPUTADO</t>
        </is>
      </c>
      <c r="AC3056" s="112" t="inlineStr">
        <is>
          <t>Estrutura Fase 1: sem impacto no VTA oficial</t>
        </is>
      </c>
    </row>
    <row r="3057" ht="25.5" customHeight="1" s="289">
      <c r="A3057" s="205" t="n"/>
      <c r="B3057" s="207" t="n"/>
      <c r="C3057" s="104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348" t="n"/>
      <c r="E3057" s="349">
        <f>IF(C3057="","",IFERROR(VLOOKUP(C3057,parametros!$A$11:$E$15,5,0),""))</f>
        <v/>
      </c>
      <c r="F3057" s="335">
        <f>IF(OR(D3057="",E3057=""),"",ROUND(D3057*E3057,2))</f>
        <v/>
      </c>
      <c r="G3057" s="106" t="n"/>
      <c r="H3057" s="350">
        <f>IF(G3057="Sim",IF(OR(F3057="",D3057="",L3057=""),"",IF(L3057="Sim",ROUND(F3057-D3057,2),0)),0)</f>
        <v/>
      </c>
      <c r="I3057" s="350">
        <f>IF(G3057="Sim",0,IF(OR(F3057="",L3057=""),"",F3057))</f>
        <v/>
      </c>
      <c r="J3057" s="350">
        <f>IF(G3057="Sim",0,IF(OR(F3057="",D3057="",L3057=""),"",IF(L3057="Sim",ROUND(F3057-D3057,2),0)))</f>
        <v/>
      </c>
      <c r="K3057" s="97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inlineStr">
        <is>
          <t>Nao</t>
        </is>
      </c>
      <c r="W3057" s="110" t="inlineStr">
        <is>
          <t>PC em analise</t>
        </is>
      </c>
      <c r="X3057" s="110" t="inlineStr">
        <is>
          <t>Pedido de Compra</t>
        </is>
      </c>
      <c r="Y3057" s="111" t="inlineStr">
        <is>
          <t>Impacto Potencial</t>
        </is>
      </c>
      <c r="Z3057" s="111" t="inlineStr">
        <is>
          <t>PC</t>
        </is>
      </c>
      <c r="AA3057" s="111" t="inlineStr">
        <is>
          <t>Nao</t>
        </is>
      </c>
      <c r="AB3057" s="111" t="inlineStr">
        <is>
          <t>NAO_COMPUTADO</t>
        </is>
      </c>
      <c r="AC3057" s="112" t="inlineStr">
        <is>
          <t>Estrutura Fase 1: sem impacto no VTA oficial</t>
        </is>
      </c>
    </row>
    <row r="3058" ht="25.5" customHeight="1" s="289">
      <c r="A3058" s="205" t="n"/>
      <c r="B3058" s="207" t="n"/>
      <c r="C3058" s="104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348" t="n"/>
      <c r="E3058" s="349">
        <f>IF(C3058="","",IFERROR(VLOOKUP(C3058,parametros!$A$11:$E$15,5,0),""))</f>
        <v/>
      </c>
      <c r="F3058" s="335">
        <f>IF(OR(D3058="",E3058=""),"",ROUND(D3058*E3058,2))</f>
        <v/>
      </c>
      <c r="G3058" s="106" t="n"/>
      <c r="H3058" s="350">
        <f>IF(G3058="Sim",IF(OR(F3058="",D3058="",L3058=""),"",IF(L3058="Sim",ROUND(F3058-D3058,2),0)),0)</f>
        <v/>
      </c>
      <c r="I3058" s="350">
        <f>IF(G3058="Sim",0,IF(OR(F3058="",L3058=""),"",F3058))</f>
        <v/>
      </c>
      <c r="J3058" s="350">
        <f>IF(G3058="Sim",0,IF(OR(F3058="",D3058="",L3058=""),"",IF(L3058="Sim",ROUND(F3058-D3058,2),0)))</f>
        <v/>
      </c>
      <c r="K3058" s="97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inlineStr">
        <is>
          <t>Nao</t>
        </is>
      </c>
      <c r="W3058" s="110" t="inlineStr">
        <is>
          <t>PC em analise</t>
        </is>
      </c>
      <c r="X3058" s="110" t="inlineStr">
        <is>
          <t>Pedido de Compra</t>
        </is>
      </c>
      <c r="Y3058" s="111" t="inlineStr">
        <is>
          <t>Impacto Potencial</t>
        </is>
      </c>
      <c r="Z3058" s="111" t="inlineStr">
        <is>
          <t>PC</t>
        </is>
      </c>
      <c r="AA3058" s="111" t="inlineStr">
        <is>
          <t>Nao</t>
        </is>
      </c>
      <c r="AB3058" s="111" t="inlineStr">
        <is>
          <t>NAO_COMPUTADO</t>
        </is>
      </c>
      <c r="AC3058" s="112" t="inlineStr">
        <is>
          <t>Estrutura Fase 1: sem impacto no VTA oficial</t>
        </is>
      </c>
    </row>
    <row r="3059" ht="25.5" customHeight="1" s="289">
      <c r="A3059" s="205" t="n"/>
      <c r="B3059" s="207" t="n"/>
      <c r="C3059" s="104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348" t="n"/>
      <c r="E3059" s="349">
        <f>IF(C3059="","",IFERROR(VLOOKUP(C3059,parametros!$A$11:$E$15,5,0),""))</f>
        <v/>
      </c>
      <c r="F3059" s="335">
        <f>IF(OR(D3059="",E3059=""),"",ROUND(D3059*E3059,2))</f>
        <v/>
      </c>
      <c r="G3059" s="106" t="n"/>
      <c r="H3059" s="350">
        <f>IF(G3059="Sim",IF(OR(F3059="",D3059="",L3059=""),"",IF(L3059="Sim",ROUND(F3059-D3059,2),0)),0)</f>
        <v/>
      </c>
      <c r="I3059" s="350">
        <f>IF(G3059="Sim",0,IF(OR(F3059="",L3059=""),"",F3059))</f>
        <v/>
      </c>
      <c r="J3059" s="350">
        <f>IF(G3059="Sim",0,IF(OR(F3059="",D3059="",L3059=""),"",IF(L3059="Sim",ROUND(F3059-D3059,2),0)))</f>
        <v/>
      </c>
      <c r="K3059" s="97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inlineStr">
        <is>
          <t>Nao</t>
        </is>
      </c>
      <c r="W3059" s="110" t="inlineStr">
        <is>
          <t>PC em analise</t>
        </is>
      </c>
      <c r="X3059" s="110" t="inlineStr">
        <is>
          <t>Pedido de Compra</t>
        </is>
      </c>
      <c r="Y3059" s="111" t="inlineStr">
        <is>
          <t>Impacto Potencial</t>
        </is>
      </c>
      <c r="Z3059" s="111" t="inlineStr">
        <is>
          <t>PC</t>
        </is>
      </c>
      <c r="AA3059" s="111" t="inlineStr">
        <is>
          <t>Nao</t>
        </is>
      </c>
      <c r="AB3059" s="111" t="inlineStr">
        <is>
          <t>NAO_COMPUTADO</t>
        </is>
      </c>
      <c r="AC3059" s="112" t="inlineStr">
        <is>
          <t>Estrutura Fase 1: sem impacto no VTA oficial</t>
        </is>
      </c>
    </row>
    <row r="3060" ht="25.5" customHeight="1" s="289">
      <c r="A3060" s="205" t="n"/>
      <c r="B3060" s="207" t="n"/>
      <c r="C3060" s="104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348" t="n"/>
      <c r="E3060" s="349">
        <f>IF(C3060="","",IFERROR(VLOOKUP(C3060,parametros!$A$11:$E$15,5,0),""))</f>
        <v/>
      </c>
      <c r="F3060" s="335">
        <f>IF(OR(D3060="",E3060=""),"",ROUND(D3060*E3060,2))</f>
        <v/>
      </c>
      <c r="G3060" s="106" t="n"/>
      <c r="H3060" s="350">
        <f>IF(G3060="Sim",IF(OR(F3060="",D3060="",L3060=""),"",IF(L3060="Sim",ROUND(F3060-D3060,2),0)),0)</f>
        <v/>
      </c>
      <c r="I3060" s="350">
        <f>IF(G3060="Sim",0,IF(OR(F3060="",L3060=""),"",F3060))</f>
        <v/>
      </c>
      <c r="J3060" s="350">
        <f>IF(G3060="Sim",0,IF(OR(F3060="",D3060="",L3060=""),"",IF(L3060="Sim",ROUND(F3060-D3060,2),0)))</f>
        <v/>
      </c>
      <c r="K3060" s="97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inlineStr">
        <is>
          <t>Nao</t>
        </is>
      </c>
      <c r="W3060" s="110" t="inlineStr">
        <is>
          <t>PC em analise</t>
        </is>
      </c>
      <c r="X3060" s="110" t="inlineStr">
        <is>
          <t>Pedido de Compra</t>
        </is>
      </c>
      <c r="Y3060" s="111" t="inlineStr">
        <is>
          <t>Impacto Potencial</t>
        </is>
      </c>
      <c r="Z3060" s="111" t="inlineStr">
        <is>
          <t>PC</t>
        </is>
      </c>
      <c r="AA3060" s="111" t="inlineStr">
        <is>
          <t>Nao</t>
        </is>
      </c>
      <c r="AB3060" s="111" t="inlineStr">
        <is>
          <t>NAO_COMPUTADO</t>
        </is>
      </c>
      <c r="AC3060" s="112" t="inlineStr">
        <is>
          <t>Estrutura Fase 1: sem impacto no VTA oficial</t>
        </is>
      </c>
    </row>
    <row r="3061" ht="25.5" customHeight="1" s="289">
      <c r="A3061" s="205" t="n"/>
      <c r="B3061" s="207" t="n"/>
      <c r="C3061" s="104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348" t="n"/>
      <c r="E3061" s="349">
        <f>IF(C3061="","",IFERROR(VLOOKUP(C3061,parametros!$A$11:$E$15,5,0),""))</f>
        <v/>
      </c>
      <c r="F3061" s="335">
        <f>IF(OR(D3061="",E3061=""),"",ROUND(D3061*E3061,2))</f>
        <v/>
      </c>
      <c r="G3061" s="106" t="n"/>
      <c r="H3061" s="350">
        <f>IF(G3061="Sim",IF(OR(F3061="",D3061="",L3061=""),"",IF(L3061="Sim",ROUND(F3061-D3061,2),0)),0)</f>
        <v/>
      </c>
      <c r="I3061" s="350">
        <f>IF(G3061="Sim",0,IF(OR(F3061="",L3061=""),"",F3061))</f>
        <v/>
      </c>
      <c r="J3061" s="350">
        <f>IF(G3061="Sim",0,IF(OR(F3061="",D3061="",L3061=""),"",IF(L3061="Sim",ROUND(F3061-D3061,2),0)))</f>
        <v/>
      </c>
      <c r="K3061" s="97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inlineStr">
        <is>
          <t>Nao</t>
        </is>
      </c>
      <c r="W3061" s="110" t="inlineStr">
        <is>
          <t>PC em analise</t>
        </is>
      </c>
      <c r="X3061" s="110" t="inlineStr">
        <is>
          <t>Pedido de Compra</t>
        </is>
      </c>
      <c r="Y3061" s="111" t="inlineStr">
        <is>
          <t>Impacto Potencial</t>
        </is>
      </c>
      <c r="Z3061" s="111" t="inlineStr">
        <is>
          <t>PC</t>
        </is>
      </c>
      <c r="AA3061" s="111" t="inlineStr">
        <is>
          <t>Nao</t>
        </is>
      </c>
      <c r="AB3061" s="111" t="inlineStr">
        <is>
          <t>NAO_COMPUTADO</t>
        </is>
      </c>
      <c r="AC3061" s="112" t="inlineStr">
        <is>
          <t>Estrutura Fase 1: sem impacto no VTA oficial</t>
        </is>
      </c>
    </row>
    <row r="3062" ht="25.5" customHeight="1" s="289">
      <c r="A3062" s="205" t="n"/>
      <c r="B3062" s="207" t="n"/>
      <c r="C3062" s="104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348" t="n"/>
      <c r="E3062" s="349">
        <f>IF(C3062="","",IFERROR(VLOOKUP(C3062,parametros!$A$11:$E$15,5,0),""))</f>
        <v/>
      </c>
      <c r="F3062" s="335">
        <f>IF(OR(D3062="",E3062=""),"",ROUND(D3062*E3062,2))</f>
        <v/>
      </c>
      <c r="G3062" s="106" t="n"/>
      <c r="H3062" s="350">
        <f>IF(G3062="Sim",IF(OR(F3062="",D3062="",L3062=""),"",IF(L3062="Sim",ROUND(F3062-D3062,2),0)),0)</f>
        <v/>
      </c>
      <c r="I3062" s="350">
        <f>IF(G3062="Sim",0,IF(OR(F3062="",L3062=""),"",F3062))</f>
        <v/>
      </c>
      <c r="J3062" s="350">
        <f>IF(G3062="Sim",0,IF(OR(F3062="",D3062="",L3062=""),"",IF(L3062="Sim",ROUND(F3062-D3062,2),0)))</f>
        <v/>
      </c>
      <c r="K3062" s="97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inlineStr">
        <is>
          <t>Nao</t>
        </is>
      </c>
      <c r="W3062" s="110" t="inlineStr">
        <is>
          <t>PC em analise</t>
        </is>
      </c>
      <c r="X3062" s="110" t="inlineStr">
        <is>
          <t>Pedido de Compra</t>
        </is>
      </c>
      <c r="Y3062" s="111" t="inlineStr">
        <is>
          <t>Impacto Potencial</t>
        </is>
      </c>
      <c r="Z3062" s="111" t="inlineStr">
        <is>
          <t>PC</t>
        </is>
      </c>
      <c r="AA3062" s="111" t="inlineStr">
        <is>
          <t>Nao</t>
        </is>
      </c>
      <c r="AB3062" s="111" t="inlineStr">
        <is>
          <t>NAO_COMPUTADO</t>
        </is>
      </c>
      <c r="AC3062" s="112" t="inlineStr">
        <is>
          <t>Estrutura Fase 1: sem impacto no VTA oficial</t>
        </is>
      </c>
    </row>
    <row r="3063" ht="25.5" customHeight="1" s="289">
      <c r="A3063" s="205" t="n"/>
      <c r="B3063" s="207" t="n"/>
      <c r="C3063" s="104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348" t="n"/>
      <c r="E3063" s="349">
        <f>IF(C3063="","",IFERROR(VLOOKUP(C3063,parametros!$A$11:$E$15,5,0),""))</f>
        <v/>
      </c>
      <c r="F3063" s="335">
        <f>IF(OR(D3063="",E3063=""),"",ROUND(D3063*E3063,2))</f>
        <v/>
      </c>
      <c r="G3063" s="106" t="n"/>
      <c r="H3063" s="350">
        <f>IF(G3063="Sim",IF(OR(F3063="",D3063="",L3063=""),"",IF(L3063="Sim",ROUND(F3063-D3063,2),0)),0)</f>
        <v/>
      </c>
      <c r="I3063" s="350">
        <f>IF(G3063="Sim",0,IF(OR(F3063="",L3063=""),"",F3063))</f>
        <v/>
      </c>
      <c r="J3063" s="350">
        <f>IF(G3063="Sim",0,IF(OR(F3063="",D3063="",L3063=""),"",IF(L3063="Sim",ROUND(F3063-D3063,2),0)))</f>
        <v/>
      </c>
      <c r="K3063" s="97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inlineStr">
        <is>
          <t>Nao</t>
        </is>
      </c>
      <c r="W3063" s="110" t="inlineStr">
        <is>
          <t>PC em analise</t>
        </is>
      </c>
      <c r="X3063" s="110" t="inlineStr">
        <is>
          <t>Pedido de Compra</t>
        </is>
      </c>
      <c r="Y3063" s="111" t="inlineStr">
        <is>
          <t>Impacto Potencial</t>
        </is>
      </c>
      <c r="Z3063" s="111" t="inlineStr">
        <is>
          <t>PC</t>
        </is>
      </c>
      <c r="AA3063" s="111" t="inlineStr">
        <is>
          <t>Nao</t>
        </is>
      </c>
      <c r="AB3063" s="111" t="inlineStr">
        <is>
          <t>NAO_COMPUTADO</t>
        </is>
      </c>
      <c r="AC3063" s="112" t="inlineStr">
        <is>
          <t>Estrutura Fase 1: sem impacto no VTA oficial</t>
        </is>
      </c>
    </row>
    <row r="3064" ht="25.5" customHeight="1" s="289">
      <c r="A3064" s="205" t="n"/>
      <c r="B3064" s="207" t="n"/>
      <c r="C3064" s="104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348" t="n"/>
      <c r="E3064" s="349">
        <f>IF(C3064="","",IFERROR(VLOOKUP(C3064,parametros!$A$11:$E$15,5,0),""))</f>
        <v/>
      </c>
      <c r="F3064" s="335">
        <f>IF(OR(D3064="",E3064=""),"",ROUND(D3064*E3064,2))</f>
        <v/>
      </c>
      <c r="G3064" s="106" t="n"/>
      <c r="H3064" s="350">
        <f>IF(G3064="Sim",IF(OR(F3064="",D3064="",L3064=""),"",IF(L3064="Sim",ROUND(F3064-D3064,2),0)),0)</f>
        <v/>
      </c>
      <c r="I3064" s="350">
        <f>IF(G3064="Sim",0,IF(OR(F3064="",L3064=""),"",F3064))</f>
        <v/>
      </c>
      <c r="J3064" s="350">
        <f>IF(G3064="Sim",0,IF(OR(F3064="",D3064="",L3064=""),"",IF(L3064="Sim",ROUND(F3064-D3064,2),0)))</f>
        <v/>
      </c>
      <c r="K3064" s="97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inlineStr">
        <is>
          <t>Nao</t>
        </is>
      </c>
      <c r="W3064" s="110" t="inlineStr">
        <is>
          <t>PC em analise</t>
        </is>
      </c>
      <c r="X3064" s="110" t="inlineStr">
        <is>
          <t>Pedido de Compra</t>
        </is>
      </c>
      <c r="Y3064" s="111" t="inlineStr">
        <is>
          <t>Impacto Potencial</t>
        </is>
      </c>
      <c r="Z3064" s="111" t="inlineStr">
        <is>
          <t>PC</t>
        </is>
      </c>
      <c r="AA3064" s="111" t="inlineStr">
        <is>
          <t>Nao</t>
        </is>
      </c>
      <c r="AB3064" s="111" t="inlineStr">
        <is>
          <t>NAO_COMPUTADO</t>
        </is>
      </c>
      <c r="AC3064" s="112" t="inlineStr">
        <is>
          <t>Estrutura Fase 1: sem impacto no VTA oficial</t>
        </is>
      </c>
    </row>
    <row r="3065" ht="25.5" customHeight="1" s="289">
      <c r="A3065" s="205" t="n"/>
      <c r="B3065" s="207" t="n"/>
      <c r="C3065" s="104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348" t="n"/>
      <c r="E3065" s="349">
        <f>IF(C3065="","",IFERROR(VLOOKUP(C3065,parametros!$A$11:$E$15,5,0),""))</f>
        <v/>
      </c>
      <c r="F3065" s="335">
        <f>IF(OR(D3065="",E3065=""),"",ROUND(D3065*E3065,2))</f>
        <v/>
      </c>
      <c r="G3065" s="106" t="n"/>
      <c r="H3065" s="350">
        <f>IF(G3065="Sim",IF(OR(F3065="",D3065="",L3065=""),"",IF(L3065="Sim",ROUND(F3065-D3065,2),0)),0)</f>
        <v/>
      </c>
      <c r="I3065" s="350">
        <f>IF(G3065="Sim",0,IF(OR(F3065="",L3065=""),"",F3065))</f>
        <v/>
      </c>
      <c r="J3065" s="350">
        <f>IF(G3065="Sim",0,IF(OR(F3065="",D3065="",L3065=""),"",IF(L3065="Sim",ROUND(F3065-D3065,2),0)))</f>
        <v/>
      </c>
      <c r="K3065" s="97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inlineStr">
        <is>
          <t>Nao</t>
        </is>
      </c>
      <c r="W3065" s="110" t="inlineStr">
        <is>
          <t>PC em analise</t>
        </is>
      </c>
      <c r="X3065" s="110" t="inlineStr">
        <is>
          <t>Pedido de Compra</t>
        </is>
      </c>
      <c r="Y3065" s="111" t="inlineStr">
        <is>
          <t>Impacto Potencial</t>
        </is>
      </c>
      <c r="Z3065" s="111" t="inlineStr">
        <is>
          <t>PC</t>
        </is>
      </c>
      <c r="AA3065" s="111" t="inlineStr">
        <is>
          <t>Nao</t>
        </is>
      </c>
      <c r="AB3065" s="111" t="inlineStr">
        <is>
          <t>NAO_COMPUTADO</t>
        </is>
      </c>
      <c r="AC3065" s="112" t="inlineStr">
        <is>
          <t>Estrutura Fase 1: sem impacto no VTA oficial</t>
        </is>
      </c>
    </row>
    <row r="3066" ht="25.5" customHeight="1" s="289">
      <c r="A3066" s="205" t="n"/>
      <c r="B3066" s="207" t="n"/>
      <c r="C3066" s="104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348" t="n"/>
      <c r="E3066" s="349">
        <f>IF(C3066="","",IFERROR(VLOOKUP(C3066,parametros!$A$11:$E$15,5,0),""))</f>
        <v/>
      </c>
      <c r="F3066" s="335">
        <f>IF(OR(D3066="",E3066=""),"",ROUND(D3066*E3066,2))</f>
        <v/>
      </c>
      <c r="G3066" s="106" t="n"/>
      <c r="H3066" s="350">
        <f>IF(G3066="Sim",IF(OR(F3066="",D3066="",L3066=""),"",IF(L3066="Sim",ROUND(F3066-D3066,2),0)),0)</f>
        <v/>
      </c>
      <c r="I3066" s="350">
        <f>IF(G3066="Sim",0,IF(OR(F3066="",L3066=""),"",F3066))</f>
        <v/>
      </c>
      <c r="J3066" s="350">
        <f>IF(G3066="Sim",0,IF(OR(F3066="",D3066="",L3066=""),"",IF(L3066="Sim",ROUND(F3066-D3066,2),0)))</f>
        <v/>
      </c>
      <c r="K3066" s="97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inlineStr">
        <is>
          <t>Nao</t>
        </is>
      </c>
      <c r="W3066" s="110" t="inlineStr">
        <is>
          <t>PC em analise</t>
        </is>
      </c>
      <c r="X3066" s="110" t="inlineStr">
        <is>
          <t>Pedido de Compra</t>
        </is>
      </c>
      <c r="Y3066" s="111" t="inlineStr">
        <is>
          <t>Impacto Potencial</t>
        </is>
      </c>
      <c r="Z3066" s="111" t="inlineStr">
        <is>
          <t>PC</t>
        </is>
      </c>
      <c r="AA3066" s="111" t="inlineStr">
        <is>
          <t>Nao</t>
        </is>
      </c>
      <c r="AB3066" s="111" t="inlineStr">
        <is>
          <t>NAO_COMPUTADO</t>
        </is>
      </c>
      <c r="AC3066" s="112" t="inlineStr">
        <is>
          <t>Estrutura Fase 1: sem impacto no VTA oficial</t>
        </is>
      </c>
    </row>
    <row r="3067" ht="25.5" customHeight="1" s="289">
      <c r="A3067" s="205" t="n"/>
      <c r="B3067" s="207" t="n"/>
      <c r="C3067" s="104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348" t="n"/>
      <c r="E3067" s="349">
        <f>IF(C3067="","",IFERROR(VLOOKUP(C3067,parametros!$A$11:$E$15,5,0),""))</f>
        <v/>
      </c>
      <c r="F3067" s="335">
        <f>IF(OR(D3067="",E3067=""),"",ROUND(D3067*E3067,2))</f>
        <v/>
      </c>
      <c r="G3067" s="106" t="n"/>
      <c r="H3067" s="350">
        <f>IF(G3067="Sim",IF(OR(F3067="",D3067="",L3067=""),"",IF(L3067="Sim",ROUND(F3067-D3067,2),0)),0)</f>
        <v/>
      </c>
      <c r="I3067" s="350">
        <f>IF(G3067="Sim",0,IF(OR(F3067="",L3067=""),"",F3067))</f>
        <v/>
      </c>
      <c r="J3067" s="350">
        <f>IF(G3067="Sim",0,IF(OR(F3067="",D3067="",L3067=""),"",IF(L3067="Sim",ROUND(F3067-D3067,2),0)))</f>
        <v/>
      </c>
      <c r="K3067" s="97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inlineStr">
        <is>
          <t>Nao</t>
        </is>
      </c>
      <c r="W3067" s="110" t="inlineStr">
        <is>
          <t>PC em analise</t>
        </is>
      </c>
      <c r="X3067" s="110" t="inlineStr">
        <is>
          <t>Pedido de Compra</t>
        </is>
      </c>
      <c r="Y3067" s="111" t="inlineStr">
        <is>
          <t>Impacto Potencial</t>
        </is>
      </c>
      <c r="Z3067" s="111" t="inlineStr">
        <is>
          <t>PC</t>
        </is>
      </c>
      <c r="AA3067" s="111" t="inlineStr">
        <is>
          <t>Nao</t>
        </is>
      </c>
      <c r="AB3067" s="111" t="inlineStr">
        <is>
          <t>NAO_COMPUTADO</t>
        </is>
      </c>
      <c r="AC3067" s="112" t="inlineStr">
        <is>
          <t>Estrutura Fase 1: sem impacto no VTA oficial</t>
        </is>
      </c>
    </row>
    <row r="3068" ht="25.5" customHeight="1" s="289">
      <c r="A3068" s="205" t="n"/>
      <c r="B3068" s="207" t="n"/>
      <c r="C3068" s="104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348" t="n"/>
      <c r="E3068" s="349">
        <f>IF(C3068="","",IFERROR(VLOOKUP(C3068,parametros!$A$11:$E$15,5,0),""))</f>
        <v/>
      </c>
      <c r="F3068" s="335">
        <f>IF(OR(D3068="",E3068=""),"",ROUND(D3068*E3068,2))</f>
        <v/>
      </c>
      <c r="G3068" s="106" t="n"/>
      <c r="H3068" s="350">
        <f>IF(G3068="Sim",IF(OR(F3068="",D3068="",L3068=""),"",IF(L3068="Sim",ROUND(F3068-D3068,2),0)),0)</f>
        <v/>
      </c>
      <c r="I3068" s="350">
        <f>IF(G3068="Sim",0,IF(OR(F3068="",L3068=""),"",F3068))</f>
        <v/>
      </c>
      <c r="J3068" s="350">
        <f>IF(G3068="Sim",0,IF(OR(F3068="",D3068="",L3068=""),"",IF(L3068="Sim",ROUND(F3068-D3068,2),0)))</f>
        <v/>
      </c>
      <c r="K3068" s="97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inlineStr">
        <is>
          <t>Nao</t>
        </is>
      </c>
      <c r="W3068" s="110" t="inlineStr">
        <is>
          <t>PC em analise</t>
        </is>
      </c>
      <c r="X3068" s="110" t="inlineStr">
        <is>
          <t>Pedido de Compra</t>
        </is>
      </c>
      <c r="Y3068" s="111" t="inlineStr">
        <is>
          <t>Impacto Potencial</t>
        </is>
      </c>
      <c r="Z3068" s="111" t="inlineStr">
        <is>
          <t>PC</t>
        </is>
      </c>
      <c r="AA3068" s="111" t="inlineStr">
        <is>
          <t>Nao</t>
        </is>
      </c>
      <c r="AB3068" s="111" t="inlineStr">
        <is>
          <t>NAO_COMPUTADO</t>
        </is>
      </c>
      <c r="AC3068" s="112" t="inlineStr">
        <is>
          <t>Estrutura Fase 1: sem impacto no VTA oficial</t>
        </is>
      </c>
    </row>
    <row r="3069" ht="25.5" customHeight="1" s="289">
      <c r="A3069" s="205" t="n"/>
      <c r="B3069" s="207" t="n"/>
      <c r="C3069" s="104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348" t="n"/>
      <c r="E3069" s="349">
        <f>IF(C3069="","",IFERROR(VLOOKUP(C3069,parametros!$A$11:$E$15,5,0),""))</f>
        <v/>
      </c>
      <c r="F3069" s="335">
        <f>IF(OR(D3069="",E3069=""),"",ROUND(D3069*E3069,2))</f>
        <v/>
      </c>
      <c r="G3069" s="106" t="n"/>
      <c r="H3069" s="350">
        <f>IF(G3069="Sim",IF(OR(F3069="",D3069="",L3069=""),"",IF(L3069="Sim",ROUND(F3069-D3069,2),0)),0)</f>
        <v/>
      </c>
      <c r="I3069" s="350">
        <f>IF(G3069="Sim",0,IF(OR(F3069="",L3069=""),"",F3069))</f>
        <v/>
      </c>
      <c r="J3069" s="350">
        <f>IF(G3069="Sim",0,IF(OR(F3069="",D3069="",L3069=""),"",IF(L3069="Sim",ROUND(F3069-D3069,2),0)))</f>
        <v/>
      </c>
      <c r="K3069" s="97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inlineStr">
        <is>
          <t>Nao</t>
        </is>
      </c>
      <c r="W3069" s="110" t="inlineStr">
        <is>
          <t>PC em analise</t>
        </is>
      </c>
      <c r="X3069" s="110" t="inlineStr">
        <is>
          <t>Pedido de Compra</t>
        </is>
      </c>
      <c r="Y3069" s="111" t="inlineStr">
        <is>
          <t>Impacto Potencial</t>
        </is>
      </c>
      <c r="Z3069" s="111" t="inlineStr">
        <is>
          <t>PC</t>
        </is>
      </c>
      <c r="AA3069" s="111" t="inlineStr">
        <is>
          <t>Nao</t>
        </is>
      </c>
      <c r="AB3069" s="111" t="inlineStr">
        <is>
          <t>NAO_COMPUTADO</t>
        </is>
      </c>
      <c r="AC3069" s="112" t="inlineStr">
        <is>
          <t>Estrutura Fase 1: sem impacto no VTA oficial</t>
        </is>
      </c>
    </row>
    <row r="3070" ht="25.5" customHeight="1" s="289">
      <c r="A3070" s="205" t="n"/>
      <c r="B3070" s="207" t="n"/>
      <c r="C3070" s="104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348" t="n"/>
      <c r="E3070" s="349">
        <f>IF(C3070="","",IFERROR(VLOOKUP(C3070,parametros!$A$11:$E$15,5,0),""))</f>
        <v/>
      </c>
      <c r="F3070" s="335">
        <f>IF(OR(D3070="",E3070=""),"",ROUND(D3070*E3070,2))</f>
        <v/>
      </c>
      <c r="G3070" s="106" t="n"/>
      <c r="H3070" s="350">
        <f>IF(G3070="Sim",IF(OR(F3070="",D3070="",L3070=""),"",IF(L3070="Sim",ROUND(F3070-D3070,2),0)),0)</f>
        <v/>
      </c>
      <c r="I3070" s="350">
        <f>IF(G3070="Sim",0,IF(OR(F3070="",L3070=""),"",F3070))</f>
        <v/>
      </c>
      <c r="J3070" s="350">
        <f>IF(G3070="Sim",0,IF(OR(F3070="",D3070="",L3070=""),"",IF(L3070="Sim",ROUND(F3070-D3070,2),0)))</f>
        <v/>
      </c>
      <c r="K3070" s="97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inlineStr">
        <is>
          <t>Nao</t>
        </is>
      </c>
      <c r="W3070" s="110" t="inlineStr">
        <is>
          <t>PC em analise</t>
        </is>
      </c>
      <c r="X3070" s="110" t="inlineStr">
        <is>
          <t>Pedido de Compra</t>
        </is>
      </c>
      <c r="Y3070" s="111" t="inlineStr">
        <is>
          <t>Impacto Potencial</t>
        </is>
      </c>
      <c r="Z3070" s="111" t="inlineStr">
        <is>
          <t>PC</t>
        </is>
      </c>
      <c r="AA3070" s="111" t="inlineStr">
        <is>
          <t>Nao</t>
        </is>
      </c>
      <c r="AB3070" s="111" t="inlineStr">
        <is>
          <t>NAO_COMPUTADO</t>
        </is>
      </c>
      <c r="AC3070" s="112" t="inlineStr">
        <is>
          <t>Estrutura Fase 1: sem impacto no VTA oficial</t>
        </is>
      </c>
    </row>
    <row r="3071" ht="25.5" customHeight="1" s="289">
      <c r="A3071" s="205" t="n"/>
      <c r="B3071" s="207" t="n"/>
      <c r="C3071" s="104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348" t="n"/>
      <c r="E3071" s="349">
        <f>IF(C3071="","",IFERROR(VLOOKUP(C3071,parametros!$A$11:$E$15,5,0),""))</f>
        <v/>
      </c>
      <c r="F3071" s="335">
        <f>IF(OR(D3071="",E3071=""),"",ROUND(D3071*E3071,2))</f>
        <v/>
      </c>
      <c r="G3071" s="106" t="n"/>
      <c r="H3071" s="350">
        <f>IF(G3071="Sim",IF(OR(F3071="",D3071="",L3071=""),"",IF(L3071="Sim",ROUND(F3071-D3071,2),0)),0)</f>
        <v/>
      </c>
      <c r="I3071" s="350">
        <f>IF(G3071="Sim",0,IF(OR(F3071="",L3071=""),"",F3071))</f>
        <v/>
      </c>
      <c r="J3071" s="350">
        <f>IF(G3071="Sim",0,IF(OR(F3071="",D3071="",L3071=""),"",IF(L3071="Sim",ROUND(F3071-D3071,2),0)))</f>
        <v/>
      </c>
      <c r="K3071" s="97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inlineStr">
        <is>
          <t>Nao</t>
        </is>
      </c>
      <c r="W3071" s="110" t="inlineStr">
        <is>
          <t>PC em analise</t>
        </is>
      </c>
      <c r="X3071" s="110" t="inlineStr">
        <is>
          <t>Pedido de Compra</t>
        </is>
      </c>
      <c r="Y3071" s="111" t="inlineStr">
        <is>
          <t>Impacto Potencial</t>
        </is>
      </c>
      <c r="Z3071" s="111" t="inlineStr">
        <is>
          <t>PC</t>
        </is>
      </c>
      <c r="AA3071" s="111" t="inlineStr">
        <is>
          <t>Nao</t>
        </is>
      </c>
      <c r="AB3071" s="111" t="inlineStr">
        <is>
          <t>NAO_COMPUTADO</t>
        </is>
      </c>
      <c r="AC3071" s="112" t="inlineStr">
        <is>
          <t>Estrutura Fase 1: sem impacto no VTA oficial</t>
        </is>
      </c>
    </row>
    <row r="3072" ht="25.5" customHeight="1" s="289">
      <c r="A3072" s="205" t="n"/>
      <c r="B3072" s="207" t="n"/>
      <c r="C3072" s="104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348" t="n"/>
      <c r="E3072" s="349">
        <f>IF(C3072="","",IFERROR(VLOOKUP(C3072,parametros!$A$11:$E$15,5,0),""))</f>
        <v/>
      </c>
      <c r="F3072" s="335">
        <f>IF(OR(D3072="",E3072=""),"",ROUND(D3072*E3072,2))</f>
        <v/>
      </c>
      <c r="G3072" s="106" t="n"/>
      <c r="H3072" s="350">
        <f>IF(G3072="Sim",IF(OR(F3072="",D3072="",L3072=""),"",IF(L3072="Sim",ROUND(F3072-D3072,2),0)),0)</f>
        <v/>
      </c>
      <c r="I3072" s="350">
        <f>IF(G3072="Sim",0,IF(OR(F3072="",L3072=""),"",F3072))</f>
        <v/>
      </c>
      <c r="J3072" s="350">
        <f>IF(G3072="Sim",0,IF(OR(F3072="",D3072="",L3072=""),"",IF(L3072="Sim",ROUND(F3072-D3072,2),0)))</f>
        <v/>
      </c>
      <c r="K3072" s="97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inlineStr">
        <is>
          <t>Nao</t>
        </is>
      </c>
      <c r="W3072" s="110" t="inlineStr">
        <is>
          <t>PC em analise</t>
        </is>
      </c>
      <c r="X3072" s="110" t="inlineStr">
        <is>
          <t>Pedido de Compra</t>
        </is>
      </c>
      <c r="Y3072" s="111" t="inlineStr">
        <is>
          <t>Impacto Potencial</t>
        </is>
      </c>
      <c r="Z3072" s="111" t="inlineStr">
        <is>
          <t>PC</t>
        </is>
      </c>
      <c r="AA3072" s="111" t="inlineStr">
        <is>
          <t>Nao</t>
        </is>
      </c>
      <c r="AB3072" s="111" t="inlineStr">
        <is>
          <t>NAO_COMPUTADO</t>
        </is>
      </c>
      <c r="AC3072" s="112" t="inlineStr">
        <is>
          <t>Estrutura Fase 1: sem impacto no VTA oficial</t>
        </is>
      </c>
    </row>
    <row r="3073" ht="25.5" customHeight="1" s="289">
      <c r="A3073" s="205" t="n"/>
      <c r="B3073" s="207" t="n"/>
      <c r="C3073" s="104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348" t="n"/>
      <c r="E3073" s="349">
        <f>IF(C3073="","",IFERROR(VLOOKUP(C3073,parametros!$A$11:$E$15,5,0),""))</f>
        <v/>
      </c>
      <c r="F3073" s="335">
        <f>IF(OR(D3073="",E3073=""),"",ROUND(D3073*E3073,2))</f>
        <v/>
      </c>
      <c r="G3073" s="106" t="n"/>
      <c r="H3073" s="350">
        <f>IF(G3073="Sim",IF(OR(F3073="",D3073="",L3073=""),"",IF(L3073="Sim",ROUND(F3073-D3073,2),0)),0)</f>
        <v/>
      </c>
      <c r="I3073" s="350">
        <f>IF(G3073="Sim",0,IF(OR(F3073="",L3073=""),"",F3073))</f>
        <v/>
      </c>
      <c r="J3073" s="350">
        <f>IF(G3073="Sim",0,IF(OR(F3073="",D3073="",L3073=""),"",IF(L3073="Sim",ROUND(F3073-D3073,2),0)))</f>
        <v/>
      </c>
      <c r="K3073" s="97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inlineStr">
        <is>
          <t>Nao</t>
        </is>
      </c>
      <c r="W3073" s="110" t="inlineStr">
        <is>
          <t>PC em analise</t>
        </is>
      </c>
      <c r="X3073" s="110" t="inlineStr">
        <is>
          <t>Pedido de Compra</t>
        </is>
      </c>
      <c r="Y3073" s="111" t="inlineStr">
        <is>
          <t>Impacto Potencial</t>
        </is>
      </c>
      <c r="Z3073" s="111" t="inlineStr">
        <is>
          <t>PC</t>
        </is>
      </c>
      <c r="AA3073" s="111" t="inlineStr">
        <is>
          <t>Nao</t>
        </is>
      </c>
      <c r="AB3073" s="111" t="inlineStr">
        <is>
          <t>NAO_COMPUTADO</t>
        </is>
      </c>
      <c r="AC3073" s="112" t="inlineStr">
        <is>
          <t>Estrutura Fase 1: sem impacto no VTA oficial</t>
        </is>
      </c>
    </row>
    <row r="3074" ht="25.5" customHeight="1" s="289">
      <c r="A3074" s="205" t="n"/>
      <c r="B3074" s="207" t="n"/>
      <c r="C3074" s="104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348" t="n"/>
      <c r="E3074" s="349">
        <f>IF(C3074="","",IFERROR(VLOOKUP(C3074,parametros!$A$11:$E$15,5,0),""))</f>
        <v/>
      </c>
      <c r="F3074" s="335">
        <f>IF(OR(D3074="",E3074=""),"",ROUND(D3074*E3074,2))</f>
        <v/>
      </c>
      <c r="G3074" s="106" t="n"/>
      <c r="H3074" s="350">
        <f>IF(G3074="Sim",IF(OR(F3074="",D3074="",L3074=""),"",IF(L3074="Sim",ROUND(F3074-D3074,2),0)),0)</f>
        <v/>
      </c>
      <c r="I3074" s="350">
        <f>IF(G3074="Sim",0,IF(OR(F3074="",L3074=""),"",F3074))</f>
        <v/>
      </c>
      <c r="J3074" s="350">
        <f>IF(G3074="Sim",0,IF(OR(F3074="",D3074="",L3074=""),"",IF(L3074="Sim",ROUND(F3074-D3074,2),0)))</f>
        <v/>
      </c>
      <c r="K3074" s="97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inlineStr">
        <is>
          <t>Nao</t>
        </is>
      </c>
      <c r="W3074" s="110" t="inlineStr">
        <is>
          <t>PC em analise</t>
        </is>
      </c>
      <c r="X3074" s="110" t="inlineStr">
        <is>
          <t>Pedido de Compra</t>
        </is>
      </c>
      <c r="Y3074" s="111" t="inlineStr">
        <is>
          <t>Impacto Potencial</t>
        </is>
      </c>
      <c r="Z3074" s="111" t="inlineStr">
        <is>
          <t>PC</t>
        </is>
      </c>
      <c r="AA3074" s="111" t="inlineStr">
        <is>
          <t>Nao</t>
        </is>
      </c>
      <c r="AB3074" s="111" t="inlineStr">
        <is>
          <t>NAO_COMPUTADO</t>
        </is>
      </c>
      <c r="AC3074" s="112" t="inlineStr">
        <is>
          <t>Estrutura Fase 1: sem impacto no VTA oficial</t>
        </is>
      </c>
    </row>
    <row r="3075" ht="25.5" customHeight="1" s="289">
      <c r="A3075" s="205" t="n"/>
      <c r="B3075" s="207" t="n"/>
      <c r="C3075" s="104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348" t="n"/>
      <c r="E3075" s="349">
        <f>IF(C3075="","",IFERROR(VLOOKUP(C3075,parametros!$A$11:$E$15,5,0),""))</f>
        <v/>
      </c>
      <c r="F3075" s="335">
        <f>IF(OR(D3075="",E3075=""),"",ROUND(D3075*E3075,2))</f>
        <v/>
      </c>
      <c r="G3075" s="106" t="n"/>
      <c r="H3075" s="350">
        <f>IF(G3075="Sim",IF(OR(F3075="",D3075="",L3075=""),"",IF(L3075="Sim",ROUND(F3075-D3075,2),0)),0)</f>
        <v/>
      </c>
      <c r="I3075" s="350">
        <f>IF(G3075="Sim",0,IF(OR(F3075="",L3075=""),"",F3075))</f>
        <v/>
      </c>
      <c r="J3075" s="350">
        <f>IF(G3075="Sim",0,IF(OR(F3075="",D3075="",L3075=""),"",IF(L3075="Sim",ROUND(F3075-D3075,2),0)))</f>
        <v/>
      </c>
      <c r="K3075" s="97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inlineStr">
        <is>
          <t>Nao</t>
        </is>
      </c>
      <c r="W3075" s="110" t="inlineStr">
        <is>
          <t>PC em analise</t>
        </is>
      </c>
      <c r="X3075" s="110" t="inlineStr">
        <is>
          <t>Pedido de Compra</t>
        </is>
      </c>
      <c r="Y3075" s="111" t="inlineStr">
        <is>
          <t>Impacto Potencial</t>
        </is>
      </c>
      <c r="Z3075" s="111" t="inlineStr">
        <is>
          <t>PC</t>
        </is>
      </c>
      <c r="AA3075" s="111" t="inlineStr">
        <is>
          <t>Nao</t>
        </is>
      </c>
      <c r="AB3075" s="111" t="inlineStr">
        <is>
          <t>NAO_COMPUTADO</t>
        </is>
      </c>
      <c r="AC3075" s="112" t="inlineStr">
        <is>
          <t>Estrutura Fase 1: sem impacto no VTA oficial</t>
        </is>
      </c>
    </row>
    <row r="3076" ht="25.5" customHeight="1" s="289">
      <c r="A3076" s="205" t="n"/>
      <c r="B3076" s="207" t="n"/>
      <c r="C3076" s="104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348" t="n"/>
      <c r="E3076" s="349">
        <f>IF(C3076="","",IFERROR(VLOOKUP(C3076,parametros!$A$11:$E$15,5,0),""))</f>
        <v/>
      </c>
      <c r="F3076" s="335">
        <f>IF(OR(D3076="",E3076=""),"",ROUND(D3076*E3076,2))</f>
        <v/>
      </c>
      <c r="G3076" s="106" t="n"/>
      <c r="H3076" s="350">
        <f>IF(G3076="Sim",IF(OR(F3076="",D3076="",L3076=""),"",IF(L3076="Sim",ROUND(F3076-D3076,2),0)),0)</f>
        <v/>
      </c>
      <c r="I3076" s="350">
        <f>IF(G3076="Sim",0,IF(OR(F3076="",L3076=""),"",F3076))</f>
        <v/>
      </c>
      <c r="J3076" s="350">
        <f>IF(G3076="Sim",0,IF(OR(F3076="",D3076="",L3076=""),"",IF(L3076="Sim",ROUND(F3076-D3076,2),0)))</f>
        <v/>
      </c>
      <c r="K3076" s="97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inlineStr">
        <is>
          <t>Nao</t>
        </is>
      </c>
      <c r="W3076" s="110" t="inlineStr">
        <is>
          <t>PC em analise</t>
        </is>
      </c>
      <c r="X3076" s="110" t="inlineStr">
        <is>
          <t>Pedido de Compra</t>
        </is>
      </c>
      <c r="Y3076" s="111" t="inlineStr">
        <is>
          <t>Impacto Potencial</t>
        </is>
      </c>
      <c r="Z3076" s="111" t="inlineStr">
        <is>
          <t>PC</t>
        </is>
      </c>
      <c r="AA3076" s="111" t="inlineStr">
        <is>
          <t>Nao</t>
        </is>
      </c>
      <c r="AB3076" s="111" t="inlineStr">
        <is>
          <t>NAO_COMPUTADO</t>
        </is>
      </c>
      <c r="AC3076" s="112" t="inlineStr">
        <is>
          <t>Estrutura Fase 1: sem impacto no VTA oficial</t>
        </is>
      </c>
    </row>
    <row r="3077" ht="25.5" customHeight="1" s="289">
      <c r="A3077" s="205" t="n"/>
      <c r="B3077" s="207" t="n"/>
      <c r="C3077" s="104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348" t="n"/>
      <c r="E3077" s="349">
        <f>IF(C3077="","",IFERROR(VLOOKUP(C3077,parametros!$A$11:$E$15,5,0),""))</f>
        <v/>
      </c>
      <c r="F3077" s="335">
        <f>IF(OR(D3077="",E3077=""),"",ROUND(D3077*E3077,2))</f>
        <v/>
      </c>
      <c r="G3077" s="106" t="n"/>
      <c r="H3077" s="350">
        <f>IF(G3077="Sim",IF(OR(F3077="",D3077="",L3077=""),"",IF(L3077="Sim",ROUND(F3077-D3077,2),0)),0)</f>
        <v/>
      </c>
      <c r="I3077" s="350">
        <f>IF(G3077="Sim",0,IF(OR(F3077="",L3077=""),"",F3077))</f>
        <v/>
      </c>
      <c r="J3077" s="350">
        <f>IF(G3077="Sim",0,IF(OR(F3077="",D3077="",L3077=""),"",IF(L3077="Sim",ROUND(F3077-D3077,2),0)))</f>
        <v/>
      </c>
      <c r="K3077" s="97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inlineStr">
        <is>
          <t>Nao</t>
        </is>
      </c>
      <c r="W3077" s="110" t="inlineStr">
        <is>
          <t>PC em analise</t>
        </is>
      </c>
      <c r="X3077" s="110" t="inlineStr">
        <is>
          <t>Pedido de Compra</t>
        </is>
      </c>
      <c r="Y3077" s="111" t="inlineStr">
        <is>
          <t>Impacto Potencial</t>
        </is>
      </c>
      <c r="Z3077" s="111" t="inlineStr">
        <is>
          <t>PC</t>
        </is>
      </c>
      <c r="AA3077" s="111" t="inlineStr">
        <is>
          <t>Nao</t>
        </is>
      </c>
      <c r="AB3077" s="111" t="inlineStr">
        <is>
          <t>NAO_COMPUTADO</t>
        </is>
      </c>
      <c r="AC3077" s="112" t="inlineStr">
        <is>
          <t>Estrutura Fase 1: sem impacto no VTA oficial</t>
        </is>
      </c>
    </row>
    <row r="3078" ht="25.5" customHeight="1" s="289">
      <c r="A3078" s="205" t="n"/>
      <c r="B3078" s="207" t="n"/>
      <c r="C3078" s="104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348" t="n"/>
      <c r="E3078" s="349">
        <f>IF(C3078="","",IFERROR(VLOOKUP(C3078,parametros!$A$11:$E$15,5,0),""))</f>
        <v/>
      </c>
      <c r="F3078" s="335">
        <f>IF(OR(D3078="",E3078=""),"",ROUND(D3078*E3078,2))</f>
        <v/>
      </c>
      <c r="G3078" s="106" t="n"/>
      <c r="H3078" s="350">
        <f>IF(G3078="Sim",IF(OR(F3078="",D3078="",L3078=""),"",IF(L3078="Sim",ROUND(F3078-D3078,2),0)),0)</f>
        <v/>
      </c>
      <c r="I3078" s="350">
        <f>IF(G3078="Sim",0,IF(OR(F3078="",L3078=""),"",F3078))</f>
        <v/>
      </c>
      <c r="J3078" s="350">
        <f>IF(G3078="Sim",0,IF(OR(F3078="",D3078="",L3078=""),"",IF(L3078="Sim",ROUND(F3078-D3078,2),0)))</f>
        <v/>
      </c>
      <c r="K3078" s="97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inlineStr">
        <is>
          <t>Nao</t>
        </is>
      </c>
      <c r="W3078" s="110" t="inlineStr">
        <is>
          <t>PC em analise</t>
        </is>
      </c>
      <c r="X3078" s="110" t="inlineStr">
        <is>
          <t>Pedido de Compra</t>
        </is>
      </c>
      <c r="Y3078" s="111" t="inlineStr">
        <is>
          <t>Impacto Potencial</t>
        </is>
      </c>
      <c r="Z3078" s="111" t="inlineStr">
        <is>
          <t>PC</t>
        </is>
      </c>
      <c r="AA3078" s="111" t="inlineStr">
        <is>
          <t>Nao</t>
        </is>
      </c>
      <c r="AB3078" s="111" t="inlineStr">
        <is>
          <t>NAO_COMPUTADO</t>
        </is>
      </c>
      <c r="AC3078" s="112" t="inlineStr">
        <is>
          <t>Estrutura Fase 1: sem impacto no VTA oficial</t>
        </is>
      </c>
    </row>
    <row r="3079" ht="25.5" customHeight="1" s="289">
      <c r="A3079" s="205" t="n"/>
      <c r="B3079" s="207" t="n"/>
      <c r="C3079" s="104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348" t="n"/>
      <c r="E3079" s="349">
        <f>IF(C3079="","",IFERROR(VLOOKUP(C3079,parametros!$A$11:$E$15,5,0),""))</f>
        <v/>
      </c>
      <c r="F3079" s="335">
        <f>IF(OR(D3079="",E3079=""),"",ROUND(D3079*E3079,2))</f>
        <v/>
      </c>
      <c r="G3079" s="106" t="n"/>
      <c r="H3079" s="350">
        <f>IF(G3079="Sim",IF(OR(F3079="",D3079="",L3079=""),"",IF(L3079="Sim",ROUND(F3079-D3079,2),0)),0)</f>
        <v/>
      </c>
      <c r="I3079" s="350">
        <f>IF(G3079="Sim",0,IF(OR(F3079="",L3079=""),"",F3079))</f>
        <v/>
      </c>
      <c r="J3079" s="350">
        <f>IF(G3079="Sim",0,IF(OR(F3079="",D3079="",L3079=""),"",IF(L3079="Sim",ROUND(F3079-D3079,2),0)))</f>
        <v/>
      </c>
      <c r="K3079" s="97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inlineStr">
        <is>
          <t>Nao</t>
        </is>
      </c>
      <c r="W3079" s="110" t="inlineStr">
        <is>
          <t>PC em analise</t>
        </is>
      </c>
      <c r="X3079" s="110" t="inlineStr">
        <is>
          <t>Pedido de Compra</t>
        </is>
      </c>
      <c r="Y3079" s="111" t="inlineStr">
        <is>
          <t>Impacto Potencial</t>
        </is>
      </c>
      <c r="Z3079" s="111" t="inlineStr">
        <is>
          <t>PC</t>
        </is>
      </c>
      <c r="AA3079" s="111" t="inlineStr">
        <is>
          <t>Nao</t>
        </is>
      </c>
      <c r="AB3079" s="111" t="inlineStr">
        <is>
          <t>NAO_COMPUTADO</t>
        </is>
      </c>
      <c r="AC3079" s="112" t="inlineStr">
        <is>
          <t>Estrutura Fase 1: sem impacto no VTA oficial</t>
        </is>
      </c>
    </row>
    <row r="3080" ht="25.5" customHeight="1" s="289">
      <c r="A3080" s="205" t="n"/>
      <c r="B3080" s="207" t="n"/>
      <c r="C3080" s="104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348" t="n"/>
      <c r="E3080" s="349">
        <f>IF(C3080="","",IFERROR(VLOOKUP(C3080,parametros!$A$11:$E$15,5,0),""))</f>
        <v/>
      </c>
      <c r="F3080" s="335">
        <f>IF(OR(D3080="",E3080=""),"",ROUND(D3080*E3080,2))</f>
        <v/>
      </c>
      <c r="G3080" s="106" t="n"/>
      <c r="H3080" s="350">
        <f>IF(G3080="Sim",IF(OR(F3080="",D3080="",L3080=""),"",IF(L3080="Sim",ROUND(F3080-D3080,2),0)),0)</f>
        <v/>
      </c>
      <c r="I3080" s="350">
        <f>IF(G3080="Sim",0,IF(OR(F3080="",L3080=""),"",F3080))</f>
        <v/>
      </c>
      <c r="J3080" s="350">
        <f>IF(G3080="Sim",0,IF(OR(F3080="",D3080="",L3080=""),"",IF(L3080="Sim",ROUND(F3080-D3080,2),0)))</f>
        <v/>
      </c>
      <c r="K3080" s="97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inlineStr">
        <is>
          <t>Nao</t>
        </is>
      </c>
      <c r="W3080" s="110" t="inlineStr">
        <is>
          <t>PC em analise</t>
        </is>
      </c>
      <c r="X3080" s="110" t="inlineStr">
        <is>
          <t>Pedido de Compra</t>
        </is>
      </c>
      <c r="Y3080" s="111" t="inlineStr">
        <is>
          <t>Impacto Potencial</t>
        </is>
      </c>
      <c r="Z3080" s="111" t="inlineStr">
        <is>
          <t>PC</t>
        </is>
      </c>
      <c r="AA3080" s="111" t="inlineStr">
        <is>
          <t>Nao</t>
        </is>
      </c>
      <c r="AB3080" s="111" t="inlineStr">
        <is>
          <t>NAO_COMPUTADO</t>
        </is>
      </c>
      <c r="AC3080" s="112" t="inlineStr">
        <is>
          <t>Estrutura Fase 1: sem impacto no VTA oficial</t>
        </is>
      </c>
    </row>
    <row r="3081" ht="25.5" customHeight="1" s="289">
      <c r="A3081" s="205" t="n"/>
      <c r="B3081" s="207" t="n"/>
      <c r="C3081" s="104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348" t="n"/>
      <c r="E3081" s="349">
        <f>IF(C3081="","",IFERROR(VLOOKUP(C3081,parametros!$A$11:$E$15,5,0),""))</f>
        <v/>
      </c>
      <c r="F3081" s="335">
        <f>IF(OR(D3081="",E3081=""),"",ROUND(D3081*E3081,2))</f>
        <v/>
      </c>
      <c r="G3081" s="106" t="n"/>
      <c r="H3081" s="350">
        <f>IF(G3081="Sim",IF(OR(F3081="",D3081="",L3081=""),"",IF(L3081="Sim",ROUND(F3081-D3081,2),0)),0)</f>
        <v/>
      </c>
      <c r="I3081" s="350">
        <f>IF(G3081="Sim",0,IF(OR(F3081="",L3081=""),"",F3081))</f>
        <v/>
      </c>
      <c r="J3081" s="350">
        <f>IF(G3081="Sim",0,IF(OR(F3081="",D3081="",L3081=""),"",IF(L3081="Sim",ROUND(F3081-D3081,2),0)))</f>
        <v/>
      </c>
      <c r="K3081" s="97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inlineStr">
        <is>
          <t>Nao</t>
        </is>
      </c>
      <c r="W3081" s="110" t="inlineStr">
        <is>
          <t>PC em analise</t>
        </is>
      </c>
      <c r="X3081" s="110" t="inlineStr">
        <is>
          <t>Pedido de Compra</t>
        </is>
      </c>
      <c r="Y3081" s="111" t="inlineStr">
        <is>
          <t>Impacto Potencial</t>
        </is>
      </c>
      <c r="Z3081" s="111" t="inlineStr">
        <is>
          <t>PC</t>
        </is>
      </c>
      <c r="AA3081" s="111" t="inlineStr">
        <is>
          <t>Nao</t>
        </is>
      </c>
      <c r="AB3081" s="111" t="inlineStr">
        <is>
          <t>NAO_COMPUTADO</t>
        </is>
      </c>
      <c r="AC3081" s="112" t="inlineStr">
        <is>
          <t>Estrutura Fase 1: sem impacto no VTA oficial</t>
        </is>
      </c>
    </row>
    <row r="3082" ht="25.5" customHeight="1" s="289">
      <c r="A3082" s="205" t="n"/>
      <c r="B3082" s="207" t="n"/>
      <c r="C3082" s="104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348" t="n"/>
      <c r="E3082" s="349">
        <f>IF(C3082="","",IFERROR(VLOOKUP(C3082,parametros!$A$11:$E$15,5,0),""))</f>
        <v/>
      </c>
      <c r="F3082" s="335">
        <f>IF(OR(D3082="",E3082=""),"",ROUND(D3082*E3082,2))</f>
        <v/>
      </c>
      <c r="G3082" s="106" t="n"/>
      <c r="H3082" s="350">
        <f>IF(G3082="Sim",IF(OR(F3082="",D3082="",L3082=""),"",IF(L3082="Sim",ROUND(F3082-D3082,2),0)),0)</f>
        <v/>
      </c>
      <c r="I3082" s="350">
        <f>IF(G3082="Sim",0,IF(OR(F3082="",L3082=""),"",F3082))</f>
        <v/>
      </c>
      <c r="J3082" s="350">
        <f>IF(G3082="Sim",0,IF(OR(F3082="",D3082="",L3082=""),"",IF(L3082="Sim",ROUND(F3082-D3082,2),0)))</f>
        <v/>
      </c>
      <c r="K3082" s="97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inlineStr">
        <is>
          <t>Nao</t>
        </is>
      </c>
      <c r="W3082" s="110" t="inlineStr">
        <is>
          <t>PC em analise</t>
        </is>
      </c>
      <c r="X3082" s="110" t="inlineStr">
        <is>
          <t>Pedido de Compra</t>
        </is>
      </c>
      <c r="Y3082" s="111" t="inlineStr">
        <is>
          <t>Impacto Potencial</t>
        </is>
      </c>
      <c r="Z3082" s="111" t="inlineStr">
        <is>
          <t>PC</t>
        </is>
      </c>
      <c r="AA3082" s="111" t="inlineStr">
        <is>
          <t>Nao</t>
        </is>
      </c>
      <c r="AB3082" s="111" t="inlineStr">
        <is>
          <t>NAO_COMPUTADO</t>
        </is>
      </c>
      <c r="AC3082" s="112" t="inlineStr">
        <is>
          <t>Estrutura Fase 1: sem impacto no VTA oficial</t>
        </is>
      </c>
    </row>
    <row r="3083" ht="25.5" customHeight="1" s="289">
      <c r="A3083" s="205" t="n"/>
      <c r="B3083" s="207" t="n"/>
      <c r="C3083" s="104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348" t="n"/>
      <c r="E3083" s="349">
        <f>IF(C3083="","",IFERROR(VLOOKUP(C3083,parametros!$A$11:$E$15,5,0),""))</f>
        <v/>
      </c>
      <c r="F3083" s="335">
        <f>IF(OR(D3083="",E3083=""),"",ROUND(D3083*E3083,2))</f>
        <v/>
      </c>
      <c r="G3083" s="106" t="n"/>
      <c r="H3083" s="350">
        <f>IF(G3083="Sim",IF(OR(F3083="",D3083="",L3083=""),"",IF(L3083="Sim",ROUND(F3083-D3083,2),0)),0)</f>
        <v/>
      </c>
      <c r="I3083" s="350">
        <f>IF(G3083="Sim",0,IF(OR(F3083="",L3083=""),"",F3083))</f>
        <v/>
      </c>
      <c r="J3083" s="350">
        <f>IF(G3083="Sim",0,IF(OR(F3083="",D3083="",L3083=""),"",IF(L3083="Sim",ROUND(F3083-D3083,2),0)))</f>
        <v/>
      </c>
      <c r="K3083" s="97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inlineStr">
        <is>
          <t>Nao</t>
        </is>
      </c>
      <c r="W3083" s="110" t="inlineStr">
        <is>
          <t>PC em analise</t>
        </is>
      </c>
      <c r="X3083" s="110" t="inlineStr">
        <is>
          <t>Pedido de Compra</t>
        </is>
      </c>
      <c r="Y3083" s="111" t="inlineStr">
        <is>
          <t>Impacto Potencial</t>
        </is>
      </c>
      <c r="Z3083" s="111" t="inlineStr">
        <is>
          <t>PC</t>
        </is>
      </c>
      <c r="AA3083" s="111" t="inlineStr">
        <is>
          <t>Nao</t>
        </is>
      </c>
      <c r="AB3083" s="111" t="inlineStr">
        <is>
          <t>NAO_COMPUTADO</t>
        </is>
      </c>
      <c r="AC3083" s="112" t="inlineStr">
        <is>
          <t>Estrutura Fase 1: sem impacto no VTA oficial</t>
        </is>
      </c>
    </row>
    <row r="3084" ht="25.5" customHeight="1" s="289">
      <c r="A3084" s="205" t="n"/>
      <c r="B3084" s="207" t="n"/>
      <c r="C3084" s="104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348" t="n"/>
      <c r="E3084" s="349">
        <f>IF(C3084="","",IFERROR(VLOOKUP(C3084,parametros!$A$11:$E$15,5,0),""))</f>
        <v/>
      </c>
      <c r="F3084" s="335">
        <f>IF(OR(D3084="",E3084=""),"",ROUND(D3084*E3084,2))</f>
        <v/>
      </c>
      <c r="G3084" s="106" t="n"/>
      <c r="H3084" s="350">
        <f>IF(G3084="Sim",IF(OR(F3084="",D3084="",L3084=""),"",IF(L3084="Sim",ROUND(F3084-D3084,2),0)),0)</f>
        <v/>
      </c>
      <c r="I3084" s="350">
        <f>IF(G3084="Sim",0,IF(OR(F3084="",L3084=""),"",F3084))</f>
        <v/>
      </c>
      <c r="J3084" s="350">
        <f>IF(G3084="Sim",0,IF(OR(F3084="",D3084="",L3084=""),"",IF(L3084="Sim",ROUND(F3084-D3084,2),0)))</f>
        <v/>
      </c>
      <c r="K3084" s="97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inlineStr">
        <is>
          <t>Nao</t>
        </is>
      </c>
      <c r="W3084" s="110" t="inlineStr">
        <is>
          <t>PC em analise</t>
        </is>
      </c>
      <c r="X3084" s="110" t="inlineStr">
        <is>
          <t>Pedido de Compra</t>
        </is>
      </c>
      <c r="Y3084" s="111" t="inlineStr">
        <is>
          <t>Impacto Potencial</t>
        </is>
      </c>
      <c r="Z3084" s="111" t="inlineStr">
        <is>
          <t>PC</t>
        </is>
      </c>
      <c r="AA3084" s="111" t="inlineStr">
        <is>
          <t>Nao</t>
        </is>
      </c>
      <c r="AB3084" s="111" t="inlineStr">
        <is>
          <t>NAO_COMPUTADO</t>
        </is>
      </c>
      <c r="AC3084" s="112" t="inlineStr">
        <is>
          <t>Estrutura Fase 1: sem impacto no VTA oficial</t>
        </is>
      </c>
    </row>
    <row r="3085" ht="25.5" customHeight="1" s="289">
      <c r="A3085" s="205" t="n"/>
      <c r="B3085" s="207" t="n"/>
      <c r="C3085" s="104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348" t="n"/>
      <c r="E3085" s="349">
        <f>IF(C3085="","",IFERROR(VLOOKUP(C3085,parametros!$A$11:$E$15,5,0),""))</f>
        <v/>
      </c>
      <c r="F3085" s="335">
        <f>IF(OR(D3085="",E3085=""),"",ROUND(D3085*E3085,2))</f>
        <v/>
      </c>
      <c r="G3085" s="106" t="n"/>
      <c r="H3085" s="350">
        <f>IF(G3085="Sim",IF(OR(F3085="",D3085="",L3085=""),"",IF(L3085="Sim",ROUND(F3085-D3085,2),0)),0)</f>
        <v/>
      </c>
      <c r="I3085" s="350">
        <f>IF(G3085="Sim",0,IF(OR(F3085="",L3085=""),"",F3085))</f>
        <v/>
      </c>
      <c r="J3085" s="350">
        <f>IF(G3085="Sim",0,IF(OR(F3085="",D3085="",L3085=""),"",IF(L3085="Sim",ROUND(F3085-D3085,2),0)))</f>
        <v/>
      </c>
      <c r="K3085" s="97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inlineStr">
        <is>
          <t>Nao</t>
        </is>
      </c>
      <c r="W3085" s="110" t="inlineStr">
        <is>
          <t>PC em analise</t>
        </is>
      </c>
      <c r="X3085" s="110" t="inlineStr">
        <is>
          <t>Pedido de Compra</t>
        </is>
      </c>
      <c r="Y3085" s="111" t="inlineStr">
        <is>
          <t>Impacto Potencial</t>
        </is>
      </c>
      <c r="Z3085" s="111" t="inlineStr">
        <is>
          <t>PC</t>
        </is>
      </c>
      <c r="AA3085" s="111" t="inlineStr">
        <is>
          <t>Nao</t>
        </is>
      </c>
      <c r="AB3085" s="111" t="inlineStr">
        <is>
          <t>NAO_COMPUTADO</t>
        </is>
      </c>
      <c r="AC3085" s="112" t="inlineStr">
        <is>
          <t>Estrutura Fase 1: sem impacto no VTA oficial</t>
        </is>
      </c>
    </row>
    <row r="3086" ht="25.5" customHeight="1" s="289">
      <c r="A3086" s="205" t="n"/>
      <c r="B3086" s="207" t="n"/>
      <c r="C3086" s="104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348" t="n"/>
      <c r="E3086" s="349">
        <f>IF(C3086="","",IFERROR(VLOOKUP(C3086,parametros!$A$11:$E$15,5,0),""))</f>
        <v/>
      </c>
      <c r="F3086" s="335">
        <f>IF(OR(D3086="",E3086=""),"",ROUND(D3086*E3086,2))</f>
        <v/>
      </c>
      <c r="G3086" s="106" t="n"/>
      <c r="H3086" s="350">
        <f>IF(G3086="Sim",IF(OR(F3086="",D3086="",L3086=""),"",IF(L3086="Sim",ROUND(F3086-D3086,2),0)),0)</f>
        <v/>
      </c>
      <c r="I3086" s="350">
        <f>IF(G3086="Sim",0,IF(OR(F3086="",L3086=""),"",F3086))</f>
        <v/>
      </c>
      <c r="J3086" s="350">
        <f>IF(G3086="Sim",0,IF(OR(F3086="",D3086="",L3086=""),"",IF(L3086="Sim",ROUND(F3086-D3086,2),0)))</f>
        <v/>
      </c>
      <c r="K3086" s="97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inlineStr">
        <is>
          <t>Nao</t>
        </is>
      </c>
      <c r="W3086" s="110" t="inlineStr">
        <is>
          <t>PC em analise</t>
        </is>
      </c>
      <c r="X3086" s="110" t="inlineStr">
        <is>
          <t>Pedido de Compra</t>
        </is>
      </c>
      <c r="Y3086" s="111" t="inlineStr">
        <is>
          <t>Impacto Potencial</t>
        </is>
      </c>
      <c r="Z3086" s="111" t="inlineStr">
        <is>
          <t>PC</t>
        </is>
      </c>
      <c r="AA3086" s="111" t="inlineStr">
        <is>
          <t>Nao</t>
        </is>
      </c>
      <c r="AB3086" s="111" t="inlineStr">
        <is>
          <t>NAO_COMPUTADO</t>
        </is>
      </c>
      <c r="AC3086" s="112" t="inlineStr">
        <is>
          <t>Estrutura Fase 1: sem impacto no VTA oficial</t>
        </is>
      </c>
    </row>
    <row r="3087" ht="25.5" customHeight="1" s="289">
      <c r="A3087" s="205" t="n"/>
      <c r="B3087" s="207" t="n"/>
      <c r="C3087" s="104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348" t="n"/>
      <c r="E3087" s="349">
        <f>IF(C3087="","",IFERROR(VLOOKUP(C3087,parametros!$A$11:$E$15,5,0),""))</f>
        <v/>
      </c>
      <c r="F3087" s="335">
        <f>IF(OR(D3087="",E3087=""),"",ROUND(D3087*E3087,2))</f>
        <v/>
      </c>
      <c r="G3087" s="106" t="n"/>
      <c r="H3087" s="350">
        <f>IF(G3087="Sim",IF(OR(F3087="",D3087="",L3087=""),"",IF(L3087="Sim",ROUND(F3087-D3087,2),0)),0)</f>
        <v/>
      </c>
      <c r="I3087" s="350">
        <f>IF(G3087="Sim",0,IF(OR(F3087="",L3087=""),"",F3087))</f>
        <v/>
      </c>
      <c r="J3087" s="350">
        <f>IF(G3087="Sim",0,IF(OR(F3087="",D3087="",L3087=""),"",IF(L3087="Sim",ROUND(F3087-D3087,2),0)))</f>
        <v/>
      </c>
      <c r="K3087" s="97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inlineStr">
        <is>
          <t>Nao</t>
        </is>
      </c>
      <c r="W3087" s="110" t="inlineStr">
        <is>
          <t>PC em analise</t>
        </is>
      </c>
      <c r="X3087" s="110" t="inlineStr">
        <is>
          <t>Pedido de Compra</t>
        </is>
      </c>
      <c r="Y3087" s="111" t="inlineStr">
        <is>
          <t>Impacto Potencial</t>
        </is>
      </c>
      <c r="Z3087" s="111" t="inlineStr">
        <is>
          <t>PC</t>
        </is>
      </c>
      <c r="AA3087" s="111" t="inlineStr">
        <is>
          <t>Nao</t>
        </is>
      </c>
      <c r="AB3087" s="111" t="inlineStr">
        <is>
          <t>NAO_COMPUTADO</t>
        </is>
      </c>
      <c r="AC3087" s="112" t="inlineStr">
        <is>
          <t>Estrutura Fase 1: sem impacto no VTA oficial</t>
        </is>
      </c>
    </row>
    <row r="3088" ht="25.5" customHeight="1" s="289">
      <c r="A3088" s="205" t="n"/>
      <c r="B3088" s="207" t="n"/>
      <c r="C3088" s="104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348" t="n"/>
      <c r="E3088" s="349">
        <f>IF(C3088="","",IFERROR(VLOOKUP(C3088,parametros!$A$11:$E$15,5,0),""))</f>
        <v/>
      </c>
      <c r="F3088" s="335">
        <f>IF(OR(D3088="",E3088=""),"",ROUND(D3088*E3088,2))</f>
        <v/>
      </c>
      <c r="G3088" s="106" t="n"/>
      <c r="H3088" s="350">
        <f>IF(G3088="Sim",IF(OR(F3088="",D3088="",L3088=""),"",IF(L3088="Sim",ROUND(F3088-D3088,2),0)),0)</f>
        <v/>
      </c>
      <c r="I3088" s="350">
        <f>IF(G3088="Sim",0,IF(OR(F3088="",L3088=""),"",F3088))</f>
        <v/>
      </c>
      <c r="J3088" s="350">
        <f>IF(G3088="Sim",0,IF(OR(F3088="",D3088="",L3088=""),"",IF(L3088="Sim",ROUND(F3088-D3088,2),0)))</f>
        <v/>
      </c>
      <c r="K3088" s="97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inlineStr">
        <is>
          <t>Nao</t>
        </is>
      </c>
      <c r="W3088" s="110" t="inlineStr">
        <is>
          <t>PC em analise</t>
        </is>
      </c>
      <c r="X3088" s="110" t="inlineStr">
        <is>
          <t>Pedido de Compra</t>
        </is>
      </c>
      <c r="Y3088" s="111" t="inlineStr">
        <is>
          <t>Impacto Potencial</t>
        </is>
      </c>
      <c r="Z3088" s="111" t="inlineStr">
        <is>
          <t>PC</t>
        </is>
      </c>
      <c r="AA3088" s="111" t="inlineStr">
        <is>
          <t>Nao</t>
        </is>
      </c>
      <c r="AB3088" s="111" t="inlineStr">
        <is>
          <t>NAO_COMPUTADO</t>
        </is>
      </c>
      <c r="AC3088" s="112" t="inlineStr">
        <is>
          <t>Estrutura Fase 1: sem impacto no VTA oficial</t>
        </is>
      </c>
    </row>
    <row r="3089" ht="25.5" customHeight="1" s="289">
      <c r="A3089" s="205" t="n"/>
      <c r="B3089" s="207" t="n"/>
      <c r="C3089" s="104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348" t="n"/>
      <c r="E3089" s="349">
        <f>IF(C3089="","",IFERROR(VLOOKUP(C3089,parametros!$A$11:$E$15,5,0),""))</f>
        <v/>
      </c>
      <c r="F3089" s="335">
        <f>IF(OR(D3089="",E3089=""),"",ROUND(D3089*E3089,2))</f>
        <v/>
      </c>
      <c r="G3089" s="106" t="n"/>
      <c r="H3089" s="350">
        <f>IF(G3089="Sim",IF(OR(F3089="",D3089="",L3089=""),"",IF(L3089="Sim",ROUND(F3089-D3089,2),0)),0)</f>
        <v/>
      </c>
      <c r="I3089" s="350">
        <f>IF(G3089="Sim",0,IF(OR(F3089="",L3089=""),"",F3089))</f>
        <v/>
      </c>
      <c r="J3089" s="350">
        <f>IF(G3089="Sim",0,IF(OR(F3089="",D3089="",L3089=""),"",IF(L3089="Sim",ROUND(F3089-D3089,2),0)))</f>
        <v/>
      </c>
      <c r="K3089" s="97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inlineStr">
        <is>
          <t>Nao</t>
        </is>
      </c>
      <c r="W3089" s="110" t="inlineStr">
        <is>
          <t>PC em analise</t>
        </is>
      </c>
      <c r="X3089" s="110" t="inlineStr">
        <is>
          <t>Pedido de Compra</t>
        </is>
      </c>
      <c r="Y3089" s="111" t="inlineStr">
        <is>
          <t>Impacto Potencial</t>
        </is>
      </c>
      <c r="Z3089" s="111" t="inlineStr">
        <is>
          <t>PC</t>
        </is>
      </c>
      <c r="AA3089" s="111" t="inlineStr">
        <is>
          <t>Nao</t>
        </is>
      </c>
      <c r="AB3089" s="111" t="inlineStr">
        <is>
          <t>NAO_COMPUTADO</t>
        </is>
      </c>
      <c r="AC3089" s="112" t="inlineStr">
        <is>
          <t>Estrutura Fase 1: sem impacto no VTA oficial</t>
        </is>
      </c>
    </row>
    <row r="3090" ht="25.5" customHeight="1" s="289">
      <c r="A3090" s="205" t="n"/>
      <c r="B3090" s="207" t="n"/>
      <c r="C3090" s="104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348" t="n"/>
      <c r="E3090" s="349">
        <f>IF(C3090="","",IFERROR(VLOOKUP(C3090,parametros!$A$11:$E$15,5,0),""))</f>
        <v/>
      </c>
      <c r="F3090" s="335">
        <f>IF(OR(D3090="",E3090=""),"",ROUND(D3090*E3090,2))</f>
        <v/>
      </c>
      <c r="G3090" s="106" t="n"/>
      <c r="H3090" s="350">
        <f>IF(G3090="Sim",IF(OR(F3090="",D3090="",L3090=""),"",IF(L3090="Sim",ROUND(F3090-D3090,2),0)),0)</f>
        <v/>
      </c>
      <c r="I3090" s="350">
        <f>IF(G3090="Sim",0,IF(OR(F3090="",L3090=""),"",F3090))</f>
        <v/>
      </c>
      <c r="J3090" s="350">
        <f>IF(G3090="Sim",0,IF(OR(F3090="",D3090="",L3090=""),"",IF(L3090="Sim",ROUND(F3090-D3090,2),0)))</f>
        <v/>
      </c>
      <c r="K3090" s="97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inlineStr">
        <is>
          <t>Nao</t>
        </is>
      </c>
      <c r="W3090" s="110" t="inlineStr">
        <is>
          <t>PC em analise</t>
        </is>
      </c>
      <c r="X3090" s="110" t="inlineStr">
        <is>
          <t>Pedido de Compra</t>
        </is>
      </c>
      <c r="Y3090" s="111" t="inlineStr">
        <is>
          <t>Impacto Potencial</t>
        </is>
      </c>
      <c r="Z3090" s="111" t="inlineStr">
        <is>
          <t>PC</t>
        </is>
      </c>
      <c r="AA3090" s="111" t="inlineStr">
        <is>
          <t>Nao</t>
        </is>
      </c>
      <c r="AB3090" s="111" t="inlineStr">
        <is>
          <t>NAO_COMPUTADO</t>
        </is>
      </c>
      <c r="AC3090" s="112" t="inlineStr">
        <is>
          <t>Estrutura Fase 1: sem impacto no VTA oficial</t>
        </is>
      </c>
    </row>
    <row r="3091" ht="25.5" customHeight="1" s="289">
      <c r="A3091" s="205" t="n"/>
      <c r="B3091" s="207" t="n"/>
      <c r="C3091" s="104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348" t="n"/>
      <c r="E3091" s="349">
        <f>IF(C3091="","",IFERROR(VLOOKUP(C3091,parametros!$A$11:$E$15,5,0),""))</f>
        <v/>
      </c>
      <c r="F3091" s="335">
        <f>IF(OR(D3091="",E3091=""),"",ROUND(D3091*E3091,2))</f>
        <v/>
      </c>
      <c r="G3091" s="106" t="n"/>
      <c r="H3091" s="350">
        <f>IF(G3091="Sim",IF(OR(F3091="",D3091="",L3091=""),"",IF(L3091="Sim",ROUND(F3091-D3091,2),0)),0)</f>
        <v/>
      </c>
      <c r="I3091" s="350">
        <f>IF(G3091="Sim",0,IF(OR(F3091="",L3091=""),"",F3091))</f>
        <v/>
      </c>
      <c r="J3091" s="350">
        <f>IF(G3091="Sim",0,IF(OR(F3091="",D3091="",L3091=""),"",IF(L3091="Sim",ROUND(F3091-D3091,2),0)))</f>
        <v/>
      </c>
      <c r="K3091" s="97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inlineStr">
        <is>
          <t>Nao</t>
        </is>
      </c>
      <c r="W3091" s="110" t="inlineStr">
        <is>
          <t>PC em analise</t>
        </is>
      </c>
      <c r="X3091" s="110" t="inlineStr">
        <is>
          <t>Pedido de Compra</t>
        </is>
      </c>
      <c r="Y3091" s="111" t="inlineStr">
        <is>
          <t>Impacto Potencial</t>
        </is>
      </c>
      <c r="Z3091" s="111" t="inlineStr">
        <is>
          <t>PC</t>
        </is>
      </c>
      <c r="AA3091" s="111" t="inlineStr">
        <is>
          <t>Nao</t>
        </is>
      </c>
      <c r="AB3091" s="111" t="inlineStr">
        <is>
          <t>NAO_COMPUTADO</t>
        </is>
      </c>
      <c r="AC3091" s="112" t="inlineStr">
        <is>
          <t>Estrutura Fase 1: sem impacto no VTA oficial</t>
        </is>
      </c>
    </row>
    <row r="3092" ht="25.5" customHeight="1" s="289">
      <c r="A3092" s="205" t="n"/>
      <c r="B3092" s="207" t="n"/>
      <c r="C3092" s="104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348" t="n"/>
      <c r="E3092" s="349">
        <f>IF(C3092="","",IFERROR(VLOOKUP(C3092,parametros!$A$11:$E$15,5,0),""))</f>
        <v/>
      </c>
      <c r="F3092" s="335">
        <f>IF(OR(D3092="",E3092=""),"",ROUND(D3092*E3092,2))</f>
        <v/>
      </c>
      <c r="G3092" s="106" t="n"/>
      <c r="H3092" s="350">
        <f>IF(G3092="Sim",IF(OR(F3092="",D3092="",L3092=""),"",IF(L3092="Sim",ROUND(F3092-D3092,2),0)),0)</f>
        <v/>
      </c>
      <c r="I3092" s="350">
        <f>IF(G3092="Sim",0,IF(OR(F3092="",L3092=""),"",F3092))</f>
        <v/>
      </c>
      <c r="J3092" s="350">
        <f>IF(G3092="Sim",0,IF(OR(F3092="",D3092="",L3092=""),"",IF(L3092="Sim",ROUND(F3092-D3092,2),0)))</f>
        <v/>
      </c>
      <c r="K3092" s="97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inlineStr">
        <is>
          <t>Nao</t>
        </is>
      </c>
      <c r="W3092" s="110" t="inlineStr">
        <is>
          <t>PC em analise</t>
        </is>
      </c>
      <c r="X3092" s="110" t="inlineStr">
        <is>
          <t>Pedido de Compra</t>
        </is>
      </c>
      <c r="Y3092" s="111" t="inlineStr">
        <is>
          <t>Impacto Potencial</t>
        </is>
      </c>
      <c r="Z3092" s="111" t="inlineStr">
        <is>
          <t>PC</t>
        </is>
      </c>
      <c r="AA3092" s="111" t="inlineStr">
        <is>
          <t>Nao</t>
        </is>
      </c>
      <c r="AB3092" s="111" t="inlineStr">
        <is>
          <t>NAO_COMPUTADO</t>
        </is>
      </c>
      <c r="AC3092" s="112" t="inlineStr">
        <is>
          <t>Estrutura Fase 1: sem impacto no VTA oficial</t>
        </is>
      </c>
    </row>
    <row r="3093" ht="25.5" customHeight="1" s="289">
      <c r="A3093" s="205" t="n"/>
      <c r="B3093" s="207" t="n"/>
      <c r="C3093" s="104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348" t="n"/>
      <c r="E3093" s="349">
        <f>IF(C3093="","",IFERROR(VLOOKUP(C3093,parametros!$A$11:$E$15,5,0),""))</f>
        <v/>
      </c>
      <c r="F3093" s="335">
        <f>IF(OR(D3093="",E3093=""),"",ROUND(D3093*E3093,2))</f>
        <v/>
      </c>
      <c r="G3093" s="106" t="n"/>
      <c r="H3093" s="350">
        <f>IF(G3093="Sim",IF(OR(F3093="",D3093="",L3093=""),"",IF(L3093="Sim",ROUND(F3093-D3093,2),0)),0)</f>
        <v/>
      </c>
      <c r="I3093" s="350">
        <f>IF(G3093="Sim",0,IF(OR(F3093="",L3093=""),"",F3093))</f>
        <v/>
      </c>
      <c r="J3093" s="350">
        <f>IF(G3093="Sim",0,IF(OR(F3093="",D3093="",L3093=""),"",IF(L3093="Sim",ROUND(F3093-D3093,2),0)))</f>
        <v/>
      </c>
      <c r="K3093" s="97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inlineStr">
        <is>
          <t>Nao</t>
        </is>
      </c>
      <c r="W3093" s="110" t="inlineStr">
        <is>
          <t>PC em analise</t>
        </is>
      </c>
      <c r="X3093" s="110" t="inlineStr">
        <is>
          <t>Pedido de Compra</t>
        </is>
      </c>
      <c r="Y3093" s="111" t="inlineStr">
        <is>
          <t>Impacto Potencial</t>
        </is>
      </c>
      <c r="Z3093" s="111" t="inlineStr">
        <is>
          <t>PC</t>
        </is>
      </c>
      <c r="AA3093" s="111" t="inlineStr">
        <is>
          <t>Nao</t>
        </is>
      </c>
      <c r="AB3093" s="111" t="inlineStr">
        <is>
          <t>NAO_COMPUTADO</t>
        </is>
      </c>
      <c r="AC3093" s="112" t="inlineStr">
        <is>
          <t>Estrutura Fase 1: sem impacto no VTA oficial</t>
        </is>
      </c>
    </row>
    <row r="3094" ht="25.5" customHeight="1" s="289">
      <c r="A3094" s="205" t="n"/>
      <c r="B3094" s="207" t="n"/>
      <c r="C3094" s="104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348" t="n"/>
      <c r="E3094" s="349">
        <f>IF(C3094="","",IFERROR(VLOOKUP(C3094,parametros!$A$11:$E$15,5,0),""))</f>
        <v/>
      </c>
      <c r="F3094" s="335">
        <f>IF(OR(D3094="",E3094=""),"",ROUND(D3094*E3094,2))</f>
        <v/>
      </c>
      <c r="G3094" s="106" t="n"/>
      <c r="H3094" s="350">
        <f>IF(G3094="Sim",IF(OR(F3094="",D3094="",L3094=""),"",IF(L3094="Sim",ROUND(F3094-D3094,2),0)),0)</f>
        <v/>
      </c>
      <c r="I3094" s="350">
        <f>IF(G3094="Sim",0,IF(OR(F3094="",L3094=""),"",F3094))</f>
        <v/>
      </c>
      <c r="J3094" s="350">
        <f>IF(G3094="Sim",0,IF(OR(F3094="",D3094="",L3094=""),"",IF(L3094="Sim",ROUND(F3094-D3094,2),0)))</f>
        <v/>
      </c>
      <c r="K3094" s="97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inlineStr">
        <is>
          <t>Nao</t>
        </is>
      </c>
      <c r="W3094" s="110" t="inlineStr">
        <is>
          <t>PC em analise</t>
        </is>
      </c>
      <c r="X3094" s="110" t="inlineStr">
        <is>
          <t>Pedido de Compra</t>
        </is>
      </c>
      <c r="Y3094" s="111" t="inlineStr">
        <is>
          <t>Impacto Potencial</t>
        </is>
      </c>
      <c r="Z3094" s="111" t="inlineStr">
        <is>
          <t>PC</t>
        </is>
      </c>
      <c r="AA3094" s="111" t="inlineStr">
        <is>
          <t>Nao</t>
        </is>
      </c>
      <c r="AB3094" s="111" t="inlineStr">
        <is>
          <t>NAO_COMPUTADO</t>
        </is>
      </c>
      <c r="AC3094" s="112" t="inlineStr">
        <is>
          <t>Estrutura Fase 1: sem impacto no VTA oficial</t>
        </is>
      </c>
    </row>
    <row r="3095" ht="25.5" customHeight="1" s="289">
      <c r="A3095" s="205" t="n"/>
      <c r="B3095" s="207" t="n"/>
      <c r="C3095" s="104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348" t="n"/>
      <c r="E3095" s="349">
        <f>IF(C3095="","",IFERROR(VLOOKUP(C3095,parametros!$A$11:$E$15,5,0),""))</f>
        <v/>
      </c>
      <c r="F3095" s="335">
        <f>IF(OR(D3095="",E3095=""),"",ROUND(D3095*E3095,2))</f>
        <v/>
      </c>
      <c r="G3095" s="106" t="n"/>
      <c r="H3095" s="350">
        <f>IF(G3095="Sim",IF(OR(F3095="",D3095="",L3095=""),"",IF(L3095="Sim",ROUND(F3095-D3095,2),0)),0)</f>
        <v/>
      </c>
      <c r="I3095" s="350">
        <f>IF(G3095="Sim",0,IF(OR(F3095="",L3095=""),"",F3095))</f>
        <v/>
      </c>
      <c r="J3095" s="350">
        <f>IF(G3095="Sim",0,IF(OR(F3095="",D3095="",L3095=""),"",IF(L3095="Sim",ROUND(F3095-D3095,2),0)))</f>
        <v/>
      </c>
      <c r="K3095" s="97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inlineStr">
        <is>
          <t>Nao</t>
        </is>
      </c>
      <c r="W3095" s="110" t="inlineStr">
        <is>
          <t>PC em analise</t>
        </is>
      </c>
      <c r="X3095" s="110" t="inlineStr">
        <is>
          <t>Pedido de Compra</t>
        </is>
      </c>
      <c r="Y3095" s="111" t="inlineStr">
        <is>
          <t>Impacto Potencial</t>
        </is>
      </c>
      <c r="Z3095" s="111" t="inlineStr">
        <is>
          <t>PC</t>
        </is>
      </c>
      <c r="AA3095" s="111" t="inlineStr">
        <is>
          <t>Nao</t>
        </is>
      </c>
      <c r="AB3095" s="111" t="inlineStr">
        <is>
          <t>NAO_COMPUTADO</t>
        </is>
      </c>
      <c r="AC3095" s="112" t="inlineStr">
        <is>
          <t>Estrutura Fase 1: sem impacto no VTA oficial</t>
        </is>
      </c>
    </row>
    <row r="3096" ht="25.5" customHeight="1" s="289">
      <c r="A3096" s="205" t="n"/>
      <c r="B3096" s="207" t="n"/>
      <c r="C3096" s="104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348" t="n"/>
      <c r="E3096" s="349">
        <f>IF(C3096="","",IFERROR(VLOOKUP(C3096,parametros!$A$11:$E$15,5,0),""))</f>
        <v/>
      </c>
      <c r="F3096" s="335">
        <f>IF(OR(D3096="",E3096=""),"",ROUND(D3096*E3096,2))</f>
        <v/>
      </c>
      <c r="G3096" s="106" t="n"/>
      <c r="H3096" s="350">
        <f>IF(G3096="Sim",IF(OR(F3096="",D3096="",L3096=""),"",IF(L3096="Sim",ROUND(F3096-D3096,2),0)),0)</f>
        <v/>
      </c>
      <c r="I3096" s="350">
        <f>IF(G3096="Sim",0,IF(OR(F3096="",L3096=""),"",F3096))</f>
        <v/>
      </c>
      <c r="J3096" s="350">
        <f>IF(G3096="Sim",0,IF(OR(F3096="",D3096="",L3096=""),"",IF(L3096="Sim",ROUND(F3096-D3096,2),0)))</f>
        <v/>
      </c>
      <c r="K3096" s="97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inlineStr">
        <is>
          <t>Nao</t>
        </is>
      </c>
      <c r="W3096" s="110" t="inlineStr">
        <is>
          <t>PC em analise</t>
        </is>
      </c>
      <c r="X3096" s="110" t="inlineStr">
        <is>
          <t>Pedido de Compra</t>
        </is>
      </c>
      <c r="Y3096" s="111" t="inlineStr">
        <is>
          <t>Impacto Potencial</t>
        </is>
      </c>
      <c r="Z3096" s="111" t="inlineStr">
        <is>
          <t>PC</t>
        </is>
      </c>
      <c r="AA3096" s="111" t="inlineStr">
        <is>
          <t>Nao</t>
        </is>
      </c>
      <c r="AB3096" s="111" t="inlineStr">
        <is>
          <t>NAO_COMPUTADO</t>
        </is>
      </c>
      <c r="AC3096" s="112" t="inlineStr">
        <is>
          <t>Estrutura Fase 1: sem impacto no VTA oficial</t>
        </is>
      </c>
    </row>
    <row r="3097" ht="25.5" customHeight="1" s="289">
      <c r="A3097" s="205" t="n"/>
      <c r="B3097" s="207" t="n"/>
      <c r="C3097" s="104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348" t="n"/>
      <c r="E3097" s="349">
        <f>IF(C3097="","",IFERROR(VLOOKUP(C3097,parametros!$A$11:$E$15,5,0),""))</f>
        <v/>
      </c>
      <c r="F3097" s="335">
        <f>IF(OR(D3097="",E3097=""),"",ROUND(D3097*E3097,2))</f>
        <v/>
      </c>
      <c r="G3097" s="106" t="n"/>
      <c r="H3097" s="350">
        <f>IF(G3097="Sim",IF(OR(F3097="",D3097="",L3097=""),"",IF(L3097="Sim",ROUND(F3097-D3097,2),0)),0)</f>
        <v/>
      </c>
      <c r="I3097" s="350">
        <f>IF(G3097="Sim",0,IF(OR(F3097="",L3097=""),"",F3097))</f>
        <v/>
      </c>
      <c r="J3097" s="350">
        <f>IF(G3097="Sim",0,IF(OR(F3097="",D3097="",L3097=""),"",IF(L3097="Sim",ROUND(F3097-D3097,2),0)))</f>
        <v/>
      </c>
      <c r="K3097" s="97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inlineStr">
        <is>
          <t>Nao</t>
        </is>
      </c>
      <c r="W3097" s="110" t="inlineStr">
        <is>
          <t>PC em analise</t>
        </is>
      </c>
      <c r="X3097" s="110" t="inlineStr">
        <is>
          <t>Pedido de Compra</t>
        </is>
      </c>
      <c r="Y3097" s="111" t="inlineStr">
        <is>
          <t>Impacto Potencial</t>
        </is>
      </c>
      <c r="Z3097" s="111" t="inlineStr">
        <is>
          <t>PC</t>
        </is>
      </c>
      <c r="AA3097" s="111" t="inlineStr">
        <is>
          <t>Nao</t>
        </is>
      </c>
      <c r="AB3097" s="111" t="inlineStr">
        <is>
          <t>NAO_COMPUTADO</t>
        </is>
      </c>
      <c r="AC3097" s="112" t="inlineStr">
        <is>
          <t>Estrutura Fase 1: sem impacto no VTA oficial</t>
        </is>
      </c>
    </row>
    <row r="3098" ht="25.5" customHeight="1" s="289">
      <c r="A3098" s="205" t="n"/>
      <c r="B3098" s="207" t="n"/>
      <c r="C3098" s="104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348" t="n"/>
      <c r="E3098" s="349">
        <f>IF(C3098="","",IFERROR(VLOOKUP(C3098,parametros!$A$11:$E$15,5,0),""))</f>
        <v/>
      </c>
      <c r="F3098" s="335">
        <f>IF(OR(D3098="",E3098=""),"",ROUND(D3098*E3098,2))</f>
        <v/>
      </c>
      <c r="G3098" s="106" t="n"/>
      <c r="H3098" s="350">
        <f>IF(G3098="Sim",IF(OR(F3098="",D3098="",L3098=""),"",IF(L3098="Sim",ROUND(F3098-D3098,2),0)),0)</f>
        <v/>
      </c>
      <c r="I3098" s="350">
        <f>IF(G3098="Sim",0,IF(OR(F3098="",L3098=""),"",F3098))</f>
        <v/>
      </c>
      <c r="J3098" s="350">
        <f>IF(G3098="Sim",0,IF(OR(F3098="",D3098="",L3098=""),"",IF(L3098="Sim",ROUND(F3098-D3098,2),0)))</f>
        <v/>
      </c>
      <c r="K3098" s="97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inlineStr">
        <is>
          <t>Nao</t>
        </is>
      </c>
      <c r="W3098" s="110" t="inlineStr">
        <is>
          <t>PC em analise</t>
        </is>
      </c>
      <c r="X3098" s="110" t="inlineStr">
        <is>
          <t>Pedido de Compra</t>
        </is>
      </c>
      <c r="Y3098" s="111" t="inlineStr">
        <is>
          <t>Impacto Potencial</t>
        </is>
      </c>
      <c r="Z3098" s="111" t="inlineStr">
        <is>
          <t>PC</t>
        </is>
      </c>
      <c r="AA3098" s="111" t="inlineStr">
        <is>
          <t>Nao</t>
        </is>
      </c>
      <c r="AB3098" s="111" t="inlineStr">
        <is>
          <t>NAO_COMPUTADO</t>
        </is>
      </c>
      <c r="AC3098" s="112" t="inlineStr">
        <is>
          <t>Estrutura Fase 1: sem impacto no VTA oficial</t>
        </is>
      </c>
    </row>
    <row r="3099" ht="25.5" customHeight="1" s="289">
      <c r="A3099" s="205" t="n"/>
      <c r="B3099" s="207" t="n"/>
      <c r="C3099" s="104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348" t="n"/>
      <c r="E3099" s="349">
        <f>IF(C3099="","",IFERROR(VLOOKUP(C3099,parametros!$A$11:$E$15,5,0),""))</f>
        <v/>
      </c>
      <c r="F3099" s="335">
        <f>IF(OR(D3099="",E3099=""),"",ROUND(D3099*E3099,2))</f>
        <v/>
      </c>
      <c r="G3099" s="106" t="n"/>
      <c r="H3099" s="350">
        <f>IF(G3099="Sim",IF(OR(F3099="",D3099="",L3099=""),"",IF(L3099="Sim",ROUND(F3099-D3099,2),0)),0)</f>
        <v/>
      </c>
      <c r="I3099" s="350">
        <f>IF(G3099="Sim",0,IF(OR(F3099="",L3099=""),"",F3099))</f>
        <v/>
      </c>
      <c r="J3099" s="350">
        <f>IF(G3099="Sim",0,IF(OR(F3099="",D3099="",L3099=""),"",IF(L3099="Sim",ROUND(F3099-D3099,2),0)))</f>
        <v/>
      </c>
      <c r="K3099" s="97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inlineStr">
        <is>
          <t>Nao</t>
        </is>
      </c>
      <c r="W3099" s="110" t="inlineStr">
        <is>
          <t>PC em analise</t>
        </is>
      </c>
      <c r="X3099" s="110" t="inlineStr">
        <is>
          <t>Pedido de Compra</t>
        </is>
      </c>
      <c r="Y3099" s="111" t="inlineStr">
        <is>
          <t>Impacto Potencial</t>
        </is>
      </c>
      <c r="Z3099" s="111" t="inlineStr">
        <is>
          <t>PC</t>
        </is>
      </c>
      <c r="AA3099" s="111" t="inlineStr">
        <is>
          <t>Nao</t>
        </is>
      </c>
      <c r="AB3099" s="111" t="inlineStr">
        <is>
          <t>NAO_COMPUTADO</t>
        </is>
      </c>
      <c r="AC3099" s="112" t="inlineStr">
        <is>
          <t>Estrutura Fase 1: sem impacto no VTA oficial</t>
        </is>
      </c>
    </row>
    <row r="3100" ht="25.5" customHeight="1" s="289">
      <c r="A3100" s="205" t="n"/>
      <c r="B3100" s="207" t="n"/>
      <c r="C3100" s="104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348" t="n"/>
      <c r="E3100" s="349">
        <f>IF(C3100="","",IFERROR(VLOOKUP(C3100,parametros!$A$11:$E$15,5,0),""))</f>
        <v/>
      </c>
      <c r="F3100" s="335">
        <f>IF(OR(D3100="",E3100=""),"",ROUND(D3100*E3100,2))</f>
        <v/>
      </c>
      <c r="G3100" s="106" t="n"/>
      <c r="H3100" s="350">
        <f>IF(G3100="Sim",IF(OR(F3100="",D3100="",L3100=""),"",IF(L3100="Sim",ROUND(F3100-D3100,2),0)),0)</f>
        <v/>
      </c>
      <c r="I3100" s="350">
        <f>IF(G3100="Sim",0,IF(OR(F3100="",L3100=""),"",F3100))</f>
        <v/>
      </c>
      <c r="J3100" s="350">
        <f>IF(G3100="Sim",0,IF(OR(F3100="",D3100="",L3100=""),"",IF(L3100="Sim",ROUND(F3100-D3100,2),0)))</f>
        <v/>
      </c>
      <c r="K3100" s="97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inlineStr">
        <is>
          <t>Nao</t>
        </is>
      </c>
      <c r="W3100" s="110" t="inlineStr">
        <is>
          <t>PC em analise</t>
        </is>
      </c>
      <c r="X3100" s="110" t="inlineStr">
        <is>
          <t>Pedido de Compra</t>
        </is>
      </c>
      <c r="Y3100" s="111" t="inlineStr">
        <is>
          <t>Impacto Potencial</t>
        </is>
      </c>
      <c r="Z3100" s="111" t="inlineStr">
        <is>
          <t>PC</t>
        </is>
      </c>
      <c r="AA3100" s="111" t="inlineStr">
        <is>
          <t>Nao</t>
        </is>
      </c>
      <c r="AB3100" s="111" t="inlineStr">
        <is>
          <t>NAO_COMPUTADO</t>
        </is>
      </c>
      <c r="AC3100" s="112" t="inlineStr">
        <is>
          <t>Estrutura Fase 1: sem impacto no VTA oficial</t>
        </is>
      </c>
    </row>
    <row r="3101" ht="25.5" customHeight="1" s="289">
      <c r="A3101" s="205" t="n"/>
      <c r="B3101" s="207" t="n"/>
      <c r="C3101" s="104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348" t="n"/>
      <c r="E3101" s="349">
        <f>IF(C3101="","",IFERROR(VLOOKUP(C3101,parametros!$A$11:$E$15,5,0),""))</f>
        <v/>
      </c>
      <c r="F3101" s="335">
        <f>IF(OR(D3101="",E3101=""),"",ROUND(D3101*E3101,2))</f>
        <v/>
      </c>
      <c r="G3101" s="106" t="n"/>
      <c r="H3101" s="350">
        <f>IF(G3101="Sim",IF(OR(F3101="",D3101="",L3101=""),"",IF(L3101="Sim",ROUND(F3101-D3101,2),0)),0)</f>
        <v/>
      </c>
      <c r="I3101" s="350">
        <f>IF(G3101="Sim",0,IF(OR(F3101="",L3101=""),"",F3101))</f>
        <v/>
      </c>
      <c r="J3101" s="350">
        <f>IF(G3101="Sim",0,IF(OR(F3101="",D3101="",L3101=""),"",IF(L3101="Sim",ROUND(F3101-D3101,2),0)))</f>
        <v/>
      </c>
      <c r="K3101" s="97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inlineStr">
        <is>
          <t>Nao</t>
        </is>
      </c>
      <c r="W3101" s="110" t="inlineStr">
        <is>
          <t>PC em analise</t>
        </is>
      </c>
      <c r="X3101" s="110" t="inlineStr">
        <is>
          <t>Pedido de Compra</t>
        </is>
      </c>
      <c r="Y3101" s="111" t="inlineStr">
        <is>
          <t>Impacto Potencial</t>
        </is>
      </c>
      <c r="Z3101" s="111" t="inlineStr">
        <is>
          <t>PC</t>
        </is>
      </c>
      <c r="AA3101" s="111" t="inlineStr">
        <is>
          <t>Nao</t>
        </is>
      </c>
      <c r="AB3101" s="111" t="inlineStr">
        <is>
          <t>NAO_COMPUTADO</t>
        </is>
      </c>
      <c r="AC3101" s="112" t="inlineStr">
        <is>
          <t>Estrutura Fase 1: sem impacto no VTA oficial</t>
        </is>
      </c>
    </row>
    <row r="3102" ht="25.5" customHeight="1" s="289">
      <c r="A3102" s="205" t="n"/>
      <c r="B3102" s="207" t="n"/>
      <c r="C3102" s="104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348" t="n"/>
      <c r="E3102" s="349">
        <f>IF(C3102="","",IFERROR(VLOOKUP(C3102,parametros!$A$11:$E$15,5,0),""))</f>
        <v/>
      </c>
      <c r="F3102" s="335">
        <f>IF(OR(D3102="",E3102=""),"",ROUND(D3102*E3102,2))</f>
        <v/>
      </c>
      <c r="G3102" s="106" t="n"/>
      <c r="H3102" s="350">
        <f>IF(G3102="Sim",IF(OR(F3102="",D3102="",L3102=""),"",IF(L3102="Sim",ROUND(F3102-D3102,2),0)),0)</f>
        <v/>
      </c>
      <c r="I3102" s="350">
        <f>IF(G3102="Sim",0,IF(OR(F3102="",L3102=""),"",F3102))</f>
        <v/>
      </c>
      <c r="J3102" s="350">
        <f>IF(G3102="Sim",0,IF(OR(F3102="",D3102="",L3102=""),"",IF(L3102="Sim",ROUND(F3102-D3102,2),0)))</f>
        <v/>
      </c>
      <c r="K3102" s="97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inlineStr">
        <is>
          <t>Nao</t>
        </is>
      </c>
      <c r="W3102" s="110" t="inlineStr">
        <is>
          <t>PC em analise</t>
        </is>
      </c>
      <c r="X3102" s="110" t="inlineStr">
        <is>
          <t>Pedido de Compra</t>
        </is>
      </c>
      <c r="Y3102" s="111" t="inlineStr">
        <is>
          <t>Impacto Potencial</t>
        </is>
      </c>
      <c r="Z3102" s="111" t="inlineStr">
        <is>
          <t>PC</t>
        </is>
      </c>
      <c r="AA3102" s="111" t="inlineStr">
        <is>
          <t>Nao</t>
        </is>
      </c>
      <c r="AB3102" s="111" t="inlineStr">
        <is>
          <t>NAO_COMPUTADO</t>
        </is>
      </c>
      <c r="AC3102" s="112" t="inlineStr">
        <is>
          <t>Estrutura Fase 1: sem impacto no VTA oficial</t>
        </is>
      </c>
    </row>
    <row r="3103" ht="25.5" customHeight="1" s="289">
      <c r="A3103" s="205" t="n"/>
      <c r="B3103" s="207" t="n"/>
      <c r="C3103" s="104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348" t="n"/>
      <c r="E3103" s="349">
        <f>IF(C3103="","",IFERROR(VLOOKUP(C3103,parametros!$A$11:$E$15,5,0),""))</f>
        <v/>
      </c>
      <c r="F3103" s="335">
        <f>IF(OR(D3103="",E3103=""),"",ROUND(D3103*E3103,2))</f>
        <v/>
      </c>
      <c r="G3103" s="106" t="n"/>
      <c r="H3103" s="350">
        <f>IF(G3103="Sim",IF(OR(F3103="",D3103="",L3103=""),"",IF(L3103="Sim",ROUND(F3103-D3103,2),0)),0)</f>
        <v/>
      </c>
      <c r="I3103" s="350">
        <f>IF(G3103="Sim",0,IF(OR(F3103="",L3103=""),"",F3103))</f>
        <v/>
      </c>
      <c r="J3103" s="350">
        <f>IF(G3103="Sim",0,IF(OR(F3103="",D3103="",L3103=""),"",IF(L3103="Sim",ROUND(F3103-D3103,2),0)))</f>
        <v/>
      </c>
      <c r="K3103" s="97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inlineStr">
        <is>
          <t>Nao</t>
        </is>
      </c>
      <c r="W3103" s="110" t="inlineStr">
        <is>
          <t>PC em analise</t>
        </is>
      </c>
      <c r="X3103" s="110" t="inlineStr">
        <is>
          <t>Pedido de Compra</t>
        </is>
      </c>
      <c r="Y3103" s="111" t="inlineStr">
        <is>
          <t>Impacto Potencial</t>
        </is>
      </c>
      <c r="Z3103" s="111" t="inlineStr">
        <is>
          <t>PC</t>
        </is>
      </c>
      <c r="AA3103" s="111" t="inlineStr">
        <is>
          <t>Nao</t>
        </is>
      </c>
      <c r="AB3103" s="111" t="inlineStr">
        <is>
          <t>NAO_COMPUTADO</t>
        </is>
      </c>
      <c r="AC3103" s="112" t="inlineStr">
        <is>
          <t>Estrutura Fase 1: sem impacto no VTA oficial</t>
        </is>
      </c>
    </row>
    <row r="3104" ht="25.5" customHeight="1" s="289">
      <c r="A3104" s="205" t="n"/>
      <c r="B3104" s="207" t="n"/>
      <c r="C3104" s="104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348" t="n"/>
      <c r="E3104" s="349">
        <f>IF(C3104="","",IFERROR(VLOOKUP(C3104,parametros!$A$11:$E$15,5,0),""))</f>
        <v/>
      </c>
      <c r="F3104" s="335">
        <f>IF(OR(D3104="",E3104=""),"",ROUND(D3104*E3104,2))</f>
        <v/>
      </c>
      <c r="G3104" s="106" t="n"/>
      <c r="H3104" s="350">
        <f>IF(G3104="Sim",IF(OR(F3104="",D3104="",L3104=""),"",IF(L3104="Sim",ROUND(F3104-D3104,2),0)),0)</f>
        <v/>
      </c>
      <c r="I3104" s="350">
        <f>IF(G3104="Sim",0,IF(OR(F3104="",L3104=""),"",F3104))</f>
        <v/>
      </c>
      <c r="J3104" s="350">
        <f>IF(G3104="Sim",0,IF(OR(F3104="",D3104="",L3104=""),"",IF(L3104="Sim",ROUND(F3104-D3104,2),0)))</f>
        <v/>
      </c>
      <c r="K3104" s="97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inlineStr">
        <is>
          <t>Nao</t>
        </is>
      </c>
      <c r="W3104" s="110" t="inlineStr">
        <is>
          <t>PC em analise</t>
        </is>
      </c>
      <c r="X3104" s="110" t="inlineStr">
        <is>
          <t>Pedido de Compra</t>
        </is>
      </c>
      <c r="Y3104" s="111" t="inlineStr">
        <is>
          <t>Impacto Potencial</t>
        </is>
      </c>
      <c r="Z3104" s="111" t="inlineStr">
        <is>
          <t>PC</t>
        </is>
      </c>
      <c r="AA3104" s="111" t="inlineStr">
        <is>
          <t>Nao</t>
        </is>
      </c>
      <c r="AB3104" s="111" t="inlineStr">
        <is>
          <t>NAO_COMPUTADO</t>
        </is>
      </c>
      <c r="AC3104" s="112" t="inlineStr">
        <is>
          <t>Estrutura Fase 1: sem impacto no VTA oficial</t>
        </is>
      </c>
    </row>
    <row r="3105" ht="25.5" customHeight="1" s="289">
      <c r="A3105" s="205" t="n"/>
      <c r="B3105" s="207" t="n"/>
      <c r="C3105" s="104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348" t="n"/>
      <c r="E3105" s="349">
        <f>IF(C3105="","",IFERROR(VLOOKUP(C3105,parametros!$A$11:$E$15,5,0),""))</f>
        <v/>
      </c>
      <c r="F3105" s="335">
        <f>IF(OR(D3105="",E3105=""),"",ROUND(D3105*E3105,2))</f>
        <v/>
      </c>
      <c r="G3105" s="106" t="n"/>
      <c r="H3105" s="350">
        <f>IF(G3105="Sim",IF(OR(F3105="",D3105="",L3105=""),"",IF(L3105="Sim",ROUND(F3105-D3105,2),0)),0)</f>
        <v/>
      </c>
      <c r="I3105" s="350">
        <f>IF(G3105="Sim",0,IF(OR(F3105="",L3105=""),"",F3105))</f>
        <v/>
      </c>
      <c r="J3105" s="350">
        <f>IF(G3105="Sim",0,IF(OR(F3105="",D3105="",L3105=""),"",IF(L3105="Sim",ROUND(F3105-D3105,2),0)))</f>
        <v/>
      </c>
      <c r="K3105" s="97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inlineStr">
        <is>
          <t>Nao</t>
        </is>
      </c>
      <c r="W3105" s="110" t="inlineStr">
        <is>
          <t>PC em analise</t>
        </is>
      </c>
      <c r="X3105" s="110" t="inlineStr">
        <is>
          <t>Pedido de Compra</t>
        </is>
      </c>
      <c r="Y3105" s="111" t="inlineStr">
        <is>
          <t>Impacto Potencial</t>
        </is>
      </c>
      <c r="Z3105" s="111" t="inlineStr">
        <is>
          <t>PC</t>
        </is>
      </c>
      <c r="AA3105" s="111" t="inlineStr">
        <is>
          <t>Nao</t>
        </is>
      </c>
      <c r="AB3105" s="111" t="inlineStr">
        <is>
          <t>NAO_COMPUTADO</t>
        </is>
      </c>
      <c r="AC3105" s="112" t="inlineStr">
        <is>
          <t>Estrutura Fase 1: sem impacto no VTA oficial</t>
        </is>
      </c>
    </row>
    <row r="3106" ht="25.5" customHeight="1" s="289">
      <c r="A3106" s="205" t="n"/>
      <c r="B3106" s="207" t="n"/>
      <c r="C3106" s="104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348" t="n"/>
      <c r="E3106" s="349">
        <f>IF(C3106="","",IFERROR(VLOOKUP(C3106,parametros!$A$11:$E$15,5,0),""))</f>
        <v/>
      </c>
      <c r="F3106" s="335">
        <f>IF(OR(D3106="",E3106=""),"",ROUND(D3106*E3106,2))</f>
        <v/>
      </c>
      <c r="G3106" s="106" t="n"/>
      <c r="H3106" s="350">
        <f>IF(G3106="Sim",IF(OR(F3106="",D3106="",L3106=""),"",IF(L3106="Sim",ROUND(F3106-D3106,2),0)),0)</f>
        <v/>
      </c>
      <c r="I3106" s="350">
        <f>IF(G3106="Sim",0,IF(OR(F3106="",L3106=""),"",F3106))</f>
        <v/>
      </c>
      <c r="J3106" s="350">
        <f>IF(G3106="Sim",0,IF(OR(F3106="",D3106="",L3106=""),"",IF(L3106="Sim",ROUND(F3106-D3106,2),0)))</f>
        <v/>
      </c>
      <c r="K3106" s="97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inlineStr">
        <is>
          <t>Nao</t>
        </is>
      </c>
      <c r="W3106" s="110" t="inlineStr">
        <is>
          <t>PC em analise</t>
        </is>
      </c>
      <c r="X3106" s="110" t="inlineStr">
        <is>
          <t>Pedido de Compra</t>
        </is>
      </c>
      <c r="Y3106" s="111" t="inlineStr">
        <is>
          <t>Impacto Potencial</t>
        </is>
      </c>
      <c r="Z3106" s="111" t="inlineStr">
        <is>
          <t>PC</t>
        </is>
      </c>
      <c r="AA3106" s="111" t="inlineStr">
        <is>
          <t>Nao</t>
        </is>
      </c>
      <c r="AB3106" s="111" t="inlineStr">
        <is>
          <t>NAO_COMPUTADO</t>
        </is>
      </c>
      <c r="AC3106" s="112" t="inlineStr">
        <is>
          <t>Estrutura Fase 1: sem impacto no VTA oficial</t>
        </is>
      </c>
    </row>
    <row r="3107" ht="25.5" customHeight="1" s="289">
      <c r="A3107" s="205" t="n"/>
      <c r="B3107" s="207" t="n"/>
      <c r="C3107" s="104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348" t="n"/>
      <c r="E3107" s="349">
        <f>IF(C3107="","",IFERROR(VLOOKUP(C3107,parametros!$A$11:$E$15,5,0),""))</f>
        <v/>
      </c>
      <c r="F3107" s="335">
        <f>IF(OR(D3107="",E3107=""),"",ROUND(D3107*E3107,2))</f>
        <v/>
      </c>
      <c r="G3107" s="106" t="n"/>
      <c r="H3107" s="350">
        <f>IF(G3107="Sim",IF(OR(F3107="",D3107="",L3107=""),"",IF(L3107="Sim",ROUND(F3107-D3107,2),0)),0)</f>
        <v/>
      </c>
      <c r="I3107" s="350">
        <f>IF(G3107="Sim",0,IF(OR(F3107="",L3107=""),"",F3107))</f>
        <v/>
      </c>
      <c r="J3107" s="350">
        <f>IF(G3107="Sim",0,IF(OR(F3107="",D3107="",L3107=""),"",IF(L3107="Sim",ROUND(F3107-D3107,2),0)))</f>
        <v/>
      </c>
      <c r="K3107" s="97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inlineStr">
        <is>
          <t>Nao</t>
        </is>
      </c>
      <c r="W3107" s="110" t="inlineStr">
        <is>
          <t>PC em analise</t>
        </is>
      </c>
      <c r="X3107" s="110" t="inlineStr">
        <is>
          <t>Pedido de Compra</t>
        </is>
      </c>
      <c r="Y3107" s="111" t="inlineStr">
        <is>
          <t>Impacto Potencial</t>
        </is>
      </c>
      <c r="Z3107" s="111" t="inlineStr">
        <is>
          <t>PC</t>
        </is>
      </c>
      <c r="AA3107" s="111" t="inlineStr">
        <is>
          <t>Nao</t>
        </is>
      </c>
      <c r="AB3107" s="111" t="inlineStr">
        <is>
          <t>NAO_COMPUTADO</t>
        </is>
      </c>
      <c r="AC3107" s="112" t="inlineStr">
        <is>
          <t>Estrutura Fase 1: sem impacto no VTA oficial</t>
        </is>
      </c>
    </row>
    <row r="3108" ht="25.5" customHeight="1" s="289">
      <c r="A3108" s="205" t="n"/>
      <c r="B3108" s="207" t="n"/>
      <c r="C3108" s="104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348" t="n"/>
      <c r="E3108" s="349">
        <f>IF(C3108="","",IFERROR(VLOOKUP(C3108,parametros!$A$11:$E$15,5,0),""))</f>
        <v/>
      </c>
      <c r="F3108" s="335">
        <f>IF(OR(D3108="",E3108=""),"",ROUND(D3108*E3108,2))</f>
        <v/>
      </c>
      <c r="G3108" s="106" t="n"/>
      <c r="H3108" s="350">
        <f>IF(G3108="Sim",IF(OR(F3108="",D3108="",L3108=""),"",IF(L3108="Sim",ROUND(F3108-D3108,2),0)),0)</f>
        <v/>
      </c>
      <c r="I3108" s="350">
        <f>IF(G3108="Sim",0,IF(OR(F3108="",L3108=""),"",F3108))</f>
        <v/>
      </c>
      <c r="J3108" s="350">
        <f>IF(G3108="Sim",0,IF(OR(F3108="",D3108="",L3108=""),"",IF(L3108="Sim",ROUND(F3108-D3108,2),0)))</f>
        <v/>
      </c>
      <c r="K3108" s="97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inlineStr">
        <is>
          <t>Nao</t>
        </is>
      </c>
      <c r="W3108" s="110" t="inlineStr">
        <is>
          <t>PC em analise</t>
        </is>
      </c>
      <c r="X3108" s="110" t="inlineStr">
        <is>
          <t>Pedido de Compra</t>
        </is>
      </c>
      <c r="Y3108" s="111" t="inlineStr">
        <is>
          <t>Impacto Potencial</t>
        </is>
      </c>
      <c r="Z3108" s="111" t="inlineStr">
        <is>
          <t>PC</t>
        </is>
      </c>
      <c r="AA3108" s="111" t="inlineStr">
        <is>
          <t>Nao</t>
        </is>
      </c>
      <c r="AB3108" s="111" t="inlineStr">
        <is>
          <t>NAO_COMPUTADO</t>
        </is>
      </c>
      <c r="AC3108" s="112" t="inlineStr">
        <is>
          <t>Estrutura Fase 1: sem impacto no VTA oficial</t>
        </is>
      </c>
    </row>
    <row r="3109" ht="25.5" customHeight="1" s="289">
      <c r="A3109" s="205" t="n"/>
      <c r="B3109" s="207" t="n"/>
      <c r="C3109" s="104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348" t="n"/>
      <c r="E3109" s="349">
        <f>IF(C3109="","",IFERROR(VLOOKUP(C3109,parametros!$A$11:$E$15,5,0),""))</f>
        <v/>
      </c>
      <c r="F3109" s="335">
        <f>IF(OR(D3109="",E3109=""),"",ROUND(D3109*E3109,2))</f>
        <v/>
      </c>
      <c r="G3109" s="106" t="n"/>
      <c r="H3109" s="350">
        <f>IF(G3109="Sim",IF(OR(F3109="",D3109="",L3109=""),"",IF(L3109="Sim",ROUND(F3109-D3109,2),0)),0)</f>
        <v/>
      </c>
      <c r="I3109" s="350">
        <f>IF(G3109="Sim",0,IF(OR(F3109="",L3109=""),"",F3109))</f>
        <v/>
      </c>
      <c r="J3109" s="350">
        <f>IF(G3109="Sim",0,IF(OR(F3109="",D3109="",L3109=""),"",IF(L3109="Sim",ROUND(F3109-D3109,2),0)))</f>
        <v/>
      </c>
      <c r="K3109" s="97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inlineStr">
        <is>
          <t>Nao</t>
        </is>
      </c>
      <c r="W3109" s="110" t="inlineStr">
        <is>
          <t>PC em analise</t>
        </is>
      </c>
      <c r="X3109" s="110" t="inlineStr">
        <is>
          <t>Pedido de Compra</t>
        </is>
      </c>
      <c r="Y3109" s="111" t="inlineStr">
        <is>
          <t>Impacto Potencial</t>
        </is>
      </c>
      <c r="Z3109" s="111" t="inlineStr">
        <is>
          <t>PC</t>
        </is>
      </c>
      <c r="AA3109" s="111" t="inlineStr">
        <is>
          <t>Nao</t>
        </is>
      </c>
      <c r="AB3109" s="111" t="inlineStr">
        <is>
          <t>NAO_COMPUTADO</t>
        </is>
      </c>
      <c r="AC3109" s="112" t="inlineStr">
        <is>
          <t>Estrutura Fase 1: sem impacto no VTA oficial</t>
        </is>
      </c>
    </row>
    <row r="3110" ht="25.5" customHeight="1" s="289">
      <c r="A3110" s="205" t="n"/>
      <c r="B3110" s="207" t="n"/>
      <c r="C3110" s="104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348" t="n"/>
      <c r="E3110" s="349">
        <f>IF(C3110="","",IFERROR(VLOOKUP(C3110,parametros!$A$11:$E$15,5,0),""))</f>
        <v/>
      </c>
      <c r="F3110" s="335">
        <f>IF(OR(D3110="",E3110=""),"",ROUND(D3110*E3110,2))</f>
        <v/>
      </c>
      <c r="G3110" s="106" t="n"/>
      <c r="H3110" s="350">
        <f>IF(G3110="Sim",IF(OR(F3110="",D3110="",L3110=""),"",IF(L3110="Sim",ROUND(F3110-D3110,2),0)),0)</f>
        <v/>
      </c>
      <c r="I3110" s="350">
        <f>IF(G3110="Sim",0,IF(OR(F3110="",L3110=""),"",F3110))</f>
        <v/>
      </c>
      <c r="J3110" s="350">
        <f>IF(G3110="Sim",0,IF(OR(F3110="",D3110="",L3110=""),"",IF(L3110="Sim",ROUND(F3110-D3110,2),0)))</f>
        <v/>
      </c>
      <c r="K3110" s="97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inlineStr">
        <is>
          <t>Nao</t>
        </is>
      </c>
      <c r="W3110" s="110" t="inlineStr">
        <is>
          <t>PC em analise</t>
        </is>
      </c>
      <c r="X3110" s="110" t="inlineStr">
        <is>
          <t>Pedido de Compra</t>
        </is>
      </c>
      <c r="Y3110" s="111" t="inlineStr">
        <is>
          <t>Impacto Potencial</t>
        </is>
      </c>
      <c r="Z3110" s="111" t="inlineStr">
        <is>
          <t>PC</t>
        </is>
      </c>
      <c r="AA3110" s="111" t="inlineStr">
        <is>
          <t>Nao</t>
        </is>
      </c>
      <c r="AB3110" s="111" t="inlineStr">
        <is>
          <t>NAO_COMPUTADO</t>
        </is>
      </c>
      <c r="AC3110" s="112" t="inlineStr">
        <is>
          <t>Estrutura Fase 1: sem impacto no VTA oficial</t>
        </is>
      </c>
    </row>
    <row r="3111" ht="25.5" customHeight="1" s="289">
      <c r="A3111" s="205" t="n"/>
      <c r="B3111" s="207" t="n"/>
      <c r="C3111" s="104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348" t="n"/>
      <c r="E3111" s="349">
        <f>IF(C3111="","",IFERROR(VLOOKUP(C3111,parametros!$A$11:$E$15,5,0),""))</f>
        <v/>
      </c>
      <c r="F3111" s="335">
        <f>IF(OR(D3111="",E3111=""),"",ROUND(D3111*E3111,2))</f>
        <v/>
      </c>
      <c r="G3111" s="106" t="n"/>
      <c r="H3111" s="350">
        <f>IF(G3111="Sim",IF(OR(F3111="",D3111="",L3111=""),"",IF(L3111="Sim",ROUND(F3111-D3111,2),0)),0)</f>
        <v/>
      </c>
      <c r="I3111" s="350">
        <f>IF(G3111="Sim",0,IF(OR(F3111="",L3111=""),"",F3111))</f>
        <v/>
      </c>
      <c r="J3111" s="350">
        <f>IF(G3111="Sim",0,IF(OR(F3111="",D3111="",L3111=""),"",IF(L3111="Sim",ROUND(F3111-D3111,2),0)))</f>
        <v/>
      </c>
      <c r="K3111" s="97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inlineStr">
        <is>
          <t>Nao</t>
        </is>
      </c>
      <c r="W3111" s="110" t="inlineStr">
        <is>
          <t>PC em analise</t>
        </is>
      </c>
      <c r="X3111" s="110" t="inlineStr">
        <is>
          <t>Pedido de Compra</t>
        </is>
      </c>
      <c r="Y3111" s="111" t="inlineStr">
        <is>
          <t>Impacto Potencial</t>
        </is>
      </c>
      <c r="Z3111" s="111" t="inlineStr">
        <is>
          <t>PC</t>
        </is>
      </c>
      <c r="AA3111" s="111" t="inlineStr">
        <is>
          <t>Nao</t>
        </is>
      </c>
      <c r="AB3111" s="111" t="inlineStr">
        <is>
          <t>NAO_COMPUTADO</t>
        </is>
      </c>
      <c r="AC3111" s="112" t="inlineStr">
        <is>
          <t>Estrutura Fase 1: sem impacto no VTA oficial</t>
        </is>
      </c>
    </row>
    <row r="3112" ht="25.5" customHeight="1" s="289">
      <c r="A3112" s="205" t="n"/>
      <c r="B3112" s="207" t="n"/>
      <c r="C3112" s="104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348" t="n"/>
      <c r="E3112" s="349">
        <f>IF(C3112="","",IFERROR(VLOOKUP(C3112,parametros!$A$11:$E$15,5,0),""))</f>
        <v/>
      </c>
      <c r="F3112" s="335">
        <f>IF(OR(D3112="",E3112=""),"",ROUND(D3112*E3112,2))</f>
        <v/>
      </c>
      <c r="G3112" s="106" t="n"/>
      <c r="H3112" s="350">
        <f>IF(G3112="Sim",IF(OR(F3112="",D3112="",L3112=""),"",IF(L3112="Sim",ROUND(F3112-D3112,2),0)),0)</f>
        <v/>
      </c>
      <c r="I3112" s="350">
        <f>IF(G3112="Sim",0,IF(OR(F3112="",L3112=""),"",F3112))</f>
        <v/>
      </c>
      <c r="J3112" s="350">
        <f>IF(G3112="Sim",0,IF(OR(F3112="",D3112="",L3112=""),"",IF(L3112="Sim",ROUND(F3112-D3112,2),0)))</f>
        <v/>
      </c>
      <c r="K3112" s="97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inlineStr">
        <is>
          <t>Nao</t>
        </is>
      </c>
      <c r="W3112" s="110" t="inlineStr">
        <is>
          <t>PC em analise</t>
        </is>
      </c>
      <c r="X3112" s="110" t="inlineStr">
        <is>
          <t>Pedido de Compra</t>
        </is>
      </c>
      <c r="Y3112" s="111" t="inlineStr">
        <is>
          <t>Impacto Potencial</t>
        </is>
      </c>
      <c r="Z3112" s="111" t="inlineStr">
        <is>
          <t>PC</t>
        </is>
      </c>
      <c r="AA3112" s="111" t="inlineStr">
        <is>
          <t>Nao</t>
        </is>
      </c>
      <c r="AB3112" s="111" t="inlineStr">
        <is>
          <t>NAO_COMPUTADO</t>
        </is>
      </c>
      <c r="AC3112" s="112" t="inlineStr">
        <is>
          <t>Estrutura Fase 1: sem impacto no VTA oficial</t>
        </is>
      </c>
    </row>
    <row r="3113" ht="25.5" customHeight="1" s="289">
      <c r="A3113" s="205" t="n"/>
      <c r="B3113" s="207" t="n"/>
      <c r="C3113" s="104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348" t="n"/>
      <c r="E3113" s="349">
        <f>IF(C3113="","",IFERROR(VLOOKUP(C3113,parametros!$A$11:$E$15,5,0),""))</f>
        <v/>
      </c>
      <c r="F3113" s="335">
        <f>IF(OR(D3113="",E3113=""),"",ROUND(D3113*E3113,2))</f>
        <v/>
      </c>
      <c r="G3113" s="106" t="n"/>
      <c r="H3113" s="350">
        <f>IF(G3113="Sim",IF(OR(F3113="",D3113="",L3113=""),"",IF(L3113="Sim",ROUND(F3113-D3113,2),0)),0)</f>
        <v/>
      </c>
      <c r="I3113" s="350">
        <f>IF(G3113="Sim",0,IF(OR(F3113="",L3113=""),"",F3113))</f>
        <v/>
      </c>
      <c r="J3113" s="350">
        <f>IF(G3113="Sim",0,IF(OR(F3113="",D3113="",L3113=""),"",IF(L3113="Sim",ROUND(F3113-D3113,2),0)))</f>
        <v/>
      </c>
      <c r="K3113" s="97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inlineStr">
        <is>
          <t>Nao</t>
        </is>
      </c>
      <c r="W3113" s="110" t="inlineStr">
        <is>
          <t>PC em analise</t>
        </is>
      </c>
      <c r="X3113" s="110" t="inlineStr">
        <is>
          <t>Pedido de Compra</t>
        </is>
      </c>
      <c r="Y3113" s="111" t="inlineStr">
        <is>
          <t>Impacto Potencial</t>
        </is>
      </c>
      <c r="Z3113" s="111" t="inlineStr">
        <is>
          <t>PC</t>
        </is>
      </c>
      <c r="AA3113" s="111" t="inlineStr">
        <is>
          <t>Nao</t>
        </is>
      </c>
      <c r="AB3113" s="111" t="inlineStr">
        <is>
          <t>NAO_COMPUTADO</t>
        </is>
      </c>
      <c r="AC3113" s="112" t="inlineStr">
        <is>
          <t>Estrutura Fase 1: sem impacto no VTA oficial</t>
        </is>
      </c>
    </row>
    <row r="3114" ht="25.5" customHeight="1" s="289">
      <c r="A3114" s="205" t="n"/>
      <c r="B3114" s="207" t="n"/>
      <c r="C3114" s="104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348" t="n"/>
      <c r="E3114" s="349">
        <f>IF(C3114="","",IFERROR(VLOOKUP(C3114,parametros!$A$11:$E$15,5,0),""))</f>
        <v/>
      </c>
      <c r="F3114" s="335">
        <f>IF(OR(D3114="",E3114=""),"",ROUND(D3114*E3114,2))</f>
        <v/>
      </c>
      <c r="G3114" s="106" t="n"/>
      <c r="H3114" s="350">
        <f>IF(G3114="Sim",IF(OR(F3114="",D3114="",L3114=""),"",IF(L3114="Sim",ROUND(F3114-D3114,2),0)),0)</f>
        <v/>
      </c>
      <c r="I3114" s="350">
        <f>IF(G3114="Sim",0,IF(OR(F3114="",L3114=""),"",F3114))</f>
        <v/>
      </c>
      <c r="J3114" s="350">
        <f>IF(G3114="Sim",0,IF(OR(F3114="",D3114="",L3114=""),"",IF(L3114="Sim",ROUND(F3114-D3114,2),0)))</f>
        <v/>
      </c>
      <c r="K3114" s="97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inlineStr">
        <is>
          <t>Nao</t>
        </is>
      </c>
      <c r="W3114" s="110" t="inlineStr">
        <is>
          <t>PC em analise</t>
        </is>
      </c>
      <c r="X3114" s="110" t="inlineStr">
        <is>
          <t>Pedido de Compra</t>
        </is>
      </c>
      <c r="Y3114" s="111" t="inlineStr">
        <is>
          <t>Impacto Potencial</t>
        </is>
      </c>
      <c r="Z3114" s="111" t="inlineStr">
        <is>
          <t>PC</t>
        </is>
      </c>
      <c r="AA3114" s="111" t="inlineStr">
        <is>
          <t>Nao</t>
        </is>
      </c>
      <c r="AB3114" s="111" t="inlineStr">
        <is>
          <t>NAO_COMPUTADO</t>
        </is>
      </c>
      <c r="AC3114" s="112" t="inlineStr">
        <is>
          <t>Estrutura Fase 1: sem impacto no VTA oficial</t>
        </is>
      </c>
    </row>
    <row r="3115" ht="25.5" customHeight="1" s="289">
      <c r="A3115" s="205" t="n"/>
      <c r="B3115" s="207" t="n"/>
      <c r="C3115" s="104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348" t="n"/>
      <c r="E3115" s="349">
        <f>IF(C3115="","",IFERROR(VLOOKUP(C3115,parametros!$A$11:$E$15,5,0),""))</f>
        <v/>
      </c>
      <c r="F3115" s="335">
        <f>IF(OR(D3115="",E3115=""),"",ROUND(D3115*E3115,2))</f>
        <v/>
      </c>
      <c r="G3115" s="106" t="n"/>
      <c r="H3115" s="350">
        <f>IF(G3115="Sim",IF(OR(F3115="",D3115="",L3115=""),"",IF(L3115="Sim",ROUND(F3115-D3115,2),0)),0)</f>
        <v/>
      </c>
      <c r="I3115" s="350">
        <f>IF(G3115="Sim",0,IF(OR(F3115="",L3115=""),"",F3115))</f>
        <v/>
      </c>
      <c r="J3115" s="350">
        <f>IF(G3115="Sim",0,IF(OR(F3115="",D3115="",L3115=""),"",IF(L3115="Sim",ROUND(F3115-D3115,2),0)))</f>
        <v/>
      </c>
      <c r="K3115" s="97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inlineStr">
        <is>
          <t>Nao</t>
        </is>
      </c>
      <c r="W3115" s="110" t="inlineStr">
        <is>
          <t>PC em analise</t>
        </is>
      </c>
      <c r="X3115" s="110" t="inlineStr">
        <is>
          <t>Pedido de Compra</t>
        </is>
      </c>
      <c r="Y3115" s="111" t="inlineStr">
        <is>
          <t>Impacto Potencial</t>
        </is>
      </c>
      <c r="Z3115" s="111" t="inlineStr">
        <is>
          <t>PC</t>
        </is>
      </c>
      <c r="AA3115" s="111" t="inlineStr">
        <is>
          <t>Nao</t>
        </is>
      </c>
      <c r="AB3115" s="111" t="inlineStr">
        <is>
          <t>NAO_COMPUTADO</t>
        </is>
      </c>
      <c r="AC3115" s="112" t="inlineStr">
        <is>
          <t>Estrutura Fase 1: sem impacto no VTA oficial</t>
        </is>
      </c>
    </row>
    <row r="3116" ht="25.5" customHeight="1" s="289">
      <c r="A3116" s="205" t="n"/>
      <c r="B3116" s="207" t="n"/>
      <c r="C3116" s="104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348" t="n"/>
      <c r="E3116" s="349">
        <f>IF(C3116="","",IFERROR(VLOOKUP(C3116,parametros!$A$11:$E$15,5,0),""))</f>
        <v/>
      </c>
      <c r="F3116" s="335">
        <f>IF(OR(D3116="",E3116=""),"",ROUND(D3116*E3116,2))</f>
        <v/>
      </c>
      <c r="G3116" s="106" t="n"/>
      <c r="H3116" s="350">
        <f>IF(G3116="Sim",IF(OR(F3116="",D3116="",L3116=""),"",IF(L3116="Sim",ROUND(F3116-D3116,2),0)),0)</f>
        <v/>
      </c>
      <c r="I3116" s="350">
        <f>IF(G3116="Sim",0,IF(OR(F3116="",L3116=""),"",F3116))</f>
        <v/>
      </c>
      <c r="J3116" s="350">
        <f>IF(G3116="Sim",0,IF(OR(F3116="",D3116="",L3116=""),"",IF(L3116="Sim",ROUND(F3116-D3116,2),0)))</f>
        <v/>
      </c>
      <c r="K3116" s="97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inlineStr">
        <is>
          <t>Nao</t>
        </is>
      </c>
      <c r="W3116" s="110" t="inlineStr">
        <is>
          <t>PC em analise</t>
        </is>
      </c>
      <c r="X3116" s="110" t="inlineStr">
        <is>
          <t>Pedido de Compra</t>
        </is>
      </c>
      <c r="Y3116" s="111" t="inlineStr">
        <is>
          <t>Impacto Potencial</t>
        </is>
      </c>
      <c r="Z3116" s="111" t="inlineStr">
        <is>
          <t>PC</t>
        </is>
      </c>
      <c r="AA3116" s="111" t="inlineStr">
        <is>
          <t>Nao</t>
        </is>
      </c>
      <c r="AB3116" s="111" t="inlineStr">
        <is>
          <t>NAO_COMPUTADO</t>
        </is>
      </c>
      <c r="AC3116" s="112" t="inlineStr">
        <is>
          <t>Estrutura Fase 1: sem impacto no VTA oficial</t>
        </is>
      </c>
    </row>
    <row r="3117" ht="25.5" customHeight="1" s="289">
      <c r="A3117" s="205" t="n"/>
      <c r="B3117" s="207" t="n"/>
      <c r="C3117" s="104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348" t="n"/>
      <c r="E3117" s="349">
        <f>IF(C3117="","",IFERROR(VLOOKUP(C3117,parametros!$A$11:$E$15,5,0),""))</f>
        <v/>
      </c>
      <c r="F3117" s="335">
        <f>IF(OR(D3117="",E3117=""),"",ROUND(D3117*E3117,2))</f>
        <v/>
      </c>
      <c r="G3117" s="106" t="n"/>
      <c r="H3117" s="350">
        <f>IF(G3117="Sim",IF(OR(F3117="",D3117="",L3117=""),"",IF(L3117="Sim",ROUND(F3117-D3117,2),0)),0)</f>
        <v/>
      </c>
      <c r="I3117" s="350">
        <f>IF(G3117="Sim",0,IF(OR(F3117="",L3117=""),"",F3117))</f>
        <v/>
      </c>
      <c r="J3117" s="350">
        <f>IF(G3117="Sim",0,IF(OR(F3117="",D3117="",L3117=""),"",IF(L3117="Sim",ROUND(F3117-D3117,2),0)))</f>
        <v/>
      </c>
      <c r="K3117" s="97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inlineStr">
        <is>
          <t>Nao</t>
        </is>
      </c>
      <c r="W3117" s="110" t="inlineStr">
        <is>
          <t>PC em analise</t>
        </is>
      </c>
      <c r="X3117" s="110" t="inlineStr">
        <is>
          <t>Pedido de Compra</t>
        </is>
      </c>
      <c r="Y3117" s="111" t="inlineStr">
        <is>
          <t>Impacto Potencial</t>
        </is>
      </c>
      <c r="Z3117" s="111" t="inlineStr">
        <is>
          <t>PC</t>
        </is>
      </c>
      <c r="AA3117" s="111" t="inlineStr">
        <is>
          <t>Nao</t>
        </is>
      </c>
      <c r="AB3117" s="111" t="inlineStr">
        <is>
          <t>NAO_COMPUTADO</t>
        </is>
      </c>
      <c r="AC3117" s="112" t="inlineStr">
        <is>
          <t>Estrutura Fase 1: sem impacto no VTA oficial</t>
        </is>
      </c>
    </row>
    <row r="3118" ht="25.5" customHeight="1" s="289">
      <c r="A3118" s="205" t="n"/>
      <c r="B3118" s="207" t="n"/>
      <c r="C3118" s="104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348" t="n"/>
      <c r="E3118" s="349">
        <f>IF(C3118="","",IFERROR(VLOOKUP(C3118,parametros!$A$11:$E$15,5,0),""))</f>
        <v/>
      </c>
      <c r="F3118" s="335">
        <f>IF(OR(D3118="",E3118=""),"",ROUND(D3118*E3118,2))</f>
        <v/>
      </c>
      <c r="G3118" s="106" t="n"/>
      <c r="H3118" s="350">
        <f>IF(G3118="Sim",IF(OR(F3118="",D3118="",L3118=""),"",IF(L3118="Sim",ROUND(F3118-D3118,2),0)),0)</f>
        <v/>
      </c>
      <c r="I3118" s="350">
        <f>IF(G3118="Sim",0,IF(OR(F3118="",L3118=""),"",F3118))</f>
        <v/>
      </c>
      <c r="J3118" s="350">
        <f>IF(G3118="Sim",0,IF(OR(F3118="",D3118="",L3118=""),"",IF(L3118="Sim",ROUND(F3118-D3118,2),0)))</f>
        <v/>
      </c>
      <c r="K3118" s="97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inlineStr">
        <is>
          <t>Nao</t>
        </is>
      </c>
      <c r="W3118" s="110" t="inlineStr">
        <is>
          <t>PC em analise</t>
        </is>
      </c>
      <c r="X3118" s="110" t="inlineStr">
        <is>
          <t>Pedido de Compra</t>
        </is>
      </c>
      <c r="Y3118" s="111" t="inlineStr">
        <is>
          <t>Impacto Potencial</t>
        </is>
      </c>
      <c r="Z3118" s="111" t="inlineStr">
        <is>
          <t>PC</t>
        </is>
      </c>
      <c r="AA3118" s="111" t="inlineStr">
        <is>
          <t>Nao</t>
        </is>
      </c>
      <c r="AB3118" s="111" t="inlineStr">
        <is>
          <t>NAO_COMPUTADO</t>
        </is>
      </c>
      <c r="AC3118" s="112" t="inlineStr">
        <is>
          <t>Estrutura Fase 1: sem impacto no VTA oficial</t>
        </is>
      </c>
    </row>
    <row r="3119" ht="25.5" customHeight="1" s="289">
      <c r="A3119" s="205" t="n"/>
      <c r="B3119" s="207" t="n"/>
      <c r="C3119" s="104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348" t="n"/>
      <c r="E3119" s="349">
        <f>IF(C3119="","",IFERROR(VLOOKUP(C3119,parametros!$A$11:$E$15,5,0),""))</f>
        <v/>
      </c>
      <c r="F3119" s="335">
        <f>IF(OR(D3119="",E3119=""),"",ROUND(D3119*E3119,2))</f>
        <v/>
      </c>
      <c r="G3119" s="106" t="n"/>
      <c r="H3119" s="350">
        <f>IF(G3119="Sim",IF(OR(F3119="",D3119="",L3119=""),"",IF(L3119="Sim",ROUND(F3119-D3119,2),0)),0)</f>
        <v/>
      </c>
      <c r="I3119" s="350">
        <f>IF(G3119="Sim",0,IF(OR(F3119="",L3119=""),"",F3119))</f>
        <v/>
      </c>
      <c r="J3119" s="350">
        <f>IF(G3119="Sim",0,IF(OR(F3119="",D3119="",L3119=""),"",IF(L3119="Sim",ROUND(F3119-D3119,2),0)))</f>
        <v/>
      </c>
      <c r="K3119" s="97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inlineStr">
        <is>
          <t>Nao</t>
        </is>
      </c>
      <c r="W3119" s="110" t="inlineStr">
        <is>
          <t>PC em analise</t>
        </is>
      </c>
      <c r="X3119" s="110" t="inlineStr">
        <is>
          <t>Pedido de Compra</t>
        </is>
      </c>
      <c r="Y3119" s="111" t="inlineStr">
        <is>
          <t>Impacto Potencial</t>
        </is>
      </c>
      <c r="Z3119" s="111" t="inlineStr">
        <is>
          <t>PC</t>
        </is>
      </c>
      <c r="AA3119" s="111" t="inlineStr">
        <is>
          <t>Nao</t>
        </is>
      </c>
      <c r="AB3119" s="111" t="inlineStr">
        <is>
          <t>NAO_COMPUTADO</t>
        </is>
      </c>
      <c r="AC3119" s="112" t="inlineStr">
        <is>
          <t>Estrutura Fase 1: sem impacto no VTA oficial</t>
        </is>
      </c>
    </row>
    <row r="3120" ht="25.5" customHeight="1" s="289">
      <c r="A3120" s="205" t="n"/>
      <c r="B3120" s="207" t="n"/>
      <c r="C3120" s="104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348" t="n"/>
      <c r="E3120" s="349">
        <f>IF(C3120="","",IFERROR(VLOOKUP(C3120,parametros!$A$11:$E$15,5,0),""))</f>
        <v/>
      </c>
      <c r="F3120" s="335">
        <f>IF(OR(D3120="",E3120=""),"",ROUND(D3120*E3120,2))</f>
        <v/>
      </c>
      <c r="G3120" s="106" t="n"/>
      <c r="H3120" s="350">
        <f>IF(G3120="Sim",IF(OR(F3120="",D3120="",L3120=""),"",IF(L3120="Sim",ROUND(F3120-D3120,2),0)),0)</f>
        <v/>
      </c>
      <c r="I3120" s="350">
        <f>IF(G3120="Sim",0,IF(OR(F3120="",L3120=""),"",F3120))</f>
        <v/>
      </c>
      <c r="J3120" s="350">
        <f>IF(G3120="Sim",0,IF(OR(F3120="",D3120="",L3120=""),"",IF(L3120="Sim",ROUND(F3120-D3120,2),0)))</f>
        <v/>
      </c>
      <c r="K3120" s="97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inlineStr">
        <is>
          <t>Nao</t>
        </is>
      </c>
      <c r="W3120" s="110" t="inlineStr">
        <is>
          <t>PC em analise</t>
        </is>
      </c>
      <c r="X3120" s="110" t="inlineStr">
        <is>
          <t>Pedido de Compra</t>
        </is>
      </c>
      <c r="Y3120" s="111" t="inlineStr">
        <is>
          <t>Impacto Potencial</t>
        </is>
      </c>
      <c r="Z3120" s="111" t="inlineStr">
        <is>
          <t>PC</t>
        </is>
      </c>
      <c r="AA3120" s="111" t="inlineStr">
        <is>
          <t>Nao</t>
        </is>
      </c>
      <c r="AB3120" s="111" t="inlineStr">
        <is>
          <t>NAO_COMPUTADO</t>
        </is>
      </c>
      <c r="AC3120" s="112" t="inlineStr">
        <is>
          <t>Estrutura Fase 1: sem impacto no VTA oficial</t>
        </is>
      </c>
    </row>
    <row r="3121" ht="25.5" customHeight="1" s="289">
      <c r="A3121" s="205" t="n"/>
      <c r="B3121" s="207" t="n"/>
      <c r="C3121" s="104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348" t="n"/>
      <c r="E3121" s="349">
        <f>IF(C3121="","",IFERROR(VLOOKUP(C3121,parametros!$A$11:$E$15,5,0),""))</f>
        <v/>
      </c>
      <c r="F3121" s="335">
        <f>IF(OR(D3121="",E3121=""),"",ROUND(D3121*E3121,2))</f>
        <v/>
      </c>
      <c r="G3121" s="106" t="n"/>
      <c r="H3121" s="350">
        <f>IF(G3121="Sim",IF(OR(F3121="",D3121="",L3121=""),"",IF(L3121="Sim",ROUND(F3121-D3121,2),0)),0)</f>
        <v/>
      </c>
      <c r="I3121" s="350">
        <f>IF(G3121="Sim",0,IF(OR(F3121="",L3121=""),"",F3121))</f>
        <v/>
      </c>
      <c r="J3121" s="350">
        <f>IF(G3121="Sim",0,IF(OR(F3121="",D3121="",L3121=""),"",IF(L3121="Sim",ROUND(F3121-D3121,2),0)))</f>
        <v/>
      </c>
      <c r="K3121" s="97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inlineStr">
        <is>
          <t>Nao</t>
        </is>
      </c>
      <c r="W3121" s="110" t="inlineStr">
        <is>
          <t>PC em analise</t>
        </is>
      </c>
      <c r="X3121" s="110" t="inlineStr">
        <is>
          <t>Pedido de Compra</t>
        </is>
      </c>
      <c r="Y3121" s="111" t="inlineStr">
        <is>
          <t>Impacto Potencial</t>
        </is>
      </c>
      <c r="Z3121" s="111" t="inlineStr">
        <is>
          <t>PC</t>
        </is>
      </c>
      <c r="AA3121" s="111" t="inlineStr">
        <is>
          <t>Nao</t>
        </is>
      </c>
      <c r="AB3121" s="111" t="inlineStr">
        <is>
          <t>NAO_COMPUTADO</t>
        </is>
      </c>
      <c r="AC3121" s="112" t="inlineStr">
        <is>
          <t>Estrutura Fase 1: sem impacto no VTA oficial</t>
        </is>
      </c>
    </row>
    <row r="3122" ht="25.5" customHeight="1" s="289">
      <c r="A3122" s="205" t="n"/>
      <c r="B3122" s="207" t="n"/>
      <c r="C3122" s="104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348" t="n"/>
      <c r="E3122" s="349">
        <f>IF(C3122="","",IFERROR(VLOOKUP(C3122,parametros!$A$11:$E$15,5,0),""))</f>
        <v/>
      </c>
      <c r="F3122" s="335">
        <f>IF(OR(D3122="",E3122=""),"",ROUND(D3122*E3122,2))</f>
        <v/>
      </c>
      <c r="G3122" s="106" t="n"/>
      <c r="H3122" s="350">
        <f>IF(G3122="Sim",IF(OR(F3122="",D3122="",L3122=""),"",IF(L3122="Sim",ROUND(F3122-D3122,2),0)),0)</f>
        <v/>
      </c>
      <c r="I3122" s="350">
        <f>IF(G3122="Sim",0,IF(OR(F3122="",L3122=""),"",F3122))</f>
        <v/>
      </c>
      <c r="J3122" s="350">
        <f>IF(G3122="Sim",0,IF(OR(F3122="",D3122="",L3122=""),"",IF(L3122="Sim",ROUND(F3122-D3122,2),0)))</f>
        <v/>
      </c>
      <c r="K3122" s="97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inlineStr">
        <is>
          <t>Nao</t>
        </is>
      </c>
      <c r="W3122" s="110" t="inlineStr">
        <is>
          <t>PC em analise</t>
        </is>
      </c>
      <c r="X3122" s="110" t="inlineStr">
        <is>
          <t>Pedido de Compra</t>
        </is>
      </c>
      <c r="Y3122" s="111" t="inlineStr">
        <is>
          <t>Impacto Potencial</t>
        </is>
      </c>
      <c r="Z3122" s="111" t="inlineStr">
        <is>
          <t>PC</t>
        </is>
      </c>
      <c r="AA3122" s="111" t="inlineStr">
        <is>
          <t>Nao</t>
        </is>
      </c>
      <c r="AB3122" s="111" t="inlineStr">
        <is>
          <t>NAO_COMPUTADO</t>
        </is>
      </c>
      <c r="AC3122" s="112" t="inlineStr">
        <is>
          <t>Estrutura Fase 1: sem impacto no VTA oficial</t>
        </is>
      </c>
    </row>
    <row r="3123" ht="25.5" customHeight="1" s="289">
      <c r="A3123" s="205" t="n"/>
      <c r="B3123" s="207" t="n"/>
      <c r="C3123" s="104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348" t="n"/>
      <c r="E3123" s="349">
        <f>IF(C3123="","",IFERROR(VLOOKUP(C3123,parametros!$A$11:$E$15,5,0),""))</f>
        <v/>
      </c>
      <c r="F3123" s="335">
        <f>IF(OR(D3123="",E3123=""),"",ROUND(D3123*E3123,2))</f>
        <v/>
      </c>
      <c r="G3123" s="106" t="n"/>
      <c r="H3123" s="350">
        <f>IF(G3123="Sim",IF(OR(F3123="",D3123="",L3123=""),"",IF(L3123="Sim",ROUND(F3123-D3123,2),0)),0)</f>
        <v/>
      </c>
      <c r="I3123" s="350">
        <f>IF(G3123="Sim",0,IF(OR(F3123="",L3123=""),"",F3123))</f>
        <v/>
      </c>
      <c r="J3123" s="350">
        <f>IF(G3123="Sim",0,IF(OR(F3123="",D3123="",L3123=""),"",IF(L3123="Sim",ROUND(F3123-D3123,2),0)))</f>
        <v/>
      </c>
      <c r="K3123" s="97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inlineStr">
        <is>
          <t>Nao</t>
        </is>
      </c>
      <c r="W3123" s="110" t="inlineStr">
        <is>
          <t>PC em analise</t>
        </is>
      </c>
      <c r="X3123" s="110" t="inlineStr">
        <is>
          <t>Pedido de Compra</t>
        </is>
      </c>
      <c r="Y3123" s="111" t="inlineStr">
        <is>
          <t>Impacto Potencial</t>
        </is>
      </c>
      <c r="Z3123" s="111" t="inlineStr">
        <is>
          <t>PC</t>
        </is>
      </c>
      <c r="AA3123" s="111" t="inlineStr">
        <is>
          <t>Nao</t>
        </is>
      </c>
      <c r="AB3123" s="111" t="inlineStr">
        <is>
          <t>NAO_COMPUTADO</t>
        </is>
      </c>
      <c r="AC3123" s="112" t="inlineStr">
        <is>
          <t>Estrutura Fase 1: sem impacto no VTA oficial</t>
        </is>
      </c>
    </row>
    <row r="3124" ht="25.5" customHeight="1" s="289">
      <c r="A3124" s="205" t="n"/>
      <c r="B3124" s="207" t="n"/>
      <c r="C3124" s="104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348" t="n"/>
      <c r="E3124" s="349">
        <f>IF(C3124="","",IFERROR(VLOOKUP(C3124,parametros!$A$11:$E$15,5,0),""))</f>
        <v/>
      </c>
      <c r="F3124" s="335">
        <f>IF(OR(D3124="",E3124=""),"",ROUND(D3124*E3124,2))</f>
        <v/>
      </c>
      <c r="G3124" s="106" t="n"/>
      <c r="H3124" s="350">
        <f>IF(G3124="Sim",IF(OR(F3124="",D3124="",L3124=""),"",IF(L3124="Sim",ROUND(F3124-D3124,2),0)),0)</f>
        <v/>
      </c>
      <c r="I3124" s="350">
        <f>IF(G3124="Sim",0,IF(OR(F3124="",L3124=""),"",F3124))</f>
        <v/>
      </c>
      <c r="J3124" s="350">
        <f>IF(G3124="Sim",0,IF(OR(F3124="",D3124="",L3124=""),"",IF(L3124="Sim",ROUND(F3124-D3124,2),0)))</f>
        <v/>
      </c>
      <c r="K3124" s="97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inlineStr">
        <is>
          <t>Nao</t>
        </is>
      </c>
      <c r="W3124" s="110" t="inlineStr">
        <is>
          <t>PC em analise</t>
        </is>
      </c>
      <c r="X3124" s="110" t="inlineStr">
        <is>
          <t>Pedido de Compra</t>
        </is>
      </c>
      <c r="Y3124" s="111" t="inlineStr">
        <is>
          <t>Impacto Potencial</t>
        </is>
      </c>
      <c r="Z3124" s="111" t="inlineStr">
        <is>
          <t>PC</t>
        </is>
      </c>
      <c r="AA3124" s="111" t="inlineStr">
        <is>
          <t>Nao</t>
        </is>
      </c>
      <c r="AB3124" s="111" t="inlineStr">
        <is>
          <t>NAO_COMPUTADO</t>
        </is>
      </c>
      <c r="AC3124" s="112" t="inlineStr">
        <is>
          <t>Estrutura Fase 1: sem impacto no VTA oficial</t>
        </is>
      </c>
    </row>
    <row r="3125" ht="25.5" customHeight="1" s="289">
      <c r="A3125" s="205" t="n"/>
      <c r="B3125" s="207" t="n"/>
      <c r="C3125" s="104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348" t="n"/>
      <c r="E3125" s="349">
        <f>IF(C3125="","",IFERROR(VLOOKUP(C3125,parametros!$A$11:$E$15,5,0),""))</f>
        <v/>
      </c>
      <c r="F3125" s="335">
        <f>IF(OR(D3125="",E3125=""),"",ROUND(D3125*E3125,2))</f>
        <v/>
      </c>
      <c r="G3125" s="106" t="n"/>
      <c r="H3125" s="350">
        <f>IF(G3125="Sim",IF(OR(F3125="",D3125="",L3125=""),"",IF(L3125="Sim",ROUND(F3125-D3125,2),0)),0)</f>
        <v/>
      </c>
      <c r="I3125" s="350">
        <f>IF(G3125="Sim",0,IF(OR(F3125="",L3125=""),"",F3125))</f>
        <v/>
      </c>
      <c r="J3125" s="350">
        <f>IF(G3125="Sim",0,IF(OR(F3125="",D3125="",L3125=""),"",IF(L3125="Sim",ROUND(F3125-D3125,2),0)))</f>
        <v/>
      </c>
      <c r="K3125" s="97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inlineStr">
        <is>
          <t>Nao</t>
        </is>
      </c>
      <c r="W3125" s="110" t="inlineStr">
        <is>
          <t>PC em analise</t>
        </is>
      </c>
      <c r="X3125" s="110" t="inlineStr">
        <is>
          <t>Pedido de Compra</t>
        </is>
      </c>
      <c r="Y3125" s="111" t="inlineStr">
        <is>
          <t>Impacto Potencial</t>
        </is>
      </c>
      <c r="Z3125" s="111" t="inlineStr">
        <is>
          <t>PC</t>
        </is>
      </c>
      <c r="AA3125" s="111" t="inlineStr">
        <is>
          <t>Nao</t>
        </is>
      </c>
      <c r="AB3125" s="111" t="inlineStr">
        <is>
          <t>NAO_COMPUTADO</t>
        </is>
      </c>
      <c r="AC3125" s="112" t="inlineStr">
        <is>
          <t>Estrutura Fase 1: sem impacto no VTA oficial</t>
        </is>
      </c>
    </row>
    <row r="3126" ht="25.5" customHeight="1" s="289">
      <c r="A3126" s="205" t="n"/>
      <c r="B3126" s="207" t="n"/>
      <c r="C3126" s="104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348" t="n"/>
      <c r="E3126" s="349">
        <f>IF(C3126="","",IFERROR(VLOOKUP(C3126,parametros!$A$11:$E$15,5,0),""))</f>
        <v/>
      </c>
      <c r="F3126" s="335">
        <f>IF(OR(D3126="",E3126=""),"",ROUND(D3126*E3126,2))</f>
        <v/>
      </c>
      <c r="G3126" s="106" t="n"/>
      <c r="H3126" s="350">
        <f>IF(G3126="Sim",IF(OR(F3126="",D3126="",L3126=""),"",IF(L3126="Sim",ROUND(F3126-D3126,2),0)),0)</f>
        <v/>
      </c>
      <c r="I3126" s="350">
        <f>IF(G3126="Sim",0,IF(OR(F3126="",L3126=""),"",F3126))</f>
        <v/>
      </c>
      <c r="J3126" s="350">
        <f>IF(G3126="Sim",0,IF(OR(F3126="",D3126="",L3126=""),"",IF(L3126="Sim",ROUND(F3126-D3126,2),0)))</f>
        <v/>
      </c>
      <c r="K3126" s="97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inlineStr">
        <is>
          <t>Nao</t>
        </is>
      </c>
      <c r="W3126" s="110" t="inlineStr">
        <is>
          <t>PC em analise</t>
        </is>
      </c>
      <c r="X3126" s="110" t="inlineStr">
        <is>
          <t>Pedido de Compra</t>
        </is>
      </c>
      <c r="Y3126" s="111" t="inlineStr">
        <is>
          <t>Impacto Potencial</t>
        </is>
      </c>
      <c r="Z3126" s="111" t="inlineStr">
        <is>
          <t>PC</t>
        </is>
      </c>
      <c r="AA3126" s="111" t="inlineStr">
        <is>
          <t>Nao</t>
        </is>
      </c>
      <c r="AB3126" s="111" t="inlineStr">
        <is>
          <t>NAO_COMPUTADO</t>
        </is>
      </c>
      <c r="AC3126" s="112" t="inlineStr">
        <is>
          <t>Estrutura Fase 1: sem impacto no VTA oficial</t>
        </is>
      </c>
    </row>
    <row r="3127" ht="25.5" customHeight="1" s="289">
      <c r="A3127" s="205" t="n"/>
      <c r="B3127" s="207" t="n"/>
      <c r="C3127" s="104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348" t="n"/>
      <c r="E3127" s="349">
        <f>IF(C3127="","",IFERROR(VLOOKUP(C3127,parametros!$A$11:$E$15,5,0),""))</f>
        <v/>
      </c>
      <c r="F3127" s="335">
        <f>IF(OR(D3127="",E3127=""),"",ROUND(D3127*E3127,2))</f>
        <v/>
      </c>
      <c r="G3127" s="106" t="n"/>
      <c r="H3127" s="350">
        <f>IF(G3127="Sim",IF(OR(F3127="",D3127="",L3127=""),"",IF(L3127="Sim",ROUND(F3127-D3127,2),0)),0)</f>
        <v/>
      </c>
      <c r="I3127" s="350">
        <f>IF(G3127="Sim",0,IF(OR(F3127="",L3127=""),"",F3127))</f>
        <v/>
      </c>
      <c r="J3127" s="350">
        <f>IF(G3127="Sim",0,IF(OR(F3127="",D3127="",L3127=""),"",IF(L3127="Sim",ROUND(F3127-D3127,2),0)))</f>
        <v/>
      </c>
      <c r="K3127" s="97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inlineStr">
        <is>
          <t>Nao</t>
        </is>
      </c>
      <c r="W3127" s="110" t="inlineStr">
        <is>
          <t>PC em analise</t>
        </is>
      </c>
      <c r="X3127" s="110" t="inlineStr">
        <is>
          <t>Pedido de Compra</t>
        </is>
      </c>
      <c r="Y3127" s="111" t="inlineStr">
        <is>
          <t>Impacto Potencial</t>
        </is>
      </c>
      <c r="Z3127" s="111" t="inlineStr">
        <is>
          <t>PC</t>
        </is>
      </c>
      <c r="AA3127" s="111" t="inlineStr">
        <is>
          <t>Nao</t>
        </is>
      </c>
      <c r="AB3127" s="111" t="inlineStr">
        <is>
          <t>NAO_COMPUTADO</t>
        </is>
      </c>
      <c r="AC3127" s="112" t="inlineStr">
        <is>
          <t>Estrutura Fase 1: sem impacto no VTA oficial</t>
        </is>
      </c>
    </row>
    <row r="3128" ht="25.5" customHeight="1" s="289">
      <c r="A3128" s="205" t="n"/>
      <c r="B3128" s="207" t="n"/>
      <c r="C3128" s="104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348" t="n"/>
      <c r="E3128" s="349">
        <f>IF(C3128="","",IFERROR(VLOOKUP(C3128,parametros!$A$11:$E$15,5,0),""))</f>
        <v/>
      </c>
      <c r="F3128" s="335">
        <f>IF(OR(D3128="",E3128=""),"",ROUND(D3128*E3128,2))</f>
        <v/>
      </c>
      <c r="G3128" s="106" t="n"/>
      <c r="H3128" s="350">
        <f>IF(G3128="Sim",IF(OR(F3128="",D3128="",L3128=""),"",IF(L3128="Sim",ROUND(F3128-D3128,2),0)),0)</f>
        <v/>
      </c>
      <c r="I3128" s="350">
        <f>IF(G3128="Sim",0,IF(OR(F3128="",L3128=""),"",F3128))</f>
        <v/>
      </c>
      <c r="J3128" s="350">
        <f>IF(G3128="Sim",0,IF(OR(F3128="",D3128="",L3128=""),"",IF(L3128="Sim",ROUND(F3128-D3128,2),0)))</f>
        <v/>
      </c>
      <c r="K3128" s="97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inlineStr">
        <is>
          <t>Nao</t>
        </is>
      </c>
      <c r="W3128" s="110" t="inlineStr">
        <is>
          <t>PC em analise</t>
        </is>
      </c>
      <c r="X3128" s="110" t="inlineStr">
        <is>
          <t>Pedido de Compra</t>
        </is>
      </c>
      <c r="Y3128" s="111" t="inlineStr">
        <is>
          <t>Impacto Potencial</t>
        </is>
      </c>
      <c r="Z3128" s="111" t="inlineStr">
        <is>
          <t>PC</t>
        </is>
      </c>
      <c r="AA3128" s="111" t="inlineStr">
        <is>
          <t>Nao</t>
        </is>
      </c>
      <c r="AB3128" s="111" t="inlineStr">
        <is>
          <t>NAO_COMPUTADO</t>
        </is>
      </c>
      <c r="AC3128" s="112" t="inlineStr">
        <is>
          <t>Estrutura Fase 1: sem impacto no VTA oficial</t>
        </is>
      </c>
    </row>
    <row r="3129" ht="25.5" customHeight="1" s="289">
      <c r="A3129" s="205" t="n"/>
      <c r="B3129" s="207" t="n"/>
      <c r="C3129" s="104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348" t="n"/>
      <c r="E3129" s="349">
        <f>IF(C3129="","",IFERROR(VLOOKUP(C3129,parametros!$A$11:$E$15,5,0),""))</f>
        <v/>
      </c>
      <c r="F3129" s="335">
        <f>IF(OR(D3129="",E3129=""),"",ROUND(D3129*E3129,2))</f>
        <v/>
      </c>
      <c r="G3129" s="106" t="n"/>
      <c r="H3129" s="350">
        <f>IF(G3129="Sim",IF(OR(F3129="",D3129="",L3129=""),"",IF(L3129="Sim",ROUND(F3129-D3129,2),0)),0)</f>
        <v/>
      </c>
      <c r="I3129" s="350">
        <f>IF(G3129="Sim",0,IF(OR(F3129="",L3129=""),"",F3129))</f>
        <v/>
      </c>
      <c r="J3129" s="350">
        <f>IF(G3129="Sim",0,IF(OR(F3129="",D3129="",L3129=""),"",IF(L3129="Sim",ROUND(F3129-D3129,2),0)))</f>
        <v/>
      </c>
      <c r="K3129" s="97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inlineStr">
        <is>
          <t>Nao</t>
        </is>
      </c>
      <c r="W3129" s="110" t="inlineStr">
        <is>
          <t>PC em analise</t>
        </is>
      </c>
      <c r="X3129" s="110" t="inlineStr">
        <is>
          <t>Pedido de Compra</t>
        </is>
      </c>
      <c r="Y3129" s="111" t="inlineStr">
        <is>
          <t>Impacto Potencial</t>
        </is>
      </c>
      <c r="Z3129" s="111" t="inlineStr">
        <is>
          <t>PC</t>
        </is>
      </c>
      <c r="AA3129" s="111" t="inlineStr">
        <is>
          <t>Nao</t>
        </is>
      </c>
      <c r="AB3129" s="111" t="inlineStr">
        <is>
          <t>NAO_COMPUTADO</t>
        </is>
      </c>
      <c r="AC3129" s="112" t="inlineStr">
        <is>
          <t>Estrutura Fase 1: sem impacto no VTA oficial</t>
        </is>
      </c>
    </row>
    <row r="3130" ht="25.5" customHeight="1" s="289">
      <c r="A3130" s="205" t="n"/>
      <c r="B3130" s="207" t="n"/>
      <c r="C3130" s="104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348" t="n"/>
      <c r="E3130" s="349">
        <f>IF(C3130="","",IFERROR(VLOOKUP(C3130,parametros!$A$11:$E$15,5,0),""))</f>
        <v/>
      </c>
      <c r="F3130" s="335">
        <f>IF(OR(D3130="",E3130=""),"",ROUND(D3130*E3130,2))</f>
        <v/>
      </c>
      <c r="G3130" s="106" t="n"/>
      <c r="H3130" s="350">
        <f>IF(G3130="Sim",IF(OR(F3130="",D3130="",L3130=""),"",IF(L3130="Sim",ROUND(F3130-D3130,2),0)),0)</f>
        <v/>
      </c>
      <c r="I3130" s="350">
        <f>IF(G3130="Sim",0,IF(OR(F3130="",L3130=""),"",F3130))</f>
        <v/>
      </c>
      <c r="J3130" s="350">
        <f>IF(G3130="Sim",0,IF(OR(F3130="",D3130="",L3130=""),"",IF(L3130="Sim",ROUND(F3130-D3130,2),0)))</f>
        <v/>
      </c>
      <c r="K3130" s="97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inlineStr">
        <is>
          <t>Nao</t>
        </is>
      </c>
      <c r="W3130" s="110" t="inlineStr">
        <is>
          <t>PC em analise</t>
        </is>
      </c>
      <c r="X3130" s="110" t="inlineStr">
        <is>
          <t>Pedido de Compra</t>
        </is>
      </c>
      <c r="Y3130" s="111" t="inlineStr">
        <is>
          <t>Impacto Potencial</t>
        </is>
      </c>
      <c r="Z3130" s="111" t="inlineStr">
        <is>
          <t>PC</t>
        </is>
      </c>
      <c r="AA3130" s="111" t="inlineStr">
        <is>
          <t>Nao</t>
        </is>
      </c>
      <c r="AB3130" s="111" t="inlineStr">
        <is>
          <t>NAO_COMPUTADO</t>
        </is>
      </c>
      <c r="AC3130" s="112" t="inlineStr">
        <is>
          <t>Estrutura Fase 1: sem impacto no VTA oficial</t>
        </is>
      </c>
    </row>
    <row r="3131" ht="25.5" customHeight="1" s="289">
      <c r="A3131" s="205" t="n"/>
      <c r="B3131" s="207" t="n"/>
      <c r="C3131" s="104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348" t="n"/>
      <c r="E3131" s="349">
        <f>IF(C3131="","",IFERROR(VLOOKUP(C3131,parametros!$A$11:$E$15,5,0),""))</f>
        <v/>
      </c>
      <c r="F3131" s="335">
        <f>IF(OR(D3131="",E3131=""),"",ROUND(D3131*E3131,2))</f>
        <v/>
      </c>
      <c r="G3131" s="106" t="n"/>
      <c r="H3131" s="350">
        <f>IF(G3131="Sim",IF(OR(F3131="",D3131="",L3131=""),"",IF(L3131="Sim",ROUND(F3131-D3131,2),0)),0)</f>
        <v/>
      </c>
      <c r="I3131" s="350">
        <f>IF(G3131="Sim",0,IF(OR(F3131="",L3131=""),"",F3131))</f>
        <v/>
      </c>
      <c r="J3131" s="350">
        <f>IF(G3131="Sim",0,IF(OR(F3131="",D3131="",L3131=""),"",IF(L3131="Sim",ROUND(F3131-D3131,2),0)))</f>
        <v/>
      </c>
      <c r="K3131" s="97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inlineStr">
        <is>
          <t>Nao</t>
        </is>
      </c>
      <c r="W3131" s="110" t="inlineStr">
        <is>
          <t>PC em analise</t>
        </is>
      </c>
      <c r="X3131" s="110" t="inlineStr">
        <is>
          <t>Pedido de Compra</t>
        </is>
      </c>
      <c r="Y3131" s="111" t="inlineStr">
        <is>
          <t>Impacto Potencial</t>
        </is>
      </c>
      <c r="Z3131" s="111" t="inlineStr">
        <is>
          <t>PC</t>
        </is>
      </c>
      <c r="AA3131" s="111" t="inlineStr">
        <is>
          <t>Nao</t>
        </is>
      </c>
      <c r="AB3131" s="111" t="inlineStr">
        <is>
          <t>NAO_COMPUTADO</t>
        </is>
      </c>
      <c r="AC3131" s="112" t="inlineStr">
        <is>
          <t>Estrutura Fase 1: sem impacto no VTA oficial</t>
        </is>
      </c>
    </row>
    <row r="3132" ht="25.5" customHeight="1" s="289">
      <c r="A3132" s="205" t="n"/>
      <c r="B3132" s="207" t="n"/>
      <c r="C3132" s="104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348" t="n"/>
      <c r="E3132" s="349">
        <f>IF(C3132="","",IFERROR(VLOOKUP(C3132,parametros!$A$11:$E$15,5,0),""))</f>
        <v/>
      </c>
      <c r="F3132" s="335">
        <f>IF(OR(D3132="",E3132=""),"",ROUND(D3132*E3132,2))</f>
        <v/>
      </c>
      <c r="G3132" s="106" t="n"/>
      <c r="H3132" s="350">
        <f>IF(G3132="Sim",IF(OR(F3132="",D3132="",L3132=""),"",IF(L3132="Sim",ROUND(F3132-D3132,2),0)),0)</f>
        <v/>
      </c>
      <c r="I3132" s="350">
        <f>IF(G3132="Sim",0,IF(OR(F3132="",L3132=""),"",F3132))</f>
        <v/>
      </c>
      <c r="J3132" s="350">
        <f>IF(G3132="Sim",0,IF(OR(F3132="",D3132="",L3132=""),"",IF(L3132="Sim",ROUND(F3132-D3132,2),0)))</f>
        <v/>
      </c>
      <c r="K3132" s="97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inlineStr">
        <is>
          <t>Nao</t>
        </is>
      </c>
      <c r="W3132" s="110" t="inlineStr">
        <is>
          <t>PC em analise</t>
        </is>
      </c>
      <c r="X3132" s="110" t="inlineStr">
        <is>
          <t>Pedido de Compra</t>
        </is>
      </c>
      <c r="Y3132" s="111" t="inlineStr">
        <is>
          <t>Impacto Potencial</t>
        </is>
      </c>
      <c r="Z3132" s="111" t="inlineStr">
        <is>
          <t>PC</t>
        </is>
      </c>
      <c r="AA3132" s="111" t="inlineStr">
        <is>
          <t>Nao</t>
        </is>
      </c>
      <c r="AB3132" s="111" t="inlineStr">
        <is>
          <t>NAO_COMPUTADO</t>
        </is>
      </c>
      <c r="AC3132" s="112" t="inlineStr">
        <is>
          <t>Estrutura Fase 1: sem impacto no VTA oficial</t>
        </is>
      </c>
    </row>
    <row r="3133" ht="25.5" customHeight="1" s="289">
      <c r="A3133" s="205" t="n"/>
      <c r="B3133" s="207" t="n"/>
      <c r="C3133" s="104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348" t="n"/>
      <c r="E3133" s="349">
        <f>IF(C3133="","",IFERROR(VLOOKUP(C3133,parametros!$A$11:$E$15,5,0),""))</f>
        <v/>
      </c>
      <c r="F3133" s="335">
        <f>IF(OR(D3133="",E3133=""),"",ROUND(D3133*E3133,2))</f>
        <v/>
      </c>
      <c r="G3133" s="106" t="n"/>
      <c r="H3133" s="350">
        <f>IF(G3133="Sim",IF(OR(F3133="",D3133="",L3133=""),"",IF(L3133="Sim",ROUND(F3133-D3133,2),0)),0)</f>
        <v/>
      </c>
      <c r="I3133" s="350">
        <f>IF(G3133="Sim",0,IF(OR(F3133="",L3133=""),"",F3133))</f>
        <v/>
      </c>
      <c r="J3133" s="350">
        <f>IF(G3133="Sim",0,IF(OR(F3133="",D3133="",L3133=""),"",IF(L3133="Sim",ROUND(F3133-D3133,2),0)))</f>
        <v/>
      </c>
      <c r="K3133" s="97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inlineStr">
        <is>
          <t>Nao</t>
        </is>
      </c>
      <c r="W3133" s="110" t="inlineStr">
        <is>
          <t>PC em analise</t>
        </is>
      </c>
      <c r="X3133" s="110" t="inlineStr">
        <is>
          <t>Pedido de Compra</t>
        </is>
      </c>
      <c r="Y3133" s="111" t="inlineStr">
        <is>
          <t>Impacto Potencial</t>
        </is>
      </c>
      <c r="Z3133" s="111" t="inlineStr">
        <is>
          <t>PC</t>
        </is>
      </c>
      <c r="AA3133" s="111" t="inlineStr">
        <is>
          <t>Nao</t>
        </is>
      </c>
      <c r="AB3133" s="111" t="inlineStr">
        <is>
          <t>NAO_COMPUTADO</t>
        </is>
      </c>
      <c r="AC3133" s="112" t="inlineStr">
        <is>
          <t>Estrutura Fase 1: sem impacto no VTA oficial</t>
        </is>
      </c>
    </row>
    <row r="3134" ht="25.5" customHeight="1" s="289">
      <c r="A3134" s="205" t="n"/>
      <c r="B3134" s="207" t="n"/>
      <c r="C3134" s="104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348" t="n"/>
      <c r="E3134" s="349">
        <f>IF(C3134="","",IFERROR(VLOOKUP(C3134,parametros!$A$11:$E$15,5,0),""))</f>
        <v/>
      </c>
      <c r="F3134" s="335">
        <f>IF(OR(D3134="",E3134=""),"",ROUND(D3134*E3134,2))</f>
        <v/>
      </c>
      <c r="G3134" s="106" t="n"/>
      <c r="H3134" s="350">
        <f>IF(G3134="Sim",IF(OR(F3134="",D3134="",L3134=""),"",IF(L3134="Sim",ROUND(F3134-D3134,2),0)),0)</f>
        <v/>
      </c>
      <c r="I3134" s="350">
        <f>IF(G3134="Sim",0,IF(OR(F3134="",L3134=""),"",F3134))</f>
        <v/>
      </c>
      <c r="J3134" s="350">
        <f>IF(G3134="Sim",0,IF(OR(F3134="",D3134="",L3134=""),"",IF(L3134="Sim",ROUND(F3134-D3134,2),0)))</f>
        <v/>
      </c>
      <c r="K3134" s="97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inlineStr">
        <is>
          <t>Nao</t>
        </is>
      </c>
      <c r="W3134" s="110" t="inlineStr">
        <is>
          <t>PC em analise</t>
        </is>
      </c>
      <c r="X3134" s="110" t="inlineStr">
        <is>
          <t>Pedido de Compra</t>
        </is>
      </c>
      <c r="Y3134" s="111" t="inlineStr">
        <is>
          <t>Impacto Potencial</t>
        </is>
      </c>
      <c r="Z3134" s="111" t="inlineStr">
        <is>
          <t>PC</t>
        </is>
      </c>
      <c r="AA3134" s="111" t="inlineStr">
        <is>
          <t>Nao</t>
        </is>
      </c>
      <c r="AB3134" s="111" t="inlineStr">
        <is>
          <t>NAO_COMPUTADO</t>
        </is>
      </c>
      <c r="AC3134" s="112" t="inlineStr">
        <is>
          <t>Estrutura Fase 1: sem impacto no VTA oficial</t>
        </is>
      </c>
    </row>
    <row r="3135" ht="25.5" customHeight="1" s="289">
      <c r="A3135" s="205" t="n"/>
      <c r="B3135" s="207" t="n"/>
      <c r="C3135" s="104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348" t="n"/>
      <c r="E3135" s="349">
        <f>IF(C3135="","",IFERROR(VLOOKUP(C3135,parametros!$A$11:$E$15,5,0),""))</f>
        <v/>
      </c>
      <c r="F3135" s="335">
        <f>IF(OR(D3135="",E3135=""),"",ROUND(D3135*E3135,2))</f>
        <v/>
      </c>
      <c r="G3135" s="106" t="n"/>
      <c r="H3135" s="350">
        <f>IF(G3135="Sim",IF(OR(F3135="",D3135="",L3135=""),"",IF(L3135="Sim",ROUND(F3135-D3135,2),0)),0)</f>
        <v/>
      </c>
      <c r="I3135" s="350">
        <f>IF(G3135="Sim",0,IF(OR(F3135="",L3135=""),"",F3135))</f>
        <v/>
      </c>
      <c r="J3135" s="350">
        <f>IF(G3135="Sim",0,IF(OR(F3135="",D3135="",L3135=""),"",IF(L3135="Sim",ROUND(F3135-D3135,2),0)))</f>
        <v/>
      </c>
      <c r="K3135" s="97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inlineStr">
        <is>
          <t>Nao</t>
        </is>
      </c>
      <c r="W3135" s="110" t="inlineStr">
        <is>
          <t>PC em analise</t>
        </is>
      </c>
      <c r="X3135" s="110" t="inlineStr">
        <is>
          <t>Pedido de Compra</t>
        </is>
      </c>
      <c r="Y3135" s="111" t="inlineStr">
        <is>
          <t>Impacto Potencial</t>
        </is>
      </c>
      <c r="Z3135" s="111" t="inlineStr">
        <is>
          <t>PC</t>
        </is>
      </c>
      <c r="AA3135" s="111" t="inlineStr">
        <is>
          <t>Nao</t>
        </is>
      </c>
      <c r="AB3135" s="111" t="inlineStr">
        <is>
          <t>NAO_COMPUTADO</t>
        </is>
      </c>
      <c r="AC3135" s="112" t="inlineStr">
        <is>
          <t>Estrutura Fase 1: sem impacto no VTA oficial</t>
        </is>
      </c>
    </row>
    <row r="3136" ht="25.5" customHeight="1" s="289">
      <c r="A3136" s="205" t="n"/>
      <c r="B3136" s="207" t="n"/>
      <c r="C3136" s="104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348" t="n"/>
      <c r="E3136" s="349">
        <f>IF(C3136="","",IFERROR(VLOOKUP(C3136,parametros!$A$11:$E$15,5,0),""))</f>
        <v/>
      </c>
      <c r="F3136" s="335">
        <f>IF(OR(D3136="",E3136=""),"",ROUND(D3136*E3136,2))</f>
        <v/>
      </c>
      <c r="G3136" s="106" t="n"/>
      <c r="H3136" s="350">
        <f>IF(G3136="Sim",IF(OR(F3136="",D3136="",L3136=""),"",IF(L3136="Sim",ROUND(F3136-D3136,2),0)),0)</f>
        <v/>
      </c>
      <c r="I3136" s="350">
        <f>IF(G3136="Sim",0,IF(OR(F3136="",L3136=""),"",F3136))</f>
        <v/>
      </c>
      <c r="J3136" s="350">
        <f>IF(G3136="Sim",0,IF(OR(F3136="",D3136="",L3136=""),"",IF(L3136="Sim",ROUND(F3136-D3136,2),0)))</f>
        <v/>
      </c>
      <c r="K3136" s="97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inlineStr">
        <is>
          <t>Nao</t>
        </is>
      </c>
      <c r="W3136" s="110" t="inlineStr">
        <is>
          <t>PC em analise</t>
        </is>
      </c>
      <c r="X3136" s="110" t="inlineStr">
        <is>
          <t>Pedido de Compra</t>
        </is>
      </c>
      <c r="Y3136" s="111" t="inlineStr">
        <is>
          <t>Impacto Potencial</t>
        </is>
      </c>
      <c r="Z3136" s="111" t="inlineStr">
        <is>
          <t>PC</t>
        </is>
      </c>
      <c r="AA3136" s="111" t="inlineStr">
        <is>
          <t>Nao</t>
        </is>
      </c>
      <c r="AB3136" s="111" t="inlineStr">
        <is>
          <t>NAO_COMPUTADO</t>
        </is>
      </c>
      <c r="AC3136" s="112" t="inlineStr">
        <is>
          <t>Estrutura Fase 1: sem impacto no VTA oficial</t>
        </is>
      </c>
    </row>
    <row r="3137" ht="25.5" customHeight="1" s="289">
      <c r="A3137" s="205" t="n"/>
      <c r="B3137" s="207" t="n"/>
      <c r="C3137" s="104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348" t="n"/>
      <c r="E3137" s="349">
        <f>IF(C3137="","",IFERROR(VLOOKUP(C3137,parametros!$A$11:$E$15,5,0),""))</f>
        <v/>
      </c>
      <c r="F3137" s="335">
        <f>IF(OR(D3137="",E3137=""),"",ROUND(D3137*E3137,2))</f>
        <v/>
      </c>
      <c r="G3137" s="106" t="n"/>
      <c r="H3137" s="350">
        <f>IF(G3137="Sim",IF(OR(F3137="",D3137="",L3137=""),"",IF(L3137="Sim",ROUND(F3137-D3137,2),0)),0)</f>
        <v/>
      </c>
      <c r="I3137" s="350">
        <f>IF(G3137="Sim",0,IF(OR(F3137="",L3137=""),"",F3137))</f>
        <v/>
      </c>
      <c r="J3137" s="350">
        <f>IF(G3137="Sim",0,IF(OR(F3137="",D3137="",L3137=""),"",IF(L3137="Sim",ROUND(F3137-D3137,2),0)))</f>
        <v/>
      </c>
      <c r="K3137" s="97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inlineStr">
        <is>
          <t>Nao</t>
        </is>
      </c>
      <c r="W3137" s="110" t="inlineStr">
        <is>
          <t>PC em analise</t>
        </is>
      </c>
      <c r="X3137" s="110" t="inlineStr">
        <is>
          <t>Pedido de Compra</t>
        </is>
      </c>
      <c r="Y3137" s="111" t="inlineStr">
        <is>
          <t>Impacto Potencial</t>
        </is>
      </c>
      <c r="Z3137" s="111" t="inlineStr">
        <is>
          <t>PC</t>
        </is>
      </c>
      <c r="AA3137" s="111" t="inlineStr">
        <is>
          <t>Nao</t>
        </is>
      </c>
      <c r="AB3137" s="111" t="inlineStr">
        <is>
          <t>NAO_COMPUTADO</t>
        </is>
      </c>
      <c r="AC3137" s="112" t="inlineStr">
        <is>
          <t>Estrutura Fase 1: sem impacto no VTA oficial</t>
        </is>
      </c>
    </row>
    <row r="3138" ht="25.5" customHeight="1" s="289">
      <c r="A3138" s="205" t="n"/>
      <c r="B3138" s="207" t="n"/>
      <c r="C3138" s="104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348" t="n"/>
      <c r="E3138" s="349">
        <f>IF(C3138="","",IFERROR(VLOOKUP(C3138,parametros!$A$11:$E$15,5,0),""))</f>
        <v/>
      </c>
      <c r="F3138" s="335">
        <f>IF(OR(D3138="",E3138=""),"",ROUND(D3138*E3138,2))</f>
        <v/>
      </c>
      <c r="G3138" s="106" t="n"/>
      <c r="H3138" s="350">
        <f>IF(G3138="Sim",IF(OR(F3138="",D3138="",L3138=""),"",IF(L3138="Sim",ROUND(F3138-D3138,2),0)),0)</f>
        <v/>
      </c>
      <c r="I3138" s="350">
        <f>IF(G3138="Sim",0,IF(OR(F3138="",L3138=""),"",F3138))</f>
        <v/>
      </c>
      <c r="J3138" s="350">
        <f>IF(G3138="Sim",0,IF(OR(F3138="",D3138="",L3138=""),"",IF(L3138="Sim",ROUND(F3138-D3138,2),0)))</f>
        <v/>
      </c>
      <c r="K3138" s="97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inlineStr">
        <is>
          <t>Nao</t>
        </is>
      </c>
      <c r="W3138" s="110" t="inlineStr">
        <is>
          <t>PC em analise</t>
        </is>
      </c>
      <c r="X3138" s="110" t="inlineStr">
        <is>
          <t>Pedido de Compra</t>
        </is>
      </c>
      <c r="Y3138" s="111" t="inlineStr">
        <is>
          <t>Impacto Potencial</t>
        </is>
      </c>
      <c r="Z3138" s="111" t="inlineStr">
        <is>
          <t>PC</t>
        </is>
      </c>
      <c r="AA3138" s="111" t="inlineStr">
        <is>
          <t>Nao</t>
        </is>
      </c>
      <c r="AB3138" s="111" t="inlineStr">
        <is>
          <t>NAO_COMPUTADO</t>
        </is>
      </c>
      <c r="AC3138" s="112" t="inlineStr">
        <is>
          <t>Estrutura Fase 1: sem impacto no VTA oficial</t>
        </is>
      </c>
    </row>
    <row r="3139" ht="25.5" customHeight="1" s="289">
      <c r="A3139" s="205" t="n"/>
      <c r="B3139" s="207" t="n"/>
      <c r="C3139" s="104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348" t="n"/>
      <c r="E3139" s="349">
        <f>IF(C3139="","",IFERROR(VLOOKUP(C3139,parametros!$A$11:$E$15,5,0),""))</f>
        <v/>
      </c>
      <c r="F3139" s="335">
        <f>IF(OR(D3139="",E3139=""),"",ROUND(D3139*E3139,2))</f>
        <v/>
      </c>
      <c r="G3139" s="106" t="n"/>
      <c r="H3139" s="350">
        <f>IF(G3139="Sim",IF(OR(F3139="",D3139="",L3139=""),"",IF(L3139="Sim",ROUND(F3139-D3139,2),0)),0)</f>
        <v/>
      </c>
      <c r="I3139" s="350">
        <f>IF(G3139="Sim",0,IF(OR(F3139="",L3139=""),"",F3139))</f>
        <v/>
      </c>
      <c r="J3139" s="350">
        <f>IF(G3139="Sim",0,IF(OR(F3139="",D3139="",L3139=""),"",IF(L3139="Sim",ROUND(F3139-D3139,2),0)))</f>
        <v/>
      </c>
      <c r="K3139" s="97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inlineStr">
        <is>
          <t>Nao</t>
        </is>
      </c>
      <c r="W3139" s="110" t="inlineStr">
        <is>
          <t>PC em analise</t>
        </is>
      </c>
      <c r="X3139" s="110" t="inlineStr">
        <is>
          <t>Pedido de Compra</t>
        </is>
      </c>
      <c r="Y3139" s="111" t="inlineStr">
        <is>
          <t>Impacto Potencial</t>
        </is>
      </c>
      <c r="Z3139" s="111" t="inlineStr">
        <is>
          <t>PC</t>
        </is>
      </c>
      <c r="AA3139" s="111" t="inlineStr">
        <is>
          <t>Nao</t>
        </is>
      </c>
      <c r="AB3139" s="111" t="inlineStr">
        <is>
          <t>NAO_COMPUTADO</t>
        </is>
      </c>
      <c r="AC3139" s="112" t="inlineStr">
        <is>
          <t>Estrutura Fase 1: sem impacto no VTA oficial</t>
        </is>
      </c>
    </row>
    <row r="3140" ht="25.5" customHeight="1" s="289">
      <c r="A3140" s="205" t="n"/>
      <c r="B3140" s="207" t="n"/>
      <c r="C3140" s="104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348" t="n"/>
      <c r="E3140" s="349">
        <f>IF(C3140="","",IFERROR(VLOOKUP(C3140,parametros!$A$11:$E$15,5,0),""))</f>
        <v/>
      </c>
      <c r="F3140" s="335">
        <f>IF(OR(D3140="",E3140=""),"",ROUND(D3140*E3140,2))</f>
        <v/>
      </c>
      <c r="G3140" s="106" t="n"/>
      <c r="H3140" s="350">
        <f>IF(G3140="Sim",IF(OR(F3140="",D3140="",L3140=""),"",IF(L3140="Sim",ROUND(F3140-D3140,2),0)),0)</f>
        <v/>
      </c>
      <c r="I3140" s="350">
        <f>IF(G3140="Sim",0,IF(OR(F3140="",L3140=""),"",F3140))</f>
        <v/>
      </c>
      <c r="J3140" s="350">
        <f>IF(G3140="Sim",0,IF(OR(F3140="",D3140="",L3140=""),"",IF(L3140="Sim",ROUND(F3140-D3140,2),0)))</f>
        <v/>
      </c>
      <c r="K3140" s="97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inlineStr">
        <is>
          <t>Nao</t>
        </is>
      </c>
      <c r="W3140" s="110" t="inlineStr">
        <is>
          <t>PC em analise</t>
        </is>
      </c>
      <c r="X3140" s="110" t="inlineStr">
        <is>
          <t>Pedido de Compra</t>
        </is>
      </c>
      <c r="Y3140" s="111" t="inlineStr">
        <is>
          <t>Impacto Potencial</t>
        </is>
      </c>
      <c r="Z3140" s="111" t="inlineStr">
        <is>
          <t>PC</t>
        </is>
      </c>
      <c r="AA3140" s="111" t="inlineStr">
        <is>
          <t>Nao</t>
        </is>
      </c>
      <c r="AB3140" s="111" t="inlineStr">
        <is>
          <t>NAO_COMPUTADO</t>
        </is>
      </c>
      <c r="AC3140" s="112" t="inlineStr">
        <is>
          <t>Estrutura Fase 1: sem impacto no VTA oficial</t>
        </is>
      </c>
    </row>
    <row r="3141" ht="25.5" customHeight="1" s="289">
      <c r="A3141" s="205" t="n"/>
      <c r="B3141" s="207" t="n"/>
      <c r="C3141" s="104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348" t="n"/>
      <c r="E3141" s="349">
        <f>IF(C3141="","",IFERROR(VLOOKUP(C3141,parametros!$A$11:$E$15,5,0),""))</f>
        <v/>
      </c>
      <c r="F3141" s="335">
        <f>IF(OR(D3141="",E3141=""),"",ROUND(D3141*E3141,2))</f>
        <v/>
      </c>
      <c r="G3141" s="106" t="n"/>
      <c r="H3141" s="350">
        <f>IF(G3141="Sim",IF(OR(F3141="",D3141="",L3141=""),"",IF(L3141="Sim",ROUND(F3141-D3141,2),0)),0)</f>
        <v/>
      </c>
      <c r="I3141" s="350">
        <f>IF(G3141="Sim",0,IF(OR(F3141="",L3141=""),"",F3141))</f>
        <v/>
      </c>
      <c r="J3141" s="350">
        <f>IF(G3141="Sim",0,IF(OR(F3141="",D3141="",L3141=""),"",IF(L3141="Sim",ROUND(F3141-D3141,2),0)))</f>
        <v/>
      </c>
      <c r="K3141" s="97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inlineStr">
        <is>
          <t>Nao</t>
        </is>
      </c>
      <c r="W3141" s="110" t="inlineStr">
        <is>
          <t>PC em analise</t>
        </is>
      </c>
      <c r="X3141" s="110" t="inlineStr">
        <is>
          <t>Pedido de Compra</t>
        </is>
      </c>
      <c r="Y3141" s="111" t="inlineStr">
        <is>
          <t>Impacto Potencial</t>
        </is>
      </c>
      <c r="Z3141" s="111" t="inlineStr">
        <is>
          <t>PC</t>
        </is>
      </c>
      <c r="AA3141" s="111" t="inlineStr">
        <is>
          <t>Nao</t>
        </is>
      </c>
      <c r="AB3141" s="111" t="inlineStr">
        <is>
          <t>NAO_COMPUTADO</t>
        </is>
      </c>
      <c r="AC3141" s="112" t="inlineStr">
        <is>
          <t>Estrutura Fase 1: sem impacto no VTA oficial</t>
        </is>
      </c>
    </row>
    <row r="3142" ht="25.5" customHeight="1" s="289">
      <c r="A3142" s="205" t="n"/>
      <c r="B3142" s="207" t="n"/>
      <c r="C3142" s="104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348" t="n"/>
      <c r="E3142" s="349">
        <f>IF(C3142="","",IFERROR(VLOOKUP(C3142,parametros!$A$11:$E$15,5,0),""))</f>
        <v/>
      </c>
      <c r="F3142" s="335">
        <f>IF(OR(D3142="",E3142=""),"",ROUND(D3142*E3142,2))</f>
        <v/>
      </c>
      <c r="G3142" s="106" t="n"/>
      <c r="H3142" s="350">
        <f>IF(G3142="Sim",IF(OR(F3142="",D3142="",L3142=""),"",IF(L3142="Sim",ROUND(F3142-D3142,2),0)),0)</f>
        <v/>
      </c>
      <c r="I3142" s="350">
        <f>IF(G3142="Sim",0,IF(OR(F3142="",L3142=""),"",F3142))</f>
        <v/>
      </c>
      <c r="J3142" s="350">
        <f>IF(G3142="Sim",0,IF(OR(F3142="",D3142="",L3142=""),"",IF(L3142="Sim",ROUND(F3142-D3142,2),0)))</f>
        <v/>
      </c>
      <c r="K3142" s="97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inlineStr">
        <is>
          <t>Nao</t>
        </is>
      </c>
      <c r="W3142" s="110" t="inlineStr">
        <is>
          <t>PC em analise</t>
        </is>
      </c>
      <c r="X3142" s="110" t="inlineStr">
        <is>
          <t>Pedido de Compra</t>
        </is>
      </c>
      <c r="Y3142" s="111" t="inlineStr">
        <is>
          <t>Impacto Potencial</t>
        </is>
      </c>
      <c r="Z3142" s="111" t="inlineStr">
        <is>
          <t>PC</t>
        </is>
      </c>
      <c r="AA3142" s="111" t="inlineStr">
        <is>
          <t>Nao</t>
        </is>
      </c>
      <c r="AB3142" s="111" t="inlineStr">
        <is>
          <t>NAO_COMPUTADO</t>
        </is>
      </c>
      <c r="AC3142" s="112" t="inlineStr">
        <is>
          <t>Estrutura Fase 1: sem impacto no VTA oficial</t>
        </is>
      </c>
    </row>
    <row r="3143" ht="25.5" customHeight="1" s="289">
      <c r="A3143" s="205" t="n"/>
      <c r="B3143" s="207" t="n"/>
      <c r="C3143" s="104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348" t="n"/>
      <c r="E3143" s="349">
        <f>IF(C3143="","",IFERROR(VLOOKUP(C3143,parametros!$A$11:$E$15,5,0),""))</f>
        <v/>
      </c>
      <c r="F3143" s="335">
        <f>IF(OR(D3143="",E3143=""),"",ROUND(D3143*E3143,2))</f>
        <v/>
      </c>
      <c r="G3143" s="106" t="n"/>
      <c r="H3143" s="350">
        <f>IF(G3143="Sim",IF(OR(F3143="",D3143="",L3143=""),"",IF(L3143="Sim",ROUND(F3143-D3143,2),0)),0)</f>
        <v/>
      </c>
      <c r="I3143" s="350">
        <f>IF(G3143="Sim",0,IF(OR(F3143="",L3143=""),"",F3143))</f>
        <v/>
      </c>
      <c r="J3143" s="350">
        <f>IF(G3143="Sim",0,IF(OR(F3143="",D3143="",L3143=""),"",IF(L3143="Sim",ROUND(F3143-D3143,2),0)))</f>
        <v/>
      </c>
      <c r="K3143" s="97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inlineStr">
        <is>
          <t>Nao</t>
        </is>
      </c>
      <c r="W3143" s="110" t="inlineStr">
        <is>
          <t>PC em analise</t>
        </is>
      </c>
      <c r="X3143" s="110" t="inlineStr">
        <is>
          <t>Pedido de Compra</t>
        </is>
      </c>
      <c r="Y3143" s="111" t="inlineStr">
        <is>
          <t>Impacto Potencial</t>
        </is>
      </c>
      <c r="Z3143" s="111" t="inlineStr">
        <is>
          <t>PC</t>
        </is>
      </c>
      <c r="AA3143" s="111" t="inlineStr">
        <is>
          <t>Nao</t>
        </is>
      </c>
      <c r="AB3143" s="111" t="inlineStr">
        <is>
          <t>NAO_COMPUTADO</t>
        </is>
      </c>
      <c r="AC3143" s="112" t="inlineStr">
        <is>
          <t>Estrutura Fase 1: sem impacto no VTA oficial</t>
        </is>
      </c>
    </row>
    <row r="3144" ht="25.5" customHeight="1" s="289">
      <c r="A3144" s="205" t="n"/>
      <c r="B3144" s="207" t="n"/>
      <c r="C3144" s="104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348" t="n"/>
      <c r="E3144" s="349">
        <f>IF(C3144="","",IFERROR(VLOOKUP(C3144,parametros!$A$11:$E$15,5,0),""))</f>
        <v/>
      </c>
      <c r="F3144" s="335">
        <f>IF(OR(D3144="",E3144=""),"",ROUND(D3144*E3144,2))</f>
        <v/>
      </c>
      <c r="G3144" s="106" t="n"/>
      <c r="H3144" s="350">
        <f>IF(G3144="Sim",IF(OR(F3144="",D3144="",L3144=""),"",IF(L3144="Sim",ROUND(F3144-D3144,2),0)),0)</f>
        <v/>
      </c>
      <c r="I3144" s="350">
        <f>IF(G3144="Sim",0,IF(OR(F3144="",L3144=""),"",F3144))</f>
        <v/>
      </c>
      <c r="J3144" s="350">
        <f>IF(G3144="Sim",0,IF(OR(F3144="",D3144="",L3144=""),"",IF(L3144="Sim",ROUND(F3144-D3144,2),0)))</f>
        <v/>
      </c>
      <c r="K3144" s="97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inlineStr">
        <is>
          <t>Nao</t>
        </is>
      </c>
      <c r="W3144" s="110" t="inlineStr">
        <is>
          <t>PC em analise</t>
        </is>
      </c>
      <c r="X3144" s="110" t="inlineStr">
        <is>
          <t>Pedido de Compra</t>
        </is>
      </c>
      <c r="Y3144" s="111" t="inlineStr">
        <is>
          <t>Impacto Potencial</t>
        </is>
      </c>
      <c r="Z3144" s="111" t="inlineStr">
        <is>
          <t>PC</t>
        </is>
      </c>
      <c r="AA3144" s="111" t="inlineStr">
        <is>
          <t>Nao</t>
        </is>
      </c>
      <c r="AB3144" s="111" t="inlineStr">
        <is>
          <t>NAO_COMPUTADO</t>
        </is>
      </c>
      <c r="AC3144" s="112" t="inlineStr">
        <is>
          <t>Estrutura Fase 1: sem impacto no VTA oficial</t>
        </is>
      </c>
    </row>
    <row r="3145" ht="25.5" customHeight="1" s="289">
      <c r="A3145" s="205" t="n"/>
      <c r="B3145" s="207" t="n"/>
      <c r="C3145" s="104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348" t="n"/>
      <c r="E3145" s="349">
        <f>IF(C3145="","",IFERROR(VLOOKUP(C3145,parametros!$A$11:$E$15,5,0),""))</f>
        <v/>
      </c>
      <c r="F3145" s="335">
        <f>IF(OR(D3145="",E3145=""),"",ROUND(D3145*E3145,2))</f>
        <v/>
      </c>
      <c r="G3145" s="106" t="n"/>
      <c r="H3145" s="350">
        <f>IF(G3145="Sim",IF(OR(F3145="",D3145="",L3145=""),"",IF(L3145="Sim",ROUND(F3145-D3145,2),0)),0)</f>
        <v/>
      </c>
      <c r="I3145" s="350">
        <f>IF(G3145="Sim",0,IF(OR(F3145="",L3145=""),"",F3145))</f>
        <v/>
      </c>
      <c r="J3145" s="350">
        <f>IF(G3145="Sim",0,IF(OR(F3145="",D3145="",L3145=""),"",IF(L3145="Sim",ROUND(F3145-D3145,2),0)))</f>
        <v/>
      </c>
      <c r="K3145" s="97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inlineStr">
        <is>
          <t>Nao</t>
        </is>
      </c>
      <c r="W3145" s="110" t="inlineStr">
        <is>
          <t>PC em analise</t>
        </is>
      </c>
      <c r="X3145" s="110" t="inlineStr">
        <is>
          <t>Pedido de Compra</t>
        </is>
      </c>
      <c r="Y3145" s="111" t="inlineStr">
        <is>
          <t>Impacto Potencial</t>
        </is>
      </c>
      <c r="Z3145" s="111" t="inlineStr">
        <is>
          <t>PC</t>
        </is>
      </c>
      <c r="AA3145" s="111" t="inlineStr">
        <is>
          <t>Nao</t>
        </is>
      </c>
      <c r="AB3145" s="111" t="inlineStr">
        <is>
          <t>NAO_COMPUTADO</t>
        </is>
      </c>
      <c r="AC3145" s="112" t="inlineStr">
        <is>
          <t>Estrutura Fase 1: sem impacto no VTA oficial</t>
        </is>
      </c>
    </row>
    <row r="3146" ht="25.5" customHeight="1" s="289">
      <c r="A3146" s="205" t="n"/>
      <c r="B3146" s="207" t="n"/>
      <c r="C3146" s="104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348" t="n"/>
      <c r="E3146" s="349">
        <f>IF(C3146="","",IFERROR(VLOOKUP(C3146,parametros!$A$11:$E$15,5,0),""))</f>
        <v/>
      </c>
      <c r="F3146" s="335">
        <f>IF(OR(D3146="",E3146=""),"",ROUND(D3146*E3146,2))</f>
        <v/>
      </c>
      <c r="G3146" s="106" t="n"/>
      <c r="H3146" s="350">
        <f>IF(G3146="Sim",IF(OR(F3146="",D3146="",L3146=""),"",IF(L3146="Sim",ROUND(F3146-D3146,2),0)),0)</f>
        <v/>
      </c>
      <c r="I3146" s="350">
        <f>IF(G3146="Sim",0,IF(OR(F3146="",L3146=""),"",F3146))</f>
        <v/>
      </c>
      <c r="J3146" s="350">
        <f>IF(G3146="Sim",0,IF(OR(F3146="",D3146="",L3146=""),"",IF(L3146="Sim",ROUND(F3146-D3146,2),0)))</f>
        <v/>
      </c>
      <c r="K3146" s="97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inlineStr">
        <is>
          <t>Nao</t>
        </is>
      </c>
      <c r="W3146" s="110" t="inlineStr">
        <is>
          <t>PC em analise</t>
        </is>
      </c>
      <c r="X3146" s="110" t="inlineStr">
        <is>
          <t>Pedido de Compra</t>
        </is>
      </c>
      <c r="Y3146" s="111" t="inlineStr">
        <is>
          <t>Impacto Potencial</t>
        </is>
      </c>
      <c r="Z3146" s="111" t="inlineStr">
        <is>
          <t>PC</t>
        </is>
      </c>
      <c r="AA3146" s="111" t="inlineStr">
        <is>
          <t>Nao</t>
        </is>
      </c>
      <c r="AB3146" s="111" t="inlineStr">
        <is>
          <t>NAO_COMPUTADO</t>
        </is>
      </c>
      <c r="AC3146" s="112" t="inlineStr">
        <is>
          <t>Estrutura Fase 1: sem impacto no VTA oficial</t>
        </is>
      </c>
    </row>
    <row r="3147" ht="25.5" customHeight="1" s="289">
      <c r="A3147" s="205" t="n"/>
      <c r="B3147" s="207" t="n"/>
      <c r="C3147" s="104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348" t="n"/>
      <c r="E3147" s="349">
        <f>IF(C3147="","",IFERROR(VLOOKUP(C3147,parametros!$A$11:$E$15,5,0),""))</f>
        <v/>
      </c>
      <c r="F3147" s="335">
        <f>IF(OR(D3147="",E3147=""),"",ROUND(D3147*E3147,2))</f>
        <v/>
      </c>
      <c r="G3147" s="106" t="n"/>
      <c r="H3147" s="350">
        <f>IF(G3147="Sim",IF(OR(F3147="",D3147="",L3147=""),"",IF(L3147="Sim",ROUND(F3147-D3147,2),0)),0)</f>
        <v/>
      </c>
      <c r="I3147" s="350">
        <f>IF(G3147="Sim",0,IF(OR(F3147="",L3147=""),"",F3147))</f>
        <v/>
      </c>
      <c r="J3147" s="350">
        <f>IF(G3147="Sim",0,IF(OR(F3147="",D3147="",L3147=""),"",IF(L3147="Sim",ROUND(F3147-D3147,2),0)))</f>
        <v/>
      </c>
      <c r="K3147" s="97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inlineStr">
        <is>
          <t>Nao</t>
        </is>
      </c>
      <c r="W3147" s="110" t="inlineStr">
        <is>
          <t>PC em analise</t>
        </is>
      </c>
      <c r="X3147" s="110" t="inlineStr">
        <is>
          <t>Pedido de Compra</t>
        </is>
      </c>
      <c r="Y3147" s="111" t="inlineStr">
        <is>
          <t>Impacto Potencial</t>
        </is>
      </c>
      <c r="Z3147" s="111" t="inlineStr">
        <is>
          <t>PC</t>
        </is>
      </c>
      <c r="AA3147" s="111" t="inlineStr">
        <is>
          <t>Nao</t>
        </is>
      </c>
      <c r="AB3147" s="111" t="inlineStr">
        <is>
          <t>NAO_COMPUTADO</t>
        </is>
      </c>
      <c r="AC3147" s="112" t="inlineStr">
        <is>
          <t>Estrutura Fase 1: sem impacto no VTA oficial</t>
        </is>
      </c>
    </row>
    <row r="3148" ht="25.5" customHeight="1" s="289">
      <c r="A3148" s="205" t="n"/>
      <c r="B3148" s="207" t="n"/>
      <c r="C3148" s="104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348" t="n"/>
      <c r="E3148" s="349">
        <f>IF(C3148="","",IFERROR(VLOOKUP(C3148,parametros!$A$11:$E$15,5,0),""))</f>
        <v/>
      </c>
      <c r="F3148" s="335">
        <f>IF(OR(D3148="",E3148=""),"",ROUND(D3148*E3148,2))</f>
        <v/>
      </c>
      <c r="G3148" s="106" t="n"/>
      <c r="H3148" s="350">
        <f>IF(G3148="Sim",IF(OR(F3148="",D3148="",L3148=""),"",IF(L3148="Sim",ROUND(F3148-D3148,2),0)),0)</f>
        <v/>
      </c>
      <c r="I3148" s="350">
        <f>IF(G3148="Sim",0,IF(OR(F3148="",L3148=""),"",F3148))</f>
        <v/>
      </c>
      <c r="J3148" s="350">
        <f>IF(G3148="Sim",0,IF(OR(F3148="",D3148="",L3148=""),"",IF(L3148="Sim",ROUND(F3148-D3148,2),0)))</f>
        <v/>
      </c>
      <c r="K3148" s="97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inlineStr">
        <is>
          <t>Nao</t>
        </is>
      </c>
      <c r="W3148" s="110" t="inlineStr">
        <is>
          <t>PC em analise</t>
        </is>
      </c>
      <c r="X3148" s="110" t="inlineStr">
        <is>
          <t>Pedido de Compra</t>
        </is>
      </c>
      <c r="Y3148" s="111" t="inlineStr">
        <is>
          <t>Impacto Potencial</t>
        </is>
      </c>
      <c r="Z3148" s="111" t="inlineStr">
        <is>
          <t>PC</t>
        </is>
      </c>
      <c r="AA3148" s="111" t="inlineStr">
        <is>
          <t>Nao</t>
        </is>
      </c>
      <c r="AB3148" s="111" t="inlineStr">
        <is>
          <t>NAO_COMPUTADO</t>
        </is>
      </c>
      <c r="AC3148" s="112" t="inlineStr">
        <is>
          <t>Estrutura Fase 1: sem impacto no VTA oficial</t>
        </is>
      </c>
    </row>
    <row r="3149" ht="25.5" customHeight="1" s="289">
      <c r="A3149" s="205" t="n"/>
      <c r="B3149" s="207" t="n"/>
      <c r="C3149" s="104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348" t="n"/>
      <c r="E3149" s="349">
        <f>IF(C3149="","",IFERROR(VLOOKUP(C3149,parametros!$A$11:$E$15,5,0),""))</f>
        <v/>
      </c>
      <c r="F3149" s="335">
        <f>IF(OR(D3149="",E3149=""),"",ROUND(D3149*E3149,2))</f>
        <v/>
      </c>
      <c r="G3149" s="106" t="n"/>
      <c r="H3149" s="350">
        <f>IF(G3149="Sim",IF(OR(F3149="",D3149="",L3149=""),"",IF(L3149="Sim",ROUND(F3149-D3149,2),0)),0)</f>
        <v/>
      </c>
      <c r="I3149" s="350">
        <f>IF(G3149="Sim",0,IF(OR(F3149="",L3149=""),"",F3149))</f>
        <v/>
      </c>
      <c r="J3149" s="350">
        <f>IF(G3149="Sim",0,IF(OR(F3149="",D3149="",L3149=""),"",IF(L3149="Sim",ROUND(F3149-D3149,2),0)))</f>
        <v/>
      </c>
      <c r="K3149" s="97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inlineStr">
        <is>
          <t>Nao</t>
        </is>
      </c>
      <c r="W3149" s="110" t="inlineStr">
        <is>
          <t>PC em analise</t>
        </is>
      </c>
      <c r="X3149" s="110" t="inlineStr">
        <is>
          <t>Pedido de Compra</t>
        </is>
      </c>
      <c r="Y3149" s="111" t="inlineStr">
        <is>
          <t>Impacto Potencial</t>
        </is>
      </c>
      <c r="Z3149" s="111" t="inlineStr">
        <is>
          <t>PC</t>
        </is>
      </c>
      <c r="AA3149" s="111" t="inlineStr">
        <is>
          <t>Nao</t>
        </is>
      </c>
      <c r="AB3149" s="111" t="inlineStr">
        <is>
          <t>NAO_COMPUTADO</t>
        </is>
      </c>
      <c r="AC3149" s="112" t="inlineStr">
        <is>
          <t>Estrutura Fase 1: sem impacto no VTA oficial</t>
        </is>
      </c>
    </row>
    <row r="3150" ht="25.5" customHeight="1" s="289">
      <c r="A3150" s="205" t="n"/>
      <c r="B3150" s="207" t="n"/>
      <c r="C3150" s="104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348" t="n"/>
      <c r="E3150" s="349">
        <f>IF(C3150="","",IFERROR(VLOOKUP(C3150,parametros!$A$11:$E$15,5,0),""))</f>
        <v/>
      </c>
      <c r="F3150" s="335">
        <f>IF(OR(D3150="",E3150=""),"",ROUND(D3150*E3150,2))</f>
        <v/>
      </c>
      <c r="G3150" s="106" t="n"/>
      <c r="H3150" s="350">
        <f>IF(G3150="Sim",IF(OR(F3150="",D3150="",L3150=""),"",IF(L3150="Sim",ROUND(F3150-D3150,2),0)),0)</f>
        <v/>
      </c>
      <c r="I3150" s="350">
        <f>IF(G3150="Sim",0,IF(OR(F3150="",L3150=""),"",F3150))</f>
        <v/>
      </c>
      <c r="J3150" s="350">
        <f>IF(G3150="Sim",0,IF(OR(F3150="",D3150="",L3150=""),"",IF(L3150="Sim",ROUND(F3150-D3150,2),0)))</f>
        <v/>
      </c>
      <c r="K3150" s="97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inlineStr">
        <is>
          <t>Nao</t>
        </is>
      </c>
      <c r="W3150" s="110" t="inlineStr">
        <is>
          <t>PC em analise</t>
        </is>
      </c>
      <c r="X3150" s="110" t="inlineStr">
        <is>
          <t>Pedido de Compra</t>
        </is>
      </c>
      <c r="Y3150" s="111" t="inlineStr">
        <is>
          <t>Impacto Potencial</t>
        </is>
      </c>
      <c r="Z3150" s="111" t="inlineStr">
        <is>
          <t>PC</t>
        </is>
      </c>
      <c r="AA3150" s="111" t="inlineStr">
        <is>
          <t>Nao</t>
        </is>
      </c>
      <c r="AB3150" s="111" t="inlineStr">
        <is>
          <t>NAO_COMPUTADO</t>
        </is>
      </c>
      <c r="AC3150" s="112" t="inlineStr">
        <is>
          <t>Estrutura Fase 1: sem impacto no VTA oficial</t>
        </is>
      </c>
    </row>
    <row r="3151" ht="25.5" customHeight="1" s="289">
      <c r="A3151" s="205" t="n"/>
      <c r="B3151" s="207" t="n"/>
      <c r="C3151" s="104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348" t="n"/>
      <c r="E3151" s="349">
        <f>IF(C3151="","",IFERROR(VLOOKUP(C3151,parametros!$A$11:$E$15,5,0),""))</f>
        <v/>
      </c>
      <c r="F3151" s="335">
        <f>IF(OR(D3151="",E3151=""),"",ROUND(D3151*E3151,2))</f>
        <v/>
      </c>
      <c r="G3151" s="106" t="n"/>
      <c r="H3151" s="350">
        <f>IF(G3151="Sim",IF(OR(F3151="",D3151="",L3151=""),"",IF(L3151="Sim",ROUND(F3151-D3151,2),0)),0)</f>
        <v/>
      </c>
      <c r="I3151" s="350">
        <f>IF(G3151="Sim",0,IF(OR(F3151="",L3151=""),"",F3151))</f>
        <v/>
      </c>
      <c r="J3151" s="350">
        <f>IF(G3151="Sim",0,IF(OR(F3151="",D3151="",L3151=""),"",IF(L3151="Sim",ROUND(F3151-D3151,2),0)))</f>
        <v/>
      </c>
      <c r="K3151" s="97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inlineStr">
        <is>
          <t>Nao</t>
        </is>
      </c>
      <c r="W3151" s="110" t="inlineStr">
        <is>
          <t>PC em analise</t>
        </is>
      </c>
      <c r="X3151" s="110" t="inlineStr">
        <is>
          <t>Pedido de Compra</t>
        </is>
      </c>
      <c r="Y3151" s="111" t="inlineStr">
        <is>
          <t>Impacto Potencial</t>
        </is>
      </c>
      <c r="Z3151" s="111" t="inlineStr">
        <is>
          <t>PC</t>
        </is>
      </c>
      <c r="AA3151" s="111" t="inlineStr">
        <is>
          <t>Nao</t>
        </is>
      </c>
      <c r="AB3151" s="111" t="inlineStr">
        <is>
          <t>NAO_COMPUTADO</t>
        </is>
      </c>
      <c r="AC3151" s="112" t="inlineStr">
        <is>
          <t>Estrutura Fase 1: sem impacto no VTA oficial</t>
        </is>
      </c>
    </row>
    <row r="3152" ht="25.5" customHeight="1" s="289">
      <c r="A3152" s="205" t="n"/>
      <c r="B3152" s="207" t="n"/>
      <c r="C3152" s="104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348" t="n"/>
      <c r="E3152" s="349">
        <f>IF(C3152="","",IFERROR(VLOOKUP(C3152,parametros!$A$11:$E$15,5,0),""))</f>
        <v/>
      </c>
      <c r="F3152" s="335">
        <f>IF(OR(D3152="",E3152=""),"",ROUND(D3152*E3152,2))</f>
        <v/>
      </c>
      <c r="G3152" s="106" t="n"/>
      <c r="H3152" s="350">
        <f>IF(G3152="Sim",IF(OR(F3152="",D3152="",L3152=""),"",IF(L3152="Sim",ROUND(F3152-D3152,2),0)),0)</f>
        <v/>
      </c>
      <c r="I3152" s="350">
        <f>IF(G3152="Sim",0,IF(OR(F3152="",L3152=""),"",F3152))</f>
        <v/>
      </c>
      <c r="J3152" s="350">
        <f>IF(G3152="Sim",0,IF(OR(F3152="",D3152="",L3152=""),"",IF(L3152="Sim",ROUND(F3152-D3152,2),0)))</f>
        <v/>
      </c>
      <c r="K3152" s="97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inlineStr">
        <is>
          <t>Nao</t>
        </is>
      </c>
      <c r="W3152" s="110" t="inlineStr">
        <is>
          <t>PC em analise</t>
        </is>
      </c>
      <c r="X3152" s="110" t="inlineStr">
        <is>
          <t>Pedido de Compra</t>
        </is>
      </c>
      <c r="Y3152" s="111" t="inlineStr">
        <is>
          <t>Impacto Potencial</t>
        </is>
      </c>
      <c r="Z3152" s="111" t="inlineStr">
        <is>
          <t>PC</t>
        </is>
      </c>
      <c r="AA3152" s="111" t="inlineStr">
        <is>
          <t>Nao</t>
        </is>
      </c>
      <c r="AB3152" s="111" t="inlineStr">
        <is>
          <t>NAO_COMPUTADO</t>
        </is>
      </c>
      <c r="AC3152" s="112" t="inlineStr">
        <is>
          <t>Estrutura Fase 1: sem impacto no VTA oficial</t>
        </is>
      </c>
    </row>
    <row r="3153" ht="25.5" customHeight="1" s="289">
      <c r="A3153" s="205" t="n"/>
      <c r="B3153" s="207" t="n"/>
      <c r="C3153" s="104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348" t="n"/>
      <c r="E3153" s="349">
        <f>IF(C3153="","",IFERROR(VLOOKUP(C3153,parametros!$A$11:$E$15,5,0),""))</f>
        <v/>
      </c>
      <c r="F3153" s="335">
        <f>IF(OR(D3153="",E3153=""),"",ROUND(D3153*E3153,2))</f>
        <v/>
      </c>
      <c r="G3153" s="106" t="n"/>
      <c r="H3153" s="350">
        <f>IF(G3153="Sim",IF(OR(F3153="",D3153="",L3153=""),"",IF(L3153="Sim",ROUND(F3153-D3153,2),0)),0)</f>
        <v/>
      </c>
      <c r="I3153" s="350">
        <f>IF(G3153="Sim",0,IF(OR(F3153="",L3153=""),"",F3153))</f>
        <v/>
      </c>
      <c r="J3153" s="350">
        <f>IF(G3153="Sim",0,IF(OR(F3153="",D3153="",L3153=""),"",IF(L3153="Sim",ROUND(F3153-D3153,2),0)))</f>
        <v/>
      </c>
      <c r="K3153" s="97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inlineStr">
        <is>
          <t>Nao</t>
        </is>
      </c>
      <c r="W3153" s="110" t="inlineStr">
        <is>
          <t>PC em analise</t>
        </is>
      </c>
      <c r="X3153" s="110" t="inlineStr">
        <is>
          <t>Pedido de Compra</t>
        </is>
      </c>
      <c r="Y3153" s="111" t="inlineStr">
        <is>
          <t>Impacto Potencial</t>
        </is>
      </c>
      <c r="Z3153" s="111" t="inlineStr">
        <is>
          <t>PC</t>
        </is>
      </c>
      <c r="AA3153" s="111" t="inlineStr">
        <is>
          <t>Nao</t>
        </is>
      </c>
      <c r="AB3153" s="111" t="inlineStr">
        <is>
          <t>NAO_COMPUTADO</t>
        </is>
      </c>
      <c r="AC3153" s="112" t="inlineStr">
        <is>
          <t>Estrutura Fase 1: sem impacto no VTA oficial</t>
        </is>
      </c>
    </row>
    <row r="3154" ht="25.5" customHeight="1" s="289">
      <c r="A3154" s="205" t="n"/>
      <c r="B3154" s="207" t="n"/>
      <c r="C3154" s="104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348" t="n"/>
      <c r="E3154" s="349">
        <f>IF(C3154="","",IFERROR(VLOOKUP(C3154,parametros!$A$11:$E$15,5,0),""))</f>
        <v/>
      </c>
      <c r="F3154" s="335">
        <f>IF(OR(D3154="",E3154=""),"",ROUND(D3154*E3154,2))</f>
        <v/>
      </c>
      <c r="G3154" s="106" t="n"/>
      <c r="H3154" s="350">
        <f>IF(G3154="Sim",IF(OR(F3154="",D3154="",L3154=""),"",IF(L3154="Sim",ROUND(F3154-D3154,2),0)),0)</f>
        <v/>
      </c>
      <c r="I3154" s="350">
        <f>IF(G3154="Sim",0,IF(OR(F3154="",L3154=""),"",F3154))</f>
        <v/>
      </c>
      <c r="J3154" s="350">
        <f>IF(G3154="Sim",0,IF(OR(F3154="",D3154="",L3154=""),"",IF(L3154="Sim",ROUND(F3154-D3154,2),0)))</f>
        <v/>
      </c>
      <c r="K3154" s="97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inlineStr">
        <is>
          <t>Nao</t>
        </is>
      </c>
      <c r="W3154" s="110" t="inlineStr">
        <is>
          <t>PC em analise</t>
        </is>
      </c>
      <c r="X3154" s="110" t="inlineStr">
        <is>
          <t>Pedido de Compra</t>
        </is>
      </c>
      <c r="Y3154" s="111" t="inlineStr">
        <is>
          <t>Impacto Potencial</t>
        </is>
      </c>
      <c r="Z3154" s="111" t="inlineStr">
        <is>
          <t>PC</t>
        </is>
      </c>
      <c r="AA3154" s="111" t="inlineStr">
        <is>
          <t>Nao</t>
        </is>
      </c>
      <c r="AB3154" s="111" t="inlineStr">
        <is>
          <t>NAO_COMPUTADO</t>
        </is>
      </c>
      <c r="AC3154" s="112" t="inlineStr">
        <is>
          <t>Estrutura Fase 1: sem impacto no VTA oficial</t>
        </is>
      </c>
    </row>
    <row r="3155" ht="25.5" customHeight="1" s="289">
      <c r="A3155" s="205" t="n"/>
      <c r="B3155" s="207" t="n"/>
      <c r="C3155" s="104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348" t="n"/>
      <c r="E3155" s="349">
        <f>IF(C3155="","",IFERROR(VLOOKUP(C3155,parametros!$A$11:$E$15,5,0),""))</f>
        <v/>
      </c>
      <c r="F3155" s="335">
        <f>IF(OR(D3155="",E3155=""),"",ROUND(D3155*E3155,2))</f>
        <v/>
      </c>
      <c r="G3155" s="106" t="n"/>
      <c r="H3155" s="350">
        <f>IF(G3155="Sim",IF(OR(F3155="",D3155="",L3155=""),"",IF(L3155="Sim",ROUND(F3155-D3155,2),0)),0)</f>
        <v/>
      </c>
      <c r="I3155" s="350">
        <f>IF(G3155="Sim",0,IF(OR(F3155="",L3155=""),"",F3155))</f>
        <v/>
      </c>
      <c r="J3155" s="350">
        <f>IF(G3155="Sim",0,IF(OR(F3155="",D3155="",L3155=""),"",IF(L3155="Sim",ROUND(F3155-D3155,2),0)))</f>
        <v/>
      </c>
      <c r="K3155" s="97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inlineStr">
        <is>
          <t>Nao</t>
        </is>
      </c>
      <c r="W3155" s="110" t="inlineStr">
        <is>
          <t>PC em analise</t>
        </is>
      </c>
      <c r="X3155" s="110" t="inlineStr">
        <is>
          <t>Pedido de Compra</t>
        </is>
      </c>
      <c r="Y3155" s="111" t="inlineStr">
        <is>
          <t>Impacto Potencial</t>
        </is>
      </c>
      <c r="Z3155" s="111" t="inlineStr">
        <is>
          <t>PC</t>
        </is>
      </c>
      <c r="AA3155" s="111" t="inlineStr">
        <is>
          <t>Nao</t>
        </is>
      </c>
      <c r="AB3155" s="111" t="inlineStr">
        <is>
          <t>NAO_COMPUTADO</t>
        </is>
      </c>
      <c r="AC3155" s="112" t="inlineStr">
        <is>
          <t>Estrutura Fase 1: sem impacto no VTA oficial</t>
        </is>
      </c>
    </row>
    <row r="3156" ht="25.5" customHeight="1" s="289">
      <c r="A3156" s="205" t="n"/>
      <c r="B3156" s="207" t="n"/>
      <c r="C3156" s="104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348" t="n"/>
      <c r="E3156" s="349">
        <f>IF(C3156="","",IFERROR(VLOOKUP(C3156,parametros!$A$11:$E$15,5,0),""))</f>
        <v/>
      </c>
      <c r="F3156" s="335">
        <f>IF(OR(D3156="",E3156=""),"",ROUND(D3156*E3156,2))</f>
        <v/>
      </c>
      <c r="G3156" s="106" t="n"/>
      <c r="H3156" s="350">
        <f>IF(G3156="Sim",IF(OR(F3156="",D3156="",L3156=""),"",IF(L3156="Sim",ROUND(F3156-D3156,2),0)),0)</f>
        <v/>
      </c>
      <c r="I3156" s="350">
        <f>IF(G3156="Sim",0,IF(OR(F3156="",L3156=""),"",F3156))</f>
        <v/>
      </c>
      <c r="J3156" s="350">
        <f>IF(G3156="Sim",0,IF(OR(F3156="",D3156="",L3156=""),"",IF(L3156="Sim",ROUND(F3156-D3156,2),0)))</f>
        <v/>
      </c>
      <c r="K3156" s="97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inlineStr">
        <is>
          <t>Nao</t>
        </is>
      </c>
      <c r="W3156" s="110" t="inlineStr">
        <is>
          <t>PC em analise</t>
        </is>
      </c>
      <c r="X3156" s="110" t="inlineStr">
        <is>
          <t>Pedido de Compra</t>
        </is>
      </c>
      <c r="Y3156" s="111" t="inlineStr">
        <is>
          <t>Impacto Potencial</t>
        </is>
      </c>
      <c r="Z3156" s="111" t="inlineStr">
        <is>
          <t>PC</t>
        </is>
      </c>
      <c r="AA3156" s="111" t="inlineStr">
        <is>
          <t>Nao</t>
        </is>
      </c>
      <c r="AB3156" s="111" t="inlineStr">
        <is>
          <t>NAO_COMPUTADO</t>
        </is>
      </c>
      <c r="AC3156" s="112" t="inlineStr">
        <is>
          <t>Estrutura Fase 1: sem impacto no VTA oficial</t>
        </is>
      </c>
    </row>
    <row r="3157" ht="25.5" customHeight="1" s="289">
      <c r="A3157" s="205" t="n"/>
      <c r="B3157" s="207" t="n"/>
      <c r="C3157" s="104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348" t="n"/>
      <c r="E3157" s="349">
        <f>IF(C3157="","",IFERROR(VLOOKUP(C3157,parametros!$A$11:$E$15,5,0),""))</f>
        <v/>
      </c>
      <c r="F3157" s="335">
        <f>IF(OR(D3157="",E3157=""),"",ROUND(D3157*E3157,2))</f>
        <v/>
      </c>
      <c r="G3157" s="106" t="n"/>
      <c r="H3157" s="350">
        <f>IF(G3157="Sim",IF(OR(F3157="",D3157="",L3157=""),"",IF(L3157="Sim",ROUND(F3157-D3157,2),0)),0)</f>
        <v/>
      </c>
      <c r="I3157" s="350">
        <f>IF(G3157="Sim",0,IF(OR(F3157="",L3157=""),"",F3157))</f>
        <v/>
      </c>
      <c r="J3157" s="350">
        <f>IF(G3157="Sim",0,IF(OR(F3157="",D3157="",L3157=""),"",IF(L3157="Sim",ROUND(F3157-D3157,2),0)))</f>
        <v/>
      </c>
      <c r="K3157" s="97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inlineStr">
        <is>
          <t>Nao</t>
        </is>
      </c>
      <c r="W3157" s="110" t="inlineStr">
        <is>
          <t>PC em analise</t>
        </is>
      </c>
      <c r="X3157" s="110" t="inlineStr">
        <is>
          <t>Pedido de Compra</t>
        </is>
      </c>
      <c r="Y3157" s="111" t="inlineStr">
        <is>
          <t>Impacto Potencial</t>
        </is>
      </c>
      <c r="Z3157" s="111" t="inlineStr">
        <is>
          <t>PC</t>
        </is>
      </c>
      <c r="AA3157" s="111" t="inlineStr">
        <is>
          <t>Nao</t>
        </is>
      </c>
      <c r="AB3157" s="111" t="inlineStr">
        <is>
          <t>NAO_COMPUTADO</t>
        </is>
      </c>
      <c r="AC3157" s="112" t="inlineStr">
        <is>
          <t>Estrutura Fase 1: sem impacto no VTA oficial</t>
        </is>
      </c>
    </row>
    <row r="3158" ht="25.5" customHeight="1" s="289">
      <c r="A3158" s="205" t="n"/>
      <c r="B3158" s="207" t="n"/>
      <c r="C3158" s="104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348" t="n"/>
      <c r="E3158" s="349">
        <f>IF(C3158="","",IFERROR(VLOOKUP(C3158,parametros!$A$11:$E$15,5,0),""))</f>
        <v/>
      </c>
      <c r="F3158" s="335">
        <f>IF(OR(D3158="",E3158=""),"",ROUND(D3158*E3158,2))</f>
        <v/>
      </c>
      <c r="G3158" s="106" t="n"/>
      <c r="H3158" s="350">
        <f>IF(G3158="Sim",IF(OR(F3158="",D3158="",L3158=""),"",IF(L3158="Sim",ROUND(F3158-D3158,2),0)),0)</f>
        <v/>
      </c>
      <c r="I3158" s="350">
        <f>IF(G3158="Sim",0,IF(OR(F3158="",L3158=""),"",F3158))</f>
        <v/>
      </c>
      <c r="J3158" s="350">
        <f>IF(G3158="Sim",0,IF(OR(F3158="",D3158="",L3158=""),"",IF(L3158="Sim",ROUND(F3158-D3158,2),0)))</f>
        <v/>
      </c>
      <c r="K3158" s="97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inlineStr">
        <is>
          <t>Nao</t>
        </is>
      </c>
      <c r="W3158" s="110" t="inlineStr">
        <is>
          <t>PC em analise</t>
        </is>
      </c>
      <c r="X3158" s="110" t="inlineStr">
        <is>
          <t>Pedido de Compra</t>
        </is>
      </c>
      <c r="Y3158" s="111" t="inlineStr">
        <is>
          <t>Impacto Potencial</t>
        </is>
      </c>
      <c r="Z3158" s="111" t="inlineStr">
        <is>
          <t>PC</t>
        </is>
      </c>
      <c r="AA3158" s="111" t="inlineStr">
        <is>
          <t>Nao</t>
        </is>
      </c>
      <c r="AB3158" s="111" t="inlineStr">
        <is>
          <t>NAO_COMPUTADO</t>
        </is>
      </c>
      <c r="AC3158" s="112" t="inlineStr">
        <is>
          <t>Estrutura Fase 1: sem impacto no VTA oficial</t>
        </is>
      </c>
    </row>
    <row r="3159" ht="25.5" customHeight="1" s="289">
      <c r="A3159" s="205" t="n"/>
      <c r="B3159" s="207" t="n"/>
      <c r="C3159" s="104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348" t="n"/>
      <c r="E3159" s="349">
        <f>IF(C3159="","",IFERROR(VLOOKUP(C3159,parametros!$A$11:$E$15,5,0),""))</f>
        <v/>
      </c>
      <c r="F3159" s="335">
        <f>IF(OR(D3159="",E3159=""),"",ROUND(D3159*E3159,2))</f>
        <v/>
      </c>
      <c r="G3159" s="106" t="n"/>
      <c r="H3159" s="350">
        <f>IF(G3159="Sim",IF(OR(F3159="",D3159="",L3159=""),"",IF(L3159="Sim",ROUND(F3159-D3159,2),0)),0)</f>
        <v/>
      </c>
      <c r="I3159" s="350">
        <f>IF(G3159="Sim",0,IF(OR(F3159="",L3159=""),"",F3159))</f>
        <v/>
      </c>
      <c r="J3159" s="350">
        <f>IF(G3159="Sim",0,IF(OR(F3159="",D3159="",L3159=""),"",IF(L3159="Sim",ROUND(F3159-D3159,2),0)))</f>
        <v/>
      </c>
      <c r="K3159" s="97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inlineStr">
        <is>
          <t>Nao</t>
        </is>
      </c>
      <c r="W3159" s="110" t="inlineStr">
        <is>
          <t>PC em analise</t>
        </is>
      </c>
      <c r="X3159" s="110" t="inlineStr">
        <is>
          <t>Pedido de Compra</t>
        </is>
      </c>
      <c r="Y3159" s="111" t="inlineStr">
        <is>
          <t>Impacto Potencial</t>
        </is>
      </c>
      <c r="Z3159" s="111" t="inlineStr">
        <is>
          <t>PC</t>
        </is>
      </c>
      <c r="AA3159" s="111" t="inlineStr">
        <is>
          <t>Nao</t>
        </is>
      </c>
      <c r="AB3159" s="111" t="inlineStr">
        <is>
          <t>NAO_COMPUTADO</t>
        </is>
      </c>
      <c r="AC3159" s="112" t="inlineStr">
        <is>
          <t>Estrutura Fase 1: sem impacto no VTA oficial</t>
        </is>
      </c>
    </row>
    <row r="3160" ht="25.5" customHeight="1" s="289">
      <c r="A3160" s="205" t="n"/>
      <c r="B3160" s="207" t="n"/>
      <c r="C3160" s="104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348" t="n"/>
      <c r="E3160" s="349">
        <f>IF(C3160="","",IFERROR(VLOOKUP(C3160,parametros!$A$11:$E$15,5,0),""))</f>
        <v/>
      </c>
      <c r="F3160" s="335">
        <f>IF(OR(D3160="",E3160=""),"",ROUND(D3160*E3160,2))</f>
        <v/>
      </c>
      <c r="G3160" s="106" t="n"/>
      <c r="H3160" s="350">
        <f>IF(G3160="Sim",IF(OR(F3160="",D3160="",L3160=""),"",IF(L3160="Sim",ROUND(F3160-D3160,2),0)),0)</f>
        <v/>
      </c>
      <c r="I3160" s="350">
        <f>IF(G3160="Sim",0,IF(OR(F3160="",L3160=""),"",F3160))</f>
        <v/>
      </c>
      <c r="J3160" s="350">
        <f>IF(G3160="Sim",0,IF(OR(F3160="",D3160="",L3160=""),"",IF(L3160="Sim",ROUND(F3160-D3160,2),0)))</f>
        <v/>
      </c>
      <c r="K3160" s="97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inlineStr">
        <is>
          <t>Nao</t>
        </is>
      </c>
      <c r="W3160" s="110" t="inlineStr">
        <is>
          <t>PC em analise</t>
        </is>
      </c>
      <c r="X3160" s="110" t="inlineStr">
        <is>
          <t>Pedido de Compra</t>
        </is>
      </c>
      <c r="Y3160" s="111" t="inlineStr">
        <is>
          <t>Impacto Potencial</t>
        </is>
      </c>
      <c r="Z3160" s="111" t="inlineStr">
        <is>
          <t>PC</t>
        </is>
      </c>
      <c r="AA3160" s="111" t="inlineStr">
        <is>
          <t>Nao</t>
        </is>
      </c>
      <c r="AB3160" s="111" t="inlineStr">
        <is>
          <t>NAO_COMPUTADO</t>
        </is>
      </c>
      <c r="AC3160" s="112" t="inlineStr">
        <is>
          <t>Estrutura Fase 1: sem impacto no VTA oficial</t>
        </is>
      </c>
    </row>
    <row r="3161" ht="25.5" customHeight="1" s="289">
      <c r="A3161" s="205" t="n"/>
      <c r="B3161" s="207" t="n"/>
      <c r="C3161" s="104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348" t="n"/>
      <c r="E3161" s="349">
        <f>IF(C3161="","",IFERROR(VLOOKUP(C3161,parametros!$A$11:$E$15,5,0),""))</f>
        <v/>
      </c>
      <c r="F3161" s="335">
        <f>IF(OR(D3161="",E3161=""),"",ROUND(D3161*E3161,2))</f>
        <v/>
      </c>
      <c r="G3161" s="106" t="n"/>
      <c r="H3161" s="350">
        <f>IF(G3161="Sim",IF(OR(F3161="",D3161="",L3161=""),"",IF(L3161="Sim",ROUND(F3161-D3161,2),0)),0)</f>
        <v/>
      </c>
      <c r="I3161" s="350">
        <f>IF(G3161="Sim",0,IF(OR(F3161="",L3161=""),"",F3161))</f>
        <v/>
      </c>
      <c r="J3161" s="350">
        <f>IF(G3161="Sim",0,IF(OR(F3161="",D3161="",L3161=""),"",IF(L3161="Sim",ROUND(F3161-D3161,2),0)))</f>
        <v/>
      </c>
      <c r="K3161" s="97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inlineStr">
        <is>
          <t>Nao</t>
        </is>
      </c>
      <c r="W3161" s="110" t="inlineStr">
        <is>
          <t>PC em analise</t>
        </is>
      </c>
      <c r="X3161" s="110" t="inlineStr">
        <is>
          <t>Pedido de Compra</t>
        </is>
      </c>
      <c r="Y3161" s="111" t="inlineStr">
        <is>
          <t>Impacto Potencial</t>
        </is>
      </c>
      <c r="Z3161" s="111" t="inlineStr">
        <is>
          <t>PC</t>
        </is>
      </c>
      <c r="AA3161" s="111" t="inlineStr">
        <is>
          <t>Nao</t>
        </is>
      </c>
      <c r="AB3161" s="111" t="inlineStr">
        <is>
          <t>NAO_COMPUTADO</t>
        </is>
      </c>
      <c r="AC3161" s="112" t="inlineStr">
        <is>
          <t>Estrutura Fase 1: sem impacto no VTA oficial</t>
        </is>
      </c>
    </row>
    <row r="3162" ht="25.5" customHeight="1" s="289">
      <c r="A3162" s="205" t="n"/>
      <c r="B3162" s="207" t="n"/>
      <c r="C3162" s="104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348" t="n"/>
      <c r="E3162" s="349">
        <f>IF(C3162="","",IFERROR(VLOOKUP(C3162,parametros!$A$11:$E$15,5,0),""))</f>
        <v/>
      </c>
      <c r="F3162" s="335">
        <f>IF(OR(D3162="",E3162=""),"",ROUND(D3162*E3162,2))</f>
        <v/>
      </c>
      <c r="G3162" s="106" t="n"/>
      <c r="H3162" s="350">
        <f>IF(G3162="Sim",IF(OR(F3162="",D3162="",L3162=""),"",IF(L3162="Sim",ROUND(F3162-D3162,2),0)),0)</f>
        <v/>
      </c>
      <c r="I3162" s="350">
        <f>IF(G3162="Sim",0,IF(OR(F3162="",L3162=""),"",F3162))</f>
        <v/>
      </c>
      <c r="J3162" s="350">
        <f>IF(G3162="Sim",0,IF(OR(F3162="",D3162="",L3162=""),"",IF(L3162="Sim",ROUND(F3162-D3162,2),0)))</f>
        <v/>
      </c>
      <c r="K3162" s="97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inlineStr">
        <is>
          <t>Nao</t>
        </is>
      </c>
      <c r="W3162" s="110" t="inlineStr">
        <is>
          <t>PC em analise</t>
        </is>
      </c>
      <c r="X3162" s="110" t="inlineStr">
        <is>
          <t>Pedido de Compra</t>
        </is>
      </c>
      <c r="Y3162" s="111" t="inlineStr">
        <is>
          <t>Impacto Potencial</t>
        </is>
      </c>
      <c r="Z3162" s="111" t="inlineStr">
        <is>
          <t>PC</t>
        </is>
      </c>
      <c r="AA3162" s="111" t="inlineStr">
        <is>
          <t>Nao</t>
        </is>
      </c>
      <c r="AB3162" s="111" t="inlineStr">
        <is>
          <t>NAO_COMPUTADO</t>
        </is>
      </c>
      <c r="AC3162" s="112" t="inlineStr">
        <is>
          <t>Estrutura Fase 1: sem impacto no VTA oficial</t>
        </is>
      </c>
    </row>
    <row r="3163" ht="25.5" customHeight="1" s="289">
      <c r="A3163" s="205" t="n"/>
      <c r="B3163" s="207" t="n"/>
      <c r="C3163" s="104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348" t="n"/>
      <c r="E3163" s="349">
        <f>IF(C3163="","",IFERROR(VLOOKUP(C3163,parametros!$A$11:$E$15,5,0),""))</f>
        <v/>
      </c>
      <c r="F3163" s="335">
        <f>IF(OR(D3163="",E3163=""),"",ROUND(D3163*E3163,2))</f>
        <v/>
      </c>
      <c r="G3163" s="106" t="n"/>
      <c r="H3163" s="350">
        <f>IF(G3163="Sim",IF(OR(F3163="",D3163="",L3163=""),"",IF(L3163="Sim",ROUND(F3163-D3163,2),0)),0)</f>
        <v/>
      </c>
      <c r="I3163" s="350">
        <f>IF(G3163="Sim",0,IF(OR(F3163="",L3163=""),"",F3163))</f>
        <v/>
      </c>
      <c r="J3163" s="350">
        <f>IF(G3163="Sim",0,IF(OR(F3163="",D3163="",L3163=""),"",IF(L3163="Sim",ROUND(F3163-D3163,2),0)))</f>
        <v/>
      </c>
      <c r="K3163" s="97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inlineStr">
        <is>
          <t>Nao</t>
        </is>
      </c>
      <c r="W3163" s="110" t="inlineStr">
        <is>
          <t>PC em analise</t>
        </is>
      </c>
      <c r="X3163" s="110" t="inlineStr">
        <is>
          <t>Pedido de Compra</t>
        </is>
      </c>
      <c r="Y3163" s="111" t="inlineStr">
        <is>
          <t>Impacto Potencial</t>
        </is>
      </c>
      <c r="Z3163" s="111" t="inlineStr">
        <is>
          <t>PC</t>
        </is>
      </c>
      <c r="AA3163" s="111" t="inlineStr">
        <is>
          <t>Nao</t>
        </is>
      </c>
      <c r="AB3163" s="111" t="inlineStr">
        <is>
          <t>NAO_COMPUTADO</t>
        </is>
      </c>
      <c r="AC3163" s="112" t="inlineStr">
        <is>
          <t>Estrutura Fase 1: sem impacto no VTA oficial</t>
        </is>
      </c>
    </row>
    <row r="3164" ht="25.5" customHeight="1" s="289">
      <c r="A3164" s="205" t="n"/>
      <c r="B3164" s="207" t="n"/>
      <c r="C3164" s="104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348" t="n"/>
      <c r="E3164" s="349">
        <f>IF(C3164="","",IFERROR(VLOOKUP(C3164,parametros!$A$11:$E$15,5,0),""))</f>
        <v/>
      </c>
      <c r="F3164" s="335">
        <f>IF(OR(D3164="",E3164=""),"",ROUND(D3164*E3164,2))</f>
        <v/>
      </c>
      <c r="G3164" s="106" t="n"/>
      <c r="H3164" s="350">
        <f>IF(G3164="Sim",IF(OR(F3164="",D3164="",L3164=""),"",IF(L3164="Sim",ROUND(F3164-D3164,2),0)),0)</f>
        <v/>
      </c>
      <c r="I3164" s="350">
        <f>IF(G3164="Sim",0,IF(OR(F3164="",L3164=""),"",F3164))</f>
        <v/>
      </c>
      <c r="J3164" s="350">
        <f>IF(G3164="Sim",0,IF(OR(F3164="",D3164="",L3164=""),"",IF(L3164="Sim",ROUND(F3164-D3164,2),0)))</f>
        <v/>
      </c>
      <c r="K3164" s="97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inlineStr">
        <is>
          <t>Nao</t>
        </is>
      </c>
      <c r="W3164" s="110" t="inlineStr">
        <is>
          <t>PC em analise</t>
        </is>
      </c>
      <c r="X3164" s="110" t="inlineStr">
        <is>
          <t>Pedido de Compra</t>
        </is>
      </c>
      <c r="Y3164" s="111" t="inlineStr">
        <is>
          <t>Impacto Potencial</t>
        </is>
      </c>
      <c r="Z3164" s="111" t="inlineStr">
        <is>
          <t>PC</t>
        </is>
      </c>
      <c r="AA3164" s="111" t="inlineStr">
        <is>
          <t>Nao</t>
        </is>
      </c>
      <c r="AB3164" s="111" t="inlineStr">
        <is>
          <t>NAO_COMPUTADO</t>
        </is>
      </c>
      <c r="AC3164" s="112" t="inlineStr">
        <is>
          <t>Estrutura Fase 1: sem impacto no VTA oficial</t>
        </is>
      </c>
    </row>
    <row r="3165" ht="25.5" customHeight="1" s="289">
      <c r="A3165" s="205" t="n"/>
      <c r="B3165" s="207" t="n"/>
      <c r="C3165" s="104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348" t="n"/>
      <c r="E3165" s="349">
        <f>IF(C3165="","",IFERROR(VLOOKUP(C3165,parametros!$A$11:$E$15,5,0),""))</f>
        <v/>
      </c>
      <c r="F3165" s="335">
        <f>IF(OR(D3165="",E3165=""),"",ROUND(D3165*E3165,2))</f>
        <v/>
      </c>
      <c r="G3165" s="106" t="n"/>
      <c r="H3165" s="350">
        <f>IF(G3165="Sim",IF(OR(F3165="",D3165="",L3165=""),"",IF(L3165="Sim",ROUND(F3165-D3165,2),0)),0)</f>
        <v/>
      </c>
      <c r="I3165" s="350">
        <f>IF(G3165="Sim",0,IF(OR(F3165="",L3165=""),"",F3165))</f>
        <v/>
      </c>
      <c r="J3165" s="350">
        <f>IF(G3165="Sim",0,IF(OR(F3165="",D3165="",L3165=""),"",IF(L3165="Sim",ROUND(F3165-D3165,2),0)))</f>
        <v/>
      </c>
      <c r="K3165" s="97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inlineStr">
        <is>
          <t>Nao</t>
        </is>
      </c>
      <c r="W3165" s="110" t="inlineStr">
        <is>
          <t>PC em analise</t>
        </is>
      </c>
      <c r="X3165" s="110" t="inlineStr">
        <is>
          <t>Pedido de Compra</t>
        </is>
      </c>
      <c r="Y3165" s="111" t="inlineStr">
        <is>
          <t>Impacto Potencial</t>
        </is>
      </c>
      <c r="Z3165" s="111" t="inlineStr">
        <is>
          <t>PC</t>
        </is>
      </c>
      <c r="AA3165" s="111" t="inlineStr">
        <is>
          <t>Nao</t>
        </is>
      </c>
      <c r="AB3165" s="111" t="inlineStr">
        <is>
          <t>NAO_COMPUTADO</t>
        </is>
      </c>
      <c r="AC3165" s="112" t="inlineStr">
        <is>
          <t>Estrutura Fase 1: sem impacto no VTA oficial</t>
        </is>
      </c>
    </row>
    <row r="3166" ht="25.5" customHeight="1" s="289">
      <c r="A3166" s="205" t="n"/>
      <c r="B3166" s="207" t="n"/>
      <c r="C3166" s="104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348" t="n"/>
      <c r="E3166" s="349">
        <f>IF(C3166="","",IFERROR(VLOOKUP(C3166,parametros!$A$11:$E$15,5,0),""))</f>
        <v/>
      </c>
      <c r="F3166" s="335">
        <f>IF(OR(D3166="",E3166=""),"",ROUND(D3166*E3166,2))</f>
        <v/>
      </c>
      <c r="G3166" s="106" t="n"/>
      <c r="H3166" s="350">
        <f>IF(G3166="Sim",IF(OR(F3166="",D3166="",L3166=""),"",IF(L3166="Sim",ROUND(F3166-D3166,2),0)),0)</f>
        <v/>
      </c>
      <c r="I3166" s="350">
        <f>IF(G3166="Sim",0,IF(OR(F3166="",L3166=""),"",F3166))</f>
        <v/>
      </c>
      <c r="J3166" s="350">
        <f>IF(G3166="Sim",0,IF(OR(F3166="",D3166="",L3166=""),"",IF(L3166="Sim",ROUND(F3166-D3166,2),0)))</f>
        <v/>
      </c>
      <c r="K3166" s="97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inlineStr">
        <is>
          <t>Nao</t>
        </is>
      </c>
      <c r="W3166" s="110" t="inlineStr">
        <is>
          <t>PC em analise</t>
        </is>
      </c>
      <c r="X3166" s="110" t="inlineStr">
        <is>
          <t>Pedido de Compra</t>
        </is>
      </c>
      <c r="Y3166" s="111" t="inlineStr">
        <is>
          <t>Impacto Potencial</t>
        </is>
      </c>
      <c r="Z3166" s="111" t="inlineStr">
        <is>
          <t>PC</t>
        </is>
      </c>
      <c r="AA3166" s="111" t="inlineStr">
        <is>
          <t>Nao</t>
        </is>
      </c>
      <c r="AB3166" s="111" t="inlineStr">
        <is>
          <t>NAO_COMPUTADO</t>
        </is>
      </c>
      <c r="AC3166" s="112" t="inlineStr">
        <is>
          <t>Estrutura Fase 1: sem impacto no VTA oficial</t>
        </is>
      </c>
    </row>
    <row r="3167" ht="25.5" customHeight="1" s="289">
      <c r="A3167" s="205" t="n"/>
      <c r="B3167" s="207" t="n"/>
      <c r="C3167" s="104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348" t="n"/>
      <c r="E3167" s="349">
        <f>IF(C3167="","",IFERROR(VLOOKUP(C3167,parametros!$A$11:$E$15,5,0),""))</f>
        <v/>
      </c>
      <c r="F3167" s="335">
        <f>IF(OR(D3167="",E3167=""),"",ROUND(D3167*E3167,2))</f>
        <v/>
      </c>
      <c r="G3167" s="106" t="n"/>
      <c r="H3167" s="350">
        <f>IF(G3167="Sim",IF(OR(F3167="",D3167="",L3167=""),"",IF(L3167="Sim",ROUND(F3167-D3167,2),0)),0)</f>
        <v/>
      </c>
      <c r="I3167" s="350">
        <f>IF(G3167="Sim",0,IF(OR(F3167="",L3167=""),"",F3167))</f>
        <v/>
      </c>
      <c r="J3167" s="350">
        <f>IF(G3167="Sim",0,IF(OR(F3167="",D3167="",L3167=""),"",IF(L3167="Sim",ROUND(F3167-D3167,2),0)))</f>
        <v/>
      </c>
      <c r="K3167" s="97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inlineStr">
        <is>
          <t>Nao</t>
        </is>
      </c>
      <c r="W3167" s="110" t="inlineStr">
        <is>
          <t>PC em analise</t>
        </is>
      </c>
      <c r="X3167" s="110" t="inlineStr">
        <is>
          <t>Pedido de Compra</t>
        </is>
      </c>
      <c r="Y3167" s="111" t="inlineStr">
        <is>
          <t>Impacto Potencial</t>
        </is>
      </c>
      <c r="Z3167" s="111" t="inlineStr">
        <is>
          <t>PC</t>
        </is>
      </c>
      <c r="AA3167" s="111" t="inlineStr">
        <is>
          <t>Nao</t>
        </is>
      </c>
      <c r="AB3167" s="111" t="inlineStr">
        <is>
          <t>NAO_COMPUTADO</t>
        </is>
      </c>
      <c r="AC3167" s="112" t="inlineStr">
        <is>
          <t>Estrutura Fase 1: sem impacto no VTA oficial</t>
        </is>
      </c>
    </row>
    <row r="3168" ht="25.5" customHeight="1" s="289">
      <c r="A3168" s="205" t="n"/>
      <c r="B3168" s="207" t="n"/>
      <c r="C3168" s="104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348" t="n"/>
      <c r="E3168" s="349">
        <f>IF(C3168="","",IFERROR(VLOOKUP(C3168,parametros!$A$11:$E$15,5,0),""))</f>
        <v/>
      </c>
      <c r="F3168" s="335">
        <f>IF(OR(D3168="",E3168=""),"",ROUND(D3168*E3168,2))</f>
        <v/>
      </c>
      <c r="G3168" s="106" t="n"/>
      <c r="H3168" s="350">
        <f>IF(G3168="Sim",IF(OR(F3168="",D3168="",L3168=""),"",IF(L3168="Sim",ROUND(F3168-D3168,2),0)),0)</f>
        <v/>
      </c>
      <c r="I3168" s="350">
        <f>IF(G3168="Sim",0,IF(OR(F3168="",L3168=""),"",F3168))</f>
        <v/>
      </c>
      <c r="J3168" s="350">
        <f>IF(G3168="Sim",0,IF(OR(F3168="",D3168="",L3168=""),"",IF(L3168="Sim",ROUND(F3168-D3168,2),0)))</f>
        <v/>
      </c>
      <c r="K3168" s="97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inlineStr">
        <is>
          <t>Nao</t>
        </is>
      </c>
      <c r="W3168" s="110" t="inlineStr">
        <is>
          <t>PC em analise</t>
        </is>
      </c>
      <c r="X3168" s="110" t="inlineStr">
        <is>
          <t>Pedido de Compra</t>
        </is>
      </c>
      <c r="Y3168" s="111" t="inlineStr">
        <is>
          <t>Impacto Potencial</t>
        </is>
      </c>
      <c r="Z3168" s="111" t="inlineStr">
        <is>
          <t>PC</t>
        </is>
      </c>
      <c r="AA3168" s="111" t="inlineStr">
        <is>
          <t>Nao</t>
        </is>
      </c>
      <c r="AB3168" s="111" t="inlineStr">
        <is>
          <t>NAO_COMPUTADO</t>
        </is>
      </c>
      <c r="AC3168" s="112" t="inlineStr">
        <is>
          <t>Estrutura Fase 1: sem impacto no VTA oficial</t>
        </is>
      </c>
    </row>
    <row r="3169" ht="25.5" customHeight="1" s="289">
      <c r="A3169" s="205" t="n"/>
      <c r="B3169" s="207" t="n"/>
      <c r="C3169" s="104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348" t="n"/>
      <c r="E3169" s="349">
        <f>IF(C3169="","",IFERROR(VLOOKUP(C3169,parametros!$A$11:$E$15,5,0),""))</f>
        <v/>
      </c>
      <c r="F3169" s="335">
        <f>IF(OR(D3169="",E3169=""),"",ROUND(D3169*E3169,2))</f>
        <v/>
      </c>
      <c r="G3169" s="106" t="n"/>
      <c r="H3169" s="350">
        <f>IF(G3169="Sim",IF(OR(F3169="",D3169="",L3169=""),"",IF(L3169="Sim",ROUND(F3169-D3169,2),0)),0)</f>
        <v/>
      </c>
      <c r="I3169" s="350">
        <f>IF(G3169="Sim",0,IF(OR(F3169="",L3169=""),"",F3169))</f>
        <v/>
      </c>
      <c r="J3169" s="350">
        <f>IF(G3169="Sim",0,IF(OR(F3169="",D3169="",L3169=""),"",IF(L3169="Sim",ROUND(F3169-D3169,2),0)))</f>
        <v/>
      </c>
      <c r="K3169" s="97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inlineStr">
        <is>
          <t>Nao</t>
        </is>
      </c>
      <c r="W3169" s="110" t="inlineStr">
        <is>
          <t>PC em analise</t>
        </is>
      </c>
      <c r="X3169" s="110" t="inlineStr">
        <is>
          <t>Pedido de Compra</t>
        </is>
      </c>
      <c r="Y3169" s="111" t="inlineStr">
        <is>
          <t>Impacto Potencial</t>
        </is>
      </c>
      <c r="Z3169" s="111" t="inlineStr">
        <is>
          <t>PC</t>
        </is>
      </c>
      <c r="AA3169" s="111" t="inlineStr">
        <is>
          <t>Nao</t>
        </is>
      </c>
      <c r="AB3169" s="111" t="inlineStr">
        <is>
          <t>NAO_COMPUTADO</t>
        </is>
      </c>
      <c r="AC3169" s="112" t="inlineStr">
        <is>
          <t>Estrutura Fase 1: sem impacto no VTA oficial</t>
        </is>
      </c>
    </row>
    <row r="3170" ht="25.5" customHeight="1" s="289">
      <c r="A3170" s="205" t="n"/>
      <c r="B3170" s="207" t="n"/>
      <c r="C3170" s="104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348" t="n"/>
      <c r="E3170" s="349">
        <f>IF(C3170="","",IFERROR(VLOOKUP(C3170,parametros!$A$11:$E$15,5,0),""))</f>
        <v/>
      </c>
      <c r="F3170" s="335">
        <f>IF(OR(D3170="",E3170=""),"",ROUND(D3170*E3170,2))</f>
        <v/>
      </c>
      <c r="G3170" s="106" t="n"/>
      <c r="H3170" s="350">
        <f>IF(G3170="Sim",IF(OR(F3170="",D3170="",L3170=""),"",IF(L3170="Sim",ROUND(F3170-D3170,2),0)),0)</f>
        <v/>
      </c>
      <c r="I3170" s="350">
        <f>IF(G3170="Sim",0,IF(OR(F3170="",L3170=""),"",F3170))</f>
        <v/>
      </c>
      <c r="J3170" s="350">
        <f>IF(G3170="Sim",0,IF(OR(F3170="",D3170="",L3170=""),"",IF(L3170="Sim",ROUND(F3170-D3170,2),0)))</f>
        <v/>
      </c>
      <c r="K3170" s="97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inlineStr">
        <is>
          <t>Nao</t>
        </is>
      </c>
      <c r="W3170" s="110" t="inlineStr">
        <is>
          <t>PC em analise</t>
        </is>
      </c>
      <c r="X3170" s="110" t="inlineStr">
        <is>
          <t>Pedido de Compra</t>
        </is>
      </c>
      <c r="Y3170" s="111" t="inlineStr">
        <is>
          <t>Impacto Potencial</t>
        </is>
      </c>
      <c r="Z3170" s="111" t="inlineStr">
        <is>
          <t>PC</t>
        </is>
      </c>
      <c r="AA3170" s="111" t="inlineStr">
        <is>
          <t>Nao</t>
        </is>
      </c>
      <c r="AB3170" s="111" t="inlineStr">
        <is>
          <t>NAO_COMPUTADO</t>
        </is>
      </c>
      <c r="AC3170" s="112" t="inlineStr">
        <is>
          <t>Estrutura Fase 1: sem impacto no VTA oficial</t>
        </is>
      </c>
    </row>
    <row r="3171" ht="25.5" customHeight="1" s="289">
      <c r="A3171" s="205" t="n"/>
      <c r="B3171" s="207" t="n"/>
      <c r="C3171" s="104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348" t="n"/>
      <c r="E3171" s="349">
        <f>IF(C3171="","",IFERROR(VLOOKUP(C3171,parametros!$A$11:$E$15,5,0),""))</f>
        <v/>
      </c>
      <c r="F3171" s="335">
        <f>IF(OR(D3171="",E3171=""),"",ROUND(D3171*E3171,2))</f>
        <v/>
      </c>
      <c r="G3171" s="106" t="n"/>
      <c r="H3171" s="350">
        <f>IF(G3171="Sim",IF(OR(F3171="",D3171="",L3171=""),"",IF(L3171="Sim",ROUND(F3171-D3171,2),0)),0)</f>
        <v/>
      </c>
      <c r="I3171" s="350">
        <f>IF(G3171="Sim",0,IF(OR(F3171="",L3171=""),"",F3171))</f>
        <v/>
      </c>
      <c r="J3171" s="350">
        <f>IF(G3171="Sim",0,IF(OR(F3171="",D3171="",L3171=""),"",IF(L3171="Sim",ROUND(F3171-D3171,2),0)))</f>
        <v/>
      </c>
      <c r="K3171" s="97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inlineStr">
        <is>
          <t>Nao</t>
        </is>
      </c>
      <c r="W3171" s="110" t="inlineStr">
        <is>
          <t>PC em analise</t>
        </is>
      </c>
      <c r="X3171" s="110" t="inlineStr">
        <is>
          <t>Pedido de Compra</t>
        </is>
      </c>
      <c r="Y3171" s="111" t="inlineStr">
        <is>
          <t>Impacto Potencial</t>
        </is>
      </c>
      <c r="Z3171" s="111" t="inlineStr">
        <is>
          <t>PC</t>
        </is>
      </c>
      <c r="AA3171" s="111" t="inlineStr">
        <is>
          <t>Nao</t>
        </is>
      </c>
      <c r="AB3171" s="111" t="inlineStr">
        <is>
          <t>NAO_COMPUTADO</t>
        </is>
      </c>
      <c r="AC3171" s="112" t="inlineStr">
        <is>
          <t>Estrutura Fase 1: sem impacto no VTA oficial</t>
        </is>
      </c>
    </row>
    <row r="3172" ht="25.5" customHeight="1" s="289">
      <c r="A3172" s="205" t="n"/>
      <c r="B3172" s="207" t="n"/>
      <c r="C3172" s="104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348" t="n"/>
      <c r="E3172" s="349">
        <f>IF(C3172="","",IFERROR(VLOOKUP(C3172,parametros!$A$11:$E$15,5,0),""))</f>
        <v/>
      </c>
      <c r="F3172" s="335">
        <f>IF(OR(D3172="",E3172=""),"",ROUND(D3172*E3172,2))</f>
        <v/>
      </c>
      <c r="G3172" s="106" t="n"/>
      <c r="H3172" s="350">
        <f>IF(G3172="Sim",IF(OR(F3172="",D3172="",L3172=""),"",IF(L3172="Sim",ROUND(F3172-D3172,2),0)),0)</f>
        <v/>
      </c>
      <c r="I3172" s="350">
        <f>IF(G3172="Sim",0,IF(OR(F3172="",L3172=""),"",F3172))</f>
        <v/>
      </c>
      <c r="J3172" s="350">
        <f>IF(G3172="Sim",0,IF(OR(F3172="",D3172="",L3172=""),"",IF(L3172="Sim",ROUND(F3172-D3172,2),0)))</f>
        <v/>
      </c>
      <c r="K3172" s="97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inlineStr">
        <is>
          <t>Nao</t>
        </is>
      </c>
      <c r="W3172" s="110" t="inlineStr">
        <is>
          <t>PC em analise</t>
        </is>
      </c>
      <c r="X3172" s="110" t="inlineStr">
        <is>
          <t>Pedido de Compra</t>
        </is>
      </c>
      <c r="Y3172" s="111" t="inlineStr">
        <is>
          <t>Impacto Potencial</t>
        </is>
      </c>
      <c r="Z3172" s="111" t="inlineStr">
        <is>
          <t>PC</t>
        </is>
      </c>
      <c r="AA3172" s="111" t="inlineStr">
        <is>
          <t>Nao</t>
        </is>
      </c>
      <c r="AB3172" s="111" t="inlineStr">
        <is>
          <t>NAO_COMPUTADO</t>
        </is>
      </c>
      <c r="AC3172" s="112" t="inlineStr">
        <is>
          <t>Estrutura Fase 1: sem impacto no VTA oficial</t>
        </is>
      </c>
    </row>
    <row r="3173" ht="25.5" customHeight="1" s="289">
      <c r="A3173" s="205" t="n"/>
      <c r="B3173" s="207" t="n"/>
      <c r="C3173" s="104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348" t="n"/>
      <c r="E3173" s="349">
        <f>IF(C3173="","",IFERROR(VLOOKUP(C3173,parametros!$A$11:$E$15,5,0),""))</f>
        <v/>
      </c>
      <c r="F3173" s="335">
        <f>IF(OR(D3173="",E3173=""),"",ROUND(D3173*E3173,2))</f>
        <v/>
      </c>
      <c r="G3173" s="106" t="n"/>
      <c r="H3173" s="350">
        <f>IF(G3173="Sim",IF(OR(F3173="",D3173="",L3173=""),"",IF(L3173="Sim",ROUND(F3173-D3173,2),0)),0)</f>
        <v/>
      </c>
      <c r="I3173" s="350">
        <f>IF(G3173="Sim",0,IF(OR(F3173="",L3173=""),"",F3173))</f>
        <v/>
      </c>
      <c r="J3173" s="350">
        <f>IF(G3173="Sim",0,IF(OR(F3173="",D3173="",L3173=""),"",IF(L3173="Sim",ROUND(F3173-D3173,2),0)))</f>
        <v/>
      </c>
      <c r="K3173" s="97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inlineStr">
        <is>
          <t>Nao</t>
        </is>
      </c>
      <c r="W3173" s="110" t="inlineStr">
        <is>
          <t>PC em analise</t>
        </is>
      </c>
      <c r="X3173" s="110" t="inlineStr">
        <is>
          <t>Pedido de Compra</t>
        </is>
      </c>
      <c r="Y3173" s="111" t="inlineStr">
        <is>
          <t>Impacto Potencial</t>
        </is>
      </c>
      <c r="Z3173" s="111" t="inlineStr">
        <is>
          <t>PC</t>
        </is>
      </c>
      <c r="AA3173" s="111" t="inlineStr">
        <is>
          <t>Nao</t>
        </is>
      </c>
      <c r="AB3173" s="111" t="inlineStr">
        <is>
          <t>NAO_COMPUTADO</t>
        </is>
      </c>
      <c r="AC3173" s="112" t="inlineStr">
        <is>
          <t>Estrutura Fase 1: sem impacto no VTA oficial</t>
        </is>
      </c>
    </row>
    <row r="3174" ht="25.5" customHeight="1" s="289">
      <c r="A3174" s="205" t="n"/>
      <c r="B3174" s="207" t="n"/>
      <c r="C3174" s="104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348" t="n"/>
      <c r="E3174" s="349">
        <f>IF(C3174="","",IFERROR(VLOOKUP(C3174,parametros!$A$11:$E$15,5,0),""))</f>
        <v/>
      </c>
      <c r="F3174" s="335">
        <f>IF(OR(D3174="",E3174=""),"",ROUND(D3174*E3174,2))</f>
        <v/>
      </c>
      <c r="G3174" s="106" t="n"/>
      <c r="H3174" s="350">
        <f>IF(G3174="Sim",IF(OR(F3174="",D3174="",L3174=""),"",IF(L3174="Sim",ROUND(F3174-D3174,2),0)),0)</f>
        <v/>
      </c>
      <c r="I3174" s="350">
        <f>IF(G3174="Sim",0,IF(OR(F3174="",L3174=""),"",F3174))</f>
        <v/>
      </c>
      <c r="J3174" s="350">
        <f>IF(G3174="Sim",0,IF(OR(F3174="",D3174="",L3174=""),"",IF(L3174="Sim",ROUND(F3174-D3174,2),0)))</f>
        <v/>
      </c>
      <c r="K3174" s="97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inlineStr">
        <is>
          <t>Nao</t>
        </is>
      </c>
      <c r="W3174" s="110" t="inlineStr">
        <is>
          <t>PC em analise</t>
        </is>
      </c>
      <c r="X3174" s="110" t="inlineStr">
        <is>
          <t>Pedido de Compra</t>
        </is>
      </c>
      <c r="Y3174" s="111" t="inlineStr">
        <is>
          <t>Impacto Potencial</t>
        </is>
      </c>
      <c r="Z3174" s="111" t="inlineStr">
        <is>
          <t>PC</t>
        </is>
      </c>
      <c r="AA3174" s="111" t="inlineStr">
        <is>
          <t>Nao</t>
        </is>
      </c>
      <c r="AB3174" s="111" t="inlineStr">
        <is>
          <t>NAO_COMPUTADO</t>
        </is>
      </c>
      <c r="AC3174" s="112" t="inlineStr">
        <is>
          <t>Estrutura Fase 1: sem impacto no VTA oficial</t>
        </is>
      </c>
    </row>
    <row r="3175" ht="25.5" customHeight="1" s="289">
      <c r="A3175" s="205" t="n"/>
      <c r="B3175" s="207" t="n"/>
      <c r="C3175" s="104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348" t="n"/>
      <c r="E3175" s="349">
        <f>IF(C3175="","",IFERROR(VLOOKUP(C3175,parametros!$A$11:$E$15,5,0),""))</f>
        <v/>
      </c>
      <c r="F3175" s="335">
        <f>IF(OR(D3175="",E3175=""),"",ROUND(D3175*E3175,2))</f>
        <v/>
      </c>
      <c r="G3175" s="106" t="n"/>
      <c r="H3175" s="350">
        <f>IF(G3175="Sim",IF(OR(F3175="",D3175="",L3175=""),"",IF(L3175="Sim",ROUND(F3175-D3175,2),0)),0)</f>
        <v/>
      </c>
      <c r="I3175" s="350">
        <f>IF(G3175="Sim",0,IF(OR(F3175="",L3175=""),"",F3175))</f>
        <v/>
      </c>
      <c r="J3175" s="350">
        <f>IF(G3175="Sim",0,IF(OR(F3175="",D3175="",L3175=""),"",IF(L3175="Sim",ROUND(F3175-D3175,2),0)))</f>
        <v/>
      </c>
      <c r="K3175" s="97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inlineStr">
        <is>
          <t>Nao</t>
        </is>
      </c>
      <c r="W3175" s="110" t="inlineStr">
        <is>
          <t>PC em analise</t>
        </is>
      </c>
      <c r="X3175" s="110" t="inlineStr">
        <is>
          <t>Pedido de Compra</t>
        </is>
      </c>
      <c r="Y3175" s="111" t="inlineStr">
        <is>
          <t>Impacto Potencial</t>
        </is>
      </c>
      <c r="Z3175" s="111" t="inlineStr">
        <is>
          <t>PC</t>
        </is>
      </c>
      <c r="AA3175" s="111" t="inlineStr">
        <is>
          <t>Nao</t>
        </is>
      </c>
      <c r="AB3175" s="111" t="inlineStr">
        <is>
          <t>NAO_COMPUTADO</t>
        </is>
      </c>
      <c r="AC3175" s="112" t="inlineStr">
        <is>
          <t>Estrutura Fase 1: sem impacto no VTA oficial</t>
        </is>
      </c>
    </row>
    <row r="3176" ht="25.5" customHeight="1" s="289">
      <c r="A3176" s="205" t="n"/>
      <c r="B3176" s="207" t="n"/>
      <c r="C3176" s="104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348" t="n"/>
      <c r="E3176" s="349">
        <f>IF(C3176="","",IFERROR(VLOOKUP(C3176,parametros!$A$11:$E$15,5,0),""))</f>
        <v/>
      </c>
      <c r="F3176" s="335">
        <f>IF(OR(D3176="",E3176=""),"",ROUND(D3176*E3176,2))</f>
        <v/>
      </c>
      <c r="G3176" s="106" t="n"/>
      <c r="H3176" s="350">
        <f>IF(G3176="Sim",IF(OR(F3176="",D3176="",L3176=""),"",IF(L3176="Sim",ROUND(F3176-D3176,2),0)),0)</f>
        <v/>
      </c>
      <c r="I3176" s="350">
        <f>IF(G3176="Sim",0,IF(OR(F3176="",L3176=""),"",F3176))</f>
        <v/>
      </c>
      <c r="J3176" s="350">
        <f>IF(G3176="Sim",0,IF(OR(F3176="",D3176="",L3176=""),"",IF(L3176="Sim",ROUND(F3176-D3176,2),0)))</f>
        <v/>
      </c>
      <c r="K3176" s="97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inlineStr">
        <is>
          <t>Nao</t>
        </is>
      </c>
      <c r="W3176" s="110" t="inlineStr">
        <is>
          <t>PC em analise</t>
        </is>
      </c>
      <c r="X3176" s="110" t="inlineStr">
        <is>
          <t>Pedido de Compra</t>
        </is>
      </c>
      <c r="Y3176" s="111" t="inlineStr">
        <is>
          <t>Impacto Potencial</t>
        </is>
      </c>
      <c r="Z3176" s="111" t="inlineStr">
        <is>
          <t>PC</t>
        </is>
      </c>
      <c r="AA3176" s="111" t="inlineStr">
        <is>
          <t>Nao</t>
        </is>
      </c>
      <c r="AB3176" s="111" t="inlineStr">
        <is>
          <t>NAO_COMPUTADO</t>
        </is>
      </c>
      <c r="AC3176" s="112" t="inlineStr">
        <is>
          <t>Estrutura Fase 1: sem impacto no VTA oficial</t>
        </is>
      </c>
    </row>
    <row r="3177" ht="25.5" customHeight="1" s="289">
      <c r="A3177" s="205" t="n"/>
      <c r="B3177" s="207" t="n"/>
      <c r="C3177" s="104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348" t="n"/>
      <c r="E3177" s="349">
        <f>IF(C3177="","",IFERROR(VLOOKUP(C3177,parametros!$A$11:$E$15,5,0),""))</f>
        <v/>
      </c>
      <c r="F3177" s="335">
        <f>IF(OR(D3177="",E3177=""),"",ROUND(D3177*E3177,2))</f>
        <v/>
      </c>
      <c r="G3177" s="106" t="n"/>
      <c r="H3177" s="350">
        <f>IF(G3177="Sim",IF(OR(F3177="",D3177="",L3177=""),"",IF(L3177="Sim",ROUND(F3177-D3177,2),0)),0)</f>
        <v/>
      </c>
      <c r="I3177" s="350">
        <f>IF(G3177="Sim",0,IF(OR(F3177="",L3177=""),"",F3177))</f>
        <v/>
      </c>
      <c r="J3177" s="350">
        <f>IF(G3177="Sim",0,IF(OR(F3177="",D3177="",L3177=""),"",IF(L3177="Sim",ROUND(F3177-D3177,2),0)))</f>
        <v/>
      </c>
      <c r="K3177" s="97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inlineStr">
        <is>
          <t>Nao</t>
        </is>
      </c>
      <c r="W3177" s="110" t="inlineStr">
        <is>
          <t>PC em analise</t>
        </is>
      </c>
      <c r="X3177" s="110" t="inlineStr">
        <is>
          <t>Pedido de Compra</t>
        </is>
      </c>
      <c r="Y3177" s="111" t="inlineStr">
        <is>
          <t>Impacto Potencial</t>
        </is>
      </c>
      <c r="Z3177" s="111" t="inlineStr">
        <is>
          <t>PC</t>
        </is>
      </c>
      <c r="AA3177" s="111" t="inlineStr">
        <is>
          <t>Nao</t>
        </is>
      </c>
      <c r="AB3177" s="111" t="inlineStr">
        <is>
          <t>NAO_COMPUTADO</t>
        </is>
      </c>
      <c r="AC3177" s="112" t="inlineStr">
        <is>
          <t>Estrutura Fase 1: sem impacto no VTA oficial</t>
        </is>
      </c>
    </row>
    <row r="3178" ht="25.5" customHeight="1" s="289">
      <c r="A3178" s="205" t="n"/>
      <c r="B3178" s="207" t="n"/>
      <c r="C3178" s="104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348" t="n"/>
      <c r="E3178" s="349">
        <f>IF(C3178="","",IFERROR(VLOOKUP(C3178,parametros!$A$11:$E$15,5,0),""))</f>
        <v/>
      </c>
      <c r="F3178" s="335">
        <f>IF(OR(D3178="",E3178=""),"",ROUND(D3178*E3178,2))</f>
        <v/>
      </c>
      <c r="G3178" s="106" t="n"/>
      <c r="H3178" s="350">
        <f>IF(G3178="Sim",IF(OR(F3178="",D3178="",L3178=""),"",IF(L3178="Sim",ROUND(F3178-D3178,2),0)),0)</f>
        <v/>
      </c>
      <c r="I3178" s="350">
        <f>IF(G3178="Sim",0,IF(OR(F3178="",L3178=""),"",F3178))</f>
        <v/>
      </c>
      <c r="J3178" s="350">
        <f>IF(G3178="Sim",0,IF(OR(F3178="",D3178="",L3178=""),"",IF(L3178="Sim",ROUND(F3178-D3178,2),0)))</f>
        <v/>
      </c>
      <c r="K3178" s="97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inlineStr">
        <is>
          <t>Nao</t>
        </is>
      </c>
      <c r="W3178" s="110" t="inlineStr">
        <is>
          <t>PC em analise</t>
        </is>
      </c>
      <c r="X3178" s="110" t="inlineStr">
        <is>
          <t>Pedido de Compra</t>
        </is>
      </c>
      <c r="Y3178" s="111" t="inlineStr">
        <is>
          <t>Impacto Potencial</t>
        </is>
      </c>
      <c r="Z3178" s="111" t="inlineStr">
        <is>
          <t>PC</t>
        </is>
      </c>
      <c r="AA3178" s="111" t="inlineStr">
        <is>
          <t>Nao</t>
        </is>
      </c>
      <c r="AB3178" s="111" t="inlineStr">
        <is>
          <t>NAO_COMPUTADO</t>
        </is>
      </c>
      <c r="AC3178" s="112" t="inlineStr">
        <is>
          <t>Estrutura Fase 1: sem impacto no VTA oficial</t>
        </is>
      </c>
    </row>
    <row r="3179" ht="25.5" customHeight="1" s="289">
      <c r="A3179" s="205" t="n"/>
      <c r="B3179" s="207" t="n"/>
      <c r="C3179" s="104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348" t="n"/>
      <c r="E3179" s="349">
        <f>IF(C3179="","",IFERROR(VLOOKUP(C3179,parametros!$A$11:$E$15,5,0),""))</f>
        <v/>
      </c>
      <c r="F3179" s="335">
        <f>IF(OR(D3179="",E3179=""),"",ROUND(D3179*E3179,2))</f>
        <v/>
      </c>
      <c r="G3179" s="106" t="n"/>
      <c r="H3179" s="350">
        <f>IF(G3179="Sim",IF(OR(F3179="",D3179="",L3179=""),"",IF(L3179="Sim",ROUND(F3179-D3179,2),0)),0)</f>
        <v/>
      </c>
      <c r="I3179" s="350">
        <f>IF(G3179="Sim",0,IF(OR(F3179="",L3179=""),"",F3179))</f>
        <v/>
      </c>
      <c r="J3179" s="350">
        <f>IF(G3179="Sim",0,IF(OR(F3179="",D3179="",L3179=""),"",IF(L3179="Sim",ROUND(F3179-D3179,2),0)))</f>
        <v/>
      </c>
      <c r="K3179" s="97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inlineStr">
        <is>
          <t>Nao</t>
        </is>
      </c>
      <c r="W3179" s="110" t="inlineStr">
        <is>
          <t>PC em analise</t>
        </is>
      </c>
      <c r="X3179" s="110" t="inlineStr">
        <is>
          <t>Pedido de Compra</t>
        </is>
      </c>
      <c r="Y3179" s="111" t="inlineStr">
        <is>
          <t>Impacto Potencial</t>
        </is>
      </c>
      <c r="Z3179" s="111" t="inlineStr">
        <is>
          <t>PC</t>
        </is>
      </c>
      <c r="AA3179" s="111" t="inlineStr">
        <is>
          <t>Nao</t>
        </is>
      </c>
      <c r="AB3179" s="111" t="inlineStr">
        <is>
          <t>NAO_COMPUTADO</t>
        </is>
      </c>
      <c r="AC3179" s="112" t="inlineStr">
        <is>
          <t>Estrutura Fase 1: sem impacto no VTA oficial</t>
        </is>
      </c>
    </row>
    <row r="3180" ht="25.5" customHeight="1" s="289">
      <c r="A3180" s="205" t="n"/>
      <c r="B3180" s="207" t="n"/>
      <c r="C3180" s="104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348" t="n"/>
      <c r="E3180" s="349">
        <f>IF(C3180="","",IFERROR(VLOOKUP(C3180,parametros!$A$11:$E$15,5,0),""))</f>
        <v/>
      </c>
      <c r="F3180" s="335">
        <f>IF(OR(D3180="",E3180=""),"",ROUND(D3180*E3180,2))</f>
        <v/>
      </c>
      <c r="G3180" s="106" t="n"/>
      <c r="H3180" s="350">
        <f>IF(G3180="Sim",IF(OR(F3180="",D3180="",L3180=""),"",IF(L3180="Sim",ROUND(F3180-D3180,2),0)),0)</f>
        <v/>
      </c>
      <c r="I3180" s="350">
        <f>IF(G3180="Sim",0,IF(OR(F3180="",L3180=""),"",F3180))</f>
        <v/>
      </c>
      <c r="J3180" s="350">
        <f>IF(G3180="Sim",0,IF(OR(F3180="",D3180="",L3180=""),"",IF(L3180="Sim",ROUND(F3180-D3180,2),0)))</f>
        <v/>
      </c>
      <c r="K3180" s="97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inlineStr">
        <is>
          <t>Nao</t>
        </is>
      </c>
      <c r="W3180" s="110" t="inlineStr">
        <is>
          <t>PC em analise</t>
        </is>
      </c>
      <c r="X3180" s="110" t="inlineStr">
        <is>
          <t>Pedido de Compra</t>
        </is>
      </c>
      <c r="Y3180" s="111" t="inlineStr">
        <is>
          <t>Impacto Potencial</t>
        </is>
      </c>
      <c r="Z3180" s="111" t="inlineStr">
        <is>
          <t>PC</t>
        </is>
      </c>
      <c r="AA3180" s="111" t="inlineStr">
        <is>
          <t>Nao</t>
        </is>
      </c>
      <c r="AB3180" s="111" t="inlineStr">
        <is>
          <t>NAO_COMPUTADO</t>
        </is>
      </c>
      <c r="AC3180" s="112" t="inlineStr">
        <is>
          <t>Estrutura Fase 1: sem impacto no VTA oficial</t>
        </is>
      </c>
    </row>
    <row r="3181" ht="25.5" customHeight="1" s="289">
      <c r="A3181" s="205" t="n"/>
      <c r="B3181" s="207" t="n"/>
      <c r="C3181" s="104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348" t="n"/>
      <c r="E3181" s="349">
        <f>IF(C3181="","",IFERROR(VLOOKUP(C3181,parametros!$A$11:$E$15,5,0),""))</f>
        <v/>
      </c>
      <c r="F3181" s="335">
        <f>IF(OR(D3181="",E3181=""),"",ROUND(D3181*E3181,2))</f>
        <v/>
      </c>
      <c r="G3181" s="106" t="n"/>
      <c r="H3181" s="350">
        <f>IF(G3181="Sim",IF(OR(F3181="",D3181="",L3181=""),"",IF(L3181="Sim",ROUND(F3181-D3181,2),0)),0)</f>
        <v/>
      </c>
      <c r="I3181" s="350">
        <f>IF(G3181="Sim",0,IF(OR(F3181="",L3181=""),"",F3181))</f>
        <v/>
      </c>
      <c r="J3181" s="350">
        <f>IF(G3181="Sim",0,IF(OR(F3181="",D3181="",L3181=""),"",IF(L3181="Sim",ROUND(F3181-D3181,2),0)))</f>
        <v/>
      </c>
      <c r="K3181" s="97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inlineStr">
        <is>
          <t>Nao</t>
        </is>
      </c>
      <c r="W3181" s="110" t="inlineStr">
        <is>
          <t>PC em analise</t>
        </is>
      </c>
      <c r="X3181" s="110" t="inlineStr">
        <is>
          <t>Pedido de Compra</t>
        </is>
      </c>
      <c r="Y3181" s="111" t="inlineStr">
        <is>
          <t>Impacto Potencial</t>
        </is>
      </c>
      <c r="Z3181" s="111" t="inlineStr">
        <is>
          <t>PC</t>
        </is>
      </c>
      <c r="AA3181" s="111" t="inlineStr">
        <is>
          <t>Nao</t>
        </is>
      </c>
      <c r="AB3181" s="111" t="inlineStr">
        <is>
          <t>NAO_COMPUTADO</t>
        </is>
      </c>
      <c r="AC3181" s="112" t="inlineStr">
        <is>
          <t>Estrutura Fase 1: sem impacto no VTA oficial</t>
        </is>
      </c>
    </row>
    <row r="3182" ht="25.5" customHeight="1" s="289">
      <c r="A3182" s="205" t="n"/>
      <c r="B3182" s="207" t="n"/>
      <c r="C3182" s="104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348" t="n"/>
      <c r="E3182" s="349">
        <f>IF(C3182="","",IFERROR(VLOOKUP(C3182,parametros!$A$11:$E$15,5,0),""))</f>
        <v/>
      </c>
      <c r="F3182" s="335">
        <f>IF(OR(D3182="",E3182=""),"",ROUND(D3182*E3182,2))</f>
        <v/>
      </c>
      <c r="G3182" s="106" t="n"/>
      <c r="H3182" s="350">
        <f>IF(G3182="Sim",IF(OR(F3182="",D3182="",L3182=""),"",IF(L3182="Sim",ROUND(F3182-D3182,2),0)),0)</f>
        <v/>
      </c>
      <c r="I3182" s="350">
        <f>IF(G3182="Sim",0,IF(OR(F3182="",L3182=""),"",F3182))</f>
        <v/>
      </c>
      <c r="J3182" s="350">
        <f>IF(G3182="Sim",0,IF(OR(F3182="",D3182="",L3182=""),"",IF(L3182="Sim",ROUND(F3182-D3182,2),0)))</f>
        <v/>
      </c>
      <c r="K3182" s="97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inlineStr">
        <is>
          <t>Nao</t>
        </is>
      </c>
      <c r="W3182" s="110" t="inlineStr">
        <is>
          <t>PC em analise</t>
        </is>
      </c>
      <c r="X3182" s="110" t="inlineStr">
        <is>
          <t>Pedido de Compra</t>
        </is>
      </c>
      <c r="Y3182" s="111" t="inlineStr">
        <is>
          <t>Impacto Potencial</t>
        </is>
      </c>
      <c r="Z3182" s="111" t="inlineStr">
        <is>
          <t>PC</t>
        </is>
      </c>
      <c r="AA3182" s="111" t="inlineStr">
        <is>
          <t>Nao</t>
        </is>
      </c>
      <c r="AB3182" s="111" t="inlineStr">
        <is>
          <t>NAO_COMPUTADO</t>
        </is>
      </c>
      <c r="AC3182" s="112" t="inlineStr">
        <is>
          <t>Estrutura Fase 1: sem impacto no VTA oficial</t>
        </is>
      </c>
    </row>
    <row r="3183" ht="25.5" customHeight="1" s="289">
      <c r="A3183" s="205" t="n"/>
      <c r="B3183" s="207" t="n"/>
      <c r="C3183" s="104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348" t="n"/>
      <c r="E3183" s="349">
        <f>IF(C3183="","",IFERROR(VLOOKUP(C3183,parametros!$A$11:$E$15,5,0),""))</f>
        <v/>
      </c>
      <c r="F3183" s="335">
        <f>IF(OR(D3183="",E3183=""),"",ROUND(D3183*E3183,2))</f>
        <v/>
      </c>
      <c r="G3183" s="106" t="n"/>
      <c r="H3183" s="350">
        <f>IF(G3183="Sim",IF(OR(F3183="",D3183="",L3183=""),"",IF(L3183="Sim",ROUND(F3183-D3183,2),0)),0)</f>
        <v/>
      </c>
      <c r="I3183" s="350">
        <f>IF(G3183="Sim",0,IF(OR(F3183="",L3183=""),"",F3183))</f>
        <v/>
      </c>
      <c r="J3183" s="350">
        <f>IF(G3183="Sim",0,IF(OR(F3183="",D3183="",L3183=""),"",IF(L3183="Sim",ROUND(F3183-D3183,2),0)))</f>
        <v/>
      </c>
      <c r="K3183" s="97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inlineStr">
        <is>
          <t>Nao</t>
        </is>
      </c>
      <c r="W3183" s="110" t="inlineStr">
        <is>
          <t>PC em analise</t>
        </is>
      </c>
      <c r="X3183" s="110" t="inlineStr">
        <is>
          <t>Pedido de Compra</t>
        </is>
      </c>
      <c r="Y3183" s="111" t="inlineStr">
        <is>
          <t>Impacto Potencial</t>
        </is>
      </c>
      <c r="Z3183" s="111" t="inlineStr">
        <is>
          <t>PC</t>
        </is>
      </c>
      <c r="AA3183" s="111" t="inlineStr">
        <is>
          <t>Nao</t>
        </is>
      </c>
      <c r="AB3183" s="111" t="inlineStr">
        <is>
          <t>NAO_COMPUTADO</t>
        </is>
      </c>
      <c r="AC3183" s="112" t="inlineStr">
        <is>
          <t>Estrutura Fase 1: sem impacto no VTA oficial</t>
        </is>
      </c>
    </row>
    <row r="3184" ht="25.5" customHeight="1" s="289">
      <c r="A3184" s="205" t="n"/>
      <c r="B3184" s="207" t="n"/>
      <c r="C3184" s="104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348" t="n"/>
      <c r="E3184" s="349">
        <f>IF(C3184="","",IFERROR(VLOOKUP(C3184,parametros!$A$11:$E$15,5,0),""))</f>
        <v/>
      </c>
      <c r="F3184" s="335">
        <f>IF(OR(D3184="",E3184=""),"",ROUND(D3184*E3184,2))</f>
        <v/>
      </c>
      <c r="G3184" s="106" t="n"/>
      <c r="H3184" s="350">
        <f>IF(G3184="Sim",IF(OR(F3184="",D3184="",L3184=""),"",IF(L3184="Sim",ROUND(F3184-D3184,2),0)),0)</f>
        <v/>
      </c>
      <c r="I3184" s="350">
        <f>IF(G3184="Sim",0,IF(OR(F3184="",L3184=""),"",F3184))</f>
        <v/>
      </c>
      <c r="J3184" s="350">
        <f>IF(G3184="Sim",0,IF(OR(F3184="",D3184="",L3184=""),"",IF(L3184="Sim",ROUND(F3184-D3184,2),0)))</f>
        <v/>
      </c>
      <c r="K3184" s="97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inlineStr">
        <is>
          <t>Nao</t>
        </is>
      </c>
      <c r="W3184" s="110" t="inlineStr">
        <is>
          <t>PC em analise</t>
        </is>
      </c>
      <c r="X3184" s="110" t="inlineStr">
        <is>
          <t>Pedido de Compra</t>
        </is>
      </c>
      <c r="Y3184" s="111" t="inlineStr">
        <is>
          <t>Impacto Potencial</t>
        </is>
      </c>
      <c r="Z3184" s="111" t="inlineStr">
        <is>
          <t>PC</t>
        </is>
      </c>
      <c r="AA3184" s="111" t="inlineStr">
        <is>
          <t>Nao</t>
        </is>
      </c>
      <c r="AB3184" s="111" t="inlineStr">
        <is>
          <t>NAO_COMPUTADO</t>
        </is>
      </c>
      <c r="AC3184" s="112" t="inlineStr">
        <is>
          <t>Estrutura Fase 1: sem impacto no VTA oficial</t>
        </is>
      </c>
    </row>
    <row r="3185" ht="25.5" customHeight="1" s="289">
      <c r="A3185" s="205" t="n"/>
      <c r="B3185" s="207" t="n"/>
      <c r="C3185" s="104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348" t="n"/>
      <c r="E3185" s="349">
        <f>IF(C3185="","",IFERROR(VLOOKUP(C3185,parametros!$A$11:$E$15,5,0),""))</f>
        <v/>
      </c>
      <c r="F3185" s="335">
        <f>IF(OR(D3185="",E3185=""),"",ROUND(D3185*E3185,2))</f>
        <v/>
      </c>
      <c r="G3185" s="106" t="n"/>
      <c r="H3185" s="350">
        <f>IF(G3185="Sim",IF(OR(F3185="",D3185="",L3185=""),"",IF(L3185="Sim",ROUND(F3185-D3185,2),0)),0)</f>
        <v/>
      </c>
      <c r="I3185" s="350">
        <f>IF(G3185="Sim",0,IF(OR(F3185="",L3185=""),"",F3185))</f>
        <v/>
      </c>
      <c r="J3185" s="350">
        <f>IF(G3185="Sim",0,IF(OR(F3185="",D3185="",L3185=""),"",IF(L3185="Sim",ROUND(F3185-D3185,2),0)))</f>
        <v/>
      </c>
      <c r="K3185" s="97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inlineStr">
        <is>
          <t>Nao</t>
        </is>
      </c>
      <c r="W3185" s="110" t="inlineStr">
        <is>
          <t>PC em analise</t>
        </is>
      </c>
      <c r="X3185" s="110" t="inlineStr">
        <is>
          <t>Pedido de Compra</t>
        </is>
      </c>
      <c r="Y3185" s="111" t="inlineStr">
        <is>
          <t>Impacto Potencial</t>
        </is>
      </c>
      <c r="Z3185" s="111" t="inlineStr">
        <is>
          <t>PC</t>
        </is>
      </c>
      <c r="AA3185" s="111" t="inlineStr">
        <is>
          <t>Nao</t>
        </is>
      </c>
      <c r="AB3185" s="111" t="inlineStr">
        <is>
          <t>NAO_COMPUTADO</t>
        </is>
      </c>
      <c r="AC3185" s="112" t="inlineStr">
        <is>
          <t>Estrutura Fase 1: sem impacto no VTA oficial</t>
        </is>
      </c>
    </row>
    <row r="3186" ht="25.5" customHeight="1" s="289">
      <c r="A3186" s="205" t="n"/>
      <c r="B3186" s="207" t="n"/>
      <c r="C3186" s="104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348" t="n"/>
      <c r="E3186" s="349">
        <f>IF(C3186="","",IFERROR(VLOOKUP(C3186,parametros!$A$11:$E$15,5,0),""))</f>
        <v/>
      </c>
      <c r="F3186" s="335">
        <f>IF(OR(D3186="",E3186=""),"",ROUND(D3186*E3186,2))</f>
        <v/>
      </c>
      <c r="G3186" s="106" t="n"/>
      <c r="H3186" s="350">
        <f>IF(G3186="Sim",IF(OR(F3186="",D3186="",L3186=""),"",IF(L3186="Sim",ROUND(F3186-D3186,2),0)),0)</f>
        <v/>
      </c>
      <c r="I3186" s="350">
        <f>IF(G3186="Sim",0,IF(OR(F3186="",L3186=""),"",F3186))</f>
        <v/>
      </c>
      <c r="J3186" s="350">
        <f>IF(G3186="Sim",0,IF(OR(F3186="",D3186="",L3186=""),"",IF(L3186="Sim",ROUND(F3186-D3186,2),0)))</f>
        <v/>
      </c>
      <c r="K3186" s="97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inlineStr">
        <is>
          <t>Nao</t>
        </is>
      </c>
      <c r="W3186" s="110" t="inlineStr">
        <is>
          <t>PC em analise</t>
        </is>
      </c>
      <c r="X3186" s="110" t="inlineStr">
        <is>
          <t>Pedido de Compra</t>
        </is>
      </c>
      <c r="Y3186" s="111" t="inlineStr">
        <is>
          <t>Impacto Potencial</t>
        </is>
      </c>
      <c r="Z3186" s="111" t="inlineStr">
        <is>
          <t>PC</t>
        </is>
      </c>
      <c r="AA3186" s="111" t="inlineStr">
        <is>
          <t>Nao</t>
        </is>
      </c>
      <c r="AB3186" s="111" t="inlineStr">
        <is>
          <t>NAO_COMPUTADO</t>
        </is>
      </c>
      <c r="AC3186" s="112" t="inlineStr">
        <is>
          <t>Estrutura Fase 1: sem impacto no VTA oficial</t>
        </is>
      </c>
    </row>
    <row r="3187" ht="25.5" customHeight="1" s="289">
      <c r="A3187" s="205" t="n"/>
      <c r="B3187" s="207" t="n"/>
      <c r="C3187" s="104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348" t="n"/>
      <c r="E3187" s="349">
        <f>IF(C3187="","",IFERROR(VLOOKUP(C3187,parametros!$A$11:$E$15,5,0),""))</f>
        <v/>
      </c>
      <c r="F3187" s="335">
        <f>IF(OR(D3187="",E3187=""),"",ROUND(D3187*E3187,2))</f>
        <v/>
      </c>
      <c r="G3187" s="106" t="n"/>
      <c r="H3187" s="350">
        <f>IF(G3187="Sim",IF(OR(F3187="",D3187="",L3187=""),"",IF(L3187="Sim",ROUND(F3187-D3187,2),0)),0)</f>
        <v/>
      </c>
      <c r="I3187" s="350">
        <f>IF(G3187="Sim",0,IF(OR(F3187="",L3187=""),"",F3187))</f>
        <v/>
      </c>
      <c r="J3187" s="350">
        <f>IF(G3187="Sim",0,IF(OR(F3187="",D3187="",L3187=""),"",IF(L3187="Sim",ROUND(F3187-D3187,2),0)))</f>
        <v/>
      </c>
      <c r="K3187" s="97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inlineStr">
        <is>
          <t>Nao</t>
        </is>
      </c>
      <c r="W3187" s="110" t="inlineStr">
        <is>
          <t>PC em analise</t>
        </is>
      </c>
      <c r="X3187" s="110" t="inlineStr">
        <is>
          <t>Pedido de Compra</t>
        </is>
      </c>
      <c r="Y3187" s="111" t="inlineStr">
        <is>
          <t>Impacto Potencial</t>
        </is>
      </c>
      <c r="Z3187" s="111" t="inlineStr">
        <is>
          <t>PC</t>
        </is>
      </c>
      <c r="AA3187" s="111" t="inlineStr">
        <is>
          <t>Nao</t>
        </is>
      </c>
      <c r="AB3187" s="111" t="inlineStr">
        <is>
          <t>NAO_COMPUTADO</t>
        </is>
      </c>
      <c r="AC3187" s="112" t="inlineStr">
        <is>
          <t>Estrutura Fase 1: sem impacto no VTA oficial</t>
        </is>
      </c>
    </row>
    <row r="3188" ht="25.5" customHeight="1" s="289">
      <c r="A3188" s="205" t="n"/>
      <c r="B3188" s="207" t="n"/>
      <c r="C3188" s="104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348" t="n"/>
      <c r="E3188" s="349">
        <f>IF(C3188="","",IFERROR(VLOOKUP(C3188,parametros!$A$11:$E$15,5,0),""))</f>
        <v/>
      </c>
      <c r="F3188" s="335">
        <f>IF(OR(D3188="",E3188=""),"",ROUND(D3188*E3188,2))</f>
        <v/>
      </c>
      <c r="G3188" s="106" t="n"/>
      <c r="H3188" s="350">
        <f>IF(G3188="Sim",IF(OR(F3188="",D3188="",L3188=""),"",IF(L3188="Sim",ROUND(F3188-D3188,2),0)),0)</f>
        <v/>
      </c>
      <c r="I3188" s="350">
        <f>IF(G3188="Sim",0,IF(OR(F3188="",L3188=""),"",F3188))</f>
        <v/>
      </c>
      <c r="J3188" s="350">
        <f>IF(G3188="Sim",0,IF(OR(F3188="",D3188="",L3188=""),"",IF(L3188="Sim",ROUND(F3188-D3188,2),0)))</f>
        <v/>
      </c>
      <c r="K3188" s="97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inlineStr">
        <is>
          <t>Nao</t>
        </is>
      </c>
      <c r="W3188" s="110" t="inlineStr">
        <is>
          <t>PC em analise</t>
        </is>
      </c>
      <c r="X3188" s="110" t="inlineStr">
        <is>
          <t>Pedido de Compra</t>
        </is>
      </c>
      <c r="Y3188" s="111" t="inlineStr">
        <is>
          <t>Impacto Potencial</t>
        </is>
      </c>
      <c r="Z3188" s="111" t="inlineStr">
        <is>
          <t>PC</t>
        </is>
      </c>
      <c r="AA3188" s="111" t="inlineStr">
        <is>
          <t>Nao</t>
        </is>
      </c>
      <c r="AB3188" s="111" t="inlineStr">
        <is>
          <t>NAO_COMPUTADO</t>
        </is>
      </c>
      <c r="AC3188" s="112" t="inlineStr">
        <is>
          <t>Estrutura Fase 1: sem impacto no VTA oficial</t>
        </is>
      </c>
    </row>
    <row r="3189" ht="25.5" customHeight="1" s="289">
      <c r="A3189" s="205" t="n"/>
      <c r="B3189" s="207" t="n"/>
      <c r="C3189" s="104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348" t="n"/>
      <c r="E3189" s="349">
        <f>IF(C3189="","",IFERROR(VLOOKUP(C3189,parametros!$A$11:$E$15,5,0),""))</f>
        <v/>
      </c>
      <c r="F3189" s="335">
        <f>IF(OR(D3189="",E3189=""),"",ROUND(D3189*E3189,2))</f>
        <v/>
      </c>
      <c r="G3189" s="106" t="n"/>
      <c r="H3189" s="350">
        <f>IF(G3189="Sim",IF(OR(F3189="",D3189="",L3189=""),"",IF(L3189="Sim",ROUND(F3189-D3189,2),0)),0)</f>
        <v/>
      </c>
      <c r="I3189" s="350">
        <f>IF(G3189="Sim",0,IF(OR(F3189="",L3189=""),"",F3189))</f>
        <v/>
      </c>
      <c r="J3189" s="350">
        <f>IF(G3189="Sim",0,IF(OR(F3189="",D3189="",L3189=""),"",IF(L3189="Sim",ROUND(F3189-D3189,2),0)))</f>
        <v/>
      </c>
      <c r="K3189" s="97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inlineStr">
        <is>
          <t>Nao</t>
        </is>
      </c>
      <c r="W3189" s="110" t="inlineStr">
        <is>
          <t>PC em analise</t>
        </is>
      </c>
      <c r="X3189" s="110" t="inlineStr">
        <is>
          <t>Pedido de Compra</t>
        </is>
      </c>
      <c r="Y3189" s="111" t="inlineStr">
        <is>
          <t>Impacto Potencial</t>
        </is>
      </c>
      <c r="Z3189" s="111" t="inlineStr">
        <is>
          <t>PC</t>
        </is>
      </c>
      <c r="AA3189" s="111" t="inlineStr">
        <is>
          <t>Nao</t>
        </is>
      </c>
      <c r="AB3189" s="111" t="inlineStr">
        <is>
          <t>NAO_COMPUTADO</t>
        </is>
      </c>
      <c r="AC3189" s="112" t="inlineStr">
        <is>
          <t>Estrutura Fase 1: sem impacto no VTA oficial</t>
        </is>
      </c>
    </row>
    <row r="3190" ht="25.5" customHeight="1" s="289">
      <c r="A3190" s="205" t="n"/>
      <c r="B3190" s="207" t="n"/>
      <c r="C3190" s="104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348" t="n"/>
      <c r="E3190" s="349">
        <f>IF(C3190="","",IFERROR(VLOOKUP(C3190,parametros!$A$11:$E$15,5,0),""))</f>
        <v/>
      </c>
      <c r="F3190" s="335">
        <f>IF(OR(D3190="",E3190=""),"",ROUND(D3190*E3190,2))</f>
        <v/>
      </c>
      <c r="G3190" s="106" t="n"/>
      <c r="H3190" s="350">
        <f>IF(G3190="Sim",IF(OR(F3190="",D3190="",L3190=""),"",IF(L3190="Sim",ROUND(F3190-D3190,2),0)),0)</f>
        <v/>
      </c>
      <c r="I3190" s="350">
        <f>IF(G3190="Sim",0,IF(OR(F3190="",L3190=""),"",F3190))</f>
        <v/>
      </c>
      <c r="J3190" s="350">
        <f>IF(G3190="Sim",0,IF(OR(F3190="",D3190="",L3190=""),"",IF(L3190="Sim",ROUND(F3190-D3190,2),0)))</f>
        <v/>
      </c>
      <c r="K3190" s="97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inlineStr">
        <is>
          <t>Nao</t>
        </is>
      </c>
      <c r="W3190" s="110" t="inlineStr">
        <is>
          <t>PC em analise</t>
        </is>
      </c>
      <c r="X3190" s="110" t="inlineStr">
        <is>
          <t>Pedido de Compra</t>
        </is>
      </c>
      <c r="Y3190" s="111" t="inlineStr">
        <is>
          <t>Impacto Potencial</t>
        </is>
      </c>
      <c r="Z3190" s="111" t="inlineStr">
        <is>
          <t>PC</t>
        </is>
      </c>
      <c r="AA3190" s="111" t="inlineStr">
        <is>
          <t>Nao</t>
        </is>
      </c>
      <c r="AB3190" s="111" t="inlineStr">
        <is>
          <t>NAO_COMPUTADO</t>
        </is>
      </c>
      <c r="AC3190" s="112" t="inlineStr">
        <is>
          <t>Estrutura Fase 1: sem impacto no VTA oficial</t>
        </is>
      </c>
    </row>
    <row r="3191" ht="25.5" customHeight="1" s="289">
      <c r="A3191" s="205" t="n"/>
      <c r="B3191" s="207" t="n"/>
      <c r="C3191" s="104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348" t="n"/>
      <c r="E3191" s="349">
        <f>IF(C3191="","",IFERROR(VLOOKUP(C3191,parametros!$A$11:$E$15,5,0),""))</f>
        <v/>
      </c>
      <c r="F3191" s="335">
        <f>IF(OR(D3191="",E3191=""),"",ROUND(D3191*E3191,2))</f>
        <v/>
      </c>
      <c r="G3191" s="106" t="n"/>
      <c r="H3191" s="350">
        <f>IF(G3191="Sim",IF(OR(F3191="",D3191="",L3191=""),"",IF(L3191="Sim",ROUND(F3191-D3191,2),0)),0)</f>
        <v/>
      </c>
      <c r="I3191" s="350">
        <f>IF(G3191="Sim",0,IF(OR(F3191="",L3191=""),"",F3191))</f>
        <v/>
      </c>
      <c r="J3191" s="350">
        <f>IF(G3191="Sim",0,IF(OR(F3191="",D3191="",L3191=""),"",IF(L3191="Sim",ROUND(F3191-D3191,2),0)))</f>
        <v/>
      </c>
      <c r="K3191" s="97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inlineStr">
        <is>
          <t>Nao</t>
        </is>
      </c>
      <c r="W3191" s="110" t="inlineStr">
        <is>
          <t>PC em analise</t>
        </is>
      </c>
      <c r="X3191" s="110" t="inlineStr">
        <is>
          <t>Pedido de Compra</t>
        </is>
      </c>
      <c r="Y3191" s="111" t="inlineStr">
        <is>
          <t>Impacto Potencial</t>
        </is>
      </c>
      <c r="Z3191" s="111" t="inlineStr">
        <is>
          <t>PC</t>
        </is>
      </c>
      <c r="AA3191" s="111" t="inlineStr">
        <is>
          <t>Nao</t>
        </is>
      </c>
      <c r="AB3191" s="111" t="inlineStr">
        <is>
          <t>NAO_COMPUTADO</t>
        </is>
      </c>
      <c r="AC3191" s="112" t="inlineStr">
        <is>
          <t>Estrutura Fase 1: sem impacto no VTA oficial</t>
        </is>
      </c>
    </row>
    <row r="3192" ht="25.5" customHeight="1" s="289">
      <c r="A3192" s="205" t="n"/>
      <c r="B3192" s="207" t="n"/>
      <c r="C3192" s="104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348" t="n"/>
      <c r="E3192" s="349">
        <f>IF(C3192="","",IFERROR(VLOOKUP(C3192,parametros!$A$11:$E$15,5,0),""))</f>
        <v/>
      </c>
      <c r="F3192" s="335">
        <f>IF(OR(D3192="",E3192=""),"",ROUND(D3192*E3192,2))</f>
        <v/>
      </c>
      <c r="G3192" s="106" t="n"/>
      <c r="H3192" s="350">
        <f>IF(G3192="Sim",IF(OR(F3192="",D3192="",L3192=""),"",IF(L3192="Sim",ROUND(F3192-D3192,2),0)),0)</f>
        <v/>
      </c>
      <c r="I3192" s="350">
        <f>IF(G3192="Sim",0,IF(OR(F3192="",L3192=""),"",F3192))</f>
        <v/>
      </c>
      <c r="J3192" s="350">
        <f>IF(G3192="Sim",0,IF(OR(F3192="",D3192="",L3192=""),"",IF(L3192="Sim",ROUND(F3192-D3192,2),0)))</f>
        <v/>
      </c>
      <c r="K3192" s="97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inlineStr">
        <is>
          <t>Nao</t>
        </is>
      </c>
      <c r="W3192" s="110" t="inlineStr">
        <is>
          <t>PC em analise</t>
        </is>
      </c>
      <c r="X3192" s="110" t="inlineStr">
        <is>
          <t>Pedido de Compra</t>
        </is>
      </c>
      <c r="Y3192" s="111" t="inlineStr">
        <is>
          <t>Impacto Potencial</t>
        </is>
      </c>
      <c r="Z3192" s="111" t="inlineStr">
        <is>
          <t>PC</t>
        </is>
      </c>
      <c r="AA3192" s="111" t="inlineStr">
        <is>
          <t>Nao</t>
        </is>
      </c>
      <c r="AB3192" s="111" t="inlineStr">
        <is>
          <t>NAO_COMPUTADO</t>
        </is>
      </c>
      <c r="AC3192" s="112" t="inlineStr">
        <is>
          <t>Estrutura Fase 1: sem impacto no VTA oficial</t>
        </is>
      </c>
    </row>
    <row r="3193" ht="25.5" customHeight="1" s="289">
      <c r="A3193" s="205" t="n"/>
      <c r="B3193" s="207" t="n"/>
      <c r="C3193" s="104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348" t="n"/>
      <c r="E3193" s="349">
        <f>IF(C3193="","",IFERROR(VLOOKUP(C3193,parametros!$A$11:$E$15,5,0),""))</f>
        <v/>
      </c>
      <c r="F3193" s="335">
        <f>IF(OR(D3193="",E3193=""),"",ROUND(D3193*E3193,2))</f>
        <v/>
      </c>
      <c r="G3193" s="106" t="n"/>
      <c r="H3193" s="350">
        <f>IF(G3193="Sim",IF(OR(F3193="",D3193="",L3193=""),"",IF(L3193="Sim",ROUND(F3193-D3193,2),0)),0)</f>
        <v/>
      </c>
      <c r="I3193" s="350">
        <f>IF(G3193="Sim",0,IF(OR(F3193="",L3193=""),"",F3193))</f>
        <v/>
      </c>
      <c r="J3193" s="350">
        <f>IF(G3193="Sim",0,IF(OR(F3193="",D3193="",L3193=""),"",IF(L3193="Sim",ROUND(F3193-D3193,2),0)))</f>
        <v/>
      </c>
      <c r="K3193" s="97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inlineStr">
        <is>
          <t>Nao</t>
        </is>
      </c>
      <c r="W3193" s="110" t="inlineStr">
        <is>
          <t>PC em analise</t>
        </is>
      </c>
      <c r="X3193" s="110" t="inlineStr">
        <is>
          <t>Pedido de Compra</t>
        </is>
      </c>
      <c r="Y3193" s="111" t="inlineStr">
        <is>
          <t>Impacto Potencial</t>
        </is>
      </c>
      <c r="Z3193" s="111" t="inlineStr">
        <is>
          <t>PC</t>
        </is>
      </c>
      <c r="AA3193" s="111" t="inlineStr">
        <is>
          <t>Nao</t>
        </is>
      </c>
      <c r="AB3193" s="111" t="inlineStr">
        <is>
          <t>NAO_COMPUTADO</t>
        </is>
      </c>
      <c r="AC3193" s="112" t="inlineStr">
        <is>
          <t>Estrutura Fase 1: sem impacto no VTA oficial</t>
        </is>
      </c>
    </row>
    <row r="3194" ht="25.5" customHeight="1" s="289">
      <c r="A3194" s="205" t="n"/>
      <c r="B3194" s="207" t="n"/>
      <c r="C3194" s="104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348" t="n"/>
      <c r="E3194" s="349">
        <f>IF(C3194="","",IFERROR(VLOOKUP(C3194,parametros!$A$11:$E$15,5,0),""))</f>
        <v/>
      </c>
      <c r="F3194" s="335">
        <f>IF(OR(D3194="",E3194=""),"",ROUND(D3194*E3194,2))</f>
        <v/>
      </c>
      <c r="G3194" s="106" t="n"/>
      <c r="H3194" s="350">
        <f>IF(G3194="Sim",IF(OR(F3194="",D3194="",L3194=""),"",IF(L3194="Sim",ROUND(F3194-D3194,2),0)),0)</f>
        <v/>
      </c>
      <c r="I3194" s="350">
        <f>IF(G3194="Sim",0,IF(OR(F3194="",L3194=""),"",F3194))</f>
        <v/>
      </c>
      <c r="J3194" s="350">
        <f>IF(G3194="Sim",0,IF(OR(F3194="",D3194="",L3194=""),"",IF(L3194="Sim",ROUND(F3194-D3194,2),0)))</f>
        <v/>
      </c>
      <c r="K3194" s="97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inlineStr">
        <is>
          <t>Nao</t>
        </is>
      </c>
      <c r="W3194" s="110" t="inlineStr">
        <is>
          <t>PC em analise</t>
        </is>
      </c>
      <c r="X3194" s="110" t="inlineStr">
        <is>
          <t>Pedido de Compra</t>
        </is>
      </c>
      <c r="Y3194" s="111" t="inlineStr">
        <is>
          <t>Impacto Potencial</t>
        </is>
      </c>
      <c r="Z3194" s="111" t="inlineStr">
        <is>
          <t>PC</t>
        </is>
      </c>
      <c r="AA3194" s="111" t="inlineStr">
        <is>
          <t>Nao</t>
        </is>
      </c>
      <c r="AB3194" s="111" t="inlineStr">
        <is>
          <t>NAO_COMPUTADO</t>
        </is>
      </c>
      <c r="AC3194" s="112" t="inlineStr">
        <is>
          <t>Estrutura Fase 1: sem impacto no VTA oficial</t>
        </is>
      </c>
    </row>
    <row r="3195" ht="25.5" customHeight="1" s="289">
      <c r="A3195" s="205" t="n"/>
      <c r="B3195" s="207" t="n"/>
      <c r="C3195" s="104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348" t="n"/>
      <c r="E3195" s="349">
        <f>IF(C3195="","",IFERROR(VLOOKUP(C3195,parametros!$A$11:$E$15,5,0),""))</f>
        <v/>
      </c>
      <c r="F3195" s="335">
        <f>IF(OR(D3195="",E3195=""),"",ROUND(D3195*E3195,2))</f>
        <v/>
      </c>
      <c r="G3195" s="106" t="n"/>
      <c r="H3195" s="350">
        <f>IF(G3195="Sim",IF(OR(F3195="",D3195="",L3195=""),"",IF(L3195="Sim",ROUND(F3195-D3195,2),0)),0)</f>
        <v/>
      </c>
      <c r="I3195" s="350">
        <f>IF(G3195="Sim",0,IF(OR(F3195="",L3195=""),"",F3195))</f>
        <v/>
      </c>
      <c r="J3195" s="350">
        <f>IF(G3195="Sim",0,IF(OR(F3195="",D3195="",L3195=""),"",IF(L3195="Sim",ROUND(F3195-D3195,2),0)))</f>
        <v/>
      </c>
      <c r="K3195" s="97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inlineStr">
        <is>
          <t>Nao</t>
        </is>
      </c>
      <c r="W3195" s="110" t="inlineStr">
        <is>
          <t>PC em analise</t>
        </is>
      </c>
      <c r="X3195" s="110" t="inlineStr">
        <is>
          <t>Pedido de Compra</t>
        </is>
      </c>
      <c r="Y3195" s="111" t="inlineStr">
        <is>
          <t>Impacto Potencial</t>
        </is>
      </c>
      <c r="Z3195" s="111" t="inlineStr">
        <is>
          <t>PC</t>
        </is>
      </c>
      <c r="AA3195" s="111" t="inlineStr">
        <is>
          <t>Nao</t>
        </is>
      </c>
      <c r="AB3195" s="111" t="inlineStr">
        <is>
          <t>NAO_COMPUTADO</t>
        </is>
      </c>
      <c r="AC3195" s="112" t="inlineStr">
        <is>
          <t>Estrutura Fase 1: sem impacto no VTA oficial</t>
        </is>
      </c>
    </row>
    <row r="3196" ht="25.5" customHeight="1" s="289">
      <c r="A3196" s="205" t="n"/>
      <c r="B3196" s="207" t="n"/>
      <c r="C3196" s="104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348" t="n"/>
      <c r="E3196" s="349">
        <f>IF(C3196="","",IFERROR(VLOOKUP(C3196,parametros!$A$11:$E$15,5,0),""))</f>
        <v/>
      </c>
      <c r="F3196" s="335">
        <f>IF(OR(D3196="",E3196=""),"",ROUND(D3196*E3196,2))</f>
        <v/>
      </c>
      <c r="G3196" s="106" t="n"/>
      <c r="H3196" s="350">
        <f>IF(G3196="Sim",IF(OR(F3196="",D3196="",L3196=""),"",IF(L3196="Sim",ROUND(F3196-D3196,2),0)),0)</f>
        <v/>
      </c>
      <c r="I3196" s="350">
        <f>IF(G3196="Sim",0,IF(OR(F3196="",L3196=""),"",F3196))</f>
        <v/>
      </c>
      <c r="J3196" s="350">
        <f>IF(G3196="Sim",0,IF(OR(F3196="",D3196="",L3196=""),"",IF(L3196="Sim",ROUND(F3196-D3196,2),0)))</f>
        <v/>
      </c>
      <c r="K3196" s="97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inlineStr">
        <is>
          <t>Nao</t>
        </is>
      </c>
      <c r="W3196" s="110" t="inlineStr">
        <is>
          <t>PC em analise</t>
        </is>
      </c>
      <c r="X3196" s="110" t="inlineStr">
        <is>
          <t>Pedido de Compra</t>
        </is>
      </c>
      <c r="Y3196" s="111" t="inlineStr">
        <is>
          <t>Impacto Potencial</t>
        </is>
      </c>
      <c r="Z3196" s="111" t="inlineStr">
        <is>
          <t>PC</t>
        </is>
      </c>
      <c r="AA3196" s="111" t="inlineStr">
        <is>
          <t>Nao</t>
        </is>
      </c>
      <c r="AB3196" s="111" t="inlineStr">
        <is>
          <t>NAO_COMPUTADO</t>
        </is>
      </c>
      <c r="AC3196" s="112" t="inlineStr">
        <is>
          <t>Estrutura Fase 1: sem impacto no VTA oficial</t>
        </is>
      </c>
    </row>
    <row r="3197" ht="25.5" customHeight="1" s="289">
      <c r="A3197" s="205" t="n"/>
      <c r="B3197" s="207" t="n"/>
      <c r="C3197" s="104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348" t="n"/>
      <c r="E3197" s="349">
        <f>IF(C3197="","",IFERROR(VLOOKUP(C3197,parametros!$A$11:$E$15,5,0),""))</f>
        <v/>
      </c>
      <c r="F3197" s="335">
        <f>IF(OR(D3197="",E3197=""),"",ROUND(D3197*E3197,2))</f>
        <v/>
      </c>
      <c r="G3197" s="106" t="n"/>
      <c r="H3197" s="350">
        <f>IF(G3197="Sim",IF(OR(F3197="",D3197="",L3197=""),"",IF(L3197="Sim",ROUND(F3197-D3197,2),0)),0)</f>
        <v/>
      </c>
      <c r="I3197" s="350">
        <f>IF(G3197="Sim",0,IF(OR(F3197="",L3197=""),"",F3197))</f>
        <v/>
      </c>
      <c r="J3197" s="350">
        <f>IF(G3197="Sim",0,IF(OR(F3197="",D3197="",L3197=""),"",IF(L3197="Sim",ROUND(F3197-D3197,2),0)))</f>
        <v/>
      </c>
      <c r="K3197" s="97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inlineStr">
        <is>
          <t>Nao</t>
        </is>
      </c>
      <c r="W3197" s="110" t="inlineStr">
        <is>
          <t>PC em analise</t>
        </is>
      </c>
      <c r="X3197" s="110" t="inlineStr">
        <is>
          <t>Pedido de Compra</t>
        </is>
      </c>
      <c r="Y3197" s="111" t="inlineStr">
        <is>
          <t>Impacto Potencial</t>
        </is>
      </c>
      <c r="Z3197" s="111" t="inlineStr">
        <is>
          <t>PC</t>
        </is>
      </c>
      <c r="AA3197" s="111" t="inlineStr">
        <is>
          <t>Nao</t>
        </is>
      </c>
      <c r="AB3197" s="111" t="inlineStr">
        <is>
          <t>NAO_COMPUTADO</t>
        </is>
      </c>
      <c r="AC3197" s="112" t="inlineStr">
        <is>
          <t>Estrutura Fase 1: sem impacto no VTA oficial</t>
        </is>
      </c>
    </row>
    <row r="3198" ht="25.5" customHeight="1" s="289">
      <c r="A3198" s="205" t="n"/>
      <c r="B3198" s="207" t="n"/>
      <c r="C3198" s="104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348" t="n"/>
      <c r="E3198" s="349">
        <f>IF(C3198="","",IFERROR(VLOOKUP(C3198,parametros!$A$11:$E$15,5,0),""))</f>
        <v/>
      </c>
      <c r="F3198" s="335">
        <f>IF(OR(D3198="",E3198=""),"",ROUND(D3198*E3198,2))</f>
        <v/>
      </c>
      <c r="G3198" s="106" t="n"/>
      <c r="H3198" s="350">
        <f>IF(G3198="Sim",IF(OR(F3198="",D3198="",L3198=""),"",IF(L3198="Sim",ROUND(F3198-D3198,2),0)),0)</f>
        <v/>
      </c>
      <c r="I3198" s="350">
        <f>IF(G3198="Sim",0,IF(OR(F3198="",L3198=""),"",F3198))</f>
        <v/>
      </c>
      <c r="J3198" s="350">
        <f>IF(G3198="Sim",0,IF(OR(F3198="",D3198="",L3198=""),"",IF(L3198="Sim",ROUND(F3198-D3198,2),0)))</f>
        <v/>
      </c>
      <c r="K3198" s="97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inlineStr">
        <is>
          <t>Nao</t>
        </is>
      </c>
      <c r="W3198" s="110" t="inlineStr">
        <is>
          <t>PC em analise</t>
        </is>
      </c>
      <c r="X3198" s="110" t="inlineStr">
        <is>
          <t>Pedido de Compra</t>
        </is>
      </c>
      <c r="Y3198" s="111" t="inlineStr">
        <is>
          <t>Impacto Potencial</t>
        </is>
      </c>
      <c r="Z3198" s="111" t="inlineStr">
        <is>
          <t>PC</t>
        </is>
      </c>
      <c r="AA3198" s="111" t="inlineStr">
        <is>
          <t>Nao</t>
        </is>
      </c>
      <c r="AB3198" s="111" t="inlineStr">
        <is>
          <t>NAO_COMPUTADO</t>
        </is>
      </c>
      <c r="AC3198" s="112" t="inlineStr">
        <is>
          <t>Estrutura Fase 1: sem impacto no VTA oficial</t>
        </is>
      </c>
    </row>
    <row r="3199" ht="25.5" customHeight="1" s="289">
      <c r="A3199" s="205" t="n"/>
      <c r="B3199" s="207" t="n"/>
      <c r="C3199" s="104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348" t="n"/>
      <c r="E3199" s="349">
        <f>IF(C3199="","",IFERROR(VLOOKUP(C3199,parametros!$A$11:$E$15,5,0),""))</f>
        <v/>
      </c>
      <c r="F3199" s="335">
        <f>IF(OR(D3199="",E3199=""),"",ROUND(D3199*E3199,2))</f>
        <v/>
      </c>
      <c r="G3199" s="106" t="n"/>
      <c r="H3199" s="350">
        <f>IF(G3199="Sim",IF(OR(F3199="",D3199="",L3199=""),"",IF(L3199="Sim",ROUND(F3199-D3199,2),0)),0)</f>
        <v/>
      </c>
      <c r="I3199" s="350">
        <f>IF(G3199="Sim",0,IF(OR(F3199="",L3199=""),"",F3199))</f>
        <v/>
      </c>
      <c r="J3199" s="350">
        <f>IF(G3199="Sim",0,IF(OR(F3199="",D3199="",L3199=""),"",IF(L3199="Sim",ROUND(F3199-D3199,2),0)))</f>
        <v/>
      </c>
      <c r="K3199" s="97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inlineStr">
        <is>
          <t>Nao</t>
        </is>
      </c>
      <c r="W3199" s="110" t="inlineStr">
        <is>
          <t>PC em analise</t>
        </is>
      </c>
      <c r="X3199" s="110" t="inlineStr">
        <is>
          <t>Pedido de Compra</t>
        </is>
      </c>
      <c r="Y3199" s="111" t="inlineStr">
        <is>
          <t>Impacto Potencial</t>
        </is>
      </c>
      <c r="Z3199" s="111" t="inlineStr">
        <is>
          <t>PC</t>
        </is>
      </c>
      <c r="AA3199" s="111" t="inlineStr">
        <is>
          <t>Nao</t>
        </is>
      </c>
      <c r="AB3199" s="111" t="inlineStr">
        <is>
          <t>NAO_COMPUTADO</t>
        </is>
      </c>
      <c r="AC3199" s="112" t="inlineStr">
        <is>
          <t>Estrutura Fase 1: sem impacto no VTA oficial</t>
        </is>
      </c>
    </row>
    <row r="3200" ht="25.5" customHeight="1" s="289">
      <c r="A3200" s="205" t="n"/>
      <c r="B3200" s="207" t="n"/>
      <c r="C3200" s="104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348" t="n"/>
      <c r="E3200" s="349">
        <f>IF(C3200="","",IFERROR(VLOOKUP(C3200,parametros!$A$11:$E$15,5,0),""))</f>
        <v/>
      </c>
      <c r="F3200" s="335">
        <f>IF(OR(D3200="",E3200=""),"",ROUND(D3200*E3200,2))</f>
        <v/>
      </c>
      <c r="G3200" s="106" t="n"/>
      <c r="H3200" s="350">
        <f>IF(G3200="Sim",IF(OR(F3200="",D3200="",L3200=""),"",IF(L3200="Sim",ROUND(F3200-D3200,2),0)),0)</f>
        <v/>
      </c>
      <c r="I3200" s="350">
        <f>IF(G3200="Sim",0,IF(OR(F3200="",L3200=""),"",F3200))</f>
        <v/>
      </c>
      <c r="J3200" s="350">
        <f>IF(G3200="Sim",0,IF(OR(F3200="",D3200="",L3200=""),"",IF(L3200="Sim",ROUND(F3200-D3200,2),0)))</f>
        <v/>
      </c>
      <c r="K3200" s="97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inlineStr">
        <is>
          <t>Nao</t>
        </is>
      </c>
      <c r="W3200" s="110" t="inlineStr">
        <is>
          <t>PC em analise</t>
        </is>
      </c>
      <c r="X3200" s="110" t="inlineStr">
        <is>
          <t>Pedido de Compra</t>
        </is>
      </c>
      <c r="Y3200" s="111" t="inlineStr">
        <is>
          <t>Impacto Potencial</t>
        </is>
      </c>
      <c r="Z3200" s="111" t="inlineStr">
        <is>
          <t>PC</t>
        </is>
      </c>
      <c r="AA3200" s="111" t="inlineStr">
        <is>
          <t>Nao</t>
        </is>
      </c>
      <c r="AB3200" s="111" t="inlineStr">
        <is>
          <t>NAO_COMPUTADO</t>
        </is>
      </c>
      <c r="AC3200" s="112" t="inlineStr">
        <is>
          <t>Estrutura Fase 1: sem impacto no VTA oficial</t>
        </is>
      </c>
    </row>
    <row r="3201" ht="25.5" customHeight="1" s="289">
      <c r="A3201" s="205" t="n"/>
      <c r="B3201" s="207" t="n"/>
      <c r="C3201" s="104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348" t="n"/>
      <c r="E3201" s="349">
        <f>IF(C3201="","",IFERROR(VLOOKUP(C3201,parametros!$A$11:$E$15,5,0),""))</f>
        <v/>
      </c>
      <c r="F3201" s="335">
        <f>IF(OR(D3201="",E3201=""),"",ROUND(D3201*E3201,2))</f>
        <v/>
      </c>
      <c r="G3201" s="106" t="n"/>
      <c r="H3201" s="350">
        <f>IF(G3201="Sim",IF(OR(F3201="",D3201="",L3201=""),"",IF(L3201="Sim",ROUND(F3201-D3201,2),0)),0)</f>
        <v/>
      </c>
      <c r="I3201" s="350">
        <f>IF(G3201="Sim",0,IF(OR(F3201="",L3201=""),"",F3201))</f>
        <v/>
      </c>
      <c r="J3201" s="350">
        <f>IF(G3201="Sim",0,IF(OR(F3201="",D3201="",L3201=""),"",IF(L3201="Sim",ROUND(F3201-D3201,2),0)))</f>
        <v/>
      </c>
      <c r="K3201" s="97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inlineStr">
        <is>
          <t>Nao</t>
        </is>
      </c>
      <c r="W3201" s="110" t="inlineStr">
        <is>
          <t>PC em analise</t>
        </is>
      </c>
      <c r="X3201" s="110" t="inlineStr">
        <is>
          <t>Pedido de Compra</t>
        </is>
      </c>
      <c r="Y3201" s="111" t="inlineStr">
        <is>
          <t>Impacto Potencial</t>
        </is>
      </c>
      <c r="Z3201" s="111" t="inlineStr">
        <is>
          <t>PC</t>
        </is>
      </c>
      <c r="AA3201" s="111" t="inlineStr">
        <is>
          <t>Nao</t>
        </is>
      </c>
      <c r="AB3201" s="111" t="inlineStr">
        <is>
          <t>NAO_COMPUTADO</t>
        </is>
      </c>
      <c r="AC3201" s="112" t="inlineStr">
        <is>
          <t>Estrutura Fase 1: sem impacto no VTA oficial</t>
        </is>
      </c>
    </row>
    <row r="3202" ht="25.5" customHeight="1" s="289">
      <c r="A3202" s="205" t="n"/>
      <c r="B3202" s="207" t="n"/>
      <c r="C3202" s="104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348" t="n"/>
      <c r="E3202" s="349">
        <f>IF(C3202="","",IFERROR(VLOOKUP(C3202,parametros!$A$11:$E$15,5,0),""))</f>
        <v/>
      </c>
      <c r="F3202" s="335">
        <f>IF(OR(D3202="",E3202=""),"",ROUND(D3202*E3202,2))</f>
        <v/>
      </c>
      <c r="G3202" s="106" t="n"/>
      <c r="H3202" s="350">
        <f>IF(G3202="Sim",IF(OR(F3202="",D3202="",L3202=""),"",IF(L3202="Sim",ROUND(F3202-D3202,2),0)),0)</f>
        <v/>
      </c>
      <c r="I3202" s="350">
        <f>IF(G3202="Sim",0,IF(OR(F3202="",L3202=""),"",F3202))</f>
        <v/>
      </c>
      <c r="J3202" s="350">
        <f>IF(G3202="Sim",0,IF(OR(F3202="",D3202="",L3202=""),"",IF(L3202="Sim",ROUND(F3202-D3202,2),0)))</f>
        <v/>
      </c>
      <c r="K3202" s="97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inlineStr">
        <is>
          <t>Nao</t>
        </is>
      </c>
      <c r="W3202" s="110" t="inlineStr">
        <is>
          <t>PC em analise</t>
        </is>
      </c>
      <c r="X3202" s="110" t="inlineStr">
        <is>
          <t>Pedido de Compra</t>
        </is>
      </c>
      <c r="Y3202" s="111" t="inlineStr">
        <is>
          <t>Impacto Potencial</t>
        </is>
      </c>
      <c r="Z3202" s="111" t="inlineStr">
        <is>
          <t>PC</t>
        </is>
      </c>
      <c r="AA3202" s="111" t="inlineStr">
        <is>
          <t>Nao</t>
        </is>
      </c>
      <c r="AB3202" s="111" t="inlineStr">
        <is>
          <t>NAO_COMPUTADO</t>
        </is>
      </c>
      <c r="AC3202" s="112" t="inlineStr">
        <is>
          <t>Estrutura Fase 1: sem impacto no VTA oficial</t>
        </is>
      </c>
    </row>
    <row r="3203" ht="25.5" customHeight="1" s="289">
      <c r="A3203" s="205" t="n"/>
      <c r="B3203" s="207" t="n"/>
      <c r="C3203" s="104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348" t="n"/>
      <c r="E3203" s="349">
        <f>IF(C3203="","",IFERROR(VLOOKUP(C3203,parametros!$A$11:$E$15,5,0),""))</f>
        <v/>
      </c>
      <c r="F3203" s="335">
        <f>IF(OR(D3203="",E3203=""),"",ROUND(D3203*E3203,2))</f>
        <v/>
      </c>
      <c r="G3203" s="106" t="n"/>
      <c r="H3203" s="350">
        <f>IF(G3203="Sim",IF(OR(F3203="",D3203="",L3203=""),"",IF(L3203="Sim",ROUND(F3203-D3203,2),0)),0)</f>
        <v/>
      </c>
      <c r="I3203" s="350">
        <f>IF(G3203="Sim",0,IF(OR(F3203="",L3203=""),"",F3203))</f>
        <v/>
      </c>
      <c r="J3203" s="350">
        <f>IF(G3203="Sim",0,IF(OR(F3203="",D3203="",L3203=""),"",IF(L3203="Sim",ROUND(F3203-D3203,2),0)))</f>
        <v/>
      </c>
      <c r="K3203" s="97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inlineStr">
        <is>
          <t>Nao</t>
        </is>
      </c>
      <c r="W3203" s="110" t="inlineStr">
        <is>
          <t>PC em analise</t>
        </is>
      </c>
      <c r="X3203" s="110" t="inlineStr">
        <is>
          <t>Pedido de Compra</t>
        </is>
      </c>
      <c r="Y3203" s="111" t="inlineStr">
        <is>
          <t>Impacto Potencial</t>
        </is>
      </c>
      <c r="Z3203" s="111" t="inlineStr">
        <is>
          <t>PC</t>
        </is>
      </c>
      <c r="AA3203" s="111" t="inlineStr">
        <is>
          <t>Nao</t>
        </is>
      </c>
      <c r="AB3203" s="111" t="inlineStr">
        <is>
          <t>NAO_COMPUTADO</t>
        </is>
      </c>
      <c r="AC3203" s="112" t="inlineStr">
        <is>
          <t>Estrutura Fase 1: sem impacto no VTA oficial</t>
        </is>
      </c>
    </row>
    <row r="3204" ht="25.5" customHeight="1" s="289">
      <c r="A3204" s="205" t="n"/>
      <c r="B3204" s="207" t="n"/>
      <c r="C3204" s="104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348" t="n"/>
      <c r="E3204" s="349">
        <f>IF(C3204="","",IFERROR(VLOOKUP(C3204,parametros!$A$11:$E$15,5,0),""))</f>
        <v/>
      </c>
      <c r="F3204" s="335">
        <f>IF(OR(D3204="",E3204=""),"",ROUND(D3204*E3204,2))</f>
        <v/>
      </c>
      <c r="G3204" s="106" t="n"/>
      <c r="H3204" s="350">
        <f>IF(G3204="Sim",IF(OR(F3204="",D3204="",L3204=""),"",IF(L3204="Sim",ROUND(F3204-D3204,2),0)),0)</f>
        <v/>
      </c>
      <c r="I3204" s="350">
        <f>IF(G3204="Sim",0,IF(OR(F3204="",L3204=""),"",F3204))</f>
        <v/>
      </c>
      <c r="J3204" s="350">
        <f>IF(G3204="Sim",0,IF(OR(F3204="",D3204="",L3204=""),"",IF(L3204="Sim",ROUND(F3204-D3204,2),0)))</f>
        <v/>
      </c>
      <c r="K3204" s="97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inlineStr">
        <is>
          <t>Nao</t>
        </is>
      </c>
      <c r="W3204" s="110" t="inlineStr">
        <is>
          <t>PC em analise</t>
        </is>
      </c>
      <c r="X3204" s="110" t="inlineStr">
        <is>
          <t>Pedido de Compra</t>
        </is>
      </c>
      <c r="Y3204" s="111" t="inlineStr">
        <is>
          <t>Impacto Potencial</t>
        </is>
      </c>
      <c r="Z3204" s="111" t="inlineStr">
        <is>
          <t>PC</t>
        </is>
      </c>
      <c r="AA3204" s="111" t="inlineStr">
        <is>
          <t>Nao</t>
        </is>
      </c>
      <c r="AB3204" s="111" t="inlineStr">
        <is>
          <t>NAO_COMPUTADO</t>
        </is>
      </c>
      <c r="AC3204" s="112" t="inlineStr">
        <is>
          <t>Estrutura Fase 1: sem impacto no VTA oficial</t>
        </is>
      </c>
    </row>
    <row r="3205" ht="25.5" customHeight="1" s="289">
      <c r="A3205" s="205" t="n"/>
      <c r="B3205" s="207" t="n"/>
      <c r="C3205" s="104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348" t="n"/>
      <c r="E3205" s="349">
        <f>IF(C3205="","",IFERROR(VLOOKUP(C3205,parametros!$A$11:$E$15,5,0),""))</f>
        <v/>
      </c>
      <c r="F3205" s="335">
        <f>IF(OR(D3205="",E3205=""),"",ROUND(D3205*E3205,2))</f>
        <v/>
      </c>
      <c r="G3205" s="106" t="n"/>
      <c r="H3205" s="350">
        <f>IF(G3205="Sim",IF(OR(F3205="",D3205="",L3205=""),"",IF(L3205="Sim",ROUND(F3205-D3205,2),0)),0)</f>
        <v/>
      </c>
      <c r="I3205" s="350">
        <f>IF(G3205="Sim",0,IF(OR(F3205="",L3205=""),"",F3205))</f>
        <v/>
      </c>
      <c r="J3205" s="350">
        <f>IF(G3205="Sim",0,IF(OR(F3205="",D3205="",L3205=""),"",IF(L3205="Sim",ROUND(F3205-D3205,2),0)))</f>
        <v/>
      </c>
      <c r="K3205" s="97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inlineStr">
        <is>
          <t>Nao</t>
        </is>
      </c>
      <c r="W3205" s="110" t="inlineStr">
        <is>
          <t>PC em analise</t>
        </is>
      </c>
      <c r="X3205" s="110" t="inlineStr">
        <is>
          <t>Pedido de Compra</t>
        </is>
      </c>
      <c r="Y3205" s="111" t="inlineStr">
        <is>
          <t>Impacto Potencial</t>
        </is>
      </c>
      <c r="Z3205" s="111" t="inlineStr">
        <is>
          <t>PC</t>
        </is>
      </c>
      <c r="AA3205" s="111" t="inlineStr">
        <is>
          <t>Nao</t>
        </is>
      </c>
      <c r="AB3205" s="111" t="inlineStr">
        <is>
          <t>NAO_COMPUTADO</t>
        </is>
      </c>
      <c r="AC3205" s="112" t="inlineStr">
        <is>
          <t>Estrutura Fase 1: sem impacto no VTA oficial</t>
        </is>
      </c>
    </row>
    <row r="3206" ht="25.5" customHeight="1" s="289">
      <c r="A3206" s="205" t="n"/>
      <c r="B3206" s="207" t="n"/>
      <c r="C3206" s="104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348" t="n"/>
      <c r="E3206" s="349">
        <f>IF(C3206="","",IFERROR(VLOOKUP(C3206,parametros!$A$11:$E$15,5,0),""))</f>
        <v/>
      </c>
      <c r="F3206" s="335">
        <f>IF(OR(D3206="",E3206=""),"",ROUND(D3206*E3206,2))</f>
        <v/>
      </c>
      <c r="G3206" s="106" t="n"/>
      <c r="H3206" s="350">
        <f>IF(G3206="Sim",IF(OR(F3206="",D3206="",L3206=""),"",IF(L3206="Sim",ROUND(F3206-D3206,2),0)),0)</f>
        <v/>
      </c>
      <c r="I3206" s="350">
        <f>IF(G3206="Sim",0,IF(OR(F3206="",L3206=""),"",F3206))</f>
        <v/>
      </c>
      <c r="J3206" s="350">
        <f>IF(G3206="Sim",0,IF(OR(F3206="",D3206="",L3206=""),"",IF(L3206="Sim",ROUND(F3206-D3206,2),0)))</f>
        <v/>
      </c>
      <c r="K3206" s="97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inlineStr">
        <is>
          <t>Nao</t>
        </is>
      </c>
      <c r="W3206" s="110" t="inlineStr">
        <is>
          <t>PC em analise</t>
        </is>
      </c>
      <c r="X3206" s="110" t="inlineStr">
        <is>
          <t>Pedido de Compra</t>
        </is>
      </c>
      <c r="Y3206" s="111" t="inlineStr">
        <is>
          <t>Impacto Potencial</t>
        </is>
      </c>
      <c r="Z3206" s="111" t="inlineStr">
        <is>
          <t>PC</t>
        </is>
      </c>
      <c r="AA3206" s="111" t="inlineStr">
        <is>
          <t>Nao</t>
        </is>
      </c>
      <c r="AB3206" s="111" t="inlineStr">
        <is>
          <t>NAO_COMPUTADO</t>
        </is>
      </c>
      <c r="AC3206" s="112" t="inlineStr">
        <is>
          <t>Estrutura Fase 1: sem impacto no VTA oficial</t>
        </is>
      </c>
    </row>
    <row r="3207" ht="25.5" customHeight="1" s="289">
      <c r="A3207" s="205" t="n"/>
      <c r="B3207" s="207" t="n"/>
      <c r="C3207" s="104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348" t="n"/>
      <c r="E3207" s="349">
        <f>IF(C3207="","",IFERROR(VLOOKUP(C3207,parametros!$A$11:$E$15,5,0),""))</f>
        <v/>
      </c>
      <c r="F3207" s="335">
        <f>IF(OR(D3207="",E3207=""),"",ROUND(D3207*E3207,2))</f>
        <v/>
      </c>
      <c r="G3207" s="106" t="n"/>
      <c r="H3207" s="350">
        <f>IF(G3207="Sim",IF(OR(F3207="",D3207="",L3207=""),"",IF(L3207="Sim",ROUND(F3207-D3207,2),0)),0)</f>
        <v/>
      </c>
      <c r="I3207" s="350">
        <f>IF(G3207="Sim",0,IF(OR(F3207="",L3207=""),"",F3207))</f>
        <v/>
      </c>
      <c r="J3207" s="350">
        <f>IF(G3207="Sim",0,IF(OR(F3207="",D3207="",L3207=""),"",IF(L3207="Sim",ROUND(F3207-D3207,2),0)))</f>
        <v/>
      </c>
      <c r="K3207" s="97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inlineStr">
        <is>
          <t>Nao</t>
        </is>
      </c>
      <c r="W3207" s="110" t="inlineStr">
        <is>
          <t>PC em analise</t>
        </is>
      </c>
      <c r="X3207" s="110" t="inlineStr">
        <is>
          <t>Pedido de Compra</t>
        </is>
      </c>
      <c r="Y3207" s="111" t="inlineStr">
        <is>
          <t>Impacto Potencial</t>
        </is>
      </c>
      <c r="Z3207" s="111" t="inlineStr">
        <is>
          <t>PC</t>
        </is>
      </c>
      <c r="AA3207" s="111" t="inlineStr">
        <is>
          <t>Nao</t>
        </is>
      </c>
      <c r="AB3207" s="111" t="inlineStr">
        <is>
          <t>NAO_COMPUTADO</t>
        </is>
      </c>
      <c r="AC3207" s="112" t="inlineStr">
        <is>
          <t>Estrutura Fase 1: sem impacto no VTA oficial</t>
        </is>
      </c>
    </row>
    <row r="3208" ht="25.5" customHeight="1" s="289">
      <c r="A3208" s="205" t="n"/>
      <c r="B3208" s="207" t="n"/>
      <c r="C3208" s="104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348" t="n"/>
      <c r="E3208" s="349">
        <f>IF(C3208="","",IFERROR(VLOOKUP(C3208,parametros!$A$11:$E$15,5,0),""))</f>
        <v/>
      </c>
      <c r="F3208" s="335">
        <f>IF(OR(D3208="",E3208=""),"",ROUND(D3208*E3208,2))</f>
        <v/>
      </c>
      <c r="G3208" s="106" t="n"/>
      <c r="H3208" s="350">
        <f>IF(G3208="Sim",IF(OR(F3208="",D3208="",L3208=""),"",IF(L3208="Sim",ROUND(F3208-D3208,2),0)),0)</f>
        <v/>
      </c>
      <c r="I3208" s="350">
        <f>IF(G3208="Sim",0,IF(OR(F3208="",L3208=""),"",F3208))</f>
        <v/>
      </c>
      <c r="J3208" s="350">
        <f>IF(G3208="Sim",0,IF(OR(F3208="",D3208="",L3208=""),"",IF(L3208="Sim",ROUND(F3208-D3208,2),0)))</f>
        <v/>
      </c>
      <c r="K3208" s="97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inlineStr">
        <is>
          <t>Nao</t>
        </is>
      </c>
      <c r="W3208" s="110" t="inlineStr">
        <is>
          <t>PC em analise</t>
        </is>
      </c>
      <c r="X3208" s="110" t="inlineStr">
        <is>
          <t>Pedido de Compra</t>
        </is>
      </c>
      <c r="Y3208" s="111" t="inlineStr">
        <is>
          <t>Impacto Potencial</t>
        </is>
      </c>
      <c r="Z3208" s="111" t="inlineStr">
        <is>
          <t>PC</t>
        </is>
      </c>
      <c r="AA3208" s="111" t="inlineStr">
        <is>
          <t>Nao</t>
        </is>
      </c>
      <c r="AB3208" s="111" t="inlineStr">
        <is>
          <t>NAO_COMPUTADO</t>
        </is>
      </c>
      <c r="AC3208" s="112" t="inlineStr">
        <is>
          <t>Estrutura Fase 1: sem impacto no VTA oficial</t>
        </is>
      </c>
    </row>
    <row r="3209" ht="25.5" customHeight="1" s="289">
      <c r="A3209" s="205" t="n"/>
      <c r="B3209" s="207" t="n"/>
      <c r="C3209" s="104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348" t="n"/>
      <c r="E3209" s="349">
        <f>IF(C3209="","",IFERROR(VLOOKUP(C3209,parametros!$A$11:$E$15,5,0),""))</f>
        <v/>
      </c>
      <c r="F3209" s="335">
        <f>IF(OR(D3209="",E3209=""),"",ROUND(D3209*E3209,2))</f>
        <v/>
      </c>
      <c r="G3209" s="106" t="n"/>
      <c r="H3209" s="350">
        <f>IF(G3209="Sim",IF(OR(F3209="",D3209="",L3209=""),"",IF(L3209="Sim",ROUND(F3209-D3209,2),0)),0)</f>
        <v/>
      </c>
      <c r="I3209" s="350">
        <f>IF(G3209="Sim",0,IF(OR(F3209="",L3209=""),"",F3209))</f>
        <v/>
      </c>
      <c r="J3209" s="350">
        <f>IF(G3209="Sim",0,IF(OR(F3209="",D3209="",L3209=""),"",IF(L3209="Sim",ROUND(F3209-D3209,2),0)))</f>
        <v/>
      </c>
      <c r="K3209" s="97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inlineStr">
        <is>
          <t>Nao</t>
        </is>
      </c>
      <c r="W3209" s="110" t="inlineStr">
        <is>
          <t>PC em analise</t>
        </is>
      </c>
      <c r="X3209" s="110" t="inlineStr">
        <is>
          <t>Pedido de Compra</t>
        </is>
      </c>
      <c r="Y3209" s="111" t="inlineStr">
        <is>
          <t>Impacto Potencial</t>
        </is>
      </c>
      <c r="Z3209" s="111" t="inlineStr">
        <is>
          <t>PC</t>
        </is>
      </c>
      <c r="AA3209" s="111" t="inlineStr">
        <is>
          <t>Nao</t>
        </is>
      </c>
      <c r="AB3209" s="111" t="inlineStr">
        <is>
          <t>NAO_COMPUTADO</t>
        </is>
      </c>
      <c r="AC3209" s="112" t="inlineStr">
        <is>
          <t>Estrutura Fase 1: sem impacto no VTA oficial</t>
        </is>
      </c>
    </row>
    <row r="3210" ht="25.5" customHeight="1" s="289">
      <c r="A3210" s="205" t="n"/>
      <c r="B3210" s="207" t="n"/>
      <c r="C3210" s="104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348" t="n"/>
      <c r="E3210" s="349">
        <f>IF(C3210="","",IFERROR(VLOOKUP(C3210,parametros!$A$11:$E$15,5,0),""))</f>
        <v/>
      </c>
      <c r="F3210" s="335">
        <f>IF(OR(D3210="",E3210=""),"",ROUND(D3210*E3210,2))</f>
        <v/>
      </c>
      <c r="G3210" s="106" t="n"/>
      <c r="H3210" s="350">
        <f>IF(G3210="Sim",IF(OR(F3210="",D3210="",L3210=""),"",IF(L3210="Sim",ROUND(F3210-D3210,2),0)),0)</f>
        <v/>
      </c>
      <c r="I3210" s="350">
        <f>IF(G3210="Sim",0,IF(OR(F3210="",L3210=""),"",F3210))</f>
        <v/>
      </c>
      <c r="J3210" s="350">
        <f>IF(G3210="Sim",0,IF(OR(F3210="",D3210="",L3210=""),"",IF(L3210="Sim",ROUND(F3210-D3210,2),0)))</f>
        <v/>
      </c>
      <c r="K3210" s="97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inlineStr">
        <is>
          <t>Nao</t>
        </is>
      </c>
      <c r="W3210" s="110" t="inlineStr">
        <is>
          <t>PC em analise</t>
        </is>
      </c>
      <c r="X3210" s="110" t="inlineStr">
        <is>
          <t>Pedido de Compra</t>
        </is>
      </c>
      <c r="Y3210" s="111" t="inlineStr">
        <is>
          <t>Impacto Potencial</t>
        </is>
      </c>
      <c r="Z3210" s="111" t="inlineStr">
        <is>
          <t>PC</t>
        </is>
      </c>
      <c r="AA3210" s="111" t="inlineStr">
        <is>
          <t>Nao</t>
        </is>
      </c>
      <c r="AB3210" s="111" t="inlineStr">
        <is>
          <t>NAO_COMPUTADO</t>
        </is>
      </c>
      <c r="AC3210" s="112" t="inlineStr">
        <is>
          <t>Estrutura Fase 1: sem impacto no VTA oficial</t>
        </is>
      </c>
    </row>
    <row r="3211" ht="25.5" customHeight="1" s="289">
      <c r="A3211" s="205" t="n"/>
      <c r="B3211" s="207" t="n"/>
      <c r="C3211" s="104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348" t="n"/>
      <c r="E3211" s="349">
        <f>IF(C3211="","",IFERROR(VLOOKUP(C3211,parametros!$A$11:$E$15,5,0),""))</f>
        <v/>
      </c>
      <c r="F3211" s="335">
        <f>IF(OR(D3211="",E3211=""),"",ROUND(D3211*E3211,2))</f>
        <v/>
      </c>
      <c r="G3211" s="106" t="n"/>
      <c r="H3211" s="350">
        <f>IF(G3211="Sim",IF(OR(F3211="",D3211="",L3211=""),"",IF(L3211="Sim",ROUND(F3211-D3211,2),0)),0)</f>
        <v/>
      </c>
      <c r="I3211" s="350">
        <f>IF(G3211="Sim",0,IF(OR(F3211="",L3211=""),"",F3211))</f>
        <v/>
      </c>
      <c r="J3211" s="350">
        <f>IF(G3211="Sim",0,IF(OR(F3211="",D3211="",L3211=""),"",IF(L3211="Sim",ROUND(F3211-D3211,2),0)))</f>
        <v/>
      </c>
      <c r="K3211" s="97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inlineStr">
        <is>
          <t>Nao</t>
        </is>
      </c>
      <c r="W3211" s="110" t="inlineStr">
        <is>
          <t>PC em analise</t>
        </is>
      </c>
      <c r="X3211" s="110" t="inlineStr">
        <is>
          <t>Pedido de Compra</t>
        </is>
      </c>
      <c r="Y3211" s="111" t="inlineStr">
        <is>
          <t>Impacto Potencial</t>
        </is>
      </c>
      <c r="Z3211" s="111" t="inlineStr">
        <is>
          <t>PC</t>
        </is>
      </c>
      <c r="AA3211" s="111" t="inlineStr">
        <is>
          <t>Nao</t>
        </is>
      </c>
      <c r="AB3211" s="111" t="inlineStr">
        <is>
          <t>NAO_COMPUTADO</t>
        </is>
      </c>
      <c r="AC3211" s="112" t="inlineStr">
        <is>
          <t>Estrutura Fase 1: sem impacto no VTA oficial</t>
        </is>
      </c>
    </row>
    <row r="3212" ht="25.5" customHeight="1" s="289">
      <c r="A3212" s="205" t="n"/>
      <c r="B3212" s="207" t="n"/>
      <c r="C3212" s="104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348" t="n"/>
      <c r="E3212" s="349">
        <f>IF(C3212="","",IFERROR(VLOOKUP(C3212,parametros!$A$11:$E$15,5,0),""))</f>
        <v/>
      </c>
      <c r="F3212" s="335">
        <f>IF(OR(D3212="",E3212=""),"",ROUND(D3212*E3212,2))</f>
        <v/>
      </c>
      <c r="G3212" s="106" t="n"/>
      <c r="H3212" s="350">
        <f>IF(G3212="Sim",IF(OR(F3212="",D3212="",L3212=""),"",IF(L3212="Sim",ROUND(F3212-D3212,2),0)),0)</f>
        <v/>
      </c>
      <c r="I3212" s="350">
        <f>IF(G3212="Sim",0,IF(OR(F3212="",L3212=""),"",F3212))</f>
        <v/>
      </c>
      <c r="J3212" s="350">
        <f>IF(G3212="Sim",0,IF(OR(F3212="",D3212="",L3212=""),"",IF(L3212="Sim",ROUND(F3212-D3212,2),0)))</f>
        <v/>
      </c>
      <c r="K3212" s="97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inlineStr">
        <is>
          <t>Nao</t>
        </is>
      </c>
      <c r="W3212" s="110" t="inlineStr">
        <is>
          <t>PC em analise</t>
        </is>
      </c>
      <c r="X3212" s="110" t="inlineStr">
        <is>
          <t>Pedido de Compra</t>
        </is>
      </c>
      <c r="Y3212" s="111" t="inlineStr">
        <is>
          <t>Impacto Potencial</t>
        </is>
      </c>
      <c r="Z3212" s="111" t="inlineStr">
        <is>
          <t>PC</t>
        </is>
      </c>
      <c r="AA3212" s="111" t="inlineStr">
        <is>
          <t>Nao</t>
        </is>
      </c>
      <c r="AB3212" s="111" t="inlineStr">
        <is>
          <t>NAO_COMPUTADO</t>
        </is>
      </c>
      <c r="AC3212" s="112" t="inlineStr">
        <is>
          <t>Estrutura Fase 1: sem impacto no VTA oficial</t>
        </is>
      </c>
    </row>
    <row r="3213" ht="25.5" customHeight="1" s="289">
      <c r="A3213" s="205" t="n"/>
      <c r="B3213" s="207" t="n"/>
      <c r="C3213" s="104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348" t="n"/>
      <c r="E3213" s="349">
        <f>IF(C3213="","",IFERROR(VLOOKUP(C3213,parametros!$A$11:$E$15,5,0),""))</f>
        <v/>
      </c>
      <c r="F3213" s="335">
        <f>IF(OR(D3213="",E3213=""),"",ROUND(D3213*E3213,2))</f>
        <v/>
      </c>
      <c r="G3213" s="106" t="n"/>
      <c r="H3213" s="350">
        <f>IF(G3213="Sim",IF(OR(F3213="",D3213="",L3213=""),"",IF(L3213="Sim",ROUND(F3213-D3213,2),0)),0)</f>
        <v/>
      </c>
      <c r="I3213" s="350">
        <f>IF(G3213="Sim",0,IF(OR(F3213="",L3213=""),"",F3213))</f>
        <v/>
      </c>
      <c r="J3213" s="350">
        <f>IF(G3213="Sim",0,IF(OR(F3213="",D3213="",L3213=""),"",IF(L3213="Sim",ROUND(F3213-D3213,2),0)))</f>
        <v/>
      </c>
      <c r="K3213" s="97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inlineStr">
        <is>
          <t>Nao</t>
        </is>
      </c>
      <c r="W3213" s="110" t="inlineStr">
        <is>
          <t>PC em analise</t>
        </is>
      </c>
      <c r="X3213" s="110" t="inlineStr">
        <is>
          <t>Pedido de Compra</t>
        </is>
      </c>
      <c r="Y3213" s="111" t="inlineStr">
        <is>
          <t>Impacto Potencial</t>
        </is>
      </c>
      <c r="Z3213" s="111" t="inlineStr">
        <is>
          <t>PC</t>
        </is>
      </c>
      <c r="AA3213" s="111" t="inlineStr">
        <is>
          <t>Nao</t>
        </is>
      </c>
      <c r="AB3213" s="111" t="inlineStr">
        <is>
          <t>NAO_COMPUTADO</t>
        </is>
      </c>
      <c r="AC3213" s="112" t="inlineStr">
        <is>
          <t>Estrutura Fase 1: sem impacto no VTA oficial</t>
        </is>
      </c>
    </row>
    <row r="3214" ht="25.5" customHeight="1" s="289">
      <c r="A3214" s="205" t="n"/>
      <c r="B3214" s="207" t="n"/>
      <c r="C3214" s="104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348" t="n"/>
      <c r="E3214" s="349">
        <f>IF(C3214="","",IFERROR(VLOOKUP(C3214,parametros!$A$11:$E$15,5,0),""))</f>
        <v/>
      </c>
      <c r="F3214" s="335">
        <f>IF(OR(D3214="",E3214=""),"",ROUND(D3214*E3214,2))</f>
        <v/>
      </c>
      <c r="G3214" s="106" t="n"/>
      <c r="H3214" s="350">
        <f>IF(G3214="Sim",IF(OR(F3214="",D3214="",L3214=""),"",IF(L3214="Sim",ROUND(F3214-D3214,2),0)),0)</f>
        <v/>
      </c>
      <c r="I3214" s="350">
        <f>IF(G3214="Sim",0,IF(OR(F3214="",L3214=""),"",F3214))</f>
        <v/>
      </c>
      <c r="J3214" s="350">
        <f>IF(G3214="Sim",0,IF(OR(F3214="",D3214="",L3214=""),"",IF(L3214="Sim",ROUND(F3214-D3214,2),0)))</f>
        <v/>
      </c>
      <c r="K3214" s="97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inlineStr">
        <is>
          <t>Nao</t>
        </is>
      </c>
      <c r="W3214" s="110" t="inlineStr">
        <is>
          <t>PC em analise</t>
        </is>
      </c>
      <c r="X3214" s="110" t="inlineStr">
        <is>
          <t>Pedido de Compra</t>
        </is>
      </c>
      <c r="Y3214" s="111" t="inlineStr">
        <is>
          <t>Impacto Potencial</t>
        </is>
      </c>
      <c r="Z3214" s="111" t="inlineStr">
        <is>
          <t>PC</t>
        </is>
      </c>
      <c r="AA3214" s="111" t="inlineStr">
        <is>
          <t>Nao</t>
        </is>
      </c>
      <c r="AB3214" s="111" t="inlineStr">
        <is>
          <t>NAO_COMPUTADO</t>
        </is>
      </c>
      <c r="AC3214" s="112" t="inlineStr">
        <is>
          <t>Estrutura Fase 1: sem impacto no VTA oficial</t>
        </is>
      </c>
    </row>
    <row r="3215" ht="25.5" customHeight="1" s="289">
      <c r="A3215" s="205" t="n"/>
      <c r="B3215" s="207" t="n"/>
      <c r="C3215" s="104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348" t="n"/>
      <c r="E3215" s="349">
        <f>IF(C3215="","",IFERROR(VLOOKUP(C3215,parametros!$A$11:$E$15,5,0),""))</f>
        <v/>
      </c>
      <c r="F3215" s="335">
        <f>IF(OR(D3215="",E3215=""),"",ROUND(D3215*E3215,2))</f>
        <v/>
      </c>
      <c r="G3215" s="106" t="n"/>
      <c r="H3215" s="350">
        <f>IF(G3215="Sim",IF(OR(F3215="",D3215="",L3215=""),"",IF(L3215="Sim",ROUND(F3215-D3215,2),0)),0)</f>
        <v/>
      </c>
      <c r="I3215" s="350">
        <f>IF(G3215="Sim",0,IF(OR(F3215="",L3215=""),"",F3215))</f>
        <v/>
      </c>
      <c r="J3215" s="350">
        <f>IF(G3215="Sim",0,IF(OR(F3215="",D3215="",L3215=""),"",IF(L3215="Sim",ROUND(F3215-D3215,2),0)))</f>
        <v/>
      </c>
      <c r="K3215" s="97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inlineStr">
        <is>
          <t>Nao</t>
        </is>
      </c>
      <c r="W3215" s="110" t="inlineStr">
        <is>
          <t>PC em analise</t>
        </is>
      </c>
      <c r="X3215" s="110" t="inlineStr">
        <is>
          <t>Pedido de Compra</t>
        </is>
      </c>
      <c r="Y3215" s="111" t="inlineStr">
        <is>
          <t>Impacto Potencial</t>
        </is>
      </c>
      <c r="Z3215" s="111" t="inlineStr">
        <is>
          <t>PC</t>
        </is>
      </c>
      <c r="AA3215" s="111" t="inlineStr">
        <is>
          <t>Nao</t>
        </is>
      </c>
      <c r="AB3215" s="111" t="inlineStr">
        <is>
          <t>NAO_COMPUTADO</t>
        </is>
      </c>
      <c r="AC3215" s="112" t="inlineStr">
        <is>
          <t>Estrutura Fase 1: sem impacto no VTA oficial</t>
        </is>
      </c>
    </row>
    <row r="3216" ht="25.5" customHeight="1" s="289">
      <c r="A3216" s="205" t="n"/>
      <c r="B3216" s="207" t="n"/>
      <c r="C3216" s="104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348" t="n"/>
      <c r="E3216" s="349">
        <f>IF(C3216="","",IFERROR(VLOOKUP(C3216,parametros!$A$11:$E$15,5,0),""))</f>
        <v/>
      </c>
      <c r="F3216" s="335">
        <f>IF(OR(D3216="",E3216=""),"",ROUND(D3216*E3216,2))</f>
        <v/>
      </c>
      <c r="G3216" s="106" t="n"/>
      <c r="H3216" s="350">
        <f>IF(G3216="Sim",IF(OR(F3216="",D3216="",L3216=""),"",IF(L3216="Sim",ROUND(F3216-D3216,2),0)),0)</f>
        <v/>
      </c>
      <c r="I3216" s="350">
        <f>IF(G3216="Sim",0,IF(OR(F3216="",L3216=""),"",F3216))</f>
        <v/>
      </c>
      <c r="J3216" s="350">
        <f>IF(G3216="Sim",0,IF(OR(F3216="",D3216="",L3216=""),"",IF(L3216="Sim",ROUND(F3216-D3216,2),0)))</f>
        <v/>
      </c>
      <c r="K3216" s="97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inlineStr">
        <is>
          <t>Nao</t>
        </is>
      </c>
      <c r="W3216" s="110" t="inlineStr">
        <is>
          <t>PC em analise</t>
        </is>
      </c>
      <c r="X3216" s="110" t="inlineStr">
        <is>
          <t>Pedido de Compra</t>
        </is>
      </c>
      <c r="Y3216" s="111" t="inlineStr">
        <is>
          <t>Impacto Potencial</t>
        </is>
      </c>
      <c r="Z3216" s="111" t="inlineStr">
        <is>
          <t>PC</t>
        </is>
      </c>
      <c r="AA3216" s="111" t="inlineStr">
        <is>
          <t>Nao</t>
        </is>
      </c>
      <c r="AB3216" s="111" t="inlineStr">
        <is>
          <t>NAO_COMPUTADO</t>
        </is>
      </c>
      <c r="AC3216" s="112" t="inlineStr">
        <is>
          <t>Estrutura Fase 1: sem impacto no VTA oficial</t>
        </is>
      </c>
    </row>
    <row r="3217" ht="25.5" customHeight="1" s="289">
      <c r="A3217" s="205" t="n"/>
      <c r="B3217" s="207" t="n"/>
      <c r="C3217" s="104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348" t="n"/>
      <c r="E3217" s="349">
        <f>IF(C3217="","",IFERROR(VLOOKUP(C3217,parametros!$A$11:$E$15,5,0),""))</f>
        <v/>
      </c>
      <c r="F3217" s="335">
        <f>IF(OR(D3217="",E3217=""),"",ROUND(D3217*E3217,2))</f>
        <v/>
      </c>
      <c r="G3217" s="106" t="n"/>
      <c r="H3217" s="350">
        <f>IF(G3217="Sim",IF(OR(F3217="",D3217="",L3217=""),"",IF(L3217="Sim",ROUND(F3217-D3217,2),0)),0)</f>
        <v/>
      </c>
      <c r="I3217" s="350">
        <f>IF(G3217="Sim",0,IF(OR(F3217="",L3217=""),"",F3217))</f>
        <v/>
      </c>
      <c r="J3217" s="350">
        <f>IF(G3217="Sim",0,IF(OR(F3217="",D3217="",L3217=""),"",IF(L3217="Sim",ROUND(F3217-D3217,2),0)))</f>
        <v/>
      </c>
      <c r="K3217" s="97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inlineStr">
        <is>
          <t>Nao</t>
        </is>
      </c>
      <c r="W3217" s="110" t="inlineStr">
        <is>
          <t>PC em analise</t>
        </is>
      </c>
      <c r="X3217" s="110" t="inlineStr">
        <is>
          <t>Pedido de Compra</t>
        </is>
      </c>
      <c r="Y3217" s="111" t="inlineStr">
        <is>
          <t>Impacto Potencial</t>
        </is>
      </c>
      <c r="Z3217" s="111" t="inlineStr">
        <is>
          <t>PC</t>
        </is>
      </c>
      <c r="AA3217" s="111" t="inlineStr">
        <is>
          <t>Nao</t>
        </is>
      </c>
      <c r="AB3217" s="111" t="inlineStr">
        <is>
          <t>NAO_COMPUTADO</t>
        </is>
      </c>
      <c r="AC3217" s="112" t="inlineStr">
        <is>
          <t>Estrutura Fase 1: sem impacto no VTA oficial</t>
        </is>
      </c>
    </row>
    <row r="3218" ht="25.5" customHeight="1" s="289">
      <c r="A3218" s="205" t="n"/>
      <c r="B3218" s="207" t="n"/>
      <c r="C3218" s="104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348" t="n"/>
      <c r="E3218" s="349">
        <f>IF(C3218="","",IFERROR(VLOOKUP(C3218,parametros!$A$11:$E$15,5,0),""))</f>
        <v/>
      </c>
      <c r="F3218" s="335">
        <f>IF(OR(D3218="",E3218=""),"",ROUND(D3218*E3218,2))</f>
        <v/>
      </c>
      <c r="G3218" s="106" t="n"/>
      <c r="H3218" s="350">
        <f>IF(G3218="Sim",IF(OR(F3218="",D3218="",L3218=""),"",IF(L3218="Sim",ROUND(F3218-D3218,2),0)),0)</f>
        <v/>
      </c>
      <c r="I3218" s="350">
        <f>IF(G3218="Sim",0,IF(OR(F3218="",L3218=""),"",F3218))</f>
        <v/>
      </c>
      <c r="J3218" s="350">
        <f>IF(G3218="Sim",0,IF(OR(F3218="",D3218="",L3218=""),"",IF(L3218="Sim",ROUND(F3218-D3218,2),0)))</f>
        <v/>
      </c>
      <c r="K3218" s="97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inlineStr">
        <is>
          <t>Nao</t>
        </is>
      </c>
      <c r="W3218" s="110" t="inlineStr">
        <is>
          <t>PC em analise</t>
        </is>
      </c>
      <c r="X3218" s="110" t="inlineStr">
        <is>
          <t>Pedido de Compra</t>
        </is>
      </c>
      <c r="Y3218" s="111" t="inlineStr">
        <is>
          <t>Impacto Potencial</t>
        </is>
      </c>
      <c r="Z3218" s="111" t="inlineStr">
        <is>
          <t>PC</t>
        </is>
      </c>
      <c r="AA3218" s="111" t="inlineStr">
        <is>
          <t>Nao</t>
        </is>
      </c>
      <c r="AB3218" s="111" t="inlineStr">
        <is>
          <t>NAO_COMPUTADO</t>
        </is>
      </c>
      <c r="AC3218" s="112" t="inlineStr">
        <is>
          <t>Estrutura Fase 1: sem impacto no VTA oficial</t>
        </is>
      </c>
    </row>
    <row r="3219" ht="25.5" customHeight="1" s="289">
      <c r="A3219" s="205" t="n"/>
      <c r="B3219" s="207" t="n"/>
      <c r="C3219" s="104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348" t="n"/>
      <c r="E3219" s="349">
        <f>IF(C3219="","",IFERROR(VLOOKUP(C3219,parametros!$A$11:$E$15,5,0),""))</f>
        <v/>
      </c>
      <c r="F3219" s="335">
        <f>IF(OR(D3219="",E3219=""),"",ROUND(D3219*E3219,2))</f>
        <v/>
      </c>
      <c r="G3219" s="106" t="n"/>
      <c r="H3219" s="350">
        <f>IF(G3219="Sim",IF(OR(F3219="",D3219="",L3219=""),"",IF(L3219="Sim",ROUND(F3219-D3219,2),0)),0)</f>
        <v/>
      </c>
      <c r="I3219" s="350">
        <f>IF(G3219="Sim",0,IF(OR(F3219="",L3219=""),"",F3219))</f>
        <v/>
      </c>
      <c r="J3219" s="350">
        <f>IF(G3219="Sim",0,IF(OR(F3219="",D3219="",L3219=""),"",IF(L3219="Sim",ROUND(F3219-D3219,2),0)))</f>
        <v/>
      </c>
      <c r="K3219" s="97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inlineStr">
        <is>
          <t>Nao</t>
        </is>
      </c>
      <c r="W3219" s="110" t="inlineStr">
        <is>
          <t>PC em analise</t>
        </is>
      </c>
      <c r="X3219" s="110" t="inlineStr">
        <is>
          <t>Pedido de Compra</t>
        </is>
      </c>
      <c r="Y3219" s="111" t="inlineStr">
        <is>
          <t>Impacto Potencial</t>
        </is>
      </c>
      <c r="Z3219" s="111" t="inlineStr">
        <is>
          <t>PC</t>
        </is>
      </c>
      <c r="AA3219" s="111" t="inlineStr">
        <is>
          <t>Nao</t>
        </is>
      </c>
      <c r="AB3219" s="111" t="inlineStr">
        <is>
          <t>NAO_COMPUTADO</t>
        </is>
      </c>
      <c r="AC3219" s="112" t="inlineStr">
        <is>
          <t>Estrutura Fase 1: sem impacto no VTA oficial</t>
        </is>
      </c>
    </row>
    <row r="3220" ht="25.5" customHeight="1" s="289">
      <c r="A3220" s="205" t="n"/>
      <c r="B3220" s="207" t="n"/>
      <c r="C3220" s="104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348" t="n"/>
      <c r="E3220" s="349">
        <f>IF(C3220="","",IFERROR(VLOOKUP(C3220,parametros!$A$11:$E$15,5,0),""))</f>
        <v/>
      </c>
      <c r="F3220" s="335">
        <f>IF(OR(D3220="",E3220=""),"",ROUND(D3220*E3220,2))</f>
        <v/>
      </c>
      <c r="G3220" s="106" t="n"/>
      <c r="H3220" s="350">
        <f>IF(G3220="Sim",IF(OR(F3220="",D3220="",L3220=""),"",IF(L3220="Sim",ROUND(F3220-D3220,2),0)),0)</f>
        <v/>
      </c>
      <c r="I3220" s="350">
        <f>IF(G3220="Sim",0,IF(OR(F3220="",L3220=""),"",F3220))</f>
        <v/>
      </c>
      <c r="J3220" s="350">
        <f>IF(G3220="Sim",0,IF(OR(F3220="",D3220="",L3220=""),"",IF(L3220="Sim",ROUND(F3220-D3220,2),0)))</f>
        <v/>
      </c>
      <c r="K3220" s="97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inlineStr">
        <is>
          <t>Nao</t>
        </is>
      </c>
      <c r="W3220" s="110" t="inlineStr">
        <is>
          <t>PC em analise</t>
        </is>
      </c>
      <c r="X3220" s="110" t="inlineStr">
        <is>
          <t>Pedido de Compra</t>
        </is>
      </c>
      <c r="Y3220" s="111" t="inlineStr">
        <is>
          <t>Impacto Potencial</t>
        </is>
      </c>
      <c r="Z3220" s="111" t="inlineStr">
        <is>
          <t>PC</t>
        </is>
      </c>
      <c r="AA3220" s="111" t="inlineStr">
        <is>
          <t>Nao</t>
        </is>
      </c>
      <c r="AB3220" s="111" t="inlineStr">
        <is>
          <t>NAO_COMPUTADO</t>
        </is>
      </c>
      <c r="AC3220" s="112" t="inlineStr">
        <is>
          <t>Estrutura Fase 1: sem impacto no VTA oficial</t>
        </is>
      </c>
    </row>
    <row r="3221" ht="25.5" customHeight="1" s="289">
      <c r="A3221" s="205" t="n"/>
      <c r="B3221" s="207" t="n"/>
      <c r="C3221" s="104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348" t="n"/>
      <c r="E3221" s="349">
        <f>IF(C3221="","",IFERROR(VLOOKUP(C3221,parametros!$A$11:$E$15,5,0),""))</f>
        <v/>
      </c>
      <c r="F3221" s="335">
        <f>IF(OR(D3221="",E3221=""),"",ROUND(D3221*E3221,2))</f>
        <v/>
      </c>
      <c r="G3221" s="106" t="n"/>
      <c r="H3221" s="350">
        <f>IF(G3221="Sim",IF(OR(F3221="",D3221="",L3221=""),"",IF(L3221="Sim",ROUND(F3221-D3221,2),0)),0)</f>
        <v/>
      </c>
      <c r="I3221" s="350">
        <f>IF(G3221="Sim",0,IF(OR(F3221="",L3221=""),"",F3221))</f>
        <v/>
      </c>
      <c r="J3221" s="350">
        <f>IF(G3221="Sim",0,IF(OR(F3221="",D3221="",L3221=""),"",IF(L3221="Sim",ROUND(F3221-D3221,2),0)))</f>
        <v/>
      </c>
      <c r="K3221" s="97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inlineStr">
        <is>
          <t>Nao</t>
        </is>
      </c>
      <c r="W3221" s="110" t="inlineStr">
        <is>
          <t>PC em analise</t>
        </is>
      </c>
      <c r="X3221" s="110" t="inlineStr">
        <is>
          <t>Pedido de Compra</t>
        </is>
      </c>
      <c r="Y3221" s="111" t="inlineStr">
        <is>
          <t>Impacto Potencial</t>
        </is>
      </c>
      <c r="Z3221" s="111" t="inlineStr">
        <is>
          <t>PC</t>
        </is>
      </c>
      <c r="AA3221" s="111" t="inlineStr">
        <is>
          <t>Nao</t>
        </is>
      </c>
      <c r="AB3221" s="111" t="inlineStr">
        <is>
          <t>NAO_COMPUTADO</t>
        </is>
      </c>
      <c r="AC3221" s="112" t="inlineStr">
        <is>
          <t>Estrutura Fase 1: sem impacto no VTA oficial</t>
        </is>
      </c>
    </row>
    <row r="3222" ht="25.5" customHeight="1" s="289">
      <c r="A3222" s="205" t="n"/>
      <c r="B3222" s="207" t="n"/>
      <c r="C3222" s="104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348" t="n"/>
      <c r="E3222" s="349">
        <f>IF(C3222="","",IFERROR(VLOOKUP(C3222,parametros!$A$11:$E$15,5,0),""))</f>
        <v/>
      </c>
      <c r="F3222" s="335">
        <f>IF(OR(D3222="",E3222=""),"",ROUND(D3222*E3222,2))</f>
        <v/>
      </c>
      <c r="G3222" s="106" t="n"/>
      <c r="H3222" s="350">
        <f>IF(G3222="Sim",IF(OR(F3222="",D3222="",L3222=""),"",IF(L3222="Sim",ROUND(F3222-D3222,2),0)),0)</f>
        <v/>
      </c>
      <c r="I3222" s="350">
        <f>IF(G3222="Sim",0,IF(OR(F3222="",L3222=""),"",F3222))</f>
        <v/>
      </c>
      <c r="J3222" s="350">
        <f>IF(G3222="Sim",0,IF(OR(F3222="",D3222="",L3222=""),"",IF(L3222="Sim",ROUND(F3222-D3222,2),0)))</f>
        <v/>
      </c>
      <c r="K3222" s="97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inlineStr">
        <is>
          <t>Nao</t>
        </is>
      </c>
      <c r="W3222" s="110" t="inlineStr">
        <is>
          <t>PC em analise</t>
        </is>
      </c>
      <c r="X3222" s="110" t="inlineStr">
        <is>
          <t>Pedido de Compra</t>
        </is>
      </c>
      <c r="Y3222" s="111" t="inlineStr">
        <is>
          <t>Impacto Potencial</t>
        </is>
      </c>
      <c r="Z3222" s="111" t="inlineStr">
        <is>
          <t>PC</t>
        </is>
      </c>
      <c r="AA3222" s="111" t="inlineStr">
        <is>
          <t>Nao</t>
        </is>
      </c>
      <c r="AB3222" s="111" t="inlineStr">
        <is>
          <t>NAO_COMPUTADO</t>
        </is>
      </c>
      <c r="AC3222" s="112" t="inlineStr">
        <is>
          <t>Estrutura Fase 1: sem impacto no VTA oficial</t>
        </is>
      </c>
    </row>
    <row r="3223" ht="25.5" customHeight="1" s="289">
      <c r="A3223" s="205" t="n"/>
      <c r="B3223" s="207" t="n"/>
      <c r="C3223" s="104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348" t="n"/>
      <c r="E3223" s="349">
        <f>IF(C3223="","",IFERROR(VLOOKUP(C3223,parametros!$A$11:$E$15,5,0),""))</f>
        <v/>
      </c>
      <c r="F3223" s="335">
        <f>IF(OR(D3223="",E3223=""),"",ROUND(D3223*E3223,2))</f>
        <v/>
      </c>
      <c r="G3223" s="106" t="n"/>
      <c r="H3223" s="350">
        <f>IF(G3223="Sim",IF(OR(F3223="",D3223="",L3223=""),"",IF(L3223="Sim",ROUND(F3223-D3223,2),0)),0)</f>
        <v/>
      </c>
      <c r="I3223" s="350">
        <f>IF(G3223="Sim",0,IF(OR(F3223="",L3223=""),"",F3223))</f>
        <v/>
      </c>
      <c r="J3223" s="350">
        <f>IF(G3223="Sim",0,IF(OR(F3223="",D3223="",L3223=""),"",IF(L3223="Sim",ROUND(F3223-D3223,2),0)))</f>
        <v/>
      </c>
      <c r="K3223" s="97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inlineStr">
        <is>
          <t>Nao</t>
        </is>
      </c>
      <c r="W3223" s="110" t="inlineStr">
        <is>
          <t>PC em analise</t>
        </is>
      </c>
      <c r="X3223" s="110" t="inlineStr">
        <is>
          <t>Pedido de Compra</t>
        </is>
      </c>
      <c r="Y3223" s="111" t="inlineStr">
        <is>
          <t>Impacto Potencial</t>
        </is>
      </c>
      <c r="Z3223" s="111" t="inlineStr">
        <is>
          <t>PC</t>
        </is>
      </c>
      <c r="AA3223" s="111" t="inlineStr">
        <is>
          <t>Nao</t>
        </is>
      </c>
      <c r="AB3223" s="111" t="inlineStr">
        <is>
          <t>NAO_COMPUTADO</t>
        </is>
      </c>
      <c r="AC3223" s="112" t="inlineStr">
        <is>
          <t>Estrutura Fase 1: sem impacto no VTA oficial</t>
        </is>
      </c>
    </row>
    <row r="3224" ht="25.5" customHeight="1" s="289">
      <c r="A3224" s="205" t="n"/>
      <c r="B3224" s="207" t="n"/>
      <c r="C3224" s="104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348" t="n"/>
      <c r="E3224" s="349">
        <f>IF(C3224="","",IFERROR(VLOOKUP(C3224,parametros!$A$11:$E$15,5,0),""))</f>
        <v/>
      </c>
      <c r="F3224" s="335">
        <f>IF(OR(D3224="",E3224=""),"",ROUND(D3224*E3224,2))</f>
        <v/>
      </c>
      <c r="G3224" s="106" t="n"/>
      <c r="H3224" s="350">
        <f>IF(G3224="Sim",IF(OR(F3224="",D3224="",L3224=""),"",IF(L3224="Sim",ROUND(F3224-D3224,2),0)),0)</f>
        <v/>
      </c>
      <c r="I3224" s="350">
        <f>IF(G3224="Sim",0,IF(OR(F3224="",L3224=""),"",F3224))</f>
        <v/>
      </c>
      <c r="J3224" s="350">
        <f>IF(G3224="Sim",0,IF(OR(F3224="",D3224="",L3224=""),"",IF(L3224="Sim",ROUND(F3224-D3224,2),0)))</f>
        <v/>
      </c>
      <c r="K3224" s="97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inlineStr">
        <is>
          <t>Nao</t>
        </is>
      </c>
      <c r="W3224" s="110" t="inlineStr">
        <is>
          <t>PC em analise</t>
        </is>
      </c>
      <c r="X3224" s="110" t="inlineStr">
        <is>
          <t>Pedido de Compra</t>
        </is>
      </c>
      <c r="Y3224" s="111" t="inlineStr">
        <is>
          <t>Impacto Potencial</t>
        </is>
      </c>
      <c r="Z3224" s="111" t="inlineStr">
        <is>
          <t>PC</t>
        </is>
      </c>
      <c r="AA3224" s="111" t="inlineStr">
        <is>
          <t>Nao</t>
        </is>
      </c>
      <c r="AB3224" s="111" t="inlineStr">
        <is>
          <t>NAO_COMPUTADO</t>
        </is>
      </c>
      <c r="AC3224" s="112" t="inlineStr">
        <is>
          <t>Estrutura Fase 1: sem impacto no VTA oficial</t>
        </is>
      </c>
    </row>
    <row r="3225" ht="25.5" customHeight="1" s="289">
      <c r="A3225" s="205" t="n"/>
      <c r="B3225" s="207" t="n"/>
      <c r="C3225" s="104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348" t="n"/>
      <c r="E3225" s="349">
        <f>IF(C3225="","",IFERROR(VLOOKUP(C3225,parametros!$A$11:$E$15,5,0),""))</f>
        <v/>
      </c>
      <c r="F3225" s="335">
        <f>IF(OR(D3225="",E3225=""),"",ROUND(D3225*E3225,2))</f>
        <v/>
      </c>
      <c r="G3225" s="106" t="n"/>
      <c r="H3225" s="350">
        <f>IF(G3225="Sim",IF(OR(F3225="",D3225="",L3225=""),"",IF(L3225="Sim",ROUND(F3225-D3225,2),0)),0)</f>
        <v/>
      </c>
      <c r="I3225" s="350">
        <f>IF(G3225="Sim",0,IF(OR(F3225="",L3225=""),"",F3225))</f>
        <v/>
      </c>
      <c r="J3225" s="350">
        <f>IF(G3225="Sim",0,IF(OR(F3225="",D3225="",L3225=""),"",IF(L3225="Sim",ROUND(F3225-D3225,2),0)))</f>
        <v/>
      </c>
      <c r="K3225" s="97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inlineStr">
        <is>
          <t>Nao</t>
        </is>
      </c>
      <c r="W3225" s="110" t="inlineStr">
        <is>
          <t>PC em analise</t>
        </is>
      </c>
      <c r="X3225" s="110" t="inlineStr">
        <is>
          <t>Pedido de Compra</t>
        </is>
      </c>
      <c r="Y3225" s="111" t="inlineStr">
        <is>
          <t>Impacto Potencial</t>
        </is>
      </c>
      <c r="Z3225" s="111" t="inlineStr">
        <is>
          <t>PC</t>
        </is>
      </c>
      <c r="AA3225" s="111" t="inlineStr">
        <is>
          <t>Nao</t>
        </is>
      </c>
      <c r="AB3225" s="111" t="inlineStr">
        <is>
          <t>NAO_COMPUTADO</t>
        </is>
      </c>
      <c r="AC3225" s="112" t="inlineStr">
        <is>
          <t>Estrutura Fase 1: sem impacto no VTA oficial</t>
        </is>
      </c>
    </row>
    <row r="3226" ht="25.5" customHeight="1" s="289">
      <c r="A3226" s="205" t="n"/>
      <c r="B3226" s="207" t="n"/>
      <c r="C3226" s="104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348" t="n"/>
      <c r="E3226" s="349">
        <f>IF(C3226="","",IFERROR(VLOOKUP(C3226,parametros!$A$11:$E$15,5,0),""))</f>
        <v/>
      </c>
      <c r="F3226" s="335">
        <f>IF(OR(D3226="",E3226=""),"",ROUND(D3226*E3226,2))</f>
        <v/>
      </c>
      <c r="G3226" s="106" t="n"/>
      <c r="H3226" s="350">
        <f>IF(G3226="Sim",IF(OR(F3226="",D3226="",L3226=""),"",IF(L3226="Sim",ROUND(F3226-D3226,2),0)),0)</f>
        <v/>
      </c>
      <c r="I3226" s="350">
        <f>IF(G3226="Sim",0,IF(OR(F3226="",L3226=""),"",F3226))</f>
        <v/>
      </c>
      <c r="J3226" s="350">
        <f>IF(G3226="Sim",0,IF(OR(F3226="",D3226="",L3226=""),"",IF(L3226="Sim",ROUND(F3226-D3226,2),0)))</f>
        <v/>
      </c>
      <c r="K3226" s="97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inlineStr">
        <is>
          <t>Nao</t>
        </is>
      </c>
      <c r="W3226" s="110" t="inlineStr">
        <is>
          <t>PC em analise</t>
        </is>
      </c>
      <c r="X3226" s="110" t="inlineStr">
        <is>
          <t>Pedido de Compra</t>
        </is>
      </c>
      <c r="Y3226" s="111" t="inlineStr">
        <is>
          <t>Impacto Potencial</t>
        </is>
      </c>
      <c r="Z3226" s="111" t="inlineStr">
        <is>
          <t>PC</t>
        </is>
      </c>
      <c r="AA3226" s="111" t="inlineStr">
        <is>
          <t>Nao</t>
        </is>
      </c>
      <c r="AB3226" s="111" t="inlineStr">
        <is>
          <t>NAO_COMPUTADO</t>
        </is>
      </c>
      <c r="AC3226" s="112" t="inlineStr">
        <is>
          <t>Estrutura Fase 1: sem impacto no VTA oficial</t>
        </is>
      </c>
    </row>
    <row r="3227" ht="25.5" customHeight="1" s="289">
      <c r="A3227" s="205" t="n"/>
      <c r="B3227" s="207" t="n"/>
      <c r="C3227" s="104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348" t="n"/>
      <c r="E3227" s="349">
        <f>IF(C3227="","",IFERROR(VLOOKUP(C3227,parametros!$A$11:$E$15,5,0),""))</f>
        <v/>
      </c>
      <c r="F3227" s="335">
        <f>IF(OR(D3227="",E3227=""),"",ROUND(D3227*E3227,2))</f>
        <v/>
      </c>
      <c r="G3227" s="106" t="n"/>
      <c r="H3227" s="350">
        <f>IF(G3227="Sim",IF(OR(F3227="",D3227="",L3227=""),"",IF(L3227="Sim",ROUND(F3227-D3227,2),0)),0)</f>
        <v/>
      </c>
      <c r="I3227" s="350">
        <f>IF(G3227="Sim",0,IF(OR(F3227="",L3227=""),"",F3227))</f>
        <v/>
      </c>
      <c r="J3227" s="350">
        <f>IF(G3227="Sim",0,IF(OR(F3227="",D3227="",L3227=""),"",IF(L3227="Sim",ROUND(F3227-D3227,2),0)))</f>
        <v/>
      </c>
      <c r="K3227" s="97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inlineStr">
        <is>
          <t>Nao</t>
        </is>
      </c>
      <c r="W3227" s="110" t="inlineStr">
        <is>
          <t>PC em analise</t>
        </is>
      </c>
      <c r="X3227" s="110" t="inlineStr">
        <is>
          <t>Pedido de Compra</t>
        </is>
      </c>
      <c r="Y3227" s="111" t="inlineStr">
        <is>
          <t>Impacto Potencial</t>
        </is>
      </c>
      <c r="Z3227" s="111" t="inlineStr">
        <is>
          <t>PC</t>
        </is>
      </c>
      <c r="AA3227" s="111" t="inlineStr">
        <is>
          <t>Nao</t>
        </is>
      </c>
      <c r="AB3227" s="111" t="inlineStr">
        <is>
          <t>NAO_COMPUTADO</t>
        </is>
      </c>
      <c r="AC3227" s="112" t="inlineStr">
        <is>
          <t>Estrutura Fase 1: sem impacto no VTA oficial</t>
        </is>
      </c>
    </row>
    <row r="3228" ht="25.5" customHeight="1" s="289">
      <c r="A3228" s="205" t="n"/>
      <c r="B3228" s="207" t="n"/>
      <c r="C3228" s="104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348" t="n"/>
      <c r="E3228" s="349">
        <f>IF(C3228="","",IFERROR(VLOOKUP(C3228,parametros!$A$11:$E$15,5,0),""))</f>
        <v/>
      </c>
      <c r="F3228" s="335">
        <f>IF(OR(D3228="",E3228=""),"",ROUND(D3228*E3228,2))</f>
        <v/>
      </c>
      <c r="G3228" s="106" t="n"/>
      <c r="H3228" s="350">
        <f>IF(G3228="Sim",IF(OR(F3228="",D3228="",L3228=""),"",IF(L3228="Sim",ROUND(F3228-D3228,2),0)),0)</f>
        <v/>
      </c>
      <c r="I3228" s="350">
        <f>IF(G3228="Sim",0,IF(OR(F3228="",L3228=""),"",F3228))</f>
        <v/>
      </c>
      <c r="J3228" s="350">
        <f>IF(G3228="Sim",0,IF(OR(F3228="",D3228="",L3228=""),"",IF(L3228="Sim",ROUND(F3228-D3228,2),0)))</f>
        <v/>
      </c>
      <c r="K3228" s="97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inlineStr">
        <is>
          <t>Nao</t>
        </is>
      </c>
      <c r="W3228" s="110" t="inlineStr">
        <is>
          <t>PC em analise</t>
        </is>
      </c>
      <c r="X3228" s="110" t="inlineStr">
        <is>
          <t>Pedido de Compra</t>
        </is>
      </c>
      <c r="Y3228" s="111" t="inlineStr">
        <is>
          <t>Impacto Potencial</t>
        </is>
      </c>
      <c r="Z3228" s="111" t="inlineStr">
        <is>
          <t>PC</t>
        </is>
      </c>
      <c r="AA3228" s="111" t="inlineStr">
        <is>
          <t>Nao</t>
        </is>
      </c>
      <c r="AB3228" s="111" t="inlineStr">
        <is>
          <t>NAO_COMPUTADO</t>
        </is>
      </c>
      <c r="AC3228" s="112" t="inlineStr">
        <is>
          <t>Estrutura Fase 1: sem impacto no VTA oficial</t>
        </is>
      </c>
    </row>
    <row r="3229" ht="25.5" customHeight="1" s="289">
      <c r="A3229" s="205" t="n"/>
      <c r="B3229" s="207" t="n"/>
      <c r="C3229" s="104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348" t="n"/>
      <c r="E3229" s="349">
        <f>IF(C3229="","",IFERROR(VLOOKUP(C3229,parametros!$A$11:$E$15,5,0),""))</f>
        <v/>
      </c>
      <c r="F3229" s="335">
        <f>IF(OR(D3229="",E3229=""),"",ROUND(D3229*E3229,2))</f>
        <v/>
      </c>
      <c r="G3229" s="106" t="n"/>
      <c r="H3229" s="350">
        <f>IF(G3229="Sim",IF(OR(F3229="",D3229="",L3229=""),"",IF(L3229="Sim",ROUND(F3229-D3229,2),0)),0)</f>
        <v/>
      </c>
      <c r="I3229" s="350">
        <f>IF(G3229="Sim",0,IF(OR(F3229="",L3229=""),"",F3229))</f>
        <v/>
      </c>
      <c r="J3229" s="350">
        <f>IF(G3229="Sim",0,IF(OR(F3229="",D3229="",L3229=""),"",IF(L3229="Sim",ROUND(F3229-D3229,2),0)))</f>
        <v/>
      </c>
      <c r="K3229" s="97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inlineStr">
        <is>
          <t>Nao</t>
        </is>
      </c>
      <c r="W3229" s="110" t="inlineStr">
        <is>
          <t>PC em analise</t>
        </is>
      </c>
      <c r="X3229" s="110" t="inlineStr">
        <is>
          <t>Pedido de Compra</t>
        </is>
      </c>
      <c r="Y3229" s="111" t="inlineStr">
        <is>
          <t>Impacto Potencial</t>
        </is>
      </c>
      <c r="Z3229" s="111" t="inlineStr">
        <is>
          <t>PC</t>
        </is>
      </c>
      <c r="AA3229" s="111" t="inlineStr">
        <is>
          <t>Nao</t>
        </is>
      </c>
      <c r="AB3229" s="111" t="inlineStr">
        <is>
          <t>NAO_COMPUTADO</t>
        </is>
      </c>
      <c r="AC3229" s="112" t="inlineStr">
        <is>
          <t>Estrutura Fase 1: sem impacto no VTA oficial</t>
        </is>
      </c>
    </row>
    <row r="3230" ht="25.5" customHeight="1" s="289">
      <c r="A3230" s="205" t="n"/>
      <c r="B3230" s="207" t="n"/>
      <c r="C3230" s="104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348" t="n"/>
      <c r="E3230" s="349">
        <f>IF(C3230="","",IFERROR(VLOOKUP(C3230,parametros!$A$11:$E$15,5,0),""))</f>
        <v/>
      </c>
      <c r="F3230" s="335">
        <f>IF(OR(D3230="",E3230=""),"",ROUND(D3230*E3230,2))</f>
        <v/>
      </c>
      <c r="G3230" s="106" t="n"/>
      <c r="H3230" s="350">
        <f>IF(G3230="Sim",IF(OR(F3230="",D3230="",L3230=""),"",IF(L3230="Sim",ROUND(F3230-D3230,2),0)),0)</f>
        <v/>
      </c>
      <c r="I3230" s="350">
        <f>IF(G3230="Sim",0,IF(OR(F3230="",L3230=""),"",F3230))</f>
        <v/>
      </c>
      <c r="J3230" s="350">
        <f>IF(G3230="Sim",0,IF(OR(F3230="",D3230="",L3230=""),"",IF(L3230="Sim",ROUND(F3230-D3230,2),0)))</f>
        <v/>
      </c>
      <c r="K3230" s="97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inlineStr">
        <is>
          <t>Nao</t>
        </is>
      </c>
      <c r="W3230" s="110" t="inlineStr">
        <is>
          <t>PC em analise</t>
        </is>
      </c>
      <c r="X3230" s="110" t="inlineStr">
        <is>
          <t>Pedido de Compra</t>
        </is>
      </c>
      <c r="Y3230" s="111" t="inlineStr">
        <is>
          <t>Impacto Potencial</t>
        </is>
      </c>
      <c r="Z3230" s="111" t="inlineStr">
        <is>
          <t>PC</t>
        </is>
      </c>
      <c r="AA3230" s="111" t="inlineStr">
        <is>
          <t>Nao</t>
        </is>
      </c>
      <c r="AB3230" s="111" t="inlineStr">
        <is>
          <t>NAO_COMPUTADO</t>
        </is>
      </c>
      <c r="AC3230" s="112" t="inlineStr">
        <is>
          <t>Estrutura Fase 1: sem impacto no VTA oficial</t>
        </is>
      </c>
    </row>
    <row r="3231" ht="25.5" customHeight="1" s="289">
      <c r="A3231" s="205" t="n"/>
      <c r="B3231" s="207" t="n"/>
      <c r="C3231" s="104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348" t="n"/>
      <c r="E3231" s="349">
        <f>IF(C3231="","",IFERROR(VLOOKUP(C3231,parametros!$A$11:$E$15,5,0),""))</f>
        <v/>
      </c>
      <c r="F3231" s="335">
        <f>IF(OR(D3231="",E3231=""),"",ROUND(D3231*E3231,2))</f>
        <v/>
      </c>
      <c r="G3231" s="106" t="n"/>
      <c r="H3231" s="350">
        <f>IF(G3231="Sim",IF(OR(F3231="",D3231="",L3231=""),"",IF(L3231="Sim",ROUND(F3231-D3231,2),0)),0)</f>
        <v/>
      </c>
      <c r="I3231" s="350">
        <f>IF(G3231="Sim",0,IF(OR(F3231="",L3231=""),"",F3231))</f>
        <v/>
      </c>
      <c r="J3231" s="350">
        <f>IF(G3231="Sim",0,IF(OR(F3231="",D3231="",L3231=""),"",IF(L3231="Sim",ROUND(F3231-D3231,2),0)))</f>
        <v/>
      </c>
      <c r="K3231" s="97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inlineStr">
        <is>
          <t>Nao</t>
        </is>
      </c>
      <c r="W3231" s="110" t="inlineStr">
        <is>
          <t>PC em analise</t>
        </is>
      </c>
      <c r="X3231" s="110" t="inlineStr">
        <is>
          <t>Pedido de Compra</t>
        </is>
      </c>
      <c r="Y3231" s="111" t="inlineStr">
        <is>
          <t>Impacto Potencial</t>
        </is>
      </c>
      <c r="Z3231" s="111" t="inlineStr">
        <is>
          <t>PC</t>
        </is>
      </c>
      <c r="AA3231" s="111" t="inlineStr">
        <is>
          <t>Nao</t>
        </is>
      </c>
      <c r="AB3231" s="111" t="inlineStr">
        <is>
          <t>NAO_COMPUTADO</t>
        </is>
      </c>
      <c r="AC3231" s="112" t="inlineStr">
        <is>
          <t>Estrutura Fase 1: sem impacto no VTA oficial</t>
        </is>
      </c>
    </row>
    <row r="3232" ht="25.5" customHeight="1" s="289">
      <c r="A3232" s="205" t="n"/>
      <c r="B3232" s="207" t="n"/>
      <c r="C3232" s="104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348" t="n"/>
      <c r="E3232" s="349">
        <f>IF(C3232="","",IFERROR(VLOOKUP(C3232,parametros!$A$11:$E$15,5,0),""))</f>
        <v/>
      </c>
      <c r="F3232" s="335">
        <f>IF(OR(D3232="",E3232=""),"",ROUND(D3232*E3232,2))</f>
        <v/>
      </c>
      <c r="G3232" s="106" t="n"/>
      <c r="H3232" s="350">
        <f>IF(G3232="Sim",IF(OR(F3232="",D3232="",L3232=""),"",IF(L3232="Sim",ROUND(F3232-D3232,2),0)),0)</f>
        <v/>
      </c>
      <c r="I3232" s="350">
        <f>IF(G3232="Sim",0,IF(OR(F3232="",L3232=""),"",F3232))</f>
        <v/>
      </c>
      <c r="J3232" s="350">
        <f>IF(G3232="Sim",0,IF(OR(F3232="",D3232="",L3232=""),"",IF(L3232="Sim",ROUND(F3232-D3232,2),0)))</f>
        <v/>
      </c>
      <c r="K3232" s="97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inlineStr">
        <is>
          <t>Nao</t>
        </is>
      </c>
      <c r="W3232" s="110" t="inlineStr">
        <is>
          <t>PC em analise</t>
        </is>
      </c>
      <c r="X3232" s="110" t="inlineStr">
        <is>
          <t>Pedido de Compra</t>
        </is>
      </c>
      <c r="Y3232" s="111" t="inlineStr">
        <is>
          <t>Impacto Potencial</t>
        </is>
      </c>
      <c r="Z3232" s="111" t="inlineStr">
        <is>
          <t>PC</t>
        </is>
      </c>
      <c r="AA3232" s="111" t="inlineStr">
        <is>
          <t>Nao</t>
        </is>
      </c>
      <c r="AB3232" s="111" t="inlineStr">
        <is>
          <t>NAO_COMPUTADO</t>
        </is>
      </c>
      <c r="AC3232" s="112" t="inlineStr">
        <is>
          <t>Estrutura Fase 1: sem impacto no VTA oficial</t>
        </is>
      </c>
    </row>
    <row r="3233" ht="25.5" customHeight="1" s="289">
      <c r="A3233" s="205" t="n"/>
      <c r="B3233" s="207" t="n"/>
      <c r="C3233" s="104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348" t="n"/>
      <c r="E3233" s="349">
        <f>IF(C3233="","",IFERROR(VLOOKUP(C3233,parametros!$A$11:$E$15,5,0),""))</f>
        <v/>
      </c>
      <c r="F3233" s="335">
        <f>IF(OR(D3233="",E3233=""),"",ROUND(D3233*E3233,2))</f>
        <v/>
      </c>
      <c r="G3233" s="106" t="n"/>
      <c r="H3233" s="350">
        <f>IF(G3233="Sim",IF(OR(F3233="",D3233="",L3233=""),"",IF(L3233="Sim",ROUND(F3233-D3233,2),0)),0)</f>
        <v/>
      </c>
      <c r="I3233" s="350">
        <f>IF(G3233="Sim",0,IF(OR(F3233="",L3233=""),"",F3233))</f>
        <v/>
      </c>
      <c r="J3233" s="350">
        <f>IF(G3233="Sim",0,IF(OR(F3233="",D3233="",L3233=""),"",IF(L3233="Sim",ROUND(F3233-D3233,2),0)))</f>
        <v/>
      </c>
      <c r="K3233" s="97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inlineStr">
        <is>
          <t>Nao</t>
        </is>
      </c>
      <c r="W3233" s="110" t="inlineStr">
        <is>
          <t>PC em analise</t>
        </is>
      </c>
      <c r="X3233" s="110" t="inlineStr">
        <is>
          <t>Pedido de Compra</t>
        </is>
      </c>
      <c r="Y3233" s="111" t="inlineStr">
        <is>
          <t>Impacto Potencial</t>
        </is>
      </c>
      <c r="Z3233" s="111" t="inlineStr">
        <is>
          <t>PC</t>
        </is>
      </c>
      <c r="AA3233" s="111" t="inlineStr">
        <is>
          <t>Nao</t>
        </is>
      </c>
      <c r="AB3233" s="111" t="inlineStr">
        <is>
          <t>NAO_COMPUTADO</t>
        </is>
      </c>
      <c r="AC3233" s="112" t="inlineStr">
        <is>
          <t>Estrutura Fase 1: sem impacto no VTA oficial</t>
        </is>
      </c>
    </row>
    <row r="3234" ht="25.5" customHeight="1" s="289">
      <c r="A3234" s="205" t="n"/>
      <c r="B3234" s="207" t="n"/>
      <c r="C3234" s="104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348" t="n"/>
      <c r="E3234" s="349">
        <f>IF(C3234="","",IFERROR(VLOOKUP(C3234,parametros!$A$11:$E$15,5,0),""))</f>
        <v/>
      </c>
      <c r="F3234" s="335">
        <f>IF(OR(D3234="",E3234=""),"",ROUND(D3234*E3234,2))</f>
        <v/>
      </c>
      <c r="G3234" s="106" t="n"/>
      <c r="H3234" s="350">
        <f>IF(G3234="Sim",IF(OR(F3234="",D3234="",L3234=""),"",IF(L3234="Sim",ROUND(F3234-D3234,2),0)),0)</f>
        <v/>
      </c>
      <c r="I3234" s="350">
        <f>IF(G3234="Sim",0,IF(OR(F3234="",L3234=""),"",F3234))</f>
        <v/>
      </c>
      <c r="J3234" s="350">
        <f>IF(G3234="Sim",0,IF(OR(F3234="",D3234="",L3234=""),"",IF(L3234="Sim",ROUND(F3234-D3234,2),0)))</f>
        <v/>
      </c>
      <c r="K3234" s="97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inlineStr">
        <is>
          <t>Nao</t>
        </is>
      </c>
      <c r="W3234" s="110" t="inlineStr">
        <is>
          <t>PC em analise</t>
        </is>
      </c>
      <c r="X3234" s="110" t="inlineStr">
        <is>
          <t>Pedido de Compra</t>
        </is>
      </c>
      <c r="Y3234" s="111" t="inlineStr">
        <is>
          <t>Impacto Potencial</t>
        </is>
      </c>
      <c r="Z3234" s="111" t="inlineStr">
        <is>
          <t>PC</t>
        </is>
      </c>
      <c r="AA3234" s="111" t="inlineStr">
        <is>
          <t>Nao</t>
        </is>
      </c>
      <c r="AB3234" s="111" t="inlineStr">
        <is>
          <t>NAO_COMPUTADO</t>
        </is>
      </c>
      <c r="AC3234" s="112" t="inlineStr">
        <is>
          <t>Estrutura Fase 1: sem impacto no VTA oficial</t>
        </is>
      </c>
    </row>
    <row r="3235" ht="25.5" customHeight="1" s="289">
      <c r="A3235" s="205" t="n"/>
      <c r="B3235" s="207" t="n"/>
      <c r="C3235" s="104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348" t="n"/>
      <c r="E3235" s="349">
        <f>IF(C3235="","",IFERROR(VLOOKUP(C3235,parametros!$A$11:$E$15,5,0),""))</f>
        <v/>
      </c>
      <c r="F3235" s="335">
        <f>IF(OR(D3235="",E3235=""),"",ROUND(D3235*E3235,2))</f>
        <v/>
      </c>
      <c r="G3235" s="106" t="n"/>
      <c r="H3235" s="350">
        <f>IF(G3235="Sim",IF(OR(F3235="",D3235="",L3235=""),"",IF(L3235="Sim",ROUND(F3235-D3235,2),0)),0)</f>
        <v/>
      </c>
      <c r="I3235" s="350">
        <f>IF(G3235="Sim",0,IF(OR(F3235="",L3235=""),"",F3235))</f>
        <v/>
      </c>
      <c r="J3235" s="350">
        <f>IF(G3235="Sim",0,IF(OR(F3235="",D3235="",L3235=""),"",IF(L3235="Sim",ROUND(F3235-D3235,2),0)))</f>
        <v/>
      </c>
      <c r="K3235" s="97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inlineStr">
        <is>
          <t>Nao</t>
        </is>
      </c>
      <c r="W3235" s="110" t="inlineStr">
        <is>
          <t>PC em analise</t>
        </is>
      </c>
      <c r="X3235" s="110" t="inlineStr">
        <is>
          <t>Pedido de Compra</t>
        </is>
      </c>
      <c r="Y3235" s="111" t="inlineStr">
        <is>
          <t>Impacto Potencial</t>
        </is>
      </c>
      <c r="Z3235" s="111" t="inlineStr">
        <is>
          <t>PC</t>
        </is>
      </c>
      <c r="AA3235" s="111" t="inlineStr">
        <is>
          <t>Nao</t>
        </is>
      </c>
      <c r="AB3235" s="111" t="inlineStr">
        <is>
          <t>NAO_COMPUTADO</t>
        </is>
      </c>
      <c r="AC3235" s="112" t="inlineStr">
        <is>
          <t>Estrutura Fase 1: sem impacto no VTA oficial</t>
        </is>
      </c>
    </row>
    <row r="3236" ht="25.5" customHeight="1" s="289">
      <c r="A3236" s="205" t="n"/>
      <c r="B3236" s="207" t="n"/>
      <c r="C3236" s="104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348" t="n"/>
      <c r="E3236" s="349">
        <f>IF(C3236="","",IFERROR(VLOOKUP(C3236,parametros!$A$11:$E$15,5,0),""))</f>
        <v/>
      </c>
      <c r="F3236" s="335">
        <f>IF(OR(D3236="",E3236=""),"",ROUND(D3236*E3236,2))</f>
        <v/>
      </c>
      <c r="G3236" s="106" t="n"/>
      <c r="H3236" s="350">
        <f>IF(G3236="Sim",IF(OR(F3236="",D3236="",L3236=""),"",IF(L3236="Sim",ROUND(F3236-D3236,2),0)),0)</f>
        <v/>
      </c>
      <c r="I3236" s="350">
        <f>IF(G3236="Sim",0,IF(OR(F3236="",L3236=""),"",F3236))</f>
        <v/>
      </c>
      <c r="J3236" s="350">
        <f>IF(G3236="Sim",0,IF(OR(F3236="",D3236="",L3236=""),"",IF(L3236="Sim",ROUND(F3236-D3236,2),0)))</f>
        <v/>
      </c>
      <c r="K3236" s="97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inlineStr">
        <is>
          <t>Nao</t>
        </is>
      </c>
      <c r="W3236" s="110" t="inlineStr">
        <is>
          <t>PC em analise</t>
        </is>
      </c>
      <c r="X3236" s="110" t="inlineStr">
        <is>
          <t>Pedido de Compra</t>
        </is>
      </c>
      <c r="Y3236" s="111" t="inlineStr">
        <is>
          <t>Impacto Potencial</t>
        </is>
      </c>
      <c r="Z3236" s="111" t="inlineStr">
        <is>
          <t>PC</t>
        </is>
      </c>
      <c r="AA3236" s="111" t="inlineStr">
        <is>
          <t>Nao</t>
        </is>
      </c>
      <c r="AB3236" s="111" t="inlineStr">
        <is>
          <t>NAO_COMPUTADO</t>
        </is>
      </c>
      <c r="AC3236" s="112" t="inlineStr">
        <is>
          <t>Estrutura Fase 1: sem impacto no VTA oficial</t>
        </is>
      </c>
    </row>
    <row r="3237" ht="25.5" customHeight="1" s="289">
      <c r="A3237" s="205" t="n"/>
      <c r="B3237" s="207" t="n"/>
      <c r="C3237" s="104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348" t="n"/>
      <c r="E3237" s="349">
        <f>IF(C3237="","",IFERROR(VLOOKUP(C3237,parametros!$A$11:$E$15,5,0),""))</f>
        <v/>
      </c>
      <c r="F3237" s="335">
        <f>IF(OR(D3237="",E3237=""),"",ROUND(D3237*E3237,2))</f>
        <v/>
      </c>
      <c r="G3237" s="106" t="n"/>
      <c r="H3237" s="350">
        <f>IF(G3237="Sim",IF(OR(F3237="",D3237="",L3237=""),"",IF(L3237="Sim",ROUND(F3237-D3237,2),0)),0)</f>
        <v/>
      </c>
      <c r="I3237" s="350">
        <f>IF(G3237="Sim",0,IF(OR(F3237="",L3237=""),"",F3237))</f>
        <v/>
      </c>
      <c r="J3237" s="350">
        <f>IF(G3237="Sim",0,IF(OR(F3237="",D3237="",L3237=""),"",IF(L3237="Sim",ROUND(F3237-D3237,2),0)))</f>
        <v/>
      </c>
      <c r="K3237" s="97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inlineStr">
        <is>
          <t>Nao</t>
        </is>
      </c>
      <c r="W3237" s="110" t="inlineStr">
        <is>
          <t>PC em analise</t>
        </is>
      </c>
      <c r="X3237" s="110" t="inlineStr">
        <is>
          <t>Pedido de Compra</t>
        </is>
      </c>
      <c r="Y3237" s="111" t="inlineStr">
        <is>
          <t>Impacto Potencial</t>
        </is>
      </c>
      <c r="Z3237" s="111" t="inlineStr">
        <is>
          <t>PC</t>
        </is>
      </c>
      <c r="AA3237" s="111" t="inlineStr">
        <is>
          <t>Nao</t>
        </is>
      </c>
      <c r="AB3237" s="111" t="inlineStr">
        <is>
          <t>NAO_COMPUTADO</t>
        </is>
      </c>
      <c r="AC3237" s="112" t="inlineStr">
        <is>
          <t>Estrutura Fase 1: sem impacto no VTA oficial</t>
        </is>
      </c>
    </row>
    <row r="3238" ht="25.5" customHeight="1" s="289">
      <c r="A3238" s="205" t="n"/>
      <c r="B3238" s="207" t="n"/>
      <c r="C3238" s="104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348" t="n"/>
      <c r="E3238" s="349">
        <f>IF(C3238="","",IFERROR(VLOOKUP(C3238,parametros!$A$11:$E$15,5,0),""))</f>
        <v/>
      </c>
      <c r="F3238" s="335">
        <f>IF(OR(D3238="",E3238=""),"",ROUND(D3238*E3238,2))</f>
        <v/>
      </c>
      <c r="G3238" s="106" t="n"/>
      <c r="H3238" s="350">
        <f>IF(G3238="Sim",IF(OR(F3238="",D3238="",L3238=""),"",IF(L3238="Sim",ROUND(F3238-D3238,2),0)),0)</f>
        <v/>
      </c>
      <c r="I3238" s="350">
        <f>IF(G3238="Sim",0,IF(OR(F3238="",L3238=""),"",F3238))</f>
        <v/>
      </c>
      <c r="J3238" s="350">
        <f>IF(G3238="Sim",0,IF(OR(F3238="",D3238="",L3238=""),"",IF(L3238="Sim",ROUND(F3238-D3238,2),0)))</f>
        <v/>
      </c>
      <c r="K3238" s="97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inlineStr">
        <is>
          <t>Nao</t>
        </is>
      </c>
      <c r="W3238" s="110" t="inlineStr">
        <is>
          <t>PC em analise</t>
        </is>
      </c>
      <c r="X3238" s="110" t="inlineStr">
        <is>
          <t>Pedido de Compra</t>
        </is>
      </c>
      <c r="Y3238" s="111" t="inlineStr">
        <is>
          <t>Impacto Potencial</t>
        </is>
      </c>
      <c r="Z3238" s="111" t="inlineStr">
        <is>
          <t>PC</t>
        </is>
      </c>
      <c r="AA3238" s="111" t="inlineStr">
        <is>
          <t>Nao</t>
        </is>
      </c>
      <c r="AB3238" s="111" t="inlineStr">
        <is>
          <t>NAO_COMPUTADO</t>
        </is>
      </c>
      <c r="AC3238" s="112" t="inlineStr">
        <is>
          <t>Estrutura Fase 1: sem impacto no VTA oficial</t>
        </is>
      </c>
    </row>
    <row r="3239" ht="25.5" customHeight="1" s="289">
      <c r="A3239" s="205" t="n"/>
      <c r="B3239" s="207" t="n"/>
      <c r="C3239" s="104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348" t="n"/>
      <c r="E3239" s="349">
        <f>IF(C3239="","",IFERROR(VLOOKUP(C3239,parametros!$A$11:$E$15,5,0),""))</f>
        <v/>
      </c>
      <c r="F3239" s="335">
        <f>IF(OR(D3239="",E3239=""),"",ROUND(D3239*E3239,2))</f>
        <v/>
      </c>
      <c r="G3239" s="106" t="n"/>
      <c r="H3239" s="350">
        <f>IF(G3239="Sim",IF(OR(F3239="",D3239="",L3239=""),"",IF(L3239="Sim",ROUND(F3239-D3239,2),0)),0)</f>
        <v/>
      </c>
      <c r="I3239" s="350">
        <f>IF(G3239="Sim",0,IF(OR(F3239="",L3239=""),"",F3239))</f>
        <v/>
      </c>
      <c r="J3239" s="350">
        <f>IF(G3239="Sim",0,IF(OR(F3239="",D3239="",L3239=""),"",IF(L3239="Sim",ROUND(F3239-D3239,2),0)))</f>
        <v/>
      </c>
      <c r="K3239" s="97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inlineStr">
        <is>
          <t>Nao</t>
        </is>
      </c>
      <c r="W3239" s="110" t="inlineStr">
        <is>
          <t>PC em analise</t>
        </is>
      </c>
      <c r="X3239" s="110" t="inlineStr">
        <is>
          <t>Pedido de Compra</t>
        </is>
      </c>
      <c r="Y3239" s="111" t="inlineStr">
        <is>
          <t>Impacto Potencial</t>
        </is>
      </c>
      <c r="Z3239" s="111" t="inlineStr">
        <is>
          <t>PC</t>
        </is>
      </c>
      <c r="AA3239" s="111" t="inlineStr">
        <is>
          <t>Nao</t>
        </is>
      </c>
      <c r="AB3239" s="111" t="inlineStr">
        <is>
          <t>NAO_COMPUTADO</t>
        </is>
      </c>
      <c r="AC3239" s="112" t="inlineStr">
        <is>
          <t>Estrutura Fase 1: sem impacto no VTA oficial</t>
        </is>
      </c>
    </row>
    <row r="3240" ht="25.5" customHeight="1" s="289">
      <c r="A3240" s="205" t="n"/>
      <c r="B3240" s="207" t="n"/>
      <c r="C3240" s="104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348" t="n"/>
      <c r="E3240" s="349">
        <f>IF(C3240="","",IFERROR(VLOOKUP(C3240,parametros!$A$11:$E$15,5,0),""))</f>
        <v/>
      </c>
      <c r="F3240" s="335">
        <f>IF(OR(D3240="",E3240=""),"",ROUND(D3240*E3240,2))</f>
        <v/>
      </c>
      <c r="G3240" s="106" t="n"/>
      <c r="H3240" s="350">
        <f>IF(G3240="Sim",IF(OR(F3240="",D3240="",L3240=""),"",IF(L3240="Sim",ROUND(F3240-D3240,2),0)),0)</f>
        <v/>
      </c>
      <c r="I3240" s="350">
        <f>IF(G3240="Sim",0,IF(OR(F3240="",L3240=""),"",F3240))</f>
        <v/>
      </c>
      <c r="J3240" s="350">
        <f>IF(G3240="Sim",0,IF(OR(F3240="",D3240="",L3240=""),"",IF(L3240="Sim",ROUND(F3240-D3240,2),0)))</f>
        <v/>
      </c>
      <c r="K3240" s="97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inlineStr">
        <is>
          <t>Nao</t>
        </is>
      </c>
      <c r="W3240" s="110" t="inlineStr">
        <is>
          <t>PC em analise</t>
        </is>
      </c>
      <c r="X3240" s="110" t="inlineStr">
        <is>
          <t>Pedido de Compra</t>
        </is>
      </c>
      <c r="Y3240" s="111" t="inlineStr">
        <is>
          <t>Impacto Potencial</t>
        </is>
      </c>
      <c r="Z3240" s="111" t="inlineStr">
        <is>
          <t>PC</t>
        </is>
      </c>
      <c r="AA3240" s="111" t="inlineStr">
        <is>
          <t>Nao</t>
        </is>
      </c>
      <c r="AB3240" s="111" t="inlineStr">
        <is>
          <t>NAO_COMPUTADO</t>
        </is>
      </c>
      <c r="AC3240" s="112" t="inlineStr">
        <is>
          <t>Estrutura Fase 1: sem impacto no VTA oficial</t>
        </is>
      </c>
    </row>
    <row r="3241" ht="25.5" customHeight="1" s="289">
      <c r="A3241" s="205" t="n"/>
      <c r="B3241" s="207" t="n"/>
      <c r="C3241" s="104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348" t="n"/>
      <c r="E3241" s="349">
        <f>IF(C3241="","",IFERROR(VLOOKUP(C3241,parametros!$A$11:$E$15,5,0),""))</f>
        <v/>
      </c>
      <c r="F3241" s="335">
        <f>IF(OR(D3241="",E3241=""),"",ROUND(D3241*E3241,2))</f>
        <v/>
      </c>
      <c r="G3241" s="106" t="n"/>
      <c r="H3241" s="350">
        <f>IF(G3241="Sim",IF(OR(F3241="",D3241="",L3241=""),"",IF(L3241="Sim",ROUND(F3241-D3241,2),0)),0)</f>
        <v/>
      </c>
      <c r="I3241" s="350">
        <f>IF(G3241="Sim",0,IF(OR(F3241="",L3241=""),"",F3241))</f>
        <v/>
      </c>
      <c r="J3241" s="350">
        <f>IF(G3241="Sim",0,IF(OR(F3241="",D3241="",L3241=""),"",IF(L3241="Sim",ROUND(F3241-D3241,2),0)))</f>
        <v/>
      </c>
      <c r="K3241" s="97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inlineStr">
        <is>
          <t>Nao</t>
        </is>
      </c>
      <c r="W3241" s="110" t="inlineStr">
        <is>
          <t>PC em analise</t>
        </is>
      </c>
      <c r="X3241" s="110" t="inlineStr">
        <is>
          <t>Pedido de Compra</t>
        </is>
      </c>
      <c r="Y3241" s="111" t="inlineStr">
        <is>
          <t>Impacto Potencial</t>
        </is>
      </c>
      <c r="Z3241" s="111" t="inlineStr">
        <is>
          <t>PC</t>
        </is>
      </c>
      <c r="AA3241" s="111" t="inlineStr">
        <is>
          <t>Nao</t>
        </is>
      </c>
      <c r="AB3241" s="111" t="inlineStr">
        <is>
          <t>NAO_COMPUTADO</t>
        </is>
      </c>
      <c r="AC3241" s="112" t="inlineStr">
        <is>
          <t>Estrutura Fase 1: sem impacto no VTA oficial</t>
        </is>
      </c>
    </row>
    <row r="3242" ht="25.5" customHeight="1" s="289">
      <c r="A3242" s="205" t="n"/>
      <c r="B3242" s="207" t="n"/>
      <c r="C3242" s="104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348" t="n"/>
      <c r="E3242" s="349">
        <f>IF(C3242="","",IFERROR(VLOOKUP(C3242,parametros!$A$11:$E$15,5,0),""))</f>
        <v/>
      </c>
      <c r="F3242" s="335">
        <f>IF(OR(D3242="",E3242=""),"",ROUND(D3242*E3242,2))</f>
        <v/>
      </c>
      <c r="G3242" s="106" t="n"/>
      <c r="H3242" s="350">
        <f>IF(G3242="Sim",IF(OR(F3242="",D3242="",L3242=""),"",IF(L3242="Sim",ROUND(F3242-D3242,2),0)),0)</f>
        <v/>
      </c>
      <c r="I3242" s="350">
        <f>IF(G3242="Sim",0,IF(OR(F3242="",L3242=""),"",F3242))</f>
        <v/>
      </c>
      <c r="J3242" s="350">
        <f>IF(G3242="Sim",0,IF(OR(F3242="",D3242="",L3242=""),"",IF(L3242="Sim",ROUND(F3242-D3242,2),0)))</f>
        <v/>
      </c>
      <c r="K3242" s="97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inlineStr">
        <is>
          <t>Nao</t>
        </is>
      </c>
      <c r="W3242" s="110" t="inlineStr">
        <is>
          <t>PC em analise</t>
        </is>
      </c>
      <c r="X3242" s="110" t="inlineStr">
        <is>
          <t>Pedido de Compra</t>
        </is>
      </c>
      <c r="Y3242" s="111" t="inlineStr">
        <is>
          <t>Impacto Potencial</t>
        </is>
      </c>
      <c r="Z3242" s="111" t="inlineStr">
        <is>
          <t>PC</t>
        </is>
      </c>
      <c r="AA3242" s="111" t="inlineStr">
        <is>
          <t>Nao</t>
        </is>
      </c>
      <c r="AB3242" s="111" t="inlineStr">
        <is>
          <t>NAO_COMPUTADO</t>
        </is>
      </c>
      <c r="AC3242" s="112" t="inlineStr">
        <is>
          <t>Estrutura Fase 1: sem impacto no VTA oficial</t>
        </is>
      </c>
    </row>
    <row r="3243" ht="25.5" customHeight="1" s="289">
      <c r="A3243" s="205" t="n"/>
      <c r="B3243" s="207" t="n"/>
      <c r="C3243" s="104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348" t="n"/>
      <c r="E3243" s="349">
        <f>IF(C3243="","",IFERROR(VLOOKUP(C3243,parametros!$A$11:$E$15,5,0),""))</f>
        <v/>
      </c>
      <c r="F3243" s="335">
        <f>IF(OR(D3243="",E3243=""),"",ROUND(D3243*E3243,2))</f>
        <v/>
      </c>
      <c r="G3243" s="106" t="n"/>
      <c r="H3243" s="350">
        <f>IF(G3243="Sim",IF(OR(F3243="",D3243="",L3243=""),"",IF(L3243="Sim",ROUND(F3243-D3243,2),0)),0)</f>
        <v/>
      </c>
      <c r="I3243" s="350">
        <f>IF(G3243="Sim",0,IF(OR(F3243="",L3243=""),"",F3243))</f>
        <v/>
      </c>
      <c r="J3243" s="350">
        <f>IF(G3243="Sim",0,IF(OR(F3243="",D3243="",L3243=""),"",IF(L3243="Sim",ROUND(F3243-D3243,2),0)))</f>
        <v/>
      </c>
      <c r="K3243" s="97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inlineStr">
        <is>
          <t>Nao</t>
        </is>
      </c>
      <c r="W3243" s="110" t="inlineStr">
        <is>
          <t>PC em analise</t>
        </is>
      </c>
      <c r="X3243" s="110" t="inlineStr">
        <is>
          <t>Pedido de Compra</t>
        </is>
      </c>
      <c r="Y3243" s="111" t="inlineStr">
        <is>
          <t>Impacto Potencial</t>
        </is>
      </c>
      <c r="Z3243" s="111" t="inlineStr">
        <is>
          <t>PC</t>
        </is>
      </c>
      <c r="AA3243" s="111" t="inlineStr">
        <is>
          <t>Nao</t>
        </is>
      </c>
      <c r="AB3243" s="111" t="inlineStr">
        <is>
          <t>NAO_COMPUTADO</t>
        </is>
      </c>
      <c r="AC3243" s="112" t="inlineStr">
        <is>
          <t>Estrutura Fase 1: sem impacto no VTA oficial</t>
        </is>
      </c>
    </row>
    <row r="3244" ht="25.5" customHeight="1" s="289">
      <c r="A3244" s="205" t="n"/>
      <c r="B3244" s="207" t="n"/>
      <c r="C3244" s="104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348" t="n"/>
      <c r="E3244" s="349">
        <f>IF(C3244="","",IFERROR(VLOOKUP(C3244,parametros!$A$11:$E$15,5,0),""))</f>
        <v/>
      </c>
      <c r="F3244" s="335">
        <f>IF(OR(D3244="",E3244=""),"",ROUND(D3244*E3244,2))</f>
        <v/>
      </c>
      <c r="G3244" s="106" t="n"/>
      <c r="H3244" s="350">
        <f>IF(G3244="Sim",IF(OR(F3244="",D3244="",L3244=""),"",IF(L3244="Sim",ROUND(F3244-D3244,2),0)),0)</f>
        <v/>
      </c>
      <c r="I3244" s="350">
        <f>IF(G3244="Sim",0,IF(OR(F3244="",L3244=""),"",F3244))</f>
        <v/>
      </c>
      <c r="J3244" s="350">
        <f>IF(G3244="Sim",0,IF(OR(F3244="",D3244="",L3244=""),"",IF(L3244="Sim",ROUND(F3244-D3244,2),0)))</f>
        <v/>
      </c>
      <c r="K3244" s="97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inlineStr">
        <is>
          <t>Nao</t>
        </is>
      </c>
      <c r="W3244" s="110" t="inlineStr">
        <is>
          <t>PC em analise</t>
        </is>
      </c>
      <c r="X3244" s="110" t="inlineStr">
        <is>
          <t>Pedido de Compra</t>
        </is>
      </c>
      <c r="Y3244" s="111" t="inlineStr">
        <is>
          <t>Impacto Potencial</t>
        </is>
      </c>
      <c r="Z3244" s="111" t="inlineStr">
        <is>
          <t>PC</t>
        </is>
      </c>
      <c r="AA3244" s="111" t="inlineStr">
        <is>
          <t>Nao</t>
        </is>
      </c>
      <c r="AB3244" s="111" t="inlineStr">
        <is>
          <t>NAO_COMPUTADO</t>
        </is>
      </c>
      <c r="AC3244" s="112" t="inlineStr">
        <is>
          <t>Estrutura Fase 1: sem impacto no VTA oficial</t>
        </is>
      </c>
    </row>
    <row r="3245" ht="25.5" customHeight="1" s="289">
      <c r="A3245" s="205" t="n"/>
      <c r="B3245" s="207" t="n"/>
      <c r="C3245" s="104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348" t="n"/>
      <c r="E3245" s="349">
        <f>IF(C3245="","",IFERROR(VLOOKUP(C3245,parametros!$A$11:$E$15,5,0),""))</f>
        <v/>
      </c>
      <c r="F3245" s="335">
        <f>IF(OR(D3245="",E3245=""),"",ROUND(D3245*E3245,2))</f>
        <v/>
      </c>
      <c r="G3245" s="106" t="n"/>
      <c r="H3245" s="350">
        <f>IF(G3245="Sim",IF(OR(F3245="",D3245="",L3245=""),"",IF(L3245="Sim",ROUND(F3245-D3245,2),0)),0)</f>
        <v/>
      </c>
      <c r="I3245" s="350">
        <f>IF(G3245="Sim",0,IF(OR(F3245="",L3245=""),"",F3245))</f>
        <v/>
      </c>
      <c r="J3245" s="350">
        <f>IF(G3245="Sim",0,IF(OR(F3245="",D3245="",L3245=""),"",IF(L3245="Sim",ROUND(F3245-D3245,2),0)))</f>
        <v/>
      </c>
      <c r="K3245" s="97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inlineStr">
        <is>
          <t>Nao</t>
        </is>
      </c>
      <c r="W3245" s="110" t="inlineStr">
        <is>
          <t>PC em analise</t>
        </is>
      </c>
      <c r="X3245" s="110" t="inlineStr">
        <is>
          <t>Pedido de Compra</t>
        </is>
      </c>
      <c r="Y3245" s="111" t="inlineStr">
        <is>
          <t>Impacto Potencial</t>
        </is>
      </c>
      <c r="Z3245" s="111" t="inlineStr">
        <is>
          <t>PC</t>
        </is>
      </c>
      <c r="AA3245" s="111" t="inlineStr">
        <is>
          <t>Nao</t>
        </is>
      </c>
      <c r="AB3245" s="111" t="inlineStr">
        <is>
          <t>NAO_COMPUTADO</t>
        </is>
      </c>
      <c r="AC3245" s="112" t="inlineStr">
        <is>
          <t>Estrutura Fase 1: sem impacto no VTA oficial</t>
        </is>
      </c>
    </row>
    <row r="3246" ht="25.5" customHeight="1" s="289">
      <c r="A3246" s="205" t="n"/>
      <c r="B3246" s="207" t="n"/>
      <c r="C3246" s="104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348" t="n"/>
      <c r="E3246" s="349">
        <f>IF(C3246="","",IFERROR(VLOOKUP(C3246,parametros!$A$11:$E$15,5,0),""))</f>
        <v/>
      </c>
      <c r="F3246" s="335">
        <f>IF(OR(D3246="",E3246=""),"",ROUND(D3246*E3246,2))</f>
        <v/>
      </c>
      <c r="G3246" s="106" t="n"/>
      <c r="H3246" s="350">
        <f>IF(G3246="Sim",IF(OR(F3246="",D3246="",L3246=""),"",IF(L3246="Sim",ROUND(F3246-D3246,2),0)),0)</f>
        <v/>
      </c>
      <c r="I3246" s="350">
        <f>IF(G3246="Sim",0,IF(OR(F3246="",L3246=""),"",F3246))</f>
        <v/>
      </c>
      <c r="J3246" s="350">
        <f>IF(G3246="Sim",0,IF(OR(F3246="",D3246="",L3246=""),"",IF(L3246="Sim",ROUND(F3246-D3246,2),0)))</f>
        <v/>
      </c>
      <c r="K3246" s="97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inlineStr">
        <is>
          <t>Nao</t>
        </is>
      </c>
      <c r="W3246" s="110" t="inlineStr">
        <is>
          <t>PC em analise</t>
        </is>
      </c>
      <c r="X3246" s="110" t="inlineStr">
        <is>
          <t>Pedido de Compra</t>
        </is>
      </c>
      <c r="Y3246" s="111" t="inlineStr">
        <is>
          <t>Impacto Potencial</t>
        </is>
      </c>
      <c r="Z3246" s="111" t="inlineStr">
        <is>
          <t>PC</t>
        </is>
      </c>
      <c r="AA3246" s="111" t="inlineStr">
        <is>
          <t>Nao</t>
        </is>
      </c>
      <c r="AB3246" s="111" t="inlineStr">
        <is>
          <t>NAO_COMPUTADO</t>
        </is>
      </c>
      <c r="AC3246" s="112" t="inlineStr">
        <is>
          <t>Estrutura Fase 1: sem impacto no VTA oficial</t>
        </is>
      </c>
    </row>
    <row r="3247" ht="25.5" customHeight="1" s="289">
      <c r="A3247" s="205" t="n"/>
      <c r="B3247" s="207" t="n"/>
      <c r="C3247" s="104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348" t="n"/>
      <c r="E3247" s="349">
        <f>IF(C3247="","",IFERROR(VLOOKUP(C3247,parametros!$A$11:$E$15,5,0),""))</f>
        <v/>
      </c>
      <c r="F3247" s="335">
        <f>IF(OR(D3247="",E3247=""),"",ROUND(D3247*E3247,2))</f>
        <v/>
      </c>
      <c r="G3247" s="106" t="n"/>
      <c r="H3247" s="350">
        <f>IF(G3247="Sim",IF(OR(F3247="",D3247="",L3247=""),"",IF(L3247="Sim",ROUND(F3247-D3247,2),0)),0)</f>
        <v/>
      </c>
      <c r="I3247" s="350">
        <f>IF(G3247="Sim",0,IF(OR(F3247="",L3247=""),"",F3247))</f>
        <v/>
      </c>
      <c r="J3247" s="350">
        <f>IF(G3247="Sim",0,IF(OR(F3247="",D3247="",L3247=""),"",IF(L3247="Sim",ROUND(F3247-D3247,2),0)))</f>
        <v/>
      </c>
      <c r="K3247" s="97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inlineStr">
        <is>
          <t>Nao</t>
        </is>
      </c>
      <c r="W3247" s="110" t="inlineStr">
        <is>
          <t>PC em analise</t>
        </is>
      </c>
      <c r="X3247" s="110" t="inlineStr">
        <is>
          <t>Pedido de Compra</t>
        </is>
      </c>
      <c r="Y3247" s="111" t="inlineStr">
        <is>
          <t>Impacto Potencial</t>
        </is>
      </c>
      <c r="Z3247" s="111" t="inlineStr">
        <is>
          <t>PC</t>
        </is>
      </c>
      <c r="AA3247" s="111" t="inlineStr">
        <is>
          <t>Nao</t>
        </is>
      </c>
      <c r="AB3247" s="111" t="inlineStr">
        <is>
          <t>NAO_COMPUTADO</t>
        </is>
      </c>
      <c r="AC3247" s="112" t="inlineStr">
        <is>
          <t>Estrutura Fase 1: sem impacto no VTA oficial</t>
        </is>
      </c>
    </row>
    <row r="3248" ht="25.5" customHeight="1" s="289">
      <c r="A3248" s="205" t="n"/>
      <c r="B3248" s="207" t="n"/>
      <c r="C3248" s="104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348" t="n"/>
      <c r="E3248" s="349">
        <f>IF(C3248="","",IFERROR(VLOOKUP(C3248,parametros!$A$11:$E$15,5,0),""))</f>
        <v/>
      </c>
      <c r="F3248" s="335">
        <f>IF(OR(D3248="",E3248=""),"",ROUND(D3248*E3248,2))</f>
        <v/>
      </c>
      <c r="G3248" s="106" t="n"/>
      <c r="H3248" s="350">
        <f>IF(G3248="Sim",IF(OR(F3248="",D3248="",L3248=""),"",IF(L3248="Sim",ROUND(F3248-D3248,2),0)),0)</f>
        <v/>
      </c>
      <c r="I3248" s="350">
        <f>IF(G3248="Sim",0,IF(OR(F3248="",L3248=""),"",F3248))</f>
        <v/>
      </c>
      <c r="J3248" s="350">
        <f>IF(G3248="Sim",0,IF(OR(F3248="",D3248="",L3248=""),"",IF(L3248="Sim",ROUND(F3248-D3248,2),0)))</f>
        <v/>
      </c>
      <c r="K3248" s="97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inlineStr">
        <is>
          <t>Nao</t>
        </is>
      </c>
      <c r="W3248" s="110" t="inlineStr">
        <is>
          <t>PC em analise</t>
        </is>
      </c>
      <c r="X3248" s="110" t="inlineStr">
        <is>
          <t>Pedido de Compra</t>
        </is>
      </c>
      <c r="Y3248" s="111" t="inlineStr">
        <is>
          <t>Impacto Potencial</t>
        </is>
      </c>
      <c r="Z3248" s="111" t="inlineStr">
        <is>
          <t>PC</t>
        </is>
      </c>
      <c r="AA3248" s="111" t="inlineStr">
        <is>
          <t>Nao</t>
        </is>
      </c>
      <c r="AB3248" s="111" t="inlineStr">
        <is>
          <t>NAO_COMPUTADO</t>
        </is>
      </c>
      <c r="AC3248" s="112" t="inlineStr">
        <is>
          <t>Estrutura Fase 1: sem impacto no VTA oficial</t>
        </is>
      </c>
    </row>
    <row r="3249" ht="25.5" customHeight="1" s="289">
      <c r="A3249" s="205" t="n"/>
      <c r="B3249" s="207" t="n"/>
      <c r="C3249" s="104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348" t="n"/>
      <c r="E3249" s="349">
        <f>IF(C3249="","",IFERROR(VLOOKUP(C3249,parametros!$A$11:$E$15,5,0),""))</f>
        <v/>
      </c>
      <c r="F3249" s="335">
        <f>IF(OR(D3249="",E3249=""),"",ROUND(D3249*E3249,2))</f>
        <v/>
      </c>
      <c r="G3249" s="106" t="n"/>
      <c r="H3249" s="350">
        <f>IF(G3249="Sim",IF(OR(F3249="",D3249="",L3249=""),"",IF(L3249="Sim",ROUND(F3249-D3249,2),0)),0)</f>
        <v/>
      </c>
      <c r="I3249" s="350">
        <f>IF(G3249="Sim",0,IF(OR(F3249="",L3249=""),"",F3249))</f>
        <v/>
      </c>
      <c r="J3249" s="350">
        <f>IF(G3249="Sim",0,IF(OR(F3249="",D3249="",L3249=""),"",IF(L3249="Sim",ROUND(F3249-D3249,2),0)))</f>
        <v/>
      </c>
      <c r="K3249" s="97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inlineStr">
        <is>
          <t>Nao</t>
        </is>
      </c>
      <c r="W3249" s="110" t="inlineStr">
        <is>
          <t>PC em analise</t>
        </is>
      </c>
      <c r="X3249" s="110" t="inlineStr">
        <is>
          <t>Pedido de Compra</t>
        </is>
      </c>
      <c r="Y3249" s="111" t="inlineStr">
        <is>
          <t>Impacto Potencial</t>
        </is>
      </c>
      <c r="Z3249" s="111" t="inlineStr">
        <is>
          <t>PC</t>
        </is>
      </c>
      <c r="AA3249" s="111" t="inlineStr">
        <is>
          <t>Nao</t>
        </is>
      </c>
      <c r="AB3249" s="111" t="inlineStr">
        <is>
          <t>NAO_COMPUTADO</t>
        </is>
      </c>
      <c r="AC3249" s="112" t="inlineStr">
        <is>
          <t>Estrutura Fase 1: sem impacto no VTA oficial</t>
        </is>
      </c>
    </row>
    <row r="3250" ht="25.5" customHeight="1" s="289">
      <c r="A3250" s="205" t="n"/>
      <c r="B3250" s="207" t="n"/>
      <c r="C3250" s="104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348" t="n"/>
      <c r="E3250" s="349">
        <f>IF(C3250="","",IFERROR(VLOOKUP(C3250,parametros!$A$11:$E$15,5,0),""))</f>
        <v/>
      </c>
      <c r="F3250" s="335">
        <f>IF(OR(D3250="",E3250=""),"",ROUND(D3250*E3250,2))</f>
        <v/>
      </c>
      <c r="G3250" s="106" t="n"/>
      <c r="H3250" s="350">
        <f>IF(G3250="Sim",IF(OR(F3250="",D3250="",L3250=""),"",IF(L3250="Sim",ROUND(F3250-D3250,2),0)),0)</f>
        <v/>
      </c>
      <c r="I3250" s="350">
        <f>IF(G3250="Sim",0,IF(OR(F3250="",L3250=""),"",F3250))</f>
        <v/>
      </c>
      <c r="J3250" s="350">
        <f>IF(G3250="Sim",0,IF(OR(F3250="",D3250="",L3250=""),"",IF(L3250="Sim",ROUND(F3250-D3250,2),0)))</f>
        <v/>
      </c>
      <c r="K3250" s="97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inlineStr">
        <is>
          <t>Nao</t>
        </is>
      </c>
      <c r="W3250" s="110" t="inlineStr">
        <is>
          <t>PC em analise</t>
        </is>
      </c>
      <c r="X3250" s="110" t="inlineStr">
        <is>
          <t>Pedido de Compra</t>
        </is>
      </c>
      <c r="Y3250" s="111" t="inlineStr">
        <is>
          <t>Impacto Potencial</t>
        </is>
      </c>
      <c r="Z3250" s="111" t="inlineStr">
        <is>
          <t>PC</t>
        </is>
      </c>
      <c r="AA3250" s="111" t="inlineStr">
        <is>
          <t>Nao</t>
        </is>
      </c>
      <c r="AB3250" s="111" t="inlineStr">
        <is>
          <t>NAO_COMPUTADO</t>
        </is>
      </c>
      <c r="AC3250" s="112" t="inlineStr">
        <is>
          <t>Estrutura Fase 1: sem impacto no VTA oficial</t>
        </is>
      </c>
    </row>
    <row r="3251" ht="25.5" customHeight="1" s="289">
      <c r="A3251" s="205" t="n"/>
      <c r="B3251" s="207" t="n"/>
      <c r="C3251" s="104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348" t="n"/>
      <c r="E3251" s="349">
        <f>IF(C3251="","",IFERROR(VLOOKUP(C3251,parametros!$A$11:$E$15,5,0),""))</f>
        <v/>
      </c>
      <c r="F3251" s="335">
        <f>IF(OR(D3251="",E3251=""),"",ROUND(D3251*E3251,2))</f>
        <v/>
      </c>
      <c r="G3251" s="106" t="n"/>
      <c r="H3251" s="350">
        <f>IF(G3251="Sim",IF(OR(F3251="",D3251="",L3251=""),"",IF(L3251="Sim",ROUND(F3251-D3251,2),0)),0)</f>
        <v/>
      </c>
      <c r="I3251" s="350">
        <f>IF(G3251="Sim",0,IF(OR(F3251="",L3251=""),"",F3251))</f>
        <v/>
      </c>
      <c r="J3251" s="350">
        <f>IF(G3251="Sim",0,IF(OR(F3251="",D3251="",L3251=""),"",IF(L3251="Sim",ROUND(F3251-D3251,2),0)))</f>
        <v/>
      </c>
      <c r="K3251" s="97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inlineStr">
        <is>
          <t>Nao</t>
        </is>
      </c>
      <c r="W3251" s="110" t="inlineStr">
        <is>
          <t>PC em analise</t>
        </is>
      </c>
      <c r="X3251" s="110" t="inlineStr">
        <is>
          <t>Pedido de Compra</t>
        </is>
      </c>
      <c r="Y3251" s="111" t="inlineStr">
        <is>
          <t>Impacto Potencial</t>
        </is>
      </c>
      <c r="Z3251" s="111" t="inlineStr">
        <is>
          <t>PC</t>
        </is>
      </c>
      <c r="AA3251" s="111" t="inlineStr">
        <is>
          <t>Nao</t>
        </is>
      </c>
      <c r="AB3251" s="111" t="inlineStr">
        <is>
          <t>NAO_COMPUTADO</t>
        </is>
      </c>
      <c r="AC3251" s="112" t="inlineStr">
        <is>
          <t>Estrutura Fase 1: sem impacto no VTA oficial</t>
        </is>
      </c>
    </row>
    <row r="3252" ht="25.5" customHeight="1" s="289">
      <c r="A3252" s="205" t="n"/>
      <c r="B3252" s="207" t="n"/>
      <c r="C3252" s="104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348" t="n"/>
      <c r="E3252" s="349">
        <f>IF(C3252="","",IFERROR(VLOOKUP(C3252,parametros!$A$11:$E$15,5,0),""))</f>
        <v/>
      </c>
      <c r="F3252" s="335">
        <f>IF(OR(D3252="",E3252=""),"",ROUND(D3252*E3252,2))</f>
        <v/>
      </c>
      <c r="G3252" s="106" t="n"/>
      <c r="H3252" s="350">
        <f>IF(G3252="Sim",IF(OR(F3252="",D3252="",L3252=""),"",IF(L3252="Sim",ROUND(F3252-D3252,2),0)),0)</f>
        <v/>
      </c>
      <c r="I3252" s="350">
        <f>IF(G3252="Sim",0,IF(OR(F3252="",L3252=""),"",F3252))</f>
        <v/>
      </c>
      <c r="J3252" s="350">
        <f>IF(G3252="Sim",0,IF(OR(F3252="",D3252="",L3252=""),"",IF(L3252="Sim",ROUND(F3252-D3252,2),0)))</f>
        <v/>
      </c>
      <c r="K3252" s="97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inlineStr">
        <is>
          <t>Nao</t>
        </is>
      </c>
      <c r="W3252" s="110" t="inlineStr">
        <is>
          <t>PC em analise</t>
        </is>
      </c>
      <c r="X3252" s="110" t="inlineStr">
        <is>
          <t>Pedido de Compra</t>
        </is>
      </c>
      <c r="Y3252" s="111" t="inlineStr">
        <is>
          <t>Impacto Potencial</t>
        </is>
      </c>
      <c r="Z3252" s="111" t="inlineStr">
        <is>
          <t>PC</t>
        </is>
      </c>
      <c r="AA3252" s="111" t="inlineStr">
        <is>
          <t>Nao</t>
        </is>
      </c>
      <c r="AB3252" s="111" t="inlineStr">
        <is>
          <t>NAO_COMPUTADO</t>
        </is>
      </c>
      <c r="AC3252" s="112" t="inlineStr">
        <is>
          <t>Estrutura Fase 1: sem impacto no VTA oficial</t>
        </is>
      </c>
    </row>
    <row r="3253" ht="25.5" customHeight="1" s="289">
      <c r="A3253" s="205" t="n"/>
      <c r="B3253" s="207" t="n"/>
      <c r="C3253" s="104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348" t="n"/>
      <c r="E3253" s="349">
        <f>IF(C3253="","",IFERROR(VLOOKUP(C3253,parametros!$A$11:$E$15,5,0),""))</f>
        <v/>
      </c>
      <c r="F3253" s="335">
        <f>IF(OR(D3253="",E3253=""),"",ROUND(D3253*E3253,2))</f>
        <v/>
      </c>
      <c r="G3253" s="106" t="n"/>
      <c r="H3253" s="350">
        <f>IF(G3253="Sim",IF(OR(F3253="",D3253="",L3253=""),"",IF(L3253="Sim",ROUND(F3253-D3253,2),0)),0)</f>
        <v/>
      </c>
      <c r="I3253" s="350">
        <f>IF(G3253="Sim",0,IF(OR(F3253="",L3253=""),"",F3253))</f>
        <v/>
      </c>
      <c r="J3253" s="350">
        <f>IF(G3253="Sim",0,IF(OR(F3253="",D3253="",L3253=""),"",IF(L3253="Sim",ROUND(F3253-D3253,2),0)))</f>
        <v/>
      </c>
      <c r="K3253" s="97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inlineStr">
        <is>
          <t>Nao</t>
        </is>
      </c>
      <c r="W3253" s="110" t="inlineStr">
        <is>
          <t>PC em analise</t>
        </is>
      </c>
      <c r="X3253" s="110" t="inlineStr">
        <is>
          <t>Pedido de Compra</t>
        </is>
      </c>
      <c r="Y3253" s="111" t="inlineStr">
        <is>
          <t>Impacto Potencial</t>
        </is>
      </c>
      <c r="Z3253" s="111" t="inlineStr">
        <is>
          <t>PC</t>
        </is>
      </c>
      <c r="AA3253" s="111" t="inlineStr">
        <is>
          <t>Nao</t>
        </is>
      </c>
      <c r="AB3253" s="111" t="inlineStr">
        <is>
          <t>NAO_COMPUTADO</t>
        </is>
      </c>
      <c r="AC3253" s="112" t="inlineStr">
        <is>
          <t>Estrutura Fase 1: sem impacto no VTA oficial</t>
        </is>
      </c>
    </row>
    <row r="3254" ht="25.5" customHeight="1" s="289">
      <c r="A3254" s="205" t="n"/>
      <c r="B3254" s="207" t="n"/>
      <c r="C3254" s="104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348" t="n"/>
      <c r="E3254" s="349">
        <f>IF(C3254="","",IFERROR(VLOOKUP(C3254,parametros!$A$11:$E$15,5,0),""))</f>
        <v/>
      </c>
      <c r="F3254" s="335">
        <f>IF(OR(D3254="",E3254=""),"",ROUND(D3254*E3254,2))</f>
        <v/>
      </c>
      <c r="G3254" s="106" t="n"/>
      <c r="H3254" s="350">
        <f>IF(G3254="Sim",IF(OR(F3254="",D3254="",L3254=""),"",IF(L3254="Sim",ROUND(F3254-D3254,2),0)),0)</f>
        <v/>
      </c>
      <c r="I3254" s="350">
        <f>IF(G3254="Sim",0,IF(OR(F3254="",L3254=""),"",F3254))</f>
        <v/>
      </c>
      <c r="J3254" s="350">
        <f>IF(G3254="Sim",0,IF(OR(F3254="",D3254="",L3254=""),"",IF(L3254="Sim",ROUND(F3254-D3254,2),0)))</f>
        <v/>
      </c>
      <c r="K3254" s="97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inlineStr">
        <is>
          <t>Nao</t>
        </is>
      </c>
      <c r="W3254" s="110" t="inlineStr">
        <is>
          <t>PC em analise</t>
        </is>
      </c>
      <c r="X3254" s="110" t="inlineStr">
        <is>
          <t>Pedido de Compra</t>
        </is>
      </c>
      <c r="Y3254" s="111" t="inlineStr">
        <is>
          <t>Impacto Potencial</t>
        </is>
      </c>
      <c r="Z3254" s="111" t="inlineStr">
        <is>
          <t>PC</t>
        </is>
      </c>
      <c r="AA3254" s="111" t="inlineStr">
        <is>
          <t>Nao</t>
        </is>
      </c>
      <c r="AB3254" s="111" t="inlineStr">
        <is>
          <t>NAO_COMPUTADO</t>
        </is>
      </c>
      <c r="AC3254" s="112" t="inlineStr">
        <is>
          <t>Estrutura Fase 1: sem impacto no VTA oficial</t>
        </is>
      </c>
    </row>
    <row r="3255" ht="25.5" customHeight="1" s="289">
      <c r="A3255" s="205" t="n"/>
      <c r="B3255" s="207" t="n"/>
      <c r="C3255" s="104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348" t="n"/>
      <c r="E3255" s="349">
        <f>IF(C3255="","",IFERROR(VLOOKUP(C3255,parametros!$A$11:$E$15,5,0),""))</f>
        <v/>
      </c>
      <c r="F3255" s="335">
        <f>IF(OR(D3255="",E3255=""),"",ROUND(D3255*E3255,2))</f>
        <v/>
      </c>
      <c r="G3255" s="106" t="n"/>
      <c r="H3255" s="350">
        <f>IF(G3255="Sim",IF(OR(F3255="",D3255="",L3255=""),"",IF(L3255="Sim",ROUND(F3255-D3255,2),0)),0)</f>
        <v/>
      </c>
      <c r="I3255" s="350">
        <f>IF(G3255="Sim",0,IF(OR(F3255="",L3255=""),"",F3255))</f>
        <v/>
      </c>
      <c r="J3255" s="350">
        <f>IF(G3255="Sim",0,IF(OR(F3255="",D3255="",L3255=""),"",IF(L3255="Sim",ROUND(F3255-D3255,2),0)))</f>
        <v/>
      </c>
      <c r="K3255" s="97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inlineStr">
        <is>
          <t>Nao</t>
        </is>
      </c>
      <c r="W3255" s="110" t="inlineStr">
        <is>
          <t>PC em analise</t>
        </is>
      </c>
      <c r="X3255" s="110" t="inlineStr">
        <is>
          <t>Pedido de Compra</t>
        </is>
      </c>
      <c r="Y3255" s="111" t="inlineStr">
        <is>
          <t>Impacto Potencial</t>
        </is>
      </c>
      <c r="Z3255" s="111" t="inlineStr">
        <is>
          <t>PC</t>
        </is>
      </c>
      <c r="AA3255" s="111" t="inlineStr">
        <is>
          <t>Nao</t>
        </is>
      </c>
      <c r="AB3255" s="111" t="inlineStr">
        <is>
          <t>NAO_COMPUTADO</t>
        </is>
      </c>
      <c r="AC3255" s="112" t="inlineStr">
        <is>
          <t>Estrutura Fase 1: sem impacto no VTA oficial</t>
        </is>
      </c>
    </row>
    <row r="3256" ht="25.5" customHeight="1" s="289">
      <c r="A3256" s="205" t="n"/>
      <c r="B3256" s="207" t="n"/>
      <c r="C3256" s="104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348" t="n"/>
      <c r="E3256" s="349">
        <f>IF(C3256="","",IFERROR(VLOOKUP(C3256,parametros!$A$11:$E$15,5,0),""))</f>
        <v/>
      </c>
      <c r="F3256" s="335">
        <f>IF(OR(D3256="",E3256=""),"",ROUND(D3256*E3256,2))</f>
        <v/>
      </c>
      <c r="G3256" s="106" t="n"/>
      <c r="H3256" s="350">
        <f>IF(G3256="Sim",IF(OR(F3256="",D3256="",L3256=""),"",IF(L3256="Sim",ROUND(F3256-D3256,2),0)),0)</f>
        <v/>
      </c>
      <c r="I3256" s="350">
        <f>IF(G3256="Sim",0,IF(OR(F3256="",L3256=""),"",F3256))</f>
        <v/>
      </c>
      <c r="J3256" s="350">
        <f>IF(G3256="Sim",0,IF(OR(F3256="",D3256="",L3256=""),"",IF(L3256="Sim",ROUND(F3256-D3256,2),0)))</f>
        <v/>
      </c>
      <c r="K3256" s="97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inlineStr">
        <is>
          <t>Nao</t>
        </is>
      </c>
      <c r="W3256" s="110" t="inlineStr">
        <is>
          <t>PC em analise</t>
        </is>
      </c>
      <c r="X3256" s="110" t="inlineStr">
        <is>
          <t>Pedido de Compra</t>
        </is>
      </c>
      <c r="Y3256" s="111" t="inlineStr">
        <is>
          <t>Impacto Potencial</t>
        </is>
      </c>
      <c r="Z3256" s="111" t="inlineStr">
        <is>
          <t>PC</t>
        </is>
      </c>
      <c r="AA3256" s="111" t="inlineStr">
        <is>
          <t>Nao</t>
        </is>
      </c>
      <c r="AB3256" s="111" t="inlineStr">
        <is>
          <t>NAO_COMPUTADO</t>
        </is>
      </c>
      <c r="AC3256" s="112" t="inlineStr">
        <is>
          <t>Estrutura Fase 1: sem impacto no VTA oficial</t>
        </is>
      </c>
    </row>
    <row r="3257" ht="25.5" customHeight="1" s="289">
      <c r="A3257" s="205" t="n"/>
      <c r="B3257" s="207" t="n"/>
      <c r="C3257" s="104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348" t="n"/>
      <c r="E3257" s="349">
        <f>IF(C3257="","",IFERROR(VLOOKUP(C3257,parametros!$A$11:$E$15,5,0),""))</f>
        <v/>
      </c>
      <c r="F3257" s="335">
        <f>IF(OR(D3257="",E3257=""),"",ROUND(D3257*E3257,2))</f>
        <v/>
      </c>
      <c r="G3257" s="106" t="n"/>
      <c r="H3257" s="350">
        <f>IF(G3257="Sim",IF(OR(F3257="",D3257="",L3257=""),"",IF(L3257="Sim",ROUND(F3257-D3257,2),0)),0)</f>
        <v/>
      </c>
      <c r="I3257" s="350">
        <f>IF(G3257="Sim",0,IF(OR(F3257="",L3257=""),"",F3257))</f>
        <v/>
      </c>
      <c r="J3257" s="350">
        <f>IF(G3257="Sim",0,IF(OR(F3257="",D3257="",L3257=""),"",IF(L3257="Sim",ROUND(F3257-D3257,2),0)))</f>
        <v/>
      </c>
      <c r="K3257" s="97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inlineStr">
        <is>
          <t>Nao</t>
        </is>
      </c>
      <c r="W3257" s="110" t="inlineStr">
        <is>
          <t>PC em analise</t>
        </is>
      </c>
      <c r="X3257" s="110" t="inlineStr">
        <is>
          <t>Pedido de Compra</t>
        </is>
      </c>
      <c r="Y3257" s="111" t="inlineStr">
        <is>
          <t>Impacto Potencial</t>
        </is>
      </c>
      <c r="Z3257" s="111" t="inlineStr">
        <is>
          <t>PC</t>
        </is>
      </c>
      <c r="AA3257" s="111" t="inlineStr">
        <is>
          <t>Nao</t>
        </is>
      </c>
      <c r="AB3257" s="111" t="inlineStr">
        <is>
          <t>NAO_COMPUTADO</t>
        </is>
      </c>
      <c r="AC3257" s="112" t="inlineStr">
        <is>
          <t>Estrutura Fase 1: sem impacto no VTA oficial</t>
        </is>
      </c>
    </row>
    <row r="3258" ht="25.5" customHeight="1" s="289">
      <c r="A3258" s="205" t="n"/>
      <c r="B3258" s="207" t="n"/>
      <c r="C3258" s="104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348" t="n"/>
      <c r="E3258" s="349">
        <f>IF(C3258="","",IFERROR(VLOOKUP(C3258,parametros!$A$11:$E$15,5,0),""))</f>
        <v/>
      </c>
      <c r="F3258" s="335">
        <f>IF(OR(D3258="",E3258=""),"",ROUND(D3258*E3258,2))</f>
        <v/>
      </c>
      <c r="G3258" s="106" t="n"/>
      <c r="H3258" s="350">
        <f>IF(G3258="Sim",IF(OR(F3258="",D3258="",L3258=""),"",IF(L3258="Sim",ROUND(F3258-D3258,2),0)),0)</f>
        <v/>
      </c>
      <c r="I3258" s="350">
        <f>IF(G3258="Sim",0,IF(OR(F3258="",L3258=""),"",F3258))</f>
        <v/>
      </c>
      <c r="J3258" s="350">
        <f>IF(G3258="Sim",0,IF(OR(F3258="",D3258="",L3258=""),"",IF(L3258="Sim",ROUND(F3258-D3258,2),0)))</f>
        <v/>
      </c>
      <c r="K3258" s="97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inlineStr">
        <is>
          <t>Nao</t>
        </is>
      </c>
      <c r="W3258" s="110" t="inlineStr">
        <is>
          <t>PC em analise</t>
        </is>
      </c>
      <c r="X3258" s="110" t="inlineStr">
        <is>
          <t>Pedido de Compra</t>
        </is>
      </c>
      <c r="Y3258" s="111" t="inlineStr">
        <is>
          <t>Impacto Potencial</t>
        </is>
      </c>
      <c r="Z3258" s="111" t="inlineStr">
        <is>
          <t>PC</t>
        </is>
      </c>
      <c r="AA3258" s="111" t="inlineStr">
        <is>
          <t>Nao</t>
        </is>
      </c>
      <c r="AB3258" s="111" t="inlineStr">
        <is>
          <t>NAO_COMPUTADO</t>
        </is>
      </c>
      <c r="AC3258" s="112" t="inlineStr">
        <is>
          <t>Estrutura Fase 1: sem impacto no VTA oficial</t>
        </is>
      </c>
    </row>
    <row r="3259" ht="25.5" customHeight="1" s="289">
      <c r="A3259" s="205" t="n"/>
      <c r="B3259" s="207" t="n"/>
      <c r="C3259" s="104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348" t="n"/>
      <c r="E3259" s="349">
        <f>IF(C3259="","",IFERROR(VLOOKUP(C3259,parametros!$A$11:$E$15,5,0),""))</f>
        <v/>
      </c>
      <c r="F3259" s="335">
        <f>IF(OR(D3259="",E3259=""),"",ROUND(D3259*E3259,2))</f>
        <v/>
      </c>
      <c r="G3259" s="106" t="n"/>
      <c r="H3259" s="350">
        <f>IF(G3259="Sim",IF(OR(F3259="",D3259="",L3259=""),"",IF(L3259="Sim",ROUND(F3259-D3259,2),0)),0)</f>
        <v/>
      </c>
      <c r="I3259" s="350">
        <f>IF(G3259="Sim",0,IF(OR(F3259="",L3259=""),"",F3259))</f>
        <v/>
      </c>
      <c r="J3259" s="350">
        <f>IF(G3259="Sim",0,IF(OR(F3259="",D3259="",L3259=""),"",IF(L3259="Sim",ROUND(F3259-D3259,2),0)))</f>
        <v/>
      </c>
      <c r="K3259" s="97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inlineStr">
        <is>
          <t>Nao</t>
        </is>
      </c>
      <c r="W3259" s="110" t="inlineStr">
        <is>
          <t>PC em analise</t>
        </is>
      </c>
      <c r="X3259" s="110" t="inlineStr">
        <is>
          <t>Pedido de Compra</t>
        </is>
      </c>
      <c r="Y3259" s="111" t="inlineStr">
        <is>
          <t>Impacto Potencial</t>
        </is>
      </c>
      <c r="Z3259" s="111" t="inlineStr">
        <is>
          <t>PC</t>
        </is>
      </c>
      <c r="AA3259" s="111" t="inlineStr">
        <is>
          <t>Nao</t>
        </is>
      </c>
      <c r="AB3259" s="111" t="inlineStr">
        <is>
          <t>NAO_COMPUTADO</t>
        </is>
      </c>
      <c r="AC3259" s="112" t="inlineStr">
        <is>
          <t>Estrutura Fase 1: sem impacto no VTA oficial</t>
        </is>
      </c>
    </row>
    <row r="3260" ht="25.5" customHeight="1" s="289">
      <c r="A3260" s="205" t="n"/>
      <c r="B3260" s="207" t="n"/>
      <c r="C3260" s="104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348" t="n"/>
      <c r="E3260" s="349">
        <f>IF(C3260="","",IFERROR(VLOOKUP(C3260,parametros!$A$11:$E$15,5,0),""))</f>
        <v/>
      </c>
      <c r="F3260" s="335">
        <f>IF(OR(D3260="",E3260=""),"",ROUND(D3260*E3260,2))</f>
        <v/>
      </c>
      <c r="G3260" s="106" t="n"/>
      <c r="H3260" s="350">
        <f>IF(G3260="Sim",IF(OR(F3260="",D3260="",L3260=""),"",IF(L3260="Sim",ROUND(F3260-D3260,2),0)),0)</f>
        <v/>
      </c>
      <c r="I3260" s="350">
        <f>IF(G3260="Sim",0,IF(OR(F3260="",L3260=""),"",F3260))</f>
        <v/>
      </c>
      <c r="J3260" s="350">
        <f>IF(G3260="Sim",0,IF(OR(F3260="",D3260="",L3260=""),"",IF(L3260="Sim",ROUND(F3260-D3260,2),0)))</f>
        <v/>
      </c>
      <c r="K3260" s="97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inlineStr">
        <is>
          <t>Nao</t>
        </is>
      </c>
      <c r="W3260" s="110" t="inlineStr">
        <is>
          <t>PC em analise</t>
        </is>
      </c>
      <c r="X3260" s="110" t="inlineStr">
        <is>
          <t>Pedido de Compra</t>
        </is>
      </c>
      <c r="Y3260" s="111" t="inlineStr">
        <is>
          <t>Impacto Potencial</t>
        </is>
      </c>
      <c r="Z3260" s="111" t="inlineStr">
        <is>
          <t>PC</t>
        </is>
      </c>
      <c r="AA3260" s="111" t="inlineStr">
        <is>
          <t>Nao</t>
        </is>
      </c>
      <c r="AB3260" s="111" t="inlineStr">
        <is>
          <t>NAO_COMPUTADO</t>
        </is>
      </c>
      <c r="AC3260" s="112" t="inlineStr">
        <is>
          <t>Estrutura Fase 1: sem impacto no VTA oficial</t>
        </is>
      </c>
    </row>
    <row r="3261" ht="25.5" customHeight="1" s="289">
      <c r="A3261" s="205" t="n"/>
      <c r="B3261" s="207" t="n"/>
      <c r="C3261" s="104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348" t="n"/>
      <c r="E3261" s="349">
        <f>IF(C3261="","",IFERROR(VLOOKUP(C3261,parametros!$A$11:$E$15,5,0),""))</f>
        <v/>
      </c>
      <c r="F3261" s="335">
        <f>IF(OR(D3261="",E3261=""),"",ROUND(D3261*E3261,2))</f>
        <v/>
      </c>
      <c r="G3261" s="106" t="n"/>
      <c r="H3261" s="350">
        <f>IF(G3261="Sim",IF(OR(F3261="",D3261="",L3261=""),"",IF(L3261="Sim",ROUND(F3261-D3261,2),0)),0)</f>
        <v/>
      </c>
      <c r="I3261" s="350">
        <f>IF(G3261="Sim",0,IF(OR(F3261="",L3261=""),"",F3261))</f>
        <v/>
      </c>
      <c r="J3261" s="350">
        <f>IF(G3261="Sim",0,IF(OR(F3261="",D3261="",L3261=""),"",IF(L3261="Sim",ROUND(F3261-D3261,2),0)))</f>
        <v/>
      </c>
      <c r="K3261" s="97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inlineStr">
        <is>
          <t>Nao</t>
        </is>
      </c>
      <c r="W3261" s="110" t="inlineStr">
        <is>
          <t>PC em analise</t>
        </is>
      </c>
      <c r="X3261" s="110" t="inlineStr">
        <is>
          <t>Pedido de Compra</t>
        </is>
      </c>
      <c r="Y3261" s="111" t="inlineStr">
        <is>
          <t>Impacto Potencial</t>
        </is>
      </c>
      <c r="Z3261" s="111" t="inlineStr">
        <is>
          <t>PC</t>
        </is>
      </c>
      <c r="AA3261" s="111" t="inlineStr">
        <is>
          <t>Nao</t>
        </is>
      </c>
      <c r="AB3261" s="111" t="inlineStr">
        <is>
          <t>NAO_COMPUTADO</t>
        </is>
      </c>
      <c r="AC3261" s="112" t="inlineStr">
        <is>
          <t>Estrutura Fase 1: sem impacto no VTA oficial</t>
        </is>
      </c>
    </row>
    <row r="3262" ht="25.5" customHeight="1" s="289">
      <c r="A3262" s="205" t="n"/>
      <c r="B3262" s="207" t="n"/>
      <c r="C3262" s="104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348" t="n"/>
      <c r="E3262" s="349">
        <f>IF(C3262="","",IFERROR(VLOOKUP(C3262,parametros!$A$11:$E$15,5,0),""))</f>
        <v/>
      </c>
      <c r="F3262" s="335">
        <f>IF(OR(D3262="",E3262=""),"",ROUND(D3262*E3262,2))</f>
        <v/>
      </c>
      <c r="G3262" s="106" t="n"/>
      <c r="H3262" s="350">
        <f>IF(G3262="Sim",IF(OR(F3262="",D3262="",L3262=""),"",IF(L3262="Sim",ROUND(F3262-D3262,2),0)),0)</f>
        <v/>
      </c>
      <c r="I3262" s="350">
        <f>IF(G3262="Sim",0,IF(OR(F3262="",L3262=""),"",F3262))</f>
        <v/>
      </c>
      <c r="J3262" s="350">
        <f>IF(G3262="Sim",0,IF(OR(F3262="",D3262="",L3262=""),"",IF(L3262="Sim",ROUND(F3262-D3262,2),0)))</f>
        <v/>
      </c>
      <c r="K3262" s="97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inlineStr">
        <is>
          <t>Nao</t>
        </is>
      </c>
      <c r="W3262" s="110" t="inlineStr">
        <is>
          <t>PC em analise</t>
        </is>
      </c>
      <c r="X3262" s="110" t="inlineStr">
        <is>
          <t>Pedido de Compra</t>
        </is>
      </c>
      <c r="Y3262" s="111" t="inlineStr">
        <is>
          <t>Impacto Potencial</t>
        </is>
      </c>
      <c r="Z3262" s="111" t="inlineStr">
        <is>
          <t>PC</t>
        </is>
      </c>
      <c r="AA3262" s="111" t="inlineStr">
        <is>
          <t>Nao</t>
        </is>
      </c>
      <c r="AB3262" s="111" t="inlineStr">
        <is>
          <t>NAO_COMPUTADO</t>
        </is>
      </c>
      <c r="AC3262" s="112" t="inlineStr">
        <is>
          <t>Estrutura Fase 1: sem impacto no VTA oficial</t>
        </is>
      </c>
    </row>
    <row r="3263" ht="25.5" customHeight="1" s="289">
      <c r="A3263" s="205" t="n"/>
      <c r="B3263" s="207" t="n"/>
      <c r="C3263" s="104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348" t="n"/>
      <c r="E3263" s="349">
        <f>IF(C3263="","",IFERROR(VLOOKUP(C3263,parametros!$A$11:$E$15,5,0),""))</f>
        <v/>
      </c>
      <c r="F3263" s="335">
        <f>IF(OR(D3263="",E3263=""),"",ROUND(D3263*E3263,2))</f>
        <v/>
      </c>
      <c r="G3263" s="106" t="n"/>
      <c r="H3263" s="350">
        <f>IF(G3263="Sim",IF(OR(F3263="",D3263="",L3263=""),"",IF(L3263="Sim",ROUND(F3263-D3263,2),0)),0)</f>
        <v/>
      </c>
      <c r="I3263" s="350">
        <f>IF(G3263="Sim",0,IF(OR(F3263="",L3263=""),"",F3263))</f>
        <v/>
      </c>
      <c r="J3263" s="350">
        <f>IF(G3263="Sim",0,IF(OR(F3263="",D3263="",L3263=""),"",IF(L3263="Sim",ROUND(F3263-D3263,2),0)))</f>
        <v/>
      </c>
      <c r="K3263" s="97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inlineStr">
        <is>
          <t>Nao</t>
        </is>
      </c>
      <c r="W3263" s="110" t="inlineStr">
        <is>
          <t>PC em analise</t>
        </is>
      </c>
      <c r="X3263" s="110" t="inlineStr">
        <is>
          <t>Pedido de Compra</t>
        </is>
      </c>
      <c r="Y3263" s="111" t="inlineStr">
        <is>
          <t>Impacto Potencial</t>
        </is>
      </c>
      <c r="Z3263" s="111" t="inlineStr">
        <is>
          <t>PC</t>
        </is>
      </c>
      <c r="AA3263" s="111" t="inlineStr">
        <is>
          <t>Nao</t>
        </is>
      </c>
      <c r="AB3263" s="111" t="inlineStr">
        <is>
          <t>NAO_COMPUTADO</t>
        </is>
      </c>
      <c r="AC3263" s="112" t="inlineStr">
        <is>
          <t>Estrutura Fase 1: sem impacto no VTA oficial</t>
        </is>
      </c>
    </row>
    <row r="3264" ht="25.5" customHeight="1" s="289">
      <c r="A3264" s="205" t="n"/>
      <c r="B3264" s="207" t="n"/>
      <c r="C3264" s="104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348" t="n"/>
      <c r="E3264" s="349">
        <f>IF(C3264="","",IFERROR(VLOOKUP(C3264,parametros!$A$11:$E$15,5,0),""))</f>
        <v/>
      </c>
      <c r="F3264" s="335">
        <f>IF(OR(D3264="",E3264=""),"",ROUND(D3264*E3264,2))</f>
        <v/>
      </c>
      <c r="G3264" s="106" t="n"/>
      <c r="H3264" s="350">
        <f>IF(G3264="Sim",IF(OR(F3264="",D3264="",L3264=""),"",IF(L3264="Sim",ROUND(F3264-D3264,2),0)),0)</f>
        <v/>
      </c>
      <c r="I3264" s="350">
        <f>IF(G3264="Sim",0,IF(OR(F3264="",L3264=""),"",F3264))</f>
        <v/>
      </c>
      <c r="J3264" s="350">
        <f>IF(G3264="Sim",0,IF(OR(F3264="",D3264="",L3264=""),"",IF(L3264="Sim",ROUND(F3264-D3264,2),0)))</f>
        <v/>
      </c>
      <c r="K3264" s="97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inlineStr">
        <is>
          <t>Nao</t>
        </is>
      </c>
      <c r="W3264" s="110" t="inlineStr">
        <is>
          <t>PC em analise</t>
        </is>
      </c>
      <c r="X3264" s="110" t="inlineStr">
        <is>
          <t>Pedido de Compra</t>
        </is>
      </c>
      <c r="Y3264" s="111" t="inlineStr">
        <is>
          <t>Impacto Potencial</t>
        </is>
      </c>
      <c r="Z3264" s="111" t="inlineStr">
        <is>
          <t>PC</t>
        </is>
      </c>
      <c r="AA3264" s="111" t="inlineStr">
        <is>
          <t>Nao</t>
        </is>
      </c>
      <c r="AB3264" s="111" t="inlineStr">
        <is>
          <t>NAO_COMPUTADO</t>
        </is>
      </c>
      <c r="AC3264" s="112" t="inlineStr">
        <is>
          <t>Estrutura Fase 1: sem impacto no VTA oficial</t>
        </is>
      </c>
    </row>
    <row r="3265" ht="25.5" customHeight="1" s="289">
      <c r="A3265" s="205" t="n"/>
      <c r="B3265" s="207" t="n"/>
      <c r="C3265" s="104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348" t="n"/>
      <c r="E3265" s="349">
        <f>IF(C3265="","",IFERROR(VLOOKUP(C3265,parametros!$A$11:$E$15,5,0),""))</f>
        <v/>
      </c>
      <c r="F3265" s="335">
        <f>IF(OR(D3265="",E3265=""),"",ROUND(D3265*E3265,2))</f>
        <v/>
      </c>
      <c r="G3265" s="106" t="n"/>
      <c r="H3265" s="350">
        <f>IF(G3265="Sim",IF(OR(F3265="",D3265="",L3265=""),"",IF(L3265="Sim",ROUND(F3265-D3265,2),0)),0)</f>
        <v/>
      </c>
      <c r="I3265" s="350">
        <f>IF(G3265="Sim",0,IF(OR(F3265="",L3265=""),"",F3265))</f>
        <v/>
      </c>
      <c r="J3265" s="350">
        <f>IF(G3265="Sim",0,IF(OR(F3265="",D3265="",L3265=""),"",IF(L3265="Sim",ROUND(F3265-D3265,2),0)))</f>
        <v/>
      </c>
      <c r="K3265" s="97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inlineStr">
        <is>
          <t>Nao</t>
        </is>
      </c>
      <c r="W3265" s="110" t="inlineStr">
        <is>
          <t>PC em analise</t>
        </is>
      </c>
      <c r="X3265" s="110" t="inlineStr">
        <is>
          <t>Pedido de Compra</t>
        </is>
      </c>
      <c r="Y3265" s="111" t="inlineStr">
        <is>
          <t>Impacto Potencial</t>
        </is>
      </c>
      <c r="Z3265" s="111" t="inlineStr">
        <is>
          <t>PC</t>
        </is>
      </c>
      <c r="AA3265" s="111" t="inlineStr">
        <is>
          <t>Nao</t>
        </is>
      </c>
      <c r="AB3265" s="111" t="inlineStr">
        <is>
          <t>NAO_COMPUTADO</t>
        </is>
      </c>
      <c r="AC3265" s="112" t="inlineStr">
        <is>
          <t>Estrutura Fase 1: sem impacto no VTA oficial</t>
        </is>
      </c>
    </row>
    <row r="3266" ht="25.5" customHeight="1" s="289">
      <c r="A3266" s="205" t="n"/>
      <c r="B3266" s="207" t="n"/>
      <c r="C3266" s="104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348" t="n"/>
      <c r="E3266" s="349">
        <f>IF(C3266="","",IFERROR(VLOOKUP(C3266,parametros!$A$11:$E$15,5,0),""))</f>
        <v/>
      </c>
      <c r="F3266" s="335">
        <f>IF(OR(D3266="",E3266=""),"",ROUND(D3266*E3266,2))</f>
        <v/>
      </c>
      <c r="G3266" s="106" t="n"/>
      <c r="H3266" s="350">
        <f>IF(G3266="Sim",IF(OR(F3266="",D3266="",L3266=""),"",IF(L3266="Sim",ROUND(F3266-D3266,2),0)),0)</f>
        <v/>
      </c>
      <c r="I3266" s="350">
        <f>IF(G3266="Sim",0,IF(OR(F3266="",L3266=""),"",F3266))</f>
        <v/>
      </c>
      <c r="J3266" s="350">
        <f>IF(G3266="Sim",0,IF(OR(F3266="",D3266="",L3266=""),"",IF(L3266="Sim",ROUND(F3266-D3266,2),0)))</f>
        <v/>
      </c>
      <c r="K3266" s="97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inlineStr">
        <is>
          <t>Nao</t>
        </is>
      </c>
      <c r="W3266" s="110" t="inlineStr">
        <is>
          <t>PC em analise</t>
        </is>
      </c>
      <c r="X3266" s="110" t="inlineStr">
        <is>
          <t>Pedido de Compra</t>
        </is>
      </c>
      <c r="Y3266" s="111" t="inlineStr">
        <is>
          <t>Impacto Potencial</t>
        </is>
      </c>
      <c r="Z3266" s="111" t="inlineStr">
        <is>
          <t>PC</t>
        </is>
      </c>
      <c r="AA3266" s="111" t="inlineStr">
        <is>
          <t>Nao</t>
        </is>
      </c>
      <c r="AB3266" s="111" t="inlineStr">
        <is>
          <t>NAO_COMPUTADO</t>
        </is>
      </c>
      <c r="AC3266" s="112" t="inlineStr">
        <is>
          <t>Estrutura Fase 1: sem impacto no VTA oficial</t>
        </is>
      </c>
    </row>
    <row r="3267" ht="25.5" customHeight="1" s="289">
      <c r="A3267" s="205" t="n"/>
      <c r="B3267" s="207" t="n"/>
      <c r="C3267" s="104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348" t="n"/>
      <c r="E3267" s="349">
        <f>IF(C3267="","",IFERROR(VLOOKUP(C3267,parametros!$A$11:$E$15,5,0),""))</f>
        <v/>
      </c>
      <c r="F3267" s="335">
        <f>IF(OR(D3267="",E3267=""),"",ROUND(D3267*E3267,2))</f>
        <v/>
      </c>
      <c r="G3267" s="106" t="n"/>
      <c r="H3267" s="350">
        <f>IF(G3267="Sim",IF(OR(F3267="",D3267="",L3267=""),"",IF(L3267="Sim",ROUND(F3267-D3267,2),0)),0)</f>
        <v/>
      </c>
      <c r="I3267" s="350">
        <f>IF(G3267="Sim",0,IF(OR(F3267="",L3267=""),"",F3267))</f>
        <v/>
      </c>
      <c r="J3267" s="350">
        <f>IF(G3267="Sim",0,IF(OR(F3267="",D3267="",L3267=""),"",IF(L3267="Sim",ROUND(F3267-D3267,2),0)))</f>
        <v/>
      </c>
      <c r="K3267" s="97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inlineStr">
        <is>
          <t>Nao</t>
        </is>
      </c>
      <c r="W3267" s="110" t="inlineStr">
        <is>
          <t>PC em analise</t>
        </is>
      </c>
      <c r="X3267" s="110" t="inlineStr">
        <is>
          <t>Pedido de Compra</t>
        </is>
      </c>
      <c r="Y3267" s="111" t="inlineStr">
        <is>
          <t>Impacto Potencial</t>
        </is>
      </c>
      <c r="Z3267" s="111" t="inlineStr">
        <is>
          <t>PC</t>
        </is>
      </c>
      <c r="AA3267" s="111" t="inlineStr">
        <is>
          <t>Nao</t>
        </is>
      </c>
      <c r="AB3267" s="111" t="inlineStr">
        <is>
          <t>NAO_COMPUTADO</t>
        </is>
      </c>
      <c r="AC3267" s="112" t="inlineStr">
        <is>
          <t>Estrutura Fase 1: sem impacto no VTA oficial</t>
        </is>
      </c>
    </row>
    <row r="3268" ht="25.5" customHeight="1" s="289">
      <c r="A3268" s="205" t="n"/>
      <c r="B3268" s="207" t="n"/>
      <c r="C3268" s="104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348" t="n"/>
      <c r="E3268" s="349">
        <f>IF(C3268="","",IFERROR(VLOOKUP(C3268,parametros!$A$11:$E$15,5,0),""))</f>
        <v/>
      </c>
      <c r="F3268" s="335">
        <f>IF(OR(D3268="",E3268=""),"",ROUND(D3268*E3268,2))</f>
        <v/>
      </c>
      <c r="G3268" s="106" t="n"/>
      <c r="H3268" s="350">
        <f>IF(G3268="Sim",IF(OR(F3268="",D3268="",L3268=""),"",IF(L3268="Sim",ROUND(F3268-D3268,2),0)),0)</f>
        <v/>
      </c>
      <c r="I3268" s="350">
        <f>IF(G3268="Sim",0,IF(OR(F3268="",L3268=""),"",F3268))</f>
        <v/>
      </c>
      <c r="J3268" s="350">
        <f>IF(G3268="Sim",0,IF(OR(F3268="",D3268="",L3268=""),"",IF(L3268="Sim",ROUND(F3268-D3268,2),0)))</f>
        <v/>
      </c>
      <c r="K3268" s="97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inlineStr">
        <is>
          <t>Nao</t>
        </is>
      </c>
      <c r="W3268" s="110" t="inlineStr">
        <is>
          <t>PC em analise</t>
        </is>
      </c>
      <c r="X3268" s="110" t="inlineStr">
        <is>
          <t>Pedido de Compra</t>
        </is>
      </c>
      <c r="Y3268" s="111" t="inlineStr">
        <is>
          <t>Impacto Potencial</t>
        </is>
      </c>
      <c r="Z3268" s="111" t="inlineStr">
        <is>
          <t>PC</t>
        </is>
      </c>
      <c r="AA3268" s="111" t="inlineStr">
        <is>
          <t>Nao</t>
        </is>
      </c>
      <c r="AB3268" s="111" t="inlineStr">
        <is>
          <t>NAO_COMPUTADO</t>
        </is>
      </c>
      <c r="AC3268" s="112" t="inlineStr">
        <is>
          <t>Estrutura Fase 1: sem impacto no VTA oficial</t>
        </is>
      </c>
    </row>
    <row r="3269" ht="25.5" customHeight="1" s="289">
      <c r="A3269" s="205" t="n"/>
      <c r="B3269" s="207" t="n"/>
      <c r="C3269" s="104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348" t="n"/>
      <c r="E3269" s="349">
        <f>IF(C3269="","",IFERROR(VLOOKUP(C3269,parametros!$A$11:$E$15,5,0),""))</f>
        <v/>
      </c>
      <c r="F3269" s="335">
        <f>IF(OR(D3269="",E3269=""),"",ROUND(D3269*E3269,2))</f>
        <v/>
      </c>
      <c r="G3269" s="106" t="n"/>
      <c r="H3269" s="350">
        <f>IF(G3269="Sim",IF(OR(F3269="",D3269="",L3269=""),"",IF(L3269="Sim",ROUND(F3269-D3269,2),0)),0)</f>
        <v/>
      </c>
      <c r="I3269" s="350">
        <f>IF(G3269="Sim",0,IF(OR(F3269="",L3269=""),"",F3269))</f>
        <v/>
      </c>
      <c r="J3269" s="350">
        <f>IF(G3269="Sim",0,IF(OR(F3269="",D3269="",L3269=""),"",IF(L3269="Sim",ROUND(F3269-D3269,2),0)))</f>
        <v/>
      </c>
      <c r="K3269" s="97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inlineStr">
        <is>
          <t>Nao</t>
        </is>
      </c>
      <c r="W3269" s="110" t="inlineStr">
        <is>
          <t>PC em analise</t>
        </is>
      </c>
      <c r="X3269" s="110" t="inlineStr">
        <is>
          <t>Pedido de Compra</t>
        </is>
      </c>
      <c r="Y3269" s="111" t="inlineStr">
        <is>
          <t>Impacto Potencial</t>
        </is>
      </c>
      <c r="Z3269" s="111" t="inlineStr">
        <is>
          <t>PC</t>
        </is>
      </c>
      <c r="AA3269" s="111" t="inlineStr">
        <is>
          <t>Nao</t>
        </is>
      </c>
      <c r="AB3269" s="111" t="inlineStr">
        <is>
          <t>NAO_COMPUTADO</t>
        </is>
      </c>
      <c r="AC3269" s="112" t="inlineStr">
        <is>
          <t>Estrutura Fase 1: sem impacto no VTA oficial</t>
        </is>
      </c>
    </row>
    <row r="3270" ht="25.5" customHeight="1" s="289">
      <c r="A3270" s="205" t="n"/>
      <c r="B3270" s="207" t="n"/>
      <c r="C3270" s="104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348" t="n"/>
      <c r="E3270" s="349">
        <f>IF(C3270="","",IFERROR(VLOOKUP(C3270,parametros!$A$11:$E$15,5,0),""))</f>
        <v/>
      </c>
      <c r="F3270" s="335">
        <f>IF(OR(D3270="",E3270=""),"",ROUND(D3270*E3270,2))</f>
        <v/>
      </c>
      <c r="G3270" s="106" t="n"/>
      <c r="H3270" s="350">
        <f>IF(G3270="Sim",IF(OR(F3270="",D3270="",L3270=""),"",IF(L3270="Sim",ROUND(F3270-D3270,2),0)),0)</f>
        <v/>
      </c>
      <c r="I3270" s="350">
        <f>IF(G3270="Sim",0,IF(OR(F3270="",L3270=""),"",F3270))</f>
        <v/>
      </c>
      <c r="J3270" s="350">
        <f>IF(G3270="Sim",0,IF(OR(F3270="",D3270="",L3270=""),"",IF(L3270="Sim",ROUND(F3270-D3270,2),0)))</f>
        <v/>
      </c>
      <c r="K3270" s="97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inlineStr">
        <is>
          <t>Nao</t>
        </is>
      </c>
      <c r="W3270" s="110" t="inlineStr">
        <is>
          <t>PC em analise</t>
        </is>
      </c>
      <c r="X3270" s="110" t="inlineStr">
        <is>
          <t>Pedido de Compra</t>
        </is>
      </c>
      <c r="Y3270" s="111" t="inlineStr">
        <is>
          <t>Impacto Potencial</t>
        </is>
      </c>
      <c r="Z3270" s="111" t="inlineStr">
        <is>
          <t>PC</t>
        </is>
      </c>
      <c r="AA3270" s="111" t="inlineStr">
        <is>
          <t>Nao</t>
        </is>
      </c>
      <c r="AB3270" s="111" t="inlineStr">
        <is>
          <t>NAO_COMPUTADO</t>
        </is>
      </c>
      <c r="AC3270" s="112" t="inlineStr">
        <is>
          <t>Estrutura Fase 1: sem impacto no VTA oficial</t>
        </is>
      </c>
    </row>
    <row r="3271" ht="25.5" customHeight="1" s="289">
      <c r="A3271" s="205" t="n"/>
      <c r="B3271" s="207" t="n"/>
      <c r="C3271" s="104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348" t="n"/>
      <c r="E3271" s="349">
        <f>IF(C3271="","",IFERROR(VLOOKUP(C3271,parametros!$A$11:$E$15,5,0),""))</f>
        <v/>
      </c>
      <c r="F3271" s="335">
        <f>IF(OR(D3271="",E3271=""),"",ROUND(D3271*E3271,2))</f>
        <v/>
      </c>
      <c r="G3271" s="106" t="n"/>
      <c r="H3271" s="350">
        <f>IF(G3271="Sim",IF(OR(F3271="",D3271="",L3271=""),"",IF(L3271="Sim",ROUND(F3271-D3271,2),0)),0)</f>
        <v/>
      </c>
      <c r="I3271" s="350">
        <f>IF(G3271="Sim",0,IF(OR(F3271="",L3271=""),"",F3271))</f>
        <v/>
      </c>
      <c r="J3271" s="350">
        <f>IF(G3271="Sim",0,IF(OR(F3271="",D3271="",L3271=""),"",IF(L3271="Sim",ROUND(F3271-D3271,2),0)))</f>
        <v/>
      </c>
      <c r="K3271" s="97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inlineStr">
        <is>
          <t>Nao</t>
        </is>
      </c>
      <c r="W3271" s="110" t="inlineStr">
        <is>
          <t>PC em analise</t>
        </is>
      </c>
      <c r="X3271" s="110" t="inlineStr">
        <is>
          <t>Pedido de Compra</t>
        </is>
      </c>
      <c r="Y3271" s="111" t="inlineStr">
        <is>
          <t>Impacto Potencial</t>
        </is>
      </c>
      <c r="Z3271" s="111" t="inlineStr">
        <is>
          <t>PC</t>
        </is>
      </c>
      <c r="AA3271" s="111" t="inlineStr">
        <is>
          <t>Nao</t>
        </is>
      </c>
      <c r="AB3271" s="111" t="inlineStr">
        <is>
          <t>NAO_COMPUTADO</t>
        </is>
      </c>
      <c r="AC3271" s="112" t="inlineStr">
        <is>
          <t>Estrutura Fase 1: sem impacto no VTA oficial</t>
        </is>
      </c>
    </row>
    <row r="3272" ht="25.5" customHeight="1" s="289">
      <c r="A3272" s="205" t="n"/>
      <c r="B3272" s="207" t="n"/>
      <c r="C3272" s="104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348" t="n"/>
      <c r="E3272" s="349">
        <f>IF(C3272="","",IFERROR(VLOOKUP(C3272,parametros!$A$11:$E$15,5,0),""))</f>
        <v/>
      </c>
      <c r="F3272" s="335">
        <f>IF(OR(D3272="",E3272=""),"",ROUND(D3272*E3272,2))</f>
        <v/>
      </c>
      <c r="G3272" s="106" t="n"/>
      <c r="H3272" s="350">
        <f>IF(G3272="Sim",IF(OR(F3272="",D3272="",L3272=""),"",IF(L3272="Sim",ROUND(F3272-D3272,2),0)),0)</f>
        <v/>
      </c>
      <c r="I3272" s="350">
        <f>IF(G3272="Sim",0,IF(OR(F3272="",L3272=""),"",F3272))</f>
        <v/>
      </c>
      <c r="J3272" s="350">
        <f>IF(G3272="Sim",0,IF(OR(F3272="",D3272="",L3272=""),"",IF(L3272="Sim",ROUND(F3272-D3272,2),0)))</f>
        <v/>
      </c>
      <c r="K3272" s="97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inlineStr">
        <is>
          <t>Nao</t>
        </is>
      </c>
      <c r="W3272" s="110" t="inlineStr">
        <is>
          <t>PC em analise</t>
        </is>
      </c>
      <c r="X3272" s="110" t="inlineStr">
        <is>
          <t>Pedido de Compra</t>
        </is>
      </c>
      <c r="Y3272" s="111" t="inlineStr">
        <is>
          <t>Impacto Potencial</t>
        </is>
      </c>
      <c r="Z3272" s="111" t="inlineStr">
        <is>
          <t>PC</t>
        </is>
      </c>
      <c r="AA3272" s="111" t="inlineStr">
        <is>
          <t>Nao</t>
        </is>
      </c>
      <c r="AB3272" s="111" t="inlineStr">
        <is>
          <t>NAO_COMPUTADO</t>
        </is>
      </c>
      <c r="AC3272" s="112" t="inlineStr">
        <is>
          <t>Estrutura Fase 1: sem impacto no VTA oficial</t>
        </is>
      </c>
    </row>
    <row r="3273" ht="25.5" customHeight="1" s="289">
      <c r="A3273" s="205" t="n"/>
      <c r="B3273" s="207" t="n"/>
      <c r="C3273" s="104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348" t="n"/>
      <c r="E3273" s="349">
        <f>IF(C3273="","",IFERROR(VLOOKUP(C3273,parametros!$A$11:$E$15,5,0),""))</f>
        <v/>
      </c>
      <c r="F3273" s="335">
        <f>IF(OR(D3273="",E3273=""),"",ROUND(D3273*E3273,2))</f>
        <v/>
      </c>
      <c r="G3273" s="106" t="n"/>
      <c r="H3273" s="350">
        <f>IF(G3273="Sim",IF(OR(F3273="",D3273="",L3273=""),"",IF(L3273="Sim",ROUND(F3273-D3273,2),0)),0)</f>
        <v/>
      </c>
      <c r="I3273" s="350">
        <f>IF(G3273="Sim",0,IF(OR(F3273="",L3273=""),"",F3273))</f>
        <v/>
      </c>
      <c r="J3273" s="350">
        <f>IF(G3273="Sim",0,IF(OR(F3273="",D3273="",L3273=""),"",IF(L3273="Sim",ROUND(F3273-D3273,2),0)))</f>
        <v/>
      </c>
      <c r="K3273" s="97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inlineStr">
        <is>
          <t>Nao</t>
        </is>
      </c>
      <c r="W3273" s="110" t="inlineStr">
        <is>
          <t>PC em analise</t>
        </is>
      </c>
      <c r="X3273" s="110" t="inlineStr">
        <is>
          <t>Pedido de Compra</t>
        </is>
      </c>
      <c r="Y3273" s="111" t="inlineStr">
        <is>
          <t>Impacto Potencial</t>
        </is>
      </c>
      <c r="Z3273" s="111" t="inlineStr">
        <is>
          <t>PC</t>
        </is>
      </c>
      <c r="AA3273" s="111" t="inlineStr">
        <is>
          <t>Nao</t>
        </is>
      </c>
      <c r="AB3273" s="111" t="inlineStr">
        <is>
          <t>NAO_COMPUTADO</t>
        </is>
      </c>
      <c r="AC3273" s="112" t="inlineStr">
        <is>
          <t>Estrutura Fase 1: sem impacto no VTA oficial</t>
        </is>
      </c>
    </row>
    <row r="3274" ht="25.5" customHeight="1" s="289">
      <c r="A3274" s="205" t="n"/>
      <c r="B3274" s="207" t="n"/>
      <c r="C3274" s="104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348" t="n"/>
      <c r="E3274" s="349">
        <f>IF(C3274="","",IFERROR(VLOOKUP(C3274,parametros!$A$11:$E$15,5,0),""))</f>
        <v/>
      </c>
      <c r="F3274" s="335">
        <f>IF(OR(D3274="",E3274=""),"",ROUND(D3274*E3274,2))</f>
        <v/>
      </c>
      <c r="G3274" s="106" t="n"/>
      <c r="H3274" s="350">
        <f>IF(G3274="Sim",IF(OR(F3274="",D3274="",L3274=""),"",IF(L3274="Sim",ROUND(F3274-D3274,2),0)),0)</f>
        <v/>
      </c>
      <c r="I3274" s="350">
        <f>IF(G3274="Sim",0,IF(OR(F3274="",L3274=""),"",F3274))</f>
        <v/>
      </c>
      <c r="J3274" s="350">
        <f>IF(G3274="Sim",0,IF(OR(F3274="",D3274="",L3274=""),"",IF(L3274="Sim",ROUND(F3274-D3274,2),0)))</f>
        <v/>
      </c>
      <c r="K3274" s="97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inlineStr">
        <is>
          <t>Nao</t>
        </is>
      </c>
      <c r="W3274" s="110" t="inlineStr">
        <is>
          <t>PC em analise</t>
        </is>
      </c>
      <c r="X3274" s="110" t="inlineStr">
        <is>
          <t>Pedido de Compra</t>
        </is>
      </c>
      <c r="Y3274" s="111" t="inlineStr">
        <is>
          <t>Impacto Potencial</t>
        </is>
      </c>
      <c r="Z3274" s="111" t="inlineStr">
        <is>
          <t>PC</t>
        </is>
      </c>
      <c r="AA3274" s="111" t="inlineStr">
        <is>
          <t>Nao</t>
        </is>
      </c>
      <c r="AB3274" s="111" t="inlineStr">
        <is>
          <t>NAO_COMPUTADO</t>
        </is>
      </c>
      <c r="AC3274" s="112" t="inlineStr">
        <is>
          <t>Estrutura Fase 1: sem impacto no VTA oficial</t>
        </is>
      </c>
    </row>
    <row r="3275" ht="25.5" customHeight="1" s="289">
      <c r="A3275" s="205" t="n"/>
      <c r="B3275" s="207" t="n"/>
      <c r="C3275" s="104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348" t="n"/>
      <c r="E3275" s="349">
        <f>IF(C3275="","",IFERROR(VLOOKUP(C3275,parametros!$A$11:$E$15,5,0),""))</f>
        <v/>
      </c>
      <c r="F3275" s="335">
        <f>IF(OR(D3275="",E3275=""),"",ROUND(D3275*E3275,2))</f>
        <v/>
      </c>
      <c r="G3275" s="106" t="n"/>
      <c r="H3275" s="350">
        <f>IF(G3275="Sim",IF(OR(F3275="",D3275="",L3275=""),"",IF(L3275="Sim",ROUND(F3275-D3275,2),0)),0)</f>
        <v/>
      </c>
      <c r="I3275" s="350">
        <f>IF(G3275="Sim",0,IF(OR(F3275="",L3275=""),"",F3275))</f>
        <v/>
      </c>
      <c r="J3275" s="350">
        <f>IF(G3275="Sim",0,IF(OR(F3275="",D3275="",L3275=""),"",IF(L3275="Sim",ROUND(F3275-D3275,2),0)))</f>
        <v/>
      </c>
      <c r="K3275" s="97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inlineStr">
        <is>
          <t>Nao</t>
        </is>
      </c>
      <c r="W3275" s="110" t="inlineStr">
        <is>
          <t>PC em analise</t>
        </is>
      </c>
      <c r="X3275" s="110" t="inlineStr">
        <is>
          <t>Pedido de Compra</t>
        </is>
      </c>
      <c r="Y3275" s="111" t="inlineStr">
        <is>
          <t>Impacto Potencial</t>
        </is>
      </c>
      <c r="Z3275" s="111" t="inlineStr">
        <is>
          <t>PC</t>
        </is>
      </c>
      <c r="AA3275" s="111" t="inlineStr">
        <is>
          <t>Nao</t>
        </is>
      </c>
      <c r="AB3275" s="111" t="inlineStr">
        <is>
          <t>NAO_COMPUTADO</t>
        </is>
      </c>
      <c r="AC3275" s="112" t="inlineStr">
        <is>
          <t>Estrutura Fase 1: sem impacto no VTA oficial</t>
        </is>
      </c>
    </row>
    <row r="3276" ht="25.5" customHeight="1" s="289">
      <c r="A3276" s="205" t="n"/>
      <c r="B3276" s="207" t="n"/>
      <c r="C3276" s="104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348" t="n"/>
      <c r="E3276" s="349">
        <f>IF(C3276="","",IFERROR(VLOOKUP(C3276,parametros!$A$11:$E$15,5,0),""))</f>
        <v/>
      </c>
      <c r="F3276" s="335">
        <f>IF(OR(D3276="",E3276=""),"",ROUND(D3276*E3276,2))</f>
        <v/>
      </c>
      <c r="G3276" s="106" t="n"/>
      <c r="H3276" s="350">
        <f>IF(G3276="Sim",IF(OR(F3276="",D3276="",L3276=""),"",IF(L3276="Sim",ROUND(F3276-D3276,2),0)),0)</f>
        <v/>
      </c>
      <c r="I3276" s="350">
        <f>IF(G3276="Sim",0,IF(OR(F3276="",L3276=""),"",F3276))</f>
        <v/>
      </c>
      <c r="J3276" s="350">
        <f>IF(G3276="Sim",0,IF(OR(F3276="",D3276="",L3276=""),"",IF(L3276="Sim",ROUND(F3276-D3276,2),0)))</f>
        <v/>
      </c>
      <c r="K3276" s="97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inlineStr">
        <is>
          <t>Nao</t>
        </is>
      </c>
      <c r="W3276" s="110" t="inlineStr">
        <is>
          <t>PC em analise</t>
        </is>
      </c>
      <c r="X3276" s="110" t="inlineStr">
        <is>
          <t>Pedido de Compra</t>
        </is>
      </c>
      <c r="Y3276" s="111" t="inlineStr">
        <is>
          <t>Impacto Potencial</t>
        </is>
      </c>
      <c r="Z3276" s="111" t="inlineStr">
        <is>
          <t>PC</t>
        </is>
      </c>
      <c r="AA3276" s="111" t="inlineStr">
        <is>
          <t>Nao</t>
        </is>
      </c>
      <c r="AB3276" s="111" t="inlineStr">
        <is>
          <t>NAO_COMPUTADO</t>
        </is>
      </c>
      <c r="AC3276" s="112" t="inlineStr">
        <is>
          <t>Estrutura Fase 1: sem impacto no VTA oficial</t>
        </is>
      </c>
    </row>
    <row r="3277" ht="25.5" customHeight="1" s="289">
      <c r="A3277" s="205" t="n"/>
      <c r="B3277" s="207" t="n"/>
      <c r="C3277" s="104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348" t="n"/>
      <c r="E3277" s="349">
        <f>IF(C3277="","",IFERROR(VLOOKUP(C3277,parametros!$A$11:$E$15,5,0),""))</f>
        <v/>
      </c>
      <c r="F3277" s="335">
        <f>IF(OR(D3277="",E3277=""),"",ROUND(D3277*E3277,2))</f>
        <v/>
      </c>
      <c r="G3277" s="106" t="n"/>
      <c r="H3277" s="350">
        <f>IF(G3277="Sim",IF(OR(F3277="",D3277="",L3277=""),"",IF(L3277="Sim",ROUND(F3277-D3277,2),0)),0)</f>
        <v/>
      </c>
      <c r="I3277" s="350">
        <f>IF(G3277="Sim",0,IF(OR(F3277="",L3277=""),"",F3277))</f>
        <v/>
      </c>
      <c r="J3277" s="350">
        <f>IF(G3277="Sim",0,IF(OR(F3277="",D3277="",L3277=""),"",IF(L3277="Sim",ROUND(F3277-D3277,2),0)))</f>
        <v/>
      </c>
      <c r="K3277" s="97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inlineStr">
        <is>
          <t>Nao</t>
        </is>
      </c>
      <c r="W3277" s="110" t="inlineStr">
        <is>
          <t>PC em analise</t>
        </is>
      </c>
      <c r="X3277" s="110" t="inlineStr">
        <is>
          <t>Pedido de Compra</t>
        </is>
      </c>
      <c r="Y3277" s="111" t="inlineStr">
        <is>
          <t>Impacto Potencial</t>
        </is>
      </c>
      <c r="Z3277" s="111" t="inlineStr">
        <is>
          <t>PC</t>
        </is>
      </c>
      <c r="AA3277" s="111" t="inlineStr">
        <is>
          <t>Nao</t>
        </is>
      </c>
      <c r="AB3277" s="111" t="inlineStr">
        <is>
          <t>NAO_COMPUTADO</t>
        </is>
      </c>
      <c r="AC3277" s="112" t="inlineStr">
        <is>
          <t>Estrutura Fase 1: sem impacto no VTA oficial</t>
        </is>
      </c>
    </row>
    <row r="3278" ht="25.5" customHeight="1" s="289">
      <c r="A3278" s="205" t="n"/>
      <c r="B3278" s="207" t="n"/>
      <c r="C3278" s="104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348" t="n"/>
      <c r="E3278" s="349">
        <f>IF(C3278="","",IFERROR(VLOOKUP(C3278,parametros!$A$11:$E$15,5,0),""))</f>
        <v/>
      </c>
      <c r="F3278" s="335">
        <f>IF(OR(D3278="",E3278=""),"",ROUND(D3278*E3278,2))</f>
        <v/>
      </c>
      <c r="G3278" s="106" t="n"/>
      <c r="H3278" s="350">
        <f>IF(G3278="Sim",IF(OR(F3278="",D3278="",L3278=""),"",IF(L3278="Sim",ROUND(F3278-D3278,2),0)),0)</f>
        <v/>
      </c>
      <c r="I3278" s="350">
        <f>IF(G3278="Sim",0,IF(OR(F3278="",L3278=""),"",F3278))</f>
        <v/>
      </c>
      <c r="J3278" s="350">
        <f>IF(G3278="Sim",0,IF(OR(F3278="",D3278="",L3278=""),"",IF(L3278="Sim",ROUND(F3278-D3278,2),0)))</f>
        <v/>
      </c>
      <c r="K3278" s="97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inlineStr">
        <is>
          <t>Nao</t>
        </is>
      </c>
      <c r="W3278" s="110" t="inlineStr">
        <is>
          <t>PC em analise</t>
        </is>
      </c>
      <c r="X3278" s="110" t="inlineStr">
        <is>
          <t>Pedido de Compra</t>
        </is>
      </c>
      <c r="Y3278" s="111" t="inlineStr">
        <is>
          <t>Impacto Potencial</t>
        </is>
      </c>
      <c r="Z3278" s="111" t="inlineStr">
        <is>
          <t>PC</t>
        </is>
      </c>
      <c r="AA3278" s="111" t="inlineStr">
        <is>
          <t>Nao</t>
        </is>
      </c>
      <c r="AB3278" s="111" t="inlineStr">
        <is>
          <t>NAO_COMPUTADO</t>
        </is>
      </c>
      <c r="AC3278" s="112" t="inlineStr">
        <is>
          <t>Estrutura Fase 1: sem impacto no VTA oficial</t>
        </is>
      </c>
    </row>
    <row r="3279" ht="25.5" customHeight="1" s="289">
      <c r="A3279" s="205" t="n"/>
      <c r="B3279" s="207" t="n"/>
      <c r="C3279" s="104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348" t="n"/>
      <c r="E3279" s="349">
        <f>IF(C3279="","",IFERROR(VLOOKUP(C3279,parametros!$A$11:$E$15,5,0),""))</f>
        <v/>
      </c>
      <c r="F3279" s="335">
        <f>IF(OR(D3279="",E3279=""),"",ROUND(D3279*E3279,2))</f>
        <v/>
      </c>
      <c r="G3279" s="106" t="n"/>
      <c r="H3279" s="350">
        <f>IF(G3279="Sim",IF(OR(F3279="",D3279="",L3279=""),"",IF(L3279="Sim",ROUND(F3279-D3279,2),0)),0)</f>
        <v/>
      </c>
      <c r="I3279" s="350">
        <f>IF(G3279="Sim",0,IF(OR(F3279="",L3279=""),"",F3279))</f>
        <v/>
      </c>
      <c r="J3279" s="350">
        <f>IF(G3279="Sim",0,IF(OR(F3279="",D3279="",L3279=""),"",IF(L3279="Sim",ROUND(F3279-D3279,2),0)))</f>
        <v/>
      </c>
      <c r="K3279" s="97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inlineStr">
        <is>
          <t>Nao</t>
        </is>
      </c>
      <c r="W3279" s="110" t="inlineStr">
        <is>
          <t>PC em analise</t>
        </is>
      </c>
      <c r="X3279" s="110" t="inlineStr">
        <is>
          <t>Pedido de Compra</t>
        </is>
      </c>
      <c r="Y3279" s="111" t="inlineStr">
        <is>
          <t>Impacto Potencial</t>
        </is>
      </c>
      <c r="Z3279" s="111" t="inlineStr">
        <is>
          <t>PC</t>
        </is>
      </c>
      <c r="AA3279" s="111" t="inlineStr">
        <is>
          <t>Nao</t>
        </is>
      </c>
      <c r="AB3279" s="111" t="inlineStr">
        <is>
          <t>NAO_COMPUTADO</t>
        </is>
      </c>
      <c r="AC3279" s="112" t="inlineStr">
        <is>
          <t>Estrutura Fase 1: sem impacto no VTA oficial</t>
        </is>
      </c>
    </row>
    <row r="3280" ht="25.5" customHeight="1" s="289">
      <c r="A3280" s="205" t="n"/>
      <c r="B3280" s="207" t="n"/>
      <c r="C3280" s="104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348" t="n"/>
      <c r="E3280" s="349">
        <f>IF(C3280="","",IFERROR(VLOOKUP(C3280,parametros!$A$11:$E$15,5,0),""))</f>
        <v/>
      </c>
      <c r="F3280" s="335">
        <f>IF(OR(D3280="",E3280=""),"",ROUND(D3280*E3280,2))</f>
        <v/>
      </c>
      <c r="G3280" s="106" t="n"/>
      <c r="H3280" s="350">
        <f>IF(G3280="Sim",IF(OR(F3280="",D3280="",L3280=""),"",IF(L3280="Sim",ROUND(F3280-D3280,2),0)),0)</f>
        <v/>
      </c>
      <c r="I3280" s="350">
        <f>IF(G3280="Sim",0,IF(OR(F3280="",L3280=""),"",F3280))</f>
        <v/>
      </c>
      <c r="J3280" s="350">
        <f>IF(G3280="Sim",0,IF(OR(F3280="",D3280="",L3280=""),"",IF(L3280="Sim",ROUND(F3280-D3280,2),0)))</f>
        <v/>
      </c>
      <c r="K3280" s="97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inlineStr">
        <is>
          <t>Nao</t>
        </is>
      </c>
      <c r="W3280" s="110" t="inlineStr">
        <is>
          <t>PC em analise</t>
        </is>
      </c>
      <c r="X3280" s="110" t="inlineStr">
        <is>
          <t>Pedido de Compra</t>
        </is>
      </c>
      <c r="Y3280" s="111" t="inlineStr">
        <is>
          <t>Impacto Potencial</t>
        </is>
      </c>
      <c r="Z3280" s="111" t="inlineStr">
        <is>
          <t>PC</t>
        </is>
      </c>
      <c r="AA3280" s="111" t="inlineStr">
        <is>
          <t>Nao</t>
        </is>
      </c>
      <c r="AB3280" s="111" t="inlineStr">
        <is>
          <t>NAO_COMPUTADO</t>
        </is>
      </c>
      <c r="AC3280" s="112" t="inlineStr">
        <is>
          <t>Estrutura Fase 1: sem impacto no VTA oficial</t>
        </is>
      </c>
    </row>
    <row r="3281" ht="25.5" customHeight="1" s="289">
      <c r="A3281" s="205" t="n"/>
      <c r="B3281" s="207" t="n"/>
      <c r="C3281" s="104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348" t="n"/>
      <c r="E3281" s="349">
        <f>IF(C3281="","",IFERROR(VLOOKUP(C3281,parametros!$A$11:$E$15,5,0),""))</f>
        <v/>
      </c>
      <c r="F3281" s="335">
        <f>IF(OR(D3281="",E3281=""),"",ROUND(D3281*E3281,2))</f>
        <v/>
      </c>
      <c r="G3281" s="106" t="n"/>
      <c r="H3281" s="350">
        <f>IF(G3281="Sim",IF(OR(F3281="",D3281="",L3281=""),"",IF(L3281="Sim",ROUND(F3281-D3281,2),0)),0)</f>
        <v/>
      </c>
      <c r="I3281" s="350">
        <f>IF(G3281="Sim",0,IF(OR(F3281="",L3281=""),"",F3281))</f>
        <v/>
      </c>
      <c r="J3281" s="350">
        <f>IF(G3281="Sim",0,IF(OR(F3281="",D3281="",L3281=""),"",IF(L3281="Sim",ROUND(F3281-D3281,2),0)))</f>
        <v/>
      </c>
      <c r="K3281" s="97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inlineStr">
        <is>
          <t>Nao</t>
        </is>
      </c>
      <c r="W3281" s="110" t="inlineStr">
        <is>
          <t>PC em analise</t>
        </is>
      </c>
      <c r="X3281" s="110" t="inlineStr">
        <is>
          <t>Pedido de Compra</t>
        </is>
      </c>
      <c r="Y3281" s="111" t="inlineStr">
        <is>
          <t>Impacto Potencial</t>
        </is>
      </c>
      <c r="Z3281" s="111" t="inlineStr">
        <is>
          <t>PC</t>
        </is>
      </c>
      <c r="AA3281" s="111" t="inlineStr">
        <is>
          <t>Nao</t>
        </is>
      </c>
      <c r="AB3281" s="111" t="inlineStr">
        <is>
          <t>NAO_COMPUTADO</t>
        </is>
      </c>
      <c r="AC3281" s="112" t="inlineStr">
        <is>
          <t>Estrutura Fase 1: sem impacto no VTA oficial</t>
        </is>
      </c>
    </row>
    <row r="3282" ht="25.5" customHeight="1" s="289">
      <c r="A3282" s="205" t="n"/>
      <c r="B3282" s="207" t="n"/>
      <c r="C3282" s="104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348" t="n"/>
      <c r="E3282" s="349">
        <f>IF(C3282="","",IFERROR(VLOOKUP(C3282,parametros!$A$11:$E$15,5,0),""))</f>
        <v/>
      </c>
      <c r="F3282" s="335">
        <f>IF(OR(D3282="",E3282=""),"",ROUND(D3282*E3282,2))</f>
        <v/>
      </c>
      <c r="G3282" s="106" t="n"/>
      <c r="H3282" s="350">
        <f>IF(G3282="Sim",IF(OR(F3282="",D3282="",L3282=""),"",IF(L3282="Sim",ROUND(F3282-D3282,2),0)),0)</f>
        <v/>
      </c>
      <c r="I3282" s="350">
        <f>IF(G3282="Sim",0,IF(OR(F3282="",L3282=""),"",F3282))</f>
        <v/>
      </c>
      <c r="J3282" s="350">
        <f>IF(G3282="Sim",0,IF(OR(F3282="",D3282="",L3282=""),"",IF(L3282="Sim",ROUND(F3282-D3282,2),0)))</f>
        <v/>
      </c>
      <c r="K3282" s="97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inlineStr">
        <is>
          <t>Nao</t>
        </is>
      </c>
      <c r="W3282" s="110" t="inlineStr">
        <is>
          <t>PC em analise</t>
        </is>
      </c>
      <c r="X3282" s="110" t="inlineStr">
        <is>
          <t>Pedido de Compra</t>
        </is>
      </c>
      <c r="Y3282" s="111" t="inlineStr">
        <is>
          <t>Impacto Potencial</t>
        </is>
      </c>
      <c r="Z3282" s="111" t="inlineStr">
        <is>
          <t>PC</t>
        </is>
      </c>
      <c r="AA3282" s="111" t="inlineStr">
        <is>
          <t>Nao</t>
        </is>
      </c>
      <c r="AB3282" s="111" t="inlineStr">
        <is>
          <t>NAO_COMPUTADO</t>
        </is>
      </c>
      <c r="AC3282" s="112" t="inlineStr">
        <is>
          <t>Estrutura Fase 1: sem impacto no VTA oficial</t>
        </is>
      </c>
    </row>
    <row r="3283" ht="25.5" customHeight="1" s="289">
      <c r="A3283" s="205" t="n"/>
      <c r="B3283" s="207" t="n"/>
      <c r="C3283" s="104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348" t="n"/>
      <c r="E3283" s="349">
        <f>IF(C3283="","",IFERROR(VLOOKUP(C3283,parametros!$A$11:$E$15,5,0),""))</f>
        <v/>
      </c>
      <c r="F3283" s="335">
        <f>IF(OR(D3283="",E3283=""),"",ROUND(D3283*E3283,2))</f>
        <v/>
      </c>
      <c r="G3283" s="106" t="n"/>
      <c r="H3283" s="350">
        <f>IF(G3283="Sim",IF(OR(F3283="",D3283="",L3283=""),"",IF(L3283="Sim",ROUND(F3283-D3283,2),0)),0)</f>
        <v/>
      </c>
      <c r="I3283" s="350">
        <f>IF(G3283="Sim",0,IF(OR(F3283="",L3283=""),"",F3283))</f>
        <v/>
      </c>
      <c r="J3283" s="350">
        <f>IF(G3283="Sim",0,IF(OR(F3283="",D3283="",L3283=""),"",IF(L3283="Sim",ROUND(F3283-D3283,2),0)))</f>
        <v/>
      </c>
      <c r="K3283" s="97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inlineStr">
        <is>
          <t>Nao</t>
        </is>
      </c>
      <c r="W3283" s="110" t="inlineStr">
        <is>
          <t>PC em analise</t>
        </is>
      </c>
      <c r="X3283" s="110" t="inlineStr">
        <is>
          <t>Pedido de Compra</t>
        </is>
      </c>
      <c r="Y3283" s="111" t="inlineStr">
        <is>
          <t>Impacto Potencial</t>
        </is>
      </c>
      <c r="Z3283" s="111" t="inlineStr">
        <is>
          <t>PC</t>
        </is>
      </c>
      <c r="AA3283" s="111" t="inlineStr">
        <is>
          <t>Nao</t>
        </is>
      </c>
      <c r="AB3283" s="111" t="inlineStr">
        <is>
          <t>NAO_COMPUTADO</t>
        </is>
      </c>
      <c r="AC3283" s="112" t="inlineStr">
        <is>
          <t>Estrutura Fase 1: sem impacto no VTA oficial</t>
        </is>
      </c>
    </row>
    <row r="3284" ht="25.5" customHeight="1" s="289">
      <c r="A3284" s="205" t="n"/>
      <c r="B3284" s="207" t="n"/>
      <c r="C3284" s="104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348" t="n"/>
      <c r="E3284" s="349">
        <f>IF(C3284="","",IFERROR(VLOOKUP(C3284,parametros!$A$11:$E$15,5,0),""))</f>
        <v/>
      </c>
      <c r="F3284" s="335">
        <f>IF(OR(D3284="",E3284=""),"",ROUND(D3284*E3284,2))</f>
        <v/>
      </c>
      <c r="G3284" s="106" t="n"/>
      <c r="H3284" s="350">
        <f>IF(G3284="Sim",IF(OR(F3284="",D3284="",L3284=""),"",IF(L3284="Sim",ROUND(F3284-D3284,2),0)),0)</f>
        <v/>
      </c>
      <c r="I3284" s="350">
        <f>IF(G3284="Sim",0,IF(OR(F3284="",L3284=""),"",F3284))</f>
        <v/>
      </c>
      <c r="J3284" s="350">
        <f>IF(G3284="Sim",0,IF(OR(F3284="",D3284="",L3284=""),"",IF(L3284="Sim",ROUND(F3284-D3284,2),0)))</f>
        <v/>
      </c>
      <c r="K3284" s="97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inlineStr">
        <is>
          <t>Nao</t>
        </is>
      </c>
      <c r="W3284" s="110" t="inlineStr">
        <is>
          <t>PC em analise</t>
        </is>
      </c>
      <c r="X3284" s="110" t="inlineStr">
        <is>
          <t>Pedido de Compra</t>
        </is>
      </c>
      <c r="Y3284" s="111" t="inlineStr">
        <is>
          <t>Impacto Potencial</t>
        </is>
      </c>
      <c r="Z3284" s="111" t="inlineStr">
        <is>
          <t>PC</t>
        </is>
      </c>
      <c r="AA3284" s="111" t="inlineStr">
        <is>
          <t>Nao</t>
        </is>
      </c>
      <c r="AB3284" s="111" t="inlineStr">
        <is>
          <t>NAO_COMPUTADO</t>
        </is>
      </c>
      <c r="AC3284" s="112" t="inlineStr">
        <is>
          <t>Estrutura Fase 1: sem impacto no VTA oficial</t>
        </is>
      </c>
    </row>
    <row r="3285" ht="25.5" customHeight="1" s="289">
      <c r="A3285" s="205" t="n"/>
      <c r="B3285" s="207" t="n"/>
      <c r="C3285" s="104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348" t="n"/>
      <c r="E3285" s="349">
        <f>IF(C3285="","",IFERROR(VLOOKUP(C3285,parametros!$A$11:$E$15,5,0),""))</f>
        <v/>
      </c>
      <c r="F3285" s="335">
        <f>IF(OR(D3285="",E3285=""),"",ROUND(D3285*E3285,2))</f>
        <v/>
      </c>
      <c r="G3285" s="106" t="n"/>
      <c r="H3285" s="350">
        <f>IF(G3285="Sim",IF(OR(F3285="",D3285="",L3285=""),"",IF(L3285="Sim",ROUND(F3285-D3285,2),0)),0)</f>
        <v/>
      </c>
      <c r="I3285" s="350">
        <f>IF(G3285="Sim",0,IF(OR(F3285="",L3285=""),"",F3285))</f>
        <v/>
      </c>
      <c r="J3285" s="350">
        <f>IF(G3285="Sim",0,IF(OR(F3285="",D3285="",L3285=""),"",IF(L3285="Sim",ROUND(F3285-D3285,2),0)))</f>
        <v/>
      </c>
      <c r="K3285" s="97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inlineStr">
        <is>
          <t>Nao</t>
        </is>
      </c>
      <c r="W3285" s="110" t="inlineStr">
        <is>
          <t>PC em analise</t>
        </is>
      </c>
      <c r="X3285" s="110" t="inlineStr">
        <is>
          <t>Pedido de Compra</t>
        </is>
      </c>
      <c r="Y3285" s="111" t="inlineStr">
        <is>
          <t>Impacto Potencial</t>
        </is>
      </c>
      <c r="Z3285" s="111" t="inlineStr">
        <is>
          <t>PC</t>
        </is>
      </c>
      <c r="AA3285" s="111" t="inlineStr">
        <is>
          <t>Nao</t>
        </is>
      </c>
      <c r="AB3285" s="111" t="inlineStr">
        <is>
          <t>NAO_COMPUTADO</t>
        </is>
      </c>
      <c r="AC3285" s="112" t="inlineStr">
        <is>
          <t>Estrutura Fase 1: sem impacto no VTA oficial</t>
        </is>
      </c>
    </row>
    <row r="3286" ht="25.5" customHeight="1" s="289">
      <c r="A3286" s="205" t="n"/>
      <c r="B3286" s="207" t="n"/>
      <c r="C3286" s="104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348" t="n"/>
      <c r="E3286" s="349">
        <f>IF(C3286="","",IFERROR(VLOOKUP(C3286,parametros!$A$11:$E$15,5,0),""))</f>
        <v/>
      </c>
      <c r="F3286" s="335">
        <f>IF(OR(D3286="",E3286=""),"",ROUND(D3286*E3286,2))</f>
        <v/>
      </c>
      <c r="G3286" s="106" t="n"/>
      <c r="H3286" s="350">
        <f>IF(G3286="Sim",IF(OR(F3286="",D3286="",L3286=""),"",IF(L3286="Sim",ROUND(F3286-D3286,2),0)),0)</f>
        <v/>
      </c>
      <c r="I3286" s="350">
        <f>IF(G3286="Sim",0,IF(OR(F3286="",L3286=""),"",F3286))</f>
        <v/>
      </c>
      <c r="J3286" s="350">
        <f>IF(G3286="Sim",0,IF(OR(F3286="",D3286="",L3286=""),"",IF(L3286="Sim",ROUND(F3286-D3286,2),0)))</f>
        <v/>
      </c>
      <c r="K3286" s="97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inlineStr">
        <is>
          <t>Nao</t>
        </is>
      </c>
      <c r="W3286" s="110" t="inlineStr">
        <is>
          <t>PC em analise</t>
        </is>
      </c>
      <c r="X3286" s="110" t="inlineStr">
        <is>
          <t>Pedido de Compra</t>
        </is>
      </c>
      <c r="Y3286" s="111" t="inlineStr">
        <is>
          <t>Impacto Potencial</t>
        </is>
      </c>
      <c r="Z3286" s="111" t="inlineStr">
        <is>
          <t>PC</t>
        </is>
      </c>
      <c r="AA3286" s="111" t="inlineStr">
        <is>
          <t>Nao</t>
        </is>
      </c>
      <c r="AB3286" s="111" t="inlineStr">
        <is>
          <t>NAO_COMPUTADO</t>
        </is>
      </c>
      <c r="AC3286" s="112" t="inlineStr">
        <is>
          <t>Estrutura Fase 1: sem impacto no VTA oficial</t>
        </is>
      </c>
    </row>
    <row r="3287" ht="25.5" customHeight="1" s="289">
      <c r="A3287" s="205" t="n"/>
      <c r="B3287" s="207" t="n"/>
      <c r="C3287" s="104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348" t="n"/>
      <c r="E3287" s="349">
        <f>IF(C3287="","",IFERROR(VLOOKUP(C3287,parametros!$A$11:$E$15,5,0),""))</f>
        <v/>
      </c>
      <c r="F3287" s="335">
        <f>IF(OR(D3287="",E3287=""),"",ROUND(D3287*E3287,2))</f>
        <v/>
      </c>
      <c r="G3287" s="106" t="n"/>
      <c r="H3287" s="350">
        <f>IF(G3287="Sim",IF(OR(F3287="",D3287="",L3287=""),"",IF(L3287="Sim",ROUND(F3287-D3287,2),0)),0)</f>
        <v/>
      </c>
      <c r="I3287" s="350">
        <f>IF(G3287="Sim",0,IF(OR(F3287="",L3287=""),"",F3287))</f>
        <v/>
      </c>
      <c r="J3287" s="350">
        <f>IF(G3287="Sim",0,IF(OR(F3287="",D3287="",L3287=""),"",IF(L3287="Sim",ROUND(F3287-D3287,2),0)))</f>
        <v/>
      </c>
      <c r="K3287" s="97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inlineStr">
        <is>
          <t>Nao</t>
        </is>
      </c>
      <c r="W3287" s="110" t="inlineStr">
        <is>
          <t>PC em analise</t>
        </is>
      </c>
      <c r="X3287" s="110" t="inlineStr">
        <is>
          <t>Pedido de Compra</t>
        </is>
      </c>
      <c r="Y3287" s="111" t="inlineStr">
        <is>
          <t>Impacto Potencial</t>
        </is>
      </c>
      <c r="Z3287" s="111" t="inlineStr">
        <is>
          <t>PC</t>
        </is>
      </c>
      <c r="AA3287" s="111" t="inlineStr">
        <is>
          <t>Nao</t>
        </is>
      </c>
      <c r="AB3287" s="111" t="inlineStr">
        <is>
          <t>NAO_COMPUTADO</t>
        </is>
      </c>
      <c r="AC3287" s="112" t="inlineStr">
        <is>
          <t>Estrutura Fase 1: sem impacto no VTA oficial</t>
        </is>
      </c>
    </row>
    <row r="3288" ht="25.5" customHeight="1" s="289">
      <c r="A3288" s="205" t="n"/>
      <c r="B3288" s="207" t="n"/>
      <c r="C3288" s="104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348" t="n"/>
      <c r="E3288" s="349">
        <f>IF(C3288="","",IFERROR(VLOOKUP(C3288,parametros!$A$11:$E$15,5,0),""))</f>
        <v/>
      </c>
      <c r="F3288" s="335">
        <f>IF(OR(D3288="",E3288=""),"",ROUND(D3288*E3288,2))</f>
        <v/>
      </c>
      <c r="G3288" s="106" t="n"/>
      <c r="H3288" s="350">
        <f>IF(G3288="Sim",IF(OR(F3288="",D3288="",L3288=""),"",IF(L3288="Sim",ROUND(F3288-D3288,2),0)),0)</f>
        <v/>
      </c>
      <c r="I3288" s="350">
        <f>IF(G3288="Sim",0,IF(OR(F3288="",L3288=""),"",F3288))</f>
        <v/>
      </c>
      <c r="J3288" s="350">
        <f>IF(G3288="Sim",0,IF(OR(F3288="",D3288="",L3288=""),"",IF(L3288="Sim",ROUND(F3288-D3288,2),0)))</f>
        <v/>
      </c>
      <c r="K3288" s="97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inlineStr">
        <is>
          <t>Nao</t>
        </is>
      </c>
      <c r="W3288" s="110" t="inlineStr">
        <is>
          <t>PC em analise</t>
        </is>
      </c>
      <c r="X3288" s="110" t="inlineStr">
        <is>
          <t>Pedido de Compra</t>
        </is>
      </c>
      <c r="Y3288" s="111" t="inlineStr">
        <is>
          <t>Impacto Potencial</t>
        </is>
      </c>
      <c r="Z3288" s="111" t="inlineStr">
        <is>
          <t>PC</t>
        </is>
      </c>
      <c r="AA3288" s="111" t="inlineStr">
        <is>
          <t>Nao</t>
        </is>
      </c>
      <c r="AB3288" s="111" t="inlineStr">
        <is>
          <t>NAO_COMPUTADO</t>
        </is>
      </c>
      <c r="AC3288" s="112" t="inlineStr">
        <is>
          <t>Estrutura Fase 1: sem impacto no VTA oficial</t>
        </is>
      </c>
    </row>
    <row r="3289" ht="25.5" customHeight="1" s="289">
      <c r="A3289" s="205" t="n"/>
      <c r="B3289" s="207" t="n"/>
      <c r="C3289" s="104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348" t="n"/>
      <c r="E3289" s="349">
        <f>IF(C3289="","",IFERROR(VLOOKUP(C3289,parametros!$A$11:$E$15,5,0),""))</f>
        <v/>
      </c>
      <c r="F3289" s="335">
        <f>IF(OR(D3289="",E3289=""),"",ROUND(D3289*E3289,2))</f>
        <v/>
      </c>
      <c r="G3289" s="106" t="n"/>
      <c r="H3289" s="350">
        <f>IF(G3289="Sim",IF(OR(F3289="",D3289="",L3289=""),"",IF(L3289="Sim",ROUND(F3289-D3289,2),0)),0)</f>
        <v/>
      </c>
      <c r="I3289" s="350">
        <f>IF(G3289="Sim",0,IF(OR(F3289="",L3289=""),"",F3289))</f>
        <v/>
      </c>
      <c r="J3289" s="350">
        <f>IF(G3289="Sim",0,IF(OR(F3289="",D3289="",L3289=""),"",IF(L3289="Sim",ROUND(F3289-D3289,2),0)))</f>
        <v/>
      </c>
      <c r="K3289" s="97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inlineStr">
        <is>
          <t>Nao</t>
        </is>
      </c>
      <c r="W3289" s="110" t="inlineStr">
        <is>
          <t>PC em analise</t>
        </is>
      </c>
      <c r="X3289" s="110" t="inlineStr">
        <is>
          <t>Pedido de Compra</t>
        </is>
      </c>
      <c r="Y3289" s="111" t="inlineStr">
        <is>
          <t>Impacto Potencial</t>
        </is>
      </c>
      <c r="Z3289" s="111" t="inlineStr">
        <is>
          <t>PC</t>
        </is>
      </c>
      <c r="AA3289" s="111" t="inlineStr">
        <is>
          <t>Nao</t>
        </is>
      </c>
      <c r="AB3289" s="111" t="inlineStr">
        <is>
          <t>NAO_COMPUTADO</t>
        </is>
      </c>
      <c r="AC3289" s="112" t="inlineStr">
        <is>
          <t>Estrutura Fase 1: sem impacto no VTA oficial</t>
        </is>
      </c>
    </row>
    <row r="3290" ht="25.5" customHeight="1" s="289">
      <c r="A3290" s="205" t="n"/>
      <c r="B3290" s="207" t="n"/>
      <c r="C3290" s="104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348" t="n"/>
      <c r="E3290" s="349">
        <f>IF(C3290="","",IFERROR(VLOOKUP(C3290,parametros!$A$11:$E$15,5,0),""))</f>
        <v/>
      </c>
      <c r="F3290" s="335">
        <f>IF(OR(D3290="",E3290=""),"",ROUND(D3290*E3290,2))</f>
        <v/>
      </c>
      <c r="G3290" s="106" t="n"/>
      <c r="H3290" s="350">
        <f>IF(G3290="Sim",IF(OR(F3290="",D3290="",L3290=""),"",IF(L3290="Sim",ROUND(F3290-D3290,2),0)),0)</f>
        <v/>
      </c>
      <c r="I3290" s="350">
        <f>IF(G3290="Sim",0,IF(OR(F3290="",L3290=""),"",F3290))</f>
        <v/>
      </c>
      <c r="J3290" s="350">
        <f>IF(G3290="Sim",0,IF(OR(F3290="",D3290="",L3290=""),"",IF(L3290="Sim",ROUND(F3290-D3290,2),0)))</f>
        <v/>
      </c>
      <c r="K3290" s="97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inlineStr">
        <is>
          <t>Nao</t>
        </is>
      </c>
      <c r="W3290" s="110" t="inlineStr">
        <is>
          <t>PC em analise</t>
        </is>
      </c>
      <c r="X3290" s="110" t="inlineStr">
        <is>
          <t>Pedido de Compra</t>
        </is>
      </c>
      <c r="Y3290" s="111" t="inlineStr">
        <is>
          <t>Impacto Potencial</t>
        </is>
      </c>
      <c r="Z3290" s="111" t="inlineStr">
        <is>
          <t>PC</t>
        </is>
      </c>
      <c r="AA3290" s="111" t="inlineStr">
        <is>
          <t>Nao</t>
        </is>
      </c>
      <c r="AB3290" s="111" t="inlineStr">
        <is>
          <t>NAO_COMPUTADO</t>
        </is>
      </c>
      <c r="AC3290" s="112" t="inlineStr">
        <is>
          <t>Estrutura Fase 1: sem impacto no VTA oficial</t>
        </is>
      </c>
    </row>
    <row r="3291" ht="25.5" customHeight="1" s="289">
      <c r="A3291" s="205" t="n"/>
      <c r="B3291" s="207" t="n"/>
      <c r="C3291" s="104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348" t="n"/>
      <c r="E3291" s="349">
        <f>IF(C3291="","",IFERROR(VLOOKUP(C3291,parametros!$A$11:$E$15,5,0),""))</f>
        <v/>
      </c>
      <c r="F3291" s="335">
        <f>IF(OR(D3291="",E3291=""),"",ROUND(D3291*E3291,2))</f>
        <v/>
      </c>
      <c r="G3291" s="106" t="n"/>
      <c r="H3291" s="350">
        <f>IF(G3291="Sim",IF(OR(F3291="",D3291="",L3291=""),"",IF(L3291="Sim",ROUND(F3291-D3291,2),0)),0)</f>
        <v/>
      </c>
      <c r="I3291" s="350">
        <f>IF(G3291="Sim",0,IF(OR(F3291="",L3291=""),"",F3291))</f>
        <v/>
      </c>
      <c r="J3291" s="350">
        <f>IF(G3291="Sim",0,IF(OR(F3291="",D3291="",L3291=""),"",IF(L3291="Sim",ROUND(F3291-D3291,2),0)))</f>
        <v/>
      </c>
      <c r="K3291" s="97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inlineStr">
        <is>
          <t>Nao</t>
        </is>
      </c>
      <c r="W3291" s="110" t="inlineStr">
        <is>
          <t>PC em analise</t>
        </is>
      </c>
      <c r="X3291" s="110" t="inlineStr">
        <is>
          <t>Pedido de Compra</t>
        </is>
      </c>
      <c r="Y3291" s="111" t="inlineStr">
        <is>
          <t>Impacto Potencial</t>
        </is>
      </c>
      <c r="Z3291" s="111" t="inlineStr">
        <is>
          <t>PC</t>
        </is>
      </c>
      <c r="AA3291" s="111" t="inlineStr">
        <is>
          <t>Nao</t>
        </is>
      </c>
      <c r="AB3291" s="111" t="inlineStr">
        <is>
          <t>NAO_COMPUTADO</t>
        </is>
      </c>
      <c r="AC3291" s="112" t="inlineStr">
        <is>
          <t>Estrutura Fase 1: sem impacto no VTA oficial</t>
        </is>
      </c>
    </row>
    <row r="3292" ht="25.5" customHeight="1" s="289">
      <c r="A3292" s="205" t="n"/>
      <c r="B3292" s="207" t="n"/>
      <c r="C3292" s="104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348" t="n"/>
      <c r="E3292" s="349">
        <f>IF(C3292="","",IFERROR(VLOOKUP(C3292,parametros!$A$11:$E$15,5,0),""))</f>
        <v/>
      </c>
      <c r="F3292" s="335">
        <f>IF(OR(D3292="",E3292=""),"",ROUND(D3292*E3292,2))</f>
        <v/>
      </c>
      <c r="G3292" s="106" t="n"/>
      <c r="H3292" s="350">
        <f>IF(G3292="Sim",IF(OR(F3292="",D3292="",L3292=""),"",IF(L3292="Sim",ROUND(F3292-D3292,2),0)),0)</f>
        <v/>
      </c>
      <c r="I3292" s="350">
        <f>IF(G3292="Sim",0,IF(OR(F3292="",L3292=""),"",F3292))</f>
        <v/>
      </c>
      <c r="J3292" s="350">
        <f>IF(G3292="Sim",0,IF(OR(F3292="",D3292="",L3292=""),"",IF(L3292="Sim",ROUND(F3292-D3292,2),0)))</f>
        <v/>
      </c>
      <c r="K3292" s="97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inlineStr">
        <is>
          <t>Nao</t>
        </is>
      </c>
      <c r="W3292" s="110" t="inlineStr">
        <is>
          <t>PC em analise</t>
        </is>
      </c>
      <c r="X3292" s="110" t="inlineStr">
        <is>
          <t>Pedido de Compra</t>
        </is>
      </c>
      <c r="Y3292" s="111" t="inlineStr">
        <is>
          <t>Impacto Potencial</t>
        </is>
      </c>
      <c r="Z3292" s="111" t="inlineStr">
        <is>
          <t>PC</t>
        </is>
      </c>
      <c r="AA3292" s="111" t="inlineStr">
        <is>
          <t>Nao</t>
        </is>
      </c>
      <c r="AB3292" s="111" t="inlineStr">
        <is>
          <t>NAO_COMPUTADO</t>
        </is>
      </c>
      <c r="AC3292" s="112" t="inlineStr">
        <is>
          <t>Estrutura Fase 1: sem impacto no VTA oficial</t>
        </is>
      </c>
    </row>
    <row r="3293" ht="25.5" customHeight="1" s="289">
      <c r="A3293" s="205" t="n"/>
      <c r="B3293" s="207" t="n"/>
      <c r="C3293" s="104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348" t="n"/>
      <c r="E3293" s="349">
        <f>IF(C3293="","",IFERROR(VLOOKUP(C3293,parametros!$A$11:$E$15,5,0),""))</f>
        <v/>
      </c>
      <c r="F3293" s="335">
        <f>IF(OR(D3293="",E3293=""),"",ROUND(D3293*E3293,2))</f>
        <v/>
      </c>
      <c r="G3293" s="106" t="n"/>
      <c r="H3293" s="350">
        <f>IF(G3293="Sim",IF(OR(F3293="",D3293="",L3293=""),"",IF(L3293="Sim",ROUND(F3293-D3293,2),0)),0)</f>
        <v/>
      </c>
      <c r="I3293" s="350">
        <f>IF(G3293="Sim",0,IF(OR(F3293="",L3293=""),"",F3293))</f>
        <v/>
      </c>
      <c r="J3293" s="350">
        <f>IF(G3293="Sim",0,IF(OR(F3293="",D3293="",L3293=""),"",IF(L3293="Sim",ROUND(F3293-D3293,2),0)))</f>
        <v/>
      </c>
      <c r="K3293" s="97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inlineStr">
        <is>
          <t>Nao</t>
        </is>
      </c>
      <c r="W3293" s="110" t="inlineStr">
        <is>
          <t>PC em analise</t>
        </is>
      </c>
      <c r="X3293" s="110" t="inlineStr">
        <is>
          <t>Pedido de Compra</t>
        </is>
      </c>
      <c r="Y3293" s="111" t="inlineStr">
        <is>
          <t>Impacto Potencial</t>
        </is>
      </c>
      <c r="Z3293" s="111" t="inlineStr">
        <is>
          <t>PC</t>
        </is>
      </c>
      <c r="AA3293" s="111" t="inlineStr">
        <is>
          <t>Nao</t>
        </is>
      </c>
      <c r="AB3293" s="111" t="inlineStr">
        <is>
          <t>NAO_COMPUTADO</t>
        </is>
      </c>
      <c r="AC3293" s="112" t="inlineStr">
        <is>
          <t>Estrutura Fase 1: sem impacto no VTA oficial</t>
        </is>
      </c>
    </row>
    <row r="3294" ht="25.5" customHeight="1" s="289">
      <c r="A3294" s="205" t="n"/>
      <c r="B3294" s="207" t="n"/>
      <c r="C3294" s="104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348" t="n"/>
      <c r="E3294" s="349">
        <f>IF(C3294="","",IFERROR(VLOOKUP(C3294,parametros!$A$11:$E$15,5,0),""))</f>
        <v/>
      </c>
      <c r="F3294" s="335">
        <f>IF(OR(D3294="",E3294=""),"",ROUND(D3294*E3294,2))</f>
        <v/>
      </c>
      <c r="G3294" s="106" t="n"/>
      <c r="H3294" s="350">
        <f>IF(G3294="Sim",IF(OR(F3294="",D3294="",L3294=""),"",IF(L3294="Sim",ROUND(F3294-D3294,2),0)),0)</f>
        <v/>
      </c>
      <c r="I3294" s="350">
        <f>IF(G3294="Sim",0,IF(OR(F3294="",L3294=""),"",F3294))</f>
        <v/>
      </c>
      <c r="J3294" s="350">
        <f>IF(G3294="Sim",0,IF(OR(F3294="",D3294="",L3294=""),"",IF(L3294="Sim",ROUND(F3294-D3294,2),0)))</f>
        <v/>
      </c>
      <c r="K3294" s="97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inlineStr">
        <is>
          <t>Nao</t>
        </is>
      </c>
      <c r="W3294" s="110" t="inlineStr">
        <is>
          <t>PC em analise</t>
        </is>
      </c>
      <c r="X3294" s="110" t="inlineStr">
        <is>
          <t>Pedido de Compra</t>
        </is>
      </c>
      <c r="Y3294" s="111" t="inlineStr">
        <is>
          <t>Impacto Potencial</t>
        </is>
      </c>
      <c r="Z3294" s="111" t="inlineStr">
        <is>
          <t>PC</t>
        </is>
      </c>
      <c r="AA3294" s="111" t="inlineStr">
        <is>
          <t>Nao</t>
        </is>
      </c>
      <c r="AB3294" s="111" t="inlineStr">
        <is>
          <t>NAO_COMPUTADO</t>
        </is>
      </c>
      <c r="AC3294" s="112" t="inlineStr">
        <is>
          <t>Estrutura Fase 1: sem impacto no VTA oficial</t>
        </is>
      </c>
    </row>
    <row r="3295" ht="25.5" customHeight="1" s="289">
      <c r="A3295" s="205" t="n"/>
      <c r="B3295" s="207" t="n"/>
      <c r="C3295" s="104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348" t="n"/>
      <c r="E3295" s="349">
        <f>IF(C3295="","",IFERROR(VLOOKUP(C3295,parametros!$A$11:$E$15,5,0),""))</f>
        <v/>
      </c>
      <c r="F3295" s="335">
        <f>IF(OR(D3295="",E3295=""),"",ROUND(D3295*E3295,2))</f>
        <v/>
      </c>
      <c r="G3295" s="106" t="n"/>
      <c r="H3295" s="350">
        <f>IF(G3295="Sim",IF(OR(F3295="",D3295="",L3295=""),"",IF(L3295="Sim",ROUND(F3295-D3295,2),0)),0)</f>
        <v/>
      </c>
      <c r="I3295" s="350">
        <f>IF(G3295="Sim",0,IF(OR(F3295="",L3295=""),"",F3295))</f>
        <v/>
      </c>
      <c r="J3295" s="350">
        <f>IF(G3295="Sim",0,IF(OR(F3295="",D3295="",L3295=""),"",IF(L3295="Sim",ROUND(F3295-D3295,2),0)))</f>
        <v/>
      </c>
      <c r="K3295" s="97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inlineStr">
        <is>
          <t>Nao</t>
        </is>
      </c>
      <c r="W3295" s="110" t="inlineStr">
        <is>
          <t>PC em analise</t>
        </is>
      </c>
      <c r="X3295" s="110" t="inlineStr">
        <is>
          <t>Pedido de Compra</t>
        </is>
      </c>
      <c r="Y3295" s="111" t="inlineStr">
        <is>
          <t>Impacto Potencial</t>
        </is>
      </c>
      <c r="Z3295" s="111" t="inlineStr">
        <is>
          <t>PC</t>
        </is>
      </c>
      <c r="AA3295" s="111" t="inlineStr">
        <is>
          <t>Nao</t>
        </is>
      </c>
      <c r="AB3295" s="111" t="inlineStr">
        <is>
          <t>NAO_COMPUTADO</t>
        </is>
      </c>
      <c r="AC3295" s="112" t="inlineStr">
        <is>
          <t>Estrutura Fase 1: sem impacto no VTA oficial</t>
        </is>
      </c>
    </row>
    <row r="3296" ht="25.5" customHeight="1" s="289">
      <c r="A3296" s="205" t="n"/>
      <c r="B3296" s="207" t="n"/>
      <c r="C3296" s="104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348" t="n"/>
      <c r="E3296" s="349">
        <f>IF(C3296="","",IFERROR(VLOOKUP(C3296,parametros!$A$11:$E$15,5,0),""))</f>
        <v/>
      </c>
      <c r="F3296" s="335">
        <f>IF(OR(D3296="",E3296=""),"",ROUND(D3296*E3296,2))</f>
        <v/>
      </c>
      <c r="G3296" s="106" t="n"/>
      <c r="H3296" s="350">
        <f>IF(G3296="Sim",IF(OR(F3296="",D3296="",L3296=""),"",IF(L3296="Sim",ROUND(F3296-D3296,2),0)),0)</f>
        <v/>
      </c>
      <c r="I3296" s="350">
        <f>IF(G3296="Sim",0,IF(OR(F3296="",L3296=""),"",F3296))</f>
        <v/>
      </c>
      <c r="J3296" s="350">
        <f>IF(G3296="Sim",0,IF(OR(F3296="",D3296="",L3296=""),"",IF(L3296="Sim",ROUND(F3296-D3296,2),0)))</f>
        <v/>
      </c>
      <c r="K3296" s="97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inlineStr">
        <is>
          <t>Nao</t>
        </is>
      </c>
      <c r="W3296" s="110" t="inlineStr">
        <is>
          <t>PC em analise</t>
        </is>
      </c>
      <c r="X3296" s="110" t="inlineStr">
        <is>
          <t>Pedido de Compra</t>
        </is>
      </c>
      <c r="Y3296" s="111" t="inlineStr">
        <is>
          <t>Impacto Potencial</t>
        </is>
      </c>
      <c r="Z3296" s="111" t="inlineStr">
        <is>
          <t>PC</t>
        </is>
      </c>
      <c r="AA3296" s="111" t="inlineStr">
        <is>
          <t>Nao</t>
        </is>
      </c>
      <c r="AB3296" s="111" t="inlineStr">
        <is>
          <t>NAO_COMPUTADO</t>
        </is>
      </c>
      <c r="AC3296" s="112" t="inlineStr">
        <is>
          <t>Estrutura Fase 1: sem impacto no VTA oficial</t>
        </is>
      </c>
    </row>
    <row r="3297" ht="25.5" customHeight="1" s="289">
      <c r="A3297" s="205" t="n"/>
      <c r="B3297" s="207" t="n"/>
      <c r="C3297" s="104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348" t="n"/>
      <c r="E3297" s="349">
        <f>IF(C3297="","",IFERROR(VLOOKUP(C3297,parametros!$A$11:$E$15,5,0),""))</f>
        <v/>
      </c>
      <c r="F3297" s="335">
        <f>IF(OR(D3297="",E3297=""),"",ROUND(D3297*E3297,2))</f>
        <v/>
      </c>
      <c r="G3297" s="106" t="n"/>
      <c r="H3297" s="350">
        <f>IF(G3297="Sim",IF(OR(F3297="",D3297="",L3297=""),"",IF(L3297="Sim",ROUND(F3297-D3297,2),0)),0)</f>
        <v/>
      </c>
      <c r="I3297" s="350">
        <f>IF(G3297="Sim",0,IF(OR(F3297="",L3297=""),"",F3297))</f>
        <v/>
      </c>
      <c r="J3297" s="350">
        <f>IF(G3297="Sim",0,IF(OR(F3297="",D3297="",L3297=""),"",IF(L3297="Sim",ROUND(F3297-D3297,2),0)))</f>
        <v/>
      </c>
      <c r="K3297" s="97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inlineStr">
        <is>
          <t>Nao</t>
        </is>
      </c>
      <c r="W3297" s="110" t="inlineStr">
        <is>
          <t>PC em analise</t>
        </is>
      </c>
      <c r="X3297" s="110" t="inlineStr">
        <is>
          <t>Pedido de Compra</t>
        </is>
      </c>
      <c r="Y3297" s="111" t="inlineStr">
        <is>
          <t>Impacto Potencial</t>
        </is>
      </c>
      <c r="Z3297" s="111" t="inlineStr">
        <is>
          <t>PC</t>
        </is>
      </c>
      <c r="AA3297" s="111" t="inlineStr">
        <is>
          <t>Nao</t>
        </is>
      </c>
      <c r="AB3297" s="111" t="inlineStr">
        <is>
          <t>NAO_COMPUTADO</t>
        </is>
      </c>
      <c r="AC3297" s="112" t="inlineStr">
        <is>
          <t>Estrutura Fase 1: sem impacto no VTA oficial</t>
        </is>
      </c>
    </row>
    <row r="3298" ht="25.5" customHeight="1" s="289">
      <c r="A3298" s="205" t="n"/>
      <c r="B3298" s="207" t="n"/>
      <c r="C3298" s="104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348" t="n"/>
      <c r="E3298" s="349">
        <f>IF(C3298="","",IFERROR(VLOOKUP(C3298,parametros!$A$11:$E$15,5,0),""))</f>
        <v/>
      </c>
      <c r="F3298" s="335">
        <f>IF(OR(D3298="",E3298=""),"",ROUND(D3298*E3298,2))</f>
        <v/>
      </c>
      <c r="G3298" s="106" t="n"/>
      <c r="H3298" s="350">
        <f>IF(G3298="Sim",IF(OR(F3298="",D3298="",L3298=""),"",IF(L3298="Sim",ROUND(F3298-D3298,2),0)),0)</f>
        <v/>
      </c>
      <c r="I3298" s="350">
        <f>IF(G3298="Sim",0,IF(OR(F3298="",L3298=""),"",F3298))</f>
        <v/>
      </c>
      <c r="J3298" s="350">
        <f>IF(G3298="Sim",0,IF(OR(F3298="",D3298="",L3298=""),"",IF(L3298="Sim",ROUND(F3298-D3298,2),0)))</f>
        <v/>
      </c>
      <c r="K3298" s="97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inlineStr">
        <is>
          <t>Nao</t>
        </is>
      </c>
      <c r="W3298" s="110" t="inlineStr">
        <is>
          <t>PC em analise</t>
        </is>
      </c>
      <c r="X3298" s="110" t="inlineStr">
        <is>
          <t>Pedido de Compra</t>
        </is>
      </c>
      <c r="Y3298" s="111" t="inlineStr">
        <is>
          <t>Impacto Potencial</t>
        </is>
      </c>
      <c r="Z3298" s="111" t="inlineStr">
        <is>
          <t>PC</t>
        </is>
      </c>
      <c r="AA3298" s="111" t="inlineStr">
        <is>
          <t>Nao</t>
        </is>
      </c>
      <c r="AB3298" s="111" t="inlineStr">
        <is>
          <t>NAO_COMPUTADO</t>
        </is>
      </c>
      <c r="AC3298" s="112" t="inlineStr">
        <is>
          <t>Estrutura Fase 1: sem impacto no VTA oficial</t>
        </is>
      </c>
    </row>
    <row r="3299" ht="25.5" customHeight="1" s="289">
      <c r="A3299" s="205" t="n"/>
      <c r="B3299" s="207" t="n"/>
      <c r="C3299" s="104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348" t="n"/>
      <c r="E3299" s="349">
        <f>IF(C3299="","",IFERROR(VLOOKUP(C3299,parametros!$A$11:$E$15,5,0),""))</f>
        <v/>
      </c>
      <c r="F3299" s="335">
        <f>IF(OR(D3299="",E3299=""),"",ROUND(D3299*E3299,2))</f>
        <v/>
      </c>
      <c r="G3299" s="106" t="n"/>
      <c r="H3299" s="350">
        <f>IF(G3299="Sim",IF(OR(F3299="",D3299="",L3299=""),"",IF(L3299="Sim",ROUND(F3299-D3299,2),0)),0)</f>
        <v/>
      </c>
      <c r="I3299" s="350">
        <f>IF(G3299="Sim",0,IF(OR(F3299="",L3299=""),"",F3299))</f>
        <v/>
      </c>
      <c r="J3299" s="350">
        <f>IF(G3299="Sim",0,IF(OR(F3299="",D3299="",L3299=""),"",IF(L3299="Sim",ROUND(F3299-D3299,2),0)))</f>
        <v/>
      </c>
      <c r="K3299" s="97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inlineStr">
        <is>
          <t>Nao</t>
        </is>
      </c>
      <c r="W3299" s="110" t="inlineStr">
        <is>
          <t>PC em analise</t>
        </is>
      </c>
      <c r="X3299" s="110" t="inlineStr">
        <is>
          <t>Pedido de Compra</t>
        </is>
      </c>
      <c r="Y3299" s="111" t="inlineStr">
        <is>
          <t>Impacto Potencial</t>
        </is>
      </c>
      <c r="Z3299" s="111" t="inlineStr">
        <is>
          <t>PC</t>
        </is>
      </c>
      <c r="AA3299" s="111" t="inlineStr">
        <is>
          <t>Nao</t>
        </is>
      </c>
      <c r="AB3299" s="111" t="inlineStr">
        <is>
          <t>NAO_COMPUTADO</t>
        </is>
      </c>
      <c r="AC3299" s="112" t="inlineStr">
        <is>
          <t>Estrutura Fase 1: sem impacto no VTA oficial</t>
        </is>
      </c>
    </row>
    <row r="3300" ht="25.5" customHeight="1" s="289">
      <c r="A3300" s="205" t="n"/>
      <c r="B3300" s="207" t="n"/>
      <c r="C3300" s="104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348" t="n"/>
      <c r="E3300" s="349">
        <f>IF(C3300="","",IFERROR(VLOOKUP(C3300,parametros!$A$11:$E$15,5,0),""))</f>
        <v/>
      </c>
      <c r="F3300" s="335">
        <f>IF(OR(D3300="",E3300=""),"",ROUND(D3300*E3300,2))</f>
        <v/>
      </c>
      <c r="G3300" s="106" t="n"/>
      <c r="H3300" s="350">
        <f>IF(G3300="Sim",IF(OR(F3300="",D3300="",L3300=""),"",IF(L3300="Sim",ROUND(F3300-D3300,2),0)),0)</f>
        <v/>
      </c>
      <c r="I3300" s="350">
        <f>IF(G3300="Sim",0,IF(OR(F3300="",L3300=""),"",F3300))</f>
        <v/>
      </c>
      <c r="J3300" s="350">
        <f>IF(G3300="Sim",0,IF(OR(F3300="",D3300="",L3300=""),"",IF(L3300="Sim",ROUND(F3300-D3300,2),0)))</f>
        <v/>
      </c>
      <c r="K3300" s="97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inlineStr">
        <is>
          <t>Nao</t>
        </is>
      </c>
      <c r="W3300" s="110" t="inlineStr">
        <is>
          <t>PC em analise</t>
        </is>
      </c>
      <c r="X3300" s="110" t="inlineStr">
        <is>
          <t>Pedido de Compra</t>
        </is>
      </c>
      <c r="Y3300" s="111" t="inlineStr">
        <is>
          <t>Impacto Potencial</t>
        </is>
      </c>
      <c r="Z3300" s="111" t="inlineStr">
        <is>
          <t>PC</t>
        </is>
      </c>
      <c r="AA3300" s="111" t="inlineStr">
        <is>
          <t>Nao</t>
        </is>
      </c>
      <c r="AB3300" s="111" t="inlineStr">
        <is>
          <t>NAO_COMPUTADO</t>
        </is>
      </c>
      <c r="AC3300" s="112" t="inlineStr">
        <is>
          <t>Estrutura Fase 1: sem impacto no VTA oficial</t>
        </is>
      </c>
    </row>
    <row r="3301" ht="25.5" customHeight="1" s="289">
      <c r="A3301" s="205" t="n"/>
      <c r="B3301" s="207" t="n"/>
      <c r="C3301" s="104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348" t="n"/>
      <c r="E3301" s="349">
        <f>IF(C3301="","",IFERROR(VLOOKUP(C3301,parametros!$A$11:$E$15,5,0),""))</f>
        <v/>
      </c>
      <c r="F3301" s="335">
        <f>IF(OR(D3301="",E3301=""),"",ROUND(D3301*E3301,2))</f>
        <v/>
      </c>
      <c r="G3301" s="106" t="n"/>
      <c r="H3301" s="350">
        <f>IF(G3301="Sim",IF(OR(F3301="",D3301="",L3301=""),"",IF(L3301="Sim",ROUND(F3301-D3301,2),0)),0)</f>
        <v/>
      </c>
      <c r="I3301" s="350">
        <f>IF(G3301="Sim",0,IF(OR(F3301="",L3301=""),"",F3301))</f>
        <v/>
      </c>
      <c r="J3301" s="350">
        <f>IF(G3301="Sim",0,IF(OR(F3301="",D3301="",L3301=""),"",IF(L3301="Sim",ROUND(F3301-D3301,2),0)))</f>
        <v/>
      </c>
      <c r="K3301" s="97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inlineStr">
        <is>
          <t>Nao</t>
        </is>
      </c>
      <c r="W3301" s="110" t="inlineStr">
        <is>
          <t>PC em analise</t>
        </is>
      </c>
      <c r="X3301" s="110" t="inlineStr">
        <is>
          <t>Pedido de Compra</t>
        </is>
      </c>
      <c r="Y3301" s="111" t="inlineStr">
        <is>
          <t>Impacto Potencial</t>
        </is>
      </c>
      <c r="Z3301" s="111" t="inlineStr">
        <is>
          <t>PC</t>
        </is>
      </c>
      <c r="AA3301" s="111" t="inlineStr">
        <is>
          <t>Nao</t>
        </is>
      </c>
      <c r="AB3301" s="111" t="inlineStr">
        <is>
          <t>NAO_COMPUTADO</t>
        </is>
      </c>
      <c r="AC3301" s="112" t="inlineStr">
        <is>
          <t>Estrutura Fase 1: sem impacto no VTA oficial</t>
        </is>
      </c>
    </row>
    <row r="3302" ht="25.5" customHeight="1" s="289">
      <c r="A3302" s="205" t="n"/>
      <c r="B3302" s="207" t="n"/>
      <c r="C3302" s="104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348" t="n"/>
      <c r="E3302" s="349">
        <f>IF(C3302="","",IFERROR(VLOOKUP(C3302,parametros!$A$11:$E$15,5,0),""))</f>
        <v/>
      </c>
      <c r="F3302" s="335">
        <f>IF(OR(D3302="",E3302=""),"",ROUND(D3302*E3302,2))</f>
        <v/>
      </c>
      <c r="G3302" s="106" t="n"/>
      <c r="H3302" s="350">
        <f>IF(G3302="Sim",IF(OR(F3302="",D3302="",L3302=""),"",IF(L3302="Sim",ROUND(F3302-D3302,2),0)),0)</f>
        <v/>
      </c>
      <c r="I3302" s="350">
        <f>IF(G3302="Sim",0,IF(OR(F3302="",L3302=""),"",F3302))</f>
        <v/>
      </c>
      <c r="J3302" s="350">
        <f>IF(G3302="Sim",0,IF(OR(F3302="",D3302="",L3302=""),"",IF(L3302="Sim",ROUND(F3302-D3302,2),0)))</f>
        <v/>
      </c>
      <c r="K3302" s="97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inlineStr">
        <is>
          <t>Nao</t>
        </is>
      </c>
      <c r="W3302" s="110" t="inlineStr">
        <is>
          <t>PC em analise</t>
        </is>
      </c>
      <c r="X3302" s="110" t="inlineStr">
        <is>
          <t>Pedido de Compra</t>
        </is>
      </c>
      <c r="Y3302" s="111" t="inlineStr">
        <is>
          <t>Impacto Potencial</t>
        </is>
      </c>
      <c r="Z3302" s="111" t="inlineStr">
        <is>
          <t>PC</t>
        </is>
      </c>
      <c r="AA3302" s="111" t="inlineStr">
        <is>
          <t>Nao</t>
        </is>
      </c>
      <c r="AB3302" s="111" t="inlineStr">
        <is>
          <t>NAO_COMPUTADO</t>
        </is>
      </c>
      <c r="AC3302" s="112" t="inlineStr">
        <is>
          <t>Estrutura Fase 1: sem impacto no VTA oficial</t>
        </is>
      </c>
    </row>
    <row r="3303" ht="25.5" customHeight="1" s="289">
      <c r="A3303" s="205" t="n"/>
      <c r="B3303" s="207" t="n"/>
      <c r="C3303" s="104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348" t="n"/>
      <c r="E3303" s="349">
        <f>IF(C3303="","",IFERROR(VLOOKUP(C3303,parametros!$A$11:$E$15,5,0),""))</f>
        <v/>
      </c>
      <c r="F3303" s="335">
        <f>IF(OR(D3303="",E3303=""),"",ROUND(D3303*E3303,2))</f>
        <v/>
      </c>
      <c r="G3303" s="106" t="n"/>
      <c r="H3303" s="350">
        <f>IF(G3303="Sim",IF(OR(F3303="",D3303="",L3303=""),"",IF(L3303="Sim",ROUND(F3303-D3303,2),0)),0)</f>
        <v/>
      </c>
      <c r="I3303" s="350">
        <f>IF(G3303="Sim",0,IF(OR(F3303="",L3303=""),"",F3303))</f>
        <v/>
      </c>
      <c r="J3303" s="350">
        <f>IF(G3303="Sim",0,IF(OR(F3303="",D3303="",L3303=""),"",IF(L3303="Sim",ROUND(F3303-D3303,2),0)))</f>
        <v/>
      </c>
      <c r="K3303" s="97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inlineStr">
        <is>
          <t>Nao</t>
        </is>
      </c>
      <c r="W3303" s="110" t="inlineStr">
        <is>
          <t>PC em analise</t>
        </is>
      </c>
      <c r="X3303" s="110" t="inlineStr">
        <is>
          <t>Pedido de Compra</t>
        </is>
      </c>
      <c r="Y3303" s="111" t="inlineStr">
        <is>
          <t>Impacto Potencial</t>
        </is>
      </c>
      <c r="Z3303" s="111" t="inlineStr">
        <is>
          <t>PC</t>
        </is>
      </c>
      <c r="AA3303" s="111" t="inlineStr">
        <is>
          <t>Nao</t>
        </is>
      </c>
      <c r="AB3303" s="111" t="inlineStr">
        <is>
          <t>NAO_COMPUTADO</t>
        </is>
      </c>
      <c r="AC3303" s="112" t="inlineStr">
        <is>
          <t>Estrutura Fase 1: sem impacto no VTA oficial</t>
        </is>
      </c>
    </row>
    <row r="3304" ht="25.5" customHeight="1" s="289">
      <c r="A3304" s="205" t="n"/>
      <c r="B3304" s="207" t="n"/>
      <c r="C3304" s="104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348" t="n"/>
      <c r="E3304" s="349">
        <f>IF(C3304="","",IFERROR(VLOOKUP(C3304,parametros!$A$11:$E$15,5,0),""))</f>
        <v/>
      </c>
      <c r="F3304" s="335">
        <f>IF(OR(D3304="",E3304=""),"",ROUND(D3304*E3304,2))</f>
        <v/>
      </c>
      <c r="G3304" s="106" t="n"/>
      <c r="H3304" s="350">
        <f>IF(G3304="Sim",IF(OR(F3304="",D3304="",L3304=""),"",IF(L3304="Sim",ROUND(F3304-D3304,2),0)),0)</f>
        <v/>
      </c>
      <c r="I3304" s="350">
        <f>IF(G3304="Sim",0,IF(OR(F3304="",L3304=""),"",F3304))</f>
        <v/>
      </c>
      <c r="J3304" s="350">
        <f>IF(G3304="Sim",0,IF(OR(F3304="",D3304="",L3304=""),"",IF(L3304="Sim",ROUND(F3304-D3304,2),0)))</f>
        <v/>
      </c>
      <c r="K3304" s="97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inlineStr">
        <is>
          <t>Nao</t>
        </is>
      </c>
      <c r="W3304" s="110" t="inlineStr">
        <is>
          <t>PC em analise</t>
        </is>
      </c>
      <c r="X3304" s="110" t="inlineStr">
        <is>
          <t>Pedido de Compra</t>
        </is>
      </c>
      <c r="Y3304" s="111" t="inlineStr">
        <is>
          <t>Impacto Potencial</t>
        </is>
      </c>
      <c r="Z3304" s="111" t="inlineStr">
        <is>
          <t>PC</t>
        </is>
      </c>
      <c r="AA3304" s="111" t="inlineStr">
        <is>
          <t>Nao</t>
        </is>
      </c>
      <c r="AB3304" s="111" t="inlineStr">
        <is>
          <t>NAO_COMPUTADO</t>
        </is>
      </c>
      <c r="AC3304" s="112" t="inlineStr">
        <is>
          <t>Estrutura Fase 1: sem impacto no VTA oficial</t>
        </is>
      </c>
    </row>
    <row r="3305" ht="25.5" customHeight="1" s="289">
      <c r="A3305" s="205" t="n"/>
      <c r="B3305" s="207" t="n"/>
      <c r="C3305" s="104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348" t="n"/>
      <c r="E3305" s="349">
        <f>IF(C3305="","",IFERROR(VLOOKUP(C3305,parametros!$A$11:$E$15,5,0),""))</f>
        <v/>
      </c>
      <c r="F3305" s="335">
        <f>IF(OR(D3305="",E3305=""),"",ROUND(D3305*E3305,2))</f>
        <v/>
      </c>
      <c r="G3305" s="106" t="n"/>
      <c r="H3305" s="350">
        <f>IF(G3305="Sim",IF(OR(F3305="",D3305="",L3305=""),"",IF(L3305="Sim",ROUND(F3305-D3305,2),0)),0)</f>
        <v/>
      </c>
      <c r="I3305" s="350">
        <f>IF(G3305="Sim",0,IF(OR(F3305="",L3305=""),"",F3305))</f>
        <v/>
      </c>
      <c r="J3305" s="350">
        <f>IF(G3305="Sim",0,IF(OR(F3305="",D3305="",L3305=""),"",IF(L3305="Sim",ROUND(F3305-D3305,2),0)))</f>
        <v/>
      </c>
      <c r="K3305" s="97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inlineStr">
        <is>
          <t>Nao</t>
        </is>
      </c>
      <c r="W3305" s="110" t="inlineStr">
        <is>
          <t>PC em analise</t>
        </is>
      </c>
      <c r="X3305" s="110" t="inlineStr">
        <is>
          <t>Pedido de Compra</t>
        </is>
      </c>
      <c r="Y3305" s="111" t="inlineStr">
        <is>
          <t>Impacto Potencial</t>
        </is>
      </c>
      <c r="Z3305" s="111" t="inlineStr">
        <is>
          <t>PC</t>
        </is>
      </c>
      <c r="AA3305" s="111" t="inlineStr">
        <is>
          <t>Nao</t>
        </is>
      </c>
      <c r="AB3305" s="111" t="inlineStr">
        <is>
          <t>NAO_COMPUTADO</t>
        </is>
      </c>
      <c r="AC3305" s="112" t="inlineStr">
        <is>
          <t>Estrutura Fase 1: sem impacto no VTA oficial</t>
        </is>
      </c>
    </row>
    <row r="3306" ht="25.5" customHeight="1" s="289">
      <c r="A3306" s="205" t="n"/>
      <c r="B3306" s="207" t="n"/>
      <c r="C3306" s="104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348" t="n"/>
      <c r="E3306" s="349">
        <f>IF(C3306="","",IFERROR(VLOOKUP(C3306,parametros!$A$11:$E$15,5,0),""))</f>
        <v/>
      </c>
      <c r="F3306" s="335">
        <f>IF(OR(D3306="",E3306=""),"",ROUND(D3306*E3306,2))</f>
        <v/>
      </c>
      <c r="G3306" s="106" t="n"/>
      <c r="H3306" s="350">
        <f>IF(G3306="Sim",IF(OR(F3306="",D3306="",L3306=""),"",IF(L3306="Sim",ROUND(F3306-D3306,2),0)),0)</f>
        <v/>
      </c>
      <c r="I3306" s="350">
        <f>IF(G3306="Sim",0,IF(OR(F3306="",L3306=""),"",F3306))</f>
        <v/>
      </c>
      <c r="J3306" s="350">
        <f>IF(G3306="Sim",0,IF(OR(F3306="",D3306="",L3306=""),"",IF(L3306="Sim",ROUND(F3306-D3306,2),0)))</f>
        <v/>
      </c>
      <c r="K3306" s="97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inlineStr">
        <is>
          <t>Nao</t>
        </is>
      </c>
      <c r="W3306" s="110" t="inlineStr">
        <is>
          <t>PC em analise</t>
        </is>
      </c>
      <c r="X3306" s="110" t="inlineStr">
        <is>
          <t>Pedido de Compra</t>
        </is>
      </c>
      <c r="Y3306" s="111" t="inlineStr">
        <is>
          <t>Impacto Potencial</t>
        </is>
      </c>
      <c r="Z3306" s="111" t="inlineStr">
        <is>
          <t>PC</t>
        </is>
      </c>
      <c r="AA3306" s="111" t="inlineStr">
        <is>
          <t>Nao</t>
        </is>
      </c>
      <c r="AB3306" s="111" t="inlineStr">
        <is>
          <t>NAO_COMPUTADO</t>
        </is>
      </c>
      <c r="AC3306" s="112" t="inlineStr">
        <is>
          <t>Estrutura Fase 1: sem impacto no VTA oficial</t>
        </is>
      </c>
    </row>
    <row r="3307" ht="25.5" customHeight="1" s="289">
      <c r="A3307" s="205" t="n"/>
      <c r="B3307" s="207" t="n"/>
      <c r="C3307" s="104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348" t="n"/>
      <c r="E3307" s="349">
        <f>IF(C3307="","",IFERROR(VLOOKUP(C3307,parametros!$A$11:$E$15,5,0),""))</f>
        <v/>
      </c>
      <c r="F3307" s="335">
        <f>IF(OR(D3307="",E3307=""),"",ROUND(D3307*E3307,2))</f>
        <v/>
      </c>
      <c r="G3307" s="106" t="n"/>
      <c r="H3307" s="350">
        <f>IF(G3307="Sim",IF(OR(F3307="",D3307="",L3307=""),"",IF(L3307="Sim",ROUND(F3307-D3307,2),0)),0)</f>
        <v/>
      </c>
      <c r="I3307" s="350">
        <f>IF(G3307="Sim",0,IF(OR(F3307="",L3307=""),"",F3307))</f>
        <v/>
      </c>
      <c r="J3307" s="350">
        <f>IF(G3307="Sim",0,IF(OR(F3307="",D3307="",L3307=""),"",IF(L3307="Sim",ROUND(F3307-D3307,2),0)))</f>
        <v/>
      </c>
      <c r="K3307" s="97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inlineStr">
        <is>
          <t>Nao</t>
        </is>
      </c>
      <c r="W3307" s="110" t="inlineStr">
        <is>
          <t>PC em analise</t>
        </is>
      </c>
      <c r="X3307" s="110" t="inlineStr">
        <is>
          <t>Pedido de Compra</t>
        </is>
      </c>
      <c r="Y3307" s="111" t="inlineStr">
        <is>
          <t>Impacto Potencial</t>
        </is>
      </c>
      <c r="Z3307" s="111" t="inlineStr">
        <is>
          <t>PC</t>
        </is>
      </c>
      <c r="AA3307" s="111" t="inlineStr">
        <is>
          <t>Nao</t>
        </is>
      </c>
      <c r="AB3307" s="111" t="inlineStr">
        <is>
          <t>NAO_COMPUTADO</t>
        </is>
      </c>
      <c r="AC3307" s="112" t="inlineStr">
        <is>
          <t>Estrutura Fase 1: sem impacto no VTA oficial</t>
        </is>
      </c>
    </row>
    <row r="3308" ht="25.5" customHeight="1" s="289">
      <c r="A3308" s="205" t="n"/>
      <c r="B3308" s="207" t="n"/>
      <c r="C3308" s="104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348" t="n"/>
      <c r="E3308" s="349">
        <f>IF(C3308="","",IFERROR(VLOOKUP(C3308,parametros!$A$11:$E$15,5,0),""))</f>
        <v/>
      </c>
      <c r="F3308" s="335">
        <f>IF(OR(D3308="",E3308=""),"",ROUND(D3308*E3308,2))</f>
        <v/>
      </c>
      <c r="G3308" s="106" t="n"/>
      <c r="H3308" s="350">
        <f>IF(G3308="Sim",IF(OR(F3308="",D3308="",L3308=""),"",IF(L3308="Sim",ROUND(F3308-D3308,2),0)),0)</f>
        <v/>
      </c>
      <c r="I3308" s="350">
        <f>IF(G3308="Sim",0,IF(OR(F3308="",L3308=""),"",F3308))</f>
        <v/>
      </c>
      <c r="J3308" s="350">
        <f>IF(G3308="Sim",0,IF(OR(F3308="",D3308="",L3308=""),"",IF(L3308="Sim",ROUND(F3308-D3308,2),0)))</f>
        <v/>
      </c>
      <c r="K3308" s="97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inlineStr">
        <is>
          <t>Nao</t>
        </is>
      </c>
      <c r="W3308" s="110" t="inlineStr">
        <is>
          <t>PC em analise</t>
        </is>
      </c>
      <c r="X3308" s="110" t="inlineStr">
        <is>
          <t>Pedido de Compra</t>
        </is>
      </c>
      <c r="Y3308" s="111" t="inlineStr">
        <is>
          <t>Impacto Potencial</t>
        </is>
      </c>
      <c r="Z3308" s="111" t="inlineStr">
        <is>
          <t>PC</t>
        </is>
      </c>
      <c r="AA3308" s="111" t="inlineStr">
        <is>
          <t>Nao</t>
        </is>
      </c>
      <c r="AB3308" s="111" t="inlineStr">
        <is>
          <t>NAO_COMPUTADO</t>
        </is>
      </c>
      <c r="AC3308" s="112" t="inlineStr">
        <is>
          <t>Estrutura Fase 1: sem impacto no VTA oficial</t>
        </is>
      </c>
    </row>
    <row r="3309" ht="25.5" customHeight="1" s="289">
      <c r="A3309" s="205" t="n"/>
      <c r="B3309" s="207" t="n"/>
      <c r="C3309" s="104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348" t="n"/>
      <c r="E3309" s="349">
        <f>IF(C3309="","",IFERROR(VLOOKUP(C3309,parametros!$A$11:$E$15,5,0),""))</f>
        <v/>
      </c>
      <c r="F3309" s="335">
        <f>IF(OR(D3309="",E3309=""),"",ROUND(D3309*E3309,2))</f>
        <v/>
      </c>
      <c r="G3309" s="106" t="n"/>
      <c r="H3309" s="350">
        <f>IF(G3309="Sim",IF(OR(F3309="",D3309="",L3309=""),"",IF(L3309="Sim",ROUND(F3309-D3309,2),0)),0)</f>
        <v/>
      </c>
      <c r="I3309" s="350">
        <f>IF(G3309="Sim",0,IF(OR(F3309="",L3309=""),"",F3309))</f>
        <v/>
      </c>
      <c r="J3309" s="350">
        <f>IF(G3309="Sim",0,IF(OR(F3309="",D3309="",L3309=""),"",IF(L3309="Sim",ROUND(F3309-D3309,2),0)))</f>
        <v/>
      </c>
      <c r="K3309" s="97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inlineStr">
        <is>
          <t>Nao</t>
        </is>
      </c>
      <c r="W3309" s="110" t="inlineStr">
        <is>
          <t>PC em analise</t>
        </is>
      </c>
      <c r="X3309" s="110" t="inlineStr">
        <is>
          <t>Pedido de Compra</t>
        </is>
      </c>
      <c r="Y3309" s="111" t="inlineStr">
        <is>
          <t>Impacto Potencial</t>
        </is>
      </c>
      <c r="Z3309" s="111" t="inlineStr">
        <is>
          <t>PC</t>
        </is>
      </c>
      <c r="AA3309" s="111" t="inlineStr">
        <is>
          <t>Nao</t>
        </is>
      </c>
      <c r="AB3309" s="111" t="inlineStr">
        <is>
          <t>NAO_COMPUTADO</t>
        </is>
      </c>
      <c r="AC3309" s="112" t="inlineStr">
        <is>
          <t>Estrutura Fase 1: sem impacto no VTA oficial</t>
        </is>
      </c>
    </row>
    <row r="3310" ht="25.5" customHeight="1" s="289">
      <c r="A3310" s="205" t="n"/>
      <c r="B3310" s="207" t="n"/>
      <c r="C3310" s="104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348" t="n"/>
      <c r="E3310" s="349">
        <f>IF(C3310="","",IFERROR(VLOOKUP(C3310,parametros!$A$11:$E$15,5,0),""))</f>
        <v/>
      </c>
      <c r="F3310" s="335">
        <f>IF(OR(D3310="",E3310=""),"",ROUND(D3310*E3310,2))</f>
        <v/>
      </c>
      <c r="G3310" s="106" t="n"/>
      <c r="H3310" s="350">
        <f>IF(G3310="Sim",IF(OR(F3310="",D3310="",L3310=""),"",IF(L3310="Sim",ROUND(F3310-D3310,2),0)),0)</f>
        <v/>
      </c>
      <c r="I3310" s="350">
        <f>IF(G3310="Sim",0,IF(OR(F3310="",L3310=""),"",F3310))</f>
        <v/>
      </c>
      <c r="J3310" s="350">
        <f>IF(G3310="Sim",0,IF(OR(F3310="",D3310="",L3310=""),"",IF(L3310="Sim",ROUND(F3310-D3310,2),0)))</f>
        <v/>
      </c>
      <c r="K3310" s="97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inlineStr">
        <is>
          <t>Nao</t>
        </is>
      </c>
      <c r="W3310" s="110" t="inlineStr">
        <is>
          <t>PC em analise</t>
        </is>
      </c>
      <c r="X3310" s="110" t="inlineStr">
        <is>
          <t>Pedido de Compra</t>
        </is>
      </c>
      <c r="Y3310" s="111" t="inlineStr">
        <is>
          <t>Impacto Potencial</t>
        </is>
      </c>
      <c r="Z3310" s="111" t="inlineStr">
        <is>
          <t>PC</t>
        </is>
      </c>
      <c r="AA3310" s="111" t="inlineStr">
        <is>
          <t>Nao</t>
        </is>
      </c>
      <c r="AB3310" s="111" t="inlineStr">
        <is>
          <t>NAO_COMPUTADO</t>
        </is>
      </c>
      <c r="AC3310" s="112" t="inlineStr">
        <is>
          <t>Estrutura Fase 1: sem impacto no VTA oficial</t>
        </is>
      </c>
    </row>
    <row r="3311" ht="25.5" customHeight="1" s="289">
      <c r="A3311" s="205" t="n"/>
      <c r="B3311" s="207" t="n"/>
      <c r="C3311" s="104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348" t="n"/>
      <c r="E3311" s="349">
        <f>IF(C3311="","",IFERROR(VLOOKUP(C3311,parametros!$A$11:$E$15,5,0),""))</f>
        <v/>
      </c>
      <c r="F3311" s="335">
        <f>IF(OR(D3311="",E3311=""),"",ROUND(D3311*E3311,2))</f>
        <v/>
      </c>
      <c r="G3311" s="106" t="n"/>
      <c r="H3311" s="350">
        <f>IF(G3311="Sim",IF(OR(F3311="",D3311="",L3311=""),"",IF(L3311="Sim",ROUND(F3311-D3311,2),0)),0)</f>
        <v/>
      </c>
      <c r="I3311" s="350">
        <f>IF(G3311="Sim",0,IF(OR(F3311="",L3311=""),"",F3311))</f>
        <v/>
      </c>
      <c r="J3311" s="350">
        <f>IF(G3311="Sim",0,IF(OR(F3311="",D3311="",L3311=""),"",IF(L3311="Sim",ROUND(F3311-D3311,2),0)))</f>
        <v/>
      </c>
      <c r="K3311" s="97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inlineStr">
        <is>
          <t>Nao</t>
        </is>
      </c>
      <c r="W3311" s="110" t="inlineStr">
        <is>
          <t>PC em analise</t>
        </is>
      </c>
      <c r="X3311" s="110" t="inlineStr">
        <is>
          <t>Pedido de Compra</t>
        </is>
      </c>
      <c r="Y3311" s="111" t="inlineStr">
        <is>
          <t>Impacto Potencial</t>
        </is>
      </c>
      <c r="Z3311" s="111" t="inlineStr">
        <is>
          <t>PC</t>
        </is>
      </c>
      <c r="AA3311" s="111" t="inlineStr">
        <is>
          <t>Nao</t>
        </is>
      </c>
      <c r="AB3311" s="111" t="inlineStr">
        <is>
          <t>NAO_COMPUTADO</t>
        </is>
      </c>
      <c r="AC3311" s="112" t="inlineStr">
        <is>
          <t>Estrutura Fase 1: sem impacto no VTA oficial</t>
        </is>
      </c>
    </row>
    <row r="3312" ht="25.5" customHeight="1" s="289">
      <c r="A3312" s="205" t="n"/>
      <c r="B3312" s="207" t="n"/>
      <c r="C3312" s="104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348" t="n"/>
      <c r="E3312" s="349">
        <f>IF(C3312="","",IFERROR(VLOOKUP(C3312,parametros!$A$11:$E$15,5,0),""))</f>
        <v/>
      </c>
      <c r="F3312" s="335">
        <f>IF(OR(D3312="",E3312=""),"",ROUND(D3312*E3312,2))</f>
        <v/>
      </c>
      <c r="G3312" s="106" t="n"/>
      <c r="H3312" s="350">
        <f>IF(G3312="Sim",IF(OR(F3312="",D3312="",L3312=""),"",IF(L3312="Sim",ROUND(F3312-D3312,2),0)),0)</f>
        <v/>
      </c>
      <c r="I3312" s="350">
        <f>IF(G3312="Sim",0,IF(OR(F3312="",L3312=""),"",F3312))</f>
        <v/>
      </c>
      <c r="J3312" s="350">
        <f>IF(G3312="Sim",0,IF(OR(F3312="",D3312="",L3312=""),"",IF(L3312="Sim",ROUND(F3312-D3312,2),0)))</f>
        <v/>
      </c>
      <c r="K3312" s="97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inlineStr">
        <is>
          <t>Nao</t>
        </is>
      </c>
      <c r="W3312" s="110" t="inlineStr">
        <is>
          <t>PC em analise</t>
        </is>
      </c>
      <c r="X3312" s="110" t="inlineStr">
        <is>
          <t>Pedido de Compra</t>
        </is>
      </c>
      <c r="Y3312" s="111" t="inlineStr">
        <is>
          <t>Impacto Potencial</t>
        </is>
      </c>
      <c r="Z3312" s="111" t="inlineStr">
        <is>
          <t>PC</t>
        </is>
      </c>
      <c r="AA3312" s="111" t="inlineStr">
        <is>
          <t>Nao</t>
        </is>
      </c>
      <c r="AB3312" s="111" t="inlineStr">
        <is>
          <t>NAO_COMPUTADO</t>
        </is>
      </c>
      <c r="AC3312" s="112" t="inlineStr">
        <is>
          <t>Estrutura Fase 1: sem impacto no VTA oficial</t>
        </is>
      </c>
    </row>
    <row r="3313" ht="25.5" customHeight="1" s="289">
      <c r="A3313" s="205" t="n"/>
      <c r="B3313" s="207" t="n"/>
      <c r="C3313" s="104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348" t="n"/>
      <c r="E3313" s="349">
        <f>IF(C3313="","",IFERROR(VLOOKUP(C3313,parametros!$A$11:$E$15,5,0),""))</f>
        <v/>
      </c>
      <c r="F3313" s="335">
        <f>IF(OR(D3313="",E3313=""),"",ROUND(D3313*E3313,2))</f>
        <v/>
      </c>
      <c r="G3313" s="106" t="n"/>
      <c r="H3313" s="350">
        <f>IF(G3313="Sim",IF(OR(F3313="",D3313="",L3313=""),"",IF(L3313="Sim",ROUND(F3313-D3313,2),0)),0)</f>
        <v/>
      </c>
      <c r="I3313" s="350">
        <f>IF(G3313="Sim",0,IF(OR(F3313="",L3313=""),"",F3313))</f>
        <v/>
      </c>
      <c r="J3313" s="350">
        <f>IF(G3313="Sim",0,IF(OR(F3313="",D3313="",L3313=""),"",IF(L3313="Sim",ROUND(F3313-D3313,2),0)))</f>
        <v/>
      </c>
      <c r="K3313" s="97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inlineStr">
        <is>
          <t>Nao</t>
        </is>
      </c>
      <c r="W3313" s="110" t="inlineStr">
        <is>
          <t>PC em analise</t>
        </is>
      </c>
      <c r="X3313" s="110" t="inlineStr">
        <is>
          <t>Pedido de Compra</t>
        </is>
      </c>
      <c r="Y3313" s="111" t="inlineStr">
        <is>
          <t>Impacto Potencial</t>
        </is>
      </c>
      <c r="Z3313" s="111" t="inlineStr">
        <is>
          <t>PC</t>
        </is>
      </c>
      <c r="AA3313" s="111" t="inlineStr">
        <is>
          <t>Nao</t>
        </is>
      </c>
      <c r="AB3313" s="111" t="inlineStr">
        <is>
          <t>NAO_COMPUTADO</t>
        </is>
      </c>
      <c r="AC3313" s="112" t="inlineStr">
        <is>
          <t>Estrutura Fase 1: sem impacto no VTA oficial</t>
        </is>
      </c>
    </row>
    <row r="3314" ht="25.5" customHeight="1" s="289">
      <c r="A3314" s="205" t="n"/>
      <c r="B3314" s="207" t="n"/>
      <c r="C3314" s="104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348" t="n"/>
      <c r="E3314" s="349">
        <f>IF(C3314="","",IFERROR(VLOOKUP(C3314,parametros!$A$11:$E$15,5,0),""))</f>
        <v/>
      </c>
      <c r="F3314" s="335">
        <f>IF(OR(D3314="",E3314=""),"",ROUND(D3314*E3314,2))</f>
        <v/>
      </c>
      <c r="G3314" s="106" t="n"/>
      <c r="H3314" s="350">
        <f>IF(G3314="Sim",IF(OR(F3314="",D3314="",L3314=""),"",IF(L3314="Sim",ROUND(F3314-D3314,2),0)),0)</f>
        <v/>
      </c>
      <c r="I3314" s="350">
        <f>IF(G3314="Sim",0,IF(OR(F3314="",L3314=""),"",F3314))</f>
        <v/>
      </c>
      <c r="J3314" s="350">
        <f>IF(G3314="Sim",0,IF(OR(F3314="",D3314="",L3314=""),"",IF(L3314="Sim",ROUND(F3314-D3314,2),0)))</f>
        <v/>
      </c>
      <c r="K3314" s="97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inlineStr">
        <is>
          <t>Nao</t>
        </is>
      </c>
      <c r="W3314" s="110" t="inlineStr">
        <is>
          <t>PC em analise</t>
        </is>
      </c>
      <c r="X3314" s="110" t="inlineStr">
        <is>
          <t>Pedido de Compra</t>
        </is>
      </c>
      <c r="Y3314" s="111" t="inlineStr">
        <is>
          <t>Impacto Potencial</t>
        </is>
      </c>
      <c r="Z3314" s="111" t="inlineStr">
        <is>
          <t>PC</t>
        </is>
      </c>
      <c r="AA3314" s="111" t="inlineStr">
        <is>
          <t>Nao</t>
        </is>
      </c>
      <c r="AB3314" s="111" t="inlineStr">
        <is>
          <t>NAO_COMPUTADO</t>
        </is>
      </c>
      <c r="AC3314" s="112" t="inlineStr">
        <is>
          <t>Estrutura Fase 1: sem impacto no VTA oficial</t>
        </is>
      </c>
    </row>
    <row r="3315" ht="25.5" customHeight="1" s="289">
      <c r="A3315" s="205" t="n"/>
      <c r="B3315" s="207" t="n"/>
      <c r="C3315" s="104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348" t="n"/>
      <c r="E3315" s="349">
        <f>IF(C3315="","",IFERROR(VLOOKUP(C3315,parametros!$A$11:$E$15,5,0),""))</f>
        <v/>
      </c>
      <c r="F3315" s="335">
        <f>IF(OR(D3315="",E3315=""),"",ROUND(D3315*E3315,2))</f>
        <v/>
      </c>
      <c r="G3315" s="106" t="n"/>
      <c r="H3315" s="350">
        <f>IF(G3315="Sim",IF(OR(F3315="",D3315="",L3315=""),"",IF(L3315="Sim",ROUND(F3315-D3315,2),0)),0)</f>
        <v/>
      </c>
      <c r="I3315" s="350">
        <f>IF(G3315="Sim",0,IF(OR(F3315="",L3315=""),"",F3315))</f>
        <v/>
      </c>
      <c r="J3315" s="350">
        <f>IF(G3315="Sim",0,IF(OR(F3315="",D3315="",L3315=""),"",IF(L3315="Sim",ROUND(F3315-D3315,2),0)))</f>
        <v/>
      </c>
      <c r="K3315" s="97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inlineStr">
        <is>
          <t>Nao</t>
        </is>
      </c>
      <c r="W3315" s="110" t="inlineStr">
        <is>
          <t>PC em analise</t>
        </is>
      </c>
      <c r="X3315" s="110" t="inlineStr">
        <is>
          <t>Pedido de Compra</t>
        </is>
      </c>
      <c r="Y3315" s="111" t="inlineStr">
        <is>
          <t>Impacto Potencial</t>
        </is>
      </c>
      <c r="Z3315" s="111" t="inlineStr">
        <is>
          <t>PC</t>
        </is>
      </c>
      <c r="AA3315" s="111" t="inlineStr">
        <is>
          <t>Nao</t>
        </is>
      </c>
      <c r="AB3315" s="111" t="inlineStr">
        <is>
          <t>NAO_COMPUTADO</t>
        </is>
      </c>
      <c r="AC3315" s="112" t="inlineStr">
        <is>
          <t>Estrutura Fase 1: sem impacto no VTA oficial</t>
        </is>
      </c>
    </row>
    <row r="3316" ht="25.5" customHeight="1" s="289">
      <c r="A3316" s="205" t="n"/>
      <c r="B3316" s="207" t="n"/>
      <c r="C3316" s="104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348" t="n"/>
      <c r="E3316" s="349">
        <f>IF(C3316="","",IFERROR(VLOOKUP(C3316,parametros!$A$11:$E$15,5,0),""))</f>
        <v/>
      </c>
      <c r="F3316" s="335">
        <f>IF(OR(D3316="",E3316=""),"",ROUND(D3316*E3316,2))</f>
        <v/>
      </c>
      <c r="G3316" s="106" t="n"/>
      <c r="H3316" s="350">
        <f>IF(G3316="Sim",IF(OR(F3316="",D3316="",L3316=""),"",IF(L3316="Sim",ROUND(F3316-D3316,2),0)),0)</f>
        <v/>
      </c>
      <c r="I3316" s="350">
        <f>IF(G3316="Sim",0,IF(OR(F3316="",L3316=""),"",F3316))</f>
        <v/>
      </c>
      <c r="J3316" s="350">
        <f>IF(G3316="Sim",0,IF(OR(F3316="",D3316="",L3316=""),"",IF(L3316="Sim",ROUND(F3316-D3316,2),0)))</f>
        <v/>
      </c>
      <c r="K3316" s="97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inlineStr">
        <is>
          <t>Nao</t>
        </is>
      </c>
      <c r="W3316" s="110" t="inlineStr">
        <is>
          <t>PC em analise</t>
        </is>
      </c>
      <c r="X3316" s="110" t="inlineStr">
        <is>
          <t>Pedido de Compra</t>
        </is>
      </c>
      <c r="Y3316" s="111" t="inlineStr">
        <is>
          <t>Impacto Potencial</t>
        </is>
      </c>
      <c r="Z3316" s="111" t="inlineStr">
        <is>
          <t>PC</t>
        </is>
      </c>
      <c r="AA3316" s="111" t="inlineStr">
        <is>
          <t>Nao</t>
        </is>
      </c>
      <c r="AB3316" s="111" t="inlineStr">
        <is>
          <t>NAO_COMPUTADO</t>
        </is>
      </c>
      <c r="AC3316" s="112" t="inlineStr">
        <is>
          <t>Estrutura Fase 1: sem impacto no VTA oficial</t>
        </is>
      </c>
    </row>
    <row r="3317" ht="25.5" customHeight="1" s="289">
      <c r="A3317" s="205" t="n"/>
      <c r="B3317" s="207" t="n"/>
      <c r="C3317" s="104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348" t="n"/>
      <c r="E3317" s="349">
        <f>IF(C3317="","",IFERROR(VLOOKUP(C3317,parametros!$A$11:$E$15,5,0),""))</f>
        <v/>
      </c>
      <c r="F3317" s="335">
        <f>IF(OR(D3317="",E3317=""),"",ROUND(D3317*E3317,2))</f>
        <v/>
      </c>
      <c r="G3317" s="106" t="n"/>
      <c r="H3317" s="350">
        <f>IF(G3317="Sim",IF(OR(F3317="",D3317="",L3317=""),"",IF(L3317="Sim",ROUND(F3317-D3317,2),0)),0)</f>
        <v/>
      </c>
      <c r="I3317" s="350">
        <f>IF(G3317="Sim",0,IF(OR(F3317="",L3317=""),"",F3317))</f>
        <v/>
      </c>
      <c r="J3317" s="350">
        <f>IF(G3317="Sim",0,IF(OR(F3317="",D3317="",L3317=""),"",IF(L3317="Sim",ROUND(F3317-D3317,2),0)))</f>
        <v/>
      </c>
      <c r="K3317" s="97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inlineStr">
        <is>
          <t>Nao</t>
        </is>
      </c>
      <c r="W3317" s="110" t="inlineStr">
        <is>
          <t>PC em analise</t>
        </is>
      </c>
      <c r="X3317" s="110" t="inlineStr">
        <is>
          <t>Pedido de Compra</t>
        </is>
      </c>
      <c r="Y3317" s="111" t="inlineStr">
        <is>
          <t>Impacto Potencial</t>
        </is>
      </c>
      <c r="Z3317" s="111" t="inlineStr">
        <is>
          <t>PC</t>
        </is>
      </c>
      <c r="AA3317" s="111" t="inlineStr">
        <is>
          <t>Nao</t>
        </is>
      </c>
      <c r="AB3317" s="111" t="inlineStr">
        <is>
          <t>NAO_COMPUTADO</t>
        </is>
      </c>
      <c r="AC3317" s="112" t="inlineStr">
        <is>
          <t>Estrutura Fase 1: sem impacto no VTA oficial</t>
        </is>
      </c>
    </row>
    <row r="3318" ht="25.5" customHeight="1" s="289">
      <c r="A3318" s="205" t="n"/>
      <c r="B3318" s="207" t="n"/>
      <c r="C3318" s="104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348" t="n"/>
      <c r="E3318" s="349">
        <f>IF(C3318="","",IFERROR(VLOOKUP(C3318,parametros!$A$11:$E$15,5,0),""))</f>
        <v/>
      </c>
      <c r="F3318" s="335">
        <f>IF(OR(D3318="",E3318=""),"",ROUND(D3318*E3318,2))</f>
        <v/>
      </c>
      <c r="G3318" s="106" t="n"/>
      <c r="H3318" s="350">
        <f>IF(G3318="Sim",IF(OR(F3318="",D3318="",L3318=""),"",IF(L3318="Sim",ROUND(F3318-D3318,2),0)),0)</f>
        <v/>
      </c>
      <c r="I3318" s="350">
        <f>IF(G3318="Sim",0,IF(OR(F3318="",L3318=""),"",F3318))</f>
        <v/>
      </c>
      <c r="J3318" s="350">
        <f>IF(G3318="Sim",0,IF(OR(F3318="",D3318="",L3318=""),"",IF(L3318="Sim",ROUND(F3318-D3318,2),0)))</f>
        <v/>
      </c>
      <c r="K3318" s="97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inlineStr">
        <is>
          <t>Nao</t>
        </is>
      </c>
      <c r="W3318" s="110" t="inlineStr">
        <is>
          <t>PC em analise</t>
        </is>
      </c>
      <c r="X3318" s="110" t="inlineStr">
        <is>
          <t>Pedido de Compra</t>
        </is>
      </c>
      <c r="Y3318" s="111" t="inlineStr">
        <is>
          <t>Impacto Potencial</t>
        </is>
      </c>
      <c r="Z3318" s="111" t="inlineStr">
        <is>
          <t>PC</t>
        </is>
      </c>
      <c r="AA3318" s="111" t="inlineStr">
        <is>
          <t>Nao</t>
        </is>
      </c>
      <c r="AB3318" s="111" t="inlineStr">
        <is>
          <t>NAO_COMPUTADO</t>
        </is>
      </c>
      <c r="AC3318" s="112" t="inlineStr">
        <is>
          <t>Estrutura Fase 1: sem impacto no VTA oficial</t>
        </is>
      </c>
    </row>
    <row r="3319" ht="25.5" customHeight="1" s="289">
      <c r="A3319" s="205" t="n"/>
      <c r="B3319" s="207" t="n"/>
      <c r="C3319" s="104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348" t="n"/>
      <c r="E3319" s="349">
        <f>IF(C3319="","",IFERROR(VLOOKUP(C3319,parametros!$A$11:$E$15,5,0),""))</f>
        <v/>
      </c>
      <c r="F3319" s="335">
        <f>IF(OR(D3319="",E3319=""),"",ROUND(D3319*E3319,2))</f>
        <v/>
      </c>
      <c r="G3319" s="106" t="n"/>
      <c r="H3319" s="350">
        <f>IF(G3319="Sim",IF(OR(F3319="",D3319="",L3319=""),"",IF(L3319="Sim",ROUND(F3319-D3319,2),0)),0)</f>
        <v/>
      </c>
      <c r="I3319" s="350">
        <f>IF(G3319="Sim",0,IF(OR(F3319="",L3319=""),"",F3319))</f>
        <v/>
      </c>
      <c r="J3319" s="350">
        <f>IF(G3319="Sim",0,IF(OR(F3319="",D3319="",L3319=""),"",IF(L3319="Sim",ROUND(F3319-D3319,2),0)))</f>
        <v/>
      </c>
      <c r="K3319" s="97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inlineStr">
        <is>
          <t>Nao</t>
        </is>
      </c>
      <c r="W3319" s="110" t="inlineStr">
        <is>
          <t>PC em analise</t>
        </is>
      </c>
      <c r="X3319" s="110" t="inlineStr">
        <is>
          <t>Pedido de Compra</t>
        </is>
      </c>
      <c r="Y3319" s="111" t="inlineStr">
        <is>
          <t>Impacto Potencial</t>
        </is>
      </c>
      <c r="Z3319" s="111" t="inlineStr">
        <is>
          <t>PC</t>
        </is>
      </c>
      <c r="AA3319" s="111" t="inlineStr">
        <is>
          <t>Nao</t>
        </is>
      </c>
      <c r="AB3319" s="111" t="inlineStr">
        <is>
          <t>NAO_COMPUTADO</t>
        </is>
      </c>
      <c r="AC3319" s="112" t="inlineStr">
        <is>
          <t>Estrutura Fase 1: sem impacto no VTA oficial</t>
        </is>
      </c>
    </row>
    <row r="3320" ht="25.5" customHeight="1" s="289">
      <c r="A3320" s="205" t="n"/>
      <c r="B3320" s="207" t="n"/>
      <c r="C3320" s="104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348" t="n"/>
      <c r="E3320" s="349">
        <f>IF(C3320="","",IFERROR(VLOOKUP(C3320,parametros!$A$11:$E$15,5,0),""))</f>
        <v/>
      </c>
      <c r="F3320" s="335">
        <f>IF(OR(D3320="",E3320=""),"",ROUND(D3320*E3320,2))</f>
        <v/>
      </c>
      <c r="G3320" s="106" t="n"/>
      <c r="H3320" s="350">
        <f>IF(G3320="Sim",IF(OR(F3320="",D3320="",L3320=""),"",IF(L3320="Sim",ROUND(F3320-D3320,2),0)),0)</f>
        <v/>
      </c>
      <c r="I3320" s="350">
        <f>IF(G3320="Sim",0,IF(OR(F3320="",L3320=""),"",F3320))</f>
        <v/>
      </c>
      <c r="J3320" s="350">
        <f>IF(G3320="Sim",0,IF(OR(F3320="",D3320="",L3320=""),"",IF(L3320="Sim",ROUND(F3320-D3320,2),0)))</f>
        <v/>
      </c>
      <c r="K3320" s="97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inlineStr">
        <is>
          <t>Nao</t>
        </is>
      </c>
      <c r="W3320" s="110" t="inlineStr">
        <is>
          <t>PC em analise</t>
        </is>
      </c>
      <c r="X3320" s="110" t="inlineStr">
        <is>
          <t>Pedido de Compra</t>
        </is>
      </c>
      <c r="Y3320" s="111" t="inlineStr">
        <is>
          <t>Impacto Potencial</t>
        </is>
      </c>
      <c r="Z3320" s="111" t="inlineStr">
        <is>
          <t>PC</t>
        </is>
      </c>
      <c r="AA3320" s="111" t="inlineStr">
        <is>
          <t>Nao</t>
        </is>
      </c>
      <c r="AB3320" s="111" t="inlineStr">
        <is>
          <t>NAO_COMPUTADO</t>
        </is>
      </c>
      <c r="AC3320" s="112" t="inlineStr">
        <is>
          <t>Estrutura Fase 1: sem impacto no VTA oficial</t>
        </is>
      </c>
    </row>
    <row r="3321" ht="25.5" customHeight="1" s="289">
      <c r="A3321" s="205" t="n"/>
      <c r="B3321" s="207" t="n"/>
      <c r="C3321" s="104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348" t="n"/>
      <c r="E3321" s="349">
        <f>IF(C3321="","",IFERROR(VLOOKUP(C3321,parametros!$A$11:$E$15,5,0),""))</f>
        <v/>
      </c>
      <c r="F3321" s="335">
        <f>IF(OR(D3321="",E3321=""),"",ROUND(D3321*E3321,2))</f>
        <v/>
      </c>
      <c r="G3321" s="106" t="n"/>
      <c r="H3321" s="350">
        <f>IF(G3321="Sim",IF(OR(F3321="",D3321="",L3321=""),"",IF(L3321="Sim",ROUND(F3321-D3321,2),0)),0)</f>
        <v/>
      </c>
      <c r="I3321" s="350">
        <f>IF(G3321="Sim",0,IF(OR(F3321="",L3321=""),"",F3321))</f>
        <v/>
      </c>
      <c r="J3321" s="350">
        <f>IF(G3321="Sim",0,IF(OR(F3321="",D3321="",L3321=""),"",IF(L3321="Sim",ROUND(F3321-D3321,2),0)))</f>
        <v/>
      </c>
      <c r="K3321" s="97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inlineStr">
        <is>
          <t>Nao</t>
        </is>
      </c>
      <c r="W3321" s="110" t="inlineStr">
        <is>
          <t>PC em analise</t>
        </is>
      </c>
      <c r="X3321" s="110" t="inlineStr">
        <is>
          <t>Pedido de Compra</t>
        </is>
      </c>
      <c r="Y3321" s="111" t="inlineStr">
        <is>
          <t>Impacto Potencial</t>
        </is>
      </c>
      <c r="Z3321" s="111" t="inlineStr">
        <is>
          <t>PC</t>
        </is>
      </c>
      <c r="AA3321" s="111" t="inlineStr">
        <is>
          <t>Nao</t>
        </is>
      </c>
      <c r="AB3321" s="111" t="inlineStr">
        <is>
          <t>NAO_COMPUTADO</t>
        </is>
      </c>
      <c r="AC3321" s="112" t="inlineStr">
        <is>
          <t>Estrutura Fase 1: sem impacto no VTA oficial</t>
        </is>
      </c>
    </row>
    <row r="3322" ht="25.5" customHeight="1" s="289">
      <c r="A3322" s="205" t="n"/>
      <c r="B3322" s="207" t="n"/>
      <c r="C3322" s="104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348" t="n"/>
      <c r="E3322" s="349">
        <f>IF(C3322="","",IFERROR(VLOOKUP(C3322,parametros!$A$11:$E$15,5,0),""))</f>
        <v/>
      </c>
      <c r="F3322" s="335">
        <f>IF(OR(D3322="",E3322=""),"",ROUND(D3322*E3322,2))</f>
        <v/>
      </c>
      <c r="G3322" s="106" t="n"/>
      <c r="H3322" s="350">
        <f>IF(G3322="Sim",IF(OR(F3322="",D3322="",L3322=""),"",IF(L3322="Sim",ROUND(F3322-D3322,2),0)),0)</f>
        <v/>
      </c>
      <c r="I3322" s="350">
        <f>IF(G3322="Sim",0,IF(OR(F3322="",L3322=""),"",F3322))</f>
        <v/>
      </c>
      <c r="J3322" s="350">
        <f>IF(G3322="Sim",0,IF(OR(F3322="",D3322="",L3322=""),"",IF(L3322="Sim",ROUND(F3322-D3322,2),0)))</f>
        <v/>
      </c>
      <c r="K3322" s="97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inlineStr">
        <is>
          <t>Nao</t>
        </is>
      </c>
      <c r="W3322" s="110" t="inlineStr">
        <is>
          <t>PC em analise</t>
        </is>
      </c>
      <c r="X3322" s="110" t="inlineStr">
        <is>
          <t>Pedido de Compra</t>
        </is>
      </c>
      <c r="Y3322" s="111" t="inlineStr">
        <is>
          <t>Impacto Potencial</t>
        </is>
      </c>
      <c r="Z3322" s="111" t="inlineStr">
        <is>
          <t>PC</t>
        </is>
      </c>
      <c r="AA3322" s="111" t="inlineStr">
        <is>
          <t>Nao</t>
        </is>
      </c>
      <c r="AB3322" s="111" t="inlineStr">
        <is>
          <t>NAO_COMPUTADO</t>
        </is>
      </c>
      <c r="AC3322" s="112" t="inlineStr">
        <is>
          <t>Estrutura Fase 1: sem impacto no VTA oficial</t>
        </is>
      </c>
    </row>
    <row r="3323" ht="25.5" customHeight="1" s="289">
      <c r="A3323" s="205" t="n"/>
      <c r="B3323" s="207" t="n"/>
      <c r="C3323" s="104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348" t="n"/>
      <c r="E3323" s="349">
        <f>IF(C3323="","",IFERROR(VLOOKUP(C3323,parametros!$A$11:$E$15,5,0),""))</f>
        <v/>
      </c>
      <c r="F3323" s="335">
        <f>IF(OR(D3323="",E3323=""),"",ROUND(D3323*E3323,2))</f>
        <v/>
      </c>
      <c r="G3323" s="106" t="n"/>
      <c r="H3323" s="350">
        <f>IF(G3323="Sim",IF(OR(F3323="",D3323="",L3323=""),"",IF(L3323="Sim",ROUND(F3323-D3323,2),0)),0)</f>
        <v/>
      </c>
      <c r="I3323" s="350">
        <f>IF(G3323="Sim",0,IF(OR(F3323="",L3323=""),"",F3323))</f>
        <v/>
      </c>
      <c r="J3323" s="350">
        <f>IF(G3323="Sim",0,IF(OR(F3323="",D3323="",L3323=""),"",IF(L3323="Sim",ROUND(F3323-D3323,2),0)))</f>
        <v/>
      </c>
      <c r="K3323" s="97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inlineStr">
        <is>
          <t>Nao</t>
        </is>
      </c>
      <c r="W3323" s="110" t="inlineStr">
        <is>
          <t>PC em analise</t>
        </is>
      </c>
      <c r="X3323" s="110" t="inlineStr">
        <is>
          <t>Pedido de Compra</t>
        </is>
      </c>
      <c r="Y3323" s="111" t="inlineStr">
        <is>
          <t>Impacto Potencial</t>
        </is>
      </c>
      <c r="Z3323" s="111" t="inlineStr">
        <is>
          <t>PC</t>
        </is>
      </c>
      <c r="AA3323" s="111" t="inlineStr">
        <is>
          <t>Nao</t>
        </is>
      </c>
      <c r="AB3323" s="111" t="inlineStr">
        <is>
          <t>NAO_COMPUTADO</t>
        </is>
      </c>
      <c r="AC3323" s="112" t="inlineStr">
        <is>
          <t>Estrutura Fase 1: sem impacto no VTA oficial</t>
        </is>
      </c>
    </row>
    <row r="3324" ht="25.5" customHeight="1" s="289">
      <c r="A3324" s="205" t="n"/>
      <c r="B3324" s="207" t="n"/>
      <c r="C3324" s="104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348" t="n"/>
      <c r="E3324" s="349">
        <f>IF(C3324="","",IFERROR(VLOOKUP(C3324,parametros!$A$11:$E$15,5,0),""))</f>
        <v/>
      </c>
      <c r="F3324" s="335">
        <f>IF(OR(D3324="",E3324=""),"",ROUND(D3324*E3324,2))</f>
        <v/>
      </c>
      <c r="G3324" s="106" t="n"/>
      <c r="H3324" s="350">
        <f>IF(G3324="Sim",IF(OR(F3324="",D3324="",L3324=""),"",IF(L3324="Sim",ROUND(F3324-D3324,2),0)),0)</f>
        <v/>
      </c>
      <c r="I3324" s="350">
        <f>IF(G3324="Sim",0,IF(OR(F3324="",L3324=""),"",F3324))</f>
        <v/>
      </c>
      <c r="J3324" s="350">
        <f>IF(G3324="Sim",0,IF(OR(F3324="",D3324="",L3324=""),"",IF(L3324="Sim",ROUND(F3324-D3324,2),0)))</f>
        <v/>
      </c>
      <c r="K3324" s="97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inlineStr">
        <is>
          <t>Nao</t>
        </is>
      </c>
      <c r="W3324" s="110" t="inlineStr">
        <is>
          <t>PC em analise</t>
        </is>
      </c>
      <c r="X3324" s="110" t="inlineStr">
        <is>
          <t>Pedido de Compra</t>
        </is>
      </c>
      <c r="Y3324" s="111" t="inlineStr">
        <is>
          <t>Impacto Potencial</t>
        </is>
      </c>
      <c r="Z3324" s="111" t="inlineStr">
        <is>
          <t>PC</t>
        </is>
      </c>
      <c r="AA3324" s="111" t="inlineStr">
        <is>
          <t>Nao</t>
        </is>
      </c>
      <c r="AB3324" s="111" t="inlineStr">
        <is>
          <t>NAO_COMPUTADO</t>
        </is>
      </c>
      <c r="AC3324" s="112" t="inlineStr">
        <is>
          <t>Estrutura Fase 1: sem impacto no VTA oficial</t>
        </is>
      </c>
    </row>
    <row r="3325" ht="25.5" customHeight="1" s="289">
      <c r="A3325" s="205" t="n"/>
      <c r="B3325" s="207" t="n"/>
      <c r="C3325" s="104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348" t="n"/>
      <c r="E3325" s="349">
        <f>IF(C3325="","",IFERROR(VLOOKUP(C3325,parametros!$A$11:$E$15,5,0),""))</f>
        <v/>
      </c>
      <c r="F3325" s="335">
        <f>IF(OR(D3325="",E3325=""),"",ROUND(D3325*E3325,2))</f>
        <v/>
      </c>
      <c r="G3325" s="106" t="n"/>
      <c r="H3325" s="350">
        <f>IF(G3325="Sim",IF(OR(F3325="",D3325="",L3325=""),"",IF(L3325="Sim",ROUND(F3325-D3325,2),0)),0)</f>
        <v/>
      </c>
      <c r="I3325" s="350">
        <f>IF(G3325="Sim",0,IF(OR(F3325="",L3325=""),"",F3325))</f>
        <v/>
      </c>
      <c r="J3325" s="350">
        <f>IF(G3325="Sim",0,IF(OR(F3325="",D3325="",L3325=""),"",IF(L3325="Sim",ROUND(F3325-D3325,2),0)))</f>
        <v/>
      </c>
      <c r="K3325" s="97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inlineStr">
        <is>
          <t>Nao</t>
        </is>
      </c>
      <c r="W3325" s="110" t="inlineStr">
        <is>
          <t>PC em analise</t>
        </is>
      </c>
      <c r="X3325" s="110" t="inlineStr">
        <is>
          <t>Pedido de Compra</t>
        </is>
      </c>
      <c r="Y3325" s="111" t="inlineStr">
        <is>
          <t>Impacto Potencial</t>
        </is>
      </c>
      <c r="Z3325" s="111" t="inlineStr">
        <is>
          <t>PC</t>
        </is>
      </c>
      <c r="AA3325" s="111" t="inlineStr">
        <is>
          <t>Nao</t>
        </is>
      </c>
      <c r="AB3325" s="111" t="inlineStr">
        <is>
          <t>NAO_COMPUTADO</t>
        </is>
      </c>
      <c r="AC3325" s="112" t="inlineStr">
        <is>
          <t>Estrutura Fase 1: sem impacto no VTA oficial</t>
        </is>
      </c>
    </row>
    <row r="3326" ht="25.5" customHeight="1" s="289">
      <c r="A3326" s="205" t="n"/>
      <c r="B3326" s="207" t="n"/>
      <c r="C3326" s="104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348" t="n"/>
      <c r="E3326" s="349">
        <f>IF(C3326="","",IFERROR(VLOOKUP(C3326,parametros!$A$11:$E$15,5,0),""))</f>
        <v/>
      </c>
      <c r="F3326" s="335">
        <f>IF(OR(D3326="",E3326=""),"",ROUND(D3326*E3326,2))</f>
        <v/>
      </c>
      <c r="G3326" s="106" t="n"/>
      <c r="H3326" s="350">
        <f>IF(G3326="Sim",IF(OR(F3326="",D3326="",L3326=""),"",IF(L3326="Sim",ROUND(F3326-D3326,2),0)),0)</f>
        <v/>
      </c>
      <c r="I3326" s="350">
        <f>IF(G3326="Sim",0,IF(OR(F3326="",L3326=""),"",F3326))</f>
        <v/>
      </c>
      <c r="J3326" s="350">
        <f>IF(G3326="Sim",0,IF(OR(F3326="",D3326="",L3326=""),"",IF(L3326="Sim",ROUND(F3326-D3326,2),0)))</f>
        <v/>
      </c>
      <c r="K3326" s="97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inlineStr">
        <is>
          <t>Nao</t>
        </is>
      </c>
      <c r="W3326" s="110" t="inlineStr">
        <is>
          <t>PC em analise</t>
        </is>
      </c>
      <c r="X3326" s="110" t="inlineStr">
        <is>
          <t>Pedido de Compra</t>
        </is>
      </c>
      <c r="Y3326" s="111" t="inlineStr">
        <is>
          <t>Impacto Potencial</t>
        </is>
      </c>
      <c r="Z3326" s="111" t="inlineStr">
        <is>
          <t>PC</t>
        </is>
      </c>
      <c r="AA3326" s="111" t="inlineStr">
        <is>
          <t>Nao</t>
        </is>
      </c>
      <c r="AB3326" s="111" t="inlineStr">
        <is>
          <t>NAO_COMPUTADO</t>
        </is>
      </c>
      <c r="AC3326" s="112" t="inlineStr">
        <is>
          <t>Estrutura Fase 1: sem impacto no VTA oficial</t>
        </is>
      </c>
    </row>
    <row r="3327" ht="25.5" customHeight="1" s="289">
      <c r="A3327" s="205" t="n"/>
      <c r="B3327" s="207" t="n"/>
      <c r="C3327" s="104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348" t="n"/>
      <c r="E3327" s="349">
        <f>IF(C3327="","",IFERROR(VLOOKUP(C3327,parametros!$A$11:$E$15,5,0),""))</f>
        <v/>
      </c>
      <c r="F3327" s="335">
        <f>IF(OR(D3327="",E3327=""),"",ROUND(D3327*E3327,2))</f>
        <v/>
      </c>
      <c r="G3327" s="106" t="n"/>
      <c r="H3327" s="350">
        <f>IF(G3327="Sim",IF(OR(F3327="",D3327="",L3327=""),"",IF(L3327="Sim",ROUND(F3327-D3327,2),0)),0)</f>
        <v/>
      </c>
      <c r="I3327" s="350">
        <f>IF(G3327="Sim",0,IF(OR(F3327="",L3327=""),"",F3327))</f>
        <v/>
      </c>
      <c r="J3327" s="350">
        <f>IF(G3327="Sim",0,IF(OR(F3327="",D3327="",L3327=""),"",IF(L3327="Sim",ROUND(F3327-D3327,2),0)))</f>
        <v/>
      </c>
      <c r="K3327" s="97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inlineStr">
        <is>
          <t>Nao</t>
        </is>
      </c>
      <c r="W3327" s="110" t="inlineStr">
        <is>
          <t>PC em analise</t>
        </is>
      </c>
      <c r="X3327" s="110" t="inlineStr">
        <is>
          <t>Pedido de Compra</t>
        </is>
      </c>
      <c r="Y3327" s="111" t="inlineStr">
        <is>
          <t>Impacto Potencial</t>
        </is>
      </c>
      <c r="Z3327" s="111" t="inlineStr">
        <is>
          <t>PC</t>
        </is>
      </c>
      <c r="AA3327" s="111" t="inlineStr">
        <is>
          <t>Nao</t>
        </is>
      </c>
      <c r="AB3327" s="111" t="inlineStr">
        <is>
          <t>NAO_COMPUTADO</t>
        </is>
      </c>
      <c r="AC3327" s="112" t="inlineStr">
        <is>
          <t>Estrutura Fase 1: sem impacto no VTA oficial</t>
        </is>
      </c>
    </row>
    <row r="3328" ht="25.5" customHeight="1" s="289">
      <c r="A3328" s="205" t="n"/>
      <c r="B3328" s="207" t="n"/>
      <c r="C3328" s="104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348" t="n"/>
      <c r="E3328" s="349">
        <f>IF(C3328="","",IFERROR(VLOOKUP(C3328,parametros!$A$11:$E$15,5,0),""))</f>
        <v/>
      </c>
      <c r="F3328" s="335">
        <f>IF(OR(D3328="",E3328=""),"",ROUND(D3328*E3328,2))</f>
        <v/>
      </c>
      <c r="G3328" s="106" t="n"/>
      <c r="H3328" s="350">
        <f>IF(G3328="Sim",IF(OR(F3328="",D3328="",L3328=""),"",IF(L3328="Sim",ROUND(F3328-D3328,2),0)),0)</f>
        <v/>
      </c>
      <c r="I3328" s="350">
        <f>IF(G3328="Sim",0,IF(OR(F3328="",L3328=""),"",F3328))</f>
        <v/>
      </c>
      <c r="J3328" s="350">
        <f>IF(G3328="Sim",0,IF(OR(F3328="",D3328="",L3328=""),"",IF(L3328="Sim",ROUND(F3328-D3328,2),0)))</f>
        <v/>
      </c>
      <c r="K3328" s="97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inlineStr">
        <is>
          <t>Nao</t>
        </is>
      </c>
      <c r="W3328" s="110" t="inlineStr">
        <is>
          <t>PC em analise</t>
        </is>
      </c>
      <c r="X3328" s="110" t="inlineStr">
        <is>
          <t>Pedido de Compra</t>
        </is>
      </c>
      <c r="Y3328" s="111" t="inlineStr">
        <is>
          <t>Impacto Potencial</t>
        </is>
      </c>
      <c r="Z3328" s="111" t="inlineStr">
        <is>
          <t>PC</t>
        </is>
      </c>
      <c r="AA3328" s="111" t="inlineStr">
        <is>
          <t>Nao</t>
        </is>
      </c>
      <c r="AB3328" s="111" t="inlineStr">
        <is>
          <t>NAO_COMPUTADO</t>
        </is>
      </c>
      <c r="AC3328" s="112" t="inlineStr">
        <is>
          <t>Estrutura Fase 1: sem impacto no VTA oficial</t>
        </is>
      </c>
    </row>
    <row r="3329" ht="25.5" customHeight="1" s="289">
      <c r="A3329" s="205" t="n"/>
      <c r="B3329" s="207" t="n"/>
      <c r="C3329" s="104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348" t="n"/>
      <c r="E3329" s="349">
        <f>IF(C3329="","",IFERROR(VLOOKUP(C3329,parametros!$A$11:$E$15,5,0),""))</f>
        <v/>
      </c>
      <c r="F3329" s="335">
        <f>IF(OR(D3329="",E3329=""),"",ROUND(D3329*E3329,2))</f>
        <v/>
      </c>
      <c r="G3329" s="106" t="n"/>
      <c r="H3329" s="350">
        <f>IF(G3329="Sim",IF(OR(F3329="",D3329="",L3329=""),"",IF(L3329="Sim",ROUND(F3329-D3329,2),0)),0)</f>
        <v/>
      </c>
      <c r="I3329" s="350">
        <f>IF(G3329="Sim",0,IF(OR(F3329="",L3329=""),"",F3329))</f>
        <v/>
      </c>
      <c r="J3329" s="350">
        <f>IF(G3329="Sim",0,IF(OR(F3329="",D3329="",L3329=""),"",IF(L3329="Sim",ROUND(F3329-D3329,2),0)))</f>
        <v/>
      </c>
      <c r="K3329" s="97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inlineStr">
        <is>
          <t>Nao</t>
        </is>
      </c>
      <c r="W3329" s="110" t="inlineStr">
        <is>
          <t>PC em analise</t>
        </is>
      </c>
      <c r="X3329" s="110" t="inlineStr">
        <is>
          <t>Pedido de Compra</t>
        </is>
      </c>
      <c r="Y3329" s="111" t="inlineStr">
        <is>
          <t>Impacto Potencial</t>
        </is>
      </c>
      <c r="Z3329" s="111" t="inlineStr">
        <is>
          <t>PC</t>
        </is>
      </c>
      <c r="AA3329" s="111" t="inlineStr">
        <is>
          <t>Nao</t>
        </is>
      </c>
      <c r="AB3329" s="111" t="inlineStr">
        <is>
          <t>NAO_COMPUTADO</t>
        </is>
      </c>
      <c r="AC3329" s="112" t="inlineStr">
        <is>
          <t>Estrutura Fase 1: sem impacto no VTA oficial</t>
        </is>
      </c>
    </row>
    <row r="3330" ht="25.5" customHeight="1" s="289">
      <c r="A3330" s="205" t="n"/>
      <c r="B3330" s="207" t="n"/>
      <c r="C3330" s="104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348" t="n"/>
      <c r="E3330" s="349">
        <f>IF(C3330="","",IFERROR(VLOOKUP(C3330,parametros!$A$11:$E$15,5,0),""))</f>
        <v/>
      </c>
      <c r="F3330" s="335">
        <f>IF(OR(D3330="",E3330=""),"",ROUND(D3330*E3330,2))</f>
        <v/>
      </c>
      <c r="G3330" s="106" t="n"/>
      <c r="H3330" s="350">
        <f>IF(G3330="Sim",IF(OR(F3330="",D3330="",L3330=""),"",IF(L3330="Sim",ROUND(F3330-D3330,2),0)),0)</f>
        <v/>
      </c>
      <c r="I3330" s="350">
        <f>IF(G3330="Sim",0,IF(OR(F3330="",L3330=""),"",F3330))</f>
        <v/>
      </c>
      <c r="J3330" s="350">
        <f>IF(G3330="Sim",0,IF(OR(F3330="",D3330="",L3330=""),"",IF(L3330="Sim",ROUND(F3330-D3330,2),0)))</f>
        <v/>
      </c>
      <c r="K3330" s="97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inlineStr">
        <is>
          <t>Nao</t>
        </is>
      </c>
      <c r="W3330" s="110" t="inlineStr">
        <is>
          <t>PC em analise</t>
        </is>
      </c>
      <c r="X3330" s="110" t="inlineStr">
        <is>
          <t>Pedido de Compra</t>
        </is>
      </c>
      <c r="Y3330" s="111" t="inlineStr">
        <is>
          <t>Impacto Potencial</t>
        </is>
      </c>
      <c r="Z3330" s="111" t="inlineStr">
        <is>
          <t>PC</t>
        </is>
      </c>
      <c r="AA3330" s="111" t="inlineStr">
        <is>
          <t>Nao</t>
        </is>
      </c>
      <c r="AB3330" s="111" t="inlineStr">
        <is>
          <t>NAO_COMPUTADO</t>
        </is>
      </c>
      <c r="AC3330" s="112" t="inlineStr">
        <is>
          <t>Estrutura Fase 1: sem impacto no VTA oficial</t>
        </is>
      </c>
    </row>
    <row r="3331" ht="25.5" customHeight="1" s="289">
      <c r="A3331" s="205" t="n"/>
      <c r="B3331" s="207" t="n"/>
      <c r="C3331" s="104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348" t="n"/>
      <c r="E3331" s="349">
        <f>IF(C3331="","",IFERROR(VLOOKUP(C3331,parametros!$A$11:$E$15,5,0),""))</f>
        <v/>
      </c>
      <c r="F3331" s="335">
        <f>IF(OR(D3331="",E3331=""),"",ROUND(D3331*E3331,2))</f>
        <v/>
      </c>
      <c r="G3331" s="106" t="n"/>
      <c r="H3331" s="350">
        <f>IF(G3331="Sim",IF(OR(F3331="",D3331="",L3331=""),"",IF(L3331="Sim",ROUND(F3331-D3331,2),0)),0)</f>
        <v/>
      </c>
      <c r="I3331" s="350">
        <f>IF(G3331="Sim",0,IF(OR(F3331="",L3331=""),"",F3331))</f>
        <v/>
      </c>
      <c r="J3331" s="350">
        <f>IF(G3331="Sim",0,IF(OR(F3331="",D3331="",L3331=""),"",IF(L3331="Sim",ROUND(F3331-D3331,2),0)))</f>
        <v/>
      </c>
      <c r="K3331" s="97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inlineStr">
        <is>
          <t>Nao</t>
        </is>
      </c>
      <c r="W3331" s="110" t="inlineStr">
        <is>
          <t>PC em analise</t>
        </is>
      </c>
      <c r="X3331" s="110" t="inlineStr">
        <is>
          <t>Pedido de Compra</t>
        </is>
      </c>
      <c r="Y3331" s="111" t="inlineStr">
        <is>
          <t>Impacto Potencial</t>
        </is>
      </c>
      <c r="Z3331" s="111" t="inlineStr">
        <is>
          <t>PC</t>
        </is>
      </c>
      <c r="AA3331" s="111" t="inlineStr">
        <is>
          <t>Nao</t>
        </is>
      </c>
      <c r="AB3331" s="111" t="inlineStr">
        <is>
          <t>NAO_COMPUTADO</t>
        </is>
      </c>
      <c r="AC3331" s="112" t="inlineStr">
        <is>
          <t>Estrutura Fase 1: sem impacto no VTA oficial</t>
        </is>
      </c>
    </row>
    <row r="3332" ht="25.5" customHeight="1" s="289">
      <c r="A3332" s="205" t="n"/>
      <c r="B3332" s="207" t="n"/>
      <c r="C3332" s="104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348" t="n"/>
      <c r="E3332" s="349">
        <f>IF(C3332="","",IFERROR(VLOOKUP(C3332,parametros!$A$11:$E$15,5,0),""))</f>
        <v/>
      </c>
      <c r="F3332" s="335">
        <f>IF(OR(D3332="",E3332=""),"",ROUND(D3332*E3332,2))</f>
        <v/>
      </c>
      <c r="G3332" s="106" t="n"/>
      <c r="H3332" s="350">
        <f>IF(G3332="Sim",IF(OR(F3332="",D3332="",L3332=""),"",IF(L3332="Sim",ROUND(F3332-D3332,2),0)),0)</f>
        <v/>
      </c>
      <c r="I3332" s="350">
        <f>IF(G3332="Sim",0,IF(OR(F3332="",L3332=""),"",F3332))</f>
        <v/>
      </c>
      <c r="J3332" s="350">
        <f>IF(G3332="Sim",0,IF(OR(F3332="",D3332="",L3332=""),"",IF(L3332="Sim",ROUND(F3332-D3332,2),0)))</f>
        <v/>
      </c>
      <c r="K3332" s="97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inlineStr">
        <is>
          <t>Nao</t>
        </is>
      </c>
      <c r="W3332" s="110" t="inlineStr">
        <is>
          <t>PC em analise</t>
        </is>
      </c>
      <c r="X3332" s="110" t="inlineStr">
        <is>
          <t>Pedido de Compra</t>
        </is>
      </c>
      <c r="Y3332" s="111" t="inlineStr">
        <is>
          <t>Impacto Potencial</t>
        </is>
      </c>
      <c r="Z3332" s="111" t="inlineStr">
        <is>
          <t>PC</t>
        </is>
      </c>
      <c r="AA3332" s="111" t="inlineStr">
        <is>
          <t>Nao</t>
        </is>
      </c>
      <c r="AB3332" s="111" t="inlineStr">
        <is>
          <t>NAO_COMPUTADO</t>
        </is>
      </c>
      <c r="AC3332" s="112" t="inlineStr">
        <is>
          <t>Estrutura Fase 1: sem impacto no VTA oficial</t>
        </is>
      </c>
    </row>
    <row r="3333" ht="25.5" customHeight="1" s="289">
      <c r="A3333" s="205" t="n"/>
      <c r="B3333" s="207" t="n"/>
      <c r="C3333" s="104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348" t="n"/>
      <c r="E3333" s="349">
        <f>IF(C3333="","",IFERROR(VLOOKUP(C3333,parametros!$A$11:$E$15,5,0),""))</f>
        <v/>
      </c>
      <c r="F3333" s="335">
        <f>IF(OR(D3333="",E3333=""),"",ROUND(D3333*E3333,2))</f>
        <v/>
      </c>
      <c r="G3333" s="106" t="n"/>
      <c r="H3333" s="350">
        <f>IF(G3333="Sim",IF(OR(F3333="",D3333="",L3333=""),"",IF(L3333="Sim",ROUND(F3333-D3333,2),0)),0)</f>
        <v/>
      </c>
      <c r="I3333" s="350">
        <f>IF(G3333="Sim",0,IF(OR(F3333="",L3333=""),"",F3333))</f>
        <v/>
      </c>
      <c r="J3333" s="350">
        <f>IF(G3333="Sim",0,IF(OR(F3333="",D3333="",L3333=""),"",IF(L3333="Sim",ROUND(F3333-D3333,2),0)))</f>
        <v/>
      </c>
      <c r="K3333" s="97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inlineStr">
        <is>
          <t>Nao</t>
        </is>
      </c>
      <c r="W3333" s="110" t="inlineStr">
        <is>
          <t>PC em analise</t>
        </is>
      </c>
      <c r="X3333" s="110" t="inlineStr">
        <is>
          <t>Pedido de Compra</t>
        </is>
      </c>
      <c r="Y3333" s="111" t="inlineStr">
        <is>
          <t>Impacto Potencial</t>
        </is>
      </c>
      <c r="Z3333" s="111" t="inlineStr">
        <is>
          <t>PC</t>
        </is>
      </c>
      <c r="AA3333" s="111" t="inlineStr">
        <is>
          <t>Nao</t>
        </is>
      </c>
      <c r="AB3333" s="111" t="inlineStr">
        <is>
          <t>NAO_COMPUTADO</t>
        </is>
      </c>
      <c r="AC3333" s="112" t="inlineStr">
        <is>
          <t>Estrutura Fase 1: sem impacto no VTA oficial</t>
        </is>
      </c>
    </row>
    <row r="3334" ht="25.5" customHeight="1" s="289">
      <c r="A3334" s="205" t="n"/>
      <c r="B3334" s="207" t="n"/>
      <c r="C3334" s="104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348" t="n"/>
      <c r="E3334" s="349">
        <f>IF(C3334="","",IFERROR(VLOOKUP(C3334,parametros!$A$11:$E$15,5,0),""))</f>
        <v/>
      </c>
      <c r="F3334" s="335">
        <f>IF(OR(D3334="",E3334=""),"",ROUND(D3334*E3334,2))</f>
        <v/>
      </c>
      <c r="G3334" s="106" t="n"/>
      <c r="H3334" s="350">
        <f>IF(G3334="Sim",IF(OR(F3334="",D3334="",L3334=""),"",IF(L3334="Sim",ROUND(F3334-D3334,2),0)),0)</f>
        <v/>
      </c>
      <c r="I3334" s="350">
        <f>IF(G3334="Sim",0,IF(OR(F3334="",L3334=""),"",F3334))</f>
        <v/>
      </c>
      <c r="J3334" s="350">
        <f>IF(G3334="Sim",0,IF(OR(F3334="",D3334="",L3334=""),"",IF(L3334="Sim",ROUND(F3334-D3334,2),0)))</f>
        <v/>
      </c>
      <c r="K3334" s="97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inlineStr">
        <is>
          <t>Nao</t>
        </is>
      </c>
      <c r="W3334" s="110" t="inlineStr">
        <is>
          <t>PC em analise</t>
        </is>
      </c>
      <c r="X3334" s="110" t="inlineStr">
        <is>
          <t>Pedido de Compra</t>
        </is>
      </c>
      <c r="Y3334" s="111" t="inlineStr">
        <is>
          <t>Impacto Potencial</t>
        </is>
      </c>
      <c r="Z3334" s="111" t="inlineStr">
        <is>
          <t>PC</t>
        </is>
      </c>
      <c r="AA3334" s="111" t="inlineStr">
        <is>
          <t>Nao</t>
        </is>
      </c>
      <c r="AB3334" s="111" t="inlineStr">
        <is>
          <t>NAO_COMPUTADO</t>
        </is>
      </c>
      <c r="AC3334" s="112" t="inlineStr">
        <is>
          <t>Estrutura Fase 1: sem impacto no VTA oficial</t>
        </is>
      </c>
    </row>
    <row r="3335" ht="25.5" customHeight="1" s="289">
      <c r="A3335" s="205" t="n"/>
      <c r="B3335" s="207" t="n"/>
      <c r="C3335" s="104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348" t="n"/>
      <c r="E3335" s="349">
        <f>IF(C3335="","",IFERROR(VLOOKUP(C3335,parametros!$A$11:$E$15,5,0),""))</f>
        <v/>
      </c>
      <c r="F3335" s="335">
        <f>IF(OR(D3335="",E3335=""),"",ROUND(D3335*E3335,2))</f>
        <v/>
      </c>
      <c r="G3335" s="106" t="n"/>
      <c r="H3335" s="350">
        <f>IF(G3335="Sim",IF(OR(F3335="",D3335="",L3335=""),"",IF(L3335="Sim",ROUND(F3335-D3335,2),0)),0)</f>
        <v/>
      </c>
      <c r="I3335" s="350">
        <f>IF(G3335="Sim",0,IF(OR(F3335="",L3335=""),"",F3335))</f>
        <v/>
      </c>
      <c r="J3335" s="350">
        <f>IF(G3335="Sim",0,IF(OR(F3335="",D3335="",L3335=""),"",IF(L3335="Sim",ROUND(F3335-D3335,2),0)))</f>
        <v/>
      </c>
      <c r="K3335" s="97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inlineStr">
        <is>
          <t>Nao</t>
        </is>
      </c>
      <c r="W3335" s="110" t="inlineStr">
        <is>
          <t>PC em analise</t>
        </is>
      </c>
      <c r="X3335" s="110" t="inlineStr">
        <is>
          <t>Pedido de Compra</t>
        </is>
      </c>
      <c r="Y3335" s="111" t="inlineStr">
        <is>
          <t>Impacto Potencial</t>
        </is>
      </c>
      <c r="Z3335" s="111" t="inlineStr">
        <is>
          <t>PC</t>
        </is>
      </c>
      <c r="AA3335" s="111" t="inlineStr">
        <is>
          <t>Nao</t>
        </is>
      </c>
      <c r="AB3335" s="111" t="inlineStr">
        <is>
          <t>NAO_COMPUTADO</t>
        </is>
      </c>
      <c r="AC3335" s="112" t="inlineStr">
        <is>
          <t>Estrutura Fase 1: sem impacto no VTA oficial</t>
        </is>
      </c>
    </row>
    <row r="3336" ht="25.5" customHeight="1" s="289">
      <c r="A3336" s="205" t="n"/>
      <c r="B3336" s="207" t="n"/>
      <c r="C3336" s="104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348" t="n"/>
      <c r="E3336" s="349">
        <f>IF(C3336="","",IFERROR(VLOOKUP(C3336,parametros!$A$11:$E$15,5,0),""))</f>
        <v/>
      </c>
      <c r="F3336" s="335">
        <f>IF(OR(D3336="",E3336=""),"",ROUND(D3336*E3336,2))</f>
        <v/>
      </c>
      <c r="G3336" s="106" t="n"/>
      <c r="H3336" s="350">
        <f>IF(G3336="Sim",IF(OR(F3336="",D3336="",L3336=""),"",IF(L3336="Sim",ROUND(F3336-D3336,2),0)),0)</f>
        <v/>
      </c>
      <c r="I3336" s="350">
        <f>IF(G3336="Sim",0,IF(OR(F3336="",L3336=""),"",F3336))</f>
        <v/>
      </c>
      <c r="J3336" s="350">
        <f>IF(G3336="Sim",0,IF(OR(F3336="",D3336="",L3336=""),"",IF(L3336="Sim",ROUND(F3336-D3336,2),0)))</f>
        <v/>
      </c>
      <c r="K3336" s="97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inlineStr">
        <is>
          <t>Nao</t>
        </is>
      </c>
      <c r="W3336" s="110" t="inlineStr">
        <is>
          <t>PC em analise</t>
        </is>
      </c>
      <c r="X3336" s="110" t="inlineStr">
        <is>
          <t>Pedido de Compra</t>
        </is>
      </c>
      <c r="Y3336" s="111" t="inlineStr">
        <is>
          <t>Impacto Potencial</t>
        </is>
      </c>
      <c r="Z3336" s="111" t="inlineStr">
        <is>
          <t>PC</t>
        </is>
      </c>
      <c r="AA3336" s="111" t="inlineStr">
        <is>
          <t>Nao</t>
        </is>
      </c>
      <c r="AB3336" s="111" t="inlineStr">
        <is>
          <t>NAO_COMPUTADO</t>
        </is>
      </c>
      <c r="AC3336" s="112" t="inlineStr">
        <is>
          <t>Estrutura Fase 1: sem impacto no VTA oficial</t>
        </is>
      </c>
    </row>
    <row r="3337" ht="25.5" customHeight="1" s="289">
      <c r="A3337" s="205" t="n"/>
      <c r="B3337" s="207" t="n"/>
      <c r="C3337" s="104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348" t="n"/>
      <c r="E3337" s="349">
        <f>IF(C3337="","",IFERROR(VLOOKUP(C3337,parametros!$A$11:$E$15,5,0),""))</f>
        <v/>
      </c>
      <c r="F3337" s="335">
        <f>IF(OR(D3337="",E3337=""),"",ROUND(D3337*E3337,2))</f>
        <v/>
      </c>
      <c r="G3337" s="106" t="n"/>
      <c r="H3337" s="350">
        <f>IF(G3337="Sim",IF(OR(F3337="",D3337="",L3337=""),"",IF(L3337="Sim",ROUND(F3337-D3337,2),0)),0)</f>
        <v/>
      </c>
      <c r="I3337" s="350">
        <f>IF(G3337="Sim",0,IF(OR(F3337="",L3337=""),"",F3337))</f>
        <v/>
      </c>
      <c r="J3337" s="350">
        <f>IF(G3337="Sim",0,IF(OR(F3337="",D3337="",L3337=""),"",IF(L3337="Sim",ROUND(F3337-D3337,2),0)))</f>
        <v/>
      </c>
      <c r="K3337" s="97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inlineStr">
        <is>
          <t>Nao</t>
        </is>
      </c>
      <c r="W3337" s="110" t="inlineStr">
        <is>
          <t>PC em analise</t>
        </is>
      </c>
      <c r="X3337" s="110" t="inlineStr">
        <is>
          <t>Pedido de Compra</t>
        </is>
      </c>
      <c r="Y3337" s="111" t="inlineStr">
        <is>
          <t>Impacto Potencial</t>
        </is>
      </c>
      <c r="Z3337" s="111" t="inlineStr">
        <is>
          <t>PC</t>
        </is>
      </c>
      <c r="AA3337" s="111" t="inlineStr">
        <is>
          <t>Nao</t>
        </is>
      </c>
      <c r="AB3337" s="111" t="inlineStr">
        <is>
          <t>NAO_COMPUTADO</t>
        </is>
      </c>
      <c r="AC3337" s="112" t="inlineStr">
        <is>
          <t>Estrutura Fase 1: sem impacto no VTA oficial</t>
        </is>
      </c>
    </row>
    <row r="3338" ht="25.5" customHeight="1" s="289">
      <c r="A3338" s="205" t="n"/>
      <c r="B3338" s="207" t="n"/>
      <c r="C3338" s="104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348" t="n"/>
      <c r="E3338" s="349">
        <f>IF(C3338="","",IFERROR(VLOOKUP(C3338,parametros!$A$11:$E$15,5,0),""))</f>
        <v/>
      </c>
      <c r="F3338" s="335">
        <f>IF(OR(D3338="",E3338=""),"",ROUND(D3338*E3338,2))</f>
        <v/>
      </c>
      <c r="G3338" s="106" t="n"/>
      <c r="H3338" s="350">
        <f>IF(G3338="Sim",IF(OR(F3338="",D3338="",L3338=""),"",IF(L3338="Sim",ROUND(F3338-D3338,2),0)),0)</f>
        <v/>
      </c>
      <c r="I3338" s="350">
        <f>IF(G3338="Sim",0,IF(OR(F3338="",L3338=""),"",F3338))</f>
        <v/>
      </c>
      <c r="J3338" s="350">
        <f>IF(G3338="Sim",0,IF(OR(F3338="",D3338="",L3338=""),"",IF(L3338="Sim",ROUND(F3338-D3338,2),0)))</f>
        <v/>
      </c>
      <c r="K3338" s="97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inlineStr">
        <is>
          <t>Nao</t>
        </is>
      </c>
      <c r="W3338" s="110" t="inlineStr">
        <is>
          <t>PC em analise</t>
        </is>
      </c>
      <c r="X3338" s="110" t="inlineStr">
        <is>
          <t>Pedido de Compra</t>
        </is>
      </c>
      <c r="Y3338" s="111" t="inlineStr">
        <is>
          <t>Impacto Potencial</t>
        </is>
      </c>
      <c r="Z3338" s="111" t="inlineStr">
        <is>
          <t>PC</t>
        </is>
      </c>
      <c r="AA3338" s="111" t="inlineStr">
        <is>
          <t>Nao</t>
        </is>
      </c>
      <c r="AB3338" s="111" t="inlineStr">
        <is>
          <t>NAO_COMPUTADO</t>
        </is>
      </c>
      <c r="AC3338" s="112" t="inlineStr">
        <is>
          <t>Estrutura Fase 1: sem impacto no VTA oficial</t>
        </is>
      </c>
    </row>
    <row r="3339" ht="25.5" customHeight="1" s="289">
      <c r="A3339" s="205" t="n"/>
      <c r="B3339" s="207" t="n"/>
      <c r="C3339" s="104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348" t="n"/>
      <c r="E3339" s="349">
        <f>IF(C3339="","",IFERROR(VLOOKUP(C3339,parametros!$A$11:$E$15,5,0),""))</f>
        <v/>
      </c>
      <c r="F3339" s="335">
        <f>IF(OR(D3339="",E3339=""),"",ROUND(D3339*E3339,2))</f>
        <v/>
      </c>
      <c r="G3339" s="106" t="n"/>
      <c r="H3339" s="350">
        <f>IF(G3339="Sim",IF(OR(F3339="",D3339="",L3339=""),"",IF(L3339="Sim",ROUND(F3339-D3339,2),0)),0)</f>
        <v/>
      </c>
      <c r="I3339" s="350">
        <f>IF(G3339="Sim",0,IF(OR(F3339="",L3339=""),"",F3339))</f>
        <v/>
      </c>
      <c r="J3339" s="350">
        <f>IF(G3339="Sim",0,IF(OR(F3339="",D3339="",L3339=""),"",IF(L3339="Sim",ROUND(F3339-D3339,2),0)))</f>
        <v/>
      </c>
      <c r="K3339" s="97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inlineStr">
        <is>
          <t>Nao</t>
        </is>
      </c>
      <c r="W3339" s="110" t="inlineStr">
        <is>
          <t>PC em analise</t>
        </is>
      </c>
      <c r="X3339" s="110" t="inlineStr">
        <is>
          <t>Pedido de Compra</t>
        </is>
      </c>
      <c r="Y3339" s="111" t="inlineStr">
        <is>
          <t>Impacto Potencial</t>
        </is>
      </c>
      <c r="Z3339" s="111" t="inlineStr">
        <is>
          <t>PC</t>
        </is>
      </c>
      <c r="AA3339" s="111" t="inlineStr">
        <is>
          <t>Nao</t>
        </is>
      </c>
      <c r="AB3339" s="111" t="inlineStr">
        <is>
          <t>NAO_COMPUTADO</t>
        </is>
      </c>
      <c r="AC3339" s="112" t="inlineStr">
        <is>
          <t>Estrutura Fase 1: sem impacto no VTA oficial</t>
        </is>
      </c>
    </row>
    <row r="3340" ht="25.5" customHeight="1" s="289">
      <c r="A3340" s="205" t="n"/>
      <c r="B3340" s="207" t="n"/>
      <c r="C3340" s="104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348" t="n"/>
      <c r="E3340" s="349">
        <f>IF(C3340="","",IFERROR(VLOOKUP(C3340,parametros!$A$11:$E$15,5,0),""))</f>
        <v/>
      </c>
      <c r="F3340" s="335">
        <f>IF(OR(D3340="",E3340=""),"",ROUND(D3340*E3340,2))</f>
        <v/>
      </c>
      <c r="G3340" s="106" t="n"/>
      <c r="H3340" s="350">
        <f>IF(G3340="Sim",IF(OR(F3340="",D3340="",L3340=""),"",IF(L3340="Sim",ROUND(F3340-D3340,2),0)),0)</f>
        <v/>
      </c>
      <c r="I3340" s="350">
        <f>IF(G3340="Sim",0,IF(OR(F3340="",L3340=""),"",F3340))</f>
        <v/>
      </c>
      <c r="J3340" s="350">
        <f>IF(G3340="Sim",0,IF(OR(F3340="",D3340="",L3340=""),"",IF(L3340="Sim",ROUND(F3340-D3340,2),0)))</f>
        <v/>
      </c>
      <c r="K3340" s="97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inlineStr">
        <is>
          <t>Nao</t>
        </is>
      </c>
      <c r="W3340" s="110" t="inlineStr">
        <is>
          <t>PC em analise</t>
        </is>
      </c>
      <c r="X3340" s="110" t="inlineStr">
        <is>
          <t>Pedido de Compra</t>
        </is>
      </c>
      <c r="Y3340" s="111" t="inlineStr">
        <is>
          <t>Impacto Potencial</t>
        </is>
      </c>
      <c r="Z3340" s="111" t="inlineStr">
        <is>
          <t>PC</t>
        </is>
      </c>
      <c r="AA3340" s="111" t="inlineStr">
        <is>
          <t>Nao</t>
        </is>
      </c>
      <c r="AB3340" s="111" t="inlineStr">
        <is>
          <t>NAO_COMPUTADO</t>
        </is>
      </c>
      <c r="AC3340" s="112" t="inlineStr">
        <is>
          <t>Estrutura Fase 1: sem impacto no VTA oficial</t>
        </is>
      </c>
    </row>
    <row r="3341" ht="25.5" customHeight="1" s="289">
      <c r="A3341" s="205" t="n"/>
      <c r="B3341" s="207" t="n"/>
      <c r="C3341" s="104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348" t="n"/>
      <c r="E3341" s="349">
        <f>IF(C3341="","",IFERROR(VLOOKUP(C3341,parametros!$A$11:$E$15,5,0),""))</f>
        <v/>
      </c>
      <c r="F3341" s="335">
        <f>IF(OR(D3341="",E3341=""),"",ROUND(D3341*E3341,2))</f>
        <v/>
      </c>
      <c r="G3341" s="106" t="n"/>
      <c r="H3341" s="350">
        <f>IF(G3341="Sim",IF(OR(F3341="",D3341="",L3341=""),"",IF(L3341="Sim",ROUND(F3341-D3341,2),0)),0)</f>
        <v/>
      </c>
      <c r="I3341" s="350">
        <f>IF(G3341="Sim",0,IF(OR(F3341="",L3341=""),"",F3341))</f>
        <v/>
      </c>
      <c r="J3341" s="350">
        <f>IF(G3341="Sim",0,IF(OR(F3341="",D3341="",L3341=""),"",IF(L3341="Sim",ROUND(F3341-D3341,2),0)))</f>
        <v/>
      </c>
      <c r="K3341" s="97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inlineStr">
        <is>
          <t>Nao</t>
        </is>
      </c>
      <c r="W3341" s="110" t="inlineStr">
        <is>
          <t>PC em analise</t>
        </is>
      </c>
      <c r="X3341" s="110" t="inlineStr">
        <is>
          <t>Pedido de Compra</t>
        </is>
      </c>
      <c r="Y3341" s="111" t="inlineStr">
        <is>
          <t>Impacto Potencial</t>
        </is>
      </c>
      <c r="Z3341" s="111" t="inlineStr">
        <is>
          <t>PC</t>
        </is>
      </c>
      <c r="AA3341" s="111" t="inlineStr">
        <is>
          <t>Nao</t>
        </is>
      </c>
      <c r="AB3341" s="111" t="inlineStr">
        <is>
          <t>NAO_COMPUTADO</t>
        </is>
      </c>
      <c r="AC3341" s="112" t="inlineStr">
        <is>
          <t>Estrutura Fase 1: sem impacto no VTA oficial</t>
        </is>
      </c>
    </row>
    <row r="3342" ht="25.5" customHeight="1" s="289">
      <c r="A3342" s="205" t="n"/>
      <c r="B3342" s="207" t="n"/>
      <c r="C3342" s="104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348" t="n"/>
      <c r="E3342" s="349">
        <f>IF(C3342="","",IFERROR(VLOOKUP(C3342,parametros!$A$11:$E$15,5,0),""))</f>
        <v/>
      </c>
      <c r="F3342" s="335">
        <f>IF(OR(D3342="",E3342=""),"",ROUND(D3342*E3342,2))</f>
        <v/>
      </c>
      <c r="G3342" s="106" t="n"/>
      <c r="H3342" s="350">
        <f>IF(G3342="Sim",IF(OR(F3342="",D3342="",L3342=""),"",IF(L3342="Sim",ROUND(F3342-D3342,2),0)),0)</f>
        <v/>
      </c>
      <c r="I3342" s="350">
        <f>IF(G3342="Sim",0,IF(OR(F3342="",L3342=""),"",F3342))</f>
        <v/>
      </c>
      <c r="J3342" s="350">
        <f>IF(G3342="Sim",0,IF(OR(F3342="",D3342="",L3342=""),"",IF(L3342="Sim",ROUND(F3342-D3342,2),0)))</f>
        <v/>
      </c>
      <c r="K3342" s="97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inlineStr">
        <is>
          <t>Nao</t>
        </is>
      </c>
      <c r="W3342" s="110" t="inlineStr">
        <is>
          <t>PC em analise</t>
        </is>
      </c>
      <c r="X3342" s="110" t="inlineStr">
        <is>
          <t>Pedido de Compra</t>
        </is>
      </c>
      <c r="Y3342" s="111" t="inlineStr">
        <is>
          <t>Impacto Potencial</t>
        </is>
      </c>
      <c r="Z3342" s="111" t="inlineStr">
        <is>
          <t>PC</t>
        </is>
      </c>
      <c r="AA3342" s="111" t="inlineStr">
        <is>
          <t>Nao</t>
        </is>
      </c>
      <c r="AB3342" s="111" t="inlineStr">
        <is>
          <t>NAO_COMPUTADO</t>
        </is>
      </c>
      <c r="AC3342" s="112" t="inlineStr">
        <is>
          <t>Estrutura Fase 1: sem impacto no VTA oficial</t>
        </is>
      </c>
    </row>
    <row r="3343" ht="25.5" customHeight="1" s="289">
      <c r="A3343" s="205" t="n"/>
      <c r="B3343" s="207" t="n"/>
      <c r="C3343" s="104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348" t="n"/>
      <c r="E3343" s="349">
        <f>IF(C3343="","",IFERROR(VLOOKUP(C3343,parametros!$A$11:$E$15,5,0),""))</f>
        <v/>
      </c>
      <c r="F3343" s="335">
        <f>IF(OR(D3343="",E3343=""),"",ROUND(D3343*E3343,2))</f>
        <v/>
      </c>
      <c r="G3343" s="106" t="n"/>
      <c r="H3343" s="350">
        <f>IF(G3343="Sim",IF(OR(F3343="",D3343="",L3343=""),"",IF(L3343="Sim",ROUND(F3343-D3343,2),0)),0)</f>
        <v/>
      </c>
      <c r="I3343" s="350">
        <f>IF(G3343="Sim",0,IF(OR(F3343="",L3343=""),"",F3343))</f>
        <v/>
      </c>
      <c r="J3343" s="350">
        <f>IF(G3343="Sim",0,IF(OR(F3343="",D3343="",L3343=""),"",IF(L3343="Sim",ROUND(F3343-D3343,2),0)))</f>
        <v/>
      </c>
      <c r="K3343" s="97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inlineStr">
        <is>
          <t>Nao</t>
        </is>
      </c>
      <c r="W3343" s="110" t="inlineStr">
        <is>
          <t>PC em analise</t>
        </is>
      </c>
      <c r="X3343" s="110" t="inlineStr">
        <is>
          <t>Pedido de Compra</t>
        </is>
      </c>
      <c r="Y3343" s="111" t="inlineStr">
        <is>
          <t>Impacto Potencial</t>
        </is>
      </c>
      <c r="Z3343" s="111" t="inlineStr">
        <is>
          <t>PC</t>
        </is>
      </c>
      <c r="AA3343" s="111" t="inlineStr">
        <is>
          <t>Nao</t>
        </is>
      </c>
      <c r="AB3343" s="111" t="inlineStr">
        <is>
          <t>NAO_COMPUTADO</t>
        </is>
      </c>
      <c r="AC3343" s="112" t="inlineStr">
        <is>
          <t>Estrutura Fase 1: sem impacto no VTA oficial</t>
        </is>
      </c>
    </row>
    <row r="3344" ht="25.5" customHeight="1" s="289">
      <c r="A3344" s="205" t="n"/>
      <c r="B3344" s="207" t="n"/>
      <c r="C3344" s="104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348" t="n"/>
      <c r="E3344" s="349">
        <f>IF(C3344="","",IFERROR(VLOOKUP(C3344,parametros!$A$11:$E$15,5,0),""))</f>
        <v/>
      </c>
      <c r="F3344" s="335">
        <f>IF(OR(D3344="",E3344=""),"",ROUND(D3344*E3344,2))</f>
        <v/>
      </c>
      <c r="G3344" s="106" t="n"/>
      <c r="H3344" s="350">
        <f>IF(G3344="Sim",IF(OR(F3344="",D3344="",L3344=""),"",IF(L3344="Sim",ROUND(F3344-D3344,2),0)),0)</f>
        <v/>
      </c>
      <c r="I3344" s="350">
        <f>IF(G3344="Sim",0,IF(OR(F3344="",L3344=""),"",F3344))</f>
        <v/>
      </c>
      <c r="J3344" s="350">
        <f>IF(G3344="Sim",0,IF(OR(F3344="",D3344="",L3344=""),"",IF(L3344="Sim",ROUND(F3344-D3344,2),0)))</f>
        <v/>
      </c>
      <c r="K3344" s="97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inlineStr">
        <is>
          <t>Nao</t>
        </is>
      </c>
      <c r="W3344" s="110" t="inlineStr">
        <is>
          <t>PC em analise</t>
        </is>
      </c>
      <c r="X3344" s="110" t="inlineStr">
        <is>
          <t>Pedido de Compra</t>
        </is>
      </c>
      <c r="Y3344" s="111" t="inlineStr">
        <is>
          <t>Impacto Potencial</t>
        </is>
      </c>
      <c r="Z3344" s="111" t="inlineStr">
        <is>
          <t>PC</t>
        </is>
      </c>
      <c r="AA3344" s="111" t="inlineStr">
        <is>
          <t>Nao</t>
        </is>
      </c>
      <c r="AB3344" s="111" t="inlineStr">
        <is>
          <t>NAO_COMPUTADO</t>
        </is>
      </c>
      <c r="AC3344" s="112" t="inlineStr">
        <is>
          <t>Estrutura Fase 1: sem impacto no VTA oficial</t>
        </is>
      </c>
    </row>
    <row r="3345" ht="25.5" customHeight="1" s="289">
      <c r="A3345" s="205" t="n"/>
      <c r="B3345" s="207" t="n"/>
      <c r="C3345" s="104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348" t="n"/>
      <c r="E3345" s="349">
        <f>IF(C3345="","",IFERROR(VLOOKUP(C3345,parametros!$A$11:$E$15,5,0),""))</f>
        <v/>
      </c>
      <c r="F3345" s="335">
        <f>IF(OR(D3345="",E3345=""),"",ROUND(D3345*E3345,2))</f>
        <v/>
      </c>
      <c r="G3345" s="106" t="n"/>
      <c r="H3345" s="350">
        <f>IF(G3345="Sim",IF(OR(F3345="",D3345="",L3345=""),"",IF(L3345="Sim",ROUND(F3345-D3345,2),0)),0)</f>
        <v/>
      </c>
      <c r="I3345" s="350">
        <f>IF(G3345="Sim",0,IF(OR(F3345="",L3345=""),"",F3345))</f>
        <v/>
      </c>
      <c r="J3345" s="350">
        <f>IF(G3345="Sim",0,IF(OR(F3345="",D3345="",L3345=""),"",IF(L3345="Sim",ROUND(F3345-D3345,2),0)))</f>
        <v/>
      </c>
      <c r="K3345" s="97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inlineStr">
        <is>
          <t>Nao</t>
        </is>
      </c>
      <c r="W3345" s="110" t="inlineStr">
        <is>
          <t>PC em analise</t>
        </is>
      </c>
      <c r="X3345" s="110" t="inlineStr">
        <is>
          <t>Pedido de Compra</t>
        </is>
      </c>
      <c r="Y3345" s="111" t="inlineStr">
        <is>
          <t>Impacto Potencial</t>
        </is>
      </c>
      <c r="Z3345" s="111" t="inlineStr">
        <is>
          <t>PC</t>
        </is>
      </c>
      <c r="AA3345" s="111" t="inlineStr">
        <is>
          <t>Nao</t>
        </is>
      </c>
      <c r="AB3345" s="111" t="inlineStr">
        <is>
          <t>NAO_COMPUTADO</t>
        </is>
      </c>
      <c r="AC3345" s="112" t="inlineStr">
        <is>
          <t>Estrutura Fase 1: sem impacto no VTA oficial</t>
        </is>
      </c>
    </row>
    <row r="3346" ht="25.5" customHeight="1" s="289">
      <c r="A3346" s="205" t="n"/>
      <c r="B3346" s="207" t="n"/>
      <c r="C3346" s="104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348" t="n"/>
      <c r="E3346" s="349">
        <f>IF(C3346="","",IFERROR(VLOOKUP(C3346,parametros!$A$11:$E$15,5,0),""))</f>
        <v/>
      </c>
      <c r="F3346" s="335">
        <f>IF(OR(D3346="",E3346=""),"",ROUND(D3346*E3346,2))</f>
        <v/>
      </c>
      <c r="G3346" s="106" t="n"/>
      <c r="H3346" s="350">
        <f>IF(G3346="Sim",IF(OR(F3346="",D3346="",L3346=""),"",IF(L3346="Sim",ROUND(F3346-D3346,2),0)),0)</f>
        <v/>
      </c>
      <c r="I3346" s="350">
        <f>IF(G3346="Sim",0,IF(OR(F3346="",L3346=""),"",F3346))</f>
        <v/>
      </c>
      <c r="J3346" s="350">
        <f>IF(G3346="Sim",0,IF(OR(F3346="",D3346="",L3346=""),"",IF(L3346="Sim",ROUND(F3346-D3346,2),0)))</f>
        <v/>
      </c>
      <c r="K3346" s="97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inlineStr">
        <is>
          <t>Nao</t>
        </is>
      </c>
      <c r="W3346" s="110" t="inlineStr">
        <is>
          <t>PC em analise</t>
        </is>
      </c>
      <c r="X3346" s="110" t="inlineStr">
        <is>
          <t>Pedido de Compra</t>
        </is>
      </c>
      <c r="Y3346" s="111" t="inlineStr">
        <is>
          <t>Impacto Potencial</t>
        </is>
      </c>
      <c r="Z3346" s="111" t="inlineStr">
        <is>
          <t>PC</t>
        </is>
      </c>
      <c r="AA3346" s="111" t="inlineStr">
        <is>
          <t>Nao</t>
        </is>
      </c>
      <c r="AB3346" s="111" t="inlineStr">
        <is>
          <t>NAO_COMPUTADO</t>
        </is>
      </c>
      <c r="AC3346" s="112" t="inlineStr">
        <is>
          <t>Estrutura Fase 1: sem impacto no VTA oficial</t>
        </is>
      </c>
    </row>
    <row r="3347" ht="25.5" customHeight="1" s="289">
      <c r="A3347" s="205" t="n"/>
      <c r="B3347" s="207" t="n"/>
      <c r="C3347" s="104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348" t="n"/>
      <c r="E3347" s="349">
        <f>IF(C3347="","",IFERROR(VLOOKUP(C3347,parametros!$A$11:$E$15,5,0),""))</f>
        <v/>
      </c>
      <c r="F3347" s="335">
        <f>IF(OR(D3347="",E3347=""),"",ROUND(D3347*E3347,2))</f>
        <v/>
      </c>
      <c r="G3347" s="106" t="n"/>
      <c r="H3347" s="350">
        <f>IF(G3347="Sim",IF(OR(F3347="",D3347="",L3347=""),"",IF(L3347="Sim",ROUND(F3347-D3347,2),0)),0)</f>
        <v/>
      </c>
      <c r="I3347" s="350">
        <f>IF(G3347="Sim",0,IF(OR(F3347="",L3347=""),"",F3347))</f>
        <v/>
      </c>
      <c r="J3347" s="350">
        <f>IF(G3347="Sim",0,IF(OR(F3347="",D3347="",L3347=""),"",IF(L3347="Sim",ROUND(F3347-D3347,2),0)))</f>
        <v/>
      </c>
      <c r="K3347" s="97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inlineStr">
        <is>
          <t>Nao</t>
        </is>
      </c>
      <c r="W3347" s="110" t="inlineStr">
        <is>
          <t>PC em analise</t>
        </is>
      </c>
      <c r="X3347" s="110" t="inlineStr">
        <is>
          <t>Pedido de Compra</t>
        </is>
      </c>
      <c r="Y3347" s="111" t="inlineStr">
        <is>
          <t>Impacto Potencial</t>
        </is>
      </c>
      <c r="Z3347" s="111" t="inlineStr">
        <is>
          <t>PC</t>
        </is>
      </c>
      <c r="AA3347" s="111" t="inlineStr">
        <is>
          <t>Nao</t>
        </is>
      </c>
      <c r="AB3347" s="111" t="inlineStr">
        <is>
          <t>NAO_COMPUTADO</t>
        </is>
      </c>
      <c r="AC3347" s="112" t="inlineStr">
        <is>
          <t>Estrutura Fase 1: sem impacto no VTA oficial</t>
        </is>
      </c>
    </row>
    <row r="3348" ht="25.5" customHeight="1" s="289">
      <c r="A3348" s="205" t="n"/>
      <c r="B3348" s="207" t="n"/>
      <c r="C3348" s="104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348" t="n"/>
      <c r="E3348" s="349">
        <f>IF(C3348="","",IFERROR(VLOOKUP(C3348,parametros!$A$11:$E$15,5,0),""))</f>
        <v/>
      </c>
      <c r="F3348" s="335">
        <f>IF(OR(D3348="",E3348=""),"",ROUND(D3348*E3348,2))</f>
        <v/>
      </c>
      <c r="G3348" s="106" t="n"/>
      <c r="H3348" s="350">
        <f>IF(G3348="Sim",IF(OR(F3348="",D3348="",L3348=""),"",IF(L3348="Sim",ROUND(F3348-D3348,2),0)),0)</f>
        <v/>
      </c>
      <c r="I3348" s="350">
        <f>IF(G3348="Sim",0,IF(OR(F3348="",L3348=""),"",F3348))</f>
        <v/>
      </c>
      <c r="J3348" s="350">
        <f>IF(G3348="Sim",0,IF(OR(F3348="",D3348="",L3348=""),"",IF(L3348="Sim",ROUND(F3348-D3348,2),0)))</f>
        <v/>
      </c>
      <c r="K3348" s="97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inlineStr">
        <is>
          <t>Nao</t>
        </is>
      </c>
      <c r="W3348" s="110" t="inlineStr">
        <is>
          <t>PC em analise</t>
        </is>
      </c>
      <c r="X3348" s="110" t="inlineStr">
        <is>
          <t>Pedido de Compra</t>
        </is>
      </c>
      <c r="Y3348" s="111" t="inlineStr">
        <is>
          <t>Impacto Potencial</t>
        </is>
      </c>
      <c r="Z3348" s="111" t="inlineStr">
        <is>
          <t>PC</t>
        </is>
      </c>
      <c r="AA3348" s="111" t="inlineStr">
        <is>
          <t>Nao</t>
        </is>
      </c>
      <c r="AB3348" s="111" t="inlineStr">
        <is>
          <t>NAO_COMPUTADO</t>
        </is>
      </c>
      <c r="AC3348" s="112" t="inlineStr">
        <is>
          <t>Estrutura Fase 1: sem impacto no VTA oficial</t>
        </is>
      </c>
    </row>
    <row r="3349" ht="25.5" customHeight="1" s="289">
      <c r="A3349" s="205" t="n"/>
      <c r="B3349" s="207" t="n"/>
      <c r="C3349" s="104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348" t="n"/>
      <c r="E3349" s="349">
        <f>IF(C3349="","",IFERROR(VLOOKUP(C3349,parametros!$A$11:$E$15,5,0),""))</f>
        <v/>
      </c>
      <c r="F3349" s="335">
        <f>IF(OR(D3349="",E3349=""),"",ROUND(D3349*E3349,2))</f>
        <v/>
      </c>
      <c r="G3349" s="106" t="n"/>
      <c r="H3349" s="350">
        <f>IF(G3349="Sim",IF(OR(F3349="",D3349="",L3349=""),"",IF(L3349="Sim",ROUND(F3349-D3349,2),0)),0)</f>
        <v/>
      </c>
      <c r="I3349" s="350">
        <f>IF(G3349="Sim",0,IF(OR(F3349="",L3349=""),"",F3349))</f>
        <v/>
      </c>
      <c r="J3349" s="350">
        <f>IF(G3349="Sim",0,IF(OR(F3349="",D3349="",L3349=""),"",IF(L3349="Sim",ROUND(F3349-D3349,2),0)))</f>
        <v/>
      </c>
      <c r="K3349" s="97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inlineStr">
        <is>
          <t>Nao</t>
        </is>
      </c>
      <c r="W3349" s="110" t="inlineStr">
        <is>
          <t>PC em analise</t>
        </is>
      </c>
      <c r="X3349" s="110" t="inlineStr">
        <is>
          <t>Pedido de Compra</t>
        </is>
      </c>
      <c r="Y3349" s="111" t="inlineStr">
        <is>
          <t>Impacto Potencial</t>
        </is>
      </c>
      <c r="Z3349" s="111" t="inlineStr">
        <is>
          <t>PC</t>
        </is>
      </c>
      <c r="AA3349" s="111" t="inlineStr">
        <is>
          <t>Nao</t>
        </is>
      </c>
      <c r="AB3349" s="111" t="inlineStr">
        <is>
          <t>NAO_COMPUTADO</t>
        </is>
      </c>
      <c r="AC3349" s="112" t="inlineStr">
        <is>
          <t>Estrutura Fase 1: sem impacto no VTA oficial</t>
        </is>
      </c>
    </row>
    <row r="3350" ht="25.5" customHeight="1" s="289">
      <c r="A3350" s="205" t="n"/>
      <c r="B3350" s="207" t="n"/>
      <c r="C3350" s="104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348" t="n"/>
      <c r="E3350" s="349">
        <f>IF(C3350="","",IFERROR(VLOOKUP(C3350,parametros!$A$11:$E$15,5,0),""))</f>
        <v/>
      </c>
      <c r="F3350" s="335">
        <f>IF(OR(D3350="",E3350=""),"",ROUND(D3350*E3350,2))</f>
        <v/>
      </c>
      <c r="G3350" s="106" t="n"/>
      <c r="H3350" s="350">
        <f>IF(G3350="Sim",IF(OR(F3350="",D3350="",L3350=""),"",IF(L3350="Sim",ROUND(F3350-D3350,2),0)),0)</f>
        <v/>
      </c>
      <c r="I3350" s="350">
        <f>IF(G3350="Sim",0,IF(OR(F3350="",L3350=""),"",F3350))</f>
        <v/>
      </c>
      <c r="J3350" s="350">
        <f>IF(G3350="Sim",0,IF(OR(F3350="",D3350="",L3350=""),"",IF(L3350="Sim",ROUND(F3350-D3350,2),0)))</f>
        <v/>
      </c>
      <c r="K3350" s="97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inlineStr">
        <is>
          <t>Nao</t>
        </is>
      </c>
      <c r="W3350" s="110" t="inlineStr">
        <is>
          <t>PC em analise</t>
        </is>
      </c>
      <c r="X3350" s="110" t="inlineStr">
        <is>
          <t>Pedido de Compra</t>
        </is>
      </c>
      <c r="Y3350" s="111" t="inlineStr">
        <is>
          <t>Impacto Potencial</t>
        </is>
      </c>
      <c r="Z3350" s="111" t="inlineStr">
        <is>
          <t>PC</t>
        </is>
      </c>
      <c r="AA3350" s="111" t="inlineStr">
        <is>
          <t>Nao</t>
        </is>
      </c>
      <c r="AB3350" s="111" t="inlineStr">
        <is>
          <t>NAO_COMPUTADO</t>
        </is>
      </c>
      <c r="AC3350" s="112" t="inlineStr">
        <is>
          <t>Estrutura Fase 1: sem impacto no VTA oficial</t>
        </is>
      </c>
    </row>
    <row r="3351" ht="25.5" customHeight="1" s="289">
      <c r="A3351" s="205" t="n"/>
      <c r="B3351" s="207" t="n"/>
      <c r="C3351" s="104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348" t="n"/>
      <c r="E3351" s="349">
        <f>IF(C3351="","",IFERROR(VLOOKUP(C3351,parametros!$A$11:$E$15,5,0),""))</f>
        <v/>
      </c>
      <c r="F3351" s="335">
        <f>IF(OR(D3351="",E3351=""),"",ROUND(D3351*E3351,2))</f>
        <v/>
      </c>
      <c r="G3351" s="106" t="n"/>
      <c r="H3351" s="350">
        <f>IF(G3351="Sim",IF(OR(F3351="",D3351="",L3351=""),"",IF(L3351="Sim",ROUND(F3351-D3351,2),0)),0)</f>
        <v/>
      </c>
      <c r="I3351" s="350">
        <f>IF(G3351="Sim",0,IF(OR(F3351="",L3351=""),"",F3351))</f>
        <v/>
      </c>
      <c r="J3351" s="350">
        <f>IF(G3351="Sim",0,IF(OR(F3351="",D3351="",L3351=""),"",IF(L3351="Sim",ROUND(F3351-D3351,2),0)))</f>
        <v/>
      </c>
      <c r="K3351" s="97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inlineStr">
        <is>
          <t>Nao</t>
        </is>
      </c>
      <c r="W3351" s="110" t="inlineStr">
        <is>
          <t>PC em analise</t>
        </is>
      </c>
      <c r="X3351" s="110" t="inlineStr">
        <is>
          <t>Pedido de Compra</t>
        </is>
      </c>
      <c r="Y3351" s="111" t="inlineStr">
        <is>
          <t>Impacto Potencial</t>
        </is>
      </c>
      <c r="Z3351" s="111" t="inlineStr">
        <is>
          <t>PC</t>
        </is>
      </c>
      <c r="AA3351" s="111" t="inlineStr">
        <is>
          <t>Nao</t>
        </is>
      </c>
      <c r="AB3351" s="111" t="inlineStr">
        <is>
          <t>NAO_COMPUTADO</t>
        </is>
      </c>
      <c r="AC3351" s="112" t="inlineStr">
        <is>
          <t>Estrutura Fase 1: sem impacto no VTA oficial</t>
        </is>
      </c>
    </row>
    <row r="3352" ht="25.5" customHeight="1" s="289">
      <c r="A3352" s="205" t="n"/>
      <c r="B3352" s="207" t="n"/>
      <c r="C3352" s="104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348" t="n"/>
      <c r="E3352" s="349">
        <f>IF(C3352="","",IFERROR(VLOOKUP(C3352,parametros!$A$11:$E$15,5,0),""))</f>
        <v/>
      </c>
      <c r="F3352" s="335">
        <f>IF(OR(D3352="",E3352=""),"",ROUND(D3352*E3352,2))</f>
        <v/>
      </c>
      <c r="G3352" s="106" t="n"/>
      <c r="H3352" s="350">
        <f>IF(G3352="Sim",IF(OR(F3352="",D3352="",L3352=""),"",IF(L3352="Sim",ROUND(F3352-D3352,2),0)),0)</f>
        <v/>
      </c>
      <c r="I3352" s="350">
        <f>IF(G3352="Sim",0,IF(OR(F3352="",L3352=""),"",F3352))</f>
        <v/>
      </c>
      <c r="J3352" s="350">
        <f>IF(G3352="Sim",0,IF(OR(F3352="",D3352="",L3352=""),"",IF(L3352="Sim",ROUND(F3352-D3352,2),0)))</f>
        <v/>
      </c>
      <c r="K3352" s="97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inlineStr">
        <is>
          <t>Nao</t>
        </is>
      </c>
      <c r="W3352" s="110" t="inlineStr">
        <is>
          <t>PC em analise</t>
        </is>
      </c>
      <c r="X3352" s="110" t="inlineStr">
        <is>
          <t>Pedido de Compra</t>
        </is>
      </c>
      <c r="Y3352" s="111" t="inlineStr">
        <is>
          <t>Impacto Potencial</t>
        </is>
      </c>
      <c r="Z3352" s="111" t="inlineStr">
        <is>
          <t>PC</t>
        </is>
      </c>
      <c r="AA3352" s="111" t="inlineStr">
        <is>
          <t>Nao</t>
        </is>
      </c>
      <c r="AB3352" s="111" t="inlineStr">
        <is>
          <t>NAO_COMPUTADO</t>
        </is>
      </c>
      <c r="AC3352" s="112" t="inlineStr">
        <is>
          <t>Estrutura Fase 1: sem impacto no VTA oficial</t>
        </is>
      </c>
    </row>
    <row r="3353" ht="25.5" customHeight="1" s="289">
      <c r="A3353" s="205" t="n"/>
      <c r="B3353" s="207" t="n"/>
      <c r="C3353" s="104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348" t="n"/>
      <c r="E3353" s="349">
        <f>IF(C3353="","",IFERROR(VLOOKUP(C3353,parametros!$A$11:$E$15,5,0),""))</f>
        <v/>
      </c>
      <c r="F3353" s="335">
        <f>IF(OR(D3353="",E3353=""),"",ROUND(D3353*E3353,2))</f>
        <v/>
      </c>
      <c r="G3353" s="106" t="n"/>
      <c r="H3353" s="350">
        <f>IF(G3353="Sim",IF(OR(F3353="",D3353="",L3353=""),"",IF(L3353="Sim",ROUND(F3353-D3353,2),0)),0)</f>
        <v/>
      </c>
      <c r="I3353" s="350">
        <f>IF(G3353="Sim",0,IF(OR(F3353="",L3353=""),"",F3353))</f>
        <v/>
      </c>
      <c r="J3353" s="350">
        <f>IF(G3353="Sim",0,IF(OR(F3353="",D3353="",L3353=""),"",IF(L3353="Sim",ROUND(F3353-D3353,2),0)))</f>
        <v/>
      </c>
      <c r="K3353" s="97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inlineStr">
        <is>
          <t>Nao</t>
        </is>
      </c>
      <c r="W3353" s="110" t="inlineStr">
        <is>
          <t>PC em analise</t>
        </is>
      </c>
      <c r="X3353" s="110" t="inlineStr">
        <is>
          <t>Pedido de Compra</t>
        </is>
      </c>
      <c r="Y3353" s="111" t="inlineStr">
        <is>
          <t>Impacto Potencial</t>
        </is>
      </c>
      <c r="Z3353" s="111" t="inlineStr">
        <is>
          <t>PC</t>
        </is>
      </c>
      <c r="AA3353" s="111" t="inlineStr">
        <is>
          <t>Nao</t>
        </is>
      </c>
      <c r="AB3353" s="111" t="inlineStr">
        <is>
          <t>NAO_COMPUTADO</t>
        </is>
      </c>
      <c r="AC3353" s="112" t="inlineStr">
        <is>
          <t>Estrutura Fase 1: sem impacto no VTA oficial</t>
        </is>
      </c>
    </row>
    <row r="3354" ht="25.5" customHeight="1" s="289">
      <c r="A3354" s="205" t="n"/>
      <c r="B3354" s="207" t="n"/>
      <c r="C3354" s="104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348" t="n"/>
      <c r="E3354" s="349">
        <f>IF(C3354="","",IFERROR(VLOOKUP(C3354,parametros!$A$11:$E$15,5,0),""))</f>
        <v/>
      </c>
      <c r="F3354" s="335">
        <f>IF(OR(D3354="",E3354=""),"",ROUND(D3354*E3354,2))</f>
        <v/>
      </c>
      <c r="G3354" s="106" t="n"/>
      <c r="H3354" s="350">
        <f>IF(G3354="Sim",IF(OR(F3354="",D3354="",L3354=""),"",IF(L3354="Sim",ROUND(F3354-D3354,2),0)),0)</f>
        <v/>
      </c>
      <c r="I3354" s="350">
        <f>IF(G3354="Sim",0,IF(OR(F3354="",L3354=""),"",F3354))</f>
        <v/>
      </c>
      <c r="J3354" s="350">
        <f>IF(G3354="Sim",0,IF(OR(F3354="",D3354="",L3354=""),"",IF(L3354="Sim",ROUND(F3354-D3354,2),0)))</f>
        <v/>
      </c>
      <c r="K3354" s="97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inlineStr">
        <is>
          <t>Nao</t>
        </is>
      </c>
      <c r="W3354" s="110" t="inlineStr">
        <is>
          <t>PC em analise</t>
        </is>
      </c>
      <c r="X3354" s="110" t="inlineStr">
        <is>
          <t>Pedido de Compra</t>
        </is>
      </c>
      <c r="Y3354" s="111" t="inlineStr">
        <is>
          <t>Impacto Potencial</t>
        </is>
      </c>
      <c r="Z3354" s="111" t="inlineStr">
        <is>
          <t>PC</t>
        </is>
      </c>
      <c r="AA3354" s="111" t="inlineStr">
        <is>
          <t>Nao</t>
        </is>
      </c>
      <c r="AB3354" s="111" t="inlineStr">
        <is>
          <t>NAO_COMPUTADO</t>
        </is>
      </c>
      <c r="AC3354" s="112" t="inlineStr">
        <is>
          <t>Estrutura Fase 1: sem impacto no VTA oficial</t>
        </is>
      </c>
    </row>
    <row r="3355" ht="25.5" customHeight="1" s="289">
      <c r="A3355" s="205" t="n"/>
      <c r="B3355" s="207" t="n"/>
      <c r="C3355" s="104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348" t="n"/>
      <c r="E3355" s="349">
        <f>IF(C3355="","",IFERROR(VLOOKUP(C3355,parametros!$A$11:$E$15,5,0),""))</f>
        <v/>
      </c>
      <c r="F3355" s="335">
        <f>IF(OR(D3355="",E3355=""),"",ROUND(D3355*E3355,2))</f>
        <v/>
      </c>
      <c r="G3355" s="106" t="n"/>
      <c r="H3355" s="350">
        <f>IF(G3355="Sim",IF(OR(F3355="",D3355="",L3355=""),"",IF(L3355="Sim",ROUND(F3355-D3355,2),0)),0)</f>
        <v/>
      </c>
      <c r="I3355" s="350">
        <f>IF(G3355="Sim",0,IF(OR(F3355="",L3355=""),"",F3355))</f>
        <v/>
      </c>
      <c r="J3355" s="350">
        <f>IF(G3355="Sim",0,IF(OR(F3355="",D3355="",L3355=""),"",IF(L3355="Sim",ROUND(F3355-D3355,2),0)))</f>
        <v/>
      </c>
      <c r="K3355" s="97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inlineStr">
        <is>
          <t>Nao</t>
        </is>
      </c>
      <c r="W3355" s="110" t="inlineStr">
        <is>
          <t>PC em analise</t>
        </is>
      </c>
      <c r="X3355" s="110" t="inlineStr">
        <is>
          <t>Pedido de Compra</t>
        </is>
      </c>
      <c r="Y3355" s="111" t="inlineStr">
        <is>
          <t>Impacto Potencial</t>
        </is>
      </c>
      <c r="Z3355" s="111" t="inlineStr">
        <is>
          <t>PC</t>
        </is>
      </c>
      <c r="AA3355" s="111" t="inlineStr">
        <is>
          <t>Nao</t>
        </is>
      </c>
      <c r="AB3355" s="111" t="inlineStr">
        <is>
          <t>NAO_COMPUTADO</t>
        </is>
      </c>
      <c r="AC3355" s="112" t="inlineStr">
        <is>
          <t>Estrutura Fase 1: sem impacto no VTA oficial</t>
        </is>
      </c>
    </row>
    <row r="3356" ht="25.5" customHeight="1" s="289">
      <c r="A3356" s="205" t="n"/>
      <c r="B3356" s="207" t="n"/>
      <c r="C3356" s="104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348" t="n"/>
      <c r="E3356" s="349">
        <f>IF(C3356="","",IFERROR(VLOOKUP(C3356,parametros!$A$11:$E$15,5,0),""))</f>
        <v/>
      </c>
      <c r="F3356" s="335">
        <f>IF(OR(D3356="",E3356=""),"",ROUND(D3356*E3356,2))</f>
        <v/>
      </c>
      <c r="G3356" s="106" t="n"/>
      <c r="H3356" s="350">
        <f>IF(G3356="Sim",IF(OR(F3356="",D3356="",L3356=""),"",IF(L3356="Sim",ROUND(F3356-D3356,2),0)),0)</f>
        <v/>
      </c>
      <c r="I3356" s="350">
        <f>IF(G3356="Sim",0,IF(OR(F3356="",L3356=""),"",F3356))</f>
        <v/>
      </c>
      <c r="J3356" s="350">
        <f>IF(G3356="Sim",0,IF(OR(F3356="",D3356="",L3356=""),"",IF(L3356="Sim",ROUND(F3356-D3356,2),0)))</f>
        <v/>
      </c>
      <c r="K3356" s="97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inlineStr">
        <is>
          <t>Nao</t>
        </is>
      </c>
      <c r="W3356" s="110" t="inlineStr">
        <is>
          <t>PC em analise</t>
        </is>
      </c>
      <c r="X3356" s="110" t="inlineStr">
        <is>
          <t>Pedido de Compra</t>
        </is>
      </c>
      <c r="Y3356" s="111" t="inlineStr">
        <is>
          <t>Impacto Potencial</t>
        </is>
      </c>
      <c r="Z3356" s="111" t="inlineStr">
        <is>
          <t>PC</t>
        </is>
      </c>
      <c r="AA3356" s="111" t="inlineStr">
        <is>
          <t>Nao</t>
        </is>
      </c>
      <c r="AB3356" s="111" t="inlineStr">
        <is>
          <t>NAO_COMPUTADO</t>
        </is>
      </c>
      <c r="AC3356" s="112" t="inlineStr">
        <is>
          <t>Estrutura Fase 1: sem impacto no VTA oficial</t>
        </is>
      </c>
    </row>
    <row r="3357" ht="25.5" customHeight="1" s="289">
      <c r="A3357" s="205" t="n"/>
      <c r="B3357" s="207" t="n"/>
      <c r="C3357" s="104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348" t="n"/>
      <c r="E3357" s="349">
        <f>IF(C3357="","",IFERROR(VLOOKUP(C3357,parametros!$A$11:$E$15,5,0),""))</f>
        <v/>
      </c>
      <c r="F3357" s="335">
        <f>IF(OR(D3357="",E3357=""),"",ROUND(D3357*E3357,2))</f>
        <v/>
      </c>
      <c r="G3357" s="106" t="n"/>
      <c r="H3357" s="350">
        <f>IF(G3357="Sim",IF(OR(F3357="",D3357="",L3357=""),"",IF(L3357="Sim",ROUND(F3357-D3357,2),0)),0)</f>
        <v/>
      </c>
      <c r="I3357" s="350">
        <f>IF(G3357="Sim",0,IF(OR(F3357="",L3357=""),"",F3357))</f>
        <v/>
      </c>
      <c r="J3357" s="350">
        <f>IF(G3357="Sim",0,IF(OR(F3357="",D3357="",L3357=""),"",IF(L3357="Sim",ROUND(F3357-D3357,2),0)))</f>
        <v/>
      </c>
      <c r="K3357" s="97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inlineStr">
        <is>
          <t>Nao</t>
        </is>
      </c>
      <c r="W3357" s="110" t="inlineStr">
        <is>
          <t>PC em analise</t>
        </is>
      </c>
      <c r="X3357" s="110" t="inlineStr">
        <is>
          <t>Pedido de Compra</t>
        </is>
      </c>
      <c r="Y3357" s="111" t="inlineStr">
        <is>
          <t>Impacto Potencial</t>
        </is>
      </c>
      <c r="Z3357" s="111" t="inlineStr">
        <is>
          <t>PC</t>
        </is>
      </c>
      <c r="AA3357" s="111" t="inlineStr">
        <is>
          <t>Nao</t>
        </is>
      </c>
      <c r="AB3357" s="111" t="inlineStr">
        <is>
          <t>NAO_COMPUTADO</t>
        </is>
      </c>
      <c r="AC3357" s="112" t="inlineStr">
        <is>
          <t>Estrutura Fase 1: sem impacto no VTA oficial</t>
        </is>
      </c>
    </row>
    <row r="3358" ht="25.5" customHeight="1" s="289">
      <c r="A3358" s="205" t="n"/>
      <c r="B3358" s="207" t="n"/>
      <c r="C3358" s="104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348" t="n"/>
      <c r="E3358" s="349">
        <f>IF(C3358="","",IFERROR(VLOOKUP(C3358,parametros!$A$11:$E$15,5,0),""))</f>
        <v/>
      </c>
      <c r="F3358" s="335">
        <f>IF(OR(D3358="",E3358=""),"",ROUND(D3358*E3358,2))</f>
        <v/>
      </c>
      <c r="G3358" s="106" t="n"/>
      <c r="H3358" s="350">
        <f>IF(G3358="Sim",IF(OR(F3358="",D3358="",L3358=""),"",IF(L3358="Sim",ROUND(F3358-D3358,2),0)),0)</f>
        <v/>
      </c>
      <c r="I3358" s="350">
        <f>IF(G3358="Sim",0,IF(OR(F3358="",L3358=""),"",F3358))</f>
        <v/>
      </c>
      <c r="J3358" s="350">
        <f>IF(G3358="Sim",0,IF(OR(F3358="",D3358="",L3358=""),"",IF(L3358="Sim",ROUND(F3358-D3358,2),0)))</f>
        <v/>
      </c>
      <c r="K3358" s="97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inlineStr">
        <is>
          <t>Nao</t>
        </is>
      </c>
      <c r="W3358" s="110" t="inlineStr">
        <is>
          <t>PC em analise</t>
        </is>
      </c>
      <c r="X3358" s="110" t="inlineStr">
        <is>
          <t>Pedido de Compra</t>
        </is>
      </c>
      <c r="Y3358" s="111" t="inlineStr">
        <is>
          <t>Impacto Potencial</t>
        </is>
      </c>
      <c r="Z3358" s="111" t="inlineStr">
        <is>
          <t>PC</t>
        </is>
      </c>
      <c r="AA3358" s="111" t="inlineStr">
        <is>
          <t>Nao</t>
        </is>
      </c>
      <c r="AB3358" s="111" t="inlineStr">
        <is>
          <t>NAO_COMPUTADO</t>
        </is>
      </c>
      <c r="AC3358" s="112" t="inlineStr">
        <is>
          <t>Estrutura Fase 1: sem impacto no VTA oficial</t>
        </is>
      </c>
    </row>
    <row r="3359" ht="25.5" customHeight="1" s="289">
      <c r="A3359" s="205" t="n"/>
      <c r="B3359" s="207" t="n"/>
      <c r="C3359" s="104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348" t="n"/>
      <c r="E3359" s="349">
        <f>IF(C3359="","",IFERROR(VLOOKUP(C3359,parametros!$A$11:$E$15,5,0),""))</f>
        <v/>
      </c>
      <c r="F3359" s="335">
        <f>IF(OR(D3359="",E3359=""),"",ROUND(D3359*E3359,2))</f>
        <v/>
      </c>
      <c r="G3359" s="106" t="n"/>
      <c r="H3359" s="350">
        <f>IF(G3359="Sim",IF(OR(F3359="",D3359="",L3359=""),"",IF(L3359="Sim",ROUND(F3359-D3359,2),0)),0)</f>
        <v/>
      </c>
      <c r="I3359" s="350">
        <f>IF(G3359="Sim",0,IF(OR(F3359="",L3359=""),"",F3359))</f>
        <v/>
      </c>
      <c r="J3359" s="350">
        <f>IF(G3359="Sim",0,IF(OR(F3359="",D3359="",L3359=""),"",IF(L3359="Sim",ROUND(F3359-D3359,2),0)))</f>
        <v/>
      </c>
      <c r="K3359" s="97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inlineStr">
        <is>
          <t>Nao</t>
        </is>
      </c>
      <c r="W3359" s="110" t="inlineStr">
        <is>
          <t>PC em analise</t>
        </is>
      </c>
      <c r="X3359" s="110" t="inlineStr">
        <is>
          <t>Pedido de Compra</t>
        </is>
      </c>
      <c r="Y3359" s="111" t="inlineStr">
        <is>
          <t>Impacto Potencial</t>
        </is>
      </c>
      <c r="Z3359" s="111" t="inlineStr">
        <is>
          <t>PC</t>
        </is>
      </c>
      <c r="AA3359" s="111" t="inlineStr">
        <is>
          <t>Nao</t>
        </is>
      </c>
      <c r="AB3359" s="111" t="inlineStr">
        <is>
          <t>NAO_COMPUTADO</t>
        </is>
      </c>
      <c r="AC3359" s="112" t="inlineStr">
        <is>
          <t>Estrutura Fase 1: sem impacto no VTA oficial</t>
        </is>
      </c>
    </row>
    <row r="3360" ht="25.5" customHeight="1" s="289">
      <c r="A3360" s="205" t="n"/>
      <c r="B3360" s="207" t="n"/>
      <c r="C3360" s="104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348" t="n"/>
      <c r="E3360" s="349">
        <f>IF(C3360="","",IFERROR(VLOOKUP(C3360,parametros!$A$11:$E$15,5,0),""))</f>
        <v/>
      </c>
      <c r="F3360" s="335">
        <f>IF(OR(D3360="",E3360=""),"",ROUND(D3360*E3360,2))</f>
        <v/>
      </c>
      <c r="G3360" s="106" t="n"/>
      <c r="H3360" s="350">
        <f>IF(G3360="Sim",IF(OR(F3360="",D3360="",L3360=""),"",IF(L3360="Sim",ROUND(F3360-D3360,2),0)),0)</f>
        <v/>
      </c>
      <c r="I3360" s="350">
        <f>IF(G3360="Sim",0,IF(OR(F3360="",L3360=""),"",F3360))</f>
        <v/>
      </c>
      <c r="J3360" s="350">
        <f>IF(G3360="Sim",0,IF(OR(F3360="",D3360="",L3360=""),"",IF(L3360="Sim",ROUND(F3360-D3360,2),0)))</f>
        <v/>
      </c>
      <c r="K3360" s="97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inlineStr">
        <is>
          <t>Nao</t>
        </is>
      </c>
      <c r="W3360" s="110" t="inlineStr">
        <is>
          <t>PC em analise</t>
        </is>
      </c>
      <c r="X3360" s="110" t="inlineStr">
        <is>
          <t>Pedido de Compra</t>
        </is>
      </c>
      <c r="Y3360" s="111" t="inlineStr">
        <is>
          <t>Impacto Potencial</t>
        </is>
      </c>
      <c r="Z3360" s="111" t="inlineStr">
        <is>
          <t>PC</t>
        </is>
      </c>
      <c r="AA3360" s="111" t="inlineStr">
        <is>
          <t>Nao</t>
        </is>
      </c>
      <c r="AB3360" s="111" t="inlineStr">
        <is>
          <t>NAO_COMPUTADO</t>
        </is>
      </c>
      <c r="AC3360" s="112" t="inlineStr">
        <is>
          <t>Estrutura Fase 1: sem impacto no VTA oficial</t>
        </is>
      </c>
    </row>
    <row r="3361" ht="25.5" customHeight="1" s="289">
      <c r="A3361" s="205" t="n"/>
      <c r="B3361" s="207" t="n"/>
      <c r="C3361" s="104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348" t="n"/>
      <c r="E3361" s="349">
        <f>IF(C3361="","",IFERROR(VLOOKUP(C3361,parametros!$A$11:$E$15,5,0),""))</f>
        <v/>
      </c>
      <c r="F3361" s="335">
        <f>IF(OR(D3361="",E3361=""),"",ROUND(D3361*E3361,2))</f>
        <v/>
      </c>
      <c r="G3361" s="106" t="n"/>
      <c r="H3361" s="350">
        <f>IF(G3361="Sim",IF(OR(F3361="",D3361="",L3361=""),"",IF(L3361="Sim",ROUND(F3361-D3361,2),0)),0)</f>
        <v/>
      </c>
      <c r="I3361" s="350">
        <f>IF(G3361="Sim",0,IF(OR(F3361="",L3361=""),"",F3361))</f>
        <v/>
      </c>
      <c r="J3361" s="350">
        <f>IF(G3361="Sim",0,IF(OR(F3361="",D3361="",L3361=""),"",IF(L3361="Sim",ROUND(F3361-D3361,2),0)))</f>
        <v/>
      </c>
      <c r="K3361" s="97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inlineStr">
        <is>
          <t>Nao</t>
        </is>
      </c>
      <c r="W3361" s="110" t="inlineStr">
        <is>
          <t>PC em analise</t>
        </is>
      </c>
      <c r="X3361" s="110" t="inlineStr">
        <is>
          <t>Pedido de Compra</t>
        </is>
      </c>
      <c r="Y3361" s="111" t="inlineStr">
        <is>
          <t>Impacto Potencial</t>
        </is>
      </c>
      <c r="Z3361" s="111" t="inlineStr">
        <is>
          <t>PC</t>
        </is>
      </c>
      <c r="AA3361" s="111" t="inlineStr">
        <is>
          <t>Nao</t>
        </is>
      </c>
      <c r="AB3361" s="111" t="inlineStr">
        <is>
          <t>NAO_COMPUTADO</t>
        </is>
      </c>
      <c r="AC3361" s="112" t="inlineStr">
        <is>
          <t>Estrutura Fase 1: sem impacto no VTA oficial</t>
        </is>
      </c>
    </row>
    <row r="3362" ht="25.5" customHeight="1" s="289">
      <c r="A3362" s="205" t="n"/>
      <c r="B3362" s="207" t="n"/>
      <c r="C3362" s="104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348" t="n"/>
      <c r="E3362" s="349">
        <f>IF(C3362="","",IFERROR(VLOOKUP(C3362,parametros!$A$11:$E$15,5,0),""))</f>
        <v/>
      </c>
      <c r="F3362" s="335">
        <f>IF(OR(D3362="",E3362=""),"",ROUND(D3362*E3362,2))</f>
        <v/>
      </c>
      <c r="G3362" s="106" t="n"/>
      <c r="H3362" s="350">
        <f>IF(G3362="Sim",IF(OR(F3362="",D3362="",L3362=""),"",IF(L3362="Sim",ROUND(F3362-D3362,2),0)),0)</f>
        <v/>
      </c>
      <c r="I3362" s="350">
        <f>IF(G3362="Sim",0,IF(OR(F3362="",L3362=""),"",F3362))</f>
        <v/>
      </c>
      <c r="J3362" s="350">
        <f>IF(G3362="Sim",0,IF(OR(F3362="",D3362="",L3362=""),"",IF(L3362="Sim",ROUND(F3362-D3362,2),0)))</f>
        <v/>
      </c>
      <c r="K3362" s="97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inlineStr">
        <is>
          <t>Nao</t>
        </is>
      </c>
      <c r="W3362" s="110" t="inlineStr">
        <is>
          <t>PC em analise</t>
        </is>
      </c>
      <c r="X3362" s="110" t="inlineStr">
        <is>
          <t>Pedido de Compra</t>
        </is>
      </c>
      <c r="Y3362" s="111" t="inlineStr">
        <is>
          <t>Impacto Potencial</t>
        </is>
      </c>
      <c r="Z3362" s="111" t="inlineStr">
        <is>
          <t>PC</t>
        </is>
      </c>
      <c r="AA3362" s="111" t="inlineStr">
        <is>
          <t>Nao</t>
        </is>
      </c>
      <c r="AB3362" s="111" t="inlineStr">
        <is>
          <t>NAO_COMPUTADO</t>
        </is>
      </c>
      <c r="AC3362" s="112" t="inlineStr">
        <is>
          <t>Estrutura Fase 1: sem impacto no VTA oficial</t>
        </is>
      </c>
    </row>
    <row r="3363" ht="25.5" customHeight="1" s="289">
      <c r="A3363" s="205" t="n"/>
      <c r="B3363" s="207" t="n"/>
      <c r="C3363" s="104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348" t="n"/>
      <c r="E3363" s="349">
        <f>IF(C3363="","",IFERROR(VLOOKUP(C3363,parametros!$A$11:$E$15,5,0),""))</f>
        <v/>
      </c>
      <c r="F3363" s="335">
        <f>IF(OR(D3363="",E3363=""),"",ROUND(D3363*E3363,2))</f>
        <v/>
      </c>
      <c r="G3363" s="106" t="n"/>
      <c r="H3363" s="350">
        <f>IF(G3363="Sim",IF(OR(F3363="",D3363="",L3363=""),"",IF(L3363="Sim",ROUND(F3363-D3363,2),0)),0)</f>
        <v/>
      </c>
      <c r="I3363" s="350">
        <f>IF(G3363="Sim",0,IF(OR(F3363="",L3363=""),"",F3363))</f>
        <v/>
      </c>
      <c r="J3363" s="350">
        <f>IF(G3363="Sim",0,IF(OR(F3363="",D3363="",L3363=""),"",IF(L3363="Sim",ROUND(F3363-D3363,2),0)))</f>
        <v/>
      </c>
      <c r="K3363" s="97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inlineStr">
        <is>
          <t>Nao</t>
        </is>
      </c>
      <c r="W3363" s="110" t="inlineStr">
        <is>
          <t>PC em analise</t>
        </is>
      </c>
      <c r="X3363" s="110" t="inlineStr">
        <is>
          <t>Pedido de Compra</t>
        </is>
      </c>
      <c r="Y3363" s="111" t="inlineStr">
        <is>
          <t>Impacto Potencial</t>
        </is>
      </c>
      <c r="Z3363" s="111" t="inlineStr">
        <is>
          <t>PC</t>
        </is>
      </c>
      <c r="AA3363" s="111" t="inlineStr">
        <is>
          <t>Nao</t>
        </is>
      </c>
      <c r="AB3363" s="111" t="inlineStr">
        <is>
          <t>NAO_COMPUTADO</t>
        </is>
      </c>
      <c r="AC3363" s="112" t="inlineStr">
        <is>
          <t>Estrutura Fase 1: sem impacto no VTA oficial</t>
        </is>
      </c>
    </row>
    <row r="3364" ht="25.5" customHeight="1" s="289">
      <c r="A3364" s="205" t="n"/>
      <c r="B3364" s="207" t="n"/>
      <c r="C3364" s="104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348" t="n"/>
      <c r="E3364" s="349">
        <f>IF(C3364="","",IFERROR(VLOOKUP(C3364,parametros!$A$11:$E$15,5,0),""))</f>
        <v/>
      </c>
      <c r="F3364" s="335">
        <f>IF(OR(D3364="",E3364=""),"",ROUND(D3364*E3364,2))</f>
        <v/>
      </c>
      <c r="G3364" s="106" t="n"/>
      <c r="H3364" s="350">
        <f>IF(G3364="Sim",IF(OR(F3364="",D3364="",L3364=""),"",IF(L3364="Sim",ROUND(F3364-D3364,2),0)),0)</f>
        <v/>
      </c>
      <c r="I3364" s="350">
        <f>IF(G3364="Sim",0,IF(OR(F3364="",L3364=""),"",F3364))</f>
        <v/>
      </c>
      <c r="J3364" s="350">
        <f>IF(G3364="Sim",0,IF(OR(F3364="",D3364="",L3364=""),"",IF(L3364="Sim",ROUND(F3364-D3364,2),0)))</f>
        <v/>
      </c>
      <c r="K3364" s="97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inlineStr">
        <is>
          <t>Nao</t>
        </is>
      </c>
      <c r="W3364" s="110" t="inlineStr">
        <is>
          <t>PC em analise</t>
        </is>
      </c>
      <c r="X3364" s="110" t="inlineStr">
        <is>
          <t>Pedido de Compra</t>
        </is>
      </c>
      <c r="Y3364" s="111" t="inlineStr">
        <is>
          <t>Impacto Potencial</t>
        </is>
      </c>
      <c r="Z3364" s="111" t="inlineStr">
        <is>
          <t>PC</t>
        </is>
      </c>
      <c r="AA3364" s="111" t="inlineStr">
        <is>
          <t>Nao</t>
        </is>
      </c>
      <c r="AB3364" s="111" t="inlineStr">
        <is>
          <t>NAO_COMPUTADO</t>
        </is>
      </c>
      <c r="AC3364" s="112" t="inlineStr">
        <is>
          <t>Estrutura Fase 1: sem impacto no VTA oficial</t>
        </is>
      </c>
    </row>
    <row r="3365" ht="25.5" customHeight="1" s="289">
      <c r="A3365" s="205" t="n"/>
      <c r="B3365" s="207" t="n"/>
      <c r="C3365" s="104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348" t="n"/>
      <c r="E3365" s="349">
        <f>IF(C3365="","",IFERROR(VLOOKUP(C3365,parametros!$A$11:$E$15,5,0),""))</f>
        <v/>
      </c>
      <c r="F3365" s="335">
        <f>IF(OR(D3365="",E3365=""),"",ROUND(D3365*E3365,2))</f>
        <v/>
      </c>
      <c r="G3365" s="106" t="n"/>
      <c r="H3365" s="350">
        <f>IF(G3365="Sim",IF(OR(F3365="",D3365="",L3365=""),"",IF(L3365="Sim",ROUND(F3365-D3365,2),0)),0)</f>
        <v/>
      </c>
      <c r="I3365" s="350">
        <f>IF(G3365="Sim",0,IF(OR(F3365="",L3365=""),"",F3365))</f>
        <v/>
      </c>
      <c r="J3365" s="350">
        <f>IF(G3365="Sim",0,IF(OR(F3365="",D3365="",L3365=""),"",IF(L3365="Sim",ROUND(F3365-D3365,2),0)))</f>
        <v/>
      </c>
      <c r="K3365" s="97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inlineStr">
        <is>
          <t>Nao</t>
        </is>
      </c>
      <c r="W3365" s="110" t="inlineStr">
        <is>
          <t>PC em analise</t>
        </is>
      </c>
      <c r="X3365" s="110" t="inlineStr">
        <is>
          <t>Pedido de Compra</t>
        </is>
      </c>
      <c r="Y3365" s="111" t="inlineStr">
        <is>
          <t>Impacto Potencial</t>
        </is>
      </c>
      <c r="Z3365" s="111" t="inlineStr">
        <is>
          <t>PC</t>
        </is>
      </c>
      <c r="AA3365" s="111" t="inlineStr">
        <is>
          <t>Nao</t>
        </is>
      </c>
      <c r="AB3365" s="111" t="inlineStr">
        <is>
          <t>NAO_COMPUTADO</t>
        </is>
      </c>
      <c r="AC3365" s="112" t="inlineStr">
        <is>
          <t>Estrutura Fase 1: sem impacto no VTA oficial</t>
        </is>
      </c>
    </row>
    <row r="3366" ht="25.5" customHeight="1" s="289">
      <c r="A3366" s="205" t="n"/>
      <c r="B3366" s="207" t="n"/>
      <c r="C3366" s="104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348" t="n"/>
      <c r="E3366" s="349">
        <f>IF(C3366="","",IFERROR(VLOOKUP(C3366,parametros!$A$11:$E$15,5,0),""))</f>
        <v/>
      </c>
      <c r="F3366" s="335">
        <f>IF(OR(D3366="",E3366=""),"",ROUND(D3366*E3366,2))</f>
        <v/>
      </c>
      <c r="G3366" s="106" t="n"/>
      <c r="H3366" s="350">
        <f>IF(G3366="Sim",IF(OR(F3366="",D3366="",L3366=""),"",IF(L3366="Sim",ROUND(F3366-D3366,2),0)),0)</f>
        <v/>
      </c>
      <c r="I3366" s="350">
        <f>IF(G3366="Sim",0,IF(OR(F3366="",L3366=""),"",F3366))</f>
        <v/>
      </c>
      <c r="J3366" s="350">
        <f>IF(G3366="Sim",0,IF(OR(F3366="",D3366="",L3366=""),"",IF(L3366="Sim",ROUND(F3366-D3366,2),0)))</f>
        <v/>
      </c>
      <c r="K3366" s="97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inlineStr">
        <is>
          <t>Nao</t>
        </is>
      </c>
      <c r="W3366" s="110" t="inlineStr">
        <is>
          <t>PC em analise</t>
        </is>
      </c>
      <c r="X3366" s="110" t="inlineStr">
        <is>
          <t>Pedido de Compra</t>
        </is>
      </c>
      <c r="Y3366" s="111" t="inlineStr">
        <is>
          <t>Impacto Potencial</t>
        </is>
      </c>
      <c r="Z3366" s="111" t="inlineStr">
        <is>
          <t>PC</t>
        </is>
      </c>
      <c r="AA3366" s="111" t="inlineStr">
        <is>
          <t>Nao</t>
        </is>
      </c>
      <c r="AB3366" s="111" t="inlineStr">
        <is>
          <t>NAO_COMPUTADO</t>
        </is>
      </c>
      <c r="AC3366" s="112" t="inlineStr">
        <is>
          <t>Estrutura Fase 1: sem impacto no VTA oficial</t>
        </is>
      </c>
    </row>
    <row r="3367" ht="25.5" customHeight="1" s="289">
      <c r="A3367" s="205" t="n"/>
      <c r="B3367" s="207" t="n"/>
      <c r="C3367" s="104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348" t="n"/>
      <c r="E3367" s="349">
        <f>IF(C3367="","",IFERROR(VLOOKUP(C3367,parametros!$A$11:$E$15,5,0),""))</f>
        <v/>
      </c>
      <c r="F3367" s="335">
        <f>IF(OR(D3367="",E3367=""),"",ROUND(D3367*E3367,2))</f>
        <v/>
      </c>
      <c r="G3367" s="106" t="n"/>
      <c r="H3367" s="350">
        <f>IF(G3367="Sim",IF(OR(F3367="",D3367="",L3367=""),"",IF(L3367="Sim",ROUND(F3367-D3367,2),0)),0)</f>
        <v/>
      </c>
      <c r="I3367" s="350">
        <f>IF(G3367="Sim",0,IF(OR(F3367="",L3367=""),"",F3367))</f>
        <v/>
      </c>
      <c r="J3367" s="350">
        <f>IF(G3367="Sim",0,IF(OR(F3367="",D3367="",L3367=""),"",IF(L3367="Sim",ROUND(F3367-D3367,2),0)))</f>
        <v/>
      </c>
      <c r="K3367" s="97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inlineStr">
        <is>
          <t>Nao</t>
        </is>
      </c>
      <c r="W3367" s="110" t="inlineStr">
        <is>
          <t>PC em analise</t>
        </is>
      </c>
      <c r="X3367" s="110" t="inlineStr">
        <is>
          <t>Pedido de Compra</t>
        </is>
      </c>
      <c r="Y3367" s="111" t="inlineStr">
        <is>
          <t>Impacto Potencial</t>
        </is>
      </c>
      <c r="Z3367" s="111" t="inlineStr">
        <is>
          <t>PC</t>
        </is>
      </c>
      <c r="AA3367" s="111" t="inlineStr">
        <is>
          <t>Nao</t>
        </is>
      </c>
      <c r="AB3367" s="111" t="inlineStr">
        <is>
          <t>NAO_COMPUTADO</t>
        </is>
      </c>
      <c r="AC3367" s="112" t="inlineStr">
        <is>
          <t>Estrutura Fase 1: sem impacto no VTA oficial</t>
        </is>
      </c>
    </row>
    <row r="3368" ht="25.5" customHeight="1" s="289">
      <c r="A3368" s="205" t="n"/>
      <c r="B3368" s="207" t="n"/>
      <c r="C3368" s="104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348" t="n"/>
      <c r="E3368" s="349">
        <f>IF(C3368="","",IFERROR(VLOOKUP(C3368,parametros!$A$11:$E$15,5,0),""))</f>
        <v/>
      </c>
      <c r="F3368" s="335">
        <f>IF(OR(D3368="",E3368=""),"",ROUND(D3368*E3368,2))</f>
        <v/>
      </c>
      <c r="G3368" s="106" t="n"/>
      <c r="H3368" s="350">
        <f>IF(G3368="Sim",IF(OR(F3368="",D3368="",L3368=""),"",IF(L3368="Sim",ROUND(F3368-D3368,2),0)),0)</f>
        <v/>
      </c>
      <c r="I3368" s="350">
        <f>IF(G3368="Sim",0,IF(OR(F3368="",L3368=""),"",F3368))</f>
        <v/>
      </c>
      <c r="J3368" s="350">
        <f>IF(G3368="Sim",0,IF(OR(F3368="",D3368="",L3368=""),"",IF(L3368="Sim",ROUND(F3368-D3368,2),0)))</f>
        <v/>
      </c>
      <c r="K3368" s="97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inlineStr">
        <is>
          <t>Nao</t>
        </is>
      </c>
      <c r="W3368" s="110" t="inlineStr">
        <is>
          <t>PC em analise</t>
        </is>
      </c>
      <c r="X3368" s="110" t="inlineStr">
        <is>
          <t>Pedido de Compra</t>
        </is>
      </c>
      <c r="Y3368" s="111" t="inlineStr">
        <is>
          <t>Impacto Potencial</t>
        </is>
      </c>
      <c r="Z3368" s="111" t="inlineStr">
        <is>
          <t>PC</t>
        </is>
      </c>
      <c r="AA3368" s="111" t="inlineStr">
        <is>
          <t>Nao</t>
        </is>
      </c>
      <c r="AB3368" s="111" t="inlineStr">
        <is>
          <t>NAO_COMPUTADO</t>
        </is>
      </c>
      <c r="AC3368" s="112" t="inlineStr">
        <is>
          <t>Estrutura Fase 1: sem impacto no VTA oficial</t>
        </is>
      </c>
    </row>
    <row r="3369" ht="25.5" customHeight="1" s="289">
      <c r="A3369" s="205" t="n"/>
      <c r="B3369" s="207" t="n"/>
      <c r="C3369" s="104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348" t="n"/>
      <c r="E3369" s="349">
        <f>IF(C3369="","",IFERROR(VLOOKUP(C3369,parametros!$A$11:$E$15,5,0),""))</f>
        <v/>
      </c>
      <c r="F3369" s="335">
        <f>IF(OR(D3369="",E3369=""),"",ROUND(D3369*E3369,2))</f>
        <v/>
      </c>
      <c r="G3369" s="106" t="n"/>
      <c r="H3369" s="350">
        <f>IF(G3369="Sim",IF(OR(F3369="",D3369="",L3369=""),"",IF(L3369="Sim",ROUND(F3369-D3369,2),0)),0)</f>
        <v/>
      </c>
      <c r="I3369" s="350">
        <f>IF(G3369="Sim",0,IF(OR(F3369="",L3369=""),"",F3369))</f>
        <v/>
      </c>
      <c r="J3369" s="350">
        <f>IF(G3369="Sim",0,IF(OR(F3369="",D3369="",L3369=""),"",IF(L3369="Sim",ROUND(F3369-D3369,2),0)))</f>
        <v/>
      </c>
      <c r="K3369" s="97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inlineStr">
        <is>
          <t>Nao</t>
        </is>
      </c>
      <c r="W3369" s="110" t="inlineStr">
        <is>
          <t>PC em analise</t>
        </is>
      </c>
      <c r="X3369" s="110" t="inlineStr">
        <is>
          <t>Pedido de Compra</t>
        </is>
      </c>
      <c r="Y3369" s="111" t="inlineStr">
        <is>
          <t>Impacto Potencial</t>
        </is>
      </c>
      <c r="Z3369" s="111" t="inlineStr">
        <is>
          <t>PC</t>
        </is>
      </c>
      <c r="AA3369" s="111" t="inlineStr">
        <is>
          <t>Nao</t>
        </is>
      </c>
      <c r="AB3369" s="111" t="inlineStr">
        <is>
          <t>NAO_COMPUTADO</t>
        </is>
      </c>
      <c r="AC3369" s="112" t="inlineStr">
        <is>
          <t>Estrutura Fase 1: sem impacto no VTA oficial</t>
        </is>
      </c>
    </row>
    <row r="3370" ht="25.5" customHeight="1" s="289">
      <c r="A3370" s="205" t="n"/>
      <c r="B3370" s="207" t="n"/>
      <c r="C3370" s="104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348" t="n"/>
      <c r="E3370" s="349">
        <f>IF(C3370="","",IFERROR(VLOOKUP(C3370,parametros!$A$11:$E$15,5,0),""))</f>
        <v/>
      </c>
      <c r="F3370" s="335">
        <f>IF(OR(D3370="",E3370=""),"",ROUND(D3370*E3370,2))</f>
        <v/>
      </c>
      <c r="G3370" s="106" t="n"/>
      <c r="H3370" s="350">
        <f>IF(G3370="Sim",IF(OR(F3370="",D3370="",L3370=""),"",IF(L3370="Sim",ROUND(F3370-D3370,2),0)),0)</f>
        <v/>
      </c>
      <c r="I3370" s="350">
        <f>IF(G3370="Sim",0,IF(OR(F3370="",L3370=""),"",F3370))</f>
        <v/>
      </c>
      <c r="J3370" s="350">
        <f>IF(G3370="Sim",0,IF(OR(F3370="",D3370="",L3370=""),"",IF(L3370="Sim",ROUND(F3370-D3370,2),0)))</f>
        <v/>
      </c>
      <c r="K3370" s="97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inlineStr">
        <is>
          <t>Nao</t>
        </is>
      </c>
      <c r="W3370" s="110" t="inlineStr">
        <is>
          <t>PC em analise</t>
        </is>
      </c>
      <c r="X3370" s="110" t="inlineStr">
        <is>
          <t>Pedido de Compra</t>
        </is>
      </c>
      <c r="Y3370" s="111" t="inlineStr">
        <is>
          <t>Impacto Potencial</t>
        </is>
      </c>
      <c r="Z3370" s="111" t="inlineStr">
        <is>
          <t>PC</t>
        </is>
      </c>
      <c r="AA3370" s="111" t="inlineStr">
        <is>
          <t>Nao</t>
        </is>
      </c>
      <c r="AB3370" s="111" t="inlineStr">
        <is>
          <t>NAO_COMPUTADO</t>
        </is>
      </c>
      <c r="AC3370" s="112" t="inlineStr">
        <is>
          <t>Estrutura Fase 1: sem impacto no VTA oficial</t>
        </is>
      </c>
    </row>
    <row r="3371" ht="25.5" customHeight="1" s="289">
      <c r="A3371" s="205" t="n"/>
      <c r="B3371" s="207" t="n"/>
      <c r="C3371" s="104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348" t="n"/>
      <c r="E3371" s="349">
        <f>IF(C3371="","",IFERROR(VLOOKUP(C3371,parametros!$A$11:$E$15,5,0),""))</f>
        <v/>
      </c>
      <c r="F3371" s="335">
        <f>IF(OR(D3371="",E3371=""),"",ROUND(D3371*E3371,2))</f>
        <v/>
      </c>
      <c r="G3371" s="106" t="n"/>
      <c r="H3371" s="350">
        <f>IF(G3371="Sim",IF(OR(F3371="",D3371="",L3371=""),"",IF(L3371="Sim",ROUND(F3371-D3371,2),0)),0)</f>
        <v/>
      </c>
      <c r="I3371" s="350">
        <f>IF(G3371="Sim",0,IF(OR(F3371="",L3371=""),"",F3371))</f>
        <v/>
      </c>
      <c r="J3371" s="350">
        <f>IF(G3371="Sim",0,IF(OR(F3371="",D3371="",L3371=""),"",IF(L3371="Sim",ROUND(F3371-D3371,2),0)))</f>
        <v/>
      </c>
      <c r="K3371" s="97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inlineStr">
        <is>
          <t>Nao</t>
        </is>
      </c>
      <c r="W3371" s="110" t="inlineStr">
        <is>
          <t>PC em analise</t>
        </is>
      </c>
      <c r="X3371" s="110" t="inlineStr">
        <is>
          <t>Pedido de Compra</t>
        </is>
      </c>
      <c r="Y3371" s="111" t="inlineStr">
        <is>
          <t>Impacto Potencial</t>
        </is>
      </c>
      <c r="Z3371" s="111" t="inlineStr">
        <is>
          <t>PC</t>
        </is>
      </c>
      <c r="AA3371" s="111" t="inlineStr">
        <is>
          <t>Nao</t>
        </is>
      </c>
      <c r="AB3371" s="111" t="inlineStr">
        <is>
          <t>NAO_COMPUTADO</t>
        </is>
      </c>
      <c r="AC3371" s="112" t="inlineStr">
        <is>
          <t>Estrutura Fase 1: sem impacto no VTA oficial</t>
        </is>
      </c>
    </row>
    <row r="3372" ht="25.5" customHeight="1" s="289">
      <c r="A3372" s="205" t="n"/>
      <c r="B3372" s="207" t="n"/>
      <c r="C3372" s="104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348" t="n"/>
      <c r="E3372" s="349">
        <f>IF(C3372="","",IFERROR(VLOOKUP(C3372,parametros!$A$11:$E$15,5,0),""))</f>
        <v/>
      </c>
      <c r="F3372" s="335">
        <f>IF(OR(D3372="",E3372=""),"",ROUND(D3372*E3372,2))</f>
        <v/>
      </c>
      <c r="G3372" s="106" t="n"/>
      <c r="H3372" s="350">
        <f>IF(G3372="Sim",IF(OR(F3372="",D3372="",L3372=""),"",IF(L3372="Sim",ROUND(F3372-D3372,2),0)),0)</f>
        <v/>
      </c>
      <c r="I3372" s="350">
        <f>IF(G3372="Sim",0,IF(OR(F3372="",L3372=""),"",F3372))</f>
        <v/>
      </c>
      <c r="J3372" s="350">
        <f>IF(G3372="Sim",0,IF(OR(F3372="",D3372="",L3372=""),"",IF(L3372="Sim",ROUND(F3372-D3372,2),0)))</f>
        <v/>
      </c>
      <c r="K3372" s="97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inlineStr">
        <is>
          <t>Nao</t>
        </is>
      </c>
      <c r="W3372" s="110" t="inlineStr">
        <is>
          <t>PC em analise</t>
        </is>
      </c>
      <c r="X3372" s="110" t="inlineStr">
        <is>
          <t>Pedido de Compra</t>
        </is>
      </c>
      <c r="Y3372" s="111" t="inlineStr">
        <is>
          <t>Impacto Potencial</t>
        </is>
      </c>
      <c r="Z3372" s="111" t="inlineStr">
        <is>
          <t>PC</t>
        </is>
      </c>
      <c r="AA3372" s="111" t="inlineStr">
        <is>
          <t>Nao</t>
        </is>
      </c>
      <c r="AB3372" s="111" t="inlineStr">
        <is>
          <t>NAO_COMPUTADO</t>
        </is>
      </c>
      <c r="AC3372" s="112" t="inlineStr">
        <is>
          <t>Estrutura Fase 1: sem impacto no VTA oficial</t>
        </is>
      </c>
    </row>
    <row r="3373" ht="25.5" customHeight="1" s="289">
      <c r="A3373" s="205" t="n"/>
      <c r="B3373" s="207" t="n"/>
      <c r="C3373" s="104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348" t="n"/>
      <c r="E3373" s="349">
        <f>IF(C3373="","",IFERROR(VLOOKUP(C3373,parametros!$A$11:$E$15,5,0),""))</f>
        <v/>
      </c>
      <c r="F3373" s="335">
        <f>IF(OR(D3373="",E3373=""),"",ROUND(D3373*E3373,2))</f>
        <v/>
      </c>
      <c r="G3373" s="106" t="n"/>
      <c r="H3373" s="350">
        <f>IF(G3373="Sim",IF(OR(F3373="",D3373="",L3373=""),"",IF(L3373="Sim",ROUND(F3373-D3373,2),0)),0)</f>
        <v/>
      </c>
      <c r="I3373" s="350">
        <f>IF(G3373="Sim",0,IF(OR(F3373="",L3373=""),"",F3373))</f>
        <v/>
      </c>
      <c r="J3373" s="350">
        <f>IF(G3373="Sim",0,IF(OR(F3373="",D3373="",L3373=""),"",IF(L3373="Sim",ROUND(F3373-D3373,2),0)))</f>
        <v/>
      </c>
      <c r="K3373" s="97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inlineStr">
        <is>
          <t>Nao</t>
        </is>
      </c>
      <c r="W3373" s="110" t="inlineStr">
        <is>
          <t>PC em analise</t>
        </is>
      </c>
      <c r="X3373" s="110" t="inlineStr">
        <is>
          <t>Pedido de Compra</t>
        </is>
      </c>
      <c r="Y3373" s="111" t="inlineStr">
        <is>
          <t>Impacto Potencial</t>
        </is>
      </c>
      <c r="Z3373" s="111" t="inlineStr">
        <is>
          <t>PC</t>
        </is>
      </c>
      <c r="AA3373" s="111" t="inlineStr">
        <is>
          <t>Nao</t>
        </is>
      </c>
      <c r="AB3373" s="111" t="inlineStr">
        <is>
          <t>NAO_COMPUTADO</t>
        </is>
      </c>
      <c r="AC3373" s="112" t="inlineStr">
        <is>
          <t>Estrutura Fase 1: sem impacto no VTA oficial</t>
        </is>
      </c>
    </row>
    <row r="3374" ht="25.5" customHeight="1" s="289">
      <c r="A3374" s="205" t="n"/>
      <c r="B3374" s="207" t="n"/>
      <c r="C3374" s="104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348" t="n"/>
      <c r="E3374" s="349">
        <f>IF(C3374="","",IFERROR(VLOOKUP(C3374,parametros!$A$11:$E$15,5,0),""))</f>
        <v/>
      </c>
      <c r="F3374" s="335">
        <f>IF(OR(D3374="",E3374=""),"",ROUND(D3374*E3374,2))</f>
        <v/>
      </c>
      <c r="G3374" s="106" t="n"/>
      <c r="H3374" s="350">
        <f>IF(G3374="Sim",IF(OR(F3374="",D3374="",L3374=""),"",IF(L3374="Sim",ROUND(F3374-D3374,2),0)),0)</f>
        <v/>
      </c>
      <c r="I3374" s="350">
        <f>IF(G3374="Sim",0,IF(OR(F3374="",L3374=""),"",F3374))</f>
        <v/>
      </c>
      <c r="J3374" s="350">
        <f>IF(G3374="Sim",0,IF(OR(F3374="",D3374="",L3374=""),"",IF(L3374="Sim",ROUND(F3374-D3374,2),0)))</f>
        <v/>
      </c>
      <c r="K3374" s="97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inlineStr">
        <is>
          <t>Nao</t>
        </is>
      </c>
      <c r="W3374" s="110" t="inlineStr">
        <is>
          <t>PC em analise</t>
        </is>
      </c>
      <c r="X3374" s="110" t="inlineStr">
        <is>
          <t>Pedido de Compra</t>
        </is>
      </c>
      <c r="Y3374" s="111" t="inlineStr">
        <is>
          <t>Impacto Potencial</t>
        </is>
      </c>
      <c r="Z3374" s="111" t="inlineStr">
        <is>
          <t>PC</t>
        </is>
      </c>
      <c r="AA3374" s="111" t="inlineStr">
        <is>
          <t>Nao</t>
        </is>
      </c>
      <c r="AB3374" s="111" t="inlineStr">
        <is>
          <t>NAO_COMPUTADO</t>
        </is>
      </c>
      <c r="AC3374" s="112" t="inlineStr">
        <is>
          <t>Estrutura Fase 1: sem impacto no VTA oficial</t>
        </is>
      </c>
    </row>
    <row r="3375" ht="25.5" customHeight="1" s="289">
      <c r="A3375" s="205" t="n"/>
      <c r="B3375" s="207" t="n"/>
      <c r="C3375" s="104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348" t="n"/>
      <c r="E3375" s="349">
        <f>IF(C3375="","",IFERROR(VLOOKUP(C3375,parametros!$A$11:$E$15,5,0),""))</f>
        <v/>
      </c>
      <c r="F3375" s="335">
        <f>IF(OR(D3375="",E3375=""),"",ROUND(D3375*E3375,2))</f>
        <v/>
      </c>
      <c r="G3375" s="106" t="n"/>
      <c r="H3375" s="350">
        <f>IF(G3375="Sim",IF(OR(F3375="",D3375="",L3375=""),"",IF(L3375="Sim",ROUND(F3375-D3375,2),0)),0)</f>
        <v/>
      </c>
      <c r="I3375" s="350">
        <f>IF(G3375="Sim",0,IF(OR(F3375="",L3375=""),"",F3375))</f>
        <v/>
      </c>
      <c r="J3375" s="350">
        <f>IF(G3375="Sim",0,IF(OR(F3375="",D3375="",L3375=""),"",IF(L3375="Sim",ROUND(F3375-D3375,2),0)))</f>
        <v/>
      </c>
      <c r="K3375" s="97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inlineStr">
        <is>
          <t>Nao</t>
        </is>
      </c>
      <c r="W3375" s="110" t="inlineStr">
        <is>
          <t>PC em analise</t>
        </is>
      </c>
      <c r="X3375" s="110" t="inlineStr">
        <is>
          <t>Pedido de Compra</t>
        </is>
      </c>
      <c r="Y3375" s="111" t="inlineStr">
        <is>
          <t>Impacto Potencial</t>
        </is>
      </c>
      <c r="Z3375" s="111" t="inlineStr">
        <is>
          <t>PC</t>
        </is>
      </c>
      <c r="AA3375" s="111" t="inlineStr">
        <is>
          <t>Nao</t>
        </is>
      </c>
      <c r="AB3375" s="111" t="inlineStr">
        <is>
          <t>NAO_COMPUTADO</t>
        </is>
      </c>
      <c r="AC3375" s="112" t="inlineStr">
        <is>
          <t>Estrutura Fase 1: sem impacto no VTA oficial</t>
        </is>
      </c>
    </row>
    <row r="3376" ht="25.5" customHeight="1" s="289">
      <c r="A3376" s="205" t="n"/>
      <c r="B3376" s="207" t="n"/>
      <c r="C3376" s="104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348" t="n"/>
      <c r="E3376" s="349">
        <f>IF(C3376="","",IFERROR(VLOOKUP(C3376,parametros!$A$11:$E$15,5,0),""))</f>
        <v/>
      </c>
      <c r="F3376" s="335">
        <f>IF(OR(D3376="",E3376=""),"",ROUND(D3376*E3376,2))</f>
        <v/>
      </c>
      <c r="G3376" s="106" t="n"/>
      <c r="H3376" s="350">
        <f>IF(G3376="Sim",IF(OR(F3376="",D3376="",L3376=""),"",IF(L3376="Sim",ROUND(F3376-D3376,2),0)),0)</f>
        <v/>
      </c>
      <c r="I3376" s="350">
        <f>IF(G3376="Sim",0,IF(OR(F3376="",L3376=""),"",F3376))</f>
        <v/>
      </c>
      <c r="J3376" s="350">
        <f>IF(G3376="Sim",0,IF(OR(F3376="",D3376="",L3376=""),"",IF(L3376="Sim",ROUND(F3376-D3376,2),0)))</f>
        <v/>
      </c>
      <c r="K3376" s="97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inlineStr">
        <is>
          <t>Nao</t>
        </is>
      </c>
      <c r="W3376" s="110" t="inlineStr">
        <is>
          <t>PC em analise</t>
        </is>
      </c>
      <c r="X3376" s="110" t="inlineStr">
        <is>
          <t>Pedido de Compra</t>
        </is>
      </c>
      <c r="Y3376" s="111" t="inlineStr">
        <is>
          <t>Impacto Potencial</t>
        </is>
      </c>
      <c r="Z3376" s="111" t="inlineStr">
        <is>
          <t>PC</t>
        </is>
      </c>
      <c r="AA3376" s="111" t="inlineStr">
        <is>
          <t>Nao</t>
        </is>
      </c>
      <c r="AB3376" s="111" t="inlineStr">
        <is>
          <t>NAO_COMPUTADO</t>
        </is>
      </c>
      <c r="AC3376" s="112" t="inlineStr">
        <is>
          <t>Estrutura Fase 1: sem impacto no VTA oficial</t>
        </is>
      </c>
    </row>
    <row r="3377" ht="25.5" customHeight="1" s="289">
      <c r="A3377" s="205" t="n"/>
      <c r="B3377" s="207" t="n"/>
      <c r="C3377" s="104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348" t="n"/>
      <c r="E3377" s="349">
        <f>IF(C3377="","",IFERROR(VLOOKUP(C3377,parametros!$A$11:$E$15,5,0),""))</f>
        <v/>
      </c>
      <c r="F3377" s="335">
        <f>IF(OR(D3377="",E3377=""),"",ROUND(D3377*E3377,2))</f>
        <v/>
      </c>
      <c r="G3377" s="106" t="n"/>
      <c r="H3377" s="350">
        <f>IF(G3377="Sim",IF(OR(F3377="",D3377="",L3377=""),"",IF(L3377="Sim",ROUND(F3377-D3377,2),0)),0)</f>
        <v/>
      </c>
      <c r="I3377" s="350">
        <f>IF(G3377="Sim",0,IF(OR(F3377="",L3377=""),"",F3377))</f>
        <v/>
      </c>
      <c r="J3377" s="350">
        <f>IF(G3377="Sim",0,IF(OR(F3377="",D3377="",L3377=""),"",IF(L3377="Sim",ROUND(F3377-D3377,2),0)))</f>
        <v/>
      </c>
      <c r="K3377" s="97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inlineStr">
        <is>
          <t>Nao</t>
        </is>
      </c>
      <c r="W3377" s="110" t="inlineStr">
        <is>
          <t>PC em analise</t>
        </is>
      </c>
      <c r="X3377" s="110" t="inlineStr">
        <is>
          <t>Pedido de Compra</t>
        </is>
      </c>
      <c r="Y3377" s="111" t="inlineStr">
        <is>
          <t>Impacto Potencial</t>
        </is>
      </c>
      <c r="Z3377" s="111" t="inlineStr">
        <is>
          <t>PC</t>
        </is>
      </c>
      <c r="AA3377" s="111" t="inlineStr">
        <is>
          <t>Nao</t>
        </is>
      </c>
      <c r="AB3377" s="111" t="inlineStr">
        <is>
          <t>NAO_COMPUTADO</t>
        </is>
      </c>
      <c r="AC3377" s="112" t="inlineStr">
        <is>
          <t>Estrutura Fase 1: sem impacto no VTA oficial</t>
        </is>
      </c>
    </row>
    <row r="3378" ht="25.5" customHeight="1" s="289">
      <c r="A3378" s="205" t="n"/>
      <c r="B3378" s="207" t="n"/>
      <c r="C3378" s="104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348" t="n"/>
      <c r="E3378" s="349">
        <f>IF(C3378="","",IFERROR(VLOOKUP(C3378,parametros!$A$11:$E$15,5,0),""))</f>
        <v/>
      </c>
      <c r="F3378" s="335">
        <f>IF(OR(D3378="",E3378=""),"",ROUND(D3378*E3378,2))</f>
        <v/>
      </c>
      <c r="G3378" s="106" t="n"/>
      <c r="H3378" s="350">
        <f>IF(G3378="Sim",IF(OR(F3378="",D3378="",L3378=""),"",IF(L3378="Sim",ROUND(F3378-D3378,2),0)),0)</f>
        <v/>
      </c>
      <c r="I3378" s="350">
        <f>IF(G3378="Sim",0,IF(OR(F3378="",L3378=""),"",F3378))</f>
        <v/>
      </c>
      <c r="J3378" s="350">
        <f>IF(G3378="Sim",0,IF(OR(F3378="",D3378="",L3378=""),"",IF(L3378="Sim",ROUND(F3378-D3378,2),0)))</f>
        <v/>
      </c>
      <c r="K3378" s="97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inlineStr">
        <is>
          <t>Nao</t>
        </is>
      </c>
      <c r="W3378" s="110" t="inlineStr">
        <is>
          <t>PC em analise</t>
        </is>
      </c>
      <c r="X3378" s="110" t="inlineStr">
        <is>
          <t>Pedido de Compra</t>
        </is>
      </c>
      <c r="Y3378" s="111" t="inlineStr">
        <is>
          <t>Impacto Potencial</t>
        </is>
      </c>
      <c r="Z3378" s="111" t="inlineStr">
        <is>
          <t>PC</t>
        </is>
      </c>
      <c r="AA3378" s="111" t="inlineStr">
        <is>
          <t>Nao</t>
        </is>
      </c>
      <c r="AB3378" s="111" t="inlineStr">
        <is>
          <t>NAO_COMPUTADO</t>
        </is>
      </c>
      <c r="AC3378" s="112" t="inlineStr">
        <is>
          <t>Estrutura Fase 1: sem impacto no VTA oficial</t>
        </is>
      </c>
    </row>
    <row r="3379" ht="25.5" customHeight="1" s="289">
      <c r="A3379" s="205" t="n"/>
      <c r="B3379" s="207" t="n"/>
      <c r="C3379" s="104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348" t="n"/>
      <c r="E3379" s="349">
        <f>IF(C3379="","",IFERROR(VLOOKUP(C3379,parametros!$A$11:$E$15,5,0),""))</f>
        <v/>
      </c>
      <c r="F3379" s="335">
        <f>IF(OR(D3379="",E3379=""),"",ROUND(D3379*E3379,2))</f>
        <v/>
      </c>
      <c r="G3379" s="106" t="n"/>
      <c r="H3379" s="350">
        <f>IF(G3379="Sim",IF(OR(F3379="",D3379="",L3379=""),"",IF(L3379="Sim",ROUND(F3379-D3379,2),0)),0)</f>
        <v/>
      </c>
      <c r="I3379" s="350">
        <f>IF(G3379="Sim",0,IF(OR(F3379="",L3379=""),"",F3379))</f>
        <v/>
      </c>
      <c r="J3379" s="350">
        <f>IF(G3379="Sim",0,IF(OR(F3379="",D3379="",L3379=""),"",IF(L3379="Sim",ROUND(F3379-D3379,2),0)))</f>
        <v/>
      </c>
      <c r="K3379" s="97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inlineStr">
        <is>
          <t>Nao</t>
        </is>
      </c>
      <c r="W3379" s="110" t="inlineStr">
        <is>
          <t>PC em analise</t>
        </is>
      </c>
      <c r="X3379" s="110" t="inlineStr">
        <is>
          <t>Pedido de Compra</t>
        </is>
      </c>
      <c r="Y3379" s="111" t="inlineStr">
        <is>
          <t>Impacto Potencial</t>
        </is>
      </c>
      <c r="Z3379" s="111" t="inlineStr">
        <is>
          <t>PC</t>
        </is>
      </c>
      <c r="AA3379" s="111" t="inlineStr">
        <is>
          <t>Nao</t>
        </is>
      </c>
      <c r="AB3379" s="111" t="inlineStr">
        <is>
          <t>NAO_COMPUTADO</t>
        </is>
      </c>
      <c r="AC3379" s="112" t="inlineStr">
        <is>
          <t>Estrutura Fase 1: sem impacto no VTA oficial</t>
        </is>
      </c>
    </row>
    <row r="3380" ht="25.5" customHeight="1" s="289">
      <c r="A3380" s="205" t="n"/>
      <c r="B3380" s="207" t="n"/>
      <c r="C3380" s="104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348" t="n"/>
      <c r="E3380" s="349">
        <f>IF(C3380="","",IFERROR(VLOOKUP(C3380,parametros!$A$11:$E$15,5,0),""))</f>
        <v/>
      </c>
      <c r="F3380" s="335">
        <f>IF(OR(D3380="",E3380=""),"",ROUND(D3380*E3380,2))</f>
        <v/>
      </c>
      <c r="G3380" s="106" t="n"/>
      <c r="H3380" s="350">
        <f>IF(G3380="Sim",IF(OR(F3380="",D3380="",L3380=""),"",IF(L3380="Sim",ROUND(F3380-D3380,2),0)),0)</f>
        <v/>
      </c>
      <c r="I3380" s="350">
        <f>IF(G3380="Sim",0,IF(OR(F3380="",L3380=""),"",F3380))</f>
        <v/>
      </c>
      <c r="J3380" s="350">
        <f>IF(G3380="Sim",0,IF(OR(F3380="",D3380="",L3380=""),"",IF(L3380="Sim",ROUND(F3380-D3380,2),0)))</f>
        <v/>
      </c>
      <c r="K3380" s="97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inlineStr">
        <is>
          <t>Nao</t>
        </is>
      </c>
      <c r="W3380" s="110" t="inlineStr">
        <is>
          <t>PC em analise</t>
        </is>
      </c>
      <c r="X3380" s="110" t="inlineStr">
        <is>
          <t>Pedido de Compra</t>
        </is>
      </c>
      <c r="Y3380" s="111" t="inlineStr">
        <is>
          <t>Impacto Potencial</t>
        </is>
      </c>
      <c r="Z3380" s="111" t="inlineStr">
        <is>
          <t>PC</t>
        </is>
      </c>
      <c r="AA3380" s="111" t="inlineStr">
        <is>
          <t>Nao</t>
        </is>
      </c>
      <c r="AB3380" s="111" t="inlineStr">
        <is>
          <t>NAO_COMPUTADO</t>
        </is>
      </c>
      <c r="AC3380" s="112" t="inlineStr">
        <is>
          <t>Estrutura Fase 1: sem impacto no VTA oficial</t>
        </is>
      </c>
    </row>
    <row r="3381" ht="25.5" customHeight="1" s="289">
      <c r="A3381" s="205" t="n"/>
      <c r="B3381" s="207" t="n"/>
      <c r="C3381" s="104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348" t="n"/>
      <c r="E3381" s="349">
        <f>IF(C3381="","",IFERROR(VLOOKUP(C3381,parametros!$A$11:$E$15,5,0),""))</f>
        <v/>
      </c>
      <c r="F3381" s="335">
        <f>IF(OR(D3381="",E3381=""),"",ROUND(D3381*E3381,2))</f>
        <v/>
      </c>
      <c r="G3381" s="106" t="n"/>
      <c r="H3381" s="350">
        <f>IF(G3381="Sim",IF(OR(F3381="",D3381="",L3381=""),"",IF(L3381="Sim",ROUND(F3381-D3381,2),0)),0)</f>
        <v/>
      </c>
      <c r="I3381" s="350">
        <f>IF(G3381="Sim",0,IF(OR(F3381="",L3381=""),"",F3381))</f>
        <v/>
      </c>
      <c r="J3381" s="350">
        <f>IF(G3381="Sim",0,IF(OR(F3381="",D3381="",L3381=""),"",IF(L3381="Sim",ROUND(F3381-D3381,2),0)))</f>
        <v/>
      </c>
      <c r="K3381" s="97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inlineStr">
        <is>
          <t>Nao</t>
        </is>
      </c>
      <c r="W3381" s="110" t="inlineStr">
        <is>
          <t>PC em analise</t>
        </is>
      </c>
      <c r="X3381" s="110" t="inlineStr">
        <is>
          <t>Pedido de Compra</t>
        </is>
      </c>
      <c r="Y3381" s="111" t="inlineStr">
        <is>
          <t>Impacto Potencial</t>
        </is>
      </c>
      <c r="Z3381" s="111" t="inlineStr">
        <is>
          <t>PC</t>
        </is>
      </c>
      <c r="AA3381" s="111" t="inlineStr">
        <is>
          <t>Nao</t>
        </is>
      </c>
      <c r="AB3381" s="111" t="inlineStr">
        <is>
          <t>NAO_COMPUTADO</t>
        </is>
      </c>
      <c r="AC3381" s="112" t="inlineStr">
        <is>
          <t>Estrutura Fase 1: sem impacto no VTA oficial</t>
        </is>
      </c>
    </row>
    <row r="3382" ht="25.5" customHeight="1" s="289">
      <c r="A3382" s="205" t="n"/>
      <c r="B3382" s="207" t="n"/>
      <c r="C3382" s="104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348" t="n"/>
      <c r="E3382" s="349">
        <f>IF(C3382="","",IFERROR(VLOOKUP(C3382,parametros!$A$11:$E$15,5,0),""))</f>
        <v/>
      </c>
      <c r="F3382" s="335">
        <f>IF(OR(D3382="",E3382=""),"",ROUND(D3382*E3382,2))</f>
        <v/>
      </c>
      <c r="G3382" s="106" t="n"/>
      <c r="H3382" s="350">
        <f>IF(G3382="Sim",IF(OR(F3382="",D3382="",L3382=""),"",IF(L3382="Sim",ROUND(F3382-D3382,2),0)),0)</f>
        <v/>
      </c>
      <c r="I3382" s="350">
        <f>IF(G3382="Sim",0,IF(OR(F3382="",L3382=""),"",F3382))</f>
        <v/>
      </c>
      <c r="J3382" s="350">
        <f>IF(G3382="Sim",0,IF(OR(F3382="",D3382="",L3382=""),"",IF(L3382="Sim",ROUND(F3382-D3382,2),0)))</f>
        <v/>
      </c>
      <c r="K3382" s="97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inlineStr">
        <is>
          <t>Nao</t>
        </is>
      </c>
      <c r="W3382" s="110" t="inlineStr">
        <is>
          <t>PC em analise</t>
        </is>
      </c>
      <c r="X3382" s="110" t="inlineStr">
        <is>
          <t>Pedido de Compra</t>
        </is>
      </c>
      <c r="Y3382" s="111" t="inlineStr">
        <is>
          <t>Impacto Potencial</t>
        </is>
      </c>
      <c r="Z3382" s="111" t="inlineStr">
        <is>
          <t>PC</t>
        </is>
      </c>
      <c r="AA3382" s="111" t="inlineStr">
        <is>
          <t>Nao</t>
        </is>
      </c>
      <c r="AB3382" s="111" t="inlineStr">
        <is>
          <t>NAO_COMPUTADO</t>
        </is>
      </c>
      <c r="AC3382" s="112" t="inlineStr">
        <is>
          <t>Estrutura Fase 1: sem impacto no VTA oficial</t>
        </is>
      </c>
    </row>
    <row r="3383" ht="25.5" customHeight="1" s="289">
      <c r="A3383" s="205" t="n"/>
      <c r="B3383" s="207" t="n"/>
      <c r="C3383" s="104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348" t="n"/>
      <c r="E3383" s="349">
        <f>IF(C3383="","",IFERROR(VLOOKUP(C3383,parametros!$A$11:$E$15,5,0),""))</f>
        <v/>
      </c>
      <c r="F3383" s="335">
        <f>IF(OR(D3383="",E3383=""),"",ROUND(D3383*E3383,2))</f>
        <v/>
      </c>
      <c r="G3383" s="106" t="n"/>
      <c r="H3383" s="350">
        <f>IF(G3383="Sim",IF(OR(F3383="",D3383="",L3383=""),"",IF(L3383="Sim",ROUND(F3383-D3383,2),0)),0)</f>
        <v/>
      </c>
      <c r="I3383" s="350">
        <f>IF(G3383="Sim",0,IF(OR(F3383="",L3383=""),"",F3383))</f>
        <v/>
      </c>
      <c r="J3383" s="350">
        <f>IF(G3383="Sim",0,IF(OR(F3383="",D3383="",L3383=""),"",IF(L3383="Sim",ROUND(F3383-D3383,2),0)))</f>
        <v/>
      </c>
      <c r="K3383" s="97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inlineStr">
        <is>
          <t>Nao</t>
        </is>
      </c>
      <c r="W3383" s="110" t="inlineStr">
        <is>
          <t>PC em analise</t>
        </is>
      </c>
      <c r="X3383" s="110" t="inlineStr">
        <is>
          <t>Pedido de Compra</t>
        </is>
      </c>
      <c r="Y3383" s="111" t="inlineStr">
        <is>
          <t>Impacto Potencial</t>
        </is>
      </c>
      <c r="Z3383" s="111" t="inlineStr">
        <is>
          <t>PC</t>
        </is>
      </c>
      <c r="AA3383" s="111" t="inlineStr">
        <is>
          <t>Nao</t>
        </is>
      </c>
      <c r="AB3383" s="111" t="inlineStr">
        <is>
          <t>NAO_COMPUTADO</t>
        </is>
      </c>
      <c r="AC3383" s="112" t="inlineStr">
        <is>
          <t>Estrutura Fase 1: sem impacto no VTA oficial</t>
        </is>
      </c>
    </row>
    <row r="3384" ht="25.5" customHeight="1" s="289">
      <c r="A3384" s="205" t="n"/>
      <c r="B3384" s="207" t="n"/>
      <c r="C3384" s="104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348" t="n"/>
      <c r="E3384" s="349">
        <f>IF(C3384="","",IFERROR(VLOOKUP(C3384,parametros!$A$11:$E$15,5,0),""))</f>
        <v/>
      </c>
      <c r="F3384" s="335">
        <f>IF(OR(D3384="",E3384=""),"",ROUND(D3384*E3384,2))</f>
        <v/>
      </c>
      <c r="G3384" s="106" t="n"/>
      <c r="H3384" s="350">
        <f>IF(G3384="Sim",IF(OR(F3384="",D3384="",L3384=""),"",IF(L3384="Sim",ROUND(F3384-D3384,2),0)),0)</f>
        <v/>
      </c>
      <c r="I3384" s="350">
        <f>IF(G3384="Sim",0,IF(OR(F3384="",L3384=""),"",F3384))</f>
        <v/>
      </c>
      <c r="J3384" s="350">
        <f>IF(G3384="Sim",0,IF(OR(F3384="",D3384="",L3384=""),"",IF(L3384="Sim",ROUND(F3384-D3384,2),0)))</f>
        <v/>
      </c>
      <c r="K3384" s="97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inlineStr">
        <is>
          <t>Nao</t>
        </is>
      </c>
      <c r="W3384" s="110" t="inlineStr">
        <is>
          <t>PC em analise</t>
        </is>
      </c>
      <c r="X3384" s="110" t="inlineStr">
        <is>
          <t>Pedido de Compra</t>
        </is>
      </c>
      <c r="Y3384" s="111" t="inlineStr">
        <is>
          <t>Impacto Potencial</t>
        </is>
      </c>
      <c r="Z3384" s="111" t="inlineStr">
        <is>
          <t>PC</t>
        </is>
      </c>
      <c r="AA3384" s="111" t="inlineStr">
        <is>
          <t>Nao</t>
        </is>
      </c>
      <c r="AB3384" s="111" t="inlineStr">
        <is>
          <t>NAO_COMPUTADO</t>
        </is>
      </c>
      <c r="AC3384" s="112" t="inlineStr">
        <is>
          <t>Estrutura Fase 1: sem impacto no VTA oficial</t>
        </is>
      </c>
    </row>
    <row r="3385" ht="25.5" customHeight="1" s="289">
      <c r="A3385" s="205" t="n"/>
      <c r="B3385" s="207" t="n"/>
      <c r="C3385" s="104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348" t="n"/>
      <c r="E3385" s="349">
        <f>IF(C3385="","",IFERROR(VLOOKUP(C3385,parametros!$A$11:$E$15,5,0),""))</f>
        <v/>
      </c>
      <c r="F3385" s="335">
        <f>IF(OR(D3385="",E3385=""),"",ROUND(D3385*E3385,2))</f>
        <v/>
      </c>
      <c r="G3385" s="106" t="n"/>
      <c r="H3385" s="350">
        <f>IF(G3385="Sim",IF(OR(F3385="",D3385="",L3385=""),"",IF(L3385="Sim",ROUND(F3385-D3385,2),0)),0)</f>
        <v/>
      </c>
      <c r="I3385" s="350">
        <f>IF(G3385="Sim",0,IF(OR(F3385="",L3385=""),"",F3385))</f>
        <v/>
      </c>
      <c r="J3385" s="350">
        <f>IF(G3385="Sim",0,IF(OR(F3385="",D3385="",L3385=""),"",IF(L3385="Sim",ROUND(F3385-D3385,2),0)))</f>
        <v/>
      </c>
      <c r="K3385" s="97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inlineStr">
        <is>
          <t>Nao</t>
        </is>
      </c>
      <c r="W3385" s="110" t="inlineStr">
        <is>
          <t>PC em analise</t>
        </is>
      </c>
      <c r="X3385" s="110" t="inlineStr">
        <is>
          <t>Pedido de Compra</t>
        </is>
      </c>
      <c r="Y3385" s="111" t="inlineStr">
        <is>
          <t>Impacto Potencial</t>
        </is>
      </c>
      <c r="Z3385" s="111" t="inlineStr">
        <is>
          <t>PC</t>
        </is>
      </c>
      <c r="AA3385" s="111" t="inlineStr">
        <is>
          <t>Nao</t>
        </is>
      </c>
      <c r="AB3385" s="111" t="inlineStr">
        <is>
          <t>NAO_COMPUTADO</t>
        </is>
      </c>
      <c r="AC3385" s="112" t="inlineStr">
        <is>
          <t>Estrutura Fase 1: sem impacto no VTA oficial</t>
        </is>
      </c>
    </row>
    <row r="3386" ht="25.5" customHeight="1" s="289">
      <c r="A3386" s="205" t="n"/>
      <c r="B3386" s="207" t="n"/>
      <c r="C3386" s="104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348" t="n"/>
      <c r="E3386" s="349">
        <f>IF(C3386="","",IFERROR(VLOOKUP(C3386,parametros!$A$11:$E$15,5,0),""))</f>
        <v/>
      </c>
      <c r="F3386" s="335">
        <f>IF(OR(D3386="",E3386=""),"",ROUND(D3386*E3386,2))</f>
        <v/>
      </c>
      <c r="G3386" s="106" t="n"/>
      <c r="H3386" s="350">
        <f>IF(G3386="Sim",IF(OR(F3386="",D3386="",L3386=""),"",IF(L3386="Sim",ROUND(F3386-D3386,2),0)),0)</f>
        <v/>
      </c>
      <c r="I3386" s="350">
        <f>IF(G3386="Sim",0,IF(OR(F3386="",L3386=""),"",F3386))</f>
        <v/>
      </c>
      <c r="J3386" s="350">
        <f>IF(G3386="Sim",0,IF(OR(F3386="",D3386="",L3386=""),"",IF(L3386="Sim",ROUND(F3386-D3386,2),0)))</f>
        <v/>
      </c>
      <c r="K3386" s="97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inlineStr">
        <is>
          <t>Nao</t>
        </is>
      </c>
      <c r="W3386" s="110" t="inlineStr">
        <is>
          <t>PC em analise</t>
        </is>
      </c>
      <c r="X3386" s="110" t="inlineStr">
        <is>
          <t>Pedido de Compra</t>
        </is>
      </c>
      <c r="Y3386" s="111" t="inlineStr">
        <is>
          <t>Impacto Potencial</t>
        </is>
      </c>
      <c r="Z3386" s="111" t="inlineStr">
        <is>
          <t>PC</t>
        </is>
      </c>
      <c r="AA3386" s="111" t="inlineStr">
        <is>
          <t>Nao</t>
        </is>
      </c>
      <c r="AB3386" s="111" t="inlineStr">
        <is>
          <t>NAO_COMPUTADO</t>
        </is>
      </c>
      <c r="AC3386" s="112" t="inlineStr">
        <is>
          <t>Estrutura Fase 1: sem impacto no VTA oficial</t>
        </is>
      </c>
    </row>
    <row r="3387" ht="25.5" customHeight="1" s="289">
      <c r="A3387" s="205" t="n"/>
      <c r="B3387" s="207" t="n"/>
      <c r="C3387" s="104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348" t="n"/>
      <c r="E3387" s="349">
        <f>IF(C3387="","",IFERROR(VLOOKUP(C3387,parametros!$A$11:$E$15,5,0),""))</f>
        <v/>
      </c>
      <c r="F3387" s="335">
        <f>IF(OR(D3387="",E3387=""),"",ROUND(D3387*E3387,2))</f>
        <v/>
      </c>
      <c r="G3387" s="106" t="n"/>
      <c r="H3387" s="350">
        <f>IF(G3387="Sim",IF(OR(F3387="",D3387="",L3387=""),"",IF(L3387="Sim",ROUND(F3387-D3387,2),0)),0)</f>
        <v/>
      </c>
      <c r="I3387" s="350">
        <f>IF(G3387="Sim",0,IF(OR(F3387="",L3387=""),"",F3387))</f>
        <v/>
      </c>
      <c r="J3387" s="350">
        <f>IF(G3387="Sim",0,IF(OR(F3387="",D3387="",L3387=""),"",IF(L3387="Sim",ROUND(F3387-D3387,2),0)))</f>
        <v/>
      </c>
      <c r="K3387" s="97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inlineStr">
        <is>
          <t>Nao</t>
        </is>
      </c>
      <c r="W3387" s="110" t="inlineStr">
        <is>
          <t>PC em analise</t>
        </is>
      </c>
      <c r="X3387" s="110" t="inlineStr">
        <is>
          <t>Pedido de Compra</t>
        </is>
      </c>
      <c r="Y3387" s="111" t="inlineStr">
        <is>
          <t>Impacto Potencial</t>
        </is>
      </c>
      <c r="Z3387" s="111" t="inlineStr">
        <is>
          <t>PC</t>
        </is>
      </c>
      <c r="AA3387" s="111" t="inlineStr">
        <is>
          <t>Nao</t>
        </is>
      </c>
      <c r="AB3387" s="111" t="inlineStr">
        <is>
          <t>NAO_COMPUTADO</t>
        </is>
      </c>
      <c r="AC3387" s="112" t="inlineStr">
        <is>
          <t>Estrutura Fase 1: sem impacto no VTA oficial</t>
        </is>
      </c>
    </row>
    <row r="3388" ht="25.5" customHeight="1" s="289">
      <c r="A3388" s="205" t="n"/>
      <c r="B3388" s="207" t="n"/>
      <c r="C3388" s="104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348" t="n"/>
      <c r="E3388" s="349">
        <f>IF(C3388="","",IFERROR(VLOOKUP(C3388,parametros!$A$11:$E$15,5,0),""))</f>
        <v/>
      </c>
      <c r="F3388" s="335">
        <f>IF(OR(D3388="",E3388=""),"",ROUND(D3388*E3388,2))</f>
        <v/>
      </c>
      <c r="G3388" s="106" t="n"/>
      <c r="H3388" s="350">
        <f>IF(G3388="Sim",IF(OR(F3388="",D3388="",L3388=""),"",IF(L3388="Sim",ROUND(F3388-D3388,2),0)),0)</f>
        <v/>
      </c>
      <c r="I3388" s="350">
        <f>IF(G3388="Sim",0,IF(OR(F3388="",L3388=""),"",F3388))</f>
        <v/>
      </c>
      <c r="J3388" s="350">
        <f>IF(G3388="Sim",0,IF(OR(F3388="",D3388="",L3388=""),"",IF(L3388="Sim",ROUND(F3388-D3388,2),0)))</f>
        <v/>
      </c>
      <c r="K3388" s="97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inlineStr">
        <is>
          <t>Nao</t>
        </is>
      </c>
      <c r="W3388" s="110" t="inlineStr">
        <is>
          <t>PC em analise</t>
        </is>
      </c>
      <c r="X3388" s="110" t="inlineStr">
        <is>
          <t>Pedido de Compra</t>
        </is>
      </c>
      <c r="Y3388" s="111" t="inlineStr">
        <is>
          <t>Impacto Potencial</t>
        </is>
      </c>
      <c r="Z3388" s="111" t="inlineStr">
        <is>
          <t>PC</t>
        </is>
      </c>
      <c r="AA3388" s="111" t="inlineStr">
        <is>
          <t>Nao</t>
        </is>
      </c>
      <c r="AB3388" s="111" t="inlineStr">
        <is>
          <t>NAO_COMPUTADO</t>
        </is>
      </c>
      <c r="AC3388" s="112" t="inlineStr">
        <is>
          <t>Estrutura Fase 1: sem impacto no VTA oficial</t>
        </is>
      </c>
    </row>
    <row r="3389" ht="25.5" customHeight="1" s="289">
      <c r="A3389" s="205" t="n"/>
      <c r="B3389" s="207" t="n"/>
      <c r="C3389" s="104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348" t="n"/>
      <c r="E3389" s="349">
        <f>IF(C3389="","",IFERROR(VLOOKUP(C3389,parametros!$A$11:$E$15,5,0),""))</f>
        <v/>
      </c>
      <c r="F3389" s="335">
        <f>IF(OR(D3389="",E3389=""),"",ROUND(D3389*E3389,2))</f>
        <v/>
      </c>
      <c r="G3389" s="106" t="n"/>
      <c r="H3389" s="350">
        <f>IF(G3389="Sim",IF(OR(F3389="",D3389="",L3389=""),"",IF(L3389="Sim",ROUND(F3389-D3389,2),0)),0)</f>
        <v/>
      </c>
      <c r="I3389" s="350">
        <f>IF(G3389="Sim",0,IF(OR(F3389="",L3389=""),"",F3389))</f>
        <v/>
      </c>
      <c r="J3389" s="350">
        <f>IF(G3389="Sim",0,IF(OR(F3389="",D3389="",L3389=""),"",IF(L3389="Sim",ROUND(F3389-D3389,2),0)))</f>
        <v/>
      </c>
      <c r="K3389" s="97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inlineStr">
        <is>
          <t>Nao</t>
        </is>
      </c>
      <c r="W3389" s="110" t="inlineStr">
        <is>
          <t>PC em analise</t>
        </is>
      </c>
      <c r="X3389" s="110" t="inlineStr">
        <is>
          <t>Pedido de Compra</t>
        </is>
      </c>
      <c r="Y3389" s="111" t="inlineStr">
        <is>
          <t>Impacto Potencial</t>
        </is>
      </c>
      <c r="Z3389" s="111" t="inlineStr">
        <is>
          <t>PC</t>
        </is>
      </c>
      <c r="AA3389" s="111" t="inlineStr">
        <is>
          <t>Nao</t>
        </is>
      </c>
      <c r="AB3389" s="111" t="inlineStr">
        <is>
          <t>NAO_COMPUTADO</t>
        </is>
      </c>
      <c r="AC3389" s="112" t="inlineStr">
        <is>
          <t>Estrutura Fase 1: sem impacto no VTA oficial</t>
        </is>
      </c>
    </row>
    <row r="3390" ht="25.5" customHeight="1" s="289">
      <c r="A3390" s="205" t="n"/>
      <c r="B3390" s="207" t="n"/>
      <c r="C3390" s="104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348" t="n"/>
      <c r="E3390" s="349">
        <f>IF(C3390="","",IFERROR(VLOOKUP(C3390,parametros!$A$11:$E$15,5,0),""))</f>
        <v/>
      </c>
      <c r="F3390" s="335">
        <f>IF(OR(D3390="",E3390=""),"",ROUND(D3390*E3390,2))</f>
        <v/>
      </c>
      <c r="G3390" s="106" t="n"/>
      <c r="H3390" s="350">
        <f>IF(G3390="Sim",IF(OR(F3390="",D3390="",L3390=""),"",IF(L3390="Sim",ROUND(F3390-D3390,2),0)),0)</f>
        <v/>
      </c>
      <c r="I3390" s="350">
        <f>IF(G3390="Sim",0,IF(OR(F3390="",L3390=""),"",F3390))</f>
        <v/>
      </c>
      <c r="J3390" s="350">
        <f>IF(G3390="Sim",0,IF(OR(F3390="",D3390="",L3390=""),"",IF(L3390="Sim",ROUND(F3390-D3390,2),0)))</f>
        <v/>
      </c>
      <c r="K3390" s="97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inlineStr">
        <is>
          <t>Nao</t>
        </is>
      </c>
      <c r="W3390" s="110" t="inlineStr">
        <is>
          <t>PC em analise</t>
        </is>
      </c>
      <c r="X3390" s="110" t="inlineStr">
        <is>
          <t>Pedido de Compra</t>
        </is>
      </c>
      <c r="Y3390" s="111" t="inlineStr">
        <is>
          <t>Impacto Potencial</t>
        </is>
      </c>
      <c r="Z3390" s="111" t="inlineStr">
        <is>
          <t>PC</t>
        </is>
      </c>
      <c r="AA3390" s="111" t="inlineStr">
        <is>
          <t>Nao</t>
        </is>
      </c>
      <c r="AB3390" s="111" t="inlineStr">
        <is>
          <t>NAO_COMPUTADO</t>
        </is>
      </c>
      <c r="AC3390" s="112" t="inlineStr">
        <is>
          <t>Estrutura Fase 1: sem impacto no VTA oficial</t>
        </is>
      </c>
    </row>
    <row r="3391" ht="25.5" customHeight="1" s="289">
      <c r="A3391" s="205" t="n"/>
      <c r="B3391" s="207" t="n"/>
      <c r="C3391" s="104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348" t="n"/>
      <c r="E3391" s="349">
        <f>IF(C3391="","",IFERROR(VLOOKUP(C3391,parametros!$A$11:$E$15,5,0),""))</f>
        <v/>
      </c>
      <c r="F3391" s="335">
        <f>IF(OR(D3391="",E3391=""),"",ROUND(D3391*E3391,2))</f>
        <v/>
      </c>
      <c r="G3391" s="106" t="n"/>
      <c r="H3391" s="350">
        <f>IF(G3391="Sim",IF(OR(F3391="",D3391="",L3391=""),"",IF(L3391="Sim",ROUND(F3391-D3391,2),0)),0)</f>
        <v/>
      </c>
      <c r="I3391" s="350">
        <f>IF(G3391="Sim",0,IF(OR(F3391="",L3391=""),"",F3391))</f>
        <v/>
      </c>
      <c r="J3391" s="350">
        <f>IF(G3391="Sim",0,IF(OR(F3391="",D3391="",L3391=""),"",IF(L3391="Sim",ROUND(F3391-D3391,2),0)))</f>
        <v/>
      </c>
      <c r="K3391" s="97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inlineStr">
        <is>
          <t>Nao</t>
        </is>
      </c>
      <c r="W3391" s="110" t="inlineStr">
        <is>
          <t>PC em analise</t>
        </is>
      </c>
      <c r="X3391" s="110" t="inlineStr">
        <is>
          <t>Pedido de Compra</t>
        </is>
      </c>
      <c r="Y3391" s="111" t="inlineStr">
        <is>
          <t>Impacto Potencial</t>
        </is>
      </c>
      <c r="Z3391" s="111" t="inlineStr">
        <is>
          <t>PC</t>
        </is>
      </c>
      <c r="AA3391" s="111" t="inlineStr">
        <is>
          <t>Nao</t>
        </is>
      </c>
      <c r="AB3391" s="111" t="inlineStr">
        <is>
          <t>NAO_COMPUTADO</t>
        </is>
      </c>
      <c r="AC3391" s="112" t="inlineStr">
        <is>
          <t>Estrutura Fase 1: sem impacto no VTA oficial</t>
        </is>
      </c>
    </row>
    <row r="3392" ht="25.5" customHeight="1" s="289">
      <c r="A3392" s="205" t="n"/>
      <c r="B3392" s="207" t="n"/>
      <c r="C3392" s="104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348" t="n"/>
      <c r="E3392" s="349">
        <f>IF(C3392="","",IFERROR(VLOOKUP(C3392,parametros!$A$11:$E$15,5,0),""))</f>
        <v/>
      </c>
      <c r="F3392" s="335">
        <f>IF(OR(D3392="",E3392=""),"",ROUND(D3392*E3392,2))</f>
        <v/>
      </c>
      <c r="G3392" s="106" t="n"/>
      <c r="H3392" s="350">
        <f>IF(G3392="Sim",IF(OR(F3392="",D3392="",L3392=""),"",IF(L3392="Sim",ROUND(F3392-D3392,2),0)),0)</f>
        <v/>
      </c>
      <c r="I3392" s="350">
        <f>IF(G3392="Sim",0,IF(OR(F3392="",L3392=""),"",F3392))</f>
        <v/>
      </c>
      <c r="J3392" s="350">
        <f>IF(G3392="Sim",0,IF(OR(F3392="",D3392="",L3392=""),"",IF(L3392="Sim",ROUND(F3392-D3392,2),0)))</f>
        <v/>
      </c>
      <c r="K3392" s="97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inlineStr">
        <is>
          <t>Nao</t>
        </is>
      </c>
      <c r="W3392" s="110" t="inlineStr">
        <is>
          <t>PC em analise</t>
        </is>
      </c>
      <c r="X3392" s="110" t="inlineStr">
        <is>
          <t>Pedido de Compra</t>
        </is>
      </c>
      <c r="Y3392" s="111" t="inlineStr">
        <is>
          <t>Impacto Potencial</t>
        </is>
      </c>
      <c r="Z3392" s="111" t="inlineStr">
        <is>
          <t>PC</t>
        </is>
      </c>
      <c r="AA3392" s="111" t="inlineStr">
        <is>
          <t>Nao</t>
        </is>
      </c>
      <c r="AB3392" s="111" t="inlineStr">
        <is>
          <t>NAO_COMPUTADO</t>
        </is>
      </c>
      <c r="AC3392" s="112" t="inlineStr">
        <is>
          <t>Estrutura Fase 1: sem impacto no VTA oficial</t>
        </is>
      </c>
    </row>
    <row r="3393" ht="25.5" customHeight="1" s="289">
      <c r="A3393" s="205" t="n"/>
      <c r="B3393" s="207" t="n"/>
      <c r="C3393" s="104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348" t="n"/>
      <c r="E3393" s="349">
        <f>IF(C3393="","",IFERROR(VLOOKUP(C3393,parametros!$A$11:$E$15,5,0),""))</f>
        <v/>
      </c>
      <c r="F3393" s="335">
        <f>IF(OR(D3393="",E3393=""),"",ROUND(D3393*E3393,2))</f>
        <v/>
      </c>
      <c r="G3393" s="106" t="n"/>
      <c r="H3393" s="350">
        <f>IF(G3393="Sim",IF(OR(F3393="",D3393="",L3393=""),"",IF(L3393="Sim",ROUND(F3393-D3393,2),0)),0)</f>
        <v/>
      </c>
      <c r="I3393" s="350">
        <f>IF(G3393="Sim",0,IF(OR(F3393="",L3393=""),"",F3393))</f>
        <v/>
      </c>
      <c r="J3393" s="350">
        <f>IF(G3393="Sim",0,IF(OR(F3393="",D3393="",L3393=""),"",IF(L3393="Sim",ROUND(F3393-D3393,2),0)))</f>
        <v/>
      </c>
      <c r="K3393" s="97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inlineStr">
        <is>
          <t>Nao</t>
        </is>
      </c>
      <c r="W3393" s="110" t="inlineStr">
        <is>
          <t>PC em analise</t>
        </is>
      </c>
      <c r="X3393" s="110" t="inlineStr">
        <is>
          <t>Pedido de Compra</t>
        </is>
      </c>
      <c r="Y3393" s="111" t="inlineStr">
        <is>
          <t>Impacto Potencial</t>
        </is>
      </c>
      <c r="Z3393" s="111" t="inlineStr">
        <is>
          <t>PC</t>
        </is>
      </c>
      <c r="AA3393" s="111" t="inlineStr">
        <is>
          <t>Nao</t>
        </is>
      </c>
      <c r="AB3393" s="111" t="inlineStr">
        <is>
          <t>NAO_COMPUTADO</t>
        </is>
      </c>
      <c r="AC3393" s="112" t="inlineStr">
        <is>
          <t>Estrutura Fase 1: sem impacto no VTA oficial</t>
        </is>
      </c>
    </row>
    <row r="3394" ht="25.5" customHeight="1" s="289">
      <c r="A3394" s="205" t="n"/>
      <c r="B3394" s="207" t="n"/>
      <c r="C3394" s="104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348" t="n"/>
      <c r="E3394" s="349">
        <f>IF(C3394="","",IFERROR(VLOOKUP(C3394,parametros!$A$11:$E$15,5,0),""))</f>
        <v/>
      </c>
      <c r="F3394" s="335">
        <f>IF(OR(D3394="",E3394=""),"",ROUND(D3394*E3394,2))</f>
        <v/>
      </c>
      <c r="G3394" s="106" t="n"/>
      <c r="H3394" s="350">
        <f>IF(G3394="Sim",IF(OR(F3394="",D3394="",L3394=""),"",IF(L3394="Sim",ROUND(F3394-D3394,2),0)),0)</f>
        <v/>
      </c>
      <c r="I3394" s="350">
        <f>IF(G3394="Sim",0,IF(OR(F3394="",L3394=""),"",F3394))</f>
        <v/>
      </c>
      <c r="J3394" s="350">
        <f>IF(G3394="Sim",0,IF(OR(F3394="",D3394="",L3394=""),"",IF(L3394="Sim",ROUND(F3394-D3394,2),0)))</f>
        <v/>
      </c>
      <c r="K3394" s="97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inlineStr">
        <is>
          <t>Nao</t>
        </is>
      </c>
      <c r="W3394" s="110" t="inlineStr">
        <is>
          <t>PC em analise</t>
        </is>
      </c>
      <c r="X3394" s="110" t="inlineStr">
        <is>
          <t>Pedido de Compra</t>
        </is>
      </c>
      <c r="Y3394" s="111" t="inlineStr">
        <is>
          <t>Impacto Potencial</t>
        </is>
      </c>
      <c r="Z3394" s="111" t="inlineStr">
        <is>
          <t>PC</t>
        </is>
      </c>
      <c r="AA3394" s="111" t="inlineStr">
        <is>
          <t>Nao</t>
        </is>
      </c>
      <c r="AB3394" s="111" t="inlineStr">
        <is>
          <t>NAO_COMPUTADO</t>
        </is>
      </c>
      <c r="AC3394" s="112" t="inlineStr">
        <is>
          <t>Estrutura Fase 1: sem impacto no VTA oficial</t>
        </is>
      </c>
    </row>
    <row r="3395" ht="25.5" customHeight="1" s="289">
      <c r="A3395" s="205" t="n"/>
      <c r="B3395" s="207" t="n"/>
      <c r="C3395" s="104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348" t="n"/>
      <c r="E3395" s="349">
        <f>IF(C3395="","",IFERROR(VLOOKUP(C3395,parametros!$A$11:$E$15,5,0),""))</f>
        <v/>
      </c>
      <c r="F3395" s="335">
        <f>IF(OR(D3395="",E3395=""),"",ROUND(D3395*E3395,2))</f>
        <v/>
      </c>
      <c r="G3395" s="106" t="n"/>
      <c r="H3395" s="350">
        <f>IF(G3395="Sim",IF(OR(F3395="",D3395="",L3395=""),"",IF(L3395="Sim",ROUND(F3395-D3395,2),0)),0)</f>
        <v/>
      </c>
      <c r="I3395" s="350">
        <f>IF(G3395="Sim",0,IF(OR(F3395="",L3395=""),"",F3395))</f>
        <v/>
      </c>
      <c r="J3395" s="350">
        <f>IF(G3395="Sim",0,IF(OR(F3395="",D3395="",L3395=""),"",IF(L3395="Sim",ROUND(F3395-D3395,2),0)))</f>
        <v/>
      </c>
      <c r="K3395" s="97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inlineStr">
        <is>
          <t>Nao</t>
        </is>
      </c>
      <c r="W3395" s="110" t="inlineStr">
        <is>
          <t>PC em analise</t>
        </is>
      </c>
      <c r="X3395" s="110" t="inlineStr">
        <is>
          <t>Pedido de Compra</t>
        </is>
      </c>
      <c r="Y3395" s="111" t="inlineStr">
        <is>
          <t>Impacto Potencial</t>
        </is>
      </c>
      <c r="Z3395" s="111" t="inlineStr">
        <is>
          <t>PC</t>
        </is>
      </c>
      <c r="AA3395" s="111" t="inlineStr">
        <is>
          <t>Nao</t>
        </is>
      </c>
      <c r="AB3395" s="111" t="inlineStr">
        <is>
          <t>NAO_COMPUTADO</t>
        </is>
      </c>
      <c r="AC3395" s="112" t="inlineStr">
        <is>
          <t>Estrutura Fase 1: sem impacto no VTA oficial</t>
        </is>
      </c>
    </row>
    <row r="3396" ht="25.5" customHeight="1" s="289">
      <c r="A3396" s="205" t="n"/>
      <c r="B3396" s="207" t="n"/>
      <c r="C3396" s="104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348" t="n"/>
      <c r="E3396" s="349">
        <f>IF(C3396="","",IFERROR(VLOOKUP(C3396,parametros!$A$11:$E$15,5,0),""))</f>
        <v/>
      </c>
      <c r="F3396" s="335">
        <f>IF(OR(D3396="",E3396=""),"",ROUND(D3396*E3396,2))</f>
        <v/>
      </c>
      <c r="G3396" s="106" t="n"/>
      <c r="H3396" s="350">
        <f>IF(G3396="Sim",IF(OR(F3396="",D3396="",L3396=""),"",IF(L3396="Sim",ROUND(F3396-D3396,2),0)),0)</f>
        <v/>
      </c>
      <c r="I3396" s="350">
        <f>IF(G3396="Sim",0,IF(OR(F3396="",L3396=""),"",F3396))</f>
        <v/>
      </c>
      <c r="J3396" s="350">
        <f>IF(G3396="Sim",0,IF(OR(F3396="",D3396="",L3396=""),"",IF(L3396="Sim",ROUND(F3396-D3396,2),0)))</f>
        <v/>
      </c>
      <c r="K3396" s="97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inlineStr">
        <is>
          <t>Nao</t>
        </is>
      </c>
      <c r="W3396" s="110" t="inlineStr">
        <is>
          <t>PC em analise</t>
        </is>
      </c>
      <c r="X3396" s="110" t="inlineStr">
        <is>
          <t>Pedido de Compra</t>
        </is>
      </c>
      <c r="Y3396" s="111" t="inlineStr">
        <is>
          <t>Impacto Potencial</t>
        </is>
      </c>
      <c r="Z3396" s="111" t="inlineStr">
        <is>
          <t>PC</t>
        </is>
      </c>
      <c r="AA3396" s="111" t="inlineStr">
        <is>
          <t>Nao</t>
        </is>
      </c>
      <c r="AB3396" s="111" t="inlineStr">
        <is>
          <t>NAO_COMPUTADO</t>
        </is>
      </c>
      <c r="AC3396" s="112" t="inlineStr">
        <is>
          <t>Estrutura Fase 1: sem impacto no VTA oficial</t>
        </is>
      </c>
    </row>
    <row r="3397" ht="25.5" customHeight="1" s="289">
      <c r="A3397" s="205" t="n"/>
      <c r="B3397" s="207" t="n"/>
      <c r="C3397" s="104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348" t="n"/>
      <c r="E3397" s="349">
        <f>IF(C3397="","",IFERROR(VLOOKUP(C3397,parametros!$A$11:$E$15,5,0),""))</f>
        <v/>
      </c>
      <c r="F3397" s="335">
        <f>IF(OR(D3397="",E3397=""),"",ROUND(D3397*E3397,2))</f>
        <v/>
      </c>
      <c r="G3397" s="106" t="n"/>
      <c r="H3397" s="350">
        <f>IF(G3397="Sim",IF(OR(F3397="",D3397="",L3397=""),"",IF(L3397="Sim",ROUND(F3397-D3397,2),0)),0)</f>
        <v/>
      </c>
      <c r="I3397" s="350">
        <f>IF(G3397="Sim",0,IF(OR(F3397="",L3397=""),"",F3397))</f>
        <v/>
      </c>
      <c r="J3397" s="350">
        <f>IF(G3397="Sim",0,IF(OR(F3397="",D3397="",L3397=""),"",IF(L3397="Sim",ROUND(F3397-D3397,2),0)))</f>
        <v/>
      </c>
      <c r="K3397" s="97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inlineStr">
        <is>
          <t>Nao</t>
        </is>
      </c>
      <c r="W3397" s="110" t="inlineStr">
        <is>
          <t>PC em analise</t>
        </is>
      </c>
      <c r="X3397" s="110" t="inlineStr">
        <is>
          <t>Pedido de Compra</t>
        </is>
      </c>
      <c r="Y3397" s="111" t="inlineStr">
        <is>
          <t>Impacto Potencial</t>
        </is>
      </c>
      <c r="Z3397" s="111" t="inlineStr">
        <is>
          <t>PC</t>
        </is>
      </c>
      <c r="AA3397" s="111" t="inlineStr">
        <is>
          <t>Nao</t>
        </is>
      </c>
      <c r="AB3397" s="111" t="inlineStr">
        <is>
          <t>NAO_COMPUTADO</t>
        </is>
      </c>
      <c r="AC3397" s="112" t="inlineStr">
        <is>
          <t>Estrutura Fase 1: sem impacto no VTA oficial</t>
        </is>
      </c>
    </row>
    <row r="3398" ht="25.5" customHeight="1" s="289">
      <c r="A3398" s="205" t="n"/>
      <c r="B3398" s="207" t="n"/>
      <c r="C3398" s="104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348" t="n"/>
      <c r="E3398" s="349">
        <f>IF(C3398="","",IFERROR(VLOOKUP(C3398,parametros!$A$11:$E$15,5,0),""))</f>
        <v/>
      </c>
      <c r="F3398" s="335">
        <f>IF(OR(D3398="",E3398=""),"",ROUND(D3398*E3398,2))</f>
        <v/>
      </c>
      <c r="G3398" s="106" t="n"/>
      <c r="H3398" s="350">
        <f>IF(G3398="Sim",IF(OR(F3398="",D3398="",L3398=""),"",IF(L3398="Sim",ROUND(F3398-D3398,2),0)),0)</f>
        <v/>
      </c>
      <c r="I3398" s="350">
        <f>IF(G3398="Sim",0,IF(OR(F3398="",L3398=""),"",F3398))</f>
        <v/>
      </c>
      <c r="J3398" s="350">
        <f>IF(G3398="Sim",0,IF(OR(F3398="",D3398="",L3398=""),"",IF(L3398="Sim",ROUND(F3398-D3398,2),0)))</f>
        <v/>
      </c>
      <c r="K3398" s="97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inlineStr">
        <is>
          <t>Nao</t>
        </is>
      </c>
      <c r="W3398" s="110" t="inlineStr">
        <is>
          <t>PC em analise</t>
        </is>
      </c>
      <c r="X3398" s="110" t="inlineStr">
        <is>
          <t>Pedido de Compra</t>
        </is>
      </c>
      <c r="Y3398" s="111" t="inlineStr">
        <is>
          <t>Impacto Potencial</t>
        </is>
      </c>
      <c r="Z3398" s="111" t="inlineStr">
        <is>
          <t>PC</t>
        </is>
      </c>
      <c r="AA3398" s="111" t="inlineStr">
        <is>
          <t>Nao</t>
        </is>
      </c>
      <c r="AB3398" s="111" t="inlineStr">
        <is>
          <t>NAO_COMPUTADO</t>
        </is>
      </c>
      <c r="AC3398" s="112" t="inlineStr">
        <is>
          <t>Estrutura Fase 1: sem impacto no VTA oficial</t>
        </is>
      </c>
    </row>
    <row r="3399" ht="25.5" customHeight="1" s="289">
      <c r="A3399" s="205" t="n"/>
      <c r="B3399" s="207" t="n"/>
      <c r="C3399" s="104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348" t="n"/>
      <c r="E3399" s="349">
        <f>IF(C3399="","",IFERROR(VLOOKUP(C3399,parametros!$A$11:$E$15,5,0),""))</f>
        <v/>
      </c>
      <c r="F3399" s="335">
        <f>IF(OR(D3399="",E3399=""),"",ROUND(D3399*E3399,2))</f>
        <v/>
      </c>
      <c r="G3399" s="106" t="n"/>
      <c r="H3399" s="350">
        <f>IF(G3399="Sim",IF(OR(F3399="",D3399="",L3399=""),"",IF(L3399="Sim",ROUND(F3399-D3399,2),0)),0)</f>
        <v/>
      </c>
      <c r="I3399" s="350">
        <f>IF(G3399="Sim",0,IF(OR(F3399="",L3399=""),"",F3399))</f>
        <v/>
      </c>
      <c r="J3399" s="350">
        <f>IF(G3399="Sim",0,IF(OR(F3399="",D3399="",L3399=""),"",IF(L3399="Sim",ROUND(F3399-D3399,2),0)))</f>
        <v/>
      </c>
      <c r="K3399" s="97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inlineStr">
        <is>
          <t>Nao</t>
        </is>
      </c>
      <c r="W3399" s="110" t="inlineStr">
        <is>
          <t>PC em analise</t>
        </is>
      </c>
      <c r="X3399" s="110" t="inlineStr">
        <is>
          <t>Pedido de Compra</t>
        </is>
      </c>
      <c r="Y3399" s="111" t="inlineStr">
        <is>
          <t>Impacto Potencial</t>
        </is>
      </c>
      <c r="Z3399" s="111" t="inlineStr">
        <is>
          <t>PC</t>
        </is>
      </c>
      <c r="AA3399" s="111" t="inlineStr">
        <is>
          <t>Nao</t>
        </is>
      </c>
      <c r="AB3399" s="111" t="inlineStr">
        <is>
          <t>NAO_COMPUTADO</t>
        </is>
      </c>
      <c r="AC3399" s="112" t="inlineStr">
        <is>
          <t>Estrutura Fase 1: sem impacto no VTA oficial</t>
        </is>
      </c>
    </row>
    <row r="3400" ht="25.5" customHeight="1" s="289">
      <c r="A3400" s="205" t="n"/>
      <c r="B3400" s="207" t="n"/>
      <c r="C3400" s="104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348" t="n"/>
      <c r="E3400" s="349">
        <f>IF(C3400="","",IFERROR(VLOOKUP(C3400,parametros!$A$11:$E$15,5,0),""))</f>
        <v/>
      </c>
      <c r="F3400" s="335">
        <f>IF(OR(D3400="",E3400=""),"",ROUND(D3400*E3400,2))</f>
        <v/>
      </c>
      <c r="G3400" s="106" t="n"/>
      <c r="H3400" s="350">
        <f>IF(G3400="Sim",IF(OR(F3400="",D3400="",L3400=""),"",IF(L3400="Sim",ROUND(F3400-D3400,2),0)),0)</f>
        <v/>
      </c>
      <c r="I3400" s="350">
        <f>IF(G3400="Sim",0,IF(OR(F3400="",L3400=""),"",F3400))</f>
        <v/>
      </c>
      <c r="J3400" s="350">
        <f>IF(G3400="Sim",0,IF(OR(F3400="",D3400="",L3400=""),"",IF(L3400="Sim",ROUND(F3400-D3400,2),0)))</f>
        <v/>
      </c>
      <c r="K3400" s="97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inlineStr">
        <is>
          <t>Nao</t>
        </is>
      </c>
      <c r="W3400" s="110" t="inlineStr">
        <is>
          <t>PC em analise</t>
        </is>
      </c>
      <c r="X3400" s="110" t="inlineStr">
        <is>
          <t>Pedido de Compra</t>
        </is>
      </c>
      <c r="Y3400" s="111" t="inlineStr">
        <is>
          <t>Impacto Potencial</t>
        </is>
      </c>
      <c r="Z3400" s="111" t="inlineStr">
        <is>
          <t>PC</t>
        </is>
      </c>
      <c r="AA3400" s="111" t="inlineStr">
        <is>
          <t>Nao</t>
        </is>
      </c>
      <c r="AB3400" s="111" t="inlineStr">
        <is>
          <t>NAO_COMPUTADO</t>
        </is>
      </c>
      <c r="AC3400" s="112" t="inlineStr">
        <is>
          <t>Estrutura Fase 1: sem impacto no VTA oficial</t>
        </is>
      </c>
    </row>
    <row r="3401" ht="25.5" customHeight="1" s="289">
      <c r="A3401" s="205" t="n"/>
      <c r="B3401" s="207" t="n"/>
      <c r="C3401" s="104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348" t="n"/>
      <c r="E3401" s="349">
        <f>IF(C3401="","",IFERROR(VLOOKUP(C3401,parametros!$A$11:$E$15,5,0),""))</f>
        <v/>
      </c>
      <c r="F3401" s="335">
        <f>IF(OR(D3401="",E3401=""),"",ROUND(D3401*E3401,2))</f>
        <v/>
      </c>
      <c r="G3401" s="106" t="n"/>
      <c r="H3401" s="350">
        <f>IF(G3401="Sim",IF(OR(F3401="",D3401="",L3401=""),"",IF(L3401="Sim",ROUND(F3401-D3401,2),0)),0)</f>
        <v/>
      </c>
      <c r="I3401" s="350">
        <f>IF(G3401="Sim",0,IF(OR(F3401="",L3401=""),"",F3401))</f>
        <v/>
      </c>
      <c r="J3401" s="350">
        <f>IF(G3401="Sim",0,IF(OR(F3401="",D3401="",L3401=""),"",IF(L3401="Sim",ROUND(F3401-D3401,2),0)))</f>
        <v/>
      </c>
      <c r="K3401" s="97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inlineStr">
        <is>
          <t>Nao</t>
        </is>
      </c>
      <c r="W3401" s="110" t="inlineStr">
        <is>
          <t>PC em analise</t>
        </is>
      </c>
      <c r="X3401" s="110" t="inlineStr">
        <is>
          <t>Pedido de Compra</t>
        </is>
      </c>
      <c r="Y3401" s="111" t="inlineStr">
        <is>
          <t>Impacto Potencial</t>
        </is>
      </c>
      <c r="Z3401" s="111" t="inlineStr">
        <is>
          <t>PC</t>
        </is>
      </c>
      <c r="AA3401" s="111" t="inlineStr">
        <is>
          <t>Nao</t>
        </is>
      </c>
      <c r="AB3401" s="111" t="inlineStr">
        <is>
          <t>NAO_COMPUTADO</t>
        </is>
      </c>
      <c r="AC3401" s="112" t="inlineStr">
        <is>
          <t>Estrutura Fase 1: sem impacto no VTA oficial</t>
        </is>
      </c>
    </row>
    <row r="3402" ht="25.5" customHeight="1" s="289">
      <c r="A3402" s="205" t="n"/>
      <c r="B3402" s="207" t="n"/>
      <c r="C3402" s="104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348" t="n"/>
      <c r="E3402" s="349">
        <f>IF(C3402="","",IFERROR(VLOOKUP(C3402,parametros!$A$11:$E$15,5,0),""))</f>
        <v/>
      </c>
      <c r="F3402" s="335">
        <f>IF(OR(D3402="",E3402=""),"",ROUND(D3402*E3402,2))</f>
        <v/>
      </c>
      <c r="G3402" s="106" t="n"/>
      <c r="H3402" s="350">
        <f>IF(G3402="Sim",IF(OR(F3402="",D3402="",L3402=""),"",IF(L3402="Sim",ROUND(F3402-D3402,2),0)),0)</f>
        <v/>
      </c>
      <c r="I3402" s="350">
        <f>IF(G3402="Sim",0,IF(OR(F3402="",L3402=""),"",F3402))</f>
        <v/>
      </c>
      <c r="J3402" s="350">
        <f>IF(G3402="Sim",0,IF(OR(F3402="",D3402="",L3402=""),"",IF(L3402="Sim",ROUND(F3402-D3402,2),0)))</f>
        <v/>
      </c>
      <c r="K3402" s="97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inlineStr">
        <is>
          <t>Nao</t>
        </is>
      </c>
      <c r="W3402" s="110" t="inlineStr">
        <is>
          <t>PC em analise</t>
        </is>
      </c>
      <c r="X3402" s="110" t="inlineStr">
        <is>
          <t>Pedido de Compra</t>
        </is>
      </c>
      <c r="Y3402" s="111" t="inlineStr">
        <is>
          <t>Impacto Potencial</t>
        </is>
      </c>
      <c r="Z3402" s="111" t="inlineStr">
        <is>
          <t>PC</t>
        </is>
      </c>
      <c r="AA3402" s="111" t="inlineStr">
        <is>
          <t>Nao</t>
        </is>
      </c>
      <c r="AB3402" s="111" t="inlineStr">
        <is>
          <t>NAO_COMPUTADO</t>
        </is>
      </c>
      <c r="AC3402" s="112" t="inlineStr">
        <is>
          <t>Estrutura Fase 1: sem impacto no VTA oficial</t>
        </is>
      </c>
    </row>
    <row r="3403" ht="25.5" customHeight="1" s="289">
      <c r="A3403" s="205" t="n"/>
      <c r="B3403" s="207" t="n"/>
      <c r="C3403" s="104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348" t="n"/>
      <c r="E3403" s="349">
        <f>IF(C3403="","",IFERROR(VLOOKUP(C3403,parametros!$A$11:$E$15,5,0),""))</f>
        <v/>
      </c>
      <c r="F3403" s="335">
        <f>IF(OR(D3403="",E3403=""),"",ROUND(D3403*E3403,2))</f>
        <v/>
      </c>
      <c r="G3403" s="106" t="n"/>
      <c r="H3403" s="350">
        <f>IF(G3403="Sim",IF(OR(F3403="",D3403="",L3403=""),"",IF(L3403="Sim",ROUND(F3403-D3403,2),0)),0)</f>
        <v/>
      </c>
      <c r="I3403" s="350">
        <f>IF(G3403="Sim",0,IF(OR(F3403="",L3403=""),"",F3403))</f>
        <v/>
      </c>
      <c r="J3403" s="350">
        <f>IF(G3403="Sim",0,IF(OR(F3403="",D3403="",L3403=""),"",IF(L3403="Sim",ROUND(F3403-D3403,2),0)))</f>
        <v/>
      </c>
      <c r="K3403" s="97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inlineStr">
        <is>
          <t>Nao</t>
        </is>
      </c>
      <c r="W3403" s="110" t="inlineStr">
        <is>
          <t>PC em analise</t>
        </is>
      </c>
      <c r="X3403" s="110" t="inlineStr">
        <is>
          <t>Pedido de Compra</t>
        </is>
      </c>
      <c r="Y3403" s="111" t="inlineStr">
        <is>
          <t>Impacto Potencial</t>
        </is>
      </c>
      <c r="Z3403" s="111" t="inlineStr">
        <is>
          <t>PC</t>
        </is>
      </c>
      <c r="AA3403" s="111" t="inlineStr">
        <is>
          <t>Nao</t>
        </is>
      </c>
      <c r="AB3403" s="111" t="inlineStr">
        <is>
          <t>NAO_COMPUTADO</t>
        </is>
      </c>
      <c r="AC3403" s="112" t="inlineStr">
        <is>
          <t>Estrutura Fase 1: sem impacto no VTA oficial</t>
        </is>
      </c>
    </row>
    <row r="3404" ht="25.5" customHeight="1" s="289">
      <c r="A3404" s="205" t="n"/>
      <c r="B3404" s="207" t="n"/>
      <c r="C3404" s="104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348" t="n"/>
      <c r="E3404" s="349">
        <f>IF(C3404="","",IFERROR(VLOOKUP(C3404,parametros!$A$11:$E$15,5,0),""))</f>
        <v/>
      </c>
      <c r="F3404" s="335">
        <f>IF(OR(D3404="",E3404=""),"",ROUND(D3404*E3404,2))</f>
        <v/>
      </c>
      <c r="G3404" s="106" t="n"/>
      <c r="H3404" s="350">
        <f>IF(G3404="Sim",IF(OR(F3404="",D3404="",L3404=""),"",IF(L3404="Sim",ROUND(F3404-D3404,2),0)),0)</f>
        <v/>
      </c>
      <c r="I3404" s="350">
        <f>IF(G3404="Sim",0,IF(OR(F3404="",L3404=""),"",F3404))</f>
        <v/>
      </c>
      <c r="J3404" s="350">
        <f>IF(G3404="Sim",0,IF(OR(F3404="",D3404="",L3404=""),"",IF(L3404="Sim",ROUND(F3404-D3404,2),0)))</f>
        <v/>
      </c>
      <c r="K3404" s="97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inlineStr">
        <is>
          <t>Nao</t>
        </is>
      </c>
      <c r="W3404" s="110" t="inlineStr">
        <is>
          <t>PC em analise</t>
        </is>
      </c>
      <c r="X3404" s="110" t="inlineStr">
        <is>
          <t>Pedido de Compra</t>
        </is>
      </c>
      <c r="Y3404" s="111" t="inlineStr">
        <is>
          <t>Impacto Potencial</t>
        </is>
      </c>
      <c r="Z3404" s="111" t="inlineStr">
        <is>
          <t>PC</t>
        </is>
      </c>
      <c r="AA3404" s="111" t="inlineStr">
        <is>
          <t>Nao</t>
        </is>
      </c>
      <c r="AB3404" s="111" t="inlineStr">
        <is>
          <t>NAO_COMPUTADO</t>
        </is>
      </c>
      <c r="AC3404" s="112" t="inlineStr">
        <is>
          <t>Estrutura Fase 1: sem impacto no VTA oficial</t>
        </is>
      </c>
    </row>
    <row r="3405" ht="25.5" customHeight="1" s="289">
      <c r="A3405" s="205" t="n"/>
      <c r="B3405" s="207" t="n"/>
      <c r="C3405" s="104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348" t="n"/>
      <c r="E3405" s="349">
        <f>IF(C3405="","",IFERROR(VLOOKUP(C3405,parametros!$A$11:$E$15,5,0),""))</f>
        <v/>
      </c>
      <c r="F3405" s="335">
        <f>IF(OR(D3405="",E3405=""),"",ROUND(D3405*E3405,2))</f>
        <v/>
      </c>
      <c r="G3405" s="106" t="n"/>
      <c r="H3405" s="350">
        <f>IF(G3405="Sim",IF(OR(F3405="",D3405="",L3405=""),"",IF(L3405="Sim",ROUND(F3405-D3405,2),0)),0)</f>
        <v/>
      </c>
      <c r="I3405" s="350">
        <f>IF(G3405="Sim",0,IF(OR(F3405="",L3405=""),"",F3405))</f>
        <v/>
      </c>
      <c r="J3405" s="350">
        <f>IF(G3405="Sim",0,IF(OR(F3405="",D3405="",L3405=""),"",IF(L3405="Sim",ROUND(F3405-D3405,2),0)))</f>
        <v/>
      </c>
      <c r="K3405" s="97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inlineStr">
        <is>
          <t>Nao</t>
        </is>
      </c>
      <c r="W3405" s="110" t="inlineStr">
        <is>
          <t>PC em analise</t>
        </is>
      </c>
      <c r="X3405" s="110" t="inlineStr">
        <is>
          <t>Pedido de Compra</t>
        </is>
      </c>
      <c r="Y3405" s="111" t="inlineStr">
        <is>
          <t>Impacto Potencial</t>
        </is>
      </c>
      <c r="Z3405" s="111" t="inlineStr">
        <is>
          <t>PC</t>
        </is>
      </c>
      <c r="AA3405" s="111" t="inlineStr">
        <is>
          <t>Nao</t>
        </is>
      </c>
      <c r="AB3405" s="111" t="inlineStr">
        <is>
          <t>NAO_COMPUTADO</t>
        </is>
      </c>
      <c r="AC3405" s="112" t="inlineStr">
        <is>
          <t>Estrutura Fase 1: sem impacto no VTA oficial</t>
        </is>
      </c>
    </row>
    <row r="3406" ht="25.5" customHeight="1" s="289">
      <c r="A3406" s="205" t="n"/>
      <c r="B3406" s="207" t="n"/>
      <c r="C3406" s="104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348" t="n"/>
      <c r="E3406" s="349">
        <f>IF(C3406="","",IFERROR(VLOOKUP(C3406,parametros!$A$11:$E$15,5,0),""))</f>
        <v/>
      </c>
      <c r="F3406" s="335">
        <f>IF(OR(D3406="",E3406=""),"",ROUND(D3406*E3406,2))</f>
        <v/>
      </c>
      <c r="G3406" s="106" t="n"/>
      <c r="H3406" s="350">
        <f>IF(G3406="Sim",IF(OR(F3406="",D3406="",L3406=""),"",IF(L3406="Sim",ROUND(F3406-D3406,2),0)),0)</f>
        <v/>
      </c>
      <c r="I3406" s="350">
        <f>IF(G3406="Sim",0,IF(OR(F3406="",L3406=""),"",F3406))</f>
        <v/>
      </c>
      <c r="J3406" s="350">
        <f>IF(G3406="Sim",0,IF(OR(F3406="",D3406="",L3406=""),"",IF(L3406="Sim",ROUND(F3406-D3406,2),0)))</f>
        <v/>
      </c>
      <c r="K3406" s="97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inlineStr">
        <is>
          <t>Nao</t>
        </is>
      </c>
      <c r="W3406" s="110" t="inlineStr">
        <is>
          <t>PC em analise</t>
        </is>
      </c>
      <c r="X3406" s="110" t="inlineStr">
        <is>
          <t>Pedido de Compra</t>
        </is>
      </c>
      <c r="Y3406" s="111" t="inlineStr">
        <is>
          <t>Impacto Potencial</t>
        </is>
      </c>
      <c r="Z3406" s="111" t="inlineStr">
        <is>
          <t>PC</t>
        </is>
      </c>
      <c r="AA3406" s="111" t="inlineStr">
        <is>
          <t>Nao</t>
        </is>
      </c>
      <c r="AB3406" s="111" t="inlineStr">
        <is>
          <t>NAO_COMPUTADO</t>
        </is>
      </c>
      <c r="AC3406" s="112" t="inlineStr">
        <is>
          <t>Estrutura Fase 1: sem impacto no VTA oficial</t>
        </is>
      </c>
    </row>
    <row r="3407" ht="25.5" customHeight="1" s="289">
      <c r="A3407" s="205" t="n"/>
      <c r="B3407" s="207" t="n"/>
      <c r="C3407" s="104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348" t="n"/>
      <c r="E3407" s="349">
        <f>IF(C3407="","",IFERROR(VLOOKUP(C3407,parametros!$A$11:$E$15,5,0),""))</f>
        <v/>
      </c>
      <c r="F3407" s="335">
        <f>IF(OR(D3407="",E3407=""),"",ROUND(D3407*E3407,2))</f>
        <v/>
      </c>
      <c r="G3407" s="106" t="n"/>
      <c r="H3407" s="350">
        <f>IF(G3407="Sim",IF(OR(F3407="",D3407="",L3407=""),"",IF(L3407="Sim",ROUND(F3407-D3407,2),0)),0)</f>
        <v/>
      </c>
      <c r="I3407" s="350">
        <f>IF(G3407="Sim",0,IF(OR(F3407="",L3407=""),"",F3407))</f>
        <v/>
      </c>
      <c r="J3407" s="350">
        <f>IF(G3407="Sim",0,IF(OR(F3407="",D3407="",L3407=""),"",IF(L3407="Sim",ROUND(F3407-D3407,2),0)))</f>
        <v/>
      </c>
      <c r="K3407" s="97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inlineStr">
        <is>
          <t>Nao</t>
        </is>
      </c>
      <c r="W3407" s="110" t="inlineStr">
        <is>
          <t>PC em analise</t>
        </is>
      </c>
      <c r="X3407" s="110" t="inlineStr">
        <is>
          <t>Pedido de Compra</t>
        </is>
      </c>
      <c r="Y3407" s="111" t="inlineStr">
        <is>
          <t>Impacto Potencial</t>
        </is>
      </c>
      <c r="Z3407" s="111" t="inlineStr">
        <is>
          <t>PC</t>
        </is>
      </c>
      <c r="AA3407" s="111" t="inlineStr">
        <is>
          <t>Nao</t>
        </is>
      </c>
      <c r="AB3407" s="111" t="inlineStr">
        <is>
          <t>NAO_COMPUTADO</t>
        </is>
      </c>
      <c r="AC3407" s="112" t="inlineStr">
        <is>
          <t>Estrutura Fase 1: sem impacto no VTA oficial</t>
        </is>
      </c>
    </row>
    <row r="3408" ht="25.5" customHeight="1" s="289">
      <c r="A3408" s="205" t="n"/>
      <c r="B3408" s="207" t="n"/>
      <c r="C3408" s="104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348" t="n"/>
      <c r="E3408" s="349">
        <f>IF(C3408="","",IFERROR(VLOOKUP(C3408,parametros!$A$11:$E$15,5,0),""))</f>
        <v/>
      </c>
      <c r="F3408" s="335">
        <f>IF(OR(D3408="",E3408=""),"",ROUND(D3408*E3408,2))</f>
        <v/>
      </c>
      <c r="G3408" s="106" t="n"/>
      <c r="H3408" s="350">
        <f>IF(G3408="Sim",IF(OR(F3408="",D3408="",L3408=""),"",IF(L3408="Sim",ROUND(F3408-D3408,2),0)),0)</f>
        <v/>
      </c>
      <c r="I3408" s="350">
        <f>IF(G3408="Sim",0,IF(OR(F3408="",L3408=""),"",F3408))</f>
        <v/>
      </c>
      <c r="J3408" s="350">
        <f>IF(G3408="Sim",0,IF(OR(F3408="",D3408="",L3408=""),"",IF(L3408="Sim",ROUND(F3408-D3408,2),0)))</f>
        <v/>
      </c>
      <c r="K3408" s="97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inlineStr">
        <is>
          <t>Nao</t>
        </is>
      </c>
      <c r="W3408" s="110" t="inlineStr">
        <is>
          <t>PC em analise</t>
        </is>
      </c>
      <c r="X3408" s="110" t="inlineStr">
        <is>
          <t>Pedido de Compra</t>
        </is>
      </c>
      <c r="Y3408" s="111" t="inlineStr">
        <is>
          <t>Impacto Potencial</t>
        </is>
      </c>
      <c r="Z3408" s="111" t="inlineStr">
        <is>
          <t>PC</t>
        </is>
      </c>
      <c r="AA3408" s="111" t="inlineStr">
        <is>
          <t>Nao</t>
        </is>
      </c>
      <c r="AB3408" s="111" t="inlineStr">
        <is>
          <t>NAO_COMPUTADO</t>
        </is>
      </c>
      <c r="AC3408" s="112" t="inlineStr">
        <is>
          <t>Estrutura Fase 1: sem impacto no VTA oficial</t>
        </is>
      </c>
    </row>
    <row r="3409" ht="25.5" customHeight="1" s="289">
      <c r="A3409" s="205" t="n"/>
      <c r="B3409" s="207" t="n"/>
      <c r="C3409" s="104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348" t="n"/>
      <c r="E3409" s="349">
        <f>IF(C3409="","",IFERROR(VLOOKUP(C3409,parametros!$A$11:$E$15,5,0),""))</f>
        <v/>
      </c>
      <c r="F3409" s="335">
        <f>IF(OR(D3409="",E3409=""),"",ROUND(D3409*E3409,2))</f>
        <v/>
      </c>
      <c r="G3409" s="106" t="n"/>
      <c r="H3409" s="350">
        <f>IF(G3409="Sim",IF(OR(F3409="",D3409="",L3409=""),"",IF(L3409="Sim",ROUND(F3409-D3409,2),0)),0)</f>
        <v/>
      </c>
      <c r="I3409" s="350">
        <f>IF(G3409="Sim",0,IF(OR(F3409="",L3409=""),"",F3409))</f>
        <v/>
      </c>
      <c r="J3409" s="350">
        <f>IF(G3409="Sim",0,IF(OR(F3409="",D3409="",L3409=""),"",IF(L3409="Sim",ROUND(F3409-D3409,2),0)))</f>
        <v/>
      </c>
      <c r="K3409" s="97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inlineStr">
        <is>
          <t>Nao</t>
        </is>
      </c>
      <c r="W3409" s="110" t="inlineStr">
        <is>
          <t>PC em analise</t>
        </is>
      </c>
      <c r="X3409" s="110" t="inlineStr">
        <is>
          <t>Pedido de Compra</t>
        </is>
      </c>
      <c r="Y3409" s="111" t="inlineStr">
        <is>
          <t>Impacto Potencial</t>
        </is>
      </c>
      <c r="Z3409" s="111" t="inlineStr">
        <is>
          <t>PC</t>
        </is>
      </c>
      <c r="AA3409" s="111" t="inlineStr">
        <is>
          <t>Nao</t>
        </is>
      </c>
      <c r="AB3409" s="111" t="inlineStr">
        <is>
          <t>NAO_COMPUTADO</t>
        </is>
      </c>
      <c r="AC3409" s="112" t="inlineStr">
        <is>
          <t>Estrutura Fase 1: sem impacto no VTA oficial</t>
        </is>
      </c>
    </row>
    <row r="3410" ht="25.5" customHeight="1" s="289">
      <c r="A3410" s="205" t="n"/>
      <c r="B3410" s="207" t="n"/>
      <c r="C3410" s="104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348" t="n"/>
      <c r="E3410" s="349">
        <f>IF(C3410="","",IFERROR(VLOOKUP(C3410,parametros!$A$11:$E$15,5,0),""))</f>
        <v/>
      </c>
      <c r="F3410" s="335">
        <f>IF(OR(D3410="",E3410=""),"",ROUND(D3410*E3410,2))</f>
        <v/>
      </c>
      <c r="G3410" s="106" t="n"/>
      <c r="H3410" s="350">
        <f>IF(G3410="Sim",IF(OR(F3410="",D3410="",L3410=""),"",IF(L3410="Sim",ROUND(F3410-D3410,2),0)),0)</f>
        <v/>
      </c>
      <c r="I3410" s="350">
        <f>IF(G3410="Sim",0,IF(OR(F3410="",L3410=""),"",F3410))</f>
        <v/>
      </c>
      <c r="J3410" s="350">
        <f>IF(G3410="Sim",0,IF(OR(F3410="",D3410="",L3410=""),"",IF(L3410="Sim",ROUND(F3410-D3410,2),0)))</f>
        <v/>
      </c>
      <c r="K3410" s="97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inlineStr">
        <is>
          <t>Nao</t>
        </is>
      </c>
      <c r="W3410" s="110" t="inlineStr">
        <is>
          <t>PC em analise</t>
        </is>
      </c>
      <c r="X3410" s="110" t="inlineStr">
        <is>
          <t>Pedido de Compra</t>
        </is>
      </c>
      <c r="Y3410" s="111" t="inlineStr">
        <is>
          <t>Impacto Potencial</t>
        </is>
      </c>
      <c r="Z3410" s="111" t="inlineStr">
        <is>
          <t>PC</t>
        </is>
      </c>
      <c r="AA3410" s="111" t="inlineStr">
        <is>
          <t>Nao</t>
        </is>
      </c>
      <c r="AB3410" s="111" t="inlineStr">
        <is>
          <t>NAO_COMPUTADO</t>
        </is>
      </c>
      <c r="AC3410" s="112" t="inlineStr">
        <is>
          <t>Estrutura Fase 1: sem impacto no VTA oficial</t>
        </is>
      </c>
    </row>
    <row r="3411" ht="25.5" customHeight="1" s="289">
      <c r="A3411" s="205" t="n"/>
      <c r="B3411" s="207" t="n"/>
      <c r="C3411" s="104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348" t="n"/>
      <c r="E3411" s="349">
        <f>IF(C3411="","",IFERROR(VLOOKUP(C3411,parametros!$A$11:$E$15,5,0),""))</f>
        <v/>
      </c>
      <c r="F3411" s="335">
        <f>IF(OR(D3411="",E3411=""),"",ROUND(D3411*E3411,2))</f>
        <v/>
      </c>
      <c r="G3411" s="106" t="n"/>
      <c r="H3411" s="350">
        <f>IF(G3411="Sim",IF(OR(F3411="",D3411="",L3411=""),"",IF(L3411="Sim",ROUND(F3411-D3411,2),0)),0)</f>
        <v/>
      </c>
      <c r="I3411" s="350">
        <f>IF(G3411="Sim",0,IF(OR(F3411="",L3411=""),"",F3411))</f>
        <v/>
      </c>
      <c r="J3411" s="350">
        <f>IF(G3411="Sim",0,IF(OR(F3411="",D3411="",L3411=""),"",IF(L3411="Sim",ROUND(F3411-D3411,2),0)))</f>
        <v/>
      </c>
      <c r="K3411" s="97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inlineStr">
        <is>
          <t>Nao</t>
        </is>
      </c>
      <c r="W3411" s="110" t="inlineStr">
        <is>
          <t>PC em analise</t>
        </is>
      </c>
      <c r="X3411" s="110" t="inlineStr">
        <is>
          <t>Pedido de Compra</t>
        </is>
      </c>
      <c r="Y3411" s="111" t="inlineStr">
        <is>
          <t>Impacto Potencial</t>
        </is>
      </c>
      <c r="Z3411" s="111" t="inlineStr">
        <is>
          <t>PC</t>
        </is>
      </c>
      <c r="AA3411" s="111" t="inlineStr">
        <is>
          <t>Nao</t>
        </is>
      </c>
      <c r="AB3411" s="111" t="inlineStr">
        <is>
          <t>NAO_COMPUTADO</t>
        </is>
      </c>
      <c r="AC3411" s="112" t="inlineStr">
        <is>
          <t>Estrutura Fase 1: sem impacto no VTA oficial</t>
        </is>
      </c>
    </row>
    <row r="3412" ht="25.5" customHeight="1" s="289">
      <c r="A3412" s="205" t="n"/>
      <c r="B3412" s="207" t="n"/>
      <c r="C3412" s="104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348" t="n"/>
      <c r="E3412" s="349">
        <f>IF(C3412="","",IFERROR(VLOOKUP(C3412,parametros!$A$11:$E$15,5,0),""))</f>
        <v/>
      </c>
      <c r="F3412" s="335">
        <f>IF(OR(D3412="",E3412=""),"",ROUND(D3412*E3412,2))</f>
        <v/>
      </c>
      <c r="G3412" s="106" t="n"/>
      <c r="H3412" s="350">
        <f>IF(G3412="Sim",IF(OR(F3412="",D3412="",L3412=""),"",IF(L3412="Sim",ROUND(F3412-D3412,2),0)),0)</f>
        <v/>
      </c>
      <c r="I3412" s="350">
        <f>IF(G3412="Sim",0,IF(OR(F3412="",L3412=""),"",F3412))</f>
        <v/>
      </c>
      <c r="J3412" s="350">
        <f>IF(G3412="Sim",0,IF(OR(F3412="",D3412="",L3412=""),"",IF(L3412="Sim",ROUND(F3412-D3412,2),0)))</f>
        <v/>
      </c>
      <c r="K3412" s="97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inlineStr">
        <is>
          <t>Nao</t>
        </is>
      </c>
      <c r="W3412" s="110" t="inlineStr">
        <is>
          <t>PC em analise</t>
        </is>
      </c>
      <c r="X3412" s="110" t="inlineStr">
        <is>
          <t>Pedido de Compra</t>
        </is>
      </c>
      <c r="Y3412" s="111" t="inlineStr">
        <is>
          <t>Impacto Potencial</t>
        </is>
      </c>
      <c r="Z3412" s="111" t="inlineStr">
        <is>
          <t>PC</t>
        </is>
      </c>
      <c r="AA3412" s="111" t="inlineStr">
        <is>
          <t>Nao</t>
        </is>
      </c>
      <c r="AB3412" s="111" t="inlineStr">
        <is>
          <t>NAO_COMPUTADO</t>
        </is>
      </c>
      <c r="AC3412" s="112" t="inlineStr">
        <is>
          <t>Estrutura Fase 1: sem impacto no VTA oficial</t>
        </is>
      </c>
    </row>
    <row r="3413" ht="25.5" customHeight="1" s="289">
      <c r="A3413" s="205" t="n"/>
      <c r="B3413" s="207" t="n"/>
      <c r="C3413" s="104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348" t="n"/>
      <c r="E3413" s="349">
        <f>IF(C3413="","",IFERROR(VLOOKUP(C3413,parametros!$A$11:$E$15,5,0),""))</f>
        <v/>
      </c>
      <c r="F3413" s="335">
        <f>IF(OR(D3413="",E3413=""),"",ROUND(D3413*E3413,2))</f>
        <v/>
      </c>
      <c r="G3413" s="106" t="n"/>
      <c r="H3413" s="350">
        <f>IF(G3413="Sim",IF(OR(F3413="",D3413="",L3413=""),"",IF(L3413="Sim",ROUND(F3413-D3413,2),0)),0)</f>
        <v/>
      </c>
      <c r="I3413" s="350">
        <f>IF(G3413="Sim",0,IF(OR(F3413="",L3413=""),"",F3413))</f>
        <v/>
      </c>
      <c r="J3413" s="350">
        <f>IF(G3413="Sim",0,IF(OR(F3413="",D3413="",L3413=""),"",IF(L3413="Sim",ROUND(F3413-D3413,2),0)))</f>
        <v/>
      </c>
      <c r="K3413" s="97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inlineStr">
        <is>
          <t>Nao</t>
        </is>
      </c>
      <c r="W3413" s="110" t="inlineStr">
        <is>
          <t>PC em analise</t>
        </is>
      </c>
      <c r="X3413" s="110" t="inlineStr">
        <is>
          <t>Pedido de Compra</t>
        </is>
      </c>
      <c r="Y3413" s="111" t="inlineStr">
        <is>
          <t>Impacto Potencial</t>
        </is>
      </c>
      <c r="Z3413" s="111" t="inlineStr">
        <is>
          <t>PC</t>
        </is>
      </c>
      <c r="AA3413" s="111" t="inlineStr">
        <is>
          <t>Nao</t>
        </is>
      </c>
      <c r="AB3413" s="111" t="inlineStr">
        <is>
          <t>NAO_COMPUTADO</t>
        </is>
      </c>
      <c r="AC3413" s="112" t="inlineStr">
        <is>
          <t>Estrutura Fase 1: sem impacto no VTA oficial</t>
        </is>
      </c>
    </row>
    <row r="3414" ht="25.5" customHeight="1" s="289">
      <c r="A3414" s="205" t="n"/>
      <c r="B3414" s="207" t="n"/>
      <c r="C3414" s="104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348" t="n"/>
      <c r="E3414" s="349">
        <f>IF(C3414="","",IFERROR(VLOOKUP(C3414,parametros!$A$11:$E$15,5,0),""))</f>
        <v/>
      </c>
      <c r="F3414" s="335">
        <f>IF(OR(D3414="",E3414=""),"",ROUND(D3414*E3414,2))</f>
        <v/>
      </c>
      <c r="G3414" s="106" t="n"/>
      <c r="H3414" s="350">
        <f>IF(G3414="Sim",IF(OR(F3414="",D3414="",L3414=""),"",IF(L3414="Sim",ROUND(F3414-D3414,2),0)),0)</f>
        <v/>
      </c>
      <c r="I3414" s="350">
        <f>IF(G3414="Sim",0,IF(OR(F3414="",L3414=""),"",F3414))</f>
        <v/>
      </c>
      <c r="J3414" s="350">
        <f>IF(G3414="Sim",0,IF(OR(F3414="",D3414="",L3414=""),"",IF(L3414="Sim",ROUND(F3414-D3414,2),0)))</f>
        <v/>
      </c>
      <c r="K3414" s="97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inlineStr">
        <is>
          <t>Nao</t>
        </is>
      </c>
      <c r="W3414" s="110" t="inlineStr">
        <is>
          <t>PC em analise</t>
        </is>
      </c>
      <c r="X3414" s="110" t="inlineStr">
        <is>
          <t>Pedido de Compra</t>
        </is>
      </c>
      <c r="Y3414" s="111" t="inlineStr">
        <is>
          <t>Impacto Potencial</t>
        </is>
      </c>
      <c r="Z3414" s="111" t="inlineStr">
        <is>
          <t>PC</t>
        </is>
      </c>
      <c r="AA3414" s="111" t="inlineStr">
        <is>
          <t>Nao</t>
        </is>
      </c>
      <c r="AB3414" s="111" t="inlineStr">
        <is>
          <t>NAO_COMPUTADO</t>
        </is>
      </c>
      <c r="AC3414" s="112" t="inlineStr">
        <is>
          <t>Estrutura Fase 1: sem impacto no VTA oficial</t>
        </is>
      </c>
    </row>
    <row r="3415" ht="25.5" customHeight="1" s="289">
      <c r="A3415" s="205" t="n"/>
      <c r="B3415" s="207" t="n"/>
      <c r="C3415" s="104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348" t="n"/>
      <c r="E3415" s="349">
        <f>IF(C3415="","",IFERROR(VLOOKUP(C3415,parametros!$A$11:$E$15,5,0),""))</f>
        <v/>
      </c>
      <c r="F3415" s="335">
        <f>IF(OR(D3415="",E3415=""),"",ROUND(D3415*E3415,2))</f>
        <v/>
      </c>
      <c r="G3415" s="106" t="n"/>
      <c r="H3415" s="350">
        <f>IF(G3415="Sim",IF(OR(F3415="",D3415="",L3415=""),"",IF(L3415="Sim",ROUND(F3415-D3415,2),0)),0)</f>
        <v/>
      </c>
      <c r="I3415" s="350">
        <f>IF(G3415="Sim",0,IF(OR(F3415="",L3415=""),"",F3415))</f>
        <v/>
      </c>
      <c r="J3415" s="350">
        <f>IF(G3415="Sim",0,IF(OR(F3415="",D3415="",L3415=""),"",IF(L3415="Sim",ROUND(F3415-D3415,2),0)))</f>
        <v/>
      </c>
      <c r="K3415" s="97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inlineStr">
        <is>
          <t>Nao</t>
        </is>
      </c>
      <c r="W3415" s="110" t="inlineStr">
        <is>
          <t>PC em analise</t>
        </is>
      </c>
      <c r="X3415" s="110" t="inlineStr">
        <is>
          <t>Pedido de Compra</t>
        </is>
      </c>
      <c r="Y3415" s="111" t="inlineStr">
        <is>
          <t>Impacto Potencial</t>
        </is>
      </c>
      <c r="Z3415" s="111" t="inlineStr">
        <is>
          <t>PC</t>
        </is>
      </c>
      <c r="AA3415" s="111" t="inlineStr">
        <is>
          <t>Nao</t>
        </is>
      </c>
      <c r="AB3415" s="111" t="inlineStr">
        <is>
          <t>NAO_COMPUTADO</t>
        </is>
      </c>
      <c r="AC3415" s="112" t="inlineStr">
        <is>
          <t>Estrutura Fase 1: sem impacto no VTA oficial</t>
        </is>
      </c>
    </row>
    <row r="3416" ht="25.5" customHeight="1" s="289">
      <c r="A3416" s="205" t="n"/>
      <c r="B3416" s="207" t="n"/>
      <c r="C3416" s="104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348" t="n"/>
      <c r="E3416" s="349">
        <f>IF(C3416="","",IFERROR(VLOOKUP(C3416,parametros!$A$11:$E$15,5,0),""))</f>
        <v/>
      </c>
      <c r="F3416" s="335">
        <f>IF(OR(D3416="",E3416=""),"",ROUND(D3416*E3416,2))</f>
        <v/>
      </c>
      <c r="G3416" s="106" t="n"/>
      <c r="H3416" s="350">
        <f>IF(G3416="Sim",IF(OR(F3416="",D3416="",L3416=""),"",IF(L3416="Sim",ROUND(F3416-D3416,2),0)),0)</f>
        <v/>
      </c>
      <c r="I3416" s="350">
        <f>IF(G3416="Sim",0,IF(OR(F3416="",L3416=""),"",F3416))</f>
        <v/>
      </c>
      <c r="J3416" s="350">
        <f>IF(G3416="Sim",0,IF(OR(F3416="",D3416="",L3416=""),"",IF(L3416="Sim",ROUND(F3416-D3416,2),0)))</f>
        <v/>
      </c>
      <c r="K3416" s="97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inlineStr">
        <is>
          <t>Nao</t>
        </is>
      </c>
      <c r="W3416" s="110" t="inlineStr">
        <is>
          <t>PC em analise</t>
        </is>
      </c>
      <c r="X3416" s="110" t="inlineStr">
        <is>
          <t>Pedido de Compra</t>
        </is>
      </c>
      <c r="Y3416" s="111" t="inlineStr">
        <is>
          <t>Impacto Potencial</t>
        </is>
      </c>
      <c r="Z3416" s="111" t="inlineStr">
        <is>
          <t>PC</t>
        </is>
      </c>
      <c r="AA3416" s="111" t="inlineStr">
        <is>
          <t>Nao</t>
        </is>
      </c>
      <c r="AB3416" s="111" t="inlineStr">
        <is>
          <t>NAO_COMPUTADO</t>
        </is>
      </c>
      <c r="AC3416" s="112" t="inlineStr">
        <is>
          <t>Estrutura Fase 1: sem impacto no VTA oficial</t>
        </is>
      </c>
    </row>
    <row r="3417" ht="25.5" customHeight="1" s="289">
      <c r="A3417" s="205" t="n"/>
      <c r="B3417" s="207" t="n"/>
      <c r="C3417" s="104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348" t="n"/>
      <c r="E3417" s="349">
        <f>IF(C3417="","",IFERROR(VLOOKUP(C3417,parametros!$A$11:$E$15,5,0),""))</f>
        <v/>
      </c>
      <c r="F3417" s="335">
        <f>IF(OR(D3417="",E3417=""),"",ROUND(D3417*E3417,2))</f>
        <v/>
      </c>
      <c r="G3417" s="106" t="n"/>
      <c r="H3417" s="350">
        <f>IF(G3417="Sim",IF(OR(F3417="",D3417="",L3417=""),"",IF(L3417="Sim",ROUND(F3417-D3417,2),0)),0)</f>
        <v/>
      </c>
      <c r="I3417" s="350">
        <f>IF(G3417="Sim",0,IF(OR(F3417="",L3417=""),"",F3417))</f>
        <v/>
      </c>
      <c r="J3417" s="350">
        <f>IF(G3417="Sim",0,IF(OR(F3417="",D3417="",L3417=""),"",IF(L3417="Sim",ROUND(F3417-D3417,2),0)))</f>
        <v/>
      </c>
      <c r="K3417" s="97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inlineStr">
        <is>
          <t>Nao</t>
        </is>
      </c>
      <c r="W3417" s="110" t="inlineStr">
        <is>
          <t>PC em analise</t>
        </is>
      </c>
      <c r="X3417" s="110" t="inlineStr">
        <is>
          <t>Pedido de Compra</t>
        </is>
      </c>
      <c r="Y3417" s="111" t="inlineStr">
        <is>
          <t>Impacto Potencial</t>
        </is>
      </c>
      <c r="Z3417" s="111" t="inlineStr">
        <is>
          <t>PC</t>
        </is>
      </c>
      <c r="AA3417" s="111" t="inlineStr">
        <is>
          <t>Nao</t>
        </is>
      </c>
      <c r="AB3417" s="111" t="inlineStr">
        <is>
          <t>NAO_COMPUTADO</t>
        </is>
      </c>
      <c r="AC3417" s="112" t="inlineStr">
        <is>
          <t>Estrutura Fase 1: sem impacto no VTA oficial</t>
        </is>
      </c>
    </row>
    <row r="3418" ht="25.5" customHeight="1" s="289">
      <c r="A3418" s="205" t="n"/>
      <c r="B3418" s="207" t="n"/>
      <c r="C3418" s="104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348" t="n"/>
      <c r="E3418" s="349">
        <f>IF(C3418="","",IFERROR(VLOOKUP(C3418,parametros!$A$11:$E$15,5,0),""))</f>
        <v/>
      </c>
      <c r="F3418" s="335">
        <f>IF(OR(D3418="",E3418=""),"",ROUND(D3418*E3418,2))</f>
        <v/>
      </c>
      <c r="G3418" s="106" t="n"/>
      <c r="H3418" s="350">
        <f>IF(G3418="Sim",IF(OR(F3418="",D3418="",L3418=""),"",IF(L3418="Sim",ROUND(F3418-D3418,2),0)),0)</f>
        <v/>
      </c>
      <c r="I3418" s="350">
        <f>IF(G3418="Sim",0,IF(OR(F3418="",L3418=""),"",F3418))</f>
        <v/>
      </c>
      <c r="J3418" s="350">
        <f>IF(G3418="Sim",0,IF(OR(F3418="",D3418="",L3418=""),"",IF(L3418="Sim",ROUND(F3418-D3418,2),0)))</f>
        <v/>
      </c>
      <c r="K3418" s="97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inlineStr">
        <is>
          <t>Nao</t>
        </is>
      </c>
      <c r="W3418" s="110" t="inlineStr">
        <is>
          <t>PC em analise</t>
        </is>
      </c>
      <c r="X3418" s="110" t="inlineStr">
        <is>
          <t>Pedido de Compra</t>
        </is>
      </c>
      <c r="Y3418" s="111" t="inlineStr">
        <is>
          <t>Impacto Potencial</t>
        </is>
      </c>
      <c r="Z3418" s="111" t="inlineStr">
        <is>
          <t>PC</t>
        </is>
      </c>
      <c r="AA3418" s="111" t="inlineStr">
        <is>
          <t>Nao</t>
        </is>
      </c>
      <c r="AB3418" s="111" t="inlineStr">
        <is>
          <t>NAO_COMPUTADO</t>
        </is>
      </c>
      <c r="AC3418" s="112" t="inlineStr">
        <is>
          <t>Estrutura Fase 1: sem impacto no VTA oficial</t>
        </is>
      </c>
    </row>
    <row r="3419" ht="25.5" customHeight="1" s="289">
      <c r="A3419" s="205" t="n"/>
      <c r="B3419" s="207" t="n"/>
      <c r="C3419" s="104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348" t="n"/>
      <c r="E3419" s="349">
        <f>IF(C3419="","",IFERROR(VLOOKUP(C3419,parametros!$A$11:$E$15,5,0),""))</f>
        <v/>
      </c>
      <c r="F3419" s="335">
        <f>IF(OR(D3419="",E3419=""),"",ROUND(D3419*E3419,2))</f>
        <v/>
      </c>
      <c r="G3419" s="106" t="n"/>
      <c r="H3419" s="350">
        <f>IF(G3419="Sim",IF(OR(F3419="",D3419="",L3419=""),"",IF(L3419="Sim",ROUND(F3419-D3419,2),0)),0)</f>
        <v/>
      </c>
      <c r="I3419" s="350">
        <f>IF(G3419="Sim",0,IF(OR(F3419="",L3419=""),"",F3419))</f>
        <v/>
      </c>
      <c r="J3419" s="350">
        <f>IF(G3419="Sim",0,IF(OR(F3419="",D3419="",L3419=""),"",IF(L3419="Sim",ROUND(F3419-D3419,2),0)))</f>
        <v/>
      </c>
      <c r="K3419" s="97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inlineStr">
        <is>
          <t>Nao</t>
        </is>
      </c>
      <c r="W3419" s="110" t="inlineStr">
        <is>
          <t>PC em analise</t>
        </is>
      </c>
      <c r="X3419" s="110" t="inlineStr">
        <is>
          <t>Pedido de Compra</t>
        </is>
      </c>
      <c r="Y3419" s="111" t="inlineStr">
        <is>
          <t>Impacto Potencial</t>
        </is>
      </c>
      <c r="Z3419" s="111" t="inlineStr">
        <is>
          <t>PC</t>
        </is>
      </c>
      <c r="AA3419" s="111" t="inlineStr">
        <is>
          <t>Nao</t>
        </is>
      </c>
      <c r="AB3419" s="111" t="inlineStr">
        <is>
          <t>NAO_COMPUTADO</t>
        </is>
      </c>
      <c r="AC3419" s="112" t="inlineStr">
        <is>
          <t>Estrutura Fase 1: sem impacto no VTA oficial</t>
        </is>
      </c>
    </row>
    <row r="3420" ht="25.5" customHeight="1" s="289">
      <c r="A3420" s="205" t="n"/>
      <c r="B3420" s="207" t="n"/>
      <c r="C3420" s="104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348" t="n"/>
      <c r="E3420" s="349">
        <f>IF(C3420="","",IFERROR(VLOOKUP(C3420,parametros!$A$11:$E$15,5,0),""))</f>
        <v/>
      </c>
      <c r="F3420" s="335">
        <f>IF(OR(D3420="",E3420=""),"",ROUND(D3420*E3420,2))</f>
        <v/>
      </c>
      <c r="G3420" s="106" t="n"/>
      <c r="H3420" s="350">
        <f>IF(G3420="Sim",IF(OR(F3420="",D3420="",L3420=""),"",IF(L3420="Sim",ROUND(F3420-D3420,2),0)),0)</f>
        <v/>
      </c>
      <c r="I3420" s="350">
        <f>IF(G3420="Sim",0,IF(OR(F3420="",L3420=""),"",F3420))</f>
        <v/>
      </c>
      <c r="J3420" s="350">
        <f>IF(G3420="Sim",0,IF(OR(F3420="",D3420="",L3420=""),"",IF(L3420="Sim",ROUND(F3420-D3420,2),0)))</f>
        <v/>
      </c>
      <c r="K3420" s="97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inlineStr">
        <is>
          <t>Nao</t>
        </is>
      </c>
      <c r="W3420" s="110" t="inlineStr">
        <is>
          <t>PC em analise</t>
        </is>
      </c>
      <c r="X3420" s="110" t="inlineStr">
        <is>
          <t>Pedido de Compra</t>
        </is>
      </c>
      <c r="Y3420" s="111" t="inlineStr">
        <is>
          <t>Impacto Potencial</t>
        </is>
      </c>
      <c r="Z3420" s="111" t="inlineStr">
        <is>
          <t>PC</t>
        </is>
      </c>
      <c r="AA3420" s="111" t="inlineStr">
        <is>
          <t>Nao</t>
        </is>
      </c>
      <c r="AB3420" s="111" t="inlineStr">
        <is>
          <t>NAO_COMPUTADO</t>
        </is>
      </c>
      <c r="AC3420" s="112" t="inlineStr">
        <is>
          <t>Estrutura Fase 1: sem impacto no VTA oficial</t>
        </is>
      </c>
    </row>
    <row r="3421" ht="25.5" customHeight="1" s="289">
      <c r="A3421" s="205" t="n"/>
      <c r="B3421" s="207" t="n"/>
      <c r="C3421" s="104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348" t="n"/>
      <c r="E3421" s="349">
        <f>IF(C3421="","",IFERROR(VLOOKUP(C3421,parametros!$A$11:$E$15,5,0),""))</f>
        <v/>
      </c>
      <c r="F3421" s="335">
        <f>IF(OR(D3421="",E3421=""),"",ROUND(D3421*E3421,2))</f>
        <v/>
      </c>
      <c r="G3421" s="106" t="n"/>
      <c r="H3421" s="350">
        <f>IF(G3421="Sim",IF(OR(F3421="",D3421="",L3421=""),"",IF(L3421="Sim",ROUND(F3421-D3421,2),0)),0)</f>
        <v/>
      </c>
      <c r="I3421" s="350">
        <f>IF(G3421="Sim",0,IF(OR(F3421="",L3421=""),"",F3421))</f>
        <v/>
      </c>
      <c r="J3421" s="350">
        <f>IF(G3421="Sim",0,IF(OR(F3421="",D3421="",L3421=""),"",IF(L3421="Sim",ROUND(F3421-D3421,2),0)))</f>
        <v/>
      </c>
      <c r="K3421" s="97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inlineStr">
        <is>
          <t>Nao</t>
        </is>
      </c>
      <c r="W3421" s="110" t="inlineStr">
        <is>
          <t>PC em analise</t>
        </is>
      </c>
      <c r="X3421" s="110" t="inlineStr">
        <is>
          <t>Pedido de Compra</t>
        </is>
      </c>
      <c r="Y3421" s="111" t="inlineStr">
        <is>
          <t>Impacto Potencial</t>
        </is>
      </c>
      <c r="Z3421" s="111" t="inlineStr">
        <is>
          <t>PC</t>
        </is>
      </c>
      <c r="AA3421" s="111" t="inlineStr">
        <is>
          <t>Nao</t>
        </is>
      </c>
      <c r="AB3421" s="111" t="inlineStr">
        <is>
          <t>NAO_COMPUTADO</t>
        </is>
      </c>
      <c r="AC3421" s="112" t="inlineStr">
        <is>
          <t>Estrutura Fase 1: sem impacto no VTA oficial</t>
        </is>
      </c>
    </row>
    <row r="3422" ht="25.5" customHeight="1" s="289">
      <c r="A3422" s="205" t="n"/>
      <c r="B3422" s="207" t="n"/>
      <c r="C3422" s="104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348" t="n"/>
      <c r="E3422" s="349">
        <f>IF(C3422="","",IFERROR(VLOOKUP(C3422,parametros!$A$11:$E$15,5,0),""))</f>
        <v/>
      </c>
      <c r="F3422" s="335">
        <f>IF(OR(D3422="",E3422=""),"",ROUND(D3422*E3422,2))</f>
        <v/>
      </c>
      <c r="G3422" s="106" t="n"/>
      <c r="H3422" s="350">
        <f>IF(G3422="Sim",IF(OR(F3422="",D3422="",L3422=""),"",IF(L3422="Sim",ROUND(F3422-D3422,2),0)),0)</f>
        <v/>
      </c>
      <c r="I3422" s="350">
        <f>IF(G3422="Sim",0,IF(OR(F3422="",L3422=""),"",F3422))</f>
        <v/>
      </c>
      <c r="J3422" s="350">
        <f>IF(G3422="Sim",0,IF(OR(F3422="",D3422="",L3422=""),"",IF(L3422="Sim",ROUND(F3422-D3422,2),0)))</f>
        <v/>
      </c>
      <c r="K3422" s="97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inlineStr">
        <is>
          <t>Nao</t>
        </is>
      </c>
      <c r="W3422" s="110" t="inlineStr">
        <is>
          <t>PC em analise</t>
        </is>
      </c>
      <c r="X3422" s="110" t="inlineStr">
        <is>
          <t>Pedido de Compra</t>
        </is>
      </c>
      <c r="Y3422" s="111" t="inlineStr">
        <is>
          <t>Impacto Potencial</t>
        </is>
      </c>
      <c r="Z3422" s="111" t="inlineStr">
        <is>
          <t>PC</t>
        </is>
      </c>
      <c r="AA3422" s="111" t="inlineStr">
        <is>
          <t>Nao</t>
        </is>
      </c>
      <c r="AB3422" s="111" t="inlineStr">
        <is>
          <t>NAO_COMPUTADO</t>
        </is>
      </c>
      <c r="AC3422" s="112" t="inlineStr">
        <is>
          <t>Estrutura Fase 1: sem impacto no VTA oficial</t>
        </is>
      </c>
    </row>
    <row r="3423" ht="25.5" customHeight="1" s="289">
      <c r="A3423" s="205" t="n"/>
      <c r="B3423" s="207" t="n"/>
      <c r="C3423" s="104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348" t="n"/>
      <c r="E3423" s="349">
        <f>IF(C3423="","",IFERROR(VLOOKUP(C3423,parametros!$A$11:$E$15,5,0),""))</f>
        <v/>
      </c>
      <c r="F3423" s="335">
        <f>IF(OR(D3423="",E3423=""),"",ROUND(D3423*E3423,2))</f>
        <v/>
      </c>
      <c r="G3423" s="106" t="n"/>
      <c r="H3423" s="350">
        <f>IF(G3423="Sim",IF(OR(F3423="",D3423="",L3423=""),"",IF(L3423="Sim",ROUND(F3423-D3423,2),0)),0)</f>
        <v/>
      </c>
      <c r="I3423" s="350">
        <f>IF(G3423="Sim",0,IF(OR(F3423="",L3423=""),"",F3423))</f>
        <v/>
      </c>
      <c r="J3423" s="350">
        <f>IF(G3423="Sim",0,IF(OR(F3423="",D3423="",L3423=""),"",IF(L3423="Sim",ROUND(F3423-D3423,2),0)))</f>
        <v/>
      </c>
      <c r="K3423" s="97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inlineStr">
        <is>
          <t>Nao</t>
        </is>
      </c>
      <c r="W3423" s="110" t="inlineStr">
        <is>
          <t>PC em analise</t>
        </is>
      </c>
      <c r="X3423" s="110" t="inlineStr">
        <is>
          <t>Pedido de Compra</t>
        </is>
      </c>
      <c r="Y3423" s="111" t="inlineStr">
        <is>
          <t>Impacto Potencial</t>
        </is>
      </c>
      <c r="Z3423" s="111" t="inlineStr">
        <is>
          <t>PC</t>
        </is>
      </c>
      <c r="AA3423" s="111" t="inlineStr">
        <is>
          <t>Nao</t>
        </is>
      </c>
      <c r="AB3423" s="111" t="inlineStr">
        <is>
          <t>NAO_COMPUTADO</t>
        </is>
      </c>
      <c r="AC3423" s="112" t="inlineStr">
        <is>
          <t>Estrutura Fase 1: sem impacto no VTA oficial</t>
        </is>
      </c>
    </row>
    <row r="3424" ht="25.5" customHeight="1" s="289">
      <c r="A3424" s="205" t="n"/>
      <c r="B3424" s="207" t="n"/>
      <c r="C3424" s="104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348" t="n"/>
      <c r="E3424" s="349">
        <f>IF(C3424="","",IFERROR(VLOOKUP(C3424,parametros!$A$11:$E$15,5,0),""))</f>
        <v/>
      </c>
      <c r="F3424" s="335">
        <f>IF(OR(D3424="",E3424=""),"",ROUND(D3424*E3424,2))</f>
        <v/>
      </c>
      <c r="G3424" s="106" t="n"/>
      <c r="H3424" s="350">
        <f>IF(G3424="Sim",IF(OR(F3424="",D3424="",L3424=""),"",IF(L3424="Sim",ROUND(F3424-D3424,2),0)),0)</f>
        <v/>
      </c>
      <c r="I3424" s="350">
        <f>IF(G3424="Sim",0,IF(OR(F3424="",L3424=""),"",F3424))</f>
        <v/>
      </c>
      <c r="J3424" s="350">
        <f>IF(G3424="Sim",0,IF(OR(F3424="",D3424="",L3424=""),"",IF(L3424="Sim",ROUND(F3424-D3424,2),0)))</f>
        <v/>
      </c>
      <c r="K3424" s="97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inlineStr">
        <is>
          <t>Nao</t>
        </is>
      </c>
      <c r="W3424" s="110" t="inlineStr">
        <is>
          <t>PC em analise</t>
        </is>
      </c>
      <c r="X3424" s="110" t="inlineStr">
        <is>
          <t>Pedido de Compra</t>
        </is>
      </c>
      <c r="Y3424" s="111" t="inlineStr">
        <is>
          <t>Impacto Potencial</t>
        </is>
      </c>
      <c r="Z3424" s="111" t="inlineStr">
        <is>
          <t>PC</t>
        </is>
      </c>
      <c r="AA3424" s="111" t="inlineStr">
        <is>
          <t>Nao</t>
        </is>
      </c>
      <c r="AB3424" s="111" t="inlineStr">
        <is>
          <t>NAO_COMPUTADO</t>
        </is>
      </c>
      <c r="AC3424" s="112" t="inlineStr">
        <is>
          <t>Estrutura Fase 1: sem impacto no VTA oficial</t>
        </is>
      </c>
    </row>
    <row r="3425" ht="25.5" customHeight="1" s="289">
      <c r="A3425" s="205" t="n"/>
      <c r="B3425" s="207" t="n"/>
      <c r="C3425" s="104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348" t="n"/>
      <c r="E3425" s="349">
        <f>IF(C3425="","",IFERROR(VLOOKUP(C3425,parametros!$A$11:$E$15,5,0),""))</f>
        <v/>
      </c>
      <c r="F3425" s="335">
        <f>IF(OR(D3425="",E3425=""),"",ROUND(D3425*E3425,2))</f>
        <v/>
      </c>
      <c r="G3425" s="106" t="n"/>
      <c r="H3425" s="350">
        <f>IF(G3425="Sim",IF(OR(F3425="",D3425="",L3425=""),"",IF(L3425="Sim",ROUND(F3425-D3425,2),0)),0)</f>
        <v/>
      </c>
      <c r="I3425" s="350">
        <f>IF(G3425="Sim",0,IF(OR(F3425="",L3425=""),"",F3425))</f>
        <v/>
      </c>
      <c r="J3425" s="350">
        <f>IF(G3425="Sim",0,IF(OR(F3425="",D3425="",L3425=""),"",IF(L3425="Sim",ROUND(F3425-D3425,2),0)))</f>
        <v/>
      </c>
      <c r="K3425" s="97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inlineStr">
        <is>
          <t>Nao</t>
        </is>
      </c>
      <c r="W3425" s="110" t="inlineStr">
        <is>
          <t>PC em analise</t>
        </is>
      </c>
      <c r="X3425" s="110" t="inlineStr">
        <is>
          <t>Pedido de Compra</t>
        </is>
      </c>
      <c r="Y3425" s="111" t="inlineStr">
        <is>
          <t>Impacto Potencial</t>
        </is>
      </c>
      <c r="Z3425" s="111" t="inlineStr">
        <is>
          <t>PC</t>
        </is>
      </c>
      <c r="AA3425" s="111" t="inlineStr">
        <is>
          <t>Nao</t>
        </is>
      </c>
      <c r="AB3425" s="111" t="inlineStr">
        <is>
          <t>NAO_COMPUTADO</t>
        </is>
      </c>
      <c r="AC3425" s="112" t="inlineStr">
        <is>
          <t>Estrutura Fase 1: sem impacto no VTA oficial</t>
        </is>
      </c>
    </row>
    <row r="3426" ht="25.5" customHeight="1" s="289">
      <c r="A3426" s="205" t="n"/>
      <c r="B3426" s="207" t="n"/>
      <c r="C3426" s="104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348" t="n"/>
      <c r="E3426" s="349">
        <f>IF(C3426="","",IFERROR(VLOOKUP(C3426,parametros!$A$11:$E$15,5,0),""))</f>
        <v/>
      </c>
      <c r="F3426" s="335">
        <f>IF(OR(D3426="",E3426=""),"",ROUND(D3426*E3426,2))</f>
        <v/>
      </c>
      <c r="G3426" s="106" t="n"/>
      <c r="H3426" s="350">
        <f>IF(G3426="Sim",IF(OR(F3426="",D3426="",L3426=""),"",IF(L3426="Sim",ROUND(F3426-D3426,2),0)),0)</f>
        <v/>
      </c>
      <c r="I3426" s="350">
        <f>IF(G3426="Sim",0,IF(OR(F3426="",L3426=""),"",F3426))</f>
        <v/>
      </c>
      <c r="J3426" s="350">
        <f>IF(G3426="Sim",0,IF(OR(F3426="",D3426="",L3426=""),"",IF(L3426="Sim",ROUND(F3426-D3426,2),0)))</f>
        <v/>
      </c>
      <c r="K3426" s="97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inlineStr">
        <is>
          <t>Nao</t>
        </is>
      </c>
      <c r="W3426" s="110" t="inlineStr">
        <is>
          <t>PC em analise</t>
        </is>
      </c>
      <c r="X3426" s="110" t="inlineStr">
        <is>
          <t>Pedido de Compra</t>
        </is>
      </c>
      <c r="Y3426" s="111" t="inlineStr">
        <is>
          <t>Impacto Potencial</t>
        </is>
      </c>
      <c r="Z3426" s="111" t="inlineStr">
        <is>
          <t>PC</t>
        </is>
      </c>
      <c r="AA3426" s="111" t="inlineStr">
        <is>
          <t>Nao</t>
        </is>
      </c>
      <c r="AB3426" s="111" t="inlineStr">
        <is>
          <t>NAO_COMPUTADO</t>
        </is>
      </c>
      <c r="AC3426" s="112" t="inlineStr">
        <is>
          <t>Estrutura Fase 1: sem impacto no VTA oficial</t>
        </is>
      </c>
    </row>
    <row r="3427" ht="25.5" customHeight="1" s="289">
      <c r="A3427" s="205" t="n"/>
      <c r="B3427" s="207" t="n"/>
      <c r="C3427" s="104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348" t="n"/>
      <c r="E3427" s="349">
        <f>IF(C3427="","",IFERROR(VLOOKUP(C3427,parametros!$A$11:$E$15,5,0),""))</f>
        <v/>
      </c>
      <c r="F3427" s="335">
        <f>IF(OR(D3427="",E3427=""),"",ROUND(D3427*E3427,2))</f>
        <v/>
      </c>
      <c r="G3427" s="106" t="n"/>
      <c r="H3427" s="350">
        <f>IF(G3427="Sim",IF(OR(F3427="",D3427="",L3427=""),"",IF(L3427="Sim",ROUND(F3427-D3427,2),0)),0)</f>
        <v/>
      </c>
      <c r="I3427" s="350">
        <f>IF(G3427="Sim",0,IF(OR(F3427="",L3427=""),"",F3427))</f>
        <v/>
      </c>
      <c r="J3427" s="350">
        <f>IF(G3427="Sim",0,IF(OR(F3427="",D3427="",L3427=""),"",IF(L3427="Sim",ROUND(F3427-D3427,2),0)))</f>
        <v/>
      </c>
      <c r="K3427" s="97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inlineStr">
        <is>
          <t>Nao</t>
        </is>
      </c>
      <c r="W3427" s="110" t="inlineStr">
        <is>
          <t>PC em analise</t>
        </is>
      </c>
      <c r="X3427" s="110" t="inlineStr">
        <is>
          <t>Pedido de Compra</t>
        </is>
      </c>
      <c r="Y3427" s="111" t="inlineStr">
        <is>
          <t>Impacto Potencial</t>
        </is>
      </c>
      <c r="Z3427" s="111" t="inlineStr">
        <is>
          <t>PC</t>
        </is>
      </c>
      <c r="AA3427" s="111" t="inlineStr">
        <is>
          <t>Nao</t>
        </is>
      </c>
      <c r="AB3427" s="111" t="inlineStr">
        <is>
          <t>NAO_COMPUTADO</t>
        </is>
      </c>
      <c r="AC3427" s="112" t="inlineStr">
        <is>
          <t>Estrutura Fase 1: sem impacto no VTA oficial</t>
        </is>
      </c>
    </row>
    <row r="3428" ht="25.5" customHeight="1" s="289">
      <c r="A3428" s="205" t="n"/>
      <c r="B3428" s="207" t="n"/>
      <c r="C3428" s="104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348" t="n"/>
      <c r="E3428" s="349">
        <f>IF(C3428="","",IFERROR(VLOOKUP(C3428,parametros!$A$11:$E$15,5,0),""))</f>
        <v/>
      </c>
      <c r="F3428" s="335">
        <f>IF(OR(D3428="",E3428=""),"",ROUND(D3428*E3428,2))</f>
        <v/>
      </c>
      <c r="G3428" s="106" t="n"/>
      <c r="H3428" s="350">
        <f>IF(G3428="Sim",IF(OR(F3428="",D3428="",L3428=""),"",IF(L3428="Sim",ROUND(F3428-D3428,2),0)),0)</f>
        <v/>
      </c>
      <c r="I3428" s="350">
        <f>IF(G3428="Sim",0,IF(OR(F3428="",L3428=""),"",F3428))</f>
        <v/>
      </c>
      <c r="J3428" s="350">
        <f>IF(G3428="Sim",0,IF(OR(F3428="",D3428="",L3428=""),"",IF(L3428="Sim",ROUND(F3428-D3428,2),0)))</f>
        <v/>
      </c>
      <c r="K3428" s="97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inlineStr">
        <is>
          <t>Nao</t>
        </is>
      </c>
      <c r="W3428" s="110" t="inlineStr">
        <is>
          <t>PC em analise</t>
        </is>
      </c>
      <c r="X3428" s="110" t="inlineStr">
        <is>
          <t>Pedido de Compra</t>
        </is>
      </c>
      <c r="Y3428" s="111" t="inlineStr">
        <is>
          <t>Impacto Potencial</t>
        </is>
      </c>
      <c r="Z3428" s="111" t="inlineStr">
        <is>
          <t>PC</t>
        </is>
      </c>
      <c r="AA3428" s="111" t="inlineStr">
        <is>
          <t>Nao</t>
        </is>
      </c>
      <c r="AB3428" s="111" t="inlineStr">
        <is>
          <t>NAO_COMPUTADO</t>
        </is>
      </c>
      <c r="AC3428" s="112" t="inlineStr">
        <is>
          <t>Estrutura Fase 1: sem impacto no VTA oficial</t>
        </is>
      </c>
    </row>
    <row r="3429" ht="25.5" customHeight="1" s="289">
      <c r="A3429" s="205" t="n"/>
      <c r="B3429" s="207" t="n"/>
      <c r="C3429" s="104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348" t="n"/>
      <c r="E3429" s="349">
        <f>IF(C3429="","",IFERROR(VLOOKUP(C3429,parametros!$A$11:$E$15,5,0),""))</f>
        <v/>
      </c>
      <c r="F3429" s="335">
        <f>IF(OR(D3429="",E3429=""),"",ROUND(D3429*E3429,2))</f>
        <v/>
      </c>
      <c r="G3429" s="106" t="n"/>
      <c r="H3429" s="350">
        <f>IF(G3429="Sim",IF(OR(F3429="",D3429="",L3429=""),"",IF(L3429="Sim",ROUND(F3429-D3429,2),0)),0)</f>
        <v/>
      </c>
      <c r="I3429" s="350">
        <f>IF(G3429="Sim",0,IF(OR(F3429="",L3429=""),"",F3429))</f>
        <v/>
      </c>
      <c r="J3429" s="350">
        <f>IF(G3429="Sim",0,IF(OR(F3429="",D3429="",L3429=""),"",IF(L3429="Sim",ROUND(F3429-D3429,2),0)))</f>
        <v/>
      </c>
      <c r="K3429" s="97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inlineStr">
        <is>
          <t>Nao</t>
        </is>
      </c>
      <c r="W3429" s="110" t="inlineStr">
        <is>
          <t>PC em analise</t>
        </is>
      </c>
      <c r="X3429" s="110" t="inlineStr">
        <is>
          <t>Pedido de Compra</t>
        </is>
      </c>
      <c r="Y3429" s="111" t="inlineStr">
        <is>
          <t>Impacto Potencial</t>
        </is>
      </c>
      <c r="Z3429" s="111" t="inlineStr">
        <is>
          <t>PC</t>
        </is>
      </c>
      <c r="AA3429" s="111" t="inlineStr">
        <is>
          <t>Nao</t>
        </is>
      </c>
      <c r="AB3429" s="111" t="inlineStr">
        <is>
          <t>NAO_COMPUTADO</t>
        </is>
      </c>
      <c r="AC3429" s="112" t="inlineStr">
        <is>
          <t>Estrutura Fase 1: sem impacto no VTA oficial</t>
        </is>
      </c>
    </row>
    <row r="3430" ht="25.5" customHeight="1" s="289">
      <c r="A3430" s="205" t="n"/>
      <c r="B3430" s="207" t="n"/>
      <c r="C3430" s="104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348" t="n"/>
      <c r="E3430" s="349">
        <f>IF(C3430="","",IFERROR(VLOOKUP(C3430,parametros!$A$11:$E$15,5,0),""))</f>
        <v/>
      </c>
      <c r="F3430" s="335">
        <f>IF(OR(D3430="",E3430=""),"",ROUND(D3430*E3430,2))</f>
        <v/>
      </c>
      <c r="G3430" s="106" t="n"/>
      <c r="H3430" s="350">
        <f>IF(G3430="Sim",IF(OR(F3430="",D3430="",L3430=""),"",IF(L3430="Sim",ROUND(F3430-D3430,2),0)),0)</f>
        <v/>
      </c>
      <c r="I3430" s="350">
        <f>IF(G3430="Sim",0,IF(OR(F3430="",L3430=""),"",F3430))</f>
        <v/>
      </c>
      <c r="J3430" s="350">
        <f>IF(G3430="Sim",0,IF(OR(F3430="",D3430="",L3430=""),"",IF(L3430="Sim",ROUND(F3430-D3430,2),0)))</f>
        <v/>
      </c>
      <c r="K3430" s="97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inlineStr">
        <is>
          <t>Nao</t>
        </is>
      </c>
      <c r="W3430" s="110" t="inlineStr">
        <is>
          <t>PC em analise</t>
        </is>
      </c>
      <c r="X3430" s="110" t="inlineStr">
        <is>
          <t>Pedido de Compra</t>
        </is>
      </c>
      <c r="Y3430" s="111" t="inlineStr">
        <is>
          <t>Impacto Potencial</t>
        </is>
      </c>
      <c r="Z3430" s="111" t="inlineStr">
        <is>
          <t>PC</t>
        </is>
      </c>
      <c r="AA3430" s="111" t="inlineStr">
        <is>
          <t>Nao</t>
        </is>
      </c>
      <c r="AB3430" s="111" t="inlineStr">
        <is>
          <t>NAO_COMPUTADO</t>
        </is>
      </c>
      <c r="AC3430" s="112" t="inlineStr">
        <is>
          <t>Estrutura Fase 1: sem impacto no VTA oficial</t>
        </is>
      </c>
    </row>
    <row r="3431" ht="25.5" customHeight="1" s="289">
      <c r="A3431" s="205" t="n"/>
      <c r="B3431" s="207" t="n"/>
      <c r="C3431" s="104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348" t="n"/>
      <c r="E3431" s="349">
        <f>IF(C3431="","",IFERROR(VLOOKUP(C3431,parametros!$A$11:$E$15,5,0),""))</f>
        <v/>
      </c>
      <c r="F3431" s="335">
        <f>IF(OR(D3431="",E3431=""),"",ROUND(D3431*E3431,2))</f>
        <v/>
      </c>
      <c r="G3431" s="106" t="n"/>
      <c r="H3431" s="350">
        <f>IF(G3431="Sim",IF(OR(F3431="",D3431="",L3431=""),"",IF(L3431="Sim",ROUND(F3431-D3431,2),0)),0)</f>
        <v/>
      </c>
      <c r="I3431" s="350">
        <f>IF(G3431="Sim",0,IF(OR(F3431="",L3431=""),"",F3431))</f>
        <v/>
      </c>
      <c r="J3431" s="350">
        <f>IF(G3431="Sim",0,IF(OR(F3431="",D3431="",L3431=""),"",IF(L3431="Sim",ROUND(F3431-D3431,2),0)))</f>
        <v/>
      </c>
      <c r="K3431" s="97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inlineStr">
        <is>
          <t>Nao</t>
        </is>
      </c>
      <c r="W3431" s="110" t="inlineStr">
        <is>
          <t>PC em analise</t>
        </is>
      </c>
      <c r="X3431" s="110" t="inlineStr">
        <is>
          <t>Pedido de Compra</t>
        </is>
      </c>
      <c r="Y3431" s="111" t="inlineStr">
        <is>
          <t>Impacto Potencial</t>
        </is>
      </c>
      <c r="Z3431" s="111" t="inlineStr">
        <is>
          <t>PC</t>
        </is>
      </c>
      <c r="AA3431" s="111" t="inlineStr">
        <is>
          <t>Nao</t>
        </is>
      </c>
      <c r="AB3431" s="111" t="inlineStr">
        <is>
          <t>NAO_COMPUTADO</t>
        </is>
      </c>
      <c r="AC3431" s="112" t="inlineStr">
        <is>
          <t>Estrutura Fase 1: sem impacto no VTA oficial</t>
        </is>
      </c>
    </row>
    <row r="3432" ht="25.5" customHeight="1" s="289">
      <c r="A3432" s="205" t="n"/>
      <c r="B3432" s="207" t="n"/>
      <c r="C3432" s="104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348" t="n"/>
      <c r="E3432" s="349">
        <f>IF(C3432="","",IFERROR(VLOOKUP(C3432,parametros!$A$11:$E$15,5,0),""))</f>
        <v/>
      </c>
      <c r="F3432" s="335">
        <f>IF(OR(D3432="",E3432=""),"",ROUND(D3432*E3432,2))</f>
        <v/>
      </c>
      <c r="G3432" s="106" t="n"/>
      <c r="H3432" s="350">
        <f>IF(G3432="Sim",IF(OR(F3432="",D3432="",L3432=""),"",IF(L3432="Sim",ROUND(F3432-D3432,2),0)),0)</f>
        <v/>
      </c>
      <c r="I3432" s="350">
        <f>IF(G3432="Sim",0,IF(OR(F3432="",L3432=""),"",F3432))</f>
        <v/>
      </c>
      <c r="J3432" s="350">
        <f>IF(G3432="Sim",0,IF(OR(F3432="",D3432="",L3432=""),"",IF(L3432="Sim",ROUND(F3432-D3432,2),0)))</f>
        <v/>
      </c>
      <c r="K3432" s="97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inlineStr">
        <is>
          <t>Nao</t>
        </is>
      </c>
      <c r="W3432" s="110" t="inlineStr">
        <is>
          <t>PC em analise</t>
        </is>
      </c>
      <c r="X3432" s="110" t="inlineStr">
        <is>
          <t>Pedido de Compra</t>
        </is>
      </c>
      <c r="Y3432" s="111" t="inlineStr">
        <is>
          <t>Impacto Potencial</t>
        </is>
      </c>
      <c r="Z3432" s="111" t="inlineStr">
        <is>
          <t>PC</t>
        </is>
      </c>
      <c r="AA3432" s="111" t="inlineStr">
        <is>
          <t>Nao</t>
        </is>
      </c>
      <c r="AB3432" s="111" t="inlineStr">
        <is>
          <t>NAO_COMPUTADO</t>
        </is>
      </c>
      <c r="AC3432" s="112" t="inlineStr">
        <is>
          <t>Estrutura Fase 1: sem impacto no VTA oficial</t>
        </is>
      </c>
    </row>
    <row r="3433" ht="25.5" customHeight="1" s="289">
      <c r="A3433" s="205" t="n"/>
      <c r="B3433" s="207" t="n"/>
      <c r="C3433" s="104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348" t="n"/>
      <c r="E3433" s="349">
        <f>IF(C3433="","",IFERROR(VLOOKUP(C3433,parametros!$A$11:$E$15,5,0),""))</f>
        <v/>
      </c>
      <c r="F3433" s="335">
        <f>IF(OR(D3433="",E3433=""),"",ROUND(D3433*E3433,2))</f>
        <v/>
      </c>
      <c r="G3433" s="106" t="n"/>
      <c r="H3433" s="350">
        <f>IF(G3433="Sim",IF(OR(F3433="",D3433="",L3433=""),"",IF(L3433="Sim",ROUND(F3433-D3433,2),0)),0)</f>
        <v/>
      </c>
      <c r="I3433" s="350">
        <f>IF(G3433="Sim",0,IF(OR(F3433="",L3433=""),"",F3433))</f>
        <v/>
      </c>
      <c r="J3433" s="350">
        <f>IF(G3433="Sim",0,IF(OR(F3433="",D3433="",L3433=""),"",IF(L3433="Sim",ROUND(F3433-D3433,2),0)))</f>
        <v/>
      </c>
      <c r="K3433" s="97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inlineStr">
        <is>
          <t>Nao</t>
        </is>
      </c>
      <c r="W3433" s="110" t="inlineStr">
        <is>
          <t>PC em analise</t>
        </is>
      </c>
      <c r="X3433" s="110" t="inlineStr">
        <is>
          <t>Pedido de Compra</t>
        </is>
      </c>
      <c r="Y3433" s="111" t="inlineStr">
        <is>
          <t>Impacto Potencial</t>
        </is>
      </c>
      <c r="Z3433" s="111" t="inlineStr">
        <is>
          <t>PC</t>
        </is>
      </c>
      <c r="AA3433" s="111" t="inlineStr">
        <is>
          <t>Nao</t>
        </is>
      </c>
      <c r="AB3433" s="111" t="inlineStr">
        <is>
          <t>NAO_COMPUTADO</t>
        </is>
      </c>
      <c r="AC3433" s="112" t="inlineStr">
        <is>
          <t>Estrutura Fase 1: sem impacto no VTA oficial</t>
        </is>
      </c>
    </row>
    <row r="3434" ht="25.5" customHeight="1" s="289">
      <c r="A3434" s="205" t="n"/>
      <c r="B3434" s="207" t="n"/>
      <c r="C3434" s="104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348" t="n"/>
      <c r="E3434" s="349">
        <f>IF(C3434="","",IFERROR(VLOOKUP(C3434,parametros!$A$11:$E$15,5,0),""))</f>
        <v/>
      </c>
      <c r="F3434" s="335">
        <f>IF(OR(D3434="",E3434=""),"",ROUND(D3434*E3434,2))</f>
        <v/>
      </c>
      <c r="G3434" s="106" t="n"/>
      <c r="H3434" s="350">
        <f>IF(G3434="Sim",IF(OR(F3434="",D3434="",L3434=""),"",IF(L3434="Sim",ROUND(F3434-D3434,2),0)),0)</f>
        <v/>
      </c>
      <c r="I3434" s="350">
        <f>IF(G3434="Sim",0,IF(OR(F3434="",L3434=""),"",F3434))</f>
        <v/>
      </c>
      <c r="J3434" s="350">
        <f>IF(G3434="Sim",0,IF(OR(F3434="",D3434="",L3434=""),"",IF(L3434="Sim",ROUND(F3434-D3434,2),0)))</f>
        <v/>
      </c>
      <c r="K3434" s="97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inlineStr">
        <is>
          <t>Nao</t>
        </is>
      </c>
      <c r="W3434" s="110" t="inlineStr">
        <is>
          <t>PC em analise</t>
        </is>
      </c>
      <c r="X3434" s="110" t="inlineStr">
        <is>
          <t>Pedido de Compra</t>
        </is>
      </c>
      <c r="Y3434" s="111" t="inlineStr">
        <is>
          <t>Impacto Potencial</t>
        </is>
      </c>
      <c r="Z3434" s="111" t="inlineStr">
        <is>
          <t>PC</t>
        </is>
      </c>
      <c r="AA3434" s="111" t="inlineStr">
        <is>
          <t>Nao</t>
        </is>
      </c>
      <c r="AB3434" s="111" t="inlineStr">
        <is>
          <t>NAO_COMPUTADO</t>
        </is>
      </c>
      <c r="AC3434" s="112" t="inlineStr">
        <is>
          <t>Estrutura Fase 1: sem impacto no VTA oficial</t>
        </is>
      </c>
    </row>
    <row r="3435" ht="25.5" customHeight="1" s="289">
      <c r="A3435" s="205" t="n"/>
      <c r="B3435" s="207" t="n"/>
      <c r="C3435" s="104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348" t="n"/>
      <c r="E3435" s="349">
        <f>IF(C3435="","",IFERROR(VLOOKUP(C3435,parametros!$A$11:$E$15,5,0),""))</f>
        <v/>
      </c>
      <c r="F3435" s="335">
        <f>IF(OR(D3435="",E3435=""),"",ROUND(D3435*E3435,2))</f>
        <v/>
      </c>
      <c r="G3435" s="106" t="n"/>
      <c r="H3435" s="350">
        <f>IF(G3435="Sim",IF(OR(F3435="",D3435="",L3435=""),"",IF(L3435="Sim",ROUND(F3435-D3435,2),0)),0)</f>
        <v/>
      </c>
      <c r="I3435" s="350">
        <f>IF(G3435="Sim",0,IF(OR(F3435="",L3435=""),"",F3435))</f>
        <v/>
      </c>
      <c r="J3435" s="350">
        <f>IF(G3435="Sim",0,IF(OR(F3435="",D3435="",L3435=""),"",IF(L3435="Sim",ROUND(F3435-D3435,2),0)))</f>
        <v/>
      </c>
      <c r="K3435" s="97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inlineStr">
        <is>
          <t>Nao</t>
        </is>
      </c>
      <c r="W3435" s="110" t="inlineStr">
        <is>
          <t>PC em analise</t>
        </is>
      </c>
      <c r="X3435" s="110" t="inlineStr">
        <is>
          <t>Pedido de Compra</t>
        </is>
      </c>
      <c r="Y3435" s="111" t="inlineStr">
        <is>
          <t>Impacto Potencial</t>
        </is>
      </c>
      <c r="Z3435" s="111" t="inlineStr">
        <is>
          <t>PC</t>
        </is>
      </c>
      <c r="AA3435" s="111" t="inlineStr">
        <is>
          <t>Nao</t>
        </is>
      </c>
      <c r="AB3435" s="111" t="inlineStr">
        <is>
          <t>NAO_COMPUTADO</t>
        </is>
      </c>
      <c r="AC3435" s="112" t="inlineStr">
        <is>
          <t>Estrutura Fase 1: sem impacto no VTA oficial</t>
        </is>
      </c>
    </row>
    <row r="3436" ht="25.5" customHeight="1" s="289">
      <c r="A3436" s="205" t="n"/>
      <c r="B3436" s="207" t="n"/>
      <c r="C3436" s="104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348" t="n"/>
      <c r="E3436" s="349">
        <f>IF(C3436="","",IFERROR(VLOOKUP(C3436,parametros!$A$11:$E$15,5,0),""))</f>
        <v/>
      </c>
      <c r="F3436" s="335">
        <f>IF(OR(D3436="",E3436=""),"",ROUND(D3436*E3436,2))</f>
        <v/>
      </c>
      <c r="G3436" s="106" t="n"/>
      <c r="H3436" s="350">
        <f>IF(G3436="Sim",IF(OR(F3436="",D3436="",L3436=""),"",IF(L3436="Sim",ROUND(F3436-D3436,2),0)),0)</f>
        <v/>
      </c>
      <c r="I3436" s="350">
        <f>IF(G3436="Sim",0,IF(OR(F3436="",L3436=""),"",F3436))</f>
        <v/>
      </c>
      <c r="J3436" s="350">
        <f>IF(G3436="Sim",0,IF(OR(F3436="",D3436="",L3436=""),"",IF(L3436="Sim",ROUND(F3436-D3436,2),0)))</f>
        <v/>
      </c>
      <c r="K3436" s="97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inlineStr">
        <is>
          <t>Nao</t>
        </is>
      </c>
      <c r="W3436" s="110" t="inlineStr">
        <is>
          <t>PC em analise</t>
        </is>
      </c>
      <c r="X3436" s="110" t="inlineStr">
        <is>
          <t>Pedido de Compra</t>
        </is>
      </c>
      <c r="Y3436" s="111" t="inlineStr">
        <is>
          <t>Impacto Potencial</t>
        </is>
      </c>
      <c r="Z3436" s="111" t="inlineStr">
        <is>
          <t>PC</t>
        </is>
      </c>
      <c r="AA3436" s="111" t="inlineStr">
        <is>
          <t>Nao</t>
        </is>
      </c>
      <c r="AB3436" s="111" t="inlineStr">
        <is>
          <t>NAO_COMPUTADO</t>
        </is>
      </c>
      <c r="AC3436" s="112" t="inlineStr">
        <is>
          <t>Estrutura Fase 1: sem impacto no VTA oficial</t>
        </is>
      </c>
    </row>
    <row r="3437" ht="25.5" customHeight="1" s="289">
      <c r="A3437" s="205" t="n"/>
      <c r="B3437" s="207" t="n"/>
      <c r="C3437" s="104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348" t="n"/>
      <c r="E3437" s="349">
        <f>IF(C3437="","",IFERROR(VLOOKUP(C3437,parametros!$A$11:$E$15,5,0),""))</f>
        <v/>
      </c>
      <c r="F3437" s="335">
        <f>IF(OR(D3437="",E3437=""),"",ROUND(D3437*E3437,2))</f>
        <v/>
      </c>
      <c r="G3437" s="106" t="n"/>
      <c r="H3437" s="350">
        <f>IF(G3437="Sim",IF(OR(F3437="",D3437="",L3437=""),"",IF(L3437="Sim",ROUND(F3437-D3437,2),0)),0)</f>
        <v/>
      </c>
      <c r="I3437" s="350">
        <f>IF(G3437="Sim",0,IF(OR(F3437="",L3437=""),"",F3437))</f>
        <v/>
      </c>
      <c r="J3437" s="350">
        <f>IF(G3437="Sim",0,IF(OR(F3437="",D3437="",L3437=""),"",IF(L3437="Sim",ROUND(F3437-D3437,2),0)))</f>
        <v/>
      </c>
      <c r="K3437" s="97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inlineStr">
        <is>
          <t>Nao</t>
        </is>
      </c>
      <c r="W3437" s="110" t="inlineStr">
        <is>
          <t>PC em analise</t>
        </is>
      </c>
      <c r="X3437" s="110" t="inlineStr">
        <is>
          <t>Pedido de Compra</t>
        </is>
      </c>
      <c r="Y3437" s="111" t="inlineStr">
        <is>
          <t>Impacto Potencial</t>
        </is>
      </c>
      <c r="Z3437" s="111" t="inlineStr">
        <is>
          <t>PC</t>
        </is>
      </c>
      <c r="AA3437" s="111" t="inlineStr">
        <is>
          <t>Nao</t>
        </is>
      </c>
      <c r="AB3437" s="111" t="inlineStr">
        <is>
          <t>NAO_COMPUTADO</t>
        </is>
      </c>
      <c r="AC3437" s="112" t="inlineStr">
        <is>
          <t>Estrutura Fase 1: sem impacto no VTA oficial</t>
        </is>
      </c>
    </row>
    <row r="3438" ht="25.5" customHeight="1" s="289">
      <c r="A3438" s="205" t="n"/>
      <c r="B3438" s="207" t="n"/>
      <c r="C3438" s="104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348" t="n"/>
      <c r="E3438" s="349">
        <f>IF(C3438="","",IFERROR(VLOOKUP(C3438,parametros!$A$11:$E$15,5,0),""))</f>
        <v/>
      </c>
      <c r="F3438" s="335">
        <f>IF(OR(D3438="",E3438=""),"",ROUND(D3438*E3438,2))</f>
        <v/>
      </c>
      <c r="G3438" s="106" t="n"/>
      <c r="H3438" s="350">
        <f>IF(G3438="Sim",IF(OR(F3438="",D3438="",L3438=""),"",IF(L3438="Sim",ROUND(F3438-D3438,2),0)),0)</f>
        <v/>
      </c>
      <c r="I3438" s="350">
        <f>IF(G3438="Sim",0,IF(OR(F3438="",L3438=""),"",F3438))</f>
        <v/>
      </c>
      <c r="J3438" s="350">
        <f>IF(G3438="Sim",0,IF(OR(F3438="",D3438="",L3438=""),"",IF(L3438="Sim",ROUND(F3438-D3438,2),0)))</f>
        <v/>
      </c>
      <c r="K3438" s="97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inlineStr">
        <is>
          <t>Nao</t>
        </is>
      </c>
      <c r="W3438" s="110" t="inlineStr">
        <is>
          <t>PC em analise</t>
        </is>
      </c>
      <c r="X3438" s="110" t="inlineStr">
        <is>
          <t>Pedido de Compra</t>
        </is>
      </c>
      <c r="Y3438" s="111" t="inlineStr">
        <is>
          <t>Impacto Potencial</t>
        </is>
      </c>
      <c r="Z3438" s="111" t="inlineStr">
        <is>
          <t>PC</t>
        </is>
      </c>
      <c r="AA3438" s="111" t="inlineStr">
        <is>
          <t>Nao</t>
        </is>
      </c>
      <c r="AB3438" s="111" t="inlineStr">
        <is>
          <t>NAO_COMPUTADO</t>
        </is>
      </c>
      <c r="AC3438" s="112" t="inlineStr">
        <is>
          <t>Estrutura Fase 1: sem impacto no VTA oficial</t>
        </is>
      </c>
    </row>
    <row r="3439" ht="25.5" customHeight="1" s="289">
      <c r="A3439" s="205" t="n"/>
      <c r="B3439" s="207" t="n"/>
      <c r="C3439" s="104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348" t="n"/>
      <c r="E3439" s="349">
        <f>IF(C3439="","",IFERROR(VLOOKUP(C3439,parametros!$A$11:$E$15,5,0),""))</f>
        <v/>
      </c>
      <c r="F3439" s="335">
        <f>IF(OR(D3439="",E3439=""),"",ROUND(D3439*E3439,2))</f>
        <v/>
      </c>
      <c r="G3439" s="106" t="n"/>
      <c r="H3439" s="350">
        <f>IF(G3439="Sim",IF(OR(F3439="",D3439="",L3439=""),"",IF(L3439="Sim",ROUND(F3439-D3439,2),0)),0)</f>
        <v/>
      </c>
      <c r="I3439" s="350">
        <f>IF(G3439="Sim",0,IF(OR(F3439="",L3439=""),"",F3439))</f>
        <v/>
      </c>
      <c r="J3439" s="350">
        <f>IF(G3439="Sim",0,IF(OR(F3439="",D3439="",L3439=""),"",IF(L3439="Sim",ROUND(F3439-D3439,2),0)))</f>
        <v/>
      </c>
      <c r="K3439" s="97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inlineStr">
        <is>
          <t>Nao</t>
        </is>
      </c>
      <c r="W3439" s="110" t="inlineStr">
        <is>
          <t>PC em analise</t>
        </is>
      </c>
      <c r="X3439" s="110" t="inlineStr">
        <is>
          <t>Pedido de Compra</t>
        </is>
      </c>
      <c r="Y3439" s="111" t="inlineStr">
        <is>
          <t>Impacto Potencial</t>
        </is>
      </c>
      <c r="Z3439" s="111" t="inlineStr">
        <is>
          <t>PC</t>
        </is>
      </c>
      <c r="AA3439" s="111" t="inlineStr">
        <is>
          <t>Nao</t>
        </is>
      </c>
      <c r="AB3439" s="111" t="inlineStr">
        <is>
          <t>NAO_COMPUTADO</t>
        </is>
      </c>
      <c r="AC3439" s="112" t="inlineStr">
        <is>
          <t>Estrutura Fase 1: sem impacto no VTA oficial</t>
        </is>
      </c>
    </row>
    <row r="3440" ht="25.5" customHeight="1" s="289">
      <c r="A3440" s="205" t="n"/>
      <c r="B3440" s="207" t="n"/>
      <c r="C3440" s="104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348" t="n"/>
      <c r="E3440" s="349">
        <f>IF(C3440="","",IFERROR(VLOOKUP(C3440,parametros!$A$11:$E$15,5,0),""))</f>
        <v/>
      </c>
      <c r="F3440" s="335">
        <f>IF(OR(D3440="",E3440=""),"",ROUND(D3440*E3440,2))</f>
        <v/>
      </c>
      <c r="G3440" s="106" t="n"/>
      <c r="H3440" s="350">
        <f>IF(G3440="Sim",IF(OR(F3440="",D3440="",L3440=""),"",IF(L3440="Sim",ROUND(F3440-D3440,2),0)),0)</f>
        <v/>
      </c>
      <c r="I3440" s="350">
        <f>IF(G3440="Sim",0,IF(OR(F3440="",L3440=""),"",F3440))</f>
        <v/>
      </c>
      <c r="J3440" s="350">
        <f>IF(G3440="Sim",0,IF(OR(F3440="",D3440="",L3440=""),"",IF(L3440="Sim",ROUND(F3440-D3440,2),0)))</f>
        <v/>
      </c>
      <c r="K3440" s="97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inlineStr">
        <is>
          <t>Nao</t>
        </is>
      </c>
      <c r="W3440" s="110" t="inlineStr">
        <is>
          <t>PC em analise</t>
        </is>
      </c>
      <c r="X3440" s="110" t="inlineStr">
        <is>
          <t>Pedido de Compra</t>
        </is>
      </c>
      <c r="Y3440" s="111" t="inlineStr">
        <is>
          <t>Impacto Potencial</t>
        </is>
      </c>
      <c r="Z3440" s="111" t="inlineStr">
        <is>
          <t>PC</t>
        </is>
      </c>
      <c r="AA3440" s="111" t="inlineStr">
        <is>
          <t>Nao</t>
        </is>
      </c>
      <c r="AB3440" s="111" t="inlineStr">
        <is>
          <t>NAO_COMPUTADO</t>
        </is>
      </c>
      <c r="AC3440" s="112" t="inlineStr">
        <is>
          <t>Estrutura Fase 1: sem impacto no VTA oficial</t>
        </is>
      </c>
    </row>
    <row r="3441" ht="25.5" customHeight="1" s="289">
      <c r="A3441" s="205" t="n"/>
      <c r="B3441" s="207" t="n"/>
      <c r="C3441" s="104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348" t="n"/>
      <c r="E3441" s="349">
        <f>IF(C3441="","",IFERROR(VLOOKUP(C3441,parametros!$A$11:$E$15,5,0),""))</f>
        <v/>
      </c>
      <c r="F3441" s="335">
        <f>IF(OR(D3441="",E3441=""),"",ROUND(D3441*E3441,2))</f>
        <v/>
      </c>
      <c r="G3441" s="106" t="n"/>
      <c r="H3441" s="350">
        <f>IF(G3441="Sim",IF(OR(F3441="",D3441="",L3441=""),"",IF(L3441="Sim",ROUND(F3441-D3441,2),0)),0)</f>
        <v/>
      </c>
      <c r="I3441" s="350">
        <f>IF(G3441="Sim",0,IF(OR(F3441="",L3441=""),"",F3441))</f>
        <v/>
      </c>
      <c r="J3441" s="350">
        <f>IF(G3441="Sim",0,IF(OR(F3441="",D3441="",L3441=""),"",IF(L3441="Sim",ROUND(F3441-D3441,2),0)))</f>
        <v/>
      </c>
      <c r="K3441" s="97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inlineStr">
        <is>
          <t>Nao</t>
        </is>
      </c>
      <c r="W3441" s="110" t="inlineStr">
        <is>
          <t>PC em analise</t>
        </is>
      </c>
      <c r="X3441" s="110" t="inlineStr">
        <is>
          <t>Pedido de Compra</t>
        </is>
      </c>
      <c r="Y3441" s="111" t="inlineStr">
        <is>
          <t>Impacto Potencial</t>
        </is>
      </c>
      <c r="Z3441" s="111" t="inlineStr">
        <is>
          <t>PC</t>
        </is>
      </c>
      <c r="AA3441" s="111" t="inlineStr">
        <is>
          <t>Nao</t>
        </is>
      </c>
      <c r="AB3441" s="111" t="inlineStr">
        <is>
          <t>NAO_COMPUTADO</t>
        </is>
      </c>
      <c r="AC3441" s="112" t="inlineStr">
        <is>
          <t>Estrutura Fase 1: sem impacto no VTA oficial</t>
        </is>
      </c>
    </row>
    <row r="3442" ht="25.5" customHeight="1" s="289">
      <c r="A3442" s="205" t="n"/>
      <c r="B3442" s="207" t="n"/>
      <c r="C3442" s="104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348" t="n"/>
      <c r="E3442" s="349">
        <f>IF(C3442="","",IFERROR(VLOOKUP(C3442,parametros!$A$11:$E$15,5,0),""))</f>
        <v/>
      </c>
      <c r="F3442" s="335">
        <f>IF(OR(D3442="",E3442=""),"",ROUND(D3442*E3442,2))</f>
        <v/>
      </c>
      <c r="G3442" s="106" t="n"/>
      <c r="H3442" s="350">
        <f>IF(G3442="Sim",IF(OR(F3442="",D3442="",L3442=""),"",IF(L3442="Sim",ROUND(F3442-D3442,2),0)),0)</f>
        <v/>
      </c>
      <c r="I3442" s="350">
        <f>IF(G3442="Sim",0,IF(OR(F3442="",L3442=""),"",F3442))</f>
        <v/>
      </c>
      <c r="J3442" s="350">
        <f>IF(G3442="Sim",0,IF(OR(F3442="",D3442="",L3442=""),"",IF(L3442="Sim",ROUND(F3442-D3442,2),0)))</f>
        <v/>
      </c>
      <c r="K3442" s="97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inlineStr">
        <is>
          <t>Nao</t>
        </is>
      </c>
      <c r="W3442" s="110" t="inlineStr">
        <is>
          <t>PC em analise</t>
        </is>
      </c>
      <c r="X3442" s="110" t="inlineStr">
        <is>
          <t>Pedido de Compra</t>
        </is>
      </c>
      <c r="Y3442" s="111" t="inlineStr">
        <is>
          <t>Impacto Potencial</t>
        </is>
      </c>
      <c r="Z3442" s="111" t="inlineStr">
        <is>
          <t>PC</t>
        </is>
      </c>
      <c r="AA3442" s="111" t="inlineStr">
        <is>
          <t>Nao</t>
        </is>
      </c>
      <c r="AB3442" s="111" t="inlineStr">
        <is>
          <t>NAO_COMPUTADO</t>
        </is>
      </c>
      <c r="AC3442" s="112" t="inlineStr">
        <is>
          <t>Estrutura Fase 1: sem impacto no VTA oficial</t>
        </is>
      </c>
    </row>
    <row r="3443" ht="25.5" customHeight="1" s="289">
      <c r="A3443" s="205" t="n"/>
      <c r="B3443" s="207" t="n"/>
      <c r="C3443" s="104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348" t="n"/>
      <c r="E3443" s="349">
        <f>IF(C3443="","",IFERROR(VLOOKUP(C3443,parametros!$A$11:$E$15,5,0),""))</f>
        <v/>
      </c>
      <c r="F3443" s="335">
        <f>IF(OR(D3443="",E3443=""),"",ROUND(D3443*E3443,2))</f>
        <v/>
      </c>
      <c r="G3443" s="106" t="n"/>
      <c r="H3443" s="350">
        <f>IF(G3443="Sim",IF(OR(F3443="",D3443="",L3443=""),"",IF(L3443="Sim",ROUND(F3443-D3443,2),0)),0)</f>
        <v/>
      </c>
      <c r="I3443" s="350">
        <f>IF(G3443="Sim",0,IF(OR(F3443="",L3443=""),"",F3443))</f>
        <v/>
      </c>
      <c r="J3443" s="350">
        <f>IF(G3443="Sim",0,IF(OR(F3443="",D3443="",L3443=""),"",IF(L3443="Sim",ROUND(F3443-D3443,2),0)))</f>
        <v/>
      </c>
      <c r="K3443" s="97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inlineStr">
        <is>
          <t>Nao</t>
        </is>
      </c>
      <c r="W3443" s="110" t="inlineStr">
        <is>
          <t>PC em analise</t>
        </is>
      </c>
      <c r="X3443" s="110" t="inlineStr">
        <is>
          <t>Pedido de Compra</t>
        </is>
      </c>
      <c r="Y3443" s="111" t="inlineStr">
        <is>
          <t>Impacto Potencial</t>
        </is>
      </c>
      <c r="Z3443" s="111" t="inlineStr">
        <is>
          <t>PC</t>
        </is>
      </c>
      <c r="AA3443" s="111" t="inlineStr">
        <is>
          <t>Nao</t>
        </is>
      </c>
      <c r="AB3443" s="111" t="inlineStr">
        <is>
          <t>NAO_COMPUTADO</t>
        </is>
      </c>
      <c r="AC3443" s="112" t="inlineStr">
        <is>
          <t>Estrutura Fase 1: sem impacto no VTA oficial</t>
        </is>
      </c>
    </row>
    <row r="3444" ht="25.5" customHeight="1" s="289">
      <c r="A3444" s="205" t="n"/>
      <c r="B3444" s="207" t="n"/>
      <c r="C3444" s="104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348" t="n"/>
      <c r="E3444" s="349">
        <f>IF(C3444="","",IFERROR(VLOOKUP(C3444,parametros!$A$11:$E$15,5,0),""))</f>
        <v/>
      </c>
      <c r="F3444" s="335">
        <f>IF(OR(D3444="",E3444=""),"",ROUND(D3444*E3444,2))</f>
        <v/>
      </c>
      <c r="G3444" s="106" t="n"/>
      <c r="H3444" s="350">
        <f>IF(G3444="Sim",IF(OR(F3444="",D3444="",L3444=""),"",IF(L3444="Sim",ROUND(F3444-D3444,2),0)),0)</f>
        <v/>
      </c>
      <c r="I3444" s="350">
        <f>IF(G3444="Sim",0,IF(OR(F3444="",L3444=""),"",F3444))</f>
        <v/>
      </c>
      <c r="J3444" s="350">
        <f>IF(G3444="Sim",0,IF(OR(F3444="",D3444="",L3444=""),"",IF(L3444="Sim",ROUND(F3444-D3444,2),0)))</f>
        <v/>
      </c>
      <c r="K3444" s="97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inlineStr">
        <is>
          <t>Nao</t>
        </is>
      </c>
      <c r="W3444" s="110" t="inlineStr">
        <is>
          <t>PC em analise</t>
        </is>
      </c>
      <c r="X3444" s="110" t="inlineStr">
        <is>
          <t>Pedido de Compra</t>
        </is>
      </c>
      <c r="Y3444" s="111" t="inlineStr">
        <is>
          <t>Impacto Potencial</t>
        </is>
      </c>
      <c r="Z3444" s="111" t="inlineStr">
        <is>
          <t>PC</t>
        </is>
      </c>
      <c r="AA3444" s="111" t="inlineStr">
        <is>
          <t>Nao</t>
        </is>
      </c>
      <c r="AB3444" s="111" t="inlineStr">
        <is>
          <t>NAO_COMPUTADO</t>
        </is>
      </c>
      <c r="AC3444" s="112" t="inlineStr">
        <is>
          <t>Estrutura Fase 1: sem impacto no VTA oficial</t>
        </is>
      </c>
    </row>
    <row r="3445" ht="25.5" customHeight="1" s="289">
      <c r="A3445" s="205" t="n"/>
      <c r="B3445" s="207" t="n"/>
      <c r="C3445" s="104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348" t="n"/>
      <c r="E3445" s="349">
        <f>IF(C3445="","",IFERROR(VLOOKUP(C3445,parametros!$A$11:$E$15,5,0),""))</f>
        <v/>
      </c>
      <c r="F3445" s="335">
        <f>IF(OR(D3445="",E3445=""),"",ROUND(D3445*E3445,2))</f>
        <v/>
      </c>
      <c r="G3445" s="106" t="n"/>
      <c r="H3445" s="350">
        <f>IF(G3445="Sim",IF(OR(F3445="",D3445="",L3445=""),"",IF(L3445="Sim",ROUND(F3445-D3445,2),0)),0)</f>
        <v/>
      </c>
      <c r="I3445" s="350">
        <f>IF(G3445="Sim",0,IF(OR(F3445="",L3445=""),"",F3445))</f>
        <v/>
      </c>
      <c r="J3445" s="350">
        <f>IF(G3445="Sim",0,IF(OR(F3445="",D3445="",L3445=""),"",IF(L3445="Sim",ROUND(F3445-D3445,2),0)))</f>
        <v/>
      </c>
      <c r="K3445" s="97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inlineStr">
        <is>
          <t>Nao</t>
        </is>
      </c>
      <c r="W3445" s="110" t="inlineStr">
        <is>
          <t>PC em analise</t>
        </is>
      </c>
      <c r="X3445" s="110" t="inlineStr">
        <is>
          <t>Pedido de Compra</t>
        </is>
      </c>
      <c r="Y3445" s="111" t="inlineStr">
        <is>
          <t>Impacto Potencial</t>
        </is>
      </c>
      <c r="Z3445" s="111" t="inlineStr">
        <is>
          <t>PC</t>
        </is>
      </c>
      <c r="AA3445" s="111" t="inlineStr">
        <is>
          <t>Nao</t>
        </is>
      </c>
      <c r="AB3445" s="111" t="inlineStr">
        <is>
          <t>NAO_COMPUTADO</t>
        </is>
      </c>
      <c r="AC3445" s="112" t="inlineStr">
        <is>
          <t>Estrutura Fase 1: sem impacto no VTA oficial</t>
        </is>
      </c>
    </row>
    <row r="3446" ht="25.5" customHeight="1" s="289">
      <c r="A3446" s="205" t="n"/>
      <c r="B3446" s="207" t="n"/>
      <c r="C3446" s="104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348" t="n"/>
      <c r="E3446" s="349">
        <f>IF(C3446="","",IFERROR(VLOOKUP(C3446,parametros!$A$11:$E$15,5,0),""))</f>
        <v/>
      </c>
      <c r="F3446" s="335">
        <f>IF(OR(D3446="",E3446=""),"",ROUND(D3446*E3446,2))</f>
        <v/>
      </c>
      <c r="G3446" s="106" t="n"/>
      <c r="H3446" s="350">
        <f>IF(G3446="Sim",IF(OR(F3446="",D3446="",L3446=""),"",IF(L3446="Sim",ROUND(F3446-D3446,2),0)),0)</f>
        <v/>
      </c>
      <c r="I3446" s="350">
        <f>IF(G3446="Sim",0,IF(OR(F3446="",L3446=""),"",F3446))</f>
        <v/>
      </c>
      <c r="J3446" s="350">
        <f>IF(G3446="Sim",0,IF(OR(F3446="",D3446="",L3446=""),"",IF(L3446="Sim",ROUND(F3446-D3446,2),0)))</f>
        <v/>
      </c>
      <c r="K3446" s="97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inlineStr">
        <is>
          <t>Nao</t>
        </is>
      </c>
      <c r="W3446" s="110" t="inlineStr">
        <is>
          <t>PC em analise</t>
        </is>
      </c>
      <c r="X3446" s="110" t="inlineStr">
        <is>
          <t>Pedido de Compra</t>
        </is>
      </c>
      <c r="Y3446" s="111" t="inlineStr">
        <is>
          <t>Impacto Potencial</t>
        </is>
      </c>
      <c r="Z3446" s="111" t="inlineStr">
        <is>
          <t>PC</t>
        </is>
      </c>
      <c r="AA3446" s="111" t="inlineStr">
        <is>
          <t>Nao</t>
        </is>
      </c>
      <c r="AB3446" s="111" t="inlineStr">
        <is>
          <t>NAO_COMPUTADO</t>
        </is>
      </c>
      <c r="AC3446" s="112" t="inlineStr">
        <is>
          <t>Estrutura Fase 1: sem impacto no VTA oficial</t>
        </is>
      </c>
    </row>
    <row r="3447" ht="25.5" customHeight="1" s="289">
      <c r="A3447" s="205" t="n"/>
      <c r="B3447" s="207" t="n"/>
      <c r="C3447" s="104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348" t="n"/>
      <c r="E3447" s="349">
        <f>IF(C3447="","",IFERROR(VLOOKUP(C3447,parametros!$A$11:$E$15,5,0),""))</f>
        <v/>
      </c>
      <c r="F3447" s="335">
        <f>IF(OR(D3447="",E3447=""),"",ROUND(D3447*E3447,2))</f>
        <v/>
      </c>
      <c r="G3447" s="106" t="n"/>
      <c r="H3447" s="350">
        <f>IF(G3447="Sim",IF(OR(F3447="",D3447="",L3447=""),"",IF(L3447="Sim",ROUND(F3447-D3447,2),0)),0)</f>
        <v/>
      </c>
      <c r="I3447" s="350">
        <f>IF(G3447="Sim",0,IF(OR(F3447="",L3447=""),"",F3447))</f>
        <v/>
      </c>
      <c r="J3447" s="350">
        <f>IF(G3447="Sim",0,IF(OR(F3447="",D3447="",L3447=""),"",IF(L3447="Sim",ROUND(F3447-D3447,2),0)))</f>
        <v/>
      </c>
      <c r="K3447" s="97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inlineStr">
        <is>
          <t>Nao</t>
        </is>
      </c>
      <c r="W3447" s="110" t="inlineStr">
        <is>
          <t>PC em analise</t>
        </is>
      </c>
      <c r="X3447" s="110" t="inlineStr">
        <is>
          <t>Pedido de Compra</t>
        </is>
      </c>
      <c r="Y3447" s="111" t="inlineStr">
        <is>
          <t>Impacto Potencial</t>
        </is>
      </c>
      <c r="Z3447" s="111" t="inlineStr">
        <is>
          <t>PC</t>
        </is>
      </c>
      <c r="AA3447" s="111" t="inlineStr">
        <is>
          <t>Nao</t>
        </is>
      </c>
      <c r="AB3447" s="111" t="inlineStr">
        <is>
          <t>NAO_COMPUTADO</t>
        </is>
      </c>
      <c r="AC3447" s="112" t="inlineStr">
        <is>
          <t>Estrutura Fase 1: sem impacto no VTA oficial</t>
        </is>
      </c>
    </row>
    <row r="3448" ht="25.5" customHeight="1" s="289">
      <c r="A3448" s="205" t="n"/>
      <c r="B3448" s="207" t="n"/>
      <c r="C3448" s="104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348" t="n"/>
      <c r="E3448" s="349">
        <f>IF(C3448="","",IFERROR(VLOOKUP(C3448,parametros!$A$11:$E$15,5,0),""))</f>
        <v/>
      </c>
      <c r="F3448" s="335">
        <f>IF(OR(D3448="",E3448=""),"",ROUND(D3448*E3448,2))</f>
        <v/>
      </c>
      <c r="G3448" s="106" t="n"/>
      <c r="H3448" s="350">
        <f>IF(G3448="Sim",IF(OR(F3448="",D3448="",L3448=""),"",IF(L3448="Sim",ROUND(F3448-D3448,2),0)),0)</f>
        <v/>
      </c>
      <c r="I3448" s="350">
        <f>IF(G3448="Sim",0,IF(OR(F3448="",L3448=""),"",F3448))</f>
        <v/>
      </c>
      <c r="J3448" s="350">
        <f>IF(G3448="Sim",0,IF(OR(F3448="",D3448="",L3448=""),"",IF(L3448="Sim",ROUND(F3448-D3448,2),0)))</f>
        <v/>
      </c>
      <c r="K3448" s="97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inlineStr">
        <is>
          <t>Nao</t>
        </is>
      </c>
      <c r="W3448" s="110" t="inlineStr">
        <is>
          <t>PC em analise</t>
        </is>
      </c>
      <c r="X3448" s="110" t="inlineStr">
        <is>
          <t>Pedido de Compra</t>
        </is>
      </c>
      <c r="Y3448" s="111" t="inlineStr">
        <is>
          <t>Impacto Potencial</t>
        </is>
      </c>
      <c r="Z3448" s="111" t="inlineStr">
        <is>
          <t>PC</t>
        </is>
      </c>
      <c r="AA3448" s="111" t="inlineStr">
        <is>
          <t>Nao</t>
        </is>
      </c>
      <c r="AB3448" s="111" t="inlineStr">
        <is>
          <t>NAO_COMPUTADO</t>
        </is>
      </c>
      <c r="AC3448" s="112" t="inlineStr">
        <is>
          <t>Estrutura Fase 1: sem impacto no VTA oficial</t>
        </is>
      </c>
    </row>
    <row r="3449" ht="25.5" customHeight="1" s="289">
      <c r="A3449" s="205" t="n"/>
      <c r="B3449" s="207" t="n"/>
      <c r="C3449" s="104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348" t="n"/>
      <c r="E3449" s="349">
        <f>IF(C3449="","",IFERROR(VLOOKUP(C3449,parametros!$A$11:$E$15,5,0),""))</f>
        <v/>
      </c>
      <c r="F3449" s="335">
        <f>IF(OR(D3449="",E3449=""),"",ROUND(D3449*E3449,2))</f>
        <v/>
      </c>
      <c r="G3449" s="106" t="n"/>
      <c r="H3449" s="350">
        <f>IF(G3449="Sim",IF(OR(F3449="",D3449="",L3449=""),"",IF(L3449="Sim",ROUND(F3449-D3449,2),0)),0)</f>
        <v/>
      </c>
      <c r="I3449" s="350">
        <f>IF(G3449="Sim",0,IF(OR(F3449="",L3449=""),"",F3449))</f>
        <v/>
      </c>
      <c r="J3449" s="350">
        <f>IF(G3449="Sim",0,IF(OR(F3449="",D3449="",L3449=""),"",IF(L3449="Sim",ROUND(F3449-D3449,2),0)))</f>
        <v/>
      </c>
      <c r="K3449" s="97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inlineStr">
        <is>
          <t>Nao</t>
        </is>
      </c>
      <c r="W3449" s="110" t="inlineStr">
        <is>
          <t>PC em analise</t>
        </is>
      </c>
      <c r="X3449" s="110" t="inlineStr">
        <is>
          <t>Pedido de Compra</t>
        </is>
      </c>
      <c r="Y3449" s="111" t="inlineStr">
        <is>
          <t>Impacto Potencial</t>
        </is>
      </c>
      <c r="Z3449" s="111" t="inlineStr">
        <is>
          <t>PC</t>
        </is>
      </c>
      <c r="AA3449" s="111" t="inlineStr">
        <is>
          <t>Nao</t>
        </is>
      </c>
      <c r="AB3449" s="111" t="inlineStr">
        <is>
          <t>NAO_COMPUTADO</t>
        </is>
      </c>
      <c r="AC3449" s="112" t="inlineStr">
        <is>
          <t>Estrutura Fase 1: sem impacto no VTA oficial</t>
        </is>
      </c>
    </row>
    <row r="3450" ht="25.5" customHeight="1" s="289">
      <c r="A3450" s="205" t="n"/>
      <c r="B3450" s="207" t="n"/>
      <c r="C3450" s="104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348" t="n"/>
      <c r="E3450" s="349">
        <f>IF(C3450="","",IFERROR(VLOOKUP(C3450,parametros!$A$11:$E$15,5,0),""))</f>
        <v/>
      </c>
      <c r="F3450" s="335">
        <f>IF(OR(D3450="",E3450=""),"",ROUND(D3450*E3450,2))</f>
        <v/>
      </c>
      <c r="G3450" s="106" t="n"/>
      <c r="H3450" s="350">
        <f>IF(G3450="Sim",IF(OR(F3450="",D3450="",L3450=""),"",IF(L3450="Sim",ROUND(F3450-D3450,2),0)),0)</f>
        <v/>
      </c>
      <c r="I3450" s="350">
        <f>IF(G3450="Sim",0,IF(OR(F3450="",L3450=""),"",F3450))</f>
        <v/>
      </c>
      <c r="J3450" s="350">
        <f>IF(G3450="Sim",0,IF(OR(F3450="",D3450="",L3450=""),"",IF(L3450="Sim",ROUND(F3450-D3450,2),0)))</f>
        <v/>
      </c>
      <c r="K3450" s="97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inlineStr">
        <is>
          <t>Nao</t>
        </is>
      </c>
      <c r="W3450" s="110" t="inlineStr">
        <is>
          <t>PC em analise</t>
        </is>
      </c>
      <c r="X3450" s="110" t="inlineStr">
        <is>
          <t>Pedido de Compra</t>
        </is>
      </c>
      <c r="Y3450" s="111" t="inlineStr">
        <is>
          <t>Impacto Potencial</t>
        </is>
      </c>
      <c r="Z3450" s="111" t="inlineStr">
        <is>
          <t>PC</t>
        </is>
      </c>
      <c r="AA3450" s="111" t="inlineStr">
        <is>
          <t>Nao</t>
        </is>
      </c>
      <c r="AB3450" s="111" t="inlineStr">
        <is>
          <t>NAO_COMPUTADO</t>
        </is>
      </c>
      <c r="AC3450" s="112" t="inlineStr">
        <is>
          <t>Estrutura Fase 1: sem impacto no VTA oficial</t>
        </is>
      </c>
    </row>
    <row r="3451" ht="25.5" customHeight="1" s="289">
      <c r="A3451" s="205" t="n"/>
      <c r="B3451" s="207" t="n"/>
      <c r="C3451" s="104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348" t="n"/>
      <c r="E3451" s="349">
        <f>IF(C3451="","",IFERROR(VLOOKUP(C3451,parametros!$A$11:$E$15,5,0),""))</f>
        <v/>
      </c>
      <c r="F3451" s="335">
        <f>IF(OR(D3451="",E3451=""),"",ROUND(D3451*E3451,2))</f>
        <v/>
      </c>
      <c r="G3451" s="106" t="n"/>
      <c r="H3451" s="350">
        <f>IF(G3451="Sim",IF(OR(F3451="",D3451="",L3451=""),"",IF(L3451="Sim",ROUND(F3451-D3451,2),0)),0)</f>
        <v/>
      </c>
      <c r="I3451" s="350">
        <f>IF(G3451="Sim",0,IF(OR(F3451="",L3451=""),"",F3451))</f>
        <v/>
      </c>
      <c r="J3451" s="350">
        <f>IF(G3451="Sim",0,IF(OR(F3451="",D3451="",L3451=""),"",IF(L3451="Sim",ROUND(F3451-D3451,2),0)))</f>
        <v/>
      </c>
      <c r="K3451" s="97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inlineStr">
        <is>
          <t>Nao</t>
        </is>
      </c>
      <c r="W3451" s="110" t="inlineStr">
        <is>
          <t>PC em analise</t>
        </is>
      </c>
      <c r="X3451" s="110" t="inlineStr">
        <is>
          <t>Pedido de Compra</t>
        </is>
      </c>
      <c r="Y3451" s="111" t="inlineStr">
        <is>
          <t>Impacto Potencial</t>
        </is>
      </c>
      <c r="Z3451" s="111" t="inlineStr">
        <is>
          <t>PC</t>
        </is>
      </c>
      <c r="AA3451" s="111" t="inlineStr">
        <is>
          <t>Nao</t>
        </is>
      </c>
      <c r="AB3451" s="111" t="inlineStr">
        <is>
          <t>NAO_COMPUTADO</t>
        </is>
      </c>
      <c r="AC3451" s="112" t="inlineStr">
        <is>
          <t>Estrutura Fase 1: sem impacto no VTA oficial</t>
        </is>
      </c>
    </row>
    <row r="3452" ht="25.5" customHeight="1" s="289">
      <c r="A3452" s="205" t="n"/>
      <c r="B3452" s="207" t="n"/>
      <c r="C3452" s="104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348" t="n"/>
      <c r="E3452" s="349">
        <f>IF(C3452="","",IFERROR(VLOOKUP(C3452,parametros!$A$11:$E$15,5,0),""))</f>
        <v/>
      </c>
      <c r="F3452" s="335">
        <f>IF(OR(D3452="",E3452=""),"",ROUND(D3452*E3452,2))</f>
        <v/>
      </c>
      <c r="G3452" s="106" t="n"/>
      <c r="H3452" s="350">
        <f>IF(G3452="Sim",IF(OR(F3452="",D3452="",L3452=""),"",IF(L3452="Sim",ROUND(F3452-D3452,2),0)),0)</f>
        <v/>
      </c>
      <c r="I3452" s="350">
        <f>IF(G3452="Sim",0,IF(OR(F3452="",L3452=""),"",F3452))</f>
        <v/>
      </c>
      <c r="J3452" s="350">
        <f>IF(G3452="Sim",0,IF(OR(F3452="",D3452="",L3452=""),"",IF(L3452="Sim",ROUND(F3452-D3452,2),0)))</f>
        <v/>
      </c>
      <c r="K3452" s="97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inlineStr">
        <is>
          <t>Nao</t>
        </is>
      </c>
      <c r="W3452" s="110" t="inlineStr">
        <is>
          <t>PC em analise</t>
        </is>
      </c>
      <c r="X3452" s="110" t="inlineStr">
        <is>
          <t>Pedido de Compra</t>
        </is>
      </c>
      <c r="Y3452" s="111" t="inlineStr">
        <is>
          <t>Impacto Potencial</t>
        </is>
      </c>
      <c r="Z3452" s="111" t="inlineStr">
        <is>
          <t>PC</t>
        </is>
      </c>
      <c r="AA3452" s="111" t="inlineStr">
        <is>
          <t>Nao</t>
        </is>
      </c>
      <c r="AB3452" s="111" t="inlineStr">
        <is>
          <t>NAO_COMPUTADO</t>
        </is>
      </c>
      <c r="AC3452" s="112" t="inlineStr">
        <is>
          <t>Estrutura Fase 1: sem impacto no VTA oficial</t>
        </is>
      </c>
    </row>
    <row r="3453" ht="25.5" customHeight="1" s="289">
      <c r="A3453" s="205" t="n"/>
      <c r="B3453" s="207" t="n"/>
      <c r="C3453" s="104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348" t="n"/>
      <c r="E3453" s="349">
        <f>IF(C3453="","",IFERROR(VLOOKUP(C3453,parametros!$A$11:$E$15,5,0),""))</f>
        <v/>
      </c>
      <c r="F3453" s="335">
        <f>IF(OR(D3453="",E3453=""),"",ROUND(D3453*E3453,2))</f>
        <v/>
      </c>
      <c r="G3453" s="106" t="n"/>
      <c r="H3453" s="350">
        <f>IF(G3453="Sim",IF(OR(F3453="",D3453="",L3453=""),"",IF(L3453="Sim",ROUND(F3453-D3453,2),0)),0)</f>
        <v/>
      </c>
      <c r="I3453" s="350">
        <f>IF(G3453="Sim",0,IF(OR(F3453="",L3453=""),"",F3453))</f>
        <v/>
      </c>
      <c r="J3453" s="350">
        <f>IF(G3453="Sim",0,IF(OR(F3453="",D3453="",L3453=""),"",IF(L3453="Sim",ROUND(F3453-D3453,2),0)))</f>
        <v/>
      </c>
      <c r="K3453" s="97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inlineStr">
        <is>
          <t>Nao</t>
        </is>
      </c>
      <c r="W3453" s="110" t="inlineStr">
        <is>
          <t>PC em analise</t>
        </is>
      </c>
      <c r="X3453" s="110" t="inlineStr">
        <is>
          <t>Pedido de Compra</t>
        </is>
      </c>
      <c r="Y3453" s="111" t="inlineStr">
        <is>
          <t>Impacto Potencial</t>
        </is>
      </c>
      <c r="Z3453" s="111" t="inlineStr">
        <is>
          <t>PC</t>
        </is>
      </c>
      <c r="AA3453" s="111" t="inlineStr">
        <is>
          <t>Nao</t>
        </is>
      </c>
      <c r="AB3453" s="111" t="inlineStr">
        <is>
          <t>NAO_COMPUTADO</t>
        </is>
      </c>
      <c r="AC3453" s="112" t="inlineStr">
        <is>
          <t>Estrutura Fase 1: sem impacto no VTA oficial</t>
        </is>
      </c>
    </row>
    <row r="3454" ht="25.5" customHeight="1" s="289">
      <c r="A3454" s="205" t="n"/>
      <c r="B3454" s="207" t="n"/>
      <c r="C3454" s="104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348" t="n"/>
      <c r="E3454" s="349">
        <f>IF(C3454="","",IFERROR(VLOOKUP(C3454,parametros!$A$11:$E$15,5,0),""))</f>
        <v/>
      </c>
      <c r="F3454" s="335">
        <f>IF(OR(D3454="",E3454=""),"",ROUND(D3454*E3454,2))</f>
        <v/>
      </c>
      <c r="G3454" s="106" t="n"/>
      <c r="H3454" s="350">
        <f>IF(G3454="Sim",IF(OR(F3454="",D3454="",L3454=""),"",IF(L3454="Sim",ROUND(F3454-D3454,2),0)),0)</f>
        <v/>
      </c>
      <c r="I3454" s="350">
        <f>IF(G3454="Sim",0,IF(OR(F3454="",L3454=""),"",F3454))</f>
        <v/>
      </c>
      <c r="J3454" s="350">
        <f>IF(G3454="Sim",0,IF(OR(F3454="",D3454="",L3454=""),"",IF(L3454="Sim",ROUND(F3454-D3454,2),0)))</f>
        <v/>
      </c>
      <c r="K3454" s="97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inlineStr">
        <is>
          <t>Nao</t>
        </is>
      </c>
      <c r="W3454" s="110" t="inlineStr">
        <is>
          <t>PC em analise</t>
        </is>
      </c>
      <c r="X3454" s="110" t="inlineStr">
        <is>
          <t>Pedido de Compra</t>
        </is>
      </c>
      <c r="Y3454" s="111" t="inlineStr">
        <is>
          <t>Impacto Potencial</t>
        </is>
      </c>
      <c r="Z3454" s="111" t="inlineStr">
        <is>
          <t>PC</t>
        </is>
      </c>
      <c r="AA3454" s="111" t="inlineStr">
        <is>
          <t>Nao</t>
        </is>
      </c>
      <c r="AB3454" s="111" t="inlineStr">
        <is>
          <t>NAO_COMPUTADO</t>
        </is>
      </c>
      <c r="AC3454" s="112" t="inlineStr">
        <is>
          <t>Estrutura Fase 1: sem impacto no VTA oficial</t>
        </is>
      </c>
    </row>
    <row r="3455" ht="25.5" customHeight="1" s="289">
      <c r="A3455" s="205" t="n"/>
      <c r="B3455" s="207" t="n"/>
      <c r="C3455" s="104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348" t="n"/>
      <c r="E3455" s="349">
        <f>IF(C3455="","",IFERROR(VLOOKUP(C3455,parametros!$A$11:$E$15,5,0),""))</f>
        <v/>
      </c>
      <c r="F3455" s="335">
        <f>IF(OR(D3455="",E3455=""),"",ROUND(D3455*E3455,2))</f>
        <v/>
      </c>
      <c r="G3455" s="106" t="n"/>
      <c r="H3455" s="350">
        <f>IF(G3455="Sim",IF(OR(F3455="",D3455="",L3455=""),"",IF(L3455="Sim",ROUND(F3455-D3455,2),0)),0)</f>
        <v/>
      </c>
      <c r="I3455" s="350">
        <f>IF(G3455="Sim",0,IF(OR(F3455="",L3455=""),"",F3455))</f>
        <v/>
      </c>
      <c r="J3455" s="350">
        <f>IF(G3455="Sim",0,IF(OR(F3455="",D3455="",L3455=""),"",IF(L3455="Sim",ROUND(F3455-D3455,2),0)))</f>
        <v/>
      </c>
      <c r="K3455" s="97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inlineStr">
        <is>
          <t>Nao</t>
        </is>
      </c>
      <c r="W3455" s="110" t="inlineStr">
        <is>
          <t>PC em analise</t>
        </is>
      </c>
      <c r="X3455" s="110" t="inlineStr">
        <is>
          <t>Pedido de Compra</t>
        </is>
      </c>
      <c r="Y3455" s="111" t="inlineStr">
        <is>
          <t>Impacto Potencial</t>
        </is>
      </c>
      <c r="Z3455" s="111" t="inlineStr">
        <is>
          <t>PC</t>
        </is>
      </c>
      <c r="AA3455" s="111" t="inlineStr">
        <is>
          <t>Nao</t>
        </is>
      </c>
      <c r="AB3455" s="111" t="inlineStr">
        <is>
          <t>NAO_COMPUTADO</t>
        </is>
      </c>
      <c r="AC3455" s="112" t="inlineStr">
        <is>
          <t>Estrutura Fase 1: sem impacto no VTA oficial</t>
        </is>
      </c>
    </row>
    <row r="3456" ht="25.5" customHeight="1" s="289">
      <c r="A3456" s="205" t="n"/>
      <c r="B3456" s="207" t="n"/>
      <c r="C3456" s="104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348" t="n"/>
      <c r="E3456" s="349">
        <f>IF(C3456="","",IFERROR(VLOOKUP(C3456,parametros!$A$11:$E$15,5,0),""))</f>
        <v/>
      </c>
      <c r="F3456" s="335">
        <f>IF(OR(D3456="",E3456=""),"",ROUND(D3456*E3456,2))</f>
        <v/>
      </c>
      <c r="G3456" s="106" t="n"/>
      <c r="H3456" s="350">
        <f>IF(G3456="Sim",IF(OR(F3456="",D3456="",L3456=""),"",IF(L3456="Sim",ROUND(F3456-D3456,2),0)),0)</f>
        <v/>
      </c>
      <c r="I3456" s="350">
        <f>IF(G3456="Sim",0,IF(OR(F3456="",L3456=""),"",F3456))</f>
        <v/>
      </c>
      <c r="J3456" s="350">
        <f>IF(G3456="Sim",0,IF(OR(F3456="",D3456="",L3456=""),"",IF(L3456="Sim",ROUND(F3456-D3456,2),0)))</f>
        <v/>
      </c>
      <c r="K3456" s="97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inlineStr">
        <is>
          <t>Nao</t>
        </is>
      </c>
      <c r="W3456" s="110" t="inlineStr">
        <is>
          <t>PC em analise</t>
        </is>
      </c>
      <c r="X3456" s="110" t="inlineStr">
        <is>
          <t>Pedido de Compra</t>
        </is>
      </c>
      <c r="Y3456" s="111" t="inlineStr">
        <is>
          <t>Impacto Potencial</t>
        </is>
      </c>
      <c r="Z3456" s="111" t="inlineStr">
        <is>
          <t>PC</t>
        </is>
      </c>
      <c r="AA3456" s="111" t="inlineStr">
        <is>
          <t>Nao</t>
        </is>
      </c>
      <c r="AB3456" s="111" t="inlineStr">
        <is>
          <t>NAO_COMPUTADO</t>
        </is>
      </c>
      <c r="AC3456" s="112" t="inlineStr">
        <is>
          <t>Estrutura Fase 1: sem impacto no VTA oficial</t>
        </is>
      </c>
    </row>
    <row r="3457" ht="25.5" customHeight="1" s="289">
      <c r="A3457" s="205" t="n"/>
      <c r="B3457" s="207" t="n"/>
      <c r="C3457" s="104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348" t="n"/>
      <c r="E3457" s="349">
        <f>IF(C3457="","",IFERROR(VLOOKUP(C3457,parametros!$A$11:$E$15,5,0),""))</f>
        <v/>
      </c>
      <c r="F3457" s="335">
        <f>IF(OR(D3457="",E3457=""),"",ROUND(D3457*E3457,2))</f>
        <v/>
      </c>
      <c r="G3457" s="106" t="n"/>
      <c r="H3457" s="350">
        <f>IF(G3457="Sim",IF(OR(F3457="",D3457="",L3457=""),"",IF(L3457="Sim",ROUND(F3457-D3457,2),0)),0)</f>
        <v/>
      </c>
      <c r="I3457" s="350">
        <f>IF(G3457="Sim",0,IF(OR(F3457="",L3457=""),"",F3457))</f>
        <v/>
      </c>
      <c r="J3457" s="350">
        <f>IF(G3457="Sim",0,IF(OR(F3457="",D3457="",L3457=""),"",IF(L3457="Sim",ROUND(F3457-D3457,2),0)))</f>
        <v/>
      </c>
      <c r="K3457" s="97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inlineStr">
        <is>
          <t>Nao</t>
        </is>
      </c>
      <c r="W3457" s="110" t="inlineStr">
        <is>
          <t>PC em analise</t>
        </is>
      </c>
      <c r="X3457" s="110" t="inlineStr">
        <is>
          <t>Pedido de Compra</t>
        </is>
      </c>
      <c r="Y3457" s="111" t="inlineStr">
        <is>
          <t>Impacto Potencial</t>
        </is>
      </c>
      <c r="Z3457" s="111" t="inlineStr">
        <is>
          <t>PC</t>
        </is>
      </c>
      <c r="AA3457" s="111" t="inlineStr">
        <is>
          <t>Nao</t>
        </is>
      </c>
      <c r="AB3457" s="111" t="inlineStr">
        <is>
          <t>NAO_COMPUTADO</t>
        </is>
      </c>
      <c r="AC3457" s="112" t="inlineStr">
        <is>
          <t>Estrutura Fase 1: sem impacto no VTA oficial</t>
        </is>
      </c>
    </row>
    <row r="3458" ht="25.5" customHeight="1" s="289">
      <c r="A3458" s="205" t="n"/>
      <c r="B3458" s="207" t="n"/>
      <c r="C3458" s="104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348" t="n"/>
      <c r="E3458" s="349">
        <f>IF(C3458="","",IFERROR(VLOOKUP(C3458,parametros!$A$11:$E$15,5,0),""))</f>
        <v/>
      </c>
      <c r="F3458" s="335">
        <f>IF(OR(D3458="",E3458=""),"",ROUND(D3458*E3458,2))</f>
        <v/>
      </c>
      <c r="G3458" s="106" t="n"/>
      <c r="H3458" s="350">
        <f>IF(G3458="Sim",IF(OR(F3458="",D3458="",L3458=""),"",IF(L3458="Sim",ROUND(F3458-D3458,2),0)),0)</f>
        <v/>
      </c>
      <c r="I3458" s="350">
        <f>IF(G3458="Sim",0,IF(OR(F3458="",L3458=""),"",F3458))</f>
        <v/>
      </c>
      <c r="J3458" s="350">
        <f>IF(G3458="Sim",0,IF(OR(F3458="",D3458="",L3458=""),"",IF(L3458="Sim",ROUND(F3458-D3458,2),0)))</f>
        <v/>
      </c>
      <c r="K3458" s="97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inlineStr">
        <is>
          <t>Nao</t>
        </is>
      </c>
      <c r="W3458" s="110" t="inlineStr">
        <is>
          <t>PC em analise</t>
        </is>
      </c>
      <c r="X3458" s="110" t="inlineStr">
        <is>
          <t>Pedido de Compra</t>
        </is>
      </c>
      <c r="Y3458" s="111" t="inlineStr">
        <is>
          <t>Impacto Potencial</t>
        </is>
      </c>
      <c r="Z3458" s="111" t="inlineStr">
        <is>
          <t>PC</t>
        </is>
      </c>
      <c r="AA3458" s="111" t="inlineStr">
        <is>
          <t>Nao</t>
        </is>
      </c>
      <c r="AB3458" s="111" t="inlineStr">
        <is>
          <t>NAO_COMPUTADO</t>
        </is>
      </c>
      <c r="AC3458" s="112" t="inlineStr">
        <is>
          <t>Estrutura Fase 1: sem impacto no VTA oficial</t>
        </is>
      </c>
    </row>
    <row r="3459" ht="25.5" customHeight="1" s="289">
      <c r="A3459" s="205" t="n"/>
      <c r="B3459" s="207" t="n"/>
      <c r="C3459" s="104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348" t="n"/>
      <c r="E3459" s="349">
        <f>IF(C3459="","",IFERROR(VLOOKUP(C3459,parametros!$A$11:$E$15,5,0),""))</f>
        <v/>
      </c>
      <c r="F3459" s="335">
        <f>IF(OR(D3459="",E3459=""),"",ROUND(D3459*E3459,2))</f>
        <v/>
      </c>
      <c r="G3459" s="106" t="n"/>
      <c r="H3459" s="350">
        <f>IF(G3459="Sim",IF(OR(F3459="",D3459="",L3459=""),"",IF(L3459="Sim",ROUND(F3459-D3459,2),0)),0)</f>
        <v/>
      </c>
      <c r="I3459" s="350">
        <f>IF(G3459="Sim",0,IF(OR(F3459="",L3459=""),"",F3459))</f>
        <v/>
      </c>
      <c r="J3459" s="350">
        <f>IF(G3459="Sim",0,IF(OR(F3459="",D3459="",L3459=""),"",IF(L3459="Sim",ROUND(F3459-D3459,2),0)))</f>
        <v/>
      </c>
      <c r="K3459" s="97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inlineStr">
        <is>
          <t>Nao</t>
        </is>
      </c>
      <c r="W3459" s="110" t="inlineStr">
        <is>
          <t>PC em analise</t>
        </is>
      </c>
      <c r="X3459" s="110" t="inlineStr">
        <is>
          <t>Pedido de Compra</t>
        </is>
      </c>
      <c r="Y3459" s="111" t="inlineStr">
        <is>
          <t>Impacto Potencial</t>
        </is>
      </c>
      <c r="Z3459" s="111" t="inlineStr">
        <is>
          <t>PC</t>
        </is>
      </c>
      <c r="AA3459" s="111" t="inlineStr">
        <is>
          <t>Nao</t>
        </is>
      </c>
      <c r="AB3459" s="111" t="inlineStr">
        <is>
          <t>NAO_COMPUTADO</t>
        </is>
      </c>
      <c r="AC3459" s="112" t="inlineStr">
        <is>
          <t>Estrutura Fase 1: sem impacto no VTA oficial</t>
        </is>
      </c>
    </row>
    <row r="3460" ht="25.5" customHeight="1" s="289">
      <c r="A3460" s="205" t="n"/>
      <c r="B3460" s="207" t="n"/>
      <c r="C3460" s="104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348" t="n"/>
      <c r="E3460" s="349">
        <f>IF(C3460="","",IFERROR(VLOOKUP(C3460,parametros!$A$11:$E$15,5,0),""))</f>
        <v/>
      </c>
      <c r="F3460" s="335">
        <f>IF(OR(D3460="",E3460=""),"",ROUND(D3460*E3460,2))</f>
        <v/>
      </c>
      <c r="G3460" s="106" t="n"/>
      <c r="H3460" s="350">
        <f>IF(G3460="Sim",IF(OR(F3460="",D3460="",L3460=""),"",IF(L3460="Sim",ROUND(F3460-D3460,2),0)),0)</f>
        <v/>
      </c>
      <c r="I3460" s="350">
        <f>IF(G3460="Sim",0,IF(OR(F3460="",L3460=""),"",F3460))</f>
        <v/>
      </c>
      <c r="J3460" s="350">
        <f>IF(G3460="Sim",0,IF(OR(F3460="",D3460="",L3460=""),"",IF(L3460="Sim",ROUND(F3460-D3460,2),0)))</f>
        <v/>
      </c>
      <c r="K3460" s="97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inlineStr">
        <is>
          <t>Nao</t>
        </is>
      </c>
      <c r="W3460" s="110" t="inlineStr">
        <is>
          <t>PC em analise</t>
        </is>
      </c>
      <c r="X3460" s="110" t="inlineStr">
        <is>
          <t>Pedido de Compra</t>
        </is>
      </c>
      <c r="Y3460" s="111" t="inlineStr">
        <is>
          <t>Impacto Potencial</t>
        </is>
      </c>
      <c r="Z3460" s="111" t="inlineStr">
        <is>
          <t>PC</t>
        </is>
      </c>
      <c r="AA3460" s="111" t="inlineStr">
        <is>
          <t>Nao</t>
        </is>
      </c>
      <c r="AB3460" s="111" t="inlineStr">
        <is>
          <t>NAO_COMPUTADO</t>
        </is>
      </c>
      <c r="AC3460" s="112" t="inlineStr">
        <is>
          <t>Estrutura Fase 1: sem impacto no VTA oficial</t>
        </is>
      </c>
    </row>
    <row r="3461" ht="25.5" customHeight="1" s="289">
      <c r="A3461" s="205" t="n"/>
      <c r="B3461" s="207" t="n"/>
      <c r="C3461" s="104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348" t="n"/>
      <c r="E3461" s="349">
        <f>IF(C3461="","",IFERROR(VLOOKUP(C3461,parametros!$A$11:$E$15,5,0),""))</f>
        <v/>
      </c>
      <c r="F3461" s="335">
        <f>IF(OR(D3461="",E3461=""),"",ROUND(D3461*E3461,2))</f>
        <v/>
      </c>
      <c r="G3461" s="106" t="n"/>
      <c r="H3461" s="350">
        <f>IF(G3461="Sim",IF(OR(F3461="",D3461="",L3461=""),"",IF(L3461="Sim",ROUND(F3461-D3461,2),0)),0)</f>
        <v/>
      </c>
      <c r="I3461" s="350">
        <f>IF(G3461="Sim",0,IF(OR(F3461="",L3461=""),"",F3461))</f>
        <v/>
      </c>
      <c r="J3461" s="350">
        <f>IF(G3461="Sim",0,IF(OR(F3461="",D3461="",L3461=""),"",IF(L3461="Sim",ROUND(F3461-D3461,2),0)))</f>
        <v/>
      </c>
      <c r="K3461" s="97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inlineStr">
        <is>
          <t>Nao</t>
        </is>
      </c>
      <c r="W3461" s="110" t="inlineStr">
        <is>
          <t>PC em analise</t>
        </is>
      </c>
      <c r="X3461" s="110" t="inlineStr">
        <is>
          <t>Pedido de Compra</t>
        </is>
      </c>
      <c r="Y3461" s="111" t="inlineStr">
        <is>
          <t>Impacto Potencial</t>
        </is>
      </c>
      <c r="Z3461" s="111" t="inlineStr">
        <is>
          <t>PC</t>
        </is>
      </c>
      <c r="AA3461" s="111" t="inlineStr">
        <is>
          <t>Nao</t>
        </is>
      </c>
      <c r="AB3461" s="111" t="inlineStr">
        <is>
          <t>NAO_COMPUTADO</t>
        </is>
      </c>
      <c r="AC3461" s="112" t="inlineStr">
        <is>
          <t>Estrutura Fase 1: sem impacto no VTA oficial</t>
        </is>
      </c>
    </row>
    <row r="3462" ht="25.5" customHeight="1" s="289">
      <c r="A3462" s="205" t="n"/>
      <c r="B3462" s="207" t="n"/>
      <c r="C3462" s="104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348" t="n"/>
      <c r="E3462" s="349">
        <f>IF(C3462="","",IFERROR(VLOOKUP(C3462,parametros!$A$11:$E$15,5,0),""))</f>
        <v/>
      </c>
      <c r="F3462" s="335">
        <f>IF(OR(D3462="",E3462=""),"",ROUND(D3462*E3462,2))</f>
        <v/>
      </c>
      <c r="G3462" s="106" t="n"/>
      <c r="H3462" s="350">
        <f>IF(G3462="Sim",IF(OR(F3462="",D3462="",L3462=""),"",IF(L3462="Sim",ROUND(F3462-D3462,2),0)),0)</f>
        <v/>
      </c>
      <c r="I3462" s="350">
        <f>IF(G3462="Sim",0,IF(OR(F3462="",L3462=""),"",F3462))</f>
        <v/>
      </c>
      <c r="J3462" s="350">
        <f>IF(G3462="Sim",0,IF(OR(F3462="",D3462="",L3462=""),"",IF(L3462="Sim",ROUND(F3462-D3462,2),0)))</f>
        <v/>
      </c>
      <c r="K3462" s="97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inlineStr">
        <is>
          <t>Nao</t>
        </is>
      </c>
      <c r="W3462" s="110" t="inlineStr">
        <is>
          <t>PC em analise</t>
        </is>
      </c>
      <c r="X3462" s="110" t="inlineStr">
        <is>
          <t>Pedido de Compra</t>
        </is>
      </c>
      <c r="Y3462" s="111" t="inlineStr">
        <is>
          <t>Impacto Potencial</t>
        </is>
      </c>
      <c r="Z3462" s="111" t="inlineStr">
        <is>
          <t>PC</t>
        </is>
      </c>
      <c r="AA3462" s="111" t="inlineStr">
        <is>
          <t>Nao</t>
        </is>
      </c>
      <c r="AB3462" s="111" t="inlineStr">
        <is>
          <t>NAO_COMPUTADO</t>
        </is>
      </c>
      <c r="AC3462" s="112" t="inlineStr">
        <is>
          <t>Estrutura Fase 1: sem impacto no VTA oficial</t>
        </is>
      </c>
    </row>
    <row r="3463" ht="25.5" customHeight="1" s="289">
      <c r="A3463" s="205" t="n"/>
      <c r="B3463" s="207" t="n"/>
      <c r="C3463" s="104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348" t="n"/>
      <c r="E3463" s="349">
        <f>IF(C3463="","",IFERROR(VLOOKUP(C3463,parametros!$A$11:$E$15,5,0),""))</f>
        <v/>
      </c>
      <c r="F3463" s="335">
        <f>IF(OR(D3463="",E3463=""),"",ROUND(D3463*E3463,2))</f>
        <v/>
      </c>
      <c r="G3463" s="106" t="n"/>
      <c r="H3463" s="350">
        <f>IF(G3463="Sim",IF(OR(F3463="",D3463="",L3463=""),"",IF(L3463="Sim",ROUND(F3463-D3463,2),0)),0)</f>
        <v/>
      </c>
      <c r="I3463" s="350">
        <f>IF(G3463="Sim",0,IF(OR(F3463="",L3463=""),"",F3463))</f>
        <v/>
      </c>
      <c r="J3463" s="350">
        <f>IF(G3463="Sim",0,IF(OR(F3463="",D3463="",L3463=""),"",IF(L3463="Sim",ROUND(F3463-D3463,2),0)))</f>
        <v/>
      </c>
      <c r="K3463" s="97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inlineStr">
        <is>
          <t>Nao</t>
        </is>
      </c>
      <c r="W3463" s="110" t="inlineStr">
        <is>
          <t>PC em analise</t>
        </is>
      </c>
      <c r="X3463" s="110" t="inlineStr">
        <is>
          <t>Pedido de Compra</t>
        </is>
      </c>
      <c r="Y3463" s="111" t="inlineStr">
        <is>
          <t>Impacto Potencial</t>
        </is>
      </c>
      <c r="Z3463" s="111" t="inlineStr">
        <is>
          <t>PC</t>
        </is>
      </c>
      <c r="AA3463" s="111" t="inlineStr">
        <is>
          <t>Nao</t>
        </is>
      </c>
      <c r="AB3463" s="111" t="inlineStr">
        <is>
          <t>NAO_COMPUTADO</t>
        </is>
      </c>
      <c r="AC3463" s="112" t="inlineStr">
        <is>
          <t>Estrutura Fase 1: sem impacto no VTA oficial</t>
        </is>
      </c>
    </row>
    <row r="3464" ht="25.5" customHeight="1" s="289">
      <c r="A3464" s="205" t="n"/>
      <c r="B3464" s="207" t="n"/>
      <c r="C3464" s="104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348" t="n"/>
      <c r="E3464" s="349">
        <f>IF(C3464="","",IFERROR(VLOOKUP(C3464,parametros!$A$11:$E$15,5,0),""))</f>
        <v/>
      </c>
      <c r="F3464" s="335">
        <f>IF(OR(D3464="",E3464=""),"",ROUND(D3464*E3464,2))</f>
        <v/>
      </c>
      <c r="G3464" s="106" t="n"/>
      <c r="H3464" s="350">
        <f>IF(G3464="Sim",IF(OR(F3464="",D3464="",L3464=""),"",IF(L3464="Sim",ROUND(F3464-D3464,2),0)),0)</f>
        <v/>
      </c>
      <c r="I3464" s="350">
        <f>IF(G3464="Sim",0,IF(OR(F3464="",L3464=""),"",F3464))</f>
        <v/>
      </c>
      <c r="J3464" s="350">
        <f>IF(G3464="Sim",0,IF(OR(F3464="",D3464="",L3464=""),"",IF(L3464="Sim",ROUND(F3464-D3464,2),0)))</f>
        <v/>
      </c>
      <c r="K3464" s="97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inlineStr">
        <is>
          <t>Nao</t>
        </is>
      </c>
      <c r="W3464" s="110" t="inlineStr">
        <is>
          <t>PC em analise</t>
        </is>
      </c>
      <c r="X3464" s="110" t="inlineStr">
        <is>
          <t>Pedido de Compra</t>
        </is>
      </c>
      <c r="Y3464" s="111" t="inlineStr">
        <is>
          <t>Impacto Potencial</t>
        </is>
      </c>
      <c r="Z3464" s="111" t="inlineStr">
        <is>
          <t>PC</t>
        </is>
      </c>
      <c r="AA3464" s="111" t="inlineStr">
        <is>
          <t>Nao</t>
        </is>
      </c>
      <c r="AB3464" s="111" t="inlineStr">
        <is>
          <t>NAO_COMPUTADO</t>
        </is>
      </c>
      <c r="AC3464" s="112" t="inlineStr">
        <is>
          <t>Estrutura Fase 1: sem impacto no VTA oficial</t>
        </is>
      </c>
    </row>
    <row r="3465" ht="25.5" customHeight="1" s="289">
      <c r="A3465" s="205" t="n"/>
      <c r="B3465" s="207" t="n"/>
      <c r="C3465" s="104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348" t="n"/>
      <c r="E3465" s="349">
        <f>IF(C3465="","",IFERROR(VLOOKUP(C3465,parametros!$A$11:$E$15,5,0),""))</f>
        <v/>
      </c>
      <c r="F3465" s="335">
        <f>IF(OR(D3465="",E3465=""),"",ROUND(D3465*E3465,2))</f>
        <v/>
      </c>
      <c r="G3465" s="106" t="n"/>
      <c r="H3465" s="350">
        <f>IF(G3465="Sim",IF(OR(F3465="",D3465="",L3465=""),"",IF(L3465="Sim",ROUND(F3465-D3465,2),0)),0)</f>
        <v/>
      </c>
      <c r="I3465" s="350">
        <f>IF(G3465="Sim",0,IF(OR(F3465="",L3465=""),"",F3465))</f>
        <v/>
      </c>
      <c r="J3465" s="350">
        <f>IF(G3465="Sim",0,IF(OR(F3465="",D3465="",L3465=""),"",IF(L3465="Sim",ROUND(F3465-D3465,2),0)))</f>
        <v/>
      </c>
      <c r="K3465" s="97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inlineStr">
        <is>
          <t>Nao</t>
        </is>
      </c>
      <c r="W3465" s="110" t="inlineStr">
        <is>
          <t>PC em analise</t>
        </is>
      </c>
      <c r="X3465" s="110" t="inlineStr">
        <is>
          <t>Pedido de Compra</t>
        </is>
      </c>
      <c r="Y3465" s="111" t="inlineStr">
        <is>
          <t>Impacto Potencial</t>
        </is>
      </c>
      <c r="Z3465" s="111" t="inlineStr">
        <is>
          <t>PC</t>
        </is>
      </c>
      <c r="AA3465" s="111" t="inlineStr">
        <is>
          <t>Nao</t>
        </is>
      </c>
      <c r="AB3465" s="111" t="inlineStr">
        <is>
          <t>NAO_COMPUTADO</t>
        </is>
      </c>
      <c r="AC3465" s="112" t="inlineStr">
        <is>
          <t>Estrutura Fase 1: sem impacto no VTA oficial</t>
        </is>
      </c>
    </row>
    <row r="3466" ht="25.5" customHeight="1" s="289">
      <c r="A3466" s="205" t="n"/>
      <c r="B3466" s="207" t="n"/>
      <c r="C3466" s="104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348" t="n"/>
      <c r="E3466" s="349">
        <f>IF(C3466="","",IFERROR(VLOOKUP(C3466,parametros!$A$11:$E$15,5,0),""))</f>
        <v/>
      </c>
      <c r="F3466" s="335">
        <f>IF(OR(D3466="",E3466=""),"",ROUND(D3466*E3466,2))</f>
        <v/>
      </c>
      <c r="G3466" s="106" t="n"/>
      <c r="H3466" s="350">
        <f>IF(G3466="Sim",IF(OR(F3466="",D3466="",L3466=""),"",IF(L3466="Sim",ROUND(F3466-D3466,2),0)),0)</f>
        <v/>
      </c>
      <c r="I3466" s="350">
        <f>IF(G3466="Sim",0,IF(OR(F3466="",L3466=""),"",F3466))</f>
        <v/>
      </c>
      <c r="J3466" s="350">
        <f>IF(G3466="Sim",0,IF(OR(F3466="",D3466="",L3466=""),"",IF(L3466="Sim",ROUND(F3466-D3466,2),0)))</f>
        <v/>
      </c>
      <c r="K3466" s="97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inlineStr">
        <is>
          <t>Nao</t>
        </is>
      </c>
      <c r="W3466" s="110" t="inlineStr">
        <is>
          <t>PC em analise</t>
        </is>
      </c>
      <c r="X3466" s="110" t="inlineStr">
        <is>
          <t>Pedido de Compra</t>
        </is>
      </c>
      <c r="Y3466" s="111" t="inlineStr">
        <is>
          <t>Impacto Potencial</t>
        </is>
      </c>
      <c r="Z3466" s="111" t="inlineStr">
        <is>
          <t>PC</t>
        </is>
      </c>
      <c r="AA3466" s="111" t="inlineStr">
        <is>
          <t>Nao</t>
        </is>
      </c>
      <c r="AB3466" s="111" t="inlineStr">
        <is>
          <t>NAO_COMPUTADO</t>
        </is>
      </c>
      <c r="AC3466" s="112" t="inlineStr">
        <is>
          <t>Estrutura Fase 1: sem impacto no VTA oficial</t>
        </is>
      </c>
    </row>
    <row r="3467" ht="25.5" customHeight="1" s="289">
      <c r="A3467" s="205" t="n"/>
      <c r="B3467" s="207" t="n"/>
      <c r="C3467" s="104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348" t="n"/>
      <c r="E3467" s="349">
        <f>IF(C3467="","",IFERROR(VLOOKUP(C3467,parametros!$A$11:$E$15,5,0),""))</f>
        <v/>
      </c>
      <c r="F3467" s="335">
        <f>IF(OR(D3467="",E3467=""),"",ROUND(D3467*E3467,2))</f>
        <v/>
      </c>
      <c r="G3467" s="106" t="n"/>
      <c r="H3467" s="350">
        <f>IF(G3467="Sim",IF(OR(F3467="",D3467="",L3467=""),"",IF(L3467="Sim",ROUND(F3467-D3467,2),0)),0)</f>
        <v/>
      </c>
      <c r="I3467" s="350">
        <f>IF(G3467="Sim",0,IF(OR(F3467="",L3467=""),"",F3467))</f>
        <v/>
      </c>
      <c r="J3467" s="350">
        <f>IF(G3467="Sim",0,IF(OR(F3467="",D3467="",L3467=""),"",IF(L3467="Sim",ROUND(F3467-D3467,2),0)))</f>
        <v/>
      </c>
      <c r="K3467" s="97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inlineStr">
        <is>
          <t>Nao</t>
        </is>
      </c>
      <c r="W3467" s="110" t="inlineStr">
        <is>
          <t>PC em analise</t>
        </is>
      </c>
      <c r="X3467" s="110" t="inlineStr">
        <is>
          <t>Pedido de Compra</t>
        </is>
      </c>
      <c r="Y3467" s="111" t="inlineStr">
        <is>
          <t>Impacto Potencial</t>
        </is>
      </c>
      <c r="Z3467" s="111" t="inlineStr">
        <is>
          <t>PC</t>
        </is>
      </c>
      <c r="AA3467" s="111" t="inlineStr">
        <is>
          <t>Nao</t>
        </is>
      </c>
      <c r="AB3467" s="111" t="inlineStr">
        <is>
          <t>NAO_COMPUTADO</t>
        </is>
      </c>
      <c r="AC3467" s="112" t="inlineStr">
        <is>
          <t>Estrutura Fase 1: sem impacto no VTA oficial</t>
        </is>
      </c>
    </row>
    <row r="3468" ht="25.5" customHeight="1" s="289">
      <c r="A3468" s="205" t="n"/>
      <c r="B3468" s="207" t="n"/>
      <c r="C3468" s="104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348" t="n"/>
      <c r="E3468" s="349">
        <f>IF(C3468="","",IFERROR(VLOOKUP(C3468,parametros!$A$11:$E$15,5,0),""))</f>
        <v/>
      </c>
      <c r="F3468" s="335">
        <f>IF(OR(D3468="",E3468=""),"",ROUND(D3468*E3468,2))</f>
        <v/>
      </c>
      <c r="G3468" s="106" t="n"/>
      <c r="H3468" s="350">
        <f>IF(G3468="Sim",IF(OR(F3468="",D3468="",L3468=""),"",IF(L3468="Sim",ROUND(F3468-D3468,2),0)),0)</f>
        <v/>
      </c>
      <c r="I3468" s="350">
        <f>IF(G3468="Sim",0,IF(OR(F3468="",L3468=""),"",F3468))</f>
        <v/>
      </c>
      <c r="J3468" s="350">
        <f>IF(G3468="Sim",0,IF(OR(F3468="",D3468="",L3468=""),"",IF(L3468="Sim",ROUND(F3468-D3468,2),0)))</f>
        <v/>
      </c>
      <c r="K3468" s="97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inlineStr">
        <is>
          <t>Nao</t>
        </is>
      </c>
      <c r="W3468" s="110" t="inlineStr">
        <is>
          <t>PC em analise</t>
        </is>
      </c>
      <c r="X3468" s="110" t="inlineStr">
        <is>
          <t>Pedido de Compra</t>
        </is>
      </c>
      <c r="Y3468" s="111" t="inlineStr">
        <is>
          <t>Impacto Potencial</t>
        </is>
      </c>
      <c r="Z3468" s="111" t="inlineStr">
        <is>
          <t>PC</t>
        </is>
      </c>
      <c r="AA3468" s="111" t="inlineStr">
        <is>
          <t>Nao</t>
        </is>
      </c>
      <c r="AB3468" s="111" t="inlineStr">
        <is>
          <t>NAO_COMPUTADO</t>
        </is>
      </c>
      <c r="AC3468" s="112" t="inlineStr">
        <is>
          <t>Estrutura Fase 1: sem impacto no VTA oficial</t>
        </is>
      </c>
    </row>
    <row r="3469" ht="25.5" customHeight="1" s="289">
      <c r="A3469" s="205" t="n"/>
      <c r="B3469" s="207" t="n"/>
      <c r="C3469" s="104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348" t="n"/>
      <c r="E3469" s="349">
        <f>IF(C3469="","",IFERROR(VLOOKUP(C3469,parametros!$A$11:$E$15,5,0),""))</f>
        <v/>
      </c>
      <c r="F3469" s="335">
        <f>IF(OR(D3469="",E3469=""),"",ROUND(D3469*E3469,2))</f>
        <v/>
      </c>
      <c r="G3469" s="106" t="n"/>
      <c r="H3469" s="350">
        <f>IF(G3469="Sim",IF(OR(F3469="",D3469="",L3469=""),"",IF(L3469="Sim",ROUND(F3469-D3469,2),0)),0)</f>
        <v/>
      </c>
      <c r="I3469" s="350">
        <f>IF(G3469="Sim",0,IF(OR(F3469="",L3469=""),"",F3469))</f>
        <v/>
      </c>
      <c r="J3469" s="350">
        <f>IF(G3469="Sim",0,IF(OR(F3469="",D3469="",L3469=""),"",IF(L3469="Sim",ROUND(F3469-D3469,2),0)))</f>
        <v/>
      </c>
      <c r="K3469" s="97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inlineStr">
        <is>
          <t>Nao</t>
        </is>
      </c>
      <c r="W3469" s="110" t="inlineStr">
        <is>
          <t>PC em analise</t>
        </is>
      </c>
      <c r="X3469" s="110" t="inlineStr">
        <is>
          <t>Pedido de Compra</t>
        </is>
      </c>
      <c r="Y3469" s="111" t="inlineStr">
        <is>
          <t>Impacto Potencial</t>
        </is>
      </c>
      <c r="Z3469" s="111" t="inlineStr">
        <is>
          <t>PC</t>
        </is>
      </c>
      <c r="AA3469" s="111" t="inlineStr">
        <is>
          <t>Nao</t>
        </is>
      </c>
      <c r="AB3469" s="111" t="inlineStr">
        <is>
          <t>NAO_COMPUTADO</t>
        </is>
      </c>
      <c r="AC3469" s="112" t="inlineStr">
        <is>
          <t>Estrutura Fase 1: sem impacto no VTA oficial</t>
        </is>
      </c>
    </row>
    <row r="3470" ht="25.5" customHeight="1" s="289">
      <c r="A3470" s="205" t="n"/>
      <c r="B3470" s="207" t="n"/>
      <c r="C3470" s="104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348" t="n"/>
      <c r="E3470" s="349">
        <f>IF(C3470="","",IFERROR(VLOOKUP(C3470,parametros!$A$11:$E$15,5,0),""))</f>
        <v/>
      </c>
      <c r="F3470" s="335">
        <f>IF(OR(D3470="",E3470=""),"",ROUND(D3470*E3470,2))</f>
        <v/>
      </c>
      <c r="G3470" s="106" t="n"/>
      <c r="H3470" s="350">
        <f>IF(G3470="Sim",IF(OR(F3470="",D3470="",L3470=""),"",IF(L3470="Sim",ROUND(F3470-D3470,2),0)),0)</f>
        <v/>
      </c>
      <c r="I3470" s="350">
        <f>IF(G3470="Sim",0,IF(OR(F3470="",L3470=""),"",F3470))</f>
        <v/>
      </c>
      <c r="J3470" s="350">
        <f>IF(G3470="Sim",0,IF(OR(F3470="",D3470="",L3470=""),"",IF(L3470="Sim",ROUND(F3470-D3470,2),0)))</f>
        <v/>
      </c>
      <c r="K3470" s="97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inlineStr">
        <is>
          <t>Nao</t>
        </is>
      </c>
      <c r="W3470" s="110" t="inlineStr">
        <is>
          <t>PC em analise</t>
        </is>
      </c>
      <c r="X3470" s="110" t="inlineStr">
        <is>
          <t>Pedido de Compra</t>
        </is>
      </c>
      <c r="Y3470" s="111" t="inlineStr">
        <is>
          <t>Impacto Potencial</t>
        </is>
      </c>
      <c r="Z3470" s="111" t="inlineStr">
        <is>
          <t>PC</t>
        </is>
      </c>
      <c r="AA3470" s="111" t="inlineStr">
        <is>
          <t>Nao</t>
        </is>
      </c>
      <c r="AB3470" s="111" t="inlineStr">
        <is>
          <t>NAO_COMPUTADO</t>
        </is>
      </c>
      <c r="AC3470" s="112" t="inlineStr">
        <is>
          <t>Estrutura Fase 1: sem impacto no VTA oficial</t>
        </is>
      </c>
    </row>
    <row r="3471" ht="25.5" customHeight="1" s="289">
      <c r="A3471" s="205" t="n"/>
      <c r="B3471" s="207" t="n"/>
      <c r="C3471" s="104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348" t="n"/>
      <c r="E3471" s="349">
        <f>IF(C3471="","",IFERROR(VLOOKUP(C3471,parametros!$A$11:$E$15,5,0),""))</f>
        <v/>
      </c>
      <c r="F3471" s="335">
        <f>IF(OR(D3471="",E3471=""),"",ROUND(D3471*E3471,2))</f>
        <v/>
      </c>
      <c r="G3471" s="106" t="n"/>
      <c r="H3471" s="350">
        <f>IF(G3471="Sim",IF(OR(F3471="",D3471="",L3471=""),"",IF(L3471="Sim",ROUND(F3471-D3471,2),0)),0)</f>
        <v/>
      </c>
      <c r="I3471" s="350">
        <f>IF(G3471="Sim",0,IF(OR(F3471="",L3471=""),"",F3471))</f>
        <v/>
      </c>
      <c r="J3471" s="350">
        <f>IF(G3471="Sim",0,IF(OR(F3471="",D3471="",L3471=""),"",IF(L3471="Sim",ROUND(F3471-D3471,2),0)))</f>
        <v/>
      </c>
      <c r="K3471" s="97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inlineStr">
        <is>
          <t>Nao</t>
        </is>
      </c>
      <c r="W3471" s="110" t="inlineStr">
        <is>
          <t>PC em analise</t>
        </is>
      </c>
      <c r="X3471" s="110" t="inlineStr">
        <is>
          <t>Pedido de Compra</t>
        </is>
      </c>
      <c r="Y3471" s="111" t="inlineStr">
        <is>
          <t>Impacto Potencial</t>
        </is>
      </c>
      <c r="Z3471" s="111" t="inlineStr">
        <is>
          <t>PC</t>
        </is>
      </c>
      <c r="AA3471" s="111" t="inlineStr">
        <is>
          <t>Nao</t>
        </is>
      </c>
      <c r="AB3471" s="111" t="inlineStr">
        <is>
          <t>NAO_COMPUTADO</t>
        </is>
      </c>
      <c r="AC3471" s="112" t="inlineStr">
        <is>
          <t>Estrutura Fase 1: sem impacto no VTA oficial</t>
        </is>
      </c>
    </row>
    <row r="3472" ht="25.5" customHeight="1" s="289">
      <c r="A3472" s="205" t="n"/>
      <c r="B3472" s="207" t="n"/>
      <c r="C3472" s="104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348" t="n"/>
      <c r="E3472" s="349">
        <f>IF(C3472="","",IFERROR(VLOOKUP(C3472,parametros!$A$11:$E$15,5,0),""))</f>
        <v/>
      </c>
      <c r="F3472" s="335">
        <f>IF(OR(D3472="",E3472=""),"",ROUND(D3472*E3472,2))</f>
        <v/>
      </c>
      <c r="G3472" s="106" t="n"/>
      <c r="H3472" s="350">
        <f>IF(G3472="Sim",IF(OR(F3472="",D3472="",L3472=""),"",IF(L3472="Sim",ROUND(F3472-D3472,2),0)),0)</f>
        <v/>
      </c>
      <c r="I3472" s="350">
        <f>IF(G3472="Sim",0,IF(OR(F3472="",L3472=""),"",F3472))</f>
        <v/>
      </c>
      <c r="J3472" s="350">
        <f>IF(G3472="Sim",0,IF(OR(F3472="",D3472="",L3472=""),"",IF(L3472="Sim",ROUND(F3472-D3472,2),0)))</f>
        <v/>
      </c>
      <c r="K3472" s="97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inlineStr">
        <is>
          <t>Nao</t>
        </is>
      </c>
      <c r="W3472" s="110" t="inlineStr">
        <is>
          <t>PC em analise</t>
        </is>
      </c>
      <c r="X3472" s="110" t="inlineStr">
        <is>
          <t>Pedido de Compra</t>
        </is>
      </c>
      <c r="Y3472" s="111" t="inlineStr">
        <is>
          <t>Impacto Potencial</t>
        </is>
      </c>
      <c r="Z3472" s="111" t="inlineStr">
        <is>
          <t>PC</t>
        </is>
      </c>
      <c r="AA3472" s="111" t="inlineStr">
        <is>
          <t>Nao</t>
        </is>
      </c>
      <c r="AB3472" s="111" t="inlineStr">
        <is>
          <t>NAO_COMPUTADO</t>
        </is>
      </c>
      <c r="AC3472" s="112" t="inlineStr">
        <is>
          <t>Estrutura Fase 1: sem impacto no VTA oficial</t>
        </is>
      </c>
    </row>
    <row r="3473" ht="25.5" customHeight="1" s="289">
      <c r="A3473" s="205" t="n"/>
      <c r="B3473" s="207" t="n"/>
      <c r="C3473" s="104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348" t="n"/>
      <c r="E3473" s="349">
        <f>IF(C3473="","",IFERROR(VLOOKUP(C3473,parametros!$A$11:$E$15,5,0),""))</f>
        <v/>
      </c>
      <c r="F3473" s="335">
        <f>IF(OR(D3473="",E3473=""),"",ROUND(D3473*E3473,2))</f>
        <v/>
      </c>
      <c r="G3473" s="106" t="n"/>
      <c r="H3473" s="350">
        <f>IF(G3473="Sim",IF(OR(F3473="",D3473="",L3473=""),"",IF(L3473="Sim",ROUND(F3473-D3473,2),0)),0)</f>
        <v/>
      </c>
      <c r="I3473" s="350">
        <f>IF(G3473="Sim",0,IF(OR(F3473="",L3473=""),"",F3473))</f>
        <v/>
      </c>
      <c r="J3473" s="350">
        <f>IF(G3473="Sim",0,IF(OR(F3473="",D3473="",L3473=""),"",IF(L3473="Sim",ROUND(F3473-D3473,2),0)))</f>
        <v/>
      </c>
      <c r="K3473" s="97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inlineStr">
        <is>
          <t>Nao</t>
        </is>
      </c>
      <c r="W3473" s="110" t="inlineStr">
        <is>
          <t>PC em analise</t>
        </is>
      </c>
      <c r="X3473" s="110" t="inlineStr">
        <is>
          <t>Pedido de Compra</t>
        </is>
      </c>
      <c r="Y3473" s="111" t="inlineStr">
        <is>
          <t>Impacto Potencial</t>
        </is>
      </c>
      <c r="Z3473" s="111" t="inlineStr">
        <is>
          <t>PC</t>
        </is>
      </c>
      <c r="AA3473" s="111" t="inlineStr">
        <is>
          <t>Nao</t>
        </is>
      </c>
      <c r="AB3473" s="111" t="inlineStr">
        <is>
          <t>NAO_COMPUTADO</t>
        </is>
      </c>
      <c r="AC3473" s="112" t="inlineStr">
        <is>
          <t>Estrutura Fase 1: sem impacto no VTA oficial</t>
        </is>
      </c>
    </row>
    <row r="3474" ht="25.5" customHeight="1" s="289">
      <c r="A3474" s="205" t="n"/>
      <c r="B3474" s="207" t="n"/>
      <c r="C3474" s="104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348" t="n"/>
      <c r="E3474" s="349">
        <f>IF(C3474="","",IFERROR(VLOOKUP(C3474,parametros!$A$11:$E$15,5,0),""))</f>
        <v/>
      </c>
      <c r="F3474" s="335">
        <f>IF(OR(D3474="",E3474=""),"",ROUND(D3474*E3474,2))</f>
        <v/>
      </c>
      <c r="G3474" s="106" t="n"/>
      <c r="H3474" s="350">
        <f>IF(G3474="Sim",IF(OR(F3474="",D3474="",L3474=""),"",IF(L3474="Sim",ROUND(F3474-D3474,2),0)),0)</f>
        <v/>
      </c>
      <c r="I3474" s="350">
        <f>IF(G3474="Sim",0,IF(OR(F3474="",L3474=""),"",F3474))</f>
        <v/>
      </c>
      <c r="J3474" s="350">
        <f>IF(G3474="Sim",0,IF(OR(F3474="",D3474="",L3474=""),"",IF(L3474="Sim",ROUND(F3474-D3474,2),0)))</f>
        <v/>
      </c>
      <c r="K3474" s="97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inlineStr">
        <is>
          <t>Nao</t>
        </is>
      </c>
      <c r="W3474" s="110" t="inlineStr">
        <is>
          <t>PC em analise</t>
        </is>
      </c>
      <c r="X3474" s="110" t="inlineStr">
        <is>
          <t>Pedido de Compra</t>
        </is>
      </c>
      <c r="Y3474" s="111" t="inlineStr">
        <is>
          <t>Impacto Potencial</t>
        </is>
      </c>
      <c r="Z3474" s="111" t="inlineStr">
        <is>
          <t>PC</t>
        </is>
      </c>
      <c r="AA3474" s="111" t="inlineStr">
        <is>
          <t>Nao</t>
        </is>
      </c>
      <c r="AB3474" s="111" t="inlineStr">
        <is>
          <t>NAO_COMPUTADO</t>
        </is>
      </c>
      <c r="AC3474" s="112" t="inlineStr">
        <is>
          <t>Estrutura Fase 1: sem impacto no VTA oficial</t>
        </is>
      </c>
    </row>
    <row r="3475" ht="25.5" customHeight="1" s="289">
      <c r="A3475" s="205" t="n"/>
      <c r="B3475" s="207" t="n"/>
      <c r="C3475" s="104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348" t="n"/>
      <c r="E3475" s="349">
        <f>IF(C3475="","",IFERROR(VLOOKUP(C3475,parametros!$A$11:$E$15,5,0),""))</f>
        <v/>
      </c>
      <c r="F3475" s="335">
        <f>IF(OR(D3475="",E3475=""),"",ROUND(D3475*E3475,2))</f>
        <v/>
      </c>
      <c r="G3475" s="106" t="n"/>
      <c r="H3475" s="350">
        <f>IF(G3475="Sim",IF(OR(F3475="",D3475="",L3475=""),"",IF(L3475="Sim",ROUND(F3475-D3475,2),0)),0)</f>
        <v/>
      </c>
      <c r="I3475" s="350">
        <f>IF(G3475="Sim",0,IF(OR(F3475="",L3475=""),"",F3475))</f>
        <v/>
      </c>
      <c r="J3475" s="350">
        <f>IF(G3475="Sim",0,IF(OR(F3475="",D3475="",L3475=""),"",IF(L3475="Sim",ROUND(F3475-D3475,2),0)))</f>
        <v/>
      </c>
      <c r="K3475" s="97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inlineStr">
        <is>
          <t>Nao</t>
        </is>
      </c>
      <c r="W3475" s="110" t="inlineStr">
        <is>
          <t>PC em analise</t>
        </is>
      </c>
      <c r="X3475" s="110" t="inlineStr">
        <is>
          <t>Pedido de Compra</t>
        </is>
      </c>
      <c r="Y3475" s="111" t="inlineStr">
        <is>
          <t>Impacto Potencial</t>
        </is>
      </c>
      <c r="Z3475" s="111" t="inlineStr">
        <is>
          <t>PC</t>
        </is>
      </c>
      <c r="AA3475" s="111" t="inlineStr">
        <is>
          <t>Nao</t>
        </is>
      </c>
      <c r="AB3475" s="111" t="inlineStr">
        <is>
          <t>NAO_COMPUTADO</t>
        </is>
      </c>
      <c r="AC3475" s="112" t="inlineStr">
        <is>
          <t>Estrutura Fase 1: sem impacto no VTA oficial</t>
        </is>
      </c>
    </row>
    <row r="3476" ht="25.5" customHeight="1" s="289">
      <c r="A3476" s="205" t="n"/>
      <c r="B3476" s="207" t="n"/>
      <c r="C3476" s="104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348" t="n"/>
      <c r="E3476" s="349">
        <f>IF(C3476="","",IFERROR(VLOOKUP(C3476,parametros!$A$11:$E$15,5,0),""))</f>
        <v/>
      </c>
      <c r="F3476" s="335">
        <f>IF(OR(D3476="",E3476=""),"",ROUND(D3476*E3476,2))</f>
        <v/>
      </c>
      <c r="G3476" s="106" t="n"/>
      <c r="H3476" s="350">
        <f>IF(G3476="Sim",IF(OR(F3476="",D3476="",L3476=""),"",IF(L3476="Sim",ROUND(F3476-D3476,2),0)),0)</f>
        <v/>
      </c>
      <c r="I3476" s="350">
        <f>IF(G3476="Sim",0,IF(OR(F3476="",L3476=""),"",F3476))</f>
        <v/>
      </c>
      <c r="J3476" s="350">
        <f>IF(G3476="Sim",0,IF(OR(F3476="",D3476="",L3476=""),"",IF(L3476="Sim",ROUND(F3476-D3476,2),0)))</f>
        <v/>
      </c>
      <c r="K3476" s="97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inlineStr">
        <is>
          <t>Nao</t>
        </is>
      </c>
      <c r="W3476" s="110" t="inlineStr">
        <is>
          <t>PC em analise</t>
        </is>
      </c>
      <c r="X3476" s="110" t="inlineStr">
        <is>
          <t>Pedido de Compra</t>
        </is>
      </c>
      <c r="Y3476" s="111" t="inlineStr">
        <is>
          <t>Impacto Potencial</t>
        </is>
      </c>
      <c r="Z3476" s="111" t="inlineStr">
        <is>
          <t>PC</t>
        </is>
      </c>
      <c r="AA3476" s="111" t="inlineStr">
        <is>
          <t>Nao</t>
        </is>
      </c>
      <c r="AB3476" s="111" t="inlineStr">
        <is>
          <t>NAO_COMPUTADO</t>
        </is>
      </c>
      <c r="AC3476" s="112" t="inlineStr">
        <is>
          <t>Estrutura Fase 1: sem impacto no VTA oficial</t>
        </is>
      </c>
    </row>
    <row r="3477" ht="25.5" customHeight="1" s="289">
      <c r="A3477" s="205" t="n"/>
      <c r="B3477" s="207" t="n"/>
      <c r="C3477" s="104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348" t="n"/>
      <c r="E3477" s="349">
        <f>IF(C3477="","",IFERROR(VLOOKUP(C3477,parametros!$A$11:$E$15,5,0),""))</f>
        <v/>
      </c>
      <c r="F3477" s="335">
        <f>IF(OR(D3477="",E3477=""),"",ROUND(D3477*E3477,2))</f>
        <v/>
      </c>
      <c r="G3477" s="106" t="n"/>
      <c r="H3477" s="350">
        <f>IF(G3477="Sim",IF(OR(F3477="",D3477="",L3477=""),"",IF(L3477="Sim",ROUND(F3477-D3477,2),0)),0)</f>
        <v/>
      </c>
      <c r="I3477" s="350">
        <f>IF(G3477="Sim",0,IF(OR(F3477="",L3477=""),"",F3477))</f>
        <v/>
      </c>
      <c r="J3477" s="350">
        <f>IF(G3477="Sim",0,IF(OR(F3477="",D3477="",L3477=""),"",IF(L3477="Sim",ROUND(F3477-D3477,2),0)))</f>
        <v/>
      </c>
      <c r="K3477" s="97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inlineStr">
        <is>
          <t>Nao</t>
        </is>
      </c>
      <c r="W3477" s="110" t="inlineStr">
        <is>
          <t>PC em analise</t>
        </is>
      </c>
      <c r="X3477" s="110" t="inlineStr">
        <is>
          <t>Pedido de Compra</t>
        </is>
      </c>
      <c r="Y3477" s="111" t="inlineStr">
        <is>
          <t>Impacto Potencial</t>
        </is>
      </c>
      <c r="Z3477" s="111" t="inlineStr">
        <is>
          <t>PC</t>
        </is>
      </c>
      <c r="AA3477" s="111" t="inlineStr">
        <is>
          <t>Nao</t>
        </is>
      </c>
      <c r="AB3477" s="111" t="inlineStr">
        <is>
          <t>NAO_COMPUTADO</t>
        </is>
      </c>
      <c r="AC3477" s="112" t="inlineStr">
        <is>
          <t>Estrutura Fase 1: sem impacto no VTA oficial</t>
        </is>
      </c>
    </row>
    <row r="3478" ht="25.5" customHeight="1" s="289">
      <c r="A3478" s="205" t="n"/>
      <c r="B3478" s="207" t="n"/>
      <c r="C3478" s="104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348" t="n"/>
      <c r="E3478" s="349">
        <f>IF(C3478="","",IFERROR(VLOOKUP(C3478,parametros!$A$11:$E$15,5,0),""))</f>
        <v/>
      </c>
      <c r="F3478" s="335">
        <f>IF(OR(D3478="",E3478=""),"",ROUND(D3478*E3478,2))</f>
        <v/>
      </c>
      <c r="G3478" s="106" t="n"/>
      <c r="H3478" s="350">
        <f>IF(G3478="Sim",IF(OR(F3478="",D3478="",L3478=""),"",IF(L3478="Sim",ROUND(F3478-D3478,2),0)),0)</f>
        <v/>
      </c>
      <c r="I3478" s="350">
        <f>IF(G3478="Sim",0,IF(OR(F3478="",L3478=""),"",F3478))</f>
        <v/>
      </c>
      <c r="J3478" s="350">
        <f>IF(G3478="Sim",0,IF(OR(F3478="",D3478="",L3478=""),"",IF(L3478="Sim",ROUND(F3478-D3478,2),0)))</f>
        <v/>
      </c>
      <c r="K3478" s="97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inlineStr">
        <is>
          <t>Nao</t>
        </is>
      </c>
      <c r="W3478" s="110" t="inlineStr">
        <is>
          <t>PC em analise</t>
        </is>
      </c>
      <c r="X3478" s="110" t="inlineStr">
        <is>
          <t>Pedido de Compra</t>
        </is>
      </c>
      <c r="Y3478" s="111" t="inlineStr">
        <is>
          <t>Impacto Potencial</t>
        </is>
      </c>
      <c r="Z3478" s="111" t="inlineStr">
        <is>
          <t>PC</t>
        </is>
      </c>
      <c r="AA3478" s="111" t="inlineStr">
        <is>
          <t>Nao</t>
        </is>
      </c>
      <c r="AB3478" s="111" t="inlineStr">
        <is>
          <t>NAO_COMPUTADO</t>
        </is>
      </c>
      <c r="AC3478" s="112" t="inlineStr">
        <is>
          <t>Estrutura Fase 1: sem impacto no VTA oficial</t>
        </is>
      </c>
    </row>
    <row r="3479" ht="25.5" customHeight="1" s="289">
      <c r="A3479" s="205" t="n"/>
      <c r="B3479" s="207" t="n"/>
      <c r="C3479" s="104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348" t="n"/>
      <c r="E3479" s="349">
        <f>IF(C3479="","",IFERROR(VLOOKUP(C3479,parametros!$A$11:$E$15,5,0),""))</f>
        <v/>
      </c>
      <c r="F3479" s="335">
        <f>IF(OR(D3479="",E3479=""),"",ROUND(D3479*E3479,2))</f>
        <v/>
      </c>
      <c r="G3479" s="106" t="n"/>
      <c r="H3479" s="350">
        <f>IF(G3479="Sim",IF(OR(F3479="",D3479="",L3479=""),"",IF(L3479="Sim",ROUND(F3479-D3479,2),0)),0)</f>
        <v/>
      </c>
      <c r="I3479" s="350">
        <f>IF(G3479="Sim",0,IF(OR(F3479="",L3479=""),"",F3479))</f>
        <v/>
      </c>
      <c r="J3479" s="350">
        <f>IF(G3479="Sim",0,IF(OR(F3479="",D3479="",L3479=""),"",IF(L3479="Sim",ROUND(F3479-D3479,2),0)))</f>
        <v/>
      </c>
      <c r="K3479" s="97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inlineStr">
        <is>
          <t>Nao</t>
        </is>
      </c>
      <c r="W3479" s="110" t="inlineStr">
        <is>
          <t>PC em analise</t>
        </is>
      </c>
      <c r="X3479" s="110" t="inlineStr">
        <is>
          <t>Pedido de Compra</t>
        </is>
      </c>
      <c r="Y3479" s="111" t="inlineStr">
        <is>
          <t>Impacto Potencial</t>
        </is>
      </c>
      <c r="Z3479" s="111" t="inlineStr">
        <is>
          <t>PC</t>
        </is>
      </c>
      <c r="AA3479" s="111" t="inlineStr">
        <is>
          <t>Nao</t>
        </is>
      </c>
      <c r="AB3479" s="111" t="inlineStr">
        <is>
          <t>NAO_COMPUTADO</t>
        </is>
      </c>
      <c r="AC3479" s="112" t="inlineStr">
        <is>
          <t>Estrutura Fase 1: sem impacto no VTA oficial</t>
        </is>
      </c>
    </row>
    <row r="3480" ht="25.5" customHeight="1" s="289">
      <c r="A3480" s="205" t="n"/>
      <c r="B3480" s="207" t="n"/>
      <c r="C3480" s="104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348" t="n"/>
      <c r="E3480" s="349">
        <f>IF(C3480="","",IFERROR(VLOOKUP(C3480,parametros!$A$11:$E$15,5,0),""))</f>
        <v/>
      </c>
      <c r="F3480" s="335">
        <f>IF(OR(D3480="",E3480=""),"",ROUND(D3480*E3480,2))</f>
        <v/>
      </c>
      <c r="G3480" s="106" t="n"/>
      <c r="H3480" s="350">
        <f>IF(G3480="Sim",IF(OR(F3480="",D3480="",L3480=""),"",IF(L3480="Sim",ROUND(F3480-D3480,2),0)),0)</f>
        <v/>
      </c>
      <c r="I3480" s="350">
        <f>IF(G3480="Sim",0,IF(OR(F3480="",L3480=""),"",F3480))</f>
        <v/>
      </c>
      <c r="J3480" s="350">
        <f>IF(G3480="Sim",0,IF(OR(F3480="",D3480="",L3480=""),"",IF(L3480="Sim",ROUND(F3480-D3480,2),0)))</f>
        <v/>
      </c>
      <c r="K3480" s="97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inlineStr">
        <is>
          <t>Nao</t>
        </is>
      </c>
      <c r="W3480" s="110" t="inlineStr">
        <is>
          <t>PC em analise</t>
        </is>
      </c>
      <c r="X3480" s="110" t="inlineStr">
        <is>
          <t>Pedido de Compra</t>
        </is>
      </c>
      <c r="Y3480" s="111" t="inlineStr">
        <is>
          <t>Impacto Potencial</t>
        </is>
      </c>
      <c r="Z3480" s="111" t="inlineStr">
        <is>
          <t>PC</t>
        </is>
      </c>
      <c r="AA3480" s="111" t="inlineStr">
        <is>
          <t>Nao</t>
        </is>
      </c>
      <c r="AB3480" s="111" t="inlineStr">
        <is>
          <t>NAO_COMPUTADO</t>
        </is>
      </c>
      <c r="AC3480" s="112" t="inlineStr">
        <is>
          <t>Estrutura Fase 1: sem impacto no VTA oficial</t>
        </is>
      </c>
    </row>
    <row r="3481" ht="25.5" customHeight="1" s="289">
      <c r="A3481" s="205" t="n"/>
      <c r="B3481" s="207" t="n"/>
      <c r="C3481" s="104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348" t="n"/>
      <c r="E3481" s="349">
        <f>IF(C3481="","",IFERROR(VLOOKUP(C3481,parametros!$A$11:$E$15,5,0),""))</f>
        <v/>
      </c>
      <c r="F3481" s="335">
        <f>IF(OR(D3481="",E3481=""),"",ROUND(D3481*E3481,2))</f>
        <v/>
      </c>
      <c r="G3481" s="106" t="n"/>
      <c r="H3481" s="350">
        <f>IF(G3481="Sim",IF(OR(F3481="",D3481="",L3481=""),"",IF(L3481="Sim",ROUND(F3481-D3481,2),0)),0)</f>
        <v/>
      </c>
      <c r="I3481" s="350">
        <f>IF(G3481="Sim",0,IF(OR(F3481="",L3481=""),"",F3481))</f>
        <v/>
      </c>
      <c r="J3481" s="350">
        <f>IF(G3481="Sim",0,IF(OR(F3481="",D3481="",L3481=""),"",IF(L3481="Sim",ROUND(F3481-D3481,2),0)))</f>
        <v/>
      </c>
      <c r="K3481" s="97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inlineStr">
        <is>
          <t>Nao</t>
        </is>
      </c>
      <c r="W3481" s="110" t="inlineStr">
        <is>
          <t>PC em analise</t>
        </is>
      </c>
      <c r="X3481" s="110" t="inlineStr">
        <is>
          <t>Pedido de Compra</t>
        </is>
      </c>
      <c r="Y3481" s="111" t="inlineStr">
        <is>
          <t>Impacto Potencial</t>
        </is>
      </c>
      <c r="Z3481" s="111" t="inlineStr">
        <is>
          <t>PC</t>
        </is>
      </c>
      <c r="AA3481" s="111" t="inlineStr">
        <is>
          <t>Nao</t>
        </is>
      </c>
      <c r="AB3481" s="111" t="inlineStr">
        <is>
          <t>NAO_COMPUTADO</t>
        </is>
      </c>
      <c r="AC3481" s="112" t="inlineStr">
        <is>
          <t>Estrutura Fase 1: sem impacto no VTA oficial</t>
        </is>
      </c>
    </row>
    <row r="3482" ht="25.5" customHeight="1" s="289">
      <c r="A3482" s="205" t="n"/>
      <c r="B3482" s="207" t="n"/>
      <c r="C3482" s="104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348" t="n"/>
      <c r="E3482" s="349">
        <f>IF(C3482="","",IFERROR(VLOOKUP(C3482,parametros!$A$11:$E$15,5,0),""))</f>
        <v/>
      </c>
      <c r="F3482" s="335">
        <f>IF(OR(D3482="",E3482=""),"",ROUND(D3482*E3482,2))</f>
        <v/>
      </c>
      <c r="G3482" s="106" t="n"/>
      <c r="H3482" s="350">
        <f>IF(G3482="Sim",IF(OR(F3482="",D3482="",L3482=""),"",IF(L3482="Sim",ROUND(F3482-D3482,2),0)),0)</f>
        <v/>
      </c>
      <c r="I3482" s="350">
        <f>IF(G3482="Sim",0,IF(OR(F3482="",L3482=""),"",F3482))</f>
        <v/>
      </c>
      <c r="J3482" s="350">
        <f>IF(G3482="Sim",0,IF(OR(F3482="",D3482="",L3482=""),"",IF(L3482="Sim",ROUND(F3482-D3482,2),0)))</f>
        <v/>
      </c>
      <c r="K3482" s="97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inlineStr">
        <is>
          <t>Nao</t>
        </is>
      </c>
      <c r="W3482" s="110" t="inlineStr">
        <is>
          <t>PC em analise</t>
        </is>
      </c>
      <c r="X3482" s="110" t="inlineStr">
        <is>
          <t>Pedido de Compra</t>
        </is>
      </c>
      <c r="Y3482" s="111" t="inlineStr">
        <is>
          <t>Impacto Potencial</t>
        </is>
      </c>
      <c r="Z3482" s="111" t="inlineStr">
        <is>
          <t>PC</t>
        </is>
      </c>
      <c r="AA3482" s="111" t="inlineStr">
        <is>
          <t>Nao</t>
        </is>
      </c>
      <c r="AB3482" s="111" t="inlineStr">
        <is>
          <t>NAO_COMPUTADO</t>
        </is>
      </c>
      <c r="AC3482" s="112" t="inlineStr">
        <is>
          <t>Estrutura Fase 1: sem impacto no VTA oficial</t>
        </is>
      </c>
    </row>
    <row r="3483" ht="25.5" customHeight="1" s="289">
      <c r="A3483" s="205" t="n"/>
      <c r="B3483" s="207" t="n"/>
      <c r="C3483" s="104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348" t="n"/>
      <c r="E3483" s="349">
        <f>IF(C3483="","",IFERROR(VLOOKUP(C3483,parametros!$A$11:$E$15,5,0),""))</f>
        <v/>
      </c>
      <c r="F3483" s="335">
        <f>IF(OR(D3483="",E3483=""),"",ROUND(D3483*E3483,2))</f>
        <v/>
      </c>
      <c r="G3483" s="106" t="n"/>
      <c r="H3483" s="350">
        <f>IF(G3483="Sim",IF(OR(F3483="",D3483="",L3483=""),"",IF(L3483="Sim",ROUND(F3483-D3483,2),0)),0)</f>
        <v/>
      </c>
      <c r="I3483" s="350">
        <f>IF(G3483="Sim",0,IF(OR(F3483="",L3483=""),"",F3483))</f>
        <v/>
      </c>
      <c r="J3483" s="350">
        <f>IF(G3483="Sim",0,IF(OR(F3483="",D3483="",L3483=""),"",IF(L3483="Sim",ROUND(F3483-D3483,2),0)))</f>
        <v/>
      </c>
      <c r="K3483" s="97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inlineStr">
        <is>
          <t>Nao</t>
        </is>
      </c>
      <c r="W3483" s="110" t="inlineStr">
        <is>
          <t>PC em analise</t>
        </is>
      </c>
      <c r="X3483" s="110" t="inlineStr">
        <is>
          <t>Pedido de Compra</t>
        </is>
      </c>
      <c r="Y3483" s="111" t="inlineStr">
        <is>
          <t>Impacto Potencial</t>
        </is>
      </c>
      <c r="Z3483" s="111" t="inlineStr">
        <is>
          <t>PC</t>
        </is>
      </c>
      <c r="AA3483" s="111" t="inlineStr">
        <is>
          <t>Nao</t>
        </is>
      </c>
      <c r="AB3483" s="111" t="inlineStr">
        <is>
          <t>NAO_COMPUTADO</t>
        </is>
      </c>
      <c r="AC3483" s="112" t="inlineStr">
        <is>
          <t>Estrutura Fase 1: sem impacto no VTA oficial</t>
        </is>
      </c>
    </row>
    <row r="3484" ht="25.5" customHeight="1" s="289">
      <c r="A3484" s="205" t="n"/>
      <c r="B3484" s="207" t="n"/>
      <c r="C3484" s="104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348" t="n"/>
      <c r="E3484" s="349">
        <f>IF(C3484="","",IFERROR(VLOOKUP(C3484,parametros!$A$11:$E$15,5,0),""))</f>
        <v/>
      </c>
      <c r="F3484" s="335">
        <f>IF(OR(D3484="",E3484=""),"",ROUND(D3484*E3484,2))</f>
        <v/>
      </c>
      <c r="G3484" s="106" t="n"/>
      <c r="H3484" s="350">
        <f>IF(G3484="Sim",IF(OR(F3484="",D3484="",L3484=""),"",IF(L3484="Sim",ROUND(F3484-D3484,2),0)),0)</f>
        <v/>
      </c>
      <c r="I3484" s="350">
        <f>IF(G3484="Sim",0,IF(OR(F3484="",L3484=""),"",F3484))</f>
        <v/>
      </c>
      <c r="J3484" s="350">
        <f>IF(G3484="Sim",0,IF(OR(F3484="",D3484="",L3484=""),"",IF(L3484="Sim",ROUND(F3484-D3484,2),0)))</f>
        <v/>
      </c>
      <c r="K3484" s="97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inlineStr">
        <is>
          <t>Nao</t>
        </is>
      </c>
      <c r="W3484" s="110" t="inlineStr">
        <is>
          <t>PC em analise</t>
        </is>
      </c>
      <c r="X3484" s="110" t="inlineStr">
        <is>
          <t>Pedido de Compra</t>
        </is>
      </c>
      <c r="Y3484" s="111" t="inlineStr">
        <is>
          <t>Impacto Potencial</t>
        </is>
      </c>
      <c r="Z3484" s="111" t="inlineStr">
        <is>
          <t>PC</t>
        </is>
      </c>
      <c r="AA3484" s="111" t="inlineStr">
        <is>
          <t>Nao</t>
        </is>
      </c>
      <c r="AB3484" s="111" t="inlineStr">
        <is>
          <t>NAO_COMPUTADO</t>
        </is>
      </c>
      <c r="AC3484" s="112" t="inlineStr">
        <is>
          <t>Estrutura Fase 1: sem impacto no VTA oficial</t>
        </is>
      </c>
    </row>
    <row r="3485" ht="25.5" customHeight="1" s="289">
      <c r="A3485" s="205" t="n"/>
      <c r="B3485" s="207" t="n"/>
      <c r="C3485" s="104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348" t="n"/>
      <c r="E3485" s="349">
        <f>IF(C3485="","",IFERROR(VLOOKUP(C3485,parametros!$A$11:$E$15,5,0),""))</f>
        <v/>
      </c>
      <c r="F3485" s="335">
        <f>IF(OR(D3485="",E3485=""),"",ROUND(D3485*E3485,2))</f>
        <v/>
      </c>
      <c r="G3485" s="106" t="n"/>
      <c r="H3485" s="350">
        <f>IF(G3485="Sim",IF(OR(F3485="",D3485="",L3485=""),"",IF(L3485="Sim",ROUND(F3485-D3485,2),0)),0)</f>
        <v/>
      </c>
      <c r="I3485" s="350">
        <f>IF(G3485="Sim",0,IF(OR(F3485="",L3485=""),"",F3485))</f>
        <v/>
      </c>
      <c r="J3485" s="350">
        <f>IF(G3485="Sim",0,IF(OR(F3485="",D3485="",L3485=""),"",IF(L3485="Sim",ROUND(F3485-D3485,2),0)))</f>
        <v/>
      </c>
      <c r="K3485" s="97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inlineStr">
        <is>
          <t>Nao</t>
        </is>
      </c>
      <c r="W3485" s="110" t="inlineStr">
        <is>
          <t>PC em analise</t>
        </is>
      </c>
      <c r="X3485" s="110" t="inlineStr">
        <is>
          <t>Pedido de Compra</t>
        </is>
      </c>
      <c r="Y3485" s="111" t="inlineStr">
        <is>
          <t>Impacto Potencial</t>
        </is>
      </c>
      <c r="Z3485" s="111" t="inlineStr">
        <is>
          <t>PC</t>
        </is>
      </c>
      <c r="AA3485" s="111" t="inlineStr">
        <is>
          <t>Nao</t>
        </is>
      </c>
      <c r="AB3485" s="111" t="inlineStr">
        <is>
          <t>NAO_COMPUTADO</t>
        </is>
      </c>
      <c r="AC3485" s="112" t="inlineStr">
        <is>
          <t>Estrutura Fase 1: sem impacto no VTA oficial</t>
        </is>
      </c>
    </row>
    <row r="3486" ht="25.5" customHeight="1" s="289">
      <c r="A3486" s="205" t="n"/>
      <c r="B3486" s="207" t="n"/>
      <c r="C3486" s="104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348" t="n"/>
      <c r="E3486" s="349">
        <f>IF(C3486="","",IFERROR(VLOOKUP(C3486,parametros!$A$11:$E$15,5,0),""))</f>
        <v/>
      </c>
      <c r="F3486" s="335">
        <f>IF(OR(D3486="",E3486=""),"",ROUND(D3486*E3486,2))</f>
        <v/>
      </c>
      <c r="G3486" s="106" t="n"/>
      <c r="H3486" s="350">
        <f>IF(G3486="Sim",IF(OR(F3486="",D3486="",L3486=""),"",IF(L3486="Sim",ROUND(F3486-D3486,2),0)),0)</f>
        <v/>
      </c>
      <c r="I3486" s="350">
        <f>IF(G3486="Sim",0,IF(OR(F3486="",L3486=""),"",F3486))</f>
        <v/>
      </c>
      <c r="J3486" s="350">
        <f>IF(G3486="Sim",0,IF(OR(F3486="",D3486="",L3486=""),"",IF(L3486="Sim",ROUND(F3486-D3486,2),0)))</f>
        <v/>
      </c>
      <c r="K3486" s="97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inlineStr">
        <is>
          <t>Nao</t>
        </is>
      </c>
      <c r="W3486" s="110" t="inlineStr">
        <is>
          <t>PC em analise</t>
        </is>
      </c>
      <c r="X3486" s="110" t="inlineStr">
        <is>
          <t>Pedido de Compra</t>
        </is>
      </c>
      <c r="Y3486" s="111" t="inlineStr">
        <is>
          <t>Impacto Potencial</t>
        </is>
      </c>
      <c r="Z3486" s="111" t="inlineStr">
        <is>
          <t>PC</t>
        </is>
      </c>
      <c r="AA3486" s="111" t="inlineStr">
        <is>
          <t>Nao</t>
        </is>
      </c>
      <c r="AB3486" s="111" t="inlineStr">
        <is>
          <t>NAO_COMPUTADO</t>
        </is>
      </c>
      <c r="AC3486" s="112" t="inlineStr">
        <is>
          <t>Estrutura Fase 1: sem impacto no VTA oficial</t>
        </is>
      </c>
    </row>
    <row r="3487" ht="25.5" customHeight="1" s="289">
      <c r="A3487" s="205" t="n"/>
      <c r="B3487" s="207" t="n"/>
      <c r="C3487" s="104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348" t="n"/>
      <c r="E3487" s="349">
        <f>IF(C3487="","",IFERROR(VLOOKUP(C3487,parametros!$A$11:$E$15,5,0),""))</f>
        <v/>
      </c>
      <c r="F3487" s="335">
        <f>IF(OR(D3487="",E3487=""),"",ROUND(D3487*E3487,2))</f>
        <v/>
      </c>
      <c r="G3487" s="106" t="n"/>
      <c r="H3487" s="350">
        <f>IF(G3487="Sim",IF(OR(F3487="",D3487="",L3487=""),"",IF(L3487="Sim",ROUND(F3487-D3487,2),0)),0)</f>
        <v/>
      </c>
      <c r="I3487" s="350">
        <f>IF(G3487="Sim",0,IF(OR(F3487="",L3487=""),"",F3487))</f>
        <v/>
      </c>
      <c r="J3487" s="350">
        <f>IF(G3487="Sim",0,IF(OR(F3487="",D3487="",L3487=""),"",IF(L3487="Sim",ROUND(F3487-D3487,2),0)))</f>
        <v/>
      </c>
      <c r="K3487" s="97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inlineStr">
        <is>
          <t>Nao</t>
        </is>
      </c>
      <c r="W3487" s="110" t="inlineStr">
        <is>
          <t>PC em analise</t>
        </is>
      </c>
      <c r="X3487" s="110" t="inlineStr">
        <is>
          <t>Pedido de Compra</t>
        </is>
      </c>
      <c r="Y3487" s="111" t="inlineStr">
        <is>
          <t>Impacto Potencial</t>
        </is>
      </c>
      <c r="Z3487" s="111" t="inlineStr">
        <is>
          <t>PC</t>
        </is>
      </c>
      <c r="AA3487" s="111" t="inlineStr">
        <is>
          <t>Nao</t>
        </is>
      </c>
      <c r="AB3487" s="111" t="inlineStr">
        <is>
          <t>NAO_COMPUTADO</t>
        </is>
      </c>
      <c r="AC3487" s="112" t="inlineStr">
        <is>
          <t>Estrutura Fase 1: sem impacto no VTA oficial</t>
        </is>
      </c>
    </row>
    <row r="3488" ht="25.5" customHeight="1" s="289">
      <c r="A3488" s="205" t="n"/>
      <c r="B3488" s="207" t="n"/>
      <c r="C3488" s="104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348" t="n"/>
      <c r="E3488" s="349">
        <f>IF(C3488="","",IFERROR(VLOOKUP(C3488,parametros!$A$11:$E$15,5,0),""))</f>
        <v/>
      </c>
      <c r="F3488" s="335">
        <f>IF(OR(D3488="",E3488=""),"",ROUND(D3488*E3488,2))</f>
        <v/>
      </c>
      <c r="G3488" s="106" t="n"/>
      <c r="H3488" s="350">
        <f>IF(G3488="Sim",IF(OR(F3488="",D3488="",L3488=""),"",IF(L3488="Sim",ROUND(F3488-D3488,2),0)),0)</f>
        <v/>
      </c>
      <c r="I3488" s="350">
        <f>IF(G3488="Sim",0,IF(OR(F3488="",L3488=""),"",F3488))</f>
        <v/>
      </c>
      <c r="J3488" s="350">
        <f>IF(G3488="Sim",0,IF(OR(F3488="",D3488="",L3488=""),"",IF(L3488="Sim",ROUND(F3488-D3488,2),0)))</f>
        <v/>
      </c>
      <c r="K3488" s="97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inlineStr">
        <is>
          <t>Nao</t>
        </is>
      </c>
      <c r="W3488" s="110" t="inlineStr">
        <is>
          <t>PC em analise</t>
        </is>
      </c>
      <c r="X3488" s="110" t="inlineStr">
        <is>
          <t>Pedido de Compra</t>
        </is>
      </c>
      <c r="Y3488" s="111" t="inlineStr">
        <is>
          <t>Impacto Potencial</t>
        </is>
      </c>
      <c r="Z3488" s="111" t="inlineStr">
        <is>
          <t>PC</t>
        </is>
      </c>
      <c r="AA3488" s="111" t="inlineStr">
        <is>
          <t>Nao</t>
        </is>
      </c>
      <c r="AB3488" s="111" t="inlineStr">
        <is>
          <t>NAO_COMPUTADO</t>
        </is>
      </c>
      <c r="AC3488" s="112" t="inlineStr">
        <is>
          <t>Estrutura Fase 1: sem impacto no VTA oficial</t>
        </is>
      </c>
    </row>
    <row r="3489" ht="25.5" customHeight="1" s="289">
      <c r="A3489" s="205" t="n"/>
      <c r="B3489" s="207" t="n"/>
      <c r="C3489" s="104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348" t="n"/>
      <c r="E3489" s="349">
        <f>IF(C3489="","",IFERROR(VLOOKUP(C3489,parametros!$A$11:$E$15,5,0),""))</f>
        <v/>
      </c>
      <c r="F3489" s="335">
        <f>IF(OR(D3489="",E3489=""),"",ROUND(D3489*E3489,2))</f>
        <v/>
      </c>
      <c r="G3489" s="106" t="n"/>
      <c r="H3489" s="350">
        <f>IF(G3489="Sim",IF(OR(F3489="",D3489="",L3489=""),"",IF(L3489="Sim",ROUND(F3489-D3489,2),0)),0)</f>
        <v/>
      </c>
      <c r="I3489" s="350">
        <f>IF(G3489="Sim",0,IF(OR(F3489="",L3489=""),"",F3489))</f>
        <v/>
      </c>
      <c r="J3489" s="350">
        <f>IF(G3489="Sim",0,IF(OR(F3489="",D3489="",L3489=""),"",IF(L3489="Sim",ROUND(F3489-D3489,2),0)))</f>
        <v/>
      </c>
      <c r="K3489" s="97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inlineStr">
        <is>
          <t>Nao</t>
        </is>
      </c>
      <c r="W3489" s="110" t="inlineStr">
        <is>
          <t>PC em analise</t>
        </is>
      </c>
      <c r="X3489" s="110" t="inlineStr">
        <is>
          <t>Pedido de Compra</t>
        </is>
      </c>
      <c r="Y3489" s="111" t="inlineStr">
        <is>
          <t>Impacto Potencial</t>
        </is>
      </c>
      <c r="Z3489" s="111" t="inlineStr">
        <is>
          <t>PC</t>
        </is>
      </c>
      <c r="AA3489" s="111" t="inlineStr">
        <is>
          <t>Nao</t>
        </is>
      </c>
      <c r="AB3489" s="111" t="inlineStr">
        <is>
          <t>NAO_COMPUTADO</t>
        </is>
      </c>
      <c r="AC3489" s="112" t="inlineStr">
        <is>
          <t>Estrutura Fase 1: sem impacto no VTA oficial</t>
        </is>
      </c>
    </row>
    <row r="3490" ht="25.5" customHeight="1" s="289">
      <c r="A3490" s="205" t="n"/>
      <c r="B3490" s="207" t="n"/>
      <c r="C3490" s="104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348" t="n"/>
      <c r="E3490" s="349">
        <f>IF(C3490="","",IFERROR(VLOOKUP(C3490,parametros!$A$11:$E$15,5,0),""))</f>
        <v/>
      </c>
      <c r="F3490" s="335">
        <f>IF(OR(D3490="",E3490=""),"",ROUND(D3490*E3490,2))</f>
        <v/>
      </c>
      <c r="G3490" s="106" t="n"/>
      <c r="H3490" s="350">
        <f>IF(G3490="Sim",IF(OR(F3490="",D3490="",L3490=""),"",IF(L3490="Sim",ROUND(F3490-D3490,2),0)),0)</f>
        <v/>
      </c>
      <c r="I3490" s="350">
        <f>IF(G3490="Sim",0,IF(OR(F3490="",L3490=""),"",F3490))</f>
        <v/>
      </c>
      <c r="J3490" s="350">
        <f>IF(G3490="Sim",0,IF(OR(F3490="",D3490="",L3490=""),"",IF(L3490="Sim",ROUND(F3490-D3490,2),0)))</f>
        <v/>
      </c>
      <c r="K3490" s="97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inlineStr">
        <is>
          <t>Nao</t>
        </is>
      </c>
      <c r="W3490" s="110" t="inlineStr">
        <is>
          <t>PC em analise</t>
        </is>
      </c>
      <c r="X3490" s="110" t="inlineStr">
        <is>
          <t>Pedido de Compra</t>
        </is>
      </c>
      <c r="Y3490" s="111" t="inlineStr">
        <is>
          <t>Impacto Potencial</t>
        </is>
      </c>
      <c r="Z3490" s="111" t="inlineStr">
        <is>
          <t>PC</t>
        </is>
      </c>
      <c r="AA3490" s="111" t="inlineStr">
        <is>
          <t>Nao</t>
        </is>
      </c>
      <c r="AB3490" s="111" t="inlineStr">
        <is>
          <t>NAO_COMPUTADO</t>
        </is>
      </c>
      <c r="AC3490" s="112" t="inlineStr">
        <is>
          <t>Estrutura Fase 1: sem impacto no VTA oficial</t>
        </is>
      </c>
    </row>
    <row r="3491" ht="25.5" customHeight="1" s="289">
      <c r="A3491" s="205" t="n"/>
      <c r="B3491" s="207" t="n"/>
      <c r="C3491" s="104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348" t="n"/>
      <c r="E3491" s="349">
        <f>IF(C3491="","",IFERROR(VLOOKUP(C3491,parametros!$A$11:$E$15,5,0),""))</f>
        <v/>
      </c>
      <c r="F3491" s="335">
        <f>IF(OR(D3491="",E3491=""),"",ROUND(D3491*E3491,2))</f>
        <v/>
      </c>
      <c r="G3491" s="106" t="n"/>
      <c r="H3491" s="350">
        <f>IF(G3491="Sim",IF(OR(F3491="",D3491="",L3491=""),"",IF(L3491="Sim",ROUND(F3491-D3491,2),0)),0)</f>
        <v/>
      </c>
      <c r="I3491" s="350">
        <f>IF(G3491="Sim",0,IF(OR(F3491="",L3491=""),"",F3491))</f>
        <v/>
      </c>
      <c r="J3491" s="350">
        <f>IF(G3491="Sim",0,IF(OR(F3491="",D3491="",L3491=""),"",IF(L3491="Sim",ROUND(F3491-D3491,2),0)))</f>
        <v/>
      </c>
      <c r="K3491" s="97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inlineStr">
        <is>
          <t>Nao</t>
        </is>
      </c>
      <c r="W3491" s="110" t="inlineStr">
        <is>
          <t>PC em analise</t>
        </is>
      </c>
      <c r="X3491" s="110" t="inlineStr">
        <is>
          <t>Pedido de Compra</t>
        </is>
      </c>
      <c r="Y3491" s="111" t="inlineStr">
        <is>
          <t>Impacto Potencial</t>
        </is>
      </c>
      <c r="Z3491" s="111" t="inlineStr">
        <is>
          <t>PC</t>
        </is>
      </c>
      <c r="AA3491" s="111" t="inlineStr">
        <is>
          <t>Nao</t>
        </is>
      </c>
      <c r="AB3491" s="111" t="inlineStr">
        <is>
          <t>NAO_COMPUTADO</t>
        </is>
      </c>
      <c r="AC3491" s="112" t="inlineStr">
        <is>
          <t>Estrutura Fase 1: sem impacto no VTA oficial</t>
        </is>
      </c>
    </row>
    <row r="3492" ht="25.5" customHeight="1" s="289">
      <c r="A3492" s="205" t="n"/>
      <c r="B3492" s="207" t="n"/>
      <c r="C3492" s="104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348" t="n"/>
      <c r="E3492" s="349">
        <f>IF(C3492="","",IFERROR(VLOOKUP(C3492,parametros!$A$11:$E$15,5,0),""))</f>
        <v/>
      </c>
      <c r="F3492" s="335">
        <f>IF(OR(D3492="",E3492=""),"",ROUND(D3492*E3492,2))</f>
        <v/>
      </c>
      <c r="G3492" s="106" t="n"/>
      <c r="H3492" s="350">
        <f>IF(G3492="Sim",IF(OR(F3492="",D3492="",L3492=""),"",IF(L3492="Sim",ROUND(F3492-D3492,2),0)),0)</f>
        <v/>
      </c>
      <c r="I3492" s="350">
        <f>IF(G3492="Sim",0,IF(OR(F3492="",L3492=""),"",F3492))</f>
        <v/>
      </c>
      <c r="J3492" s="350">
        <f>IF(G3492="Sim",0,IF(OR(F3492="",D3492="",L3492=""),"",IF(L3492="Sim",ROUND(F3492-D3492,2),0)))</f>
        <v/>
      </c>
      <c r="K3492" s="97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inlineStr">
        <is>
          <t>Nao</t>
        </is>
      </c>
      <c r="W3492" s="110" t="inlineStr">
        <is>
          <t>PC em analise</t>
        </is>
      </c>
      <c r="X3492" s="110" t="inlineStr">
        <is>
          <t>Pedido de Compra</t>
        </is>
      </c>
      <c r="Y3492" s="111" t="inlineStr">
        <is>
          <t>Impacto Potencial</t>
        </is>
      </c>
      <c r="Z3492" s="111" t="inlineStr">
        <is>
          <t>PC</t>
        </is>
      </c>
      <c r="AA3492" s="111" t="inlineStr">
        <is>
          <t>Nao</t>
        </is>
      </c>
      <c r="AB3492" s="111" t="inlineStr">
        <is>
          <t>NAO_COMPUTADO</t>
        </is>
      </c>
      <c r="AC3492" s="112" t="inlineStr">
        <is>
          <t>Estrutura Fase 1: sem impacto no VTA oficial</t>
        </is>
      </c>
    </row>
    <row r="3493" ht="25.5" customHeight="1" s="289">
      <c r="A3493" s="205" t="n"/>
      <c r="B3493" s="207" t="n"/>
      <c r="C3493" s="104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348" t="n"/>
      <c r="E3493" s="349">
        <f>IF(C3493="","",IFERROR(VLOOKUP(C3493,parametros!$A$11:$E$15,5,0),""))</f>
        <v/>
      </c>
      <c r="F3493" s="335">
        <f>IF(OR(D3493="",E3493=""),"",ROUND(D3493*E3493,2))</f>
        <v/>
      </c>
      <c r="G3493" s="106" t="n"/>
      <c r="H3493" s="350">
        <f>IF(G3493="Sim",IF(OR(F3493="",D3493="",L3493=""),"",IF(L3493="Sim",ROUND(F3493-D3493,2),0)),0)</f>
        <v/>
      </c>
      <c r="I3493" s="350">
        <f>IF(G3493="Sim",0,IF(OR(F3493="",L3493=""),"",F3493))</f>
        <v/>
      </c>
      <c r="J3493" s="350">
        <f>IF(G3493="Sim",0,IF(OR(F3493="",D3493="",L3493=""),"",IF(L3493="Sim",ROUND(F3493-D3493,2),0)))</f>
        <v/>
      </c>
      <c r="K3493" s="97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inlineStr">
        <is>
          <t>Nao</t>
        </is>
      </c>
      <c r="W3493" s="110" t="inlineStr">
        <is>
          <t>PC em analise</t>
        </is>
      </c>
      <c r="X3493" s="110" t="inlineStr">
        <is>
          <t>Pedido de Compra</t>
        </is>
      </c>
      <c r="Y3493" s="111" t="inlineStr">
        <is>
          <t>Impacto Potencial</t>
        </is>
      </c>
      <c r="Z3493" s="111" t="inlineStr">
        <is>
          <t>PC</t>
        </is>
      </c>
      <c r="AA3493" s="111" t="inlineStr">
        <is>
          <t>Nao</t>
        </is>
      </c>
      <c r="AB3493" s="111" t="inlineStr">
        <is>
          <t>NAO_COMPUTADO</t>
        </is>
      </c>
      <c r="AC3493" s="112" t="inlineStr">
        <is>
          <t>Estrutura Fase 1: sem impacto no VTA oficial</t>
        </is>
      </c>
    </row>
    <row r="3494" ht="25.5" customHeight="1" s="289">
      <c r="A3494" s="205" t="n"/>
      <c r="B3494" s="207" t="n"/>
      <c r="C3494" s="104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348" t="n"/>
      <c r="E3494" s="349">
        <f>IF(C3494="","",IFERROR(VLOOKUP(C3494,parametros!$A$11:$E$15,5,0),""))</f>
        <v/>
      </c>
      <c r="F3494" s="335">
        <f>IF(OR(D3494="",E3494=""),"",ROUND(D3494*E3494,2))</f>
        <v/>
      </c>
      <c r="G3494" s="106" t="n"/>
      <c r="H3494" s="350">
        <f>IF(G3494="Sim",IF(OR(F3494="",D3494="",L3494=""),"",IF(L3494="Sim",ROUND(F3494-D3494,2),0)),0)</f>
        <v/>
      </c>
      <c r="I3494" s="350">
        <f>IF(G3494="Sim",0,IF(OR(F3494="",L3494=""),"",F3494))</f>
        <v/>
      </c>
      <c r="J3494" s="350">
        <f>IF(G3494="Sim",0,IF(OR(F3494="",D3494="",L3494=""),"",IF(L3494="Sim",ROUND(F3494-D3494,2),0)))</f>
        <v/>
      </c>
      <c r="K3494" s="97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inlineStr">
        <is>
          <t>Nao</t>
        </is>
      </c>
      <c r="W3494" s="110" t="inlineStr">
        <is>
          <t>PC em analise</t>
        </is>
      </c>
      <c r="X3494" s="110" t="inlineStr">
        <is>
          <t>Pedido de Compra</t>
        </is>
      </c>
      <c r="Y3494" s="111" t="inlineStr">
        <is>
          <t>Impacto Potencial</t>
        </is>
      </c>
      <c r="Z3494" s="111" t="inlineStr">
        <is>
          <t>PC</t>
        </is>
      </c>
      <c r="AA3494" s="111" t="inlineStr">
        <is>
          <t>Nao</t>
        </is>
      </c>
      <c r="AB3494" s="111" t="inlineStr">
        <is>
          <t>NAO_COMPUTADO</t>
        </is>
      </c>
      <c r="AC3494" s="112" t="inlineStr">
        <is>
          <t>Estrutura Fase 1: sem impacto no VTA oficial</t>
        </is>
      </c>
    </row>
    <row r="3495" ht="25.5" customHeight="1" s="289">
      <c r="A3495" s="205" t="n"/>
      <c r="B3495" s="207" t="n"/>
      <c r="C3495" s="104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348" t="n"/>
      <c r="E3495" s="349">
        <f>IF(C3495="","",IFERROR(VLOOKUP(C3495,parametros!$A$11:$E$15,5,0),""))</f>
        <v/>
      </c>
      <c r="F3495" s="335">
        <f>IF(OR(D3495="",E3495=""),"",ROUND(D3495*E3495,2))</f>
        <v/>
      </c>
      <c r="G3495" s="106" t="n"/>
      <c r="H3495" s="350">
        <f>IF(G3495="Sim",IF(OR(F3495="",D3495="",L3495=""),"",IF(L3495="Sim",ROUND(F3495-D3495,2),0)),0)</f>
        <v/>
      </c>
      <c r="I3495" s="350">
        <f>IF(G3495="Sim",0,IF(OR(F3495="",L3495=""),"",F3495))</f>
        <v/>
      </c>
      <c r="J3495" s="350">
        <f>IF(G3495="Sim",0,IF(OR(F3495="",D3495="",L3495=""),"",IF(L3495="Sim",ROUND(F3495-D3495,2),0)))</f>
        <v/>
      </c>
      <c r="K3495" s="97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inlineStr">
        <is>
          <t>Nao</t>
        </is>
      </c>
      <c r="W3495" s="110" t="inlineStr">
        <is>
          <t>PC em analise</t>
        </is>
      </c>
      <c r="X3495" s="110" t="inlineStr">
        <is>
          <t>Pedido de Compra</t>
        </is>
      </c>
      <c r="Y3495" s="111" t="inlineStr">
        <is>
          <t>Impacto Potencial</t>
        </is>
      </c>
      <c r="Z3495" s="111" t="inlineStr">
        <is>
          <t>PC</t>
        </is>
      </c>
      <c r="AA3495" s="111" t="inlineStr">
        <is>
          <t>Nao</t>
        </is>
      </c>
      <c r="AB3495" s="111" t="inlineStr">
        <is>
          <t>NAO_COMPUTADO</t>
        </is>
      </c>
      <c r="AC3495" s="112" t="inlineStr">
        <is>
          <t>Estrutura Fase 1: sem impacto no VTA oficial</t>
        </is>
      </c>
    </row>
    <row r="3496" ht="25.5" customHeight="1" s="289">
      <c r="A3496" s="205" t="n"/>
      <c r="B3496" s="207" t="n"/>
      <c r="C3496" s="104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348" t="n"/>
      <c r="E3496" s="349">
        <f>IF(C3496="","",IFERROR(VLOOKUP(C3496,parametros!$A$11:$E$15,5,0),""))</f>
        <v/>
      </c>
      <c r="F3496" s="335">
        <f>IF(OR(D3496="",E3496=""),"",ROUND(D3496*E3496,2))</f>
        <v/>
      </c>
      <c r="G3496" s="106" t="n"/>
      <c r="H3496" s="350">
        <f>IF(G3496="Sim",IF(OR(F3496="",D3496="",L3496=""),"",IF(L3496="Sim",ROUND(F3496-D3496,2),0)),0)</f>
        <v/>
      </c>
      <c r="I3496" s="350">
        <f>IF(G3496="Sim",0,IF(OR(F3496="",L3496=""),"",F3496))</f>
        <v/>
      </c>
      <c r="J3496" s="350">
        <f>IF(G3496="Sim",0,IF(OR(F3496="",D3496="",L3496=""),"",IF(L3496="Sim",ROUND(F3496-D3496,2),0)))</f>
        <v/>
      </c>
      <c r="K3496" s="97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inlineStr">
        <is>
          <t>Nao</t>
        </is>
      </c>
      <c r="W3496" s="110" t="inlineStr">
        <is>
          <t>PC em analise</t>
        </is>
      </c>
      <c r="X3496" s="110" t="inlineStr">
        <is>
          <t>Pedido de Compra</t>
        </is>
      </c>
      <c r="Y3496" s="111" t="inlineStr">
        <is>
          <t>Impacto Potencial</t>
        </is>
      </c>
      <c r="Z3496" s="111" t="inlineStr">
        <is>
          <t>PC</t>
        </is>
      </c>
      <c r="AA3496" s="111" t="inlineStr">
        <is>
          <t>Nao</t>
        </is>
      </c>
      <c r="AB3496" s="111" t="inlineStr">
        <is>
          <t>NAO_COMPUTADO</t>
        </is>
      </c>
      <c r="AC3496" s="112" t="inlineStr">
        <is>
          <t>Estrutura Fase 1: sem impacto no VTA oficial</t>
        </is>
      </c>
    </row>
    <row r="3497" ht="25.5" customHeight="1" s="289">
      <c r="A3497" s="205" t="n"/>
      <c r="B3497" s="207" t="n"/>
      <c r="C3497" s="104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348" t="n"/>
      <c r="E3497" s="349">
        <f>IF(C3497="","",IFERROR(VLOOKUP(C3497,parametros!$A$11:$E$15,5,0),""))</f>
        <v/>
      </c>
      <c r="F3497" s="335">
        <f>IF(OR(D3497="",E3497=""),"",ROUND(D3497*E3497,2))</f>
        <v/>
      </c>
      <c r="G3497" s="106" t="n"/>
      <c r="H3497" s="350">
        <f>IF(G3497="Sim",IF(OR(F3497="",D3497="",L3497=""),"",IF(L3497="Sim",ROUND(F3497-D3497,2),0)),0)</f>
        <v/>
      </c>
      <c r="I3497" s="350">
        <f>IF(G3497="Sim",0,IF(OR(F3497="",L3497=""),"",F3497))</f>
        <v/>
      </c>
      <c r="J3497" s="350">
        <f>IF(G3497="Sim",0,IF(OR(F3497="",D3497="",L3497=""),"",IF(L3497="Sim",ROUND(F3497-D3497,2),0)))</f>
        <v/>
      </c>
      <c r="K3497" s="97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inlineStr">
        <is>
          <t>Nao</t>
        </is>
      </c>
      <c r="W3497" s="110" t="inlineStr">
        <is>
          <t>PC em analise</t>
        </is>
      </c>
      <c r="X3497" s="110" t="inlineStr">
        <is>
          <t>Pedido de Compra</t>
        </is>
      </c>
      <c r="Y3497" s="111" t="inlineStr">
        <is>
          <t>Impacto Potencial</t>
        </is>
      </c>
      <c r="Z3497" s="111" t="inlineStr">
        <is>
          <t>PC</t>
        </is>
      </c>
      <c r="AA3497" s="111" t="inlineStr">
        <is>
          <t>Nao</t>
        </is>
      </c>
      <c r="AB3497" s="111" t="inlineStr">
        <is>
          <t>NAO_COMPUTADO</t>
        </is>
      </c>
      <c r="AC3497" s="112" t="inlineStr">
        <is>
          <t>Estrutura Fase 1: sem impacto no VTA oficial</t>
        </is>
      </c>
    </row>
    <row r="3498" ht="25.5" customHeight="1" s="289">
      <c r="A3498" s="205" t="n"/>
      <c r="B3498" s="207" t="n"/>
      <c r="C3498" s="104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348" t="n"/>
      <c r="E3498" s="349">
        <f>IF(C3498="","",IFERROR(VLOOKUP(C3498,parametros!$A$11:$E$15,5,0),""))</f>
        <v/>
      </c>
      <c r="F3498" s="335">
        <f>IF(OR(D3498="",E3498=""),"",ROUND(D3498*E3498,2))</f>
        <v/>
      </c>
      <c r="G3498" s="106" t="n"/>
      <c r="H3498" s="350">
        <f>IF(G3498="Sim",IF(OR(F3498="",D3498="",L3498=""),"",IF(L3498="Sim",ROUND(F3498-D3498,2),0)),0)</f>
        <v/>
      </c>
      <c r="I3498" s="350">
        <f>IF(G3498="Sim",0,IF(OR(F3498="",L3498=""),"",F3498))</f>
        <v/>
      </c>
      <c r="J3498" s="350">
        <f>IF(G3498="Sim",0,IF(OR(F3498="",D3498="",L3498=""),"",IF(L3498="Sim",ROUND(F3498-D3498,2),0)))</f>
        <v/>
      </c>
      <c r="K3498" s="97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inlineStr">
        <is>
          <t>Nao</t>
        </is>
      </c>
      <c r="W3498" s="110" t="inlineStr">
        <is>
          <t>PC em analise</t>
        </is>
      </c>
      <c r="X3498" s="110" t="inlineStr">
        <is>
          <t>Pedido de Compra</t>
        </is>
      </c>
      <c r="Y3498" s="111" t="inlineStr">
        <is>
          <t>Impacto Potencial</t>
        </is>
      </c>
      <c r="Z3498" s="111" t="inlineStr">
        <is>
          <t>PC</t>
        </is>
      </c>
      <c r="AA3498" s="111" t="inlineStr">
        <is>
          <t>Nao</t>
        </is>
      </c>
      <c r="AB3498" s="111" t="inlineStr">
        <is>
          <t>NAO_COMPUTADO</t>
        </is>
      </c>
      <c r="AC3498" s="112" t="inlineStr">
        <is>
          <t>Estrutura Fase 1: sem impacto no VTA oficial</t>
        </is>
      </c>
    </row>
    <row r="3499" ht="25.5" customHeight="1" s="289">
      <c r="A3499" s="205" t="n"/>
      <c r="B3499" s="207" t="n"/>
      <c r="C3499" s="104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348" t="n"/>
      <c r="E3499" s="349">
        <f>IF(C3499="","",IFERROR(VLOOKUP(C3499,parametros!$A$11:$E$15,5,0),""))</f>
        <v/>
      </c>
      <c r="F3499" s="335">
        <f>IF(OR(D3499="",E3499=""),"",ROUND(D3499*E3499,2))</f>
        <v/>
      </c>
      <c r="G3499" s="106" t="n"/>
      <c r="H3499" s="350">
        <f>IF(G3499="Sim",IF(OR(F3499="",D3499="",L3499=""),"",IF(L3499="Sim",ROUND(F3499-D3499,2),0)),0)</f>
        <v/>
      </c>
      <c r="I3499" s="350">
        <f>IF(G3499="Sim",0,IF(OR(F3499="",L3499=""),"",F3499))</f>
        <v/>
      </c>
      <c r="J3499" s="350">
        <f>IF(G3499="Sim",0,IF(OR(F3499="",D3499="",L3499=""),"",IF(L3499="Sim",ROUND(F3499-D3499,2),0)))</f>
        <v/>
      </c>
      <c r="K3499" s="97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inlineStr">
        <is>
          <t>Nao</t>
        </is>
      </c>
      <c r="W3499" s="110" t="inlineStr">
        <is>
          <t>PC em analise</t>
        </is>
      </c>
      <c r="X3499" s="110" t="inlineStr">
        <is>
          <t>Pedido de Compra</t>
        </is>
      </c>
      <c r="Y3499" s="111" t="inlineStr">
        <is>
          <t>Impacto Potencial</t>
        </is>
      </c>
      <c r="Z3499" s="111" t="inlineStr">
        <is>
          <t>PC</t>
        </is>
      </c>
      <c r="AA3499" s="111" t="inlineStr">
        <is>
          <t>Nao</t>
        </is>
      </c>
      <c r="AB3499" s="111" t="inlineStr">
        <is>
          <t>NAO_COMPUTADO</t>
        </is>
      </c>
      <c r="AC3499" s="112" t="inlineStr">
        <is>
          <t>Estrutura Fase 1: sem impacto no VTA oficial</t>
        </is>
      </c>
    </row>
    <row r="3500" ht="25.5" customHeight="1" s="289">
      <c r="A3500" s="205" t="n"/>
      <c r="B3500" s="207" t="n"/>
      <c r="C3500" s="104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348" t="n"/>
      <c r="E3500" s="349">
        <f>IF(C3500="","",IFERROR(VLOOKUP(C3500,parametros!$A$11:$E$15,5,0),""))</f>
        <v/>
      </c>
      <c r="F3500" s="335">
        <f>IF(OR(D3500="",E3500=""),"",ROUND(D3500*E3500,2))</f>
        <v/>
      </c>
      <c r="G3500" s="106" t="n"/>
      <c r="H3500" s="350">
        <f>IF(G3500="Sim",IF(OR(F3500="",D3500="",L3500=""),"",IF(L3500="Sim",ROUND(F3500-D3500,2),0)),0)</f>
        <v/>
      </c>
      <c r="I3500" s="350">
        <f>IF(G3500="Sim",0,IF(OR(F3500="",L3500=""),"",F3500))</f>
        <v/>
      </c>
      <c r="J3500" s="350">
        <f>IF(G3500="Sim",0,IF(OR(F3500="",D3500="",L3500=""),"",IF(L3500="Sim",ROUND(F3500-D3500,2),0)))</f>
        <v/>
      </c>
      <c r="K3500" s="97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inlineStr">
        <is>
          <t>Nao</t>
        </is>
      </c>
      <c r="W3500" s="110" t="inlineStr">
        <is>
          <t>PC em analise</t>
        </is>
      </c>
      <c r="X3500" s="110" t="inlineStr">
        <is>
          <t>Pedido de Compra</t>
        </is>
      </c>
      <c r="Y3500" s="111" t="inlineStr">
        <is>
          <t>Impacto Potencial</t>
        </is>
      </c>
      <c r="Z3500" s="111" t="inlineStr">
        <is>
          <t>PC</t>
        </is>
      </c>
      <c r="AA3500" s="111" t="inlineStr">
        <is>
          <t>Nao</t>
        </is>
      </c>
      <c r="AB3500" s="111" t="inlineStr">
        <is>
          <t>NAO_COMPUTADO</t>
        </is>
      </c>
      <c r="AC3500" s="112" t="inlineStr">
        <is>
          <t>Estrutura Fase 1: sem impacto no VTA oficial</t>
        </is>
      </c>
    </row>
    <row r="3501" ht="25.5" customHeight="1" s="289">
      <c r="A3501" s="205" t="n"/>
      <c r="B3501" s="207" t="n"/>
      <c r="C3501" s="104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348" t="n"/>
      <c r="E3501" s="349">
        <f>IF(C3501="","",IFERROR(VLOOKUP(C3501,parametros!$A$11:$E$15,5,0),""))</f>
        <v/>
      </c>
      <c r="F3501" s="335">
        <f>IF(OR(D3501="",E3501=""),"",ROUND(D3501*E3501,2))</f>
        <v/>
      </c>
      <c r="G3501" s="106" t="n"/>
      <c r="H3501" s="350">
        <f>IF(G3501="Sim",IF(OR(F3501="",D3501="",L3501=""),"",IF(L3501="Sim",ROUND(F3501-D3501,2),0)),0)</f>
        <v/>
      </c>
      <c r="I3501" s="350">
        <f>IF(G3501="Sim",0,IF(OR(F3501="",L3501=""),"",F3501))</f>
        <v/>
      </c>
      <c r="J3501" s="350">
        <f>IF(G3501="Sim",0,IF(OR(F3501="",D3501="",L3501=""),"",IF(L3501="Sim",ROUND(F3501-D3501,2),0)))</f>
        <v/>
      </c>
      <c r="K3501" s="97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inlineStr">
        <is>
          <t>Nao</t>
        </is>
      </c>
      <c r="W3501" s="110" t="inlineStr">
        <is>
          <t>PC em analise</t>
        </is>
      </c>
      <c r="X3501" s="110" t="inlineStr">
        <is>
          <t>Pedido de Compra</t>
        </is>
      </c>
      <c r="Y3501" s="111" t="inlineStr">
        <is>
          <t>Impacto Potencial</t>
        </is>
      </c>
      <c r="Z3501" s="111" t="inlineStr">
        <is>
          <t>PC</t>
        </is>
      </c>
      <c r="AA3501" s="111" t="inlineStr">
        <is>
          <t>Nao</t>
        </is>
      </c>
      <c r="AB3501" s="111" t="inlineStr">
        <is>
          <t>NAO_COMPUTADO</t>
        </is>
      </c>
      <c r="AC3501" s="112" t="inlineStr">
        <is>
          <t>Estrutura Fase 1: sem impacto no VTA oficial</t>
        </is>
      </c>
    </row>
    <row r="3502" ht="25.5" customHeight="1" s="289">
      <c r="A3502" s="205" t="n"/>
      <c r="B3502" s="207" t="n"/>
      <c r="C3502" s="104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348" t="n"/>
      <c r="E3502" s="349">
        <f>IF(C3502="","",IFERROR(VLOOKUP(C3502,parametros!$A$11:$E$15,5,0),""))</f>
        <v/>
      </c>
      <c r="F3502" s="335">
        <f>IF(OR(D3502="",E3502=""),"",ROUND(D3502*E3502,2))</f>
        <v/>
      </c>
      <c r="G3502" s="106" t="n"/>
      <c r="H3502" s="350">
        <f>IF(G3502="Sim",IF(OR(F3502="",D3502="",L3502=""),"",IF(L3502="Sim",ROUND(F3502-D3502,2),0)),0)</f>
        <v/>
      </c>
      <c r="I3502" s="350">
        <f>IF(G3502="Sim",0,IF(OR(F3502="",L3502=""),"",F3502))</f>
        <v/>
      </c>
      <c r="J3502" s="350">
        <f>IF(G3502="Sim",0,IF(OR(F3502="",D3502="",L3502=""),"",IF(L3502="Sim",ROUND(F3502-D3502,2),0)))</f>
        <v/>
      </c>
      <c r="K3502" s="97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inlineStr">
        <is>
          <t>Nao</t>
        </is>
      </c>
      <c r="W3502" s="110" t="inlineStr">
        <is>
          <t>PC em analise</t>
        </is>
      </c>
      <c r="X3502" s="110" t="inlineStr">
        <is>
          <t>Pedido de Compra</t>
        </is>
      </c>
      <c r="Y3502" s="111" t="inlineStr">
        <is>
          <t>Impacto Potencial</t>
        </is>
      </c>
      <c r="Z3502" s="111" t="inlineStr">
        <is>
          <t>PC</t>
        </is>
      </c>
      <c r="AA3502" s="111" t="inlineStr">
        <is>
          <t>Nao</t>
        </is>
      </c>
      <c r="AB3502" s="111" t="inlineStr">
        <is>
          <t>NAO_COMPUTADO</t>
        </is>
      </c>
      <c r="AC3502" s="112" t="inlineStr">
        <is>
          <t>Estrutura Fase 1: sem impacto no VTA oficial</t>
        </is>
      </c>
    </row>
    <row r="3503" ht="25.5" customHeight="1" s="289">
      <c r="A3503" s="205" t="n"/>
      <c r="B3503" s="207" t="n"/>
      <c r="C3503" s="104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348" t="n"/>
      <c r="E3503" s="349">
        <f>IF(C3503="","",IFERROR(VLOOKUP(C3503,parametros!$A$11:$E$15,5,0),""))</f>
        <v/>
      </c>
      <c r="F3503" s="335">
        <f>IF(OR(D3503="",E3503=""),"",ROUND(D3503*E3503,2))</f>
        <v/>
      </c>
      <c r="G3503" s="106" t="n"/>
      <c r="H3503" s="350">
        <f>IF(G3503="Sim",IF(OR(F3503="",D3503="",L3503=""),"",IF(L3503="Sim",ROUND(F3503-D3503,2),0)),0)</f>
        <v/>
      </c>
      <c r="I3503" s="350">
        <f>IF(G3503="Sim",0,IF(OR(F3503="",L3503=""),"",F3503))</f>
        <v/>
      </c>
      <c r="J3503" s="350">
        <f>IF(G3503="Sim",0,IF(OR(F3503="",D3503="",L3503=""),"",IF(L3503="Sim",ROUND(F3503-D3503,2),0)))</f>
        <v/>
      </c>
      <c r="K3503" s="97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inlineStr">
        <is>
          <t>Nao</t>
        </is>
      </c>
      <c r="W3503" s="110" t="inlineStr">
        <is>
          <t>PC em analise</t>
        </is>
      </c>
      <c r="X3503" s="110" t="inlineStr">
        <is>
          <t>Pedido de Compra</t>
        </is>
      </c>
      <c r="Y3503" s="111" t="inlineStr">
        <is>
          <t>Impacto Potencial</t>
        </is>
      </c>
      <c r="Z3503" s="111" t="inlineStr">
        <is>
          <t>PC</t>
        </is>
      </c>
      <c r="AA3503" s="111" t="inlineStr">
        <is>
          <t>Nao</t>
        </is>
      </c>
      <c r="AB3503" s="111" t="inlineStr">
        <is>
          <t>NAO_COMPUTADO</t>
        </is>
      </c>
      <c r="AC3503" s="112" t="inlineStr">
        <is>
          <t>Estrutura Fase 1: sem impacto no VTA oficial</t>
        </is>
      </c>
    </row>
    <row r="3504" ht="25.5" customHeight="1" s="289">
      <c r="A3504" s="205" t="n"/>
      <c r="B3504" s="207" t="n"/>
      <c r="C3504" s="104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348" t="n"/>
      <c r="E3504" s="349">
        <f>IF(C3504="","",IFERROR(VLOOKUP(C3504,parametros!$A$11:$E$15,5,0),""))</f>
        <v/>
      </c>
      <c r="F3504" s="335">
        <f>IF(OR(D3504="",E3504=""),"",ROUND(D3504*E3504,2))</f>
        <v/>
      </c>
      <c r="G3504" s="106" t="n"/>
      <c r="H3504" s="350">
        <f>IF(G3504="Sim",IF(OR(F3504="",D3504="",L3504=""),"",IF(L3504="Sim",ROUND(F3504-D3504,2),0)),0)</f>
        <v/>
      </c>
      <c r="I3504" s="350">
        <f>IF(G3504="Sim",0,IF(OR(F3504="",L3504=""),"",F3504))</f>
        <v/>
      </c>
      <c r="J3504" s="350">
        <f>IF(G3504="Sim",0,IF(OR(F3504="",D3504="",L3504=""),"",IF(L3504="Sim",ROUND(F3504-D3504,2),0)))</f>
        <v/>
      </c>
      <c r="K3504" s="97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inlineStr">
        <is>
          <t>Nao</t>
        </is>
      </c>
      <c r="W3504" s="110" t="inlineStr">
        <is>
          <t>PC em analise</t>
        </is>
      </c>
      <c r="X3504" s="110" t="inlineStr">
        <is>
          <t>Pedido de Compra</t>
        </is>
      </c>
      <c r="Y3504" s="111" t="inlineStr">
        <is>
          <t>Impacto Potencial</t>
        </is>
      </c>
      <c r="Z3504" s="111" t="inlineStr">
        <is>
          <t>PC</t>
        </is>
      </c>
      <c r="AA3504" s="111" t="inlineStr">
        <is>
          <t>Nao</t>
        </is>
      </c>
      <c r="AB3504" s="111" t="inlineStr">
        <is>
          <t>NAO_COMPUTADO</t>
        </is>
      </c>
      <c r="AC3504" s="112" t="inlineStr">
        <is>
          <t>Estrutura Fase 1: sem impacto no VTA oficial</t>
        </is>
      </c>
    </row>
    <row r="3505" ht="25.5" customHeight="1" s="289">
      <c r="A3505" s="205" t="n"/>
      <c r="B3505" s="207" t="n"/>
      <c r="C3505" s="104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348" t="n"/>
      <c r="E3505" s="349">
        <f>IF(C3505="","",IFERROR(VLOOKUP(C3505,parametros!$A$11:$E$15,5,0),""))</f>
        <v/>
      </c>
      <c r="F3505" s="335">
        <f>IF(OR(D3505="",E3505=""),"",ROUND(D3505*E3505,2))</f>
        <v/>
      </c>
      <c r="G3505" s="106" t="n"/>
      <c r="H3505" s="350">
        <f>IF(G3505="Sim",IF(OR(F3505="",D3505="",L3505=""),"",IF(L3505="Sim",ROUND(F3505-D3505,2),0)),0)</f>
        <v/>
      </c>
      <c r="I3505" s="350">
        <f>IF(G3505="Sim",0,IF(OR(F3505="",L3505=""),"",F3505))</f>
        <v/>
      </c>
      <c r="J3505" s="350">
        <f>IF(G3505="Sim",0,IF(OR(F3505="",D3505="",L3505=""),"",IF(L3505="Sim",ROUND(F3505-D3505,2),0)))</f>
        <v/>
      </c>
      <c r="K3505" s="97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inlineStr">
        <is>
          <t>Nao</t>
        </is>
      </c>
      <c r="W3505" s="110" t="inlineStr">
        <is>
          <t>PC em analise</t>
        </is>
      </c>
      <c r="X3505" s="110" t="inlineStr">
        <is>
          <t>Pedido de Compra</t>
        </is>
      </c>
      <c r="Y3505" s="111" t="inlineStr">
        <is>
          <t>Impacto Potencial</t>
        </is>
      </c>
      <c r="Z3505" s="111" t="inlineStr">
        <is>
          <t>PC</t>
        </is>
      </c>
      <c r="AA3505" s="111" t="inlineStr">
        <is>
          <t>Nao</t>
        </is>
      </c>
      <c r="AB3505" s="111" t="inlineStr">
        <is>
          <t>NAO_COMPUTADO</t>
        </is>
      </c>
      <c r="AC3505" s="112" t="inlineStr">
        <is>
          <t>Estrutura Fase 1: sem impacto no VTA oficial</t>
        </is>
      </c>
    </row>
    <row r="3506" ht="25.5" customHeight="1" s="289">
      <c r="A3506" s="205" t="n"/>
      <c r="B3506" s="207" t="n"/>
      <c r="C3506" s="104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348" t="n"/>
      <c r="E3506" s="349">
        <f>IF(C3506="","",IFERROR(VLOOKUP(C3506,parametros!$A$11:$E$15,5,0),""))</f>
        <v/>
      </c>
      <c r="F3506" s="335">
        <f>IF(OR(D3506="",E3506=""),"",ROUND(D3506*E3506,2))</f>
        <v/>
      </c>
      <c r="G3506" s="106" t="n"/>
      <c r="H3506" s="350">
        <f>IF(G3506="Sim",IF(OR(F3506="",D3506="",L3506=""),"",IF(L3506="Sim",ROUND(F3506-D3506,2),0)),0)</f>
        <v/>
      </c>
      <c r="I3506" s="350">
        <f>IF(G3506="Sim",0,IF(OR(F3506="",L3506=""),"",F3506))</f>
        <v/>
      </c>
      <c r="J3506" s="350">
        <f>IF(G3506="Sim",0,IF(OR(F3506="",D3506="",L3506=""),"",IF(L3506="Sim",ROUND(F3506-D3506,2),0)))</f>
        <v/>
      </c>
      <c r="K3506" s="97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inlineStr">
        <is>
          <t>Nao</t>
        </is>
      </c>
      <c r="W3506" s="110" t="inlineStr">
        <is>
          <t>PC em analise</t>
        </is>
      </c>
      <c r="X3506" s="110" t="inlineStr">
        <is>
          <t>Pedido de Compra</t>
        </is>
      </c>
      <c r="Y3506" s="111" t="inlineStr">
        <is>
          <t>Impacto Potencial</t>
        </is>
      </c>
      <c r="Z3506" s="111" t="inlineStr">
        <is>
          <t>PC</t>
        </is>
      </c>
      <c r="AA3506" s="111" t="inlineStr">
        <is>
          <t>Nao</t>
        </is>
      </c>
      <c r="AB3506" s="111" t="inlineStr">
        <is>
          <t>NAO_COMPUTADO</t>
        </is>
      </c>
      <c r="AC3506" s="112" t="inlineStr">
        <is>
          <t>Estrutura Fase 1: sem impacto no VTA oficial</t>
        </is>
      </c>
    </row>
    <row r="3507" ht="25.5" customHeight="1" s="289">
      <c r="A3507" s="205" t="n"/>
      <c r="B3507" s="207" t="n"/>
      <c r="C3507" s="104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348" t="n"/>
      <c r="E3507" s="349">
        <f>IF(C3507="","",IFERROR(VLOOKUP(C3507,parametros!$A$11:$E$15,5,0),""))</f>
        <v/>
      </c>
      <c r="F3507" s="335">
        <f>IF(OR(D3507="",E3507=""),"",ROUND(D3507*E3507,2))</f>
        <v/>
      </c>
      <c r="G3507" s="106" t="n"/>
      <c r="H3507" s="350">
        <f>IF(G3507="Sim",IF(OR(F3507="",D3507="",L3507=""),"",IF(L3507="Sim",ROUND(F3507-D3507,2),0)),0)</f>
        <v/>
      </c>
      <c r="I3507" s="350">
        <f>IF(G3507="Sim",0,IF(OR(F3507="",L3507=""),"",F3507))</f>
        <v/>
      </c>
      <c r="J3507" s="350">
        <f>IF(G3507="Sim",0,IF(OR(F3507="",D3507="",L3507=""),"",IF(L3507="Sim",ROUND(F3507-D3507,2),0)))</f>
        <v/>
      </c>
      <c r="K3507" s="97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inlineStr">
        <is>
          <t>Nao</t>
        </is>
      </c>
      <c r="W3507" s="110" t="inlineStr">
        <is>
          <t>PC em analise</t>
        </is>
      </c>
      <c r="X3507" s="110" t="inlineStr">
        <is>
          <t>Pedido de Compra</t>
        </is>
      </c>
      <c r="Y3507" s="111" t="inlineStr">
        <is>
          <t>Impacto Potencial</t>
        </is>
      </c>
      <c r="Z3507" s="111" t="inlineStr">
        <is>
          <t>PC</t>
        </is>
      </c>
      <c r="AA3507" s="111" t="inlineStr">
        <is>
          <t>Nao</t>
        </is>
      </c>
      <c r="AB3507" s="111" t="inlineStr">
        <is>
          <t>NAO_COMPUTADO</t>
        </is>
      </c>
      <c r="AC3507" s="112" t="inlineStr">
        <is>
          <t>Estrutura Fase 1: sem impacto no VTA oficial</t>
        </is>
      </c>
    </row>
    <row r="3508" ht="25.5" customHeight="1" s="289">
      <c r="A3508" s="205" t="n"/>
      <c r="B3508" s="207" t="n"/>
      <c r="C3508" s="104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348" t="n"/>
      <c r="E3508" s="349">
        <f>IF(C3508="","",IFERROR(VLOOKUP(C3508,parametros!$A$11:$E$15,5,0),""))</f>
        <v/>
      </c>
      <c r="F3508" s="335">
        <f>IF(OR(D3508="",E3508=""),"",ROUND(D3508*E3508,2))</f>
        <v/>
      </c>
      <c r="G3508" s="106" t="n"/>
      <c r="H3508" s="350">
        <f>IF(G3508="Sim",IF(OR(F3508="",D3508="",L3508=""),"",IF(L3508="Sim",ROUND(F3508-D3508,2),0)),0)</f>
        <v/>
      </c>
      <c r="I3508" s="350">
        <f>IF(G3508="Sim",0,IF(OR(F3508="",L3508=""),"",F3508))</f>
        <v/>
      </c>
      <c r="J3508" s="350">
        <f>IF(G3508="Sim",0,IF(OR(F3508="",D3508="",L3508=""),"",IF(L3508="Sim",ROUND(F3508-D3508,2),0)))</f>
        <v/>
      </c>
      <c r="K3508" s="97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inlineStr">
        <is>
          <t>Nao</t>
        </is>
      </c>
      <c r="W3508" s="110" t="inlineStr">
        <is>
          <t>PC em analise</t>
        </is>
      </c>
      <c r="X3508" s="110" t="inlineStr">
        <is>
          <t>Pedido de Compra</t>
        </is>
      </c>
      <c r="Y3508" s="111" t="inlineStr">
        <is>
          <t>Impacto Potencial</t>
        </is>
      </c>
      <c r="Z3508" s="111" t="inlineStr">
        <is>
          <t>PC</t>
        </is>
      </c>
      <c r="AA3508" s="111" t="inlineStr">
        <is>
          <t>Nao</t>
        </is>
      </c>
      <c r="AB3508" s="111" t="inlineStr">
        <is>
          <t>NAO_COMPUTADO</t>
        </is>
      </c>
      <c r="AC3508" s="112" t="inlineStr">
        <is>
          <t>Estrutura Fase 1: sem impacto no VTA oficial</t>
        </is>
      </c>
    </row>
    <row r="3509" ht="25.5" customHeight="1" s="289">
      <c r="A3509" s="205" t="n"/>
      <c r="B3509" s="207" t="n"/>
      <c r="C3509" s="104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348" t="n"/>
      <c r="E3509" s="349">
        <f>IF(C3509="","",IFERROR(VLOOKUP(C3509,parametros!$A$11:$E$15,5,0),""))</f>
        <v/>
      </c>
      <c r="F3509" s="335">
        <f>IF(OR(D3509="",E3509=""),"",ROUND(D3509*E3509,2))</f>
        <v/>
      </c>
      <c r="G3509" s="106" t="n"/>
      <c r="H3509" s="350">
        <f>IF(G3509="Sim",IF(OR(F3509="",D3509="",L3509=""),"",IF(L3509="Sim",ROUND(F3509-D3509,2),0)),0)</f>
        <v/>
      </c>
      <c r="I3509" s="350">
        <f>IF(G3509="Sim",0,IF(OR(F3509="",L3509=""),"",F3509))</f>
        <v/>
      </c>
      <c r="J3509" s="350">
        <f>IF(G3509="Sim",0,IF(OR(F3509="",D3509="",L3509=""),"",IF(L3509="Sim",ROUND(F3509-D3509,2),0)))</f>
        <v/>
      </c>
      <c r="K3509" s="97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inlineStr">
        <is>
          <t>Nao</t>
        </is>
      </c>
      <c r="W3509" s="110" t="inlineStr">
        <is>
          <t>PC em analise</t>
        </is>
      </c>
      <c r="X3509" s="110" t="inlineStr">
        <is>
          <t>Pedido de Compra</t>
        </is>
      </c>
      <c r="Y3509" s="111" t="inlineStr">
        <is>
          <t>Impacto Potencial</t>
        </is>
      </c>
      <c r="Z3509" s="111" t="inlineStr">
        <is>
          <t>PC</t>
        </is>
      </c>
      <c r="AA3509" s="111" t="inlineStr">
        <is>
          <t>Nao</t>
        </is>
      </c>
      <c r="AB3509" s="111" t="inlineStr">
        <is>
          <t>NAO_COMPUTADO</t>
        </is>
      </c>
      <c r="AC3509" s="112" t="inlineStr">
        <is>
          <t>Estrutura Fase 1: sem impacto no VTA oficial</t>
        </is>
      </c>
    </row>
    <row r="3510" ht="25.5" customHeight="1" s="289">
      <c r="A3510" s="205" t="n"/>
      <c r="B3510" s="207" t="n"/>
      <c r="C3510" s="104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348" t="n"/>
      <c r="E3510" s="349">
        <f>IF(C3510="","",IFERROR(VLOOKUP(C3510,parametros!$A$11:$E$15,5,0),""))</f>
        <v/>
      </c>
      <c r="F3510" s="335">
        <f>IF(OR(D3510="",E3510=""),"",ROUND(D3510*E3510,2))</f>
        <v/>
      </c>
      <c r="G3510" s="106" t="n"/>
      <c r="H3510" s="350">
        <f>IF(G3510="Sim",IF(OR(F3510="",D3510="",L3510=""),"",IF(L3510="Sim",ROUND(F3510-D3510,2),0)),0)</f>
        <v/>
      </c>
      <c r="I3510" s="350">
        <f>IF(G3510="Sim",0,IF(OR(F3510="",L3510=""),"",F3510))</f>
        <v/>
      </c>
      <c r="J3510" s="350">
        <f>IF(G3510="Sim",0,IF(OR(F3510="",D3510="",L3510=""),"",IF(L3510="Sim",ROUND(F3510-D3510,2),0)))</f>
        <v/>
      </c>
      <c r="K3510" s="97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inlineStr">
        <is>
          <t>Nao</t>
        </is>
      </c>
      <c r="W3510" s="110" t="inlineStr">
        <is>
          <t>PC em analise</t>
        </is>
      </c>
      <c r="X3510" s="110" t="inlineStr">
        <is>
          <t>Pedido de Compra</t>
        </is>
      </c>
      <c r="Y3510" s="111" t="inlineStr">
        <is>
          <t>Impacto Potencial</t>
        </is>
      </c>
      <c r="Z3510" s="111" t="inlineStr">
        <is>
          <t>PC</t>
        </is>
      </c>
      <c r="AA3510" s="111" t="inlineStr">
        <is>
          <t>Nao</t>
        </is>
      </c>
      <c r="AB3510" s="111" t="inlineStr">
        <is>
          <t>NAO_COMPUTADO</t>
        </is>
      </c>
      <c r="AC3510" s="112" t="inlineStr">
        <is>
          <t>Estrutura Fase 1: sem impacto no VTA oficial</t>
        </is>
      </c>
    </row>
    <row r="3511" ht="25.5" customHeight="1" s="289">
      <c r="A3511" s="205" t="n"/>
      <c r="B3511" s="207" t="n"/>
      <c r="C3511" s="104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348" t="n"/>
      <c r="E3511" s="349">
        <f>IF(C3511="","",IFERROR(VLOOKUP(C3511,parametros!$A$11:$E$15,5,0),""))</f>
        <v/>
      </c>
      <c r="F3511" s="335">
        <f>IF(OR(D3511="",E3511=""),"",ROUND(D3511*E3511,2))</f>
        <v/>
      </c>
      <c r="G3511" s="106" t="n"/>
      <c r="H3511" s="350">
        <f>IF(G3511="Sim",IF(OR(F3511="",D3511="",L3511=""),"",IF(L3511="Sim",ROUND(F3511-D3511,2),0)),0)</f>
        <v/>
      </c>
      <c r="I3511" s="350">
        <f>IF(G3511="Sim",0,IF(OR(F3511="",L3511=""),"",F3511))</f>
        <v/>
      </c>
      <c r="J3511" s="350">
        <f>IF(G3511="Sim",0,IF(OR(F3511="",D3511="",L3511=""),"",IF(L3511="Sim",ROUND(F3511-D3511,2),0)))</f>
        <v/>
      </c>
      <c r="K3511" s="97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inlineStr">
        <is>
          <t>Nao</t>
        </is>
      </c>
      <c r="W3511" s="110" t="inlineStr">
        <is>
          <t>PC em analise</t>
        </is>
      </c>
      <c r="X3511" s="110" t="inlineStr">
        <is>
          <t>Pedido de Compra</t>
        </is>
      </c>
      <c r="Y3511" s="111" t="inlineStr">
        <is>
          <t>Impacto Potencial</t>
        </is>
      </c>
      <c r="Z3511" s="111" t="inlineStr">
        <is>
          <t>PC</t>
        </is>
      </c>
      <c r="AA3511" s="111" t="inlineStr">
        <is>
          <t>Nao</t>
        </is>
      </c>
      <c r="AB3511" s="111" t="inlineStr">
        <is>
          <t>NAO_COMPUTADO</t>
        </is>
      </c>
      <c r="AC3511" s="112" t="inlineStr">
        <is>
          <t>Estrutura Fase 1: sem impacto no VTA oficial</t>
        </is>
      </c>
    </row>
    <row r="3512" ht="25.5" customHeight="1" s="289">
      <c r="A3512" s="205" t="n"/>
      <c r="B3512" s="207" t="n"/>
      <c r="C3512" s="104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348" t="n"/>
      <c r="E3512" s="349">
        <f>IF(C3512="","",IFERROR(VLOOKUP(C3512,parametros!$A$11:$E$15,5,0),""))</f>
        <v/>
      </c>
      <c r="F3512" s="335">
        <f>IF(OR(D3512="",E3512=""),"",ROUND(D3512*E3512,2))</f>
        <v/>
      </c>
      <c r="G3512" s="106" t="n"/>
      <c r="H3512" s="350">
        <f>IF(G3512="Sim",IF(OR(F3512="",D3512="",L3512=""),"",IF(L3512="Sim",ROUND(F3512-D3512,2),0)),0)</f>
        <v/>
      </c>
      <c r="I3512" s="350">
        <f>IF(G3512="Sim",0,IF(OR(F3512="",L3512=""),"",F3512))</f>
        <v/>
      </c>
      <c r="J3512" s="350">
        <f>IF(G3512="Sim",0,IF(OR(F3512="",D3512="",L3512=""),"",IF(L3512="Sim",ROUND(F3512-D3512,2),0)))</f>
        <v/>
      </c>
      <c r="K3512" s="97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inlineStr">
        <is>
          <t>Nao</t>
        </is>
      </c>
      <c r="W3512" s="110" t="inlineStr">
        <is>
          <t>PC em analise</t>
        </is>
      </c>
      <c r="X3512" s="110" t="inlineStr">
        <is>
          <t>Pedido de Compra</t>
        </is>
      </c>
      <c r="Y3512" s="111" t="inlineStr">
        <is>
          <t>Impacto Potencial</t>
        </is>
      </c>
      <c r="Z3512" s="111" t="inlineStr">
        <is>
          <t>PC</t>
        </is>
      </c>
      <c r="AA3512" s="111" t="inlineStr">
        <is>
          <t>Nao</t>
        </is>
      </c>
      <c r="AB3512" s="111" t="inlineStr">
        <is>
          <t>NAO_COMPUTADO</t>
        </is>
      </c>
      <c r="AC3512" s="112" t="inlineStr">
        <is>
          <t>Estrutura Fase 1: sem impacto no VTA oficial</t>
        </is>
      </c>
    </row>
    <row r="3513" ht="25.5" customHeight="1" s="289">
      <c r="A3513" s="205" t="n"/>
      <c r="B3513" s="207" t="n"/>
      <c r="C3513" s="104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348" t="n"/>
      <c r="E3513" s="349">
        <f>IF(C3513="","",IFERROR(VLOOKUP(C3513,parametros!$A$11:$E$15,5,0),""))</f>
        <v/>
      </c>
      <c r="F3513" s="335">
        <f>IF(OR(D3513="",E3513=""),"",ROUND(D3513*E3513,2))</f>
        <v/>
      </c>
      <c r="G3513" s="106" t="n"/>
      <c r="H3513" s="350">
        <f>IF(G3513="Sim",IF(OR(F3513="",D3513="",L3513=""),"",IF(L3513="Sim",ROUND(F3513-D3513,2),0)),0)</f>
        <v/>
      </c>
      <c r="I3513" s="350">
        <f>IF(G3513="Sim",0,IF(OR(F3513="",L3513=""),"",F3513))</f>
        <v/>
      </c>
      <c r="J3513" s="350">
        <f>IF(G3513="Sim",0,IF(OR(F3513="",D3513="",L3513=""),"",IF(L3513="Sim",ROUND(F3513-D3513,2),0)))</f>
        <v/>
      </c>
      <c r="K3513" s="97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inlineStr">
        <is>
          <t>Nao</t>
        </is>
      </c>
      <c r="W3513" s="110" t="inlineStr">
        <is>
          <t>PC em analise</t>
        </is>
      </c>
      <c r="X3513" s="110" t="inlineStr">
        <is>
          <t>Pedido de Compra</t>
        </is>
      </c>
      <c r="Y3513" s="111" t="inlineStr">
        <is>
          <t>Impacto Potencial</t>
        </is>
      </c>
      <c r="Z3513" s="111" t="inlineStr">
        <is>
          <t>PC</t>
        </is>
      </c>
      <c r="AA3513" s="111" t="inlineStr">
        <is>
          <t>Nao</t>
        </is>
      </c>
      <c r="AB3513" s="111" t="inlineStr">
        <is>
          <t>NAO_COMPUTADO</t>
        </is>
      </c>
      <c r="AC3513" s="112" t="inlineStr">
        <is>
          <t>Estrutura Fase 1: sem impacto no VTA oficial</t>
        </is>
      </c>
    </row>
    <row r="3514" ht="25.5" customHeight="1" s="289">
      <c r="A3514" s="205" t="n"/>
      <c r="B3514" s="207" t="n"/>
      <c r="C3514" s="104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348" t="n"/>
      <c r="E3514" s="349">
        <f>IF(C3514="","",IFERROR(VLOOKUP(C3514,parametros!$A$11:$E$15,5,0),""))</f>
        <v/>
      </c>
      <c r="F3514" s="335">
        <f>IF(OR(D3514="",E3514=""),"",ROUND(D3514*E3514,2))</f>
        <v/>
      </c>
      <c r="G3514" s="106" t="n"/>
      <c r="H3514" s="350">
        <f>IF(G3514="Sim",IF(OR(F3514="",D3514="",L3514=""),"",IF(L3514="Sim",ROUND(F3514-D3514,2),0)),0)</f>
        <v/>
      </c>
      <c r="I3514" s="350">
        <f>IF(G3514="Sim",0,IF(OR(F3514="",L3514=""),"",F3514))</f>
        <v/>
      </c>
      <c r="J3514" s="350">
        <f>IF(G3514="Sim",0,IF(OR(F3514="",D3514="",L3514=""),"",IF(L3514="Sim",ROUND(F3514-D3514,2),0)))</f>
        <v/>
      </c>
      <c r="K3514" s="97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inlineStr">
        <is>
          <t>Nao</t>
        </is>
      </c>
      <c r="W3514" s="110" t="inlineStr">
        <is>
          <t>PC em analise</t>
        </is>
      </c>
      <c r="X3514" s="110" t="inlineStr">
        <is>
          <t>Pedido de Compra</t>
        </is>
      </c>
      <c r="Y3514" s="111" t="inlineStr">
        <is>
          <t>Impacto Potencial</t>
        </is>
      </c>
      <c r="Z3514" s="111" t="inlineStr">
        <is>
          <t>PC</t>
        </is>
      </c>
      <c r="AA3514" s="111" t="inlineStr">
        <is>
          <t>Nao</t>
        </is>
      </c>
      <c r="AB3514" s="111" t="inlineStr">
        <is>
          <t>NAO_COMPUTADO</t>
        </is>
      </c>
      <c r="AC3514" s="112" t="inlineStr">
        <is>
          <t>Estrutura Fase 1: sem impacto no VTA oficial</t>
        </is>
      </c>
    </row>
    <row r="3515" ht="25.5" customHeight="1" s="289">
      <c r="A3515" s="205" t="n"/>
      <c r="B3515" s="207" t="n"/>
      <c r="C3515" s="104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348" t="n"/>
      <c r="E3515" s="349">
        <f>IF(C3515="","",IFERROR(VLOOKUP(C3515,parametros!$A$11:$E$15,5,0),""))</f>
        <v/>
      </c>
      <c r="F3515" s="335">
        <f>IF(OR(D3515="",E3515=""),"",ROUND(D3515*E3515,2))</f>
        <v/>
      </c>
      <c r="G3515" s="106" t="n"/>
      <c r="H3515" s="350">
        <f>IF(G3515="Sim",IF(OR(F3515="",D3515="",L3515=""),"",IF(L3515="Sim",ROUND(F3515-D3515,2),0)),0)</f>
        <v/>
      </c>
      <c r="I3515" s="350">
        <f>IF(G3515="Sim",0,IF(OR(F3515="",L3515=""),"",F3515))</f>
        <v/>
      </c>
      <c r="J3515" s="350">
        <f>IF(G3515="Sim",0,IF(OR(F3515="",D3515="",L3515=""),"",IF(L3515="Sim",ROUND(F3515-D3515,2),0)))</f>
        <v/>
      </c>
      <c r="K3515" s="97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inlineStr">
        <is>
          <t>Nao</t>
        </is>
      </c>
      <c r="W3515" s="110" t="inlineStr">
        <is>
          <t>PC em analise</t>
        </is>
      </c>
      <c r="X3515" s="110" t="inlineStr">
        <is>
          <t>Pedido de Compra</t>
        </is>
      </c>
      <c r="Y3515" s="111" t="inlineStr">
        <is>
          <t>Impacto Potencial</t>
        </is>
      </c>
      <c r="Z3515" s="111" t="inlineStr">
        <is>
          <t>PC</t>
        </is>
      </c>
      <c r="AA3515" s="111" t="inlineStr">
        <is>
          <t>Nao</t>
        </is>
      </c>
      <c r="AB3515" s="111" t="inlineStr">
        <is>
          <t>NAO_COMPUTADO</t>
        </is>
      </c>
      <c r="AC3515" s="112" t="inlineStr">
        <is>
          <t>Estrutura Fase 1: sem impacto no VTA oficial</t>
        </is>
      </c>
    </row>
    <row r="3516" ht="25.5" customHeight="1" s="289">
      <c r="A3516" s="205" t="n"/>
      <c r="B3516" s="207" t="n"/>
      <c r="C3516" s="104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348" t="n"/>
      <c r="E3516" s="349">
        <f>IF(C3516="","",IFERROR(VLOOKUP(C3516,parametros!$A$11:$E$15,5,0),""))</f>
        <v/>
      </c>
      <c r="F3516" s="335">
        <f>IF(OR(D3516="",E3516=""),"",ROUND(D3516*E3516,2))</f>
        <v/>
      </c>
      <c r="G3516" s="106" t="n"/>
      <c r="H3516" s="350">
        <f>IF(G3516="Sim",IF(OR(F3516="",D3516="",L3516=""),"",IF(L3516="Sim",ROUND(F3516-D3516,2),0)),0)</f>
        <v/>
      </c>
      <c r="I3516" s="350">
        <f>IF(G3516="Sim",0,IF(OR(F3516="",L3516=""),"",F3516))</f>
        <v/>
      </c>
      <c r="J3516" s="350">
        <f>IF(G3516="Sim",0,IF(OR(F3516="",D3516="",L3516=""),"",IF(L3516="Sim",ROUND(F3516-D3516,2),0)))</f>
        <v/>
      </c>
      <c r="K3516" s="97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inlineStr">
        <is>
          <t>Nao</t>
        </is>
      </c>
      <c r="W3516" s="110" t="inlineStr">
        <is>
          <t>PC em analise</t>
        </is>
      </c>
      <c r="X3516" s="110" t="inlineStr">
        <is>
          <t>Pedido de Compra</t>
        </is>
      </c>
      <c r="Y3516" s="111" t="inlineStr">
        <is>
          <t>Impacto Potencial</t>
        </is>
      </c>
      <c r="Z3516" s="111" t="inlineStr">
        <is>
          <t>PC</t>
        </is>
      </c>
      <c r="AA3516" s="111" t="inlineStr">
        <is>
          <t>Nao</t>
        </is>
      </c>
      <c r="AB3516" s="111" t="inlineStr">
        <is>
          <t>NAO_COMPUTADO</t>
        </is>
      </c>
      <c r="AC3516" s="112" t="inlineStr">
        <is>
          <t>Estrutura Fase 1: sem impacto no VTA oficial</t>
        </is>
      </c>
    </row>
    <row r="3517" ht="25.5" customHeight="1" s="289">
      <c r="A3517" s="205" t="n"/>
      <c r="B3517" s="207" t="n"/>
      <c r="C3517" s="104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348" t="n"/>
      <c r="E3517" s="349">
        <f>IF(C3517="","",IFERROR(VLOOKUP(C3517,parametros!$A$11:$E$15,5,0),""))</f>
        <v/>
      </c>
      <c r="F3517" s="335">
        <f>IF(OR(D3517="",E3517=""),"",ROUND(D3517*E3517,2))</f>
        <v/>
      </c>
      <c r="G3517" s="106" t="n"/>
      <c r="H3517" s="350">
        <f>IF(G3517="Sim",IF(OR(F3517="",D3517="",L3517=""),"",IF(L3517="Sim",ROUND(F3517-D3517,2),0)),0)</f>
        <v/>
      </c>
      <c r="I3517" s="350">
        <f>IF(G3517="Sim",0,IF(OR(F3517="",L3517=""),"",F3517))</f>
        <v/>
      </c>
      <c r="J3517" s="350">
        <f>IF(G3517="Sim",0,IF(OR(F3517="",D3517="",L3517=""),"",IF(L3517="Sim",ROUND(F3517-D3517,2),0)))</f>
        <v/>
      </c>
      <c r="K3517" s="97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inlineStr">
        <is>
          <t>Nao</t>
        </is>
      </c>
      <c r="W3517" s="110" t="inlineStr">
        <is>
          <t>PC em analise</t>
        </is>
      </c>
      <c r="X3517" s="110" t="inlineStr">
        <is>
          <t>Pedido de Compra</t>
        </is>
      </c>
      <c r="Y3517" s="111" t="inlineStr">
        <is>
          <t>Impacto Potencial</t>
        </is>
      </c>
      <c r="Z3517" s="111" t="inlineStr">
        <is>
          <t>PC</t>
        </is>
      </c>
      <c r="AA3517" s="111" t="inlineStr">
        <is>
          <t>Nao</t>
        </is>
      </c>
      <c r="AB3517" s="111" t="inlineStr">
        <is>
          <t>NAO_COMPUTADO</t>
        </is>
      </c>
      <c r="AC3517" s="112" t="inlineStr">
        <is>
          <t>Estrutura Fase 1: sem impacto no VTA oficial</t>
        </is>
      </c>
    </row>
    <row r="3518" ht="25.5" customHeight="1" s="289">
      <c r="A3518" s="205" t="n"/>
      <c r="B3518" s="207" t="n"/>
      <c r="C3518" s="104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348" t="n"/>
      <c r="E3518" s="349">
        <f>IF(C3518="","",IFERROR(VLOOKUP(C3518,parametros!$A$11:$E$15,5,0),""))</f>
        <v/>
      </c>
      <c r="F3518" s="335">
        <f>IF(OR(D3518="",E3518=""),"",ROUND(D3518*E3518,2))</f>
        <v/>
      </c>
      <c r="G3518" s="106" t="n"/>
      <c r="H3518" s="350">
        <f>IF(G3518="Sim",IF(OR(F3518="",D3518="",L3518=""),"",IF(L3518="Sim",ROUND(F3518-D3518,2),0)),0)</f>
        <v/>
      </c>
      <c r="I3518" s="350">
        <f>IF(G3518="Sim",0,IF(OR(F3518="",L3518=""),"",F3518))</f>
        <v/>
      </c>
      <c r="J3518" s="350">
        <f>IF(G3518="Sim",0,IF(OR(F3518="",D3518="",L3518=""),"",IF(L3518="Sim",ROUND(F3518-D3518,2),0)))</f>
        <v/>
      </c>
      <c r="K3518" s="97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inlineStr">
        <is>
          <t>Nao</t>
        </is>
      </c>
      <c r="W3518" s="110" t="inlineStr">
        <is>
          <t>PC em analise</t>
        </is>
      </c>
      <c r="X3518" s="110" t="inlineStr">
        <is>
          <t>Pedido de Compra</t>
        </is>
      </c>
      <c r="Y3518" s="111" t="inlineStr">
        <is>
          <t>Impacto Potencial</t>
        </is>
      </c>
      <c r="Z3518" s="111" t="inlineStr">
        <is>
          <t>PC</t>
        </is>
      </c>
      <c r="AA3518" s="111" t="inlineStr">
        <is>
          <t>Nao</t>
        </is>
      </c>
      <c r="AB3518" s="111" t="inlineStr">
        <is>
          <t>NAO_COMPUTADO</t>
        </is>
      </c>
      <c r="AC3518" s="112" t="inlineStr">
        <is>
          <t>Estrutura Fase 1: sem impacto no VTA oficial</t>
        </is>
      </c>
    </row>
    <row r="3519" ht="25.5" customHeight="1" s="289">
      <c r="A3519" s="205" t="n"/>
      <c r="B3519" s="207" t="n"/>
      <c r="C3519" s="104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348" t="n"/>
      <c r="E3519" s="349">
        <f>IF(C3519="","",IFERROR(VLOOKUP(C3519,parametros!$A$11:$E$15,5,0),""))</f>
        <v/>
      </c>
      <c r="F3519" s="335">
        <f>IF(OR(D3519="",E3519=""),"",ROUND(D3519*E3519,2))</f>
        <v/>
      </c>
      <c r="G3519" s="106" t="n"/>
      <c r="H3519" s="350">
        <f>IF(G3519="Sim",IF(OR(F3519="",D3519="",L3519=""),"",IF(L3519="Sim",ROUND(F3519-D3519,2),0)),0)</f>
        <v/>
      </c>
      <c r="I3519" s="350">
        <f>IF(G3519="Sim",0,IF(OR(F3519="",L3519=""),"",F3519))</f>
        <v/>
      </c>
      <c r="J3519" s="350">
        <f>IF(G3519="Sim",0,IF(OR(F3519="",D3519="",L3519=""),"",IF(L3519="Sim",ROUND(F3519-D3519,2),0)))</f>
        <v/>
      </c>
      <c r="K3519" s="97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inlineStr">
        <is>
          <t>Nao</t>
        </is>
      </c>
      <c r="W3519" s="110" t="inlineStr">
        <is>
          <t>PC em analise</t>
        </is>
      </c>
      <c r="X3519" s="110" t="inlineStr">
        <is>
          <t>Pedido de Compra</t>
        </is>
      </c>
      <c r="Y3519" s="111" t="inlineStr">
        <is>
          <t>Impacto Potencial</t>
        </is>
      </c>
      <c r="Z3519" s="111" t="inlineStr">
        <is>
          <t>PC</t>
        </is>
      </c>
      <c r="AA3519" s="111" t="inlineStr">
        <is>
          <t>Nao</t>
        </is>
      </c>
      <c r="AB3519" s="111" t="inlineStr">
        <is>
          <t>NAO_COMPUTADO</t>
        </is>
      </c>
      <c r="AC3519" s="112" t="inlineStr">
        <is>
          <t>Estrutura Fase 1: sem impacto no VTA oficial</t>
        </is>
      </c>
    </row>
    <row r="3520" ht="25.5" customHeight="1" s="289">
      <c r="A3520" s="205" t="n"/>
      <c r="B3520" s="207" t="n"/>
      <c r="C3520" s="104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348" t="n"/>
      <c r="E3520" s="349">
        <f>IF(C3520="","",IFERROR(VLOOKUP(C3520,parametros!$A$11:$E$15,5,0),""))</f>
        <v/>
      </c>
      <c r="F3520" s="335">
        <f>IF(OR(D3520="",E3520=""),"",ROUND(D3520*E3520,2))</f>
        <v/>
      </c>
      <c r="G3520" s="106" t="n"/>
      <c r="H3520" s="350">
        <f>IF(G3520="Sim",IF(OR(F3520="",D3520="",L3520=""),"",IF(L3520="Sim",ROUND(F3520-D3520,2),0)),0)</f>
        <v/>
      </c>
      <c r="I3520" s="350">
        <f>IF(G3520="Sim",0,IF(OR(F3520="",L3520=""),"",F3520))</f>
        <v/>
      </c>
      <c r="J3520" s="350">
        <f>IF(G3520="Sim",0,IF(OR(F3520="",D3520="",L3520=""),"",IF(L3520="Sim",ROUND(F3520-D3520,2),0)))</f>
        <v/>
      </c>
      <c r="K3520" s="97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inlineStr">
        <is>
          <t>Nao</t>
        </is>
      </c>
      <c r="W3520" s="110" t="inlineStr">
        <is>
          <t>PC em analise</t>
        </is>
      </c>
      <c r="X3520" s="110" t="inlineStr">
        <is>
          <t>Pedido de Compra</t>
        </is>
      </c>
      <c r="Y3520" s="111" t="inlineStr">
        <is>
          <t>Impacto Potencial</t>
        </is>
      </c>
      <c r="Z3520" s="111" t="inlineStr">
        <is>
          <t>PC</t>
        </is>
      </c>
      <c r="AA3520" s="111" t="inlineStr">
        <is>
          <t>Nao</t>
        </is>
      </c>
      <c r="AB3520" s="111" t="inlineStr">
        <is>
          <t>NAO_COMPUTADO</t>
        </is>
      </c>
      <c r="AC3520" s="112" t="inlineStr">
        <is>
          <t>Estrutura Fase 1: sem impacto no VTA oficial</t>
        </is>
      </c>
    </row>
    <row r="3521" ht="25.5" customHeight="1" s="289">
      <c r="A3521" s="205" t="n"/>
      <c r="B3521" s="207" t="n"/>
      <c r="C3521" s="104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348" t="n"/>
      <c r="E3521" s="349">
        <f>IF(C3521="","",IFERROR(VLOOKUP(C3521,parametros!$A$11:$E$15,5,0),""))</f>
        <v/>
      </c>
      <c r="F3521" s="335">
        <f>IF(OR(D3521="",E3521=""),"",ROUND(D3521*E3521,2))</f>
        <v/>
      </c>
      <c r="G3521" s="106" t="n"/>
      <c r="H3521" s="350">
        <f>IF(G3521="Sim",IF(OR(F3521="",D3521="",L3521=""),"",IF(L3521="Sim",ROUND(F3521-D3521,2),0)),0)</f>
        <v/>
      </c>
      <c r="I3521" s="350">
        <f>IF(G3521="Sim",0,IF(OR(F3521="",L3521=""),"",F3521))</f>
        <v/>
      </c>
      <c r="J3521" s="350">
        <f>IF(G3521="Sim",0,IF(OR(F3521="",D3521="",L3521=""),"",IF(L3521="Sim",ROUND(F3521-D3521,2),0)))</f>
        <v/>
      </c>
      <c r="K3521" s="97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inlineStr">
        <is>
          <t>Nao</t>
        </is>
      </c>
      <c r="W3521" s="110" t="inlineStr">
        <is>
          <t>PC em analise</t>
        </is>
      </c>
      <c r="X3521" s="110" t="inlineStr">
        <is>
          <t>Pedido de Compra</t>
        </is>
      </c>
      <c r="Y3521" s="111" t="inlineStr">
        <is>
          <t>Impacto Potencial</t>
        </is>
      </c>
      <c r="Z3521" s="111" t="inlineStr">
        <is>
          <t>PC</t>
        </is>
      </c>
      <c r="AA3521" s="111" t="inlineStr">
        <is>
          <t>Nao</t>
        </is>
      </c>
      <c r="AB3521" s="111" t="inlineStr">
        <is>
          <t>NAO_COMPUTADO</t>
        </is>
      </c>
      <c r="AC3521" s="112" t="inlineStr">
        <is>
          <t>Estrutura Fase 1: sem impacto no VTA oficial</t>
        </is>
      </c>
    </row>
    <row r="3522" ht="25.5" customHeight="1" s="289">
      <c r="A3522" s="205" t="n"/>
      <c r="B3522" s="207" t="n"/>
      <c r="C3522" s="104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348" t="n"/>
      <c r="E3522" s="349">
        <f>IF(C3522="","",IFERROR(VLOOKUP(C3522,parametros!$A$11:$E$15,5,0),""))</f>
        <v/>
      </c>
      <c r="F3522" s="335">
        <f>IF(OR(D3522="",E3522=""),"",ROUND(D3522*E3522,2))</f>
        <v/>
      </c>
      <c r="G3522" s="106" t="n"/>
      <c r="H3522" s="350">
        <f>IF(G3522="Sim",IF(OR(F3522="",D3522="",L3522=""),"",IF(L3522="Sim",ROUND(F3522-D3522,2),0)),0)</f>
        <v/>
      </c>
      <c r="I3522" s="350">
        <f>IF(G3522="Sim",0,IF(OR(F3522="",L3522=""),"",F3522))</f>
        <v/>
      </c>
      <c r="J3522" s="350">
        <f>IF(G3522="Sim",0,IF(OR(F3522="",D3522="",L3522=""),"",IF(L3522="Sim",ROUND(F3522-D3522,2),0)))</f>
        <v/>
      </c>
      <c r="K3522" s="97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inlineStr">
        <is>
          <t>Nao</t>
        </is>
      </c>
      <c r="W3522" s="110" t="inlineStr">
        <is>
          <t>PC em analise</t>
        </is>
      </c>
      <c r="X3522" s="110" t="inlineStr">
        <is>
          <t>Pedido de Compra</t>
        </is>
      </c>
      <c r="Y3522" s="111" t="inlineStr">
        <is>
          <t>Impacto Potencial</t>
        </is>
      </c>
      <c r="Z3522" s="111" t="inlineStr">
        <is>
          <t>PC</t>
        </is>
      </c>
      <c r="AA3522" s="111" t="inlineStr">
        <is>
          <t>Nao</t>
        </is>
      </c>
      <c r="AB3522" s="111" t="inlineStr">
        <is>
          <t>NAO_COMPUTADO</t>
        </is>
      </c>
      <c r="AC3522" s="112" t="inlineStr">
        <is>
          <t>Estrutura Fase 1: sem impacto no VTA oficial</t>
        </is>
      </c>
    </row>
    <row r="3523" ht="25.5" customHeight="1" s="289">
      <c r="A3523" s="205" t="n"/>
      <c r="B3523" s="207" t="n"/>
      <c r="C3523" s="104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348" t="n"/>
      <c r="E3523" s="349">
        <f>IF(C3523="","",IFERROR(VLOOKUP(C3523,parametros!$A$11:$E$15,5,0),""))</f>
        <v/>
      </c>
      <c r="F3523" s="335">
        <f>IF(OR(D3523="",E3523=""),"",ROUND(D3523*E3523,2))</f>
        <v/>
      </c>
      <c r="G3523" s="106" t="n"/>
      <c r="H3523" s="350">
        <f>IF(G3523="Sim",IF(OR(F3523="",D3523="",L3523=""),"",IF(L3523="Sim",ROUND(F3523-D3523,2),0)),0)</f>
        <v/>
      </c>
      <c r="I3523" s="350">
        <f>IF(G3523="Sim",0,IF(OR(F3523="",L3523=""),"",F3523))</f>
        <v/>
      </c>
      <c r="J3523" s="350">
        <f>IF(G3523="Sim",0,IF(OR(F3523="",D3523="",L3523=""),"",IF(L3523="Sim",ROUND(F3523-D3523,2),0)))</f>
        <v/>
      </c>
      <c r="K3523" s="97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inlineStr">
        <is>
          <t>Nao</t>
        </is>
      </c>
      <c r="W3523" s="110" t="inlineStr">
        <is>
          <t>PC em analise</t>
        </is>
      </c>
      <c r="X3523" s="110" t="inlineStr">
        <is>
          <t>Pedido de Compra</t>
        </is>
      </c>
      <c r="Y3523" s="111" t="inlineStr">
        <is>
          <t>Impacto Potencial</t>
        </is>
      </c>
      <c r="Z3523" s="111" t="inlineStr">
        <is>
          <t>PC</t>
        </is>
      </c>
      <c r="AA3523" s="111" t="inlineStr">
        <is>
          <t>Nao</t>
        </is>
      </c>
      <c r="AB3523" s="111" t="inlineStr">
        <is>
          <t>NAO_COMPUTADO</t>
        </is>
      </c>
      <c r="AC3523" s="112" t="inlineStr">
        <is>
          <t>Estrutura Fase 1: sem impacto no VTA oficial</t>
        </is>
      </c>
    </row>
    <row r="3524" ht="25.5" customHeight="1" s="289">
      <c r="A3524" s="205" t="n"/>
      <c r="B3524" s="207" t="n"/>
      <c r="C3524" s="104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348" t="n"/>
      <c r="E3524" s="349">
        <f>IF(C3524="","",IFERROR(VLOOKUP(C3524,parametros!$A$11:$E$15,5,0),""))</f>
        <v/>
      </c>
      <c r="F3524" s="335">
        <f>IF(OR(D3524="",E3524=""),"",ROUND(D3524*E3524,2))</f>
        <v/>
      </c>
      <c r="G3524" s="106" t="n"/>
      <c r="H3524" s="350">
        <f>IF(G3524="Sim",IF(OR(F3524="",D3524="",L3524=""),"",IF(L3524="Sim",ROUND(F3524-D3524,2),0)),0)</f>
        <v/>
      </c>
      <c r="I3524" s="350">
        <f>IF(G3524="Sim",0,IF(OR(F3524="",L3524=""),"",F3524))</f>
        <v/>
      </c>
      <c r="J3524" s="350">
        <f>IF(G3524="Sim",0,IF(OR(F3524="",D3524="",L3524=""),"",IF(L3524="Sim",ROUND(F3524-D3524,2),0)))</f>
        <v/>
      </c>
      <c r="K3524" s="97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inlineStr">
        <is>
          <t>Nao</t>
        </is>
      </c>
      <c r="W3524" s="110" t="inlineStr">
        <is>
          <t>PC em analise</t>
        </is>
      </c>
      <c r="X3524" s="110" t="inlineStr">
        <is>
          <t>Pedido de Compra</t>
        </is>
      </c>
      <c r="Y3524" s="111" t="inlineStr">
        <is>
          <t>Impacto Potencial</t>
        </is>
      </c>
      <c r="Z3524" s="111" t="inlineStr">
        <is>
          <t>PC</t>
        </is>
      </c>
      <c r="AA3524" s="111" t="inlineStr">
        <is>
          <t>Nao</t>
        </is>
      </c>
      <c r="AB3524" s="111" t="inlineStr">
        <is>
          <t>NAO_COMPUTADO</t>
        </is>
      </c>
      <c r="AC3524" s="112" t="inlineStr">
        <is>
          <t>Estrutura Fase 1: sem impacto no VTA oficial</t>
        </is>
      </c>
    </row>
    <row r="3525" ht="25.5" customHeight="1" s="289">
      <c r="A3525" s="205" t="n"/>
      <c r="B3525" s="207" t="n"/>
      <c r="C3525" s="104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348" t="n"/>
      <c r="E3525" s="349">
        <f>IF(C3525="","",IFERROR(VLOOKUP(C3525,parametros!$A$11:$E$15,5,0),""))</f>
        <v/>
      </c>
      <c r="F3525" s="335">
        <f>IF(OR(D3525="",E3525=""),"",ROUND(D3525*E3525,2))</f>
        <v/>
      </c>
      <c r="G3525" s="106" t="n"/>
      <c r="H3525" s="350">
        <f>IF(G3525="Sim",IF(OR(F3525="",D3525="",L3525=""),"",IF(L3525="Sim",ROUND(F3525-D3525,2),0)),0)</f>
        <v/>
      </c>
      <c r="I3525" s="350">
        <f>IF(G3525="Sim",0,IF(OR(F3525="",L3525=""),"",F3525))</f>
        <v/>
      </c>
      <c r="J3525" s="350">
        <f>IF(G3525="Sim",0,IF(OR(F3525="",D3525="",L3525=""),"",IF(L3525="Sim",ROUND(F3525-D3525,2),0)))</f>
        <v/>
      </c>
      <c r="K3525" s="97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inlineStr">
        <is>
          <t>Nao</t>
        </is>
      </c>
      <c r="W3525" s="110" t="inlineStr">
        <is>
          <t>PC em analise</t>
        </is>
      </c>
      <c r="X3525" s="110" t="inlineStr">
        <is>
          <t>Pedido de Compra</t>
        </is>
      </c>
      <c r="Y3525" s="111" t="inlineStr">
        <is>
          <t>Impacto Potencial</t>
        </is>
      </c>
      <c r="Z3525" s="111" t="inlineStr">
        <is>
          <t>PC</t>
        </is>
      </c>
      <c r="AA3525" s="111" t="inlineStr">
        <is>
          <t>Nao</t>
        </is>
      </c>
      <c r="AB3525" s="111" t="inlineStr">
        <is>
          <t>NAO_COMPUTADO</t>
        </is>
      </c>
      <c r="AC3525" s="112" t="inlineStr">
        <is>
          <t>Estrutura Fase 1: sem impacto no VTA oficial</t>
        </is>
      </c>
    </row>
    <row r="3526" ht="25.5" customHeight="1" s="289">
      <c r="A3526" s="205" t="n"/>
      <c r="B3526" s="207" t="n"/>
      <c r="C3526" s="104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348" t="n"/>
      <c r="E3526" s="349">
        <f>IF(C3526="","",IFERROR(VLOOKUP(C3526,parametros!$A$11:$E$15,5,0),""))</f>
        <v/>
      </c>
      <c r="F3526" s="335">
        <f>IF(OR(D3526="",E3526=""),"",ROUND(D3526*E3526,2))</f>
        <v/>
      </c>
      <c r="G3526" s="106" t="n"/>
      <c r="H3526" s="350">
        <f>IF(G3526="Sim",IF(OR(F3526="",D3526="",L3526=""),"",IF(L3526="Sim",ROUND(F3526-D3526,2),0)),0)</f>
        <v/>
      </c>
      <c r="I3526" s="350">
        <f>IF(G3526="Sim",0,IF(OR(F3526="",L3526=""),"",F3526))</f>
        <v/>
      </c>
      <c r="J3526" s="350">
        <f>IF(G3526="Sim",0,IF(OR(F3526="",D3526="",L3526=""),"",IF(L3526="Sim",ROUND(F3526-D3526,2),0)))</f>
        <v/>
      </c>
      <c r="K3526" s="97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inlineStr">
        <is>
          <t>Nao</t>
        </is>
      </c>
      <c r="W3526" s="110" t="inlineStr">
        <is>
          <t>PC em analise</t>
        </is>
      </c>
      <c r="X3526" s="110" t="inlineStr">
        <is>
          <t>Pedido de Compra</t>
        </is>
      </c>
      <c r="Y3526" s="111" t="inlineStr">
        <is>
          <t>Impacto Potencial</t>
        </is>
      </c>
      <c r="Z3526" s="111" t="inlineStr">
        <is>
          <t>PC</t>
        </is>
      </c>
      <c r="AA3526" s="111" t="inlineStr">
        <is>
          <t>Nao</t>
        </is>
      </c>
      <c r="AB3526" s="111" t="inlineStr">
        <is>
          <t>NAO_COMPUTADO</t>
        </is>
      </c>
      <c r="AC3526" s="112" t="inlineStr">
        <is>
          <t>Estrutura Fase 1: sem impacto no VTA oficial</t>
        </is>
      </c>
    </row>
    <row r="3527" ht="25.5" customHeight="1" s="289">
      <c r="A3527" s="205" t="n"/>
      <c r="B3527" s="207" t="n"/>
      <c r="C3527" s="104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348" t="n"/>
      <c r="E3527" s="349">
        <f>IF(C3527="","",IFERROR(VLOOKUP(C3527,parametros!$A$11:$E$15,5,0),""))</f>
        <v/>
      </c>
      <c r="F3527" s="335">
        <f>IF(OR(D3527="",E3527=""),"",ROUND(D3527*E3527,2))</f>
        <v/>
      </c>
      <c r="G3527" s="106" t="n"/>
      <c r="H3527" s="350">
        <f>IF(G3527="Sim",IF(OR(F3527="",D3527="",L3527=""),"",IF(L3527="Sim",ROUND(F3527-D3527,2),0)),0)</f>
        <v/>
      </c>
      <c r="I3527" s="350">
        <f>IF(G3527="Sim",0,IF(OR(F3527="",L3527=""),"",F3527))</f>
        <v/>
      </c>
      <c r="J3527" s="350">
        <f>IF(G3527="Sim",0,IF(OR(F3527="",D3527="",L3527=""),"",IF(L3527="Sim",ROUND(F3527-D3527,2),0)))</f>
        <v/>
      </c>
      <c r="K3527" s="97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inlineStr">
        <is>
          <t>Nao</t>
        </is>
      </c>
      <c r="W3527" s="110" t="inlineStr">
        <is>
          <t>PC em analise</t>
        </is>
      </c>
      <c r="X3527" s="110" t="inlineStr">
        <is>
          <t>Pedido de Compra</t>
        </is>
      </c>
      <c r="Y3527" s="111" t="inlineStr">
        <is>
          <t>Impacto Potencial</t>
        </is>
      </c>
      <c r="Z3527" s="111" t="inlineStr">
        <is>
          <t>PC</t>
        </is>
      </c>
      <c r="AA3527" s="111" t="inlineStr">
        <is>
          <t>Nao</t>
        </is>
      </c>
      <c r="AB3527" s="111" t="inlineStr">
        <is>
          <t>NAO_COMPUTADO</t>
        </is>
      </c>
      <c r="AC3527" s="112" t="inlineStr">
        <is>
          <t>Estrutura Fase 1: sem impacto no VTA oficial</t>
        </is>
      </c>
    </row>
    <row r="3528" ht="25.5" customHeight="1" s="289">
      <c r="A3528" s="205" t="n"/>
      <c r="B3528" s="207" t="n"/>
      <c r="C3528" s="104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348" t="n"/>
      <c r="E3528" s="349">
        <f>IF(C3528="","",IFERROR(VLOOKUP(C3528,parametros!$A$11:$E$15,5,0),""))</f>
        <v/>
      </c>
      <c r="F3528" s="335">
        <f>IF(OR(D3528="",E3528=""),"",ROUND(D3528*E3528,2))</f>
        <v/>
      </c>
      <c r="G3528" s="106" t="n"/>
      <c r="H3528" s="350">
        <f>IF(G3528="Sim",IF(OR(F3528="",D3528="",L3528=""),"",IF(L3528="Sim",ROUND(F3528-D3528,2),0)),0)</f>
        <v/>
      </c>
      <c r="I3528" s="350">
        <f>IF(G3528="Sim",0,IF(OR(F3528="",L3528=""),"",F3528))</f>
        <v/>
      </c>
      <c r="J3528" s="350">
        <f>IF(G3528="Sim",0,IF(OR(F3528="",D3528="",L3528=""),"",IF(L3528="Sim",ROUND(F3528-D3528,2),0)))</f>
        <v/>
      </c>
      <c r="K3528" s="97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inlineStr">
        <is>
          <t>Nao</t>
        </is>
      </c>
      <c r="W3528" s="110" t="inlineStr">
        <is>
          <t>PC em analise</t>
        </is>
      </c>
      <c r="X3528" s="110" t="inlineStr">
        <is>
          <t>Pedido de Compra</t>
        </is>
      </c>
      <c r="Y3528" s="111" t="inlineStr">
        <is>
          <t>Impacto Potencial</t>
        </is>
      </c>
      <c r="Z3528" s="111" t="inlineStr">
        <is>
          <t>PC</t>
        </is>
      </c>
      <c r="AA3528" s="111" t="inlineStr">
        <is>
          <t>Nao</t>
        </is>
      </c>
      <c r="AB3528" s="111" t="inlineStr">
        <is>
          <t>NAO_COMPUTADO</t>
        </is>
      </c>
      <c r="AC3528" s="112" t="inlineStr">
        <is>
          <t>Estrutura Fase 1: sem impacto no VTA oficial</t>
        </is>
      </c>
    </row>
    <row r="3529" ht="25.5" customHeight="1" s="289">
      <c r="A3529" s="205" t="n"/>
      <c r="B3529" s="207" t="n"/>
      <c r="C3529" s="104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348" t="n"/>
      <c r="E3529" s="349">
        <f>IF(C3529="","",IFERROR(VLOOKUP(C3529,parametros!$A$11:$E$15,5,0),""))</f>
        <v/>
      </c>
      <c r="F3529" s="335">
        <f>IF(OR(D3529="",E3529=""),"",ROUND(D3529*E3529,2))</f>
        <v/>
      </c>
      <c r="G3529" s="106" t="n"/>
      <c r="H3529" s="350">
        <f>IF(G3529="Sim",IF(OR(F3529="",D3529="",L3529=""),"",IF(L3529="Sim",ROUND(F3529-D3529,2),0)),0)</f>
        <v/>
      </c>
      <c r="I3529" s="350">
        <f>IF(G3529="Sim",0,IF(OR(F3529="",L3529=""),"",F3529))</f>
        <v/>
      </c>
      <c r="J3529" s="350">
        <f>IF(G3529="Sim",0,IF(OR(F3529="",D3529="",L3529=""),"",IF(L3529="Sim",ROUND(F3529-D3529,2),0)))</f>
        <v/>
      </c>
      <c r="K3529" s="97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inlineStr">
        <is>
          <t>Nao</t>
        </is>
      </c>
      <c r="W3529" s="110" t="inlineStr">
        <is>
          <t>PC em analise</t>
        </is>
      </c>
      <c r="X3529" s="110" t="inlineStr">
        <is>
          <t>Pedido de Compra</t>
        </is>
      </c>
      <c r="Y3529" s="111" t="inlineStr">
        <is>
          <t>Impacto Potencial</t>
        </is>
      </c>
      <c r="Z3529" s="111" t="inlineStr">
        <is>
          <t>PC</t>
        </is>
      </c>
      <c r="AA3529" s="111" t="inlineStr">
        <is>
          <t>Nao</t>
        </is>
      </c>
      <c r="AB3529" s="111" t="inlineStr">
        <is>
          <t>NAO_COMPUTADO</t>
        </is>
      </c>
      <c r="AC3529" s="112" t="inlineStr">
        <is>
          <t>Estrutura Fase 1: sem impacto no VTA oficial</t>
        </is>
      </c>
    </row>
    <row r="3530" ht="25.5" customHeight="1" s="289">
      <c r="A3530" s="205" t="n"/>
      <c r="B3530" s="207" t="n"/>
      <c r="C3530" s="104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348" t="n"/>
      <c r="E3530" s="349">
        <f>IF(C3530="","",IFERROR(VLOOKUP(C3530,parametros!$A$11:$E$15,5,0),""))</f>
        <v/>
      </c>
      <c r="F3530" s="335">
        <f>IF(OR(D3530="",E3530=""),"",ROUND(D3530*E3530,2))</f>
        <v/>
      </c>
      <c r="G3530" s="106" t="n"/>
      <c r="H3530" s="350">
        <f>IF(G3530="Sim",IF(OR(F3530="",D3530="",L3530=""),"",IF(L3530="Sim",ROUND(F3530-D3530,2),0)),0)</f>
        <v/>
      </c>
      <c r="I3530" s="350">
        <f>IF(G3530="Sim",0,IF(OR(F3530="",L3530=""),"",F3530))</f>
        <v/>
      </c>
      <c r="J3530" s="350">
        <f>IF(G3530="Sim",0,IF(OR(F3530="",D3530="",L3530=""),"",IF(L3530="Sim",ROUND(F3530-D3530,2),0)))</f>
        <v/>
      </c>
      <c r="K3530" s="97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inlineStr">
        <is>
          <t>Nao</t>
        </is>
      </c>
      <c r="W3530" s="110" t="inlineStr">
        <is>
          <t>PC em analise</t>
        </is>
      </c>
      <c r="X3530" s="110" t="inlineStr">
        <is>
          <t>Pedido de Compra</t>
        </is>
      </c>
      <c r="Y3530" s="111" t="inlineStr">
        <is>
          <t>Impacto Potencial</t>
        </is>
      </c>
      <c r="Z3530" s="111" t="inlineStr">
        <is>
          <t>PC</t>
        </is>
      </c>
      <c r="AA3530" s="111" t="inlineStr">
        <is>
          <t>Nao</t>
        </is>
      </c>
      <c r="AB3530" s="111" t="inlineStr">
        <is>
          <t>NAO_COMPUTADO</t>
        </is>
      </c>
      <c r="AC3530" s="112" t="inlineStr">
        <is>
          <t>Estrutura Fase 1: sem impacto no VTA oficial</t>
        </is>
      </c>
    </row>
    <row r="3531" ht="25.5" customHeight="1" s="289">
      <c r="A3531" s="205" t="n"/>
      <c r="B3531" s="207" t="n"/>
      <c r="C3531" s="104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348" t="n"/>
      <c r="E3531" s="349">
        <f>IF(C3531="","",IFERROR(VLOOKUP(C3531,parametros!$A$11:$E$15,5,0),""))</f>
        <v/>
      </c>
      <c r="F3531" s="335">
        <f>IF(OR(D3531="",E3531=""),"",ROUND(D3531*E3531,2))</f>
        <v/>
      </c>
      <c r="G3531" s="106" t="n"/>
      <c r="H3531" s="350">
        <f>IF(G3531="Sim",IF(OR(F3531="",D3531="",L3531=""),"",IF(L3531="Sim",ROUND(F3531-D3531,2),0)),0)</f>
        <v/>
      </c>
      <c r="I3531" s="350">
        <f>IF(G3531="Sim",0,IF(OR(F3531="",L3531=""),"",F3531))</f>
        <v/>
      </c>
      <c r="J3531" s="350">
        <f>IF(G3531="Sim",0,IF(OR(F3531="",D3531="",L3531=""),"",IF(L3531="Sim",ROUND(F3531-D3531,2),0)))</f>
        <v/>
      </c>
      <c r="K3531" s="97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inlineStr">
        <is>
          <t>Nao</t>
        </is>
      </c>
      <c r="W3531" s="110" t="inlineStr">
        <is>
          <t>PC em analise</t>
        </is>
      </c>
      <c r="X3531" s="110" t="inlineStr">
        <is>
          <t>Pedido de Compra</t>
        </is>
      </c>
      <c r="Y3531" s="111" t="inlineStr">
        <is>
          <t>Impacto Potencial</t>
        </is>
      </c>
      <c r="Z3531" s="111" t="inlineStr">
        <is>
          <t>PC</t>
        </is>
      </c>
      <c r="AA3531" s="111" t="inlineStr">
        <is>
          <t>Nao</t>
        </is>
      </c>
      <c r="AB3531" s="111" t="inlineStr">
        <is>
          <t>NAO_COMPUTADO</t>
        </is>
      </c>
      <c r="AC3531" s="112" t="inlineStr">
        <is>
          <t>Estrutura Fase 1: sem impacto no VTA oficial</t>
        </is>
      </c>
    </row>
    <row r="3532" ht="25.5" customHeight="1" s="289">
      <c r="A3532" s="205" t="n"/>
      <c r="B3532" s="207" t="n"/>
      <c r="C3532" s="104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348" t="n"/>
      <c r="E3532" s="349">
        <f>IF(C3532="","",IFERROR(VLOOKUP(C3532,parametros!$A$11:$E$15,5,0),""))</f>
        <v/>
      </c>
      <c r="F3532" s="335">
        <f>IF(OR(D3532="",E3532=""),"",ROUND(D3532*E3532,2))</f>
        <v/>
      </c>
      <c r="G3532" s="106" t="n"/>
      <c r="H3532" s="350">
        <f>IF(G3532="Sim",IF(OR(F3532="",D3532="",L3532=""),"",IF(L3532="Sim",ROUND(F3532-D3532,2),0)),0)</f>
        <v/>
      </c>
      <c r="I3532" s="350">
        <f>IF(G3532="Sim",0,IF(OR(F3532="",L3532=""),"",F3532))</f>
        <v/>
      </c>
      <c r="J3532" s="350">
        <f>IF(G3532="Sim",0,IF(OR(F3532="",D3532="",L3532=""),"",IF(L3532="Sim",ROUND(F3532-D3532,2),0)))</f>
        <v/>
      </c>
      <c r="K3532" s="97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inlineStr">
        <is>
          <t>Nao</t>
        </is>
      </c>
      <c r="W3532" s="110" t="inlineStr">
        <is>
          <t>PC em analise</t>
        </is>
      </c>
      <c r="X3532" s="110" t="inlineStr">
        <is>
          <t>Pedido de Compra</t>
        </is>
      </c>
      <c r="Y3532" s="111" t="inlineStr">
        <is>
          <t>Impacto Potencial</t>
        </is>
      </c>
      <c r="Z3532" s="111" t="inlineStr">
        <is>
          <t>PC</t>
        </is>
      </c>
      <c r="AA3532" s="111" t="inlineStr">
        <is>
          <t>Nao</t>
        </is>
      </c>
      <c r="AB3532" s="111" t="inlineStr">
        <is>
          <t>NAO_COMPUTADO</t>
        </is>
      </c>
      <c r="AC3532" s="112" t="inlineStr">
        <is>
          <t>Estrutura Fase 1: sem impacto no VTA oficial</t>
        </is>
      </c>
    </row>
    <row r="3533" ht="25.5" customHeight="1" s="289">
      <c r="A3533" s="205" t="n"/>
      <c r="B3533" s="207" t="n"/>
      <c r="C3533" s="104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348" t="n"/>
      <c r="E3533" s="349">
        <f>IF(C3533="","",IFERROR(VLOOKUP(C3533,parametros!$A$11:$E$15,5,0),""))</f>
        <v/>
      </c>
      <c r="F3533" s="335">
        <f>IF(OR(D3533="",E3533=""),"",ROUND(D3533*E3533,2))</f>
        <v/>
      </c>
      <c r="G3533" s="106" t="n"/>
      <c r="H3533" s="350">
        <f>IF(G3533="Sim",IF(OR(F3533="",D3533="",L3533=""),"",IF(L3533="Sim",ROUND(F3533-D3533,2),0)),0)</f>
        <v/>
      </c>
      <c r="I3533" s="350">
        <f>IF(G3533="Sim",0,IF(OR(F3533="",L3533=""),"",F3533))</f>
        <v/>
      </c>
      <c r="J3533" s="350">
        <f>IF(G3533="Sim",0,IF(OR(F3533="",D3533="",L3533=""),"",IF(L3533="Sim",ROUND(F3533-D3533,2),0)))</f>
        <v/>
      </c>
      <c r="K3533" s="97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inlineStr">
        <is>
          <t>Nao</t>
        </is>
      </c>
      <c r="W3533" s="110" t="inlineStr">
        <is>
          <t>PC em analise</t>
        </is>
      </c>
      <c r="X3533" s="110" t="inlineStr">
        <is>
          <t>Pedido de Compra</t>
        </is>
      </c>
      <c r="Y3533" s="111" t="inlineStr">
        <is>
          <t>Impacto Potencial</t>
        </is>
      </c>
      <c r="Z3533" s="111" t="inlineStr">
        <is>
          <t>PC</t>
        </is>
      </c>
      <c r="AA3533" s="111" t="inlineStr">
        <is>
          <t>Nao</t>
        </is>
      </c>
      <c r="AB3533" s="111" t="inlineStr">
        <is>
          <t>NAO_COMPUTADO</t>
        </is>
      </c>
      <c r="AC3533" s="112" t="inlineStr">
        <is>
          <t>Estrutura Fase 1: sem impacto no VTA oficial</t>
        </is>
      </c>
    </row>
    <row r="3534" ht="25.5" customHeight="1" s="289">
      <c r="A3534" s="205" t="n"/>
      <c r="B3534" s="207" t="n"/>
      <c r="C3534" s="104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348" t="n"/>
      <c r="E3534" s="349">
        <f>IF(C3534="","",IFERROR(VLOOKUP(C3534,parametros!$A$11:$E$15,5,0),""))</f>
        <v/>
      </c>
      <c r="F3534" s="335">
        <f>IF(OR(D3534="",E3534=""),"",ROUND(D3534*E3534,2))</f>
        <v/>
      </c>
      <c r="G3534" s="106" t="n"/>
      <c r="H3534" s="350">
        <f>IF(G3534="Sim",IF(OR(F3534="",D3534="",L3534=""),"",IF(L3534="Sim",ROUND(F3534-D3534,2),0)),0)</f>
        <v/>
      </c>
      <c r="I3534" s="350">
        <f>IF(G3534="Sim",0,IF(OR(F3534="",L3534=""),"",F3534))</f>
        <v/>
      </c>
      <c r="J3534" s="350">
        <f>IF(G3534="Sim",0,IF(OR(F3534="",D3534="",L3534=""),"",IF(L3534="Sim",ROUND(F3534-D3534,2),0)))</f>
        <v/>
      </c>
      <c r="K3534" s="97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inlineStr">
        <is>
          <t>Nao</t>
        </is>
      </c>
      <c r="W3534" s="110" t="inlineStr">
        <is>
          <t>PC em analise</t>
        </is>
      </c>
      <c r="X3534" s="110" t="inlineStr">
        <is>
          <t>Pedido de Compra</t>
        </is>
      </c>
      <c r="Y3534" s="111" t="inlineStr">
        <is>
          <t>Impacto Potencial</t>
        </is>
      </c>
      <c r="Z3534" s="111" t="inlineStr">
        <is>
          <t>PC</t>
        </is>
      </c>
      <c r="AA3534" s="111" t="inlineStr">
        <is>
          <t>Nao</t>
        </is>
      </c>
      <c r="AB3534" s="111" t="inlineStr">
        <is>
          <t>NAO_COMPUTADO</t>
        </is>
      </c>
      <c r="AC3534" s="112" t="inlineStr">
        <is>
          <t>Estrutura Fase 1: sem impacto no VTA oficial</t>
        </is>
      </c>
    </row>
    <row r="3535" ht="25.5" customHeight="1" s="289">
      <c r="A3535" s="205" t="n"/>
      <c r="B3535" s="207" t="n"/>
      <c r="C3535" s="104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348" t="n"/>
      <c r="E3535" s="349">
        <f>IF(C3535="","",IFERROR(VLOOKUP(C3535,parametros!$A$11:$E$15,5,0),""))</f>
        <v/>
      </c>
      <c r="F3535" s="335">
        <f>IF(OR(D3535="",E3535=""),"",ROUND(D3535*E3535,2))</f>
        <v/>
      </c>
      <c r="G3535" s="106" t="n"/>
      <c r="H3535" s="350">
        <f>IF(G3535="Sim",IF(OR(F3535="",D3535="",L3535=""),"",IF(L3535="Sim",ROUND(F3535-D3535,2),0)),0)</f>
        <v/>
      </c>
      <c r="I3535" s="350">
        <f>IF(G3535="Sim",0,IF(OR(F3535="",L3535=""),"",F3535))</f>
        <v/>
      </c>
      <c r="J3535" s="350">
        <f>IF(G3535="Sim",0,IF(OR(F3535="",D3535="",L3535=""),"",IF(L3535="Sim",ROUND(F3535-D3535,2),0)))</f>
        <v/>
      </c>
      <c r="K3535" s="97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inlineStr">
        <is>
          <t>Nao</t>
        </is>
      </c>
      <c r="W3535" s="110" t="inlineStr">
        <is>
          <t>PC em analise</t>
        </is>
      </c>
      <c r="X3535" s="110" t="inlineStr">
        <is>
          <t>Pedido de Compra</t>
        </is>
      </c>
      <c r="Y3535" s="111" t="inlineStr">
        <is>
          <t>Impacto Potencial</t>
        </is>
      </c>
      <c r="Z3535" s="111" t="inlineStr">
        <is>
          <t>PC</t>
        </is>
      </c>
      <c r="AA3535" s="111" t="inlineStr">
        <is>
          <t>Nao</t>
        </is>
      </c>
      <c r="AB3535" s="111" t="inlineStr">
        <is>
          <t>NAO_COMPUTADO</t>
        </is>
      </c>
      <c r="AC3535" s="112" t="inlineStr">
        <is>
          <t>Estrutura Fase 1: sem impacto no VTA oficial</t>
        </is>
      </c>
    </row>
    <row r="3536" ht="25.5" customHeight="1" s="289">
      <c r="A3536" s="205" t="n"/>
      <c r="B3536" s="207" t="n"/>
      <c r="C3536" s="104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348" t="n"/>
      <c r="E3536" s="349">
        <f>IF(C3536="","",IFERROR(VLOOKUP(C3536,parametros!$A$11:$E$15,5,0),""))</f>
        <v/>
      </c>
      <c r="F3536" s="335">
        <f>IF(OR(D3536="",E3536=""),"",ROUND(D3536*E3536,2))</f>
        <v/>
      </c>
      <c r="G3536" s="106" t="n"/>
      <c r="H3536" s="350">
        <f>IF(G3536="Sim",IF(OR(F3536="",D3536="",L3536=""),"",IF(L3536="Sim",ROUND(F3536-D3536,2),0)),0)</f>
        <v/>
      </c>
      <c r="I3536" s="350">
        <f>IF(G3536="Sim",0,IF(OR(F3536="",L3536=""),"",F3536))</f>
        <v/>
      </c>
      <c r="J3536" s="350">
        <f>IF(G3536="Sim",0,IF(OR(F3536="",D3536="",L3536=""),"",IF(L3536="Sim",ROUND(F3536-D3536,2),0)))</f>
        <v/>
      </c>
      <c r="K3536" s="97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inlineStr">
        <is>
          <t>Nao</t>
        </is>
      </c>
      <c r="W3536" s="110" t="inlineStr">
        <is>
          <t>PC em analise</t>
        </is>
      </c>
      <c r="X3536" s="110" t="inlineStr">
        <is>
          <t>Pedido de Compra</t>
        </is>
      </c>
      <c r="Y3536" s="111" t="inlineStr">
        <is>
          <t>Impacto Potencial</t>
        </is>
      </c>
      <c r="Z3536" s="111" t="inlineStr">
        <is>
          <t>PC</t>
        </is>
      </c>
      <c r="AA3536" s="111" t="inlineStr">
        <is>
          <t>Nao</t>
        </is>
      </c>
      <c r="AB3536" s="111" t="inlineStr">
        <is>
          <t>NAO_COMPUTADO</t>
        </is>
      </c>
      <c r="AC3536" s="112" t="inlineStr">
        <is>
          <t>Estrutura Fase 1: sem impacto no VTA oficial</t>
        </is>
      </c>
    </row>
    <row r="3537" ht="25.5" customHeight="1" s="289">
      <c r="A3537" s="205" t="n"/>
      <c r="B3537" s="207" t="n"/>
      <c r="C3537" s="104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348" t="n"/>
      <c r="E3537" s="349">
        <f>IF(C3537="","",IFERROR(VLOOKUP(C3537,parametros!$A$11:$E$15,5,0),""))</f>
        <v/>
      </c>
      <c r="F3537" s="335">
        <f>IF(OR(D3537="",E3537=""),"",ROUND(D3537*E3537,2))</f>
        <v/>
      </c>
      <c r="G3537" s="106" t="n"/>
      <c r="H3537" s="350">
        <f>IF(G3537="Sim",IF(OR(F3537="",D3537="",L3537=""),"",IF(L3537="Sim",ROUND(F3537-D3537,2),0)),0)</f>
        <v/>
      </c>
      <c r="I3537" s="350">
        <f>IF(G3537="Sim",0,IF(OR(F3537="",L3537=""),"",F3537))</f>
        <v/>
      </c>
      <c r="J3537" s="350">
        <f>IF(G3537="Sim",0,IF(OR(F3537="",D3537="",L3537=""),"",IF(L3537="Sim",ROUND(F3537-D3537,2),0)))</f>
        <v/>
      </c>
      <c r="K3537" s="97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inlineStr">
        <is>
          <t>Nao</t>
        </is>
      </c>
      <c r="W3537" s="110" t="inlineStr">
        <is>
          <t>PC em analise</t>
        </is>
      </c>
      <c r="X3537" s="110" t="inlineStr">
        <is>
          <t>Pedido de Compra</t>
        </is>
      </c>
      <c r="Y3537" s="111" t="inlineStr">
        <is>
          <t>Impacto Potencial</t>
        </is>
      </c>
      <c r="Z3537" s="111" t="inlineStr">
        <is>
          <t>PC</t>
        </is>
      </c>
      <c r="AA3537" s="111" t="inlineStr">
        <is>
          <t>Nao</t>
        </is>
      </c>
      <c r="AB3537" s="111" t="inlineStr">
        <is>
          <t>NAO_COMPUTADO</t>
        </is>
      </c>
      <c r="AC3537" s="112" t="inlineStr">
        <is>
          <t>Estrutura Fase 1: sem impacto no VTA oficial</t>
        </is>
      </c>
    </row>
    <row r="3538" ht="25.5" customHeight="1" s="289">
      <c r="A3538" s="205" t="n"/>
      <c r="B3538" s="207" t="n"/>
      <c r="C3538" s="104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348" t="n"/>
      <c r="E3538" s="349">
        <f>IF(C3538="","",IFERROR(VLOOKUP(C3538,parametros!$A$11:$E$15,5,0),""))</f>
        <v/>
      </c>
      <c r="F3538" s="335">
        <f>IF(OR(D3538="",E3538=""),"",ROUND(D3538*E3538,2))</f>
        <v/>
      </c>
      <c r="G3538" s="106" t="n"/>
      <c r="H3538" s="350">
        <f>IF(G3538="Sim",IF(OR(F3538="",D3538="",L3538=""),"",IF(L3538="Sim",ROUND(F3538-D3538,2),0)),0)</f>
        <v/>
      </c>
      <c r="I3538" s="350">
        <f>IF(G3538="Sim",0,IF(OR(F3538="",L3538=""),"",F3538))</f>
        <v/>
      </c>
      <c r="J3538" s="350">
        <f>IF(G3538="Sim",0,IF(OR(F3538="",D3538="",L3538=""),"",IF(L3538="Sim",ROUND(F3538-D3538,2),0)))</f>
        <v/>
      </c>
      <c r="K3538" s="97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inlineStr">
        <is>
          <t>Nao</t>
        </is>
      </c>
      <c r="W3538" s="110" t="inlineStr">
        <is>
          <t>PC em analise</t>
        </is>
      </c>
      <c r="X3538" s="110" t="inlineStr">
        <is>
          <t>Pedido de Compra</t>
        </is>
      </c>
      <c r="Y3538" s="111" t="inlineStr">
        <is>
          <t>Impacto Potencial</t>
        </is>
      </c>
      <c r="Z3538" s="111" t="inlineStr">
        <is>
          <t>PC</t>
        </is>
      </c>
      <c r="AA3538" s="111" t="inlineStr">
        <is>
          <t>Nao</t>
        </is>
      </c>
      <c r="AB3538" s="111" t="inlineStr">
        <is>
          <t>NAO_COMPUTADO</t>
        </is>
      </c>
      <c r="AC3538" s="112" t="inlineStr">
        <is>
          <t>Estrutura Fase 1: sem impacto no VTA oficial</t>
        </is>
      </c>
    </row>
    <row r="3539" ht="25.5" customHeight="1" s="289">
      <c r="A3539" s="205" t="n"/>
      <c r="B3539" s="207" t="n"/>
      <c r="C3539" s="104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348" t="n"/>
      <c r="E3539" s="349">
        <f>IF(C3539="","",IFERROR(VLOOKUP(C3539,parametros!$A$11:$E$15,5,0),""))</f>
        <v/>
      </c>
      <c r="F3539" s="335">
        <f>IF(OR(D3539="",E3539=""),"",ROUND(D3539*E3539,2))</f>
        <v/>
      </c>
      <c r="G3539" s="106" t="n"/>
      <c r="H3539" s="350">
        <f>IF(G3539="Sim",IF(OR(F3539="",D3539="",L3539=""),"",IF(L3539="Sim",ROUND(F3539-D3539,2),0)),0)</f>
        <v/>
      </c>
      <c r="I3539" s="350">
        <f>IF(G3539="Sim",0,IF(OR(F3539="",L3539=""),"",F3539))</f>
        <v/>
      </c>
      <c r="J3539" s="350">
        <f>IF(G3539="Sim",0,IF(OR(F3539="",D3539="",L3539=""),"",IF(L3539="Sim",ROUND(F3539-D3539,2),0)))</f>
        <v/>
      </c>
      <c r="K3539" s="97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inlineStr">
        <is>
          <t>Nao</t>
        </is>
      </c>
      <c r="W3539" s="110" t="inlineStr">
        <is>
          <t>PC em analise</t>
        </is>
      </c>
      <c r="X3539" s="110" t="inlineStr">
        <is>
          <t>Pedido de Compra</t>
        </is>
      </c>
      <c r="Y3539" s="111" t="inlineStr">
        <is>
          <t>Impacto Potencial</t>
        </is>
      </c>
      <c r="Z3539" s="111" t="inlineStr">
        <is>
          <t>PC</t>
        </is>
      </c>
      <c r="AA3539" s="111" t="inlineStr">
        <is>
          <t>Nao</t>
        </is>
      </c>
      <c r="AB3539" s="111" t="inlineStr">
        <is>
          <t>NAO_COMPUTADO</t>
        </is>
      </c>
      <c r="AC3539" s="112" t="inlineStr">
        <is>
          <t>Estrutura Fase 1: sem impacto no VTA oficial</t>
        </is>
      </c>
    </row>
    <row r="3540" ht="25.5" customHeight="1" s="289">
      <c r="A3540" s="205" t="n"/>
      <c r="B3540" s="207" t="n"/>
      <c r="C3540" s="104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348" t="n"/>
      <c r="E3540" s="349">
        <f>IF(C3540="","",IFERROR(VLOOKUP(C3540,parametros!$A$11:$E$15,5,0),""))</f>
        <v/>
      </c>
      <c r="F3540" s="335">
        <f>IF(OR(D3540="",E3540=""),"",ROUND(D3540*E3540,2))</f>
        <v/>
      </c>
      <c r="G3540" s="106" t="n"/>
      <c r="H3540" s="350">
        <f>IF(G3540="Sim",IF(OR(F3540="",D3540="",L3540=""),"",IF(L3540="Sim",ROUND(F3540-D3540,2),0)),0)</f>
        <v/>
      </c>
      <c r="I3540" s="350">
        <f>IF(G3540="Sim",0,IF(OR(F3540="",L3540=""),"",F3540))</f>
        <v/>
      </c>
      <c r="J3540" s="350">
        <f>IF(G3540="Sim",0,IF(OR(F3540="",D3540="",L3540=""),"",IF(L3540="Sim",ROUND(F3540-D3540,2),0)))</f>
        <v/>
      </c>
      <c r="K3540" s="97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inlineStr">
        <is>
          <t>Nao</t>
        </is>
      </c>
      <c r="W3540" s="110" t="inlineStr">
        <is>
          <t>PC em analise</t>
        </is>
      </c>
      <c r="X3540" s="110" t="inlineStr">
        <is>
          <t>Pedido de Compra</t>
        </is>
      </c>
      <c r="Y3540" s="111" t="inlineStr">
        <is>
          <t>Impacto Potencial</t>
        </is>
      </c>
      <c r="Z3540" s="111" t="inlineStr">
        <is>
          <t>PC</t>
        </is>
      </c>
      <c r="AA3540" s="111" t="inlineStr">
        <is>
          <t>Nao</t>
        </is>
      </c>
      <c r="AB3540" s="111" t="inlineStr">
        <is>
          <t>NAO_COMPUTADO</t>
        </is>
      </c>
      <c r="AC3540" s="112" t="inlineStr">
        <is>
          <t>Estrutura Fase 1: sem impacto no VTA oficial</t>
        </is>
      </c>
    </row>
    <row r="3541" ht="25.5" customHeight="1" s="289">
      <c r="A3541" s="205" t="n"/>
      <c r="B3541" s="207" t="n"/>
      <c r="C3541" s="104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348" t="n"/>
      <c r="E3541" s="349">
        <f>IF(C3541="","",IFERROR(VLOOKUP(C3541,parametros!$A$11:$E$15,5,0),""))</f>
        <v/>
      </c>
      <c r="F3541" s="335">
        <f>IF(OR(D3541="",E3541=""),"",ROUND(D3541*E3541,2))</f>
        <v/>
      </c>
      <c r="G3541" s="106" t="n"/>
      <c r="H3541" s="350">
        <f>IF(G3541="Sim",IF(OR(F3541="",D3541="",L3541=""),"",IF(L3541="Sim",ROUND(F3541-D3541,2),0)),0)</f>
        <v/>
      </c>
      <c r="I3541" s="350">
        <f>IF(G3541="Sim",0,IF(OR(F3541="",L3541=""),"",F3541))</f>
        <v/>
      </c>
      <c r="J3541" s="350">
        <f>IF(G3541="Sim",0,IF(OR(F3541="",D3541="",L3541=""),"",IF(L3541="Sim",ROUND(F3541-D3541,2),0)))</f>
        <v/>
      </c>
      <c r="K3541" s="97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inlineStr">
        <is>
          <t>Nao</t>
        </is>
      </c>
      <c r="W3541" s="110" t="inlineStr">
        <is>
          <t>PC em analise</t>
        </is>
      </c>
      <c r="X3541" s="110" t="inlineStr">
        <is>
          <t>Pedido de Compra</t>
        </is>
      </c>
      <c r="Y3541" s="111" t="inlineStr">
        <is>
          <t>Impacto Potencial</t>
        </is>
      </c>
      <c r="Z3541" s="111" t="inlineStr">
        <is>
          <t>PC</t>
        </is>
      </c>
      <c r="AA3541" s="111" t="inlineStr">
        <is>
          <t>Nao</t>
        </is>
      </c>
      <c r="AB3541" s="111" t="inlineStr">
        <is>
          <t>NAO_COMPUTADO</t>
        </is>
      </c>
      <c r="AC3541" s="112" t="inlineStr">
        <is>
          <t>Estrutura Fase 1: sem impacto no VTA oficial</t>
        </is>
      </c>
    </row>
    <row r="3542" ht="25.5" customHeight="1" s="289">
      <c r="A3542" s="205" t="n"/>
      <c r="B3542" s="207" t="n"/>
      <c r="C3542" s="104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348" t="n"/>
      <c r="E3542" s="349">
        <f>IF(C3542="","",IFERROR(VLOOKUP(C3542,parametros!$A$11:$E$15,5,0),""))</f>
        <v/>
      </c>
      <c r="F3542" s="335">
        <f>IF(OR(D3542="",E3542=""),"",ROUND(D3542*E3542,2))</f>
        <v/>
      </c>
      <c r="G3542" s="106" t="n"/>
      <c r="H3542" s="350">
        <f>IF(G3542="Sim",IF(OR(F3542="",D3542="",L3542=""),"",IF(L3542="Sim",ROUND(F3542-D3542,2),0)),0)</f>
        <v/>
      </c>
      <c r="I3542" s="350">
        <f>IF(G3542="Sim",0,IF(OR(F3542="",L3542=""),"",F3542))</f>
        <v/>
      </c>
      <c r="J3542" s="350">
        <f>IF(G3542="Sim",0,IF(OR(F3542="",D3542="",L3542=""),"",IF(L3542="Sim",ROUND(F3542-D3542,2),0)))</f>
        <v/>
      </c>
      <c r="K3542" s="97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inlineStr">
        <is>
          <t>Nao</t>
        </is>
      </c>
      <c r="W3542" s="110" t="inlineStr">
        <is>
          <t>PC em analise</t>
        </is>
      </c>
      <c r="X3542" s="110" t="inlineStr">
        <is>
          <t>Pedido de Compra</t>
        </is>
      </c>
      <c r="Y3542" s="111" t="inlineStr">
        <is>
          <t>Impacto Potencial</t>
        </is>
      </c>
      <c r="Z3542" s="111" t="inlineStr">
        <is>
          <t>PC</t>
        </is>
      </c>
      <c r="AA3542" s="111" t="inlineStr">
        <is>
          <t>Nao</t>
        </is>
      </c>
      <c r="AB3542" s="111" t="inlineStr">
        <is>
          <t>NAO_COMPUTADO</t>
        </is>
      </c>
      <c r="AC3542" s="112" t="inlineStr">
        <is>
          <t>Estrutura Fase 1: sem impacto no VTA oficial</t>
        </is>
      </c>
    </row>
    <row r="3543" ht="25.5" customHeight="1" s="289">
      <c r="A3543" s="205" t="n"/>
      <c r="B3543" s="207" t="n"/>
      <c r="C3543" s="104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348" t="n"/>
      <c r="E3543" s="349">
        <f>IF(C3543="","",IFERROR(VLOOKUP(C3543,parametros!$A$11:$E$15,5,0),""))</f>
        <v/>
      </c>
      <c r="F3543" s="335">
        <f>IF(OR(D3543="",E3543=""),"",ROUND(D3543*E3543,2))</f>
        <v/>
      </c>
      <c r="G3543" s="106" t="n"/>
      <c r="H3543" s="350">
        <f>IF(G3543="Sim",IF(OR(F3543="",D3543="",L3543=""),"",IF(L3543="Sim",ROUND(F3543-D3543,2),0)),0)</f>
        <v/>
      </c>
      <c r="I3543" s="350">
        <f>IF(G3543="Sim",0,IF(OR(F3543="",L3543=""),"",F3543))</f>
        <v/>
      </c>
      <c r="J3543" s="350">
        <f>IF(G3543="Sim",0,IF(OR(F3543="",D3543="",L3543=""),"",IF(L3543="Sim",ROUND(F3543-D3543,2),0)))</f>
        <v/>
      </c>
      <c r="K3543" s="97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inlineStr">
        <is>
          <t>Nao</t>
        </is>
      </c>
      <c r="W3543" s="110" t="inlineStr">
        <is>
          <t>PC em analise</t>
        </is>
      </c>
      <c r="X3543" s="110" t="inlineStr">
        <is>
          <t>Pedido de Compra</t>
        </is>
      </c>
      <c r="Y3543" s="111" t="inlineStr">
        <is>
          <t>Impacto Potencial</t>
        </is>
      </c>
      <c r="Z3543" s="111" t="inlineStr">
        <is>
          <t>PC</t>
        </is>
      </c>
      <c r="AA3543" s="111" t="inlineStr">
        <is>
          <t>Nao</t>
        </is>
      </c>
      <c r="AB3543" s="111" t="inlineStr">
        <is>
          <t>NAO_COMPUTADO</t>
        </is>
      </c>
      <c r="AC3543" s="112" t="inlineStr">
        <is>
          <t>Estrutura Fase 1: sem impacto no VTA oficial</t>
        </is>
      </c>
    </row>
    <row r="3544" ht="25.5" customHeight="1" s="289">
      <c r="A3544" s="205" t="n"/>
      <c r="B3544" s="207" t="n"/>
      <c r="C3544" s="104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348" t="n"/>
      <c r="E3544" s="349">
        <f>IF(C3544="","",IFERROR(VLOOKUP(C3544,parametros!$A$11:$E$15,5,0),""))</f>
        <v/>
      </c>
      <c r="F3544" s="335">
        <f>IF(OR(D3544="",E3544=""),"",ROUND(D3544*E3544,2))</f>
        <v/>
      </c>
      <c r="G3544" s="106" t="n"/>
      <c r="H3544" s="350">
        <f>IF(G3544="Sim",IF(OR(F3544="",D3544="",L3544=""),"",IF(L3544="Sim",ROUND(F3544-D3544,2),0)),0)</f>
        <v/>
      </c>
      <c r="I3544" s="350">
        <f>IF(G3544="Sim",0,IF(OR(F3544="",L3544=""),"",F3544))</f>
        <v/>
      </c>
      <c r="J3544" s="350">
        <f>IF(G3544="Sim",0,IF(OR(F3544="",D3544="",L3544=""),"",IF(L3544="Sim",ROUND(F3544-D3544,2),0)))</f>
        <v/>
      </c>
      <c r="K3544" s="97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inlineStr">
        <is>
          <t>Nao</t>
        </is>
      </c>
      <c r="W3544" s="110" t="inlineStr">
        <is>
          <t>PC em analise</t>
        </is>
      </c>
      <c r="X3544" s="110" t="inlineStr">
        <is>
          <t>Pedido de Compra</t>
        </is>
      </c>
      <c r="Y3544" s="111" t="inlineStr">
        <is>
          <t>Impacto Potencial</t>
        </is>
      </c>
      <c r="Z3544" s="111" t="inlineStr">
        <is>
          <t>PC</t>
        </is>
      </c>
      <c r="AA3544" s="111" t="inlineStr">
        <is>
          <t>Nao</t>
        </is>
      </c>
      <c r="AB3544" s="111" t="inlineStr">
        <is>
          <t>NAO_COMPUTADO</t>
        </is>
      </c>
      <c r="AC3544" s="112" t="inlineStr">
        <is>
          <t>Estrutura Fase 1: sem impacto no VTA oficial</t>
        </is>
      </c>
    </row>
    <row r="3545" ht="25.5" customHeight="1" s="289">
      <c r="A3545" s="205" t="n"/>
      <c r="B3545" s="207" t="n"/>
      <c r="C3545" s="104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348" t="n"/>
      <c r="E3545" s="349">
        <f>IF(C3545="","",IFERROR(VLOOKUP(C3545,parametros!$A$11:$E$15,5,0),""))</f>
        <v/>
      </c>
      <c r="F3545" s="335">
        <f>IF(OR(D3545="",E3545=""),"",ROUND(D3545*E3545,2))</f>
        <v/>
      </c>
      <c r="G3545" s="106" t="n"/>
      <c r="H3545" s="350">
        <f>IF(G3545="Sim",IF(OR(F3545="",D3545="",L3545=""),"",IF(L3545="Sim",ROUND(F3545-D3545,2),0)),0)</f>
        <v/>
      </c>
      <c r="I3545" s="350">
        <f>IF(G3545="Sim",0,IF(OR(F3545="",L3545=""),"",F3545))</f>
        <v/>
      </c>
      <c r="J3545" s="350">
        <f>IF(G3545="Sim",0,IF(OR(F3545="",D3545="",L3545=""),"",IF(L3545="Sim",ROUND(F3545-D3545,2),0)))</f>
        <v/>
      </c>
      <c r="K3545" s="97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inlineStr">
        <is>
          <t>Nao</t>
        </is>
      </c>
      <c r="W3545" s="110" t="inlineStr">
        <is>
          <t>PC em analise</t>
        </is>
      </c>
      <c r="X3545" s="110" t="inlineStr">
        <is>
          <t>Pedido de Compra</t>
        </is>
      </c>
      <c r="Y3545" s="111" t="inlineStr">
        <is>
          <t>Impacto Potencial</t>
        </is>
      </c>
      <c r="Z3545" s="111" t="inlineStr">
        <is>
          <t>PC</t>
        </is>
      </c>
      <c r="AA3545" s="111" t="inlineStr">
        <is>
          <t>Nao</t>
        </is>
      </c>
      <c r="AB3545" s="111" t="inlineStr">
        <is>
          <t>NAO_COMPUTADO</t>
        </is>
      </c>
      <c r="AC3545" s="112" t="inlineStr">
        <is>
          <t>Estrutura Fase 1: sem impacto no VTA oficial</t>
        </is>
      </c>
    </row>
    <row r="3546" ht="25.5" customHeight="1" s="289">
      <c r="A3546" s="205" t="n"/>
      <c r="B3546" s="207" t="n"/>
      <c r="C3546" s="104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348" t="n"/>
      <c r="E3546" s="349">
        <f>IF(C3546="","",IFERROR(VLOOKUP(C3546,parametros!$A$11:$E$15,5,0),""))</f>
        <v/>
      </c>
      <c r="F3546" s="335">
        <f>IF(OR(D3546="",E3546=""),"",ROUND(D3546*E3546,2))</f>
        <v/>
      </c>
      <c r="G3546" s="106" t="n"/>
      <c r="H3546" s="350">
        <f>IF(G3546="Sim",IF(OR(F3546="",D3546="",L3546=""),"",IF(L3546="Sim",ROUND(F3546-D3546,2),0)),0)</f>
        <v/>
      </c>
      <c r="I3546" s="350">
        <f>IF(G3546="Sim",0,IF(OR(F3546="",L3546=""),"",F3546))</f>
        <v/>
      </c>
      <c r="J3546" s="350">
        <f>IF(G3546="Sim",0,IF(OR(F3546="",D3546="",L3546=""),"",IF(L3546="Sim",ROUND(F3546-D3546,2),0)))</f>
        <v/>
      </c>
      <c r="K3546" s="97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inlineStr">
        <is>
          <t>Nao</t>
        </is>
      </c>
      <c r="W3546" s="110" t="inlineStr">
        <is>
          <t>PC em analise</t>
        </is>
      </c>
      <c r="X3546" s="110" t="inlineStr">
        <is>
          <t>Pedido de Compra</t>
        </is>
      </c>
      <c r="Y3546" s="111" t="inlineStr">
        <is>
          <t>Impacto Potencial</t>
        </is>
      </c>
      <c r="Z3546" s="111" t="inlineStr">
        <is>
          <t>PC</t>
        </is>
      </c>
      <c r="AA3546" s="111" t="inlineStr">
        <is>
          <t>Nao</t>
        </is>
      </c>
      <c r="AB3546" s="111" t="inlineStr">
        <is>
          <t>NAO_COMPUTADO</t>
        </is>
      </c>
      <c r="AC3546" s="112" t="inlineStr">
        <is>
          <t>Estrutura Fase 1: sem impacto no VTA oficial</t>
        </is>
      </c>
    </row>
    <row r="3547" ht="25.5" customHeight="1" s="289">
      <c r="A3547" s="205" t="n"/>
      <c r="B3547" s="207" t="n"/>
      <c r="C3547" s="104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348" t="n"/>
      <c r="E3547" s="349">
        <f>IF(C3547="","",IFERROR(VLOOKUP(C3547,parametros!$A$11:$E$15,5,0),""))</f>
        <v/>
      </c>
      <c r="F3547" s="335">
        <f>IF(OR(D3547="",E3547=""),"",ROUND(D3547*E3547,2))</f>
        <v/>
      </c>
      <c r="G3547" s="106" t="n"/>
      <c r="H3547" s="350">
        <f>IF(G3547="Sim",IF(OR(F3547="",D3547="",L3547=""),"",IF(L3547="Sim",ROUND(F3547-D3547,2),0)),0)</f>
        <v/>
      </c>
      <c r="I3547" s="350">
        <f>IF(G3547="Sim",0,IF(OR(F3547="",L3547=""),"",F3547))</f>
        <v/>
      </c>
      <c r="J3547" s="350">
        <f>IF(G3547="Sim",0,IF(OR(F3547="",D3547="",L3547=""),"",IF(L3547="Sim",ROUND(F3547-D3547,2),0)))</f>
        <v/>
      </c>
      <c r="K3547" s="97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inlineStr">
        <is>
          <t>Nao</t>
        </is>
      </c>
      <c r="W3547" s="110" t="inlineStr">
        <is>
          <t>PC em analise</t>
        </is>
      </c>
      <c r="X3547" s="110" t="inlineStr">
        <is>
          <t>Pedido de Compra</t>
        </is>
      </c>
      <c r="Y3547" s="111" t="inlineStr">
        <is>
          <t>Impacto Potencial</t>
        </is>
      </c>
      <c r="Z3547" s="111" t="inlineStr">
        <is>
          <t>PC</t>
        </is>
      </c>
      <c r="AA3547" s="111" t="inlineStr">
        <is>
          <t>Nao</t>
        </is>
      </c>
      <c r="AB3547" s="111" t="inlineStr">
        <is>
          <t>NAO_COMPUTADO</t>
        </is>
      </c>
      <c r="AC3547" s="112" t="inlineStr">
        <is>
          <t>Estrutura Fase 1: sem impacto no VTA oficial</t>
        </is>
      </c>
    </row>
    <row r="3548" ht="25.5" customHeight="1" s="289">
      <c r="A3548" s="205" t="n"/>
      <c r="B3548" s="207" t="n"/>
      <c r="C3548" s="104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348" t="n"/>
      <c r="E3548" s="349">
        <f>IF(C3548="","",IFERROR(VLOOKUP(C3548,parametros!$A$11:$E$15,5,0),""))</f>
        <v/>
      </c>
      <c r="F3548" s="335">
        <f>IF(OR(D3548="",E3548=""),"",ROUND(D3548*E3548,2))</f>
        <v/>
      </c>
      <c r="G3548" s="106" t="n"/>
      <c r="H3548" s="350">
        <f>IF(G3548="Sim",IF(OR(F3548="",D3548="",L3548=""),"",IF(L3548="Sim",ROUND(F3548-D3548,2),0)),0)</f>
        <v/>
      </c>
      <c r="I3548" s="350">
        <f>IF(G3548="Sim",0,IF(OR(F3548="",L3548=""),"",F3548))</f>
        <v/>
      </c>
      <c r="J3548" s="350">
        <f>IF(G3548="Sim",0,IF(OR(F3548="",D3548="",L3548=""),"",IF(L3548="Sim",ROUND(F3548-D3548,2),0)))</f>
        <v/>
      </c>
      <c r="K3548" s="97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inlineStr">
        <is>
          <t>Nao</t>
        </is>
      </c>
      <c r="W3548" s="110" t="inlineStr">
        <is>
          <t>PC em analise</t>
        </is>
      </c>
      <c r="X3548" s="110" t="inlineStr">
        <is>
          <t>Pedido de Compra</t>
        </is>
      </c>
      <c r="Y3548" s="111" t="inlineStr">
        <is>
          <t>Impacto Potencial</t>
        </is>
      </c>
      <c r="Z3548" s="111" t="inlineStr">
        <is>
          <t>PC</t>
        </is>
      </c>
      <c r="AA3548" s="111" t="inlineStr">
        <is>
          <t>Nao</t>
        </is>
      </c>
      <c r="AB3548" s="111" t="inlineStr">
        <is>
          <t>NAO_COMPUTADO</t>
        </is>
      </c>
      <c r="AC3548" s="112" t="inlineStr">
        <is>
          <t>Estrutura Fase 1: sem impacto no VTA oficial</t>
        </is>
      </c>
    </row>
    <row r="3549" ht="25.5" customHeight="1" s="289">
      <c r="A3549" s="205" t="n"/>
      <c r="B3549" s="207" t="n"/>
      <c r="C3549" s="104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348" t="n"/>
      <c r="E3549" s="349">
        <f>IF(C3549="","",IFERROR(VLOOKUP(C3549,parametros!$A$11:$E$15,5,0),""))</f>
        <v/>
      </c>
      <c r="F3549" s="335">
        <f>IF(OR(D3549="",E3549=""),"",ROUND(D3549*E3549,2))</f>
        <v/>
      </c>
      <c r="G3549" s="106" t="n"/>
      <c r="H3549" s="350">
        <f>IF(G3549="Sim",IF(OR(F3549="",D3549="",L3549=""),"",IF(L3549="Sim",ROUND(F3549-D3549,2),0)),0)</f>
        <v/>
      </c>
      <c r="I3549" s="350">
        <f>IF(G3549="Sim",0,IF(OR(F3549="",L3549=""),"",F3549))</f>
        <v/>
      </c>
      <c r="J3549" s="350">
        <f>IF(G3549="Sim",0,IF(OR(F3549="",D3549="",L3549=""),"",IF(L3549="Sim",ROUND(F3549-D3549,2),0)))</f>
        <v/>
      </c>
      <c r="K3549" s="97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inlineStr">
        <is>
          <t>Nao</t>
        </is>
      </c>
      <c r="W3549" s="110" t="inlineStr">
        <is>
          <t>PC em analise</t>
        </is>
      </c>
      <c r="X3549" s="110" t="inlineStr">
        <is>
          <t>Pedido de Compra</t>
        </is>
      </c>
      <c r="Y3549" s="111" t="inlineStr">
        <is>
          <t>Impacto Potencial</t>
        </is>
      </c>
      <c r="Z3549" s="111" t="inlineStr">
        <is>
          <t>PC</t>
        </is>
      </c>
      <c r="AA3549" s="111" t="inlineStr">
        <is>
          <t>Nao</t>
        </is>
      </c>
      <c r="AB3549" s="111" t="inlineStr">
        <is>
          <t>NAO_COMPUTADO</t>
        </is>
      </c>
      <c r="AC3549" s="112" t="inlineStr">
        <is>
          <t>Estrutura Fase 1: sem impacto no VTA oficial</t>
        </is>
      </c>
    </row>
    <row r="3550" ht="25.5" customHeight="1" s="289">
      <c r="A3550" s="205" t="n"/>
      <c r="B3550" s="207" t="n"/>
      <c r="C3550" s="104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348" t="n"/>
      <c r="E3550" s="349">
        <f>IF(C3550="","",IFERROR(VLOOKUP(C3550,parametros!$A$11:$E$15,5,0),""))</f>
        <v/>
      </c>
      <c r="F3550" s="335">
        <f>IF(OR(D3550="",E3550=""),"",ROUND(D3550*E3550,2))</f>
        <v/>
      </c>
      <c r="G3550" s="106" t="n"/>
      <c r="H3550" s="350">
        <f>IF(G3550="Sim",IF(OR(F3550="",D3550="",L3550=""),"",IF(L3550="Sim",ROUND(F3550-D3550,2),0)),0)</f>
        <v/>
      </c>
      <c r="I3550" s="350">
        <f>IF(G3550="Sim",0,IF(OR(F3550="",L3550=""),"",F3550))</f>
        <v/>
      </c>
      <c r="J3550" s="350">
        <f>IF(G3550="Sim",0,IF(OR(F3550="",D3550="",L3550=""),"",IF(L3550="Sim",ROUND(F3550-D3550,2),0)))</f>
        <v/>
      </c>
      <c r="K3550" s="97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inlineStr">
        <is>
          <t>Nao</t>
        </is>
      </c>
      <c r="W3550" s="110" t="inlineStr">
        <is>
          <t>PC em analise</t>
        </is>
      </c>
      <c r="X3550" s="110" t="inlineStr">
        <is>
          <t>Pedido de Compra</t>
        </is>
      </c>
      <c r="Y3550" s="111" t="inlineStr">
        <is>
          <t>Impacto Potencial</t>
        </is>
      </c>
      <c r="Z3550" s="111" t="inlineStr">
        <is>
          <t>PC</t>
        </is>
      </c>
      <c r="AA3550" s="111" t="inlineStr">
        <is>
          <t>Nao</t>
        </is>
      </c>
      <c r="AB3550" s="111" t="inlineStr">
        <is>
          <t>NAO_COMPUTADO</t>
        </is>
      </c>
      <c r="AC3550" s="112" t="inlineStr">
        <is>
          <t>Estrutura Fase 1: sem impacto no VTA oficial</t>
        </is>
      </c>
    </row>
    <row r="3551" ht="25.5" customHeight="1" s="289">
      <c r="A3551" s="205" t="n"/>
      <c r="B3551" s="207" t="n"/>
      <c r="C3551" s="104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348" t="n"/>
      <c r="E3551" s="349">
        <f>IF(C3551="","",IFERROR(VLOOKUP(C3551,parametros!$A$11:$E$15,5,0),""))</f>
        <v/>
      </c>
      <c r="F3551" s="335">
        <f>IF(OR(D3551="",E3551=""),"",ROUND(D3551*E3551,2))</f>
        <v/>
      </c>
      <c r="G3551" s="106" t="n"/>
      <c r="H3551" s="350">
        <f>IF(G3551="Sim",IF(OR(F3551="",D3551="",L3551=""),"",IF(L3551="Sim",ROUND(F3551-D3551,2),0)),0)</f>
        <v/>
      </c>
      <c r="I3551" s="350">
        <f>IF(G3551="Sim",0,IF(OR(F3551="",L3551=""),"",F3551))</f>
        <v/>
      </c>
      <c r="J3551" s="350">
        <f>IF(G3551="Sim",0,IF(OR(F3551="",D3551="",L3551=""),"",IF(L3551="Sim",ROUND(F3551-D3551,2),0)))</f>
        <v/>
      </c>
      <c r="K3551" s="97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inlineStr">
        <is>
          <t>Nao</t>
        </is>
      </c>
      <c r="W3551" s="110" t="inlineStr">
        <is>
          <t>PC em analise</t>
        </is>
      </c>
      <c r="X3551" s="110" t="inlineStr">
        <is>
          <t>Pedido de Compra</t>
        </is>
      </c>
      <c r="Y3551" s="111" t="inlineStr">
        <is>
          <t>Impacto Potencial</t>
        </is>
      </c>
      <c r="Z3551" s="111" t="inlineStr">
        <is>
          <t>PC</t>
        </is>
      </c>
      <c r="AA3551" s="111" t="inlineStr">
        <is>
          <t>Nao</t>
        </is>
      </c>
      <c r="AB3551" s="111" t="inlineStr">
        <is>
          <t>NAO_COMPUTADO</t>
        </is>
      </c>
      <c r="AC3551" s="112" t="inlineStr">
        <is>
          <t>Estrutura Fase 1: sem impacto no VTA oficial</t>
        </is>
      </c>
    </row>
    <row r="3552" ht="25.5" customHeight="1" s="289">
      <c r="A3552" s="205" t="n"/>
      <c r="B3552" s="207" t="n"/>
      <c r="C3552" s="104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348" t="n"/>
      <c r="E3552" s="349">
        <f>IF(C3552="","",IFERROR(VLOOKUP(C3552,parametros!$A$11:$E$15,5,0),""))</f>
        <v/>
      </c>
      <c r="F3552" s="335">
        <f>IF(OR(D3552="",E3552=""),"",ROUND(D3552*E3552,2))</f>
        <v/>
      </c>
      <c r="G3552" s="106" t="n"/>
      <c r="H3552" s="350">
        <f>IF(G3552="Sim",IF(OR(F3552="",D3552="",L3552=""),"",IF(L3552="Sim",ROUND(F3552-D3552,2),0)),0)</f>
        <v/>
      </c>
      <c r="I3552" s="350">
        <f>IF(G3552="Sim",0,IF(OR(F3552="",L3552=""),"",F3552))</f>
        <v/>
      </c>
      <c r="J3552" s="350">
        <f>IF(G3552="Sim",0,IF(OR(F3552="",D3552="",L3552=""),"",IF(L3552="Sim",ROUND(F3552-D3552,2),0)))</f>
        <v/>
      </c>
      <c r="K3552" s="97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inlineStr">
        <is>
          <t>Nao</t>
        </is>
      </c>
      <c r="W3552" s="110" t="inlineStr">
        <is>
          <t>PC em analise</t>
        </is>
      </c>
      <c r="X3552" s="110" t="inlineStr">
        <is>
          <t>Pedido de Compra</t>
        </is>
      </c>
      <c r="Y3552" s="111" t="inlineStr">
        <is>
          <t>Impacto Potencial</t>
        </is>
      </c>
      <c r="Z3552" s="111" t="inlineStr">
        <is>
          <t>PC</t>
        </is>
      </c>
      <c r="AA3552" s="111" t="inlineStr">
        <is>
          <t>Nao</t>
        </is>
      </c>
      <c r="AB3552" s="111" t="inlineStr">
        <is>
          <t>NAO_COMPUTADO</t>
        </is>
      </c>
      <c r="AC3552" s="112" t="inlineStr">
        <is>
          <t>Estrutura Fase 1: sem impacto no VTA oficial</t>
        </is>
      </c>
    </row>
    <row r="3553" ht="25.5" customHeight="1" s="289">
      <c r="A3553" s="205" t="n"/>
      <c r="B3553" s="207" t="n"/>
      <c r="C3553" s="104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348" t="n"/>
      <c r="E3553" s="349">
        <f>IF(C3553="","",IFERROR(VLOOKUP(C3553,parametros!$A$11:$E$15,5,0),""))</f>
        <v/>
      </c>
      <c r="F3553" s="335">
        <f>IF(OR(D3553="",E3553=""),"",ROUND(D3553*E3553,2))</f>
        <v/>
      </c>
      <c r="G3553" s="106" t="n"/>
      <c r="H3553" s="350">
        <f>IF(G3553="Sim",IF(OR(F3553="",D3553="",L3553=""),"",IF(L3553="Sim",ROUND(F3553-D3553,2),0)),0)</f>
        <v/>
      </c>
      <c r="I3553" s="350">
        <f>IF(G3553="Sim",0,IF(OR(F3553="",L3553=""),"",F3553))</f>
        <v/>
      </c>
      <c r="J3553" s="350">
        <f>IF(G3553="Sim",0,IF(OR(F3553="",D3553="",L3553=""),"",IF(L3553="Sim",ROUND(F3553-D3553,2),0)))</f>
        <v/>
      </c>
      <c r="K3553" s="97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inlineStr">
        <is>
          <t>Nao</t>
        </is>
      </c>
      <c r="W3553" s="110" t="inlineStr">
        <is>
          <t>PC em analise</t>
        </is>
      </c>
      <c r="X3553" s="110" t="inlineStr">
        <is>
          <t>Pedido de Compra</t>
        </is>
      </c>
      <c r="Y3553" s="111" t="inlineStr">
        <is>
          <t>Impacto Potencial</t>
        </is>
      </c>
      <c r="Z3553" s="111" t="inlineStr">
        <is>
          <t>PC</t>
        </is>
      </c>
      <c r="AA3553" s="111" t="inlineStr">
        <is>
          <t>Nao</t>
        </is>
      </c>
      <c r="AB3553" s="111" t="inlineStr">
        <is>
          <t>NAO_COMPUTADO</t>
        </is>
      </c>
      <c r="AC3553" s="112" t="inlineStr">
        <is>
          <t>Estrutura Fase 1: sem impacto no VTA oficial</t>
        </is>
      </c>
    </row>
    <row r="3554" ht="25.5" customHeight="1" s="289">
      <c r="A3554" s="205" t="n"/>
      <c r="B3554" s="207" t="n"/>
      <c r="C3554" s="104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348" t="n"/>
      <c r="E3554" s="349">
        <f>IF(C3554="","",IFERROR(VLOOKUP(C3554,parametros!$A$11:$E$15,5,0),""))</f>
        <v/>
      </c>
      <c r="F3554" s="335">
        <f>IF(OR(D3554="",E3554=""),"",ROUND(D3554*E3554,2))</f>
        <v/>
      </c>
      <c r="G3554" s="106" t="n"/>
      <c r="H3554" s="350">
        <f>IF(G3554="Sim",IF(OR(F3554="",D3554="",L3554=""),"",IF(L3554="Sim",ROUND(F3554-D3554,2),0)),0)</f>
        <v/>
      </c>
      <c r="I3554" s="350">
        <f>IF(G3554="Sim",0,IF(OR(F3554="",L3554=""),"",F3554))</f>
        <v/>
      </c>
      <c r="J3554" s="350">
        <f>IF(G3554="Sim",0,IF(OR(F3554="",D3554="",L3554=""),"",IF(L3554="Sim",ROUND(F3554-D3554,2),0)))</f>
        <v/>
      </c>
      <c r="K3554" s="97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inlineStr">
        <is>
          <t>Nao</t>
        </is>
      </c>
      <c r="W3554" s="110" t="inlineStr">
        <is>
          <t>PC em analise</t>
        </is>
      </c>
      <c r="X3554" s="110" t="inlineStr">
        <is>
          <t>Pedido de Compra</t>
        </is>
      </c>
      <c r="Y3554" s="111" t="inlineStr">
        <is>
          <t>Impacto Potencial</t>
        </is>
      </c>
      <c r="Z3554" s="111" t="inlineStr">
        <is>
          <t>PC</t>
        </is>
      </c>
      <c r="AA3554" s="111" t="inlineStr">
        <is>
          <t>Nao</t>
        </is>
      </c>
      <c r="AB3554" s="111" t="inlineStr">
        <is>
          <t>NAO_COMPUTADO</t>
        </is>
      </c>
      <c r="AC3554" s="112" t="inlineStr">
        <is>
          <t>Estrutura Fase 1: sem impacto no VTA oficial</t>
        </is>
      </c>
    </row>
    <row r="3555" ht="25.5" customHeight="1" s="289">
      <c r="A3555" s="205" t="n"/>
      <c r="B3555" s="207" t="n"/>
      <c r="C3555" s="104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348" t="n"/>
      <c r="E3555" s="349">
        <f>IF(C3555="","",IFERROR(VLOOKUP(C3555,parametros!$A$11:$E$15,5,0),""))</f>
        <v/>
      </c>
      <c r="F3555" s="335">
        <f>IF(OR(D3555="",E3555=""),"",ROUND(D3555*E3555,2))</f>
        <v/>
      </c>
      <c r="G3555" s="106" t="n"/>
      <c r="H3555" s="350">
        <f>IF(G3555="Sim",IF(OR(F3555="",D3555="",L3555=""),"",IF(L3555="Sim",ROUND(F3555-D3555,2),0)),0)</f>
        <v/>
      </c>
      <c r="I3555" s="350">
        <f>IF(G3555="Sim",0,IF(OR(F3555="",L3555=""),"",F3555))</f>
        <v/>
      </c>
      <c r="J3555" s="350">
        <f>IF(G3555="Sim",0,IF(OR(F3555="",D3555="",L3555=""),"",IF(L3555="Sim",ROUND(F3555-D3555,2),0)))</f>
        <v/>
      </c>
      <c r="K3555" s="97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inlineStr">
        <is>
          <t>Nao</t>
        </is>
      </c>
      <c r="W3555" s="110" t="inlineStr">
        <is>
          <t>PC em analise</t>
        </is>
      </c>
      <c r="X3555" s="110" t="inlineStr">
        <is>
          <t>Pedido de Compra</t>
        </is>
      </c>
      <c r="Y3555" s="111" t="inlineStr">
        <is>
          <t>Impacto Potencial</t>
        </is>
      </c>
      <c r="Z3555" s="111" t="inlineStr">
        <is>
          <t>PC</t>
        </is>
      </c>
      <c r="AA3555" s="111" t="inlineStr">
        <is>
          <t>Nao</t>
        </is>
      </c>
      <c r="AB3555" s="111" t="inlineStr">
        <is>
          <t>NAO_COMPUTADO</t>
        </is>
      </c>
      <c r="AC3555" s="112" t="inlineStr">
        <is>
          <t>Estrutura Fase 1: sem impacto no VTA oficial</t>
        </is>
      </c>
    </row>
    <row r="3556" ht="25.5" customHeight="1" s="289">
      <c r="A3556" s="205" t="n"/>
      <c r="B3556" s="207" t="n"/>
      <c r="C3556" s="104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348" t="n"/>
      <c r="E3556" s="349">
        <f>IF(C3556="","",IFERROR(VLOOKUP(C3556,parametros!$A$11:$E$15,5,0),""))</f>
        <v/>
      </c>
      <c r="F3556" s="335">
        <f>IF(OR(D3556="",E3556=""),"",ROUND(D3556*E3556,2))</f>
        <v/>
      </c>
      <c r="G3556" s="106" t="n"/>
      <c r="H3556" s="350">
        <f>IF(G3556="Sim",IF(OR(F3556="",D3556="",L3556=""),"",IF(L3556="Sim",ROUND(F3556-D3556,2),0)),0)</f>
        <v/>
      </c>
      <c r="I3556" s="350">
        <f>IF(G3556="Sim",0,IF(OR(F3556="",L3556=""),"",F3556))</f>
        <v/>
      </c>
      <c r="J3556" s="350">
        <f>IF(G3556="Sim",0,IF(OR(F3556="",D3556="",L3556=""),"",IF(L3556="Sim",ROUND(F3556-D3556,2),0)))</f>
        <v/>
      </c>
      <c r="K3556" s="97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inlineStr">
        <is>
          <t>Nao</t>
        </is>
      </c>
      <c r="W3556" s="110" t="inlineStr">
        <is>
          <t>PC em analise</t>
        </is>
      </c>
      <c r="X3556" s="110" t="inlineStr">
        <is>
          <t>Pedido de Compra</t>
        </is>
      </c>
      <c r="Y3556" s="111" t="inlineStr">
        <is>
          <t>Impacto Potencial</t>
        </is>
      </c>
      <c r="Z3556" s="111" t="inlineStr">
        <is>
          <t>PC</t>
        </is>
      </c>
      <c r="AA3556" s="111" t="inlineStr">
        <is>
          <t>Nao</t>
        </is>
      </c>
      <c r="AB3556" s="111" t="inlineStr">
        <is>
          <t>NAO_COMPUTADO</t>
        </is>
      </c>
      <c r="AC3556" s="112" t="inlineStr">
        <is>
          <t>Estrutura Fase 1: sem impacto no VTA oficial</t>
        </is>
      </c>
    </row>
    <row r="3557" ht="25.5" customHeight="1" s="289">
      <c r="A3557" s="205" t="n"/>
      <c r="B3557" s="207" t="n"/>
      <c r="C3557" s="104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348" t="n"/>
      <c r="E3557" s="349">
        <f>IF(C3557="","",IFERROR(VLOOKUP(C3557,parametros!$A$11:$E$15,5,0),""))</f>
        <v/>
      </c>
      <c r="F3557" s="335">
        <f>IF(OR(D3557="",E3557=""),"",ROUND(D3557*E3557,2))</f>
        <v/>
      </c>
      <c r="G3557" s="106" t="n"/>
      <c r="H3557" s="350">
        <f>IF(G3557="Sim",IF(OR(F3557="",D3557="",L3557=""),"",IF(L3557="Sim",ROUND(F3557-D3557,2),0)),0)</f>
        <v/>
      </c>
      <c r="I3557" s="350">
        <f>IF(G3557="Sim",0,IF(OR(F3557="",L3557=""),"",F3557))</f>
        <v/>
      </c>
      <c r="J3557" s="350">
        <f>IF(G3557="Sim",0,IF(OR(F3557="",D3557="",L3557=""),"",IF(L3557="Sim",ROUND(F3557-D3557,2),0)))</f>
        <v/>
      </c>
      <c r="K3557" s="97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inlineStr">
        <is>
          <t>Nao</t>
        </is>
      </c>
      <c r="W3557" s="110" t="inlineStr">
        <is>
          <t>PC em analise</t>
        </is>
      </c>
      <c r="X3557" s="110" t="inlineStr">
        <is>
          <t>Pedido de Compra</t>
        </is>
      </c>
      <c r="Y3557" s="111" t="inlineStr">
        <is>
          <t>Impacto Potencial</t>
        </is>
      </c>
      <c r="Z3557" s="111" t="inlineStr">
        <is>
          <t>PC</t>
        </is>
      </c>
      <c r="AA3557" s="111" t="inlineStr">
        <is>
          <t>Nao</t>
        </is>
      </c>
      <c r="AB3557" s="111" t="inlineStr">
        <is>
          <t>NAO_COMPUTADO</t>
        </is>
      </c>
      <c r="AC3557" s="112" t="inlineStr">
        <is>
          <t>Estrutura Fase 1: sem impacto no VTA oficial</t>
        </is>
      </c>
    </row>
    <row r="3558" ht="25.5" customHeight="1" s="289">
      <c r="A3558" s="205" t="n"/>
      <c r="B3558" s="207" t="n"/>
      <c r="C3558" s="104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348" t="n"/>
      <c r="E3558" s="349">
        <f>IF(C3558="","",IFERROR(VLOOKUP(C3558,parametros!$A$11:$E$15,5,0),""))</f>
        <v/>
      </c>
      <c r="F3558" s="335">
        <f>IF(OR(D3558="",E3558=""),"",ROUND(D3558*E3558,2))</f>
        <v/>
      </c>
      <c r="G3558" s="106" t="n"/>
      <c r="H3558" s="350">
        <f>IF(G3558="Sim",IF(OR(F3558="",D3558="",L3558=""),"",IF(L3558="Sim",ROUND(F3558-D3558,2),0)),0)</f>
        <v/>
      </c>
      <c r="I3558" s="350">
        <f>IF(G3558="Sim",0,IF(OR(F3558="",L3558=""),"",F3558))</f>
        <v/>
      </c>
      <c r="J3558" s="350">
        <f>IF(G3558="Sim",0,IF(OR(F3558="",D3558="",L3558=""),"",IF(L3558="Sim",ROUND(F3558-D3558,2),0)))</f>
        <v/>
      </c>
      <c r="K3558" s="97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inlineStr">
        <is>
          <t>Nao</t>
        </is>
      </c>
      <c r="W3558" s="110" t="inlineStr">
        <is>
          <t>PC em analise</t>
        </is>
      </c>
      <c r="X3558" s="110" t="inlineStr">
        <is>
          <t>Pedido de Compra</t>
        </is>
      </c>
      <c r="Y3558" s="111" t="inlineStr">
        <is>
          <t>Impacto Potencial</t>
        </is>
      </c>
      <c r="Z3558" s="111" t="inlineStr">
        <is>
          <t>PC</t>
        </is>
      </c>
      <c r="AA3558" s="111" t="inlineStr">
        <is>
          <t>Nao</t>
        </is>
      </c>
      <c r="AB3558" s="111" t="inlineStr">
        <is>
          <t>NAO_COMPUTADO</t>
        </is>
      </c>
      <c r="AC3558" s="112" t="inlineStr">
        <is>
          <t>Estrutura Fase 1: sem impacto no VTA oficial</t>
        </is>
      </c>
    </row>
    <row r="3559" ht="25.5" customHeight="1" s="289">
      <c r="A3559" s="205" t="n"/>
      <c r="B3559" s="207" t="n"/>
      <c r="C3559" s="104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348" t="n"/>
      <c r="E3559" s="349">
        <f>IF(C3559="","",IFERROR(VLOOKUP(C3559,parametros!$A$11:$E$15,5,0),""))</f>
        <v/>
      </c>
      <c r="F3559" s="335">
        <f>IF(OR(D3559="",E3559=""),"",ROUND(D3559*E3559,2))</f>
        <v/>
      </c>
      <c r="G3559" s="106" t="n"/>
      <c r="H3559" s="350">
        <f>IF(G3559="Sim",IF(OR(F3559="",D3559="",L3559=""),"",IF(L3559="Sim",ROUND(F3559-D3559,2),0)),0)</f>
        <v/>
      </c>
      <c r="I3559" s="350">
        <f>IF(G3559="Sim",0,IF(OR(F3559="",L3559=""),"",F3559))</f>
        <v/>
      </c>
      <c r="J3559" s="350">
        <f>IF(G3559="Sim",0,IF(OR(F3559="",D3559="",L3559=""),"",IF(L3559="Sim",ROUND(F3559-D3559,2),0)))</f>
        <v/>
      </c>
      <c r="K3559" s="97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inlineStr">
        <is>
          <t>Nao</t>
        </is>
      </c>
      <c r="W3559" s="110" t="inlineStr">
        <is>
          <t>PC em analise</t>
        </is>
      </c>
      <c r="X3559" s="110" t="inlineStr">
        <is>
          <t>Pedido de Compra</t>
        </is>
      </c>
      <c r="Y3559" s="111" t="inlineStr">
        <is>
          <t>Impacto Potencial</t>
        </is>
      </c>
      <c r="Z3559" s="111" t="inlineStr">
        <is>
          <t>PC</t>
        </is>
      </c>
      <c r="AA3559" s="111" t="inlineStr">
        <is>
          <t>Nao</t>
        </is>
      </c>
      <c r="AB3559" s="111" t="inlineStr">
        <is>
          <t>NAO_COMPUTADO</t>
        </is>
      </c>
      <c r="AC3559" s="112" t="inlineStr">
        <is>
          <t>Estrutura Fase 1: sem impacto no VTA oficial</t>
        </is>
      </c>
    </row>
    <row r="3560" ht="25.5" customHeight="1" s="289">
      <c r="A3560" s="205" t="n"/>
      <c r="B3560" s="207" t="n"/>
      <c r="C3560" s="104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348" t="n"/>
      <c r="E3560" s="349">
        <f>IF(C3560="","",IFERROR(VLOOKUP(C3560,parametros!$A$11:$E$15,5,0),""))</f>
        <v/>
      </c>
      <c r="F3560" s="335">
        <f>IF(OR(D3560="",E3560=""),"",ROUND(D3560*E3560,2))</f>
        <v/>
      </c>
      <c r="G3560" s="106" t="n"/>
      <c r="H3560" s="350">
        <f>IF(G3560="Sim",IF(OR(F3560="",D3560="",L3560=""),"",IF(L3560="Sim",ROUND(F3560-D3560,2),0)),0)</f>
        <v/>
      </c>
      <c r="I3560" s="350">
        <f>IF(G3560="Sim",0,IF(OR(F3560="",L3560=""),"",F3560))</f>
        <v/>
      </c>
      <c r="J3560" s="350">
        <f>IF(G3560="Sim",0,IF(OR(F3560="",D3560="",L3560=""),"",IF(L3560="Sim",ROUND(F3560-D3560,2),0)))</f>
        <v/>
      </c>
      <c r="K3560" s="97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inlineStr">
        <is>
          <t>Nao</t>
        </is>
      </c>
      <c r="W3560" s="110" t="inlineStr">
        <is>
          <t>PC em analise</t>
        </is>
      </c>
      <c r="X3560" s="110" t="inlineStr">
        <is>
          <t>Pedido de Compra</t>
        </is>
      </c>
      <c r="Y3560" s="111" t="inlineStr">
        <is>
          <t>Impacto Potencial</t>
        </is>
      </c>
      <c r="Z3560" s="111" t="inlineStr">
        <is>
          <t>PC</t>
        </is>
      </c>
      <c r="AA3560" s="111" t="inlineStr">
        <is>
          <t>Nao</t>
        </is>
      </c>
      <c r="AB3560" s="111" t="inlineStr">
        <is>
          <t>NAO_COMPUTADO</t>
        </is>
      </c>
      <c r="AC3560" s="112" t="inlineStr">
        <is>
          <t>Estrutura Fase 1: sem impacto no VTA oficial</t>
        </is>
      </c>
    </row>
    <row r="3561" ht="25.5" customHeight="1" s="289">
      <c r="A3561" s="205" t="n"/>
      <c r="B3561" s="207" t="n"/>
      <c r="C3561" s="104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348" t="n"/>
      <c r="E3561" s="349">
        <f>IF(C3561="","",IFERROR(VLOOKUP(C3561,parametros!$A$11:$E$15,5,0),""))</f>
        <v/>
      </c>
      <c r="F3561" s="335">
        <f>IF(OR(D3561="",E3561=""),"",ROUND(D3561*E3561,2))</f>
        <v/>
      </c>
      <c r="G3561" s="106" t="n"/>
      <c r="H3561" s="350">
        <f>IF(G3561="Sim",IF(OR(F3561="",D3561="",L3561=""),"",IF(L3561="Sim",ROUND(F3561-D3561,2),0)),0)</f>
        <v/>
      </c>
      <c r="I3561" s="350">
        <f>IF(G3561="Sim",0,IF(OR(F3561="",L3561=""),"",F3561))</f>
        <v/>
      </c>
      <c r="J3561" s="350">
        <f>IF(G3561="Sim",0,IF(OR(F3561="",D3561="",L3561=""),"",IF(L3561="Sim",ROUND(F3561-D3561,2),0)))</f>
        <v/>
      </c>
      <c r="K3561" s="97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inlineStr">
        <is>
          <t>Nao</t>
        </is>
      </c>
      <c r="W3561" s="110" t="inlineStr">
        <is>
          <t>PC em analise</t>
        </is>
      </c>
      <c r="X3561" s="110" t="inlineStr">
        <is>
          <t>Pedido de Compra</t>
        </is>
      </c>
      <c r="Y3561" s="111" t="inlineStr">
        <is>
          <t>Impacto Potencial</t>
        </is>
      </c>
      <c r="Z3561" s="111" t="inlineStr">
        <is>
          <t>PC</t>
        </is>
      </c>
      <c r="AA3561" s="111" t="inlineStr">
        <is>
          <t>Nao</t>
        </is>
      </c>
      <c r="AB3561" s="111" t="inlineStr">
        <is>
          <t>NAO_COMPUTADO</t>
        </is>
      </c>
      <c r="AC3561" s="112" t="inlineStr">
        <is>
          <t>Estrutura Fase 1: sem impacto no VTA oficial</t>
        </is>
      </c>
    </row>
    <row r="3562" ht="25.5" customHeight="1" s="289">
      <c r="A3562" s="205" t="n"/>
      <c r="B3562" s="207" t="n"/>
      <c r="C3562" s="104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348" t="n"/>
      <c r="E3562" s="349">
        <f>IF(C3562="","",IFERROR(VLOOKUP(C3562,parametros!$A$11:$E$15,5,0),""))</f>
        <v/>
      </c>
      <c r="F3562" s="335">
        <f>IF(OR(D3562="",E3562=""),"",ROUND(D3562*E3562,2))</f>
        <v/>
      </c>
      <c r="G3562" s="106" t="n"/>
      <c r="H3562" s="350">
        <f>IF(G3562="Sim",IF(OR(F3562="",D3562="",L3562=""),"",IF(L3562="Sim",ROUND(F3562-D3562,2),0)),0)</f>
        <v/>
      </c>
      <c r="I3562" s="350">
        <f>IF(G3562="Sim",0,IF(OR(F3562="",L3562=""),"",F3562))</f>
        <v/>
      </c>
      <c r="J3562" s="350">
        <f>IF(G3562="Sim",0,IF(OR(F3562="",D3562="",L3562=""),"",IF(L3562="Sim",ROUND(F3562-D3562,2),0)))</f>
        <v/>
      </c>
      <c r="K3562" s="97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inlineStr">
        <is>
          <t>Nao</t>
        </is>
      </c>
      <c r="W3562" s="110" t="inlineStr">
        <is>
          <t>PC em analise</t>
        </is>
      </c>
      <c r="X3562" s="110" t="inlineStr">
        <is>
          <t>Pedido de Compra</t>
        </is>
      </c>
      <c r="Y3562" s="111" t="inlineStr">
        <is>
          <t>Impacto Potencial</t>
        </is>
      </c>
      <c r="Z3562" s="111" t="inlineStr">
        <is>
          <t>PC</t>
        </is>
      </c>
      <c r="AA3562" s="111" t="inlineStr">
        <is>
          <t>Nao</t>
        </is>
      </c>
      <c r="AB3562" s="111" t="inlineStr">
        <is>
          <t>NAO_COMPUTADO</t>
        </is>
      </c>
      <c r="AC3562" s="112" t="inlineStr">
        <is>
          <t>Estrutura Fase 1: sem impacto no VTA oficial</t>
        </is>
      </c>
    </row>
    <row r="3563" ht="25.5" customHeight="1" s="289">
      <c r="A3563" s="205" t="n"/>
      <c r="B3563" s="207" t="n"/>
      <c r="C3563" s="104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348" t="n"/>
      <c r="E3563" s="349">
        <f>IF(C3563="","",IFERROR(VLOOKUP(C3563,parametros!$A$11:$E$15,5,0),""))</f>
        <v/>
      </c>
      <c r="F3563" s="335">
        <f>IF(OR(D3563="",E3563=""),"",ROUND(D3563*E3563,2))</f>
        <v/>
      </c>
      <c r="G3563" s="106" t="n"/>
      <c r="H3563" s="350">
        <f>IF(G3563="Sim",IF(OR(F3563="",D3563="",L3563=""),"",IF(L3563="Sim",ROUND(F3563-D3563,2),0)),0)</f>
        <v/>
      </c>
      <c r="I3563" s="350">
        <f>IF(G3563="Sim",0,IF(OR(F3563="",L3563=""),"",F3563))</f>
        <v/>
      </c>
      <c r="J3563" s="350">
        <f>IF(G3563="Sim",0,IF(OR(F3563="",D3563="",L3563=""),"",IF(L3563="Sim",ROUND(F3563-D3563,2),0)))</f>
        <v/>
      </c>
      <c r="K3563" s="97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inlineStr">
        <is>
          <t>Nao</t>
        </is>
      </c>
      <c r="W3563" s="110" t="inlineStr">
        <is>
          <t>PC em analise</t>
        </is>
      </c>
      <c r="X3563" s="110" t="inlineStr">
        <is>
          <t>Pedido de Compra</t>
        </is>
      </c>
      <c r="Y3563" s="111" t="inlineStr">
        <is>
          <t>Impacto Potencial</t>
        </is>
      </c>
      <c r="Z3563" s="111" t="inlineStr">
        <is>
          <t>PC</t>
        </is>
      </c>
      <c r="AA3563" s="111" t="inlineStr">
        <is>
          <t>Nao</t>
        </is>
      </c>
      <c r="AB3563" s="111" t="inlineStr">
        <is>
          <t>NAO_COMPUTADO</t>
        </is>
      </c>
      <c r="AC3563" s="112" t="inlineStr">
        <is>
          <t>Estrutura Fase 1: sem impacto no VTA oficial</t>
        </is>
      </c>
    </row>
    <row r="3564" ht="25.5" customHeight="1" s="289">
      <c r="A3564" s="205" t="n"/>
      <c r="B3564" s="207" t="n"/>
      <c r="C3564" s="104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348" t="n"/>
      <c r="E3564" s="349">
        <f>IF(C3564="","",IFERROR(VLOOKUP(C3564,parametros!$A$11:$E$15,5,0),""))</f>
        <v/>
      </c>
      <c r="F3564" s="335">
        <f>IF(OR(D3564="",E3564=""),"",ROUND(D3564*E3564,2))</f>
        <v/>
      </c>
      <c r="G3564" s="106" t="n"/>
      <c r="H3564" s="350">
        <f>IF(G3564="Sim",IF(OR(F3564="",D3564="",L3564=""),"",IF(L3564="Sim",ROUND(F3564-D3564,2),0)),0)</f>
        <v/>
      </c>
      <c r="I3564" s="350">
        <f>IF(G3564="Sim",0,IF(OR(F3564="",L3564=""),"",F3564))</f>
        <v/>
      </c>
      <c r="J3564" s="350">
        <f>IF(G3564="Sim",0,IF(OR(F3564="",D3564="",L3564=""),"",IF(L3564="Sim",ROUND(F3564-D3564,2),0)))</f>
        <v/>
      </c>
      <c r="K3564" s="97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inlineStr">
        <is>
          <t>Nao</t>
        </is>
      </c>
      <c r="W3564" s="110" t="inlineStr">
        <is>
          <t>PC em analise</t>
        </is>
      </c>
      <c r="X3564" s="110" t="inlineStr">
        <is>
          <t>Pedido de Compra</t>
        </is>
      </c>
      <c r="Y3564" s="111" t="inlineStr">
        <is>
          <t>Impacto Potencial</t>
        </is>
      </c>
      <c r="Z3564" s="111" t="inlineStr">
        <is>
          <t>PC</t>
        </is>
      </c>
      <c r="AA3564" s="111" t="inlineStr">
        <is>
          <t>Nao</t>
        </is>
      </c>
      <c r="AB3564" s="111" t="inlineStr">
        <is>
          <t>NAO_COMPUTADO</t>
        </is>
      </c>
      <c r="AC3564" s="112" t="inlineStr">
        <is>
          <t>Estrutura Fase 1: sem impacto no VTA oficial</t>
        </is>
      </c>
    </row>
    <row r="3565" ht="25.5" customHeight="1" s="289">
      <c r="A3565" s="205" t="n"/>
      <c r="B3565" s="207" t="n"/>
      <c r="C3565" s="104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348" t="n"/>
      <c r="E3565" s="349">
        <f>IF(C3565="","",IFERROR(VLOOKUP(C3565,parametros!$A$11:$E$15,5,0),""))</f>
        <v/>
      </c>
      <c r="F3565" s="335">
        <f>IF(OR(D3565="",E3565=""),"",ROUND(D3565*E3565,2))</f>
        <v/>
      </c>
      <c r="G3565" s="106" t="n"/>
      <c r="H3565" s="350">
        <f>IF(G3565="Sim",IF(OR(F3565="",D3565="",L3565=""),"",IF(L3565="Sim",ROUND(F3565-D3565,2),0)),0)</f>
        <v/>
      </c>
      <c r="I3565" s="350">
        <f>IF(G3565="Sim",0,IF(OR(F3565="",L3565=""),"",F3565))</f>
        <v/>
      </c>
      <c r="J3565" s="350">
        <f>IF(G3565="Sim",0,IF(OR(F3565="",D3565="",L3565=""),"",IF(L3565="Sim",ROUND(F3565-D3565,2),0)))</f>
        <v/>
      </c>
      <c r="K3565" s="97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inlineStr">
        <is>
          <t>Nao</t>
        </is>
      </c>
      <c r="W3565" s="110" t="inlineStr">
        <is>
          <t>PC em analise</t>
        </is>
      </c>
      <c r="X3565" s="110" t="inlineStr">
        <is>
          <t>Pedido de Compra</t>
        </is>
      </c>
      <c r="Y3565" s="111" t="inlineStr">
        <is>
          <t>Impacto Potencial</t>
        </is>
      </c>
      <c r="Z3565" s="111" t="inlineStr">
        <is>
          <t>PC</t>
        </is>
      </c>
      <c r="AA3565" s="111" t="inlineStr">
        <is>
          <t>Nao</t>
        </is>
      </c>
      <c r="AB3565" s="111" t="inlineStr">
        <is>
          <t>NAO_COMPUTADO</t>
        </is>
      </c>
      <c r="AC3565" s="112" t="inlineStr">
        <is>
          <t>Estrutura Fase 1: sem impacto no VTA oficial</t>
        </is>
      </c>
    </row>
    <row r="3566" ht="25.5" customHeight="1" s="289">
      <c r="A3566" s="205" t="n"/>
      <c r="B3566" s="207" t="n"/>
      <c r="C3566" s="104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348" t="n"/>
      <c r="E3566" s="349">
        <f>IF(C3566="","",IFERROR(VLOOKUP(C3566,parametros!$A$11:$E$15,5,0),""))</f>
        <v/>
      </c>
      <c r="F3566" s="335">
        <f>IF(OR(D3566="",E3566=""),"",ROUND(D3566*E3566,2))</f>
        <v/>
      </c>
      <c r="G3566" s="106" t="n"/>
      <c r="H3566" s="350">
        <f>IF(G3566="Sim",IF(OR(F3566="",D3566="",L3566=""),"",IF(L3566="Sim",ROUND(F3566-D3566,2),0)),0)</f>
        <v/>
      </c>
      <c r="I3566" s="350">
        <f>IF(G3566="Sim",0,IF(OR(F3566="",L3566=""),"",F3566))</f>
        <v/>
      </c>
      <c r="J3566" s="350">
        <f>IF(G3566="Sim",0,IF(OR(F3566="",D3566="",L3566=""),"",IF(L3566="Sim",ROUND(F3566-D3566,2),0)))</f>
        <v/>
      </c>
      <c r="K3566" s="97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inlineStr">
        <is>
          <t>Nao</t>
        </is>
      </c>
      <c r="W3566" s="110" t="inlineStr">
        <is>
          <t>PC em analise</t>
        </is>
      </c>
      <c r="X3566" s="110" t="inlineStr">
        <is>
          <t>Pedido de Compra</t>
        </is>
      </c>
      <c r="Y3566" s="111" t="inlineStr">
        <is>
          <t>Impacto Potencial</t>
        </is>
      </c>
      <c r="Z3566" s="111" t="inlineStr">
        <is>
          <t>PC</t>
        </is>
      </c>
      <c r="AA3566" s="111" t="inlineStr">
        <is>
          <t>Nao</t>
        </is>
      </c>
      <c r="AB3566" s="111" t="inlineStr">
        <is>
          <t>NAO_COMPUTADO</t>
        </is>
      </c>
      <c r="AC3566" s="112" t="inlineStr">
        <is>
          <t>Estrutura Fase 1: sem impacto no VTA oficial</t>
        </is>
      </c>
    </row>
    <row r="3567" ht="25.5" customHeight="1" s="289">
      <c r="A3567" s="205" t="n"/>
      <c r="B3567" s="207" t="n"/>
      <c r="C3567" s="104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348" t="n"/>
      <c r="E3567" s="349">
        <f>IF(C3567="","",IFERROR(VLOOKUP(C3567,parametros!$A$11:$E$15,5,0),""))</f>
        <v/>
      </c>
      <c r="F3567" s="335">
        <f>IF(OR(D3567="",E3567=""),"",ROUND(D3567*E3567,2))</f>
        <v/>
      </c>
      <c r="G3567" s="106" t="n"/>
      <c r="H3567" s="350">
        <f>IF(G3567="Sim",IF(OR(F3567="",D3567="",L3567=""),"",IF(L3567="Sim",ROUND(F3567-D3567,2),0)),0)</f>
        <v/>
      </c>
      <c r="I3567" s="350">
        <f>IF(G3567="Sim",0,IF(OR(F3567="",L3567=""),"",F3567))</f>
        <v/>
      </c>
      <c r="J3567" s="350">
        <f>IF(G3567="Sim",0,IF(OR(F3567="",D3567="",L3567=""),"",IF(L3567="Sim",ROUND(F3567-D3567,2),0)))</f>
        <v/>
      </c>
      <c r="K3567" s="97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inlineStr">
        <is>
          <t>Nao</t>
        </is>
      </c>
      <c r="W3567" s="110" t="inlineStr">
        <is>
          <t>PC em analise</t>
        </is>
      </c>
      <c r="X3567" s="110" t="inlineStr">
        <is>
          <t>Pedido de Compra</t>
        </is>
      </c>
      <c r="Y3567" s="111" t="inlineStr">
        <is>
          <t>Impacto Potencial</t>
        </is>
      </c>
      <c r="Z3567" s="111" t="inlineStr">
        <is>
          <t>PC</t>
        </is>
      </c>
      <c r="AA3567" s="111" t="inlineStr">
        <is>
          <t>Nao</t>
        </is>
      </c>
      <c r="AB3567" s="111" t="inlineStr">
        <is>
          <t>NAO_COMPUTADO</t>
        </is>
      </c>
      <c r="AC3567" s="112" t="inlineStr">
        <is>
          <t>Estrutura Fase 1: sem impacto no VTA oficial</t>
        </is>
      </c>
    </row>
    <row r="3568" ht="25.5" customHeight="1" s="289">
      <c r="A3568" s="205" t="n"/>
      <c r="B3568" s="207" t="n"/>
      <c r="C3568" s="104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348" t="n"/>
      <c r="E3568" s="349">
        <f>IF(C3568="","",IFERROR(VLOOKUP(C3568,parametros!$A$11:$E$15,5,0),""))</f>
        <v/>
      </c>
      <c r="F3568" s="335">
        <f>IF(OR(D3568="",E3568=""),"",ROUND(D3568*E3568,2))</f>
        <v/>
      </c>
      <c r="G3568" s="106" t="n"/>
      <c r="H3568" s="350">
        <f>IF(G3568="Sim",IF(OR(F3568="",D3568="",L3568=""),"",IF(L3568="Sim",ROUND(F3568-D3568,2),0)),0)</f>
        <v/>
      </c>
      <c r="I3568" s="350">
        <f>IF(G3568="Sim",0,IF(OR(F3568="",L3568=""),"",F3568))</f>
        <v/>
      </c>
      <c r="J3568" s="350">
        <f>IF(G3568="Sim",0,IF(OR(F3568="",D3568="",L3568=""),"",IF(L3568="Sim",ROUND(F3568-D3568,2),0)))</f>
        <v/>
      </c>
      <c r="K3568" s="97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inlineStr">
        <is>
          <t>Nao</t>
        </is>
      </c>
      <c r="W3568" s="110" t="inlineStr">
        <is>
          <t>PC em analise</t>
        </is>
      </c>
      <c r="X3568" s="110" t="inlineStr">
        <is>
          <t>Pedido de Compra</t>
        </is>
      </c>
      <c r="Y3568" s="111" t="inlineStr">
        <is>
          <t>Impacto Potencial</t>
        </is>
      </c>
      <c r="Z3568" s="111" t="inlineStr">
        <is>
          <t>PC</t>
        </is>
      </c>
      <c r="AA3568" s="111" t="inlineStr">
        <is>
          <t>Nao</t>
        </is>
      </c>
      <c r="AB3568" s="111" t="inlineStr">
        <is>
          <t>NAO_COMPUTADO</t>
        </is>
      </c>
      <c r="AC3568" s="112" t="inlineStr">
        <is>
          <t>Estrutura Fase 1: sem impacto no VTA oficial</t>
        </is>
      </c>
    </row>
    <row r="3569" ht="25.5" customHeight="1" s="289">
      <c r="A3569" s="205" t="n"/>
      <c r="B3569" s="207" t="n"/>
      <c r="C3569" s="104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348" t="n"/>
      <c r="E3569" s="349">
        <f>IF(C3569="","",IFERROR(VLOOKUP(C3569,parametros!$A$11:$E$15,5,0),""))</f>
        <v/>
      </c>
      <c r="F3569" s="335">
        <f>IF(OR(D3569="",E3569=""),"",ROUND(D3569*E3569,2))</f>
        <v/>
      </c>
      <c r="G3569" s="106" t="n"/>
      <c r="H3569" s="350">
        <f>IF(G3569="Sim",IF(OR(F3569="",D3569="",L3569=""),"",IF(L3569="Sim",ROUND(F3569-D3569,2),0)),0)</f>
        <v/>
      </c>
      <c r="I3569" s="350">
        <f>IF(G3569="Sim",0,IF(OR(F3569="",L3569=""),"",F3569))</f>
        <v/>
      </c>
      <c r="J3569" s="350">
        <f>IF(G3569="Sim",0,IF(OR(F3569="",D3569="",L3569=""),"",IF(L3569="Sim",ROUND(F3569-D3569,2),0)))</f>
        <v/>
      </c>
      <c r="K3569" s="97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inlineStr">
        <is>
          <t>Nao</t>
        </is>
      </c>
      <c r="W3569" s="110" t="inlineStr">
        <is>
          <t>PC em analise</t>
        </is>
      </c>
      <c r="X3569" s="110" t="inlineStr">
        <is>
          <t>Pedido de Compra</t>
        </is>
      </c>
      <c r="Y3569" s="111" t="inlineStr">
        <is>
          <t>Impacto Potencial</t>
        </is>
      </c>
      <c r="Z3569" s="111" t="inlineStr">
        <is>
          <t>PC</t>
        </is>
      </c>
      <c r="AA3569" s="111" t="inlineStr">
        <is>
          <t>Nao</t>
        </is>
      </c>
      <c r="AB3569" s="111" t="inlineStr">
        <is>
          <t>NAO_COMPUTADO</t>
        </is>
      </c>
      <c r="AC3569" s="112" t="inlineStr">
        <is>
          <t>Estrutura Fase 1: sem impacto no VTA oficial</t>
        </is>
      </c>
    </row>
    <row r="3570" ht="25.5" customHeight="1" s="289">
      <c r="A3570" s="205" t="n"/>
      <c r="B3570" s="207" t="n"/>
      <c r="C3570" s="104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348" t="n"/>
      <c r="E3570" s="349">
        <f>IF(C3570="","",IFERROR(VLOOKUP(C3570,parametros!$A$11:$E$15,5,0),""))</f>
        <v/>
      </c>
      <c r="F3570" s="335">
        <f>IF(OR(D3570="",E3570=""),"",ROUND(D3570*E3570,2))</f>
        <v/>
      </c>
      <c r="G3570" s="106" t="n"/>
      <c r="H3570" s="350">
        <f>IF(G3570="Sim",IF(OR(F3570="",D3570="",L3570=""),"",IF(L3570="Sim",ROUND(F3570-D3570,2),0)),0)</f>
        <v/>
      </c>
      <c r="I3570" s="350">
        <f>IF(G3570="Sim",0,IF(OR(F3570="",L3570=""),"",F3570))</f>
        <v/>
      </c>
      <c r="J3570" s="350">
        <f>IF(G3570="Sim",0,IF(OR(F3570="",D3570="",L3570=""),"",IF(L3570="Sim",ROUND(F3570-D3570,2),0)))</f>
        <v/>
      </c>
      <c r="K3570" s="97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inlineStr">
        <is>
          <t>Nao</t>
        </is>
      </c>
      <c r="W3570" s="110" t="inlineStr">
        <is>
          <t>PC em analise</t>
        </is>
      </c>
      <c r="X3570" s="110" t="inlineStr">
        <is>
          <t>Pedido de Compra</t>
        </is>
      </c>
      <c r="Y3570" s="111" t="inlineStr">
        <is>
          <t>Impacto Potencial</t>
        </is>
      </c>
      <c r="Z3570" s="111" t="inlineStr">
        <is>
          <t>PC</t>
        </is>
      </c>
      <c r="AA3570" s="111" t="inlineStr">
        <is>
          <t>Nao</t>
        </is>
      </c>
      <c r="AB3570" s="111" t="inlineStr">
        <is>
          <t>NAO_COMPUTADO</t>
        </is>
      </c>
      <c r="AC3570" s="112" t="inlineStr">
        <is>
          <t>Estrutura Fase 1: sem impacto no VTA oficial</t>
        </is>
      </c>
    </row>
    <row r="3571" ht="25.5" customHeight="1" s="289">
      <c r="A3571" s="205" t="n"/>
      <c r="B3571" s="207" t="n"/>
      <c r="C3571" s="104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348" t="n"/>
      <c r="E3571" s="349">
        <f>IF(C3571="","",IFERROR(VLOOKUP(C3571,parametros!$A$11:$E$15,5,0),""))</f>
        <v/>
      </c>
      <c r="F3571" s="335">
        <f>IF(OR(D3571="",E3571=""),"",ROUND(D3571*E3571,2))</f>
        <v/>
      </c>
      <c r="G3571" s="106" t="n"/>
      <c r="H3571" s="350">
        <f>IF(G3571="Sim",IF(OR(F3571="",D3571="",L3571=""),"",IF(L3571="Sim",ROUND(F3571-D3571,2),0)),0)</f>
        <v/>
      </c>
      <c r="I3571" s="350">
        <f>IF(G3571="Sim",0,IF(OR(F3571="",L3571=""),"",F3571))</f>
        <v/>
      </c>
      <c r="J3571" s="350">
        <f>IF(G3571="Sim",0,IF(OR(F3571="",D3571="",L3571=""),"",IF(L3571="Sim",ROUND(F3571-D3571,2),0)))</f>
        <v/>
      </c>
      <c r="K3571" s="97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inlineStr">
        <is>
          <t>Nao</t>
        </is>
      </c>
      <c r="W3571" s="110" t="inlineStr">
        <is>
          <t>PC em analise</t>
        </is>
      </c>
      <c r="X3571" s="110" t="inlineStr">
        <is>
          <t>Pedido de Compra</t>
        </is>
      </c>
      <c r="Y3571" s="111" t="inlineStr">
        <is>
          <t>Impacto Potencial</t>
        </is>
      </c>
      <c r="Z3571" s="111" t="inlineStr">
        <is>
          <t>PC</t>
        </is>
      </c>
      <c r="AA3571" s="111" t="inlineStr">
        <is>
          <t>Nao</t>
        </is>
      </c>
      <c r="AB3571" s="111" t="inlineStr">
        <is>
          <t>NAO_COMPUTADO</t>
        </is>
      </c>
      <c r="AC3571" s="112" t="inlineStr">
        <is>
          <t>Estrutura Fase 1: sem impacto no VTA oficial</t>
        </is>
      </c>
    </row>
    <row r="3572" ht="25.5" customHeight="1" s="289">
      <c r="A3572" s="205" t="n"/>
      <c r="B3572" s="207" t="n"/>
      <c r="C3572" s="104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348" t="n"/>
      <c r="E3572" s="349">
        <f>IF(C3572="","",IFERROR(VLOOKUP(C3572,parametros!$A$11:$E$15,5,0),""))</f>
        <v/>
      </c>
      <c r="F3572" s="335">
        <f>IF(OR(D3572="",E3572=""),"",ROUND(D3572*E3572,2))</f>
        <v/>
      </c>
      <c r="G3572" s="106" t="n"/>
      <c r="H3572" s="350">
        <f>IF(G3572="Sim",IF(OR(F3572="",D3572="",L3572=""),"",IF(L3572="Sim",ROUND(F3572-D3572,2),0)),0)</f>
        <v/>
      </c>
      <c r="I3572" s="350">
        <f>IF(G3572="Sim",0,IF(OR(F3572="",L3572=""),"",F3572))</f>
        <v/>
      </c>
      <c r="J3572" s="350">
        <f>IF(G3572="Sim",0,IF(OR(F3572="",D3572="",L3572=""),"",IF(L3572="Sim",ROUND(F3572-D3572,2),0)))</f>
        <v/>
      </c>
      <c r="K3572" s="97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inlineStr">
        <is>
          <t>Nao</t>
        </is>
      </c>
      <c r="W3572" s="110" t="inlineStr">
        <is>
          <t>PC em analise</t>
        </is>
      </c>
      <c r="X3572" s="110" t="inlineStr">
        <is>
          <t>Pedido de Compra</t>
        </is>
      </c>
      <c r="Y3572" s="111" t="inlineStr">
        <is>
          <t>Impacto Potencial</t>
        </is>
      </c>
      <c r="Z3572" s="111" t="inlineStr">
        <is>
          <t>PC</t>
        </is>
      </c>
      <c r="AA3572" s="111" t="inlineStr">
        <is>
          <t>Nao</t>
        </is>
      </c>
      <c r="AB3572" s="111" t="inlineStr">
        <is>
          <t>NAO_COMPUTADO</t>
        </is>
      </c>
      <c r="AC3572" s="112" t="inlineStr">
        <is>
          <t>Estrutura Fase 1: sem impacto no VTA oficial</t>
        </is>
      </c>
    </row>
    <row r="3573" ht="25.5" customHeight="1" s="289">
      <c r="A3573" s="205" t="n"/>
      <c r="B3573" s="207" t="n"/>
      <c r="C3573" s="104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348" t="n"/>
      <c r="E3573" s="349">
        <f>IF(C3573="","",IFERROR(VLOOKUP(C3573,parametros!$A$11:$E$15,5,0),""))</f>
        <v/>
      </c>
      <c r="F3573" s="335">
        <f>IF(OR(D3573="",E3573=""),"",ROUND(D3573*E3573,2))</f>
        <v/>
      </c>
      <c r="G3573" s="106" t="n"/>
      <c r="H3573" s="350">
        <f>IF(G3573="Sim",IF(OR(F3573="",D3573="",L3573=""),"",IF(L3573="Sim",ROUND(F3573-D3573,2),0)),0)</f>
        <v/>
      </c>
      <c r="I3573" s="350">
        <f>IF(G3573="Sim",0,IF(OR(F3573="",L3573=""),"",F3573))</f>
        <v/>
      </c>
      <c r="J3573" s="350">
        <f>IF(G3573="Sim",0,IF(OR(F3573="",D3573="",L3573=""),"",IF(L3573="Sim",ROUND(F3573-D3573,2),0)))</f>
        <v/>
      </c>
      <c r="K3573" s="97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inlineStr">
        <is>
          <t>Nao</t>
        </is>
      </c>
      <c r="W3573" s="110" t="inlineStr">
        <is>
          <t>PC em analise</t>
        </is>
      </c>
      <c r="X3573" s="110" t="inlineStr">
        <is>
          <t>Pedido de Compra</t>
        </is>
      </c>
      <c r="Y3573" s="111" t="inlineStr">
        <is>
          <t>Impacto Potencial</t>
        </is>
      </c>
      <c r="Z3573" s="111" t="inlineStr">
        <is>
          <t>PC</t>
        </is>
      </c>
      <c r="AA3573" s="111" t="inlineStr">
        <is>
          <t>Nao</t>
        </is>
      </c>
      <c r="AB3573" s="111" t="inlineStr">
        <is>
          <t>NAO_COMPUTADO</t>
        </is>
      </c>
      <c r="AC3573" s="112" t="inlineStr">
        <is>
          <t>Estrutura Fase 1: sem impacto no VTA oficial</t>
        </is>
      </c>
    </row>
    <row r="3574" ht="25.5" customHeight="1" s="289">
      <c r="A3574" s="205" t="n"/>
      <c r="B3574" s="207" t="n"/>
      <c r="C3574" s="104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348" t="n"/>
      <c r="E3574" s="349">
        <f>IF(C3574="","",IFERROR(VLOOKUP(C3574,parametros!$A$11:$E$15,5,0),""))</f>
        <v/>
      </c>
      <c r="F3574" s="335">
        <f>IF(OR(D3574="",E3574=""),"",ROUND(D3574*E3574,2))</f>
        <v/>
      </c>
      <c r="G3574" s="106" t="n"/>
      <c r="H3574" s="350">
        <f>IF(G3574="Sim",IF(OR(F3574="",D3574="",L3574=""),"",IF(L3574="Sim",ROUND(F3574-D3574,2),0)),0)</f>
        <v/>
      </c>
      <c r="I3574" s="350">
        <f>IF(G3574="Sim",0,IF(OR(F3574="",L3574=""),"",F3574))</f>
        <v/>
      </c>
      <c r="J3574" s="350">
        <f>IF(G3574="Sim",0,IF(OR(F3574="",D3574="",L3574=""),"",IF(L3574="Sim",ROUND(F3574-D3574,2),0)))</f>
        <v/>
      </c>
      <c r="K3574" s="97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inlineStr">
        <is>
          <t>Nao</t>
        </is>
      </c>
      <c r="W3574" s="110" t="inlineStr">
        <is>
          <t>PC em analise</t>
        </is>
      </c>
      <c r="X3574" s="110" t="inlineStr">
        <is>
          <t>Pedido de Compra</t>
        </is>
      </c>
      <c r="Y3574" s="111" t="inlineStr">
        <is>
          <t>Impacto Potencial</t>
        </is>
      </c>
      <c r="Z3574" s="111" t="inlineStr">
        <is>
          <t>PC</t>
        </is>
      </c>
      <c r="AA3574" s="111" t="inlineStr">
        <is>
          <t>Nao</t>
        </is>
      </c>
      <c r="AB3574" s="111" t="inlineStr">
        <is>
          <t>NAO_COMPUTADO</t>
        </is>
      </c>
      <c r="AC3574" s="112" t="inlineStr">
        <is>
          <t>Estrutura Fase 1: sem impacto no VTA oficial</t>
        </is>
      </c>
    </row>
    <row r="3575" ht="25.5" customHeight="1" s="289">
      <c r="A3575" s="205" t="n"/>
      <c r="B3575" s="207" t="n"/>
      <c r="C3575" s="104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348" t="n"/>
      <c r="E3575" s="349">
        <f>IF(C3575="","",IFERROR(VLOOKUP(C3575,parametros!$A$11:$E$15,5,0),""))</f>
        <v/>
      </c>
      <c r="F3575" s="335">
        <f>IF(OR(D3575="",E3575=""),"",ROUND(D3575*E3575,2))</f>
        <v/>
      </c>
      <c r="G3575" s="106" t="n"/>
      <c r="H3575" s="350">
        <f>IF(G3575="Sim",IF(OR(F3575="",D3575="",L3575=""),"",IF(L3575="Sim",ROUND(F3575-D3575,2),0)),0)</f>
        <v/>
      </c>
      <c r="I3575" s="350">
        <f>IF(G3575="Sim",0,IF(OR(F3575="",L3575=""),"",F3575))</f>
        <v/>
      </c>
      <c r="J3575" s="350">
        <f>IF(G3575="Sim",0,IF(OR(F3575="",D3575="",L3575=""),"",IF(L3575="Sim",ROUND(F3575-D3575,2),0)))</f>
        <v/>
      </c>
      <c r="K3575" s="97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inlineStr">
        <is>
          <t>Nao</t>
        </is>
      </c>
      <c r="W3575" s="110" t="inlineStr">
        <is>
          <t>PC em analise</t>
        </is>
      </c>
      <c r="X3575" s="110" t="inlineStr">
        <is>
          <t>Pedido de Compra</t>
        </is>
      </c>
      <c r="Y3575" s="111" t="inlineStr">
        <is>
          <t>Impacto Potencial</t>
        </is>
      </c>
      <c r="Z3575" s="111" t="inlineStr">
        <is>
          <t>PC</t>
        </is>
      </c>
      <c r="AA3575" s="111" t="inlineStr">
        <is>
          <t>Nao</t>
        </is>
      </c>
      <c r="AB3575" s="111" t="inlineStr">
        <is>
          <t>NAO_COMPUTADO</t>
        </is>
      </c>
      <c r="AC3575" s="112" t="inlineStr">
        <is>
          <t>Estrutura Fase 1: sem impacto no VTA oficial</t>
        </is>
      </c>
    </row>
    <row r="3576" ht="25.5" customHeight="1" s="289">
      <c r="A3576" s="205" t="n"/>
      <c r="B3576" s="207" t="n"/>
      <c r="C3576" s="104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348" t="n"/>
      <c r="E3576" s="349">
        <f>IF(C3576="","",IFERROR(VLOOKUP(C3576,parametros!$A$11:$E$15,5,0),""))</f>
        <v/>
      </c>
      <c r="F3576" s="335">
        <f>IF(OR(D3576="",E3576=""),"",ROUND(D3576*E3576,2))</f>
        <v/>
      </c>
      <c r="G3576" s="106" t="n"/>
      <c r="H3576" s="350">
        <f>IF(G3576="Sim",IF(OR(F3576="",D3576="",L3576=""),"",IF(L3576="Sim",ROUND(F3576-D3576,2),0)),0)</f>
        <v/>
      </c>
      <c r="I3576" s="350">
        <f>IF(G3576="Sim",0,IF(OR(F3576="",L3576=""),"",F3576))</f>
        <v/>
      </c>
      <c r="J3576" s="350">
        <f>IF(G3576="Sim",0,IF(OR(F3576="",D3576="",L3576=""),"",IF(L3576="Sim",ROUND(F3576-D3576,2),0)))</f>
        <v/>
      </c>
      <c r="K3576" s="97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inlineStr">
        <is>
          <t>Nao</t>
        </is>
      </c>
      <c r="W3576" s="110" t="inlineStr">
        <is>
          <t>PC em analise</t>
        </is>
      </c>
      <c r="X3576" s="110" t="inlineStr">
        <is>
          <t>Pedido de Compra</t>
        </is>
      </c>
      <c r="Y3576" s="111" t="inlineStr">
        <is>
          <t>Impacto Potencial</t>
        </is>
      </c>
      <c r="Z3576" s="111" t="inlineStr">
        <is>
          <t>PC</t>
        </is>
      </c>
      <c r="AA3576" s="111" t="inlineStr">
        <is>
          <t>Nao</t>
        </is>
      </c>
      <c r="AB3576" s="111" t="inlineStr">
        <is>
          <t>NAO_COMPUTADO</t>
        </is>
      </c>
      <c r="AC3576" s="112" t="inlineStr">
        <is>
          <t>Estrutura Fase 1: sem impacto no VTA oficial</t>
        </is>
      </c>
    </row>
    <row r="3577" ht="25.5" customHeight="1" s="289">
      <c r="A3577" s="205" t="n"/>
      <c r="B3577" s="207" t="n"/>
      <c r="C3577" s="104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348" t="n"/>
      <c r="E3577" s="349">
        <f>IF(C3577="","",IFERROR(VLOOKUP(C3577,parametros!$A$11:$E$15,5,0),""))</f>
        <v/>
      </c>
      <c r="F3577" s="335">
        <f>IF(OR(D3577="",E3577=""),"",ROUND(D3577*E3577,2))</f>
        <v/>
      </c>
      <c r="G3577" s="106" t="n"/>
      <c r="H3577" s="350">
        <f>IF(G3577="Sim",IF(OR(F3577="",D3577="",L3577=""),"",IF(L3577="Sim",ROUND(F3577-D3577,2),0)),0)</f>
        <v/>
      </c>
      <c r="I3577" s="350">
        <f>IF(G3577="Sim",0,IF(OR(F3577="",L3577=""),"",F3577))</f>
        <v/>
      </c>
      <c r="J3577" s="350">
        <f>IF(G3577="Sim",0,IF(OR(F3577="",D3577="",L3577=""),"",IF(L3577="Sim",ROUND(F3577-D3577,2),0)))</f>
        <v/>
      </c>
      <c r="K3577" s="97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inlineStr">
        <is>
          <t>Nao</t>
        </is>
      </c>
      <c r="W3577" s="110" t="inlineStr">
        <is>
          <t>PC em analise</t>
        </is>
      </c>
      <c r="X3577" s="110" t="inlineStr">
        <is>
          <t>Pedido de Compra</t>
        </is>
      </c>
      <c r="Y3577" s="111" t="inlineStr">
        <is>
          <t>Impacto Potencial</t>
        </is>
      </c>
      <c r="Z3577" s="111" t="inlineStr">
        <is>
          <t>PC</t>
        </is>
      </c>
      <c r="AA3577" s="111" t="inlineStr">
        <is>
          <t>Nao</t>
        </is>
      </c>
      <c r="AB3577" s="111" t="inlineStr">
        <is>
          <t>NAO_COMPUTADO</t>
        </is>
      </c>
      <c r="AC3577" s="112" t="inlineStr">
        <is>
          <t>Estrutura Fase 1: sem impacto no VTA oficial</t>
        </is>
      </c>
    </row>
    <row r="3578" ht="25.5" customHeight="1" s="289">
      <c r="A3578" s="205" t="n"/>
      <c r="B3578" s="207" t="n"/>
      <c r="C3578" s="104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348" t="n"/>
      <c r="E3578" s="349">
        <f>IF(C3578="","",IFERROR(VLOOKUP(C3578,parametros!$A$11:$E$15,5,0),""))</f>
        <v/>
      </c>
      <c r="F3578" s="335">
        <f>IF(OR(D3578="",E3578=""),"",ROUND(D3578*E3578,2))</f>
        <v/>
      </c>
      <c r="G3578" s="106" t="n"/>
      <c r="H3578" s="350">
        <f>IF(G3578="Sim",IF(OR(F3578="",D3578="",L3578=""),"",IF(L3578="Sim",ROUND(F3578-D3578,2),0)),0)</f>
        <v/>
      </c>
      <c r="I3578" s="350">
        <f>IF(G3578="Sim",0,IF(OR(F3578="",L3578=""),"",F3578))</f>
        <v/>
      </c>
      <c r="J3578" s="350">
        <f>IF(G3578="Sim",0,IF(OR(F3578="",D3578="",L3578=""),"",IF(L3578="Sim",ROUND(F3578-D3578,2),0)))</f>
        <v/>
      </c>
      <c r="K3578" s="97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inlineStr">
        <is>
          <t>Nao</t>
        </is>
      </c>
      <c r="W3578" s="110" t="inlineStr">
        <is>
          <t>PC em analise</t>
        </is>
      </c>
      <c r="X3578" s="110" t="inlineStr">
        <is>
          <t>Pedido de Compra</t>
        </is>
      </c>
      <c r="Y3578" s="111" t="inlineStr">
        <is>
          <t>Impacto Potencial</t>
        </is>
      </c>
      <c r="Z3578" s="111" t="inlineStr">
        <is>
          <t>PC</t>
        </is>
      </c>
      <c r="AA3578" s="111" t="inlineStr">
        <is>
          <t>Nao</t>
        </is>
      </c>
      <c r="AB3578" s="111" t="inlineStr">
        <is>
          <t>NAO_COMPUTADO</t>
        </is>
      </c>
      <c r="AC3578" s="112" t="inlineStr">
        <is>
          <t>Estrutura Fase 1: sem impacto no VTA oficial</t>
        </is>
      </c>
    </row>
    <row r="3579" ht="25.5" customHeight="1" s="289">
      <c r="A3579" s="205" t="n"/>
      <c r="B3579" s="207" t="n"/>
      <c r="C3579" s="104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348" t="n"/>
      <c r="E3579" s="349">
        <f>IF(C3579="","",IFERROR(VLOOKUP(C3579,parametros!$A$11:$E$15,5,0),""))</f>
        <v/>
      </c>
      <c r="F3579" s="335">
        <f>IF(OR(D3579="",E3579=""),"",ROUND(D3579*E3579,2))</f>
        <v/>
      </c>
      <c r="G3579" s="106" t="n"/>
      <c r="H3579" s="350">
        <f>IF(G3579="Sim",IF(OR(F3579="",D3579="",L3579=""),"",IF(L3579="Sim",ROUND(F3579-D3579,2),0)),0)</f>
        <v/>
      </c>
      <c r="I3579" s="350">
        <f>IF(G3579="Sim",0,IF(OR(F3579="",L3579=""),"",F3579))</f>
        <v/>
      </c>
      <c r="J3579" s="350">
        <f>IF(G3579="Sim",0,IF(OR(F3579="",D3579="",L3579=""),"",IF(L3579="Sim",ROUND(F3579-D3579,2),0)))</f>
        <v/>
      </c>
      <c r="K3579" s="97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inlineStr">
        <is>
          <t>Nao</t>
        </is>
      </c>
      <c r="W3579" s="110" t="inlineStr">
        <is>
          <t>PC em analise</t>
        </is>
      </c>
      <c r="X3579" s="110" t="inlineStr">
        <is>
          <t>Pedido de Compra</t>
        </is>
      </c>
      <c r="Y3579" s="111" t="inlineStr">
        <is>
          <t>Impacto Potencial</t>
        </is>
      </c>
      <c r="Z3579" s="111" t="inlineStr">
        <is>
          <t>PC</t>
        </is>
      </c>
      <c r="AA3579" s="111" t="inlineStr">
        <is>
          <t>Nao</t>
        </is>
      </c>
      <c r="AB3579" s="111" t="inlineStr">
        <is>
          <t>NAO_COMPUTADO</t>
        </is>
      </c>
      <c r="AC3579" s="112" t="inlineStr">
        <is>
          <t>Estrutura Fase 1: sem impacto no VTA oficial</t>
        </is>
      </c>
    </row>
    <row r="3580" ht="25.5" customHeight="1" s="289">
      <c r="A3580" s="205" t="n"/>
      <c r="B3580" s="207" t="n"/>
      <c r="C3580" s="104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348" t="n"/>
      <c r="E3580" s="349">
        <f>IF(C3580="","",IFERROR(VLOOKUP(C3580,parametros!$A$11:$E$15,5,0),""))</f>
        <v/>
      </c>
      <c r="F3580" s="335">
        <f>IF(OR(D3580="",E3580=""),"",ROUND(D3580*E3580,2))</f>
        <v/>
      </c>
      <c r="G3580" s="106" t="n"/>
      <c r="H3580" s="350">
        <f>IF(G3580="Sim",IF(OR(F3580="",D3580="",L3580=""),"",IF(L3580="Sim",ROUND(F3580-D3580,2),0)),0)</f>
        <v/>
      </c>
      <c r="I3580" s="350">
        <f>IF(G3580="Sim",0,IF(OR(F3580="",L3580=""),"",F3580))</f>
        <v/>
      </c>
      <c r="J3580" s="350">
        <f>IF(G3580="Sim",0,IF(OR(F3580="",D3580="",L3580=""),"",IF(L3580="Sim",ROUND(F3580-D3580,2),0)))</f>
        <v/>
      </c>
      <c r="K3580" s="97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inlineStr">
        <is>
          <t>Nao</t>
        </is>
      </c>
      <c r="W3580" s="110" t="inlineStr">
        <is>
          <t>PC em analise</t>
        </is>
      </c>
      <c r="X3580" s="110" t="inlineStr">
        <is>
          <t>Pedido de Compra</t>
        </is>
      </c>
      <c r="Y3580" s="111" t="inlineStr">
        <is>
          <t>Impacto Potencial</t>
        </is>
      </c>
      <c r="Z3580" s="111" t="inlineStr">
        <is>
          <t>PC</t>
        </is>
      </c>
      <c r="AA3580" s="111" t="inlineStr">
        <is>
          <t>Nao</t>
        </is>
      </c>
      <c r="AB3580" s="111" t="inlineStr">
        <is>
          <t>NAO_COMPUTADO</t>
        </is>
      </c>
      <c r="AC3580" s="112" t="inlineStr">
        <is>
          <t>Estrutura Fase 1: sem impacto no VTA oficial</t>
        </is>
      </c>
    </row>
    <row r="3581" ht="25.5" customHeight="1" s="289">
      <c r="A3581" s="205" t="n"/>
      <c r="B3581" s="207" t="n"/>
      <c r="C3581" s="104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348" t="n"/>
      <c r="E3581" s="349">
        <f>IF(C3581="","",IFERROR(VLOOKUP(C3581,parametros!$A$11:$E$15,5,0),""))</f>
        <v/>
      </c>
      <c r="F3581" s="335">
        <f>IF(OR(D3581="",E3581=""),"",ROUND(D3581*E3581,2))</f>
        <v/>
      </c>
      <c r="G3581" s="106" t="n"/>
      <c r="H3581" s="350">
        <f>IF(G3581="Sim",IF(OR(F3581="",D3581="",L3581=""),"",IF(L3581="Sim",ROUND(F3581-D3581,2),0)),0)</f>
        <v/>
      </c>
      <c r="I3581" s="350">
        <f>IF(G3581="Sim",0,IF(OR(F3581="",L3581=""),"",F3581))</f>
        <v/>
      </c>
      <c r="J3581" s="350">
        <f>IF(G3581="Sim",0,IF(OR(F3581="",D3581="",L3581=""),"",IF(L3581="Sim",ROUND(F3581-D3581,2),0)))</f>
        <v/>
      </c>
      <c r="K3581" s="97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inlineStr">
        <is>
          <t>Nao</t>
        </is>
      </c>
      <c r="W3581" s="110" t="inlineStr">
        <is>
          <t>PC em analise</t>
        </is>
      </c>
      <c r="X3581" s="110" t="inlineStr">
        <is>
          <t>Pedido de Compra</t>
        </is>
      </c>
      <c r="Y3581" s="111" t="inlineStr">
        <is>
          <t>Impacto Potencial</t>
        </is>
      </c>
      <c r="Z3581" s="111" t="inlineStr">
        <is>
          <t>PC</t>
        </is>
      </c>
      <c r="AA3581" s="111" t="inlineStr">
        <is>
          <t>Nao</t>
        </is>
      </c>
      <c r="AB3581" s="111" t="inlineStr">
        <is>
          <t>NAO_COMPUTADO</t>
        </is>
      </c>
      <c r="AC3581" s="112" t="inlineStr">
        <is>
          <t>Estrutura Fase 1: sem impacto no VTA oficial</t>
        </is>
      </c>
    </row>
    <row r="3582" ht="25.5" customHeight="1" s="289">
      <c r="A3582" s="205" t="n"/>
      <c r="B3582" s="207" t="n"/>
      <c r="C3582" s="104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348" t="n"/>
      <c r="E3582" s="349">
        <f>IF(C3582="","",IFERROR(VLOOKUP(C3582,parametros!$A$11:$E$15,5,0),""))</f>
        <v/>
      </c>
      <c r="F3582" s="335">
        <f>IF(OR(D3582="",E3582=""),"",ROUND(D3582*E3582,2))</f>
        <v/>
      </c>
      <c r="G3582" s="106" t="n"/>
      <c r="H3582" s="350">
        <f>IF(G3582="Sim",IF(OR(F3582="",D3582="",L3582=""),"",IF(L3582="Sim",ROUND(F3582-D3582,2),0)),0)</f>
        <v/>
      </c>
      <c r="I3582" s="350">
        <f>IF(G3582="Sim",0,IF(OR(F3582="",L3582=""),"",F3582))</f>
        <v/>
      </c>
      <c r="J3582" s="350">
        <f>IF(G3582="Sim",0,IF(OR(F3582="",D3582="",L3582=""),"",IF(L3582="Sim",ROUND(F3582-D3582,2),0)))</f>
        <v/>
      </c>
      <c r="K3582" s="97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inlineStr">
        <is>
          <t>Nao</t>
        </is>
      </c>
      <c r="W3582" s="110" t="inlineStr">
        <is>
          <t>PC em analise</t>
        </is>
      </c>
      <c r="X3582" s="110" t="inlineStr">
        <is>
          <t>Pedido de Compra</t>
        </is>
      </c>
      <c r="Y3582" s="111" t="inlineStr">
        <is>
          <t>Impacto Potencial</t>
        </is>
      </c>
      <c r="Z3582" s="111" t="inlineStr">
        <is>
          <t>PC</t>
        </is>
      </c>
      <c r="AA3582" s="111" t="inlineStr">
        <is>
          <t>Nao</t>
        </is>
      </c>
      <c r="AB3582" s="111" t="inlineStr">
        <is>
          <t>NAO_COMPUTADO</t>
        </is>
      </c>
      <c r="AC3582" s="112" t="inlineStr">
        <is>
          <t>Estrutura Fase 1: sem impacto no VTA oficial</t>
        </is>
      </c>
    </row>
    <row r="3583" ht="25.5" customHeight="1" s="289">
      <c r="A3583" s="205" t="n"/>
      <c r="B3583" s="207" t="n"/>
      <c r="C3583" s="104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348" t="n"/>
      <c r="E3583" s="349">
        <f>IF(C3583="","",IFERROR(VLOOKUP(C3583,parametros!$A$11:$E$15,5,0),""))</f>
        <v/>
      </c>
      <c r="F3583" s="335">
        <f>IF(OR(D3583="",E3583=""),"",ROUND(D3583*E3583,2))</f>
        <v/>
      </c>
      <c r="G3583" s="106" t="n"/>
      <c r="H3583" s="350">
        <f>IF(G3583="Sim",IF(OR(F3583="",D3583="",L3583=""),"",IF(L3583="Sim",ROUND(F3583-D3583,2),0)),0)</f>
        <v/>
      </c>
      <c r="I3583" s="350">
        <f>IF(G3583="Sim",0,IF(OR(F3583="",L3583=""),"",F3583))</f>
        <v/>
      </c>
      <c r="J3583" s="350">
        <f>IF(G3583="Sim",0,IF(OR(F3583="",D3583="",L3583=""),"",IF(L3583="Sim",ROUND(F3583-D3583,2),0)))</f>
        <v/>
      </c>
      <c r="K3583" s="97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inlineStr">
        <is>
          <t>Nao</t>
        </is>
      </c>
      <c r="W3583" s="110" t="inlineStr">
        <is>
          <t>PC em analise</t>
        </is>
      </c>
      <c r="X3583" s="110" t="inlineStr">
        <is>
          <t>Pedido de Compra</t>
        </is>
      </c>
      <c r="Y3583" s="111" t="inlineStr">
        <is>
          <t>Impacto Potencial</t>
        </is>
      </c>
      <c r="Z3583" s="111" t="inlineStr">
        <is>
          <t>PC</t>
        </is>
      </c>
      <c r="AA3583" s="111" t="inlineStr">
        <is>
          <t>Nao</t>
        </is>
      </c>
      <c r="AB3583" s="111" t="inlineStr">
        <is>
          <t>NAO_COMPUTADO</t>
        </is>
      </c>
      <c r="AC3583" s="112" t="inlineStr">
        <is>
          <t>Estrutura Fase 1: sem impacto no VTA oficial</t>
        </is>
      </c>
    </row>
    <row r="3584" ht="25.5" customHeight="1" s="289">
      <c r="A3584" s="205" t="n"/>
      <c r="B3584" s="207" t="n"/>
      <c r="C3584" s="104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348" t="n"/>
      <c r="E3584" s="349">
        <f>IF(C3584="","",IFERROR(VLOOKUP(C3584,parametros!$A$11:$E$15,5,0),""))</f>
        <v/>
      </c>
      <c r="F3584" s="335">
        <f>IF(OR(D3584="",E3584=""),"",ROUND(D3584*E3584,2))</f>
        <v/>
      </c>
      <c r="G3584" s="106" t="n"/>
      <c r="H3584" s="350">
        <f>IF(G3584="Sim",IF(OR(F3584="",D3584="",L3584=""),"",IF(L3584="Sim",ROUND(F3584-D3584,2),0)),0)</f>
        <v/>
      </c>
      <c r="I3584" s="350">
        <f>IF(G3584="Sim",0,IF(OR(F3584="",L3584=""),"",F3584))</f>
        <v/>
      </c>
      <c r="J3584" s="350">
        <f>IF(G3584="Sim",0,IF(OR(F3584="",D3584="",L3584=""),"",IF(L3584="Sim",ROUND(F3584-D3584,2),0)))</f>
        <v/>
      </c>
      <c r="K3584" s="97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inlineStr">
        <is>
          <t>Nao</t>
        </is>
      </c>
      <c r="W3584" s="110" t="inlineStr">
        <is>
          <t>PC em analise</t>
        </is>
      </c>
      <c r="X3584" s="110" t="inlineStr">
        <is>
          <t>Pedido de Compra</t>
        </is>
      </c>
      <c r="Y3584" s="111" t="inlineStr">
        <is>
          <t>Impacto Potencial</t>
        </is>
      </c>
      <c r="Z3584" s="111" t="inlineStr">
        <is>
          <t>PC</t>
        </is>
      </c>
      <c r="AA3584" s="111" t="inlineStr">
        <is>
          <t>Nao</t>
        </is>
      </c>
      <c r="AB3584" s="111" t="inlineStr">
        <is>
          <t>NAO_COMPUTADO</t>
        </is>
      </c>
      <c r="AC3584" s="112" t="inlineStr">
        <is>
          <t>Estrutura Fase 1: sem impacto no VTA oficial</t>
        </is>
      </c>
    </row>
    <row r="3585" ht="25.5" customHeight="1" s="289">
      <c r="A3585" s="205" t="n"/>
      <c r="B3585" s="207" t="n"/>
      <c r="C3585" s="104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348" t="n"/>
      <c r="E3585" s="349">
        <f>IF(C3585="","",IFERROR(VLOOKUP(C3585,parametros!$A$11:$E$15,5,0),""))</f>
        <v/>
      </c>
      <c r="F3585" s="335">
        <f>IF(OR(D3585="",E3585=""),"",ROUND(D3585*E3585,2))</f>
        <v/>
      </c>
      <c r="G3585" s="106" t="n"/>
      <c r="H3585" s="350">
        <f>IF(G3585="Sim",IF(OR(F3585="",D3585="",L3585=""),"",IF(L3585="Sim",ROUND(F3585-D3585,2),0)),0)</f>
        <v/>
      </c>
      <c r="I3585" s="350">
        <f>IF(G3585="Sim",0,IF(OR(F3585="",L3585=""),"",F3585))</f>
        <v/>
      </c>
      <c r="J3585" s="350">
        <f>IF(G3585="Sim",0,IF(OR(F3585="",D3585="",L3585=""),"",IF(L3585="Sim",ROUND(F3585-D3585,2),0)))</f>
        <v/>
      </c>
      <c r="K3585" s="97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inlineStr">
        <is>
          <t>Nao</t>
        </is>
      </c>
      <c r="W3585" s="110" t="inlineStr">
        <is>
          <t>PC em analise</t>
        </is>
      </c>
      <c r="X3585" s="110" t="inlineStr">
        <is>
          <t>Pedido de Compra</t>
        </is>
      </c>
      <c r="Y3585" s="111" t="inlineStr">
        <is>
          <t>Impacto Potencial</t>
        </is>
      </c>
      <c r="Z3585" s="111" t="inlineStr">
        <is>
          <t>PC</t>
        </is>
      </c>
      <c r="AA3585" s="111" t="inlineStr">
        <is>
          <t>Nao</t>
        </is>
      </c>
      <c r="AB3585" s="111" t="inlineStr">
        <is>
          <t>NAO_COMPUTADO</t>
        </is>
      </c>
      <c r="AC3585" s="112" t="inlineStr">
        <is>
          <t>Estrutura Fase 1: sem impacto no VTA oficial</t>
        </is>
      </c>
    </row>
    <row r="3586" ht="25.5" customHeight="1" s="289">
      <c r="A3586" s="205" t="n"/>
      <c r="B3586" s="207" t="n"/>
      <c r="C3586" s="104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348" t="n"/>
      <c r="E3586" s="349">
        <f>IF(C3586="","",IFERROR(VLOOKUP(C3586,parametros!$A$11:$E$15,5,0),""))</f>
        <v/>
      </c>
      <c r="F3586" s="335">
        <f>IF(OR(D3586="",E3586=""),"",ROUND(D3586*E3586,2))</f>
        <v/>
      </c>
      <c r="G3586" s="106" t="n"/>
      <c r="H3586" s="350">
        <f>IF(G3586="Sim",IF(OR(F3586="",D3586="",L3586=""),"",IF(L3586="Sim",ROUND(F3586-D3586,2),0)),0)</f>
        <v/>
      </c>
      <c r="I3586" s="350">
        <f>IF(G3586="Sim",0,IF(OR(F3586="",L3586=""),"",F3586))</f>
        <v/>
      </c>
      <c r="J3586" s="350">
        <f>IF(G3586="Sim",0,IF(OR(F3586="",D3586="",L3586=""),"",IF(L3586="Sim",ROUND(F3586-D3586,2),0)))</f>
        <v/>
      </c>
      <c r="K3586" s="97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inlineStr">
        <is>
          <t>Nao</t>
        </is>
      </c>
      <c r="W3586" s="110" t="inlineStr">
        <is>
          <t>PC em analise</t>
        </is>
      </c>
      <c r="X3586" s="110" t="inlineStr">
        <is>
          <t>Pedido de Compra</t>
        </is>
      </c>
      <c r="Y3586" s="111" t="inlineStr">
        <is>
          <t>Impacto Potencial</t>
        </is>
      </c>
      <c r="Z3586" s="111" t="inlineStr">
        <is>
          <t>PC</t>
        </is>
      </c>
      <c r="AA3586" s="111" t="inlineStr">
        <is>
          <t>Nao</t>
        </is>
      </c>
      <c r="AB3586" s="111" t="inlineStr">
        <is>
          <t>NAO_COMPUTADO</t>
        </is>
      </c>
      <c r="AC3586" s="112" t="inlineStr">
        <is>
          <t>Estrutura Fase 1: sem impacto no VTA oficial</t>
        </is>
      </c>
    </row>
    <row r="3587" ht="25.5" customHeight="1" s="289">
      <c r="A3587" s="205" t="n"/>
      <c r="B3587" s="207" t="n"/>
      <c r="C3587" s="104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348" t="n"/>
      <c r="E3587" s="349">
        <f>IF(C3587="","",IFERROR(VLOOKUP(C3587,parametros!$A$11:$E$15,5,0),""))</f>
        <v/>
      </c>
      <c r="F3587" s="335">
        <f>IF(OR(D3587="",E3587=""),"",ROUND(D3587*E3587,2))</f>
        <v/>
      </c>
      <c r="G3587" s="106" t="n"/>
      <c r="H3587" s="350">
        <f>IF(G3587="Sim",IF(OR(F3587="",D3587="",L3587=""),"",IF(L3587="Sim",ROUND(F3587-D3587,2),0)),0)</f>
        <v/>
      </c>
      <c r="I3587" s="350">
        <f>IF(G3587="Sim",0,IF(OR(F3587="",L3587=""),"",F3587))</f>
        <v/>
      </c>
      <c r="J3587" s="350">
        <f>IF(G3587="Sim",0,IF(OR(F3587="",D3587="",L3587=""),"",IF(L3587="Sim",ROUND(F3587-D3587,2),0)))</f>
        <v/>
      </c>
      <c r="K3587" s="97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inlineStr">
        <is>
          <t>Nao</t>
        </is>
      </c>
      <c r="W3587" s="110" t="inlineStr">
        <is>
          <t>PC em analise</t>
        </is>
      </c>
      <c r="X3587" s="110" t="inlineStr">
        <is>
          <t>Pedido de Compra</t>
        </is>
      </c>
      <c r="Y3587" s="111" t="inlineStr">
        <is>
          <t>Impacto Potencial</t>
        </is>
      </c>
      <c r="Z3587" s="111" t="inlineStr">
        <is>
          <t>PC</t>
        </is>
      </c>
      <c r="AA3587" s="111" t="inlineStr">
        <is>
          <t>Nao</t>
        </is>
      </c>
      <c r="AB3587" s="111" t="inlineStr">
        <is>
          <t>NAO_COMPUTADO</t>
        </is>
      </c>
      <c r="AC3587" s="112" t="inlineStr">
        <is>
          <t>Estrutura Fase 1: sem impacto no VTA oficial</t>
        </is>
      </c>
    </row>
    <row r="3588" ht="25.5" customHeight="1" s="289">
      <c r="A3588" s="205" t="n"/>
      <c r="B3588" s="207" t="n"/>
      <c r="C3588" s="104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348" t="n"/>
      <c r="E3588" s="349">
        <f>IF(C3588="","",IFERROR(VLOOKUP(C3588,parametros!$A$11:$E$15,5,0),""))</f>
        <v/>
      </c>
      <c r="F3588" s="335">
        <f>IF(OR(D3588="",E3588=""),"",ROUND(D3588*E3588,2))</f>
        <v/>
      </c>
      <c r="G3588" s="106" t="n"/>
      <c r="H3588" s="350">
        <f>IF(G3588="Sim",IF(OR(F3588="",D3588="",L3588=""),"",IF(L3588="Sim",ROUND(F3588-D3588,2),0)),0)</f>
        <v/>
      </c>
      <c r="I3588" s="350">
        <f>IF(G3588="Sim",0,IF(OR(F3588="",L3588=""),"",F3588))</f>
        <v/>
      </c>
      <c r="J3588" s="350">
        <f>IF(G3588="Sim",0,IF(OR(F3588="",D3588="",L3588=""),"",IF(L3588="Sim",ROUND(F3588-D3588,2),0)))</f>
        <v/>
      </c>
      <c r="K3588" s="97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inlineStr">
        <is>
          <t>Nao</t>
        </is>
      </c>
      <c r="W3588" s="110" t="inlineStr">
        <is>
          <t>PC em analise</t>
        </is>
      </c>
      <c r="X3588" s="110" t="inlineStr">
        <is>
          <t>Pedido de Compra</t>
        </is>
      </c>
      <c r="Y3588" s="111" t="inlineStr">
        <is>
          <t>Impacto Potencial</t>
        </is>
      </c>
      <c r="Z3588" s="111" t="inlineStr">
        <is>
          <t>PC</t>
        </is>
      </c>
      <c r="AA3588" s="111" t="inlineStr">
        <is>
          <t>Nao</t>
        </is>
      </c>
      <c r="AB3588" s="111" t="inlineStr">
        <is>
          <t>NAO_COMPUTADO</t>
        </is>
      </c>
      <c r="AC3588" s="112" t="inlineStr">
        <is>
          <t>Estrutura Fase 1: sem impacto no VTA oficial</t>
        </is>
      </c>
    </row>
    <row r="3589" ht="25.5" customHeight="1" s="289">
      <c r="A3589" s="205" t="n"/>
      <c r="B3589" s="207" t="n"/>
      <c r="C3589" s="104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348" t="n"/>
      <c r="E3589" s="349">
        <f>IF(C3589="","",IFERROR(VLOOKUP(C3589,parametros!$A$11:$E$15,5,0),""))</f>
        <v/>
      </c>
      <c r="F3589" s="335">
        <f>IF(OR(D3589="",E3589=""),"",ROUND(D3589*E3589,2))</f>
        <v/>
      </c>
      <c r="G3589" s="106" t="n"/>
      <c r="H3589" s="350">
        <f>IF(G3589="Sim",IF(OR(F3589="",D3589="",L3589=""),"",IF(L3589="Sim",ROUND(F3589-D3589,2),0)),0)</f>
        <v/>
      </c>
      <c r="I3589" s="350">
        <f>IF(G3589="Sim",0,IF(OR(F3589="",L3589=""),"",F3589))</f>
        <v/>
      </c>
      <c r="J3589" s="350">
        <f>IF(G3589="Sim",0,IF(OR(F3589="",D3589="",L3589=""),"",IF(L3589="Sim",ROUND(F3589-D3589,2),0)))</f>
        <v/>
      </c>
      <c r="K3589" s="97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inlineStr">
        <is>
          <t>Nao</t>
        </is>
      </c>
      <c r="W3589" s="110" t="inlineStr">
        <is>
          <t>PC em analise</t>
        </is>
      </c>
      <c r="X3589" s="110" t="inlineStr">
        <is>
          <t>Pedido de Compra</t>
        </is>
      </c>
      <c r="Y3589" s="111" t="inlineStr">
        <is>
          <t>Impacto Potencial</t>
        </is>
      </c>
      <c r="Z3589" s="111" t="inlineStr">
        <is>
          <t>PC</t>
        </is>
      </c>
      <c r="AA3589" s="111" t="inlineStr">
        <is>
          <t>Nao</t>
        </is>
      </c>
      <c r="AB3589" s="111" t="inlineStr">
        <is>
          <t>NAO_COMPUTADO</t>
        </is>
      </c>
      <c r="AC3589" s="112" t="inlineStr">
        <is>
          <t>Estrutura Fase 1: sem impacto no VTA oficial</t>
        </is>
      </c>
    </row>
    <row r="3590" ht="25.5" customHeight="1" s="289">
      <c r="A3590" s="205" t="n"/>
      <c r="B3590" s="207" t="n"/>
      <c r="C3590" s="104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348" t="n"/>
      <c r="E3590" s="349">
        <f>IF(C3590="","",IFERROR(VLOOKUP(C3590,parametros!$A$11:$E$15,5,0),""))</f>
        <v/>
      </c>
      <c r="F3590" s="335">
        <f>IF(OR(D3590="",E3590=""),"",ROUND(D3590*E3590,2))</f>
        <v/>
      </c>
      <c r="G3590" s="106" t="n"/>
      <c r="H3590" s="350">
        <f>IF(G3590="Sim",IF(OR(F3590="",D3590="",L3590=""),"",IF(L3590="Sim",ROUND(F3590-D3590,2),0)),0)</f>
        <v/>
      </c>
      <c r="I3590" s="350">
        <f>IF(G3590="Sim",0,IF(OR(F3590="",L3590=""),"",F3590))</f>
        <v/>
      </c>
      <c r="J3590" s="350">
        <f>IF(G3590="Sim",0,IF(OR(F3590="",D3590="",L3590=""),"",IF(L3590="Sim",ROUND(F3590-D3590,2),0)))</f>
        <v/>
      </c>
      <c r="K3590" s="97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inlineStr">
        <is>
          <t>Nao</t>
        </is>
      </c>
      <c r="W3590" s="110" t="inlineStr">
        <is>
          <t>PC em analise</t>
        </is>
      </c>
      <c r="X3590" s="110" t="inlineStr">
        <is>
          <t>Pedido de Compra</t>
        </is>
      </c>
      <c r="Y3590" s="111" t="inlineStr">
        <is>
          <t>Impacto Potencial</t>
        </is>
      </c>
      <c r="Z3590" s="111" t="inlineStr">
        <is>
          <t>PC</t>
        </is>
      </c>
      <c r="AA3590" s="111" t="inlineStr">
        <is>
          <t>Nao</t>
        </is>
      </c>
      <c r="AB3590" s="111" t="inlineStr">
        <is>
          <t>NAO_COMPUTADO</t>
        </is>
      </c>
      <c r="AC3590" s="112" t="inlineStr">
        <is>
          <t>Estrutura Fase 1: sem impacto no VTA oficial</t>
        </is>
      </c>
    </row>
    <row r="3591" ht="25.5" customHeight="1" s="289">
      <c r="A3591" s="205" t="n"/>
      <c r="B3591" s="207" t="n"/>
      <c r="C3591" s="104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348" t="n"/>
      <c r="E3591" s="349">
        <f>IF(C3591="","",IFERROR(VLOOKUP(C3591,parametros!$A$11:$E$15,5,0),""))</f>
        <v/>
      </c>
      <c r="F3591" s="335">
        <f>IF(OR(D3591="",E3591=""),"",ROUND(D3591*E3591,2))</f>
        <v/>
      </c>
      <c r="G3591" s="106" t="n"/>
      <c r="H3591" s="350">
        <f>IF(G3591="Sim",IF(OR(F3591="",D3591="",L3591=""),"",IF(L3591="Sim",ROUND(F3591-D3591,2),0)),0)</f>
        <v/>
      </c>
      <c r="I3591" s="350">
        <f>IF(G3591="Sim",0,IF(OR(F3591="",L3591=""),"",F3591))</f>
        <v/>
      </c>
      <c r="J3591" s="350">
        <f>IF(G3591="Sim",0,IF(OR(F3591="",D3591="",L3591=""),"",IF(L3591="Sim",ROUND(F3591-D3591,2),0)))</f>
        <v/>
      </c>
      <c r="K3591" s="97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inlineStr">
        <is>
          <t>Nao</t>
        </is>
      </c>
      <c r="W3591" s="110" t="inlineStr">
        <is>
          <t>PC em analise</t>
        </is>
      </c>
      <c r="X3591" s="110" t="inlineStr">
        <is>
          <t>Pedido de Compra</t>
        </is>
      </c>
      <c r="Y3591" s="111" t="inlineStr">
        <is>
          <t>Impacto Potencial</t>
        </is>
      </c>
      <c r="Z3591" s="111" t="inlineStr">
        <is>
          <t>PC</t>
        </is>
      </c>
      <c r="AA3591" s="111" t="inlineStr">
        <is>
          <t>Nao</t>
        </is>
      </c>
      <c r="AB3591" s="111" t="inlineStr">
        <is>
          <t>NAO_COMPUTADO</t>
        </is>
      </c>
      <c r="AC3591" s="112" t="inlineStr">
        <is>
          <t>Estrutura Fase 1: sem impacto no VTA oficial</t>
        </is>
      </c>
    </row>
    <row r="3592" ht="25.5" customHeight="1" s="289">
      <c r="A3592" s="205" t="n"/>
      <c r="B3592" s="207" t="n"/>
      <c r="C3592" s="104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348" t="n"/>
      <c r="E3592" s="349">
        <f>IF(C3592="","",IFERROR(VLOOKUP(C3592,parametros!$A$11:$E$15,5,0),""))</f>
        <v/>
      </c>
      <c r="F3592" s="335">
        <f>IF(OR(D3592="",E3592=""),"",ROUND(D3592*E3592,2))</f>
        <v/>
      </c>
      <c r="G3592" s="106" t="n"/>
      <c r="H3592" s="350">
        <f>IF(G3592="Sim",IF(OR(F3592="",D3592="",L3592=""),"",IF(L3592="Sim",ROUND(F3592-D3592,2),0)),0)</f>
        <v/>
      </c>
      <c r="I3592" s="350">
        <f>IF(G3592="Sim",0,IF(OR(F3592="",L3592=""),"",F3592))</f>
        <v/>
      </c>
      <c r="J3592" s="350">
        <f>IF(G3592="Sim",0,IF(OR(F3592="",D3592="",L3592=""),"",IF(L3592="Sim",ROUND(F3592-D3592,2),0)))</f>
        <v/>
      </c>
      <c r="K3592" s="97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inlineStr">
        <is>
          <t>Nao</t>
        </is>
      </c>
      <c r="W3592" s="110" t="inlineStr">
        <is>
          <t>PC em analise</t>
        </is>
      </c>
      <c r="X3592" s="110" t="inlineStr">
        <is>
          <t>Pedido de Compra</t>
        </is>
      </c>
      <c r="Y3592" s="111" t="inlineStr">
        <is>
          <t>Impacto Potencial</t>
        </is>
      </c>
      <c r="Z3592" s="111" t="inlineStr">
        <is>
          <t>PC</t>
        </is>
      </c>
      <c r="AA3592" s="111" t="inlineStr">
        <is>
          <t>Nao</t>
        </is>
      </c>
      <c r="AB3592" s="111" t="inlineStr">
        <is>
          <t>NAO_COMPUTADO</t>
        </is>
      </c>
      <c r="AC3592" s="112" t="inlineStr">
        <is>
          <t>Estrutura Fase 1: sem impacto no VTA oficial</t>
        </is>
      </c>
    </row>
    <row r="3593" ht="25.5" customHeight="1" s="289">
      <c r="A3593" s="205" t="n"/>
      <c r="B3593" s="207" t="n"/>
      <c r="C3593" s="104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348" t="n"/>
      <c r="E3593" s="349">
        <f>IF(C3593="","",IFERROR(VLOOKUP(C3593,parametros!$A$11:$E$15,5,0),""))</f>
        <v/>
      </c>
      <c r="F3593" s="335">
        <f>IF(OR(D3593="",E3593=""),"",ROUND(D3593*E3593,2))</f>
        <v/>
      </c>
      <c r="G3593" s="106" t="n"/>
      <c r="H3593" s="350">
        <f>IF(G3593="Sim",IF(OR(F3593="",D3593="",L3593=""),"",IF(L3593="Sim",ROUND(F3593-D3593,2),0)),0)</f>
        <v/>
      </c>
      <c r="I3593" s="350">
        <f>IF(G3593="Sim",0,IF(OR(F3593="",L3593=""),"",F3593))</f>
        <v/>
      </c>
      <c r="J3593" s="350">
        <f>IF(G3593="Sim",0,IF(OR(F3593="",D3593="",L3593=""),"",IF(L3593="Sim",ROUND(F3593-D3593,2),0)))</f>
        <v/>
      </c>
      <c r="K3593" s="97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inlineStr">
        <is>
          <t>Nao</t>
        </is>
      </c>
      <c r="W3593" s="110" t="inlineStr">
        <is>
          <t>PC em analise</t>
        </is>
      </c>
      <c r="X3593" s="110" t="inlineStr">
        <is>
          <t>Pedido de Compra</t>
        </is>
      </c>
      <c r="Y3593" s="111" t="inlineStr">
        <is>
          <t>Impacto Potencial</t>
        </is>
      </c>
      <c r="Z3593" s="111" t="inlineStr">
        <is>
          <t>PC</t>
        </is>
      </c>
      <c r="AA3593" s="111" t="inlineStr">
        <is>
          <t>Nao</t>
        </is>
      </c>
      <c r="AB3593" s="111" t="inlineStr">
        <is>
          <t>NAO_COMPUTADO</t>
        </is>
      </c>
      <c r="AC3593" s="112" t="inlineStr">
        <is>
          <t>Estrutura Fase 1: sem impacto no VTA oficial</t>
        </is>
      </c>
    </row>
    <row r="3594" ht="25.5" customHeight="1" s="289">
      <c r="A3594" s="205" t="n"/>
      <c r="B3594" s="207" t="n"/>
      <c r="C3594" s="104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348" t="n"/>
      <c r="E3594" s="349">
        <f>IF(C3594="","",IFERROR(VLOOKUP(C3594,parametros!$A$11:$E$15,5,0),""))</f>
        <v/>
      </c>
      <c r="F3594" s="335">
        <f>IF(OR(D3594="",E3594=""),"",ROUND(D3594*E3594,2))</f>
        <v/>
      </c>
      <c r="G3594" s="106" t="n"/>
      <c r="H3594" s="350">
        <f>IF(G3594="Sim",IF(OR(F3594="",D3594="",L3594=""),"",IF(L3594="Sim",ROUND(F3594-D3594,2),0)),0)</f>
        <v/>
      </c>
      <c r="I3594" s="350">
        <f>IF(G3594="Sim",0,IF(OR(F3594="",L3594=""),"",F3594))</f>
        <v/>
      </c>
      <c r="J3594" s="350">
        <f>IF(G3594="Sim",0,IF(OR(F3594="",D3594="",L3594=""),"",IF(L3594="Sim",ROUND(F3594-D3594,2),0)))</f>
        <v/>
      </c>
      <c r="K3594" s="97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inlineStr">
        <is>
          <t>Nao</t>
        </is>
      </c>
      <c r="W3594" s="110" t="inlineStr">
        <is>
          <t>PC em analise</t>
        </is>
      </c>
      <c r="X3594" s="110" t="inlineStr">
        <is>
          <t>Pedido de Compra</t>
        </is>
      </c>
      <c r="Y3594" s="111" t="inlineStr">
        <is>
          <t>Impacto Potencial</t>
        </is>
      </c>
      <c r="Z3594" s="111" t="inlineStr">
        <is>
          <t>PC</t>
        </is>
      </c>
      <c r="AA3594" s="111" t="inlineStr">
        <is>
          <t>Nao</t>
        </is>
      </c>
      <c r="AB3594" s="111" t="inlineStr">
        <is>
          <t>NAO_COMPUTADO</t>
        </is>
      </c>
      <c r="AC3594" s="112" t="inlineStr">
        <is>
          <t>Estrutura Fase 1: sem impacto no VTA oficial</t>
        </is>
      </c>
    </row>
    <row r="3595" ht="25.5" customHeight="1" s="289">
      <c r="A3595" s="205" t="n"/>
      <c r="B3595" s="207" t="n"/>
      <c r="C3595" s="104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348" t="n"/>
      <c r="E3595" s="349">
        <f>IF(C3595="","",IFERROR(VLOOKUP(C3595,parametros!$A$11:$E$15,5,0),""))</f>
        <v/>
      </c>
      <c r="F3595" s="335">
        <f>IF(OR(D3595="",E3595=""),"",ROUND(D3595*E3595,2))</f>
        <v/>
      </c>
      <c r="G3595" s="106" t="n"/>
      <c r="H3595" s="350">
        <f>IF(G3595="Sim",IF(OR(F3595="",D3595="",L3595=""),"",IF(L3595="Sim",ROUND(F3595-D3595,2),0)),0)</f>
        <v/>
      </c>
      <c r="I3595" s="350">
        <f>IF(G3595="Sim",0,IF(OR(F3595="",L3595=""),"",F3595))</f>
        <v/>
      </c>
      <c r="J3595" s="350">
        <f>IF(G3595="Sim",0,IF(OR(F3595="",D3595="",L3595=""),"",IF(L3595="Sim",ROUND(F3595-D3595,2),0)))</f>
        <v/>
      </c>
      <c r="K3595" s="97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inlineStr">
        <is>
          <t>Nao</t>
        </is>
      </c>
      <c r="W3595" s="110" t="inlineStr">
        <is>
          <t>PC em analise</t>
        </is>
      </c>
      <c r="X3595" s="110" t="inlineStr">
        <is>
          <t>Pedido de Compra</t>
        </is>
      </c>
      <c r="Y3595" s="111" t="inlineStr">
        <is>
          <t>Impacto Potencial</t>
        </is>
      </c>
      <c r="Z3595" s="111" t="inlineStr">
        <is>
          <t>PC</t>
        </is>
      </c>
      <c r="AA3595" s="111" t="inlineStr">
        <is>
          <t>Nao</t>
        </is>
      </c>
      <c r="AB3595" s="111" t="inlineStr">
        <is>
          <t>NAO_COMPUTADO</t>
        </is>
      </c>
      <c r="AC3595" s="112" t="inlineStr">
        <is>
          <t>Estrutura Fase 1: sem impacto no VTA oficial</t>
        </is>
      </c>
    </row>
    <row r="3596" ht="25.5" customHeight="1" s="289">
      <c r="A3596" s="205" t="n"/>
      <c r="B3596" s="207" t="n"/>
      <c r="C3596" s="104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348" t="n"/>
      <c r="E3596" s="349">
        <f>IF(C3596="","",IFERROR(VLOOKUP(C3596,parametros!$A$11:$E$15,5,0),""))</f>
        <v/>
      </c>
      <c r="F3596" s="335">
        <f>IF(OR(D3596="",E3596=""),"",ROUND(D3596*E3596,2))</f>
        <v/>
      </c>
      <c r="G3596" s="106" t="n"/>
      <c r="H3596" s="350">
        <f>IF(G3596="Sim",IF(OR(F3596="",D3596="",L3596=""),"",IF(L3596="Sim",ROUND(F3596-D3596,2),0)),0)</f>
        <v/>
      </c>
      <c r="I3596" s="350">
        <f>IF(G3596="Sim",0,IF(OR(F3596="",L3596=""),"",F3596))</f>
        <v/>
      </c>
      <c r="J3596" s="350">
        <f>IF(G3596="Sim",0,IF(OR(F3596="",D3596="",L3596=""),"",IF(L3596="Sim",ROUND(F3596-D3596,2),0)))</f>
        <v/>
      </c>
      <c r="K3596" s="97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inlineStr">
        <is>
          <t>Nao</t>
        </is>
      </c>
      <c r="W3596" s="110" t="inlineStr">
        <is>
          <t>PC em analise</t>
        </is>
      </c>
      <c r="X3596" s="110" t="inlineStr">
        <is>
          <t>Pedido de Compra</t>
        </is>
      </c>
      <c r="Y3596" s="111" t="inlineStr">
        <is>
          <t>Impacto Potencial</t>
        </is>
      </c>
      <c r="Z3596" s="111" t="inlineStr">
        <is>
          <t>PC</t>
        </is>
      </c>
      <c r="AA3596" s="111" t="inlineStr">
        <is>
          <t>Nao</t>
        </is>
      </c>
      <c r="AB3596" s="111" t="inlineStr">
        <is>
          <t>NAO_COMPUTADO</t>
        </is>
      </c>
      <c r="AC3596" s="112" t="inlineStr">
        <is>
          <t>Estrutura Fase 1: sem impacto no VTA oficial</t>
        </is>
      </c>
    </row>
    <row r="3597" ht="25.5" customHeight="1" s="289">
      <c r="A3597" s="205" t="n"/>
      <c r="B3597" s="207" t="n"/>
      <c r="C3597" s="104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348" t="n"/>
      <c r="E3597" s="349">
        <f>IF(C3597="","",IFERROR(VLOOKUP(C3597,parametros!$A$11:$E$15,5,0),""))</f>
        <v/>
      </c>
      <c r="F3597" s="335">
        <f>IF(OR(D3597="",E3597=""),"",ROUND(D3597*E3597,2))</f>
        <v/>
      </c>
      <c r="G3597" s="106" t="n"/>
      <c r="H3597" s="350">
        <f>IF(G3597="Sim",IF(OR(F3597="",D3597="",L3597=""),"",IF(L3597="Sim",ROUND(F3597-D3597,2),0)),0)</f>
        <v/>
      </c>
      <c r="I3597" s="350">
        <f>IF(G3597="Sim",0,IF(OR(F3597="",L3597=""),"",F3597))</f>
        <v/>
      </c>
      <c r="J3597" s="350">
        <f>IF(G3597="Sim",0,IF(OR(F3597="",D3597="",L3597=""),"",IF(L3597="Sim",ROUND(F3597-D3597,2),0)))</f>
        <v/>
      </c>
      <c r="K3597" s="97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inlineStr">
        <is>
          <t>Nao</t>
        </is>
      </c>
      <c r="W3597" s="110" t="inlineStr">
        <is>
          <t>PC em analise</t>
        </is>
      </c>
      <c r="X3597" s="110" t="inlineStr">
        <is>
          <t>Pedido de Compra</t>
        </is>
      </c>
      <c r="Y3597" s="111" t="inlineStr">
        <is>
          <t>Impacto Potencial</t>
        </is>
      </c>
      <c r="Z3597" s="111" t="inlineStr">
        <is>
          <t>PC</t>
        </is>
      </c>
      <c r="AA3597" s="111" t="inlineStr">
        <is>
          <t>Nao</t>
        </is>
      </c>
      <c r="AB3597" s="111" t="inlineStr">
        <is>
          <t>NAO_COMPUTADO</t>
        </is>
      </c>
      <c r="AC3597" s="112" t="inlineStr">
        <is>
          <t>Estrutura Fase 1: sem impacto no VTA oficial</t>
        </is>
      </c>
    </row>
    <row r="3598" ht="25.5" customHeight="1" s="289">
      <c r="A3598" s="205" t="n"/>
      <c r="B3598" s="207" t="n"/>
      <c r="C3598" s="104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348" t="n"/>
      <c r="E3598" s="349">
        <f>IF(C3598="","",IFERROR(VLOOKUP(C3598,parametros!$A$11:$E$15,5,0),""))</f>
        <v/>
      </c>
      <c r="F3598" s="335">
        <f>IF(OR(D3598="",E3598=""),"",ROUND(D3598*E3598,2))</f>
        <v/>
      </c>
      <c r="G3598" s="106" t="n"/>
      <c r="H3598" s="350">
        <f>IF(G3598="Sim",IF(OR(F3598="",D3598="",L3598=""),"",IF(L3598="Sim",ROUND(F3598-D3598,2),0)),0)</f>
        <v/>
      </c>
      <c r="I3598" s="350">
        <f>IF(G3598="Sim",0,IF(OR(F3598="",L3598=""),"",F3598))</f>
        <v/>
      </c>
      <c r="J3598" s="350">
        <f>IF(G3598="Sim",0,IF(OR(F3598="",D3598="",L3598=""),"",IF(L3598="Sim",ROUND(F3598-D3598,2),0)))</f>
        <v/>
      </c>
      <c r="K3598" s="97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inlineStr">
        <is>
          <t>Nao</t>
        </is>
      </c>
      <c r="W3598" s="110" t="inlineStr">
        <is>
          <t>PC em analise</t>
        </is>
      </c>
      <c r="X3598" s="110" t="inlineStr">
        <is>
          <t>Pedido de Compra</t>
        </is>
      </c>
      <c r="Y3598" s="111" t="inlineStr">
        <is>
          <t>Impacto Potencial</t>
        </is>
      </c>
      <c r="Z3598" s="111" t="inlineStr">
        <is>
          <t>PC</t>
        </is>
      </c>
      <c r="AA3598" s="111" t="inlineStr">
        <is>
          <t>Nao</t>
        </is>
      </c>
      <c r="AB3598" s="111" t="inlineStr">
        <is>
          <t>NAO_COMPUTADO</t>
        </is>
      </c>
      <c r="AC3598" s="112" t="inlineStr">
        <is>
          <t>Estrutura Fase 1: sem impacto no VTA oficial</t>
        </is>
      </c>
    </row>
    <row r="3599" ht="25.5" customHeight="1" s="289">
      <c r="A3599" s="205" t="n"/>
      <c r="B3599" s="207" t="n"/>
      <c r="C3599" s="104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348" t="n"/>
      <c r="E3599" s="349">
        <f>IF(C3599="","",IFERROR(VLOOKUP(C3599,parametros!$A$11:$E$15,5,0),""))</f>
        <v/>
      </c>
      <c r="F3599" s="335">
        <f>IF(OR(D3599="",E3599=""),"",ROUND(D3599*E3599,2))</f>
        <v/>
      </c>
      <c r="G3599" s="106" t="n"/>
      <c r="H3599" s="350">
        <f>IF(G3599="Sim",IF(OR(F3599="",D3599="",L3599=""),"",IF(L3599="Sim",ROUND(F3599-D3599,2),0)),0)</f>
        <v/>
      </c>
      <c r="I3599" s="350">
        <f>IF(G3599="Sim",0,IF(OR(F3599="",L3599=""),"",F3599))</f>
        <v/>
      </c>
      <c r="J3599" s="350">
        <f>IF(G3599="Sim",0,IF(OR(F3599="",D3599="",L3599=""),"",IF(L3599="Sim",ROUND(F3599-D3599,2),0)))</f>
        <v/>
      </c>
      <c r="K3599" s="97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inlineStr">
        <is>
          <t>Nao</t>
        </is>
      </c>
      <c r="W3599" s="110" t="inlineStr">
        <is>
          <t>PC em analise</t>
        </is>
      </c>
      <c r="X3599" s="110" t="inlineStr">
        <is>
          <t>Pedido de Compra</t>
        </is>
      </c>
      <c r="Y3599" s="111" t="inlineStr">
        <is>
          <t>Impacto Potencial</t>
        </is>
      </c>
      <c r="Z3599" s="111" t="inlineStr">
        <is>
          <t>PC</t>
        </is>
      </c>
      <c r="AA3599" s="111" t="inlineStr">
        <is>
          <t>Nao</t>
        </is>
      </c>
      <c r="AB3599" s="111" t="inlineStr">
        <is>
          <t>NAO_COMPUTADO</t>
        </is>
      </c>
      <c r="AC3599" s="112" t="inlineStr">
        <is>
          <t>Estrutura Fase 1: sem impacto no VTA oficial</t>
        </is>
      </c>
    </row>
    <row r="3600" ht="25.5" customHeight="1" s="289">
      <c r="A3600" s="205" t="n"/>
      <c r="B3600" s="207" t="n"/>
      <c r="C3600" s="104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348" t="n"/>
      <c r="E3600" s="349">
        <f>IF(C3600="","",IFERROR(VLOOKUP(C3600,parametros!$A$11:$E$15,5,0),""))</f>
        <v/>
      </c>
      <c r="F3600" s="335">
        <f>IF(OR(D3600="",E3600=""),"",ROUND(D3600*E3600,2))</f>
        <v/>
      </c>
      <c r="G3600" s="106" t="n"/>
      <c r="H3600" s="350">
        <f>IF(G3600="Sim",IF(OR(F3600="",D3600="",L3600=""),"",IF(L3600="Sim",ROUND(F3600-D3600,2),0)),0)</f>
        <v/>
      </c>
      <c r="I3600" s="350">
        <f>IF(G3600="Sim",0,IF(OR(F3600="",L3600=""),"",F3600))</f>
        <v/>
      </c>
      <c r="J3600" s="350">
        <f>IF(G3600="Sim",0,IF(OR(F3600="",D3600="",L3600=""),"",IF(L3600="Sim",ROUND(F3600-D3600,2),0)))</f>
        <v/>
      </c>
      <c r="K3600" s="97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inlineStr">
        <is>
          <t>Nao</t>
        </is>
      </c>
      <c r="W3600" s="110" t="inlineStr">
        <is>
          <t>PC em analise</t>
        </is>
      </c>
      <c r="X3600" s="110" t="inlineStr">
        <is>
          <t>Pedido de Compra</t>
        </is>
      </c>
      <c r="Y3600" s="111" t="inlineStr">
        <is>
          <t>Impacto Potencial</t>
        </is>
      </c>
      <c r="Z3600" s="111" t="inlineStr">
        <is>
          <t>PC</t>
        </is>
      </c>
      <c r="AA3600" s="111" t="inlineStr">
        <is>
          <t>Nao</t>
        </is>
      </c>
      <c r="AB3600" s="111" t="inlineStr">
        <is>
          <t>NAO_COMPUTADO</t>
        </is>
      </c>
      <c r="AC3600" s="112" t="inlineStr">
        <is>
          <t>Estrutura Fase 1: sem impacto no VTA oficial</t>
        </is>
      </c>
    </row>
    <row r="3601" ht="25.5" customHeight="1" s="289">
      <c r="A3601" s="205" t="n"/>
      <c r="B3601" s="207" t="n"/>
      <c r="C3601" s="104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348" t="n"/>
      <c r="E3601" s="349">
        <f>IF(C3601="","",IFERROR(VLOOKUP(C3601,parametros!$A$11:$E$15,5,0),""))</f>
        <v/>
      </c>
      <c r="F3601" s="335">
        <f>IF(OR(D3601="",E3601=""),"",ROUND(D3601*E3601,2))</f>
        <v/>
      </c>
      <c r="G3601" s="106" t="n"/>
      <c r="H3601" s="350">
        <f>IF(G3601="Sim",IF(OR(F3601="",D3601="",L3601=""),"",IF(L3601="Sim",ROUND(F3601-D3601,2),0)),0)</f>
        <v/>
      </c>
      <c r="I3601" s="350">
        <f>IF(G3601="Sim",0,IF(OR(F3601="",L3601=""),"",F3601))</f>
        <v/>
      </c>
      <c r="J3601" s="350">
        <f>IF(G3601="Sim",0,IF(OR(F3601="",D3601="",L3601=""),"",IF(L3601="Sim",ROUND(F3601-D3601,2),0)))</f>
        <v/>
      </c>
      <c r="K3601" s="97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inlineStr">
        <is>
          <t>Nao</t>
        </is>
      </c>
      <c r="W3601" s="110" t="inlineStr">
        <is>
          <t>PC em analise</t>
        </is>
      </c>
      <c r="X3601" s="110" t="inlineStr">
        <is>
          <t>Pedido de Compra</t>
        </is>
      </c>
      <c r="Y3601" s="111" t="inlineStr">
        <is>
          <t>Impacto Potencial</t>
        </is>
      </c>
      <c r="Z3601" s="111" t="inlineStr">
        <is>
          <t>PC</t>
        </is>
      </c>
      <c r="AA3601" s="111" t="inlineStr">
        <is>
          <t>Nao</t>
        </is>
      </c>
      <c r="AB3601" s="111" t="inlineStr">
        <is>
          <t>NAO_COMPUTADO</t>
        </is>
      </c>
      <c r="AC3601" s="112" t="inlineStr">
        <is>
          <t>Estrutura Fase 1: sem impacto no VTA oficial</t>
        </is>
      </c>
    </row>
    <row r="3602" ht="25.5" customHeight="1" s="289">
      <c r="A3602" s="205" t="n"/>
      <c r="B3602" s="207" t="n"/>
      <c r="C3602" s="104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348" t="n"/>
      <c r="E3602" s="349">
        <f>IF(C3602="","",IFERROR(VLOOKUP(C3602,parametros!$A$11:$E$15,5,0),""))</f>
        <v/>
      </c>
      <c r="F3602" s="335">
        <f>IF(OR(D3602="",E3602=""),"",ROUND(D3602*E3602,2))</f>
        <v/>
      </c>
      <c r="G3602" s="106" t="n"/>
      <c r="H3602" s="350">
        <f>IF(G3602="Sim",IF(OR(F3602="",D3602="",L3602=""),"",IF(L3602="Sim",ROUND(F3602-D3602,2),0)),0)</f>
        <v/>
      </c>
      <c r="I3602" s="350">
        <f>IF(G3602="Sim",0,IF(OR(F3602="",L3602=""),"",F3602))</f>
        <v/>
      </c>
      <c r="J3602" s="350">
        <f>IF(G3602="Sim",0,IF(OR(F3602="",D3602="",L3602=""),"",IF(L3602="Sim",ROUND(F3602-D3602,2),0)))</f>
        <v/>
      </c>
      <c r="K3602" s="97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inlineStr">
        <is>
          <t>Nao</t>
        </is>
      </c>
      <c r="W3602" s="110" t="inlineStr">
        <is>
          <t>PC em analise</t>
        </is>
      </c>
      <c r="X3602" s="110" t="inlineStr">
        <is>
          <t>Pedido de Compra</t>
        </is>
      </c>
      <c r="Y3602" s="111" t="inlineStr">
        <is>
          <t>Impacto Potencial</t>
        </is>
      </c>
      <c r="Z3602" s="111" t="inlineStr">
        <is>
          <t>PC</t>
        </is>
      </c>
      <c r="AA3602" s="111" t="inlineStr">
        <is>
          <t>Nao</t>
        </is>
      </c>
      <c r="AB3602" s="111" t="inlineStr">
        <is>
          <t>NAO_COMPUTADO</t>
        </is>
      </c>
      <c r="AC3602" s="112" t="inlineStr">
        <is>
          <t>Estrutura Fase 1: sem impacto no VTA oficial</t>
        </is>
      </c>
    </row>
    <row r="3603" ht="25.5" customHeight="1" s="289">
      <c r="A3603" s="205" t="n"/>
      <c r="B3603" s="207" t="n"/>
      <c r="C3603" s="104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348" t="n"/>
      <c r="E3603" s="349">
        <f>IF(C3603="","",IFERROR(VLOOKUP(C3603,parametros!$A$11:$E$15,5,0),""))</f>
        <v/>
      </c>
      <c r="F3603" s="335">
        <f>IF(OR(D3603="",E3603=""),"",ROUND(D3603*E3603,2))</f>
        <v/>
      </c>
      <c r="G3603" s="106" t="n"/>
      <c r="H3603" s="350">
        <f>IF(G3603="Sim",IF(OR(F3603="",D3603="",L3603=""),"",IF(L3603="Sim",ROUND(F3603-D3603,2),0)),0)</f>
        <v/>
      </c>
      <c r="I3603" s="350">
        <f>IF(G3603="Sim",0,IF(OR(F3603="",L3603=""),"",F3603))</f>
        <v/>
      </c>
      <c r="J3603" s="350">
        <f>IF(G3603="Sim",0,IF(OR(F3603="",D3603="",L3603=""),"",IF(L3603="Sim",ROUND(F3603-D3603,2),0)))</f>
        <v/>
      </c>
      <c r="K3603" s="97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inlineStr">
        <is>
          <t>Nao</t>
        </is>
      </c>
      <c r="W3603" s="110" t="inlineStr">
        <is>
          <t>PC em analise</t>
        </is>
      </c>
      <c r="X3603" s="110" t="inlineStr">
        <is>
          <t>Pedido de Compra</t>
        </is>
      </c>
      <c r="Y3603" s="111" t="inlineStr">
        <is>
          <t>Impacto Potencial</t>
        </is>
      </c>
      <c r="Z3603" s="111" t="inlineStr">
        <is>
          <t>PC</t>
        </is>
      </c>
      <c r="AA3603" s="111" t="inlineStr">
        <is>
          <t>Nao</t>
        </is>
      </c>
      <c r="AB3603" s="111" t="inlineStr">
        <is>
          <t>NAO_COMPUTADO</t>
        </is>
      </c>
      <c r="AC3603" s="112" t="inlineStr">
        <is>
          <t>Estrutura Fase 1: sem impacto no VTA oficial</t>
        </is>
      </c>
    </row>
    <row r="3604" ht="25.5" customHeight="1" s="289">
      <c r="A3604" s="205" t="n"/>
      <c r="B3604" s="207" t="n"/>
      <c r="C3604" s="104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348" t="n"/>
      <c r="E3604" s="349">
        <f>IF(C3604="","",IFERROR(VLOOKUP(C3604,parametros!$A$11:$E$15,5,0),""))</f>
        <v/>
      </c>
      <c r="F3604" s="335">
        <f>IF(OR(D3604="",E3604=""),"",ROUND(D3604*E3604,2))</f>
        <v/>
      </c>
      <c r="G3604" s="106" t="n"/>
      <c r="H3604" s="350">
        <f>IF(G3604="Sim",IF(OR(F3604="",D3604="",L3604=""),"",IF(L3604="Sim",ROUND(F3604-D3604,2),0)),0)</f>
        <v/>
      </c>
      <c r="I3604" s="350">
        <f>IF(G3604="Sim",0,IF(OR(F3604="",L3604=""),"",F3604))</f>
        <v/>
      </c>
      <c r="J3604" s="350">
        <f>IF(G3604="Sim",0,IF(OR(F3604="",D3604="",L3604=""),"",IF(L3604="Sim",ROUND(F3604-D3604,2),0)))</f>
        <v/>
      </c>
      <c r="K3604" s="97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inlineStr">
        <is>
          <t>Nao</t>
        </is>
      </c>
      <c r="W3604" s="110" t="inlineStr">
        <is>
          <t>PC em analise</t>
        </is>
      </c>
      <c r="X3604" s="110" t="inlineStr">
        <is>
          <t>Pedido de Compra</t>
        </is>
      </c>
      <c r="Y3604" s="111" t="inlineStr">
        <is>
          <t>Impacto Potencial</t>
        </is>
      </c>
      <c r="Z3604" s="111" t="inlineStr">
        <is>
          <t>PC</t>
        </is>
      </c>
      <c r="AA3604" s="111" t="inlineStr">
        <is>
          <t>Nao</t>
        </is>
      </c>
      <c r="AB3604" s="111" t="inlineStr">
        <is>
          <t>NAO_COMPUTADO</t>
        </is>
      </c>
      <c r="AC3604" s="112" t="inlineStr">
        <is>
          <t>Estrutura Fase 1: sem impacto no VTA oficial</t>
        </is>
      </c>
    </row>
    <row r="3605" ht="25.5" customHeight="1" s="289">
      <c r="A3605" s="205" t="n"/>
      <c r="B3605" s="207" t="n"/>
      <c r="C3605" s="104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348" t="n"/>
      <c r="E3605" s="349">
        <f>IF(C3605="","",IFERROR(VLOOKUP(C3605,parametros!$A$11:$E$15,5,0),""))</f>
        <v/>
      </c>
      <c r="F3605" s="335">
        <f>IF(OR(D3605="",E3605=""),"",ROUND(D3605*E3605,2))</f>
        <v/>
      </c>
      <c r="G3605" s="106" t="n"/>
      <c r="H3605" s="350">
        <f>IF(G3605="Sim",IF(OR(F3605="",D3605="",L3605=""),"",IF(L3605="Sim",ROUND(F3605-D3605,2),0)),0)</f>
        <v/>
      </c>
      <c r="I3605" s="350">
        <f>IF(G3605="Sim",0,IF(OR(F3605="",L3605=""),"",F3605))</f>
        <v/>
      </c>
      <c r="J3605" s="350">
        <f>IF(G3605="Sim",0,IF(OR(F3605="",D3605="",L3605=""),"",IF(L3605="Sim",ROUND(F3605-D3605,2),0)))</f>
        <v/>
      </c>
      <c r="K3605" s="97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inlineStr">
        <is>
          <t>Nao</t>
        </is>
      </c>
      <c r="W3605" s="110" t="inlineStr">
        <is>
          <t>PC em analise</t>
        </is>
      </c>
      <c r="X3605" s="110" t="inlineStr">
        <is>
          <t>Pedido de Compra</t>
        </is>
      </c>
      <c r="Y3605" s="111" t="inlineStr">
        <is>
          <t>Impacto Potencial</t>
        </is>
      </c>
      <c r="Z3605" s="111" t="inlineStr">
        <is>
          <t>PC</t>
        </is>
      </c>
      <c r="AA3605" s="111" t="inlineStr">
        <is>
          <t>Nao</t>
        </is>
      </c>
      <c r="AB3605" s="111" t="inlineStr">
        <is>
          <t>NAO_COMPUTADO</t>
        </is>
      </c>
      <c r="AC3605" s="112" t="inlineStr">
        <is>
          <t>Estrutura Fase 1: sem impacto no VTA oficial</t>
        </is>
      </c>
    </row>
    <row r="3606" ht="25.5" customHeight="1" s="289">
      <c r="A3606" s="205" t="n"/>
      <c r="B3606" s="207" t="n"/>
      <c r="C3606" s="104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348" t="n"/>
      <c r="E3606" s="349">
        <f>IF(C3606="","",IFERROR(VLOOKUP(C3606,parametros!$A$11:$E$15,5,0),""))</f>
        <v/>
      </c>
      <c r="F3606" s="335">
        <f>IF(OR(D3606="",E3606=""),"",ROUND(D3606*E3606,2))</f>
        <v/>
      </c>
      <c r="G3606" s="106" t="n"/>
      <c r="H3606" s="350">
        <f>IF(G3606="Sim",IF(OR(F3606="",D3606="",L3606=""),"",IF(L3606="Sim",ROUND(F3606-D3606,2),0)),0)</f>
        <v/>
      </c>
      <c r="I3606" s="350">
        <f>IF(G3606="Sim",0,IF(OR(F3606="",L3606=""),"",F3606))</f>
        <v/>
      </c>
      <c r="J3606" s="350">
        <f>IF(G3606="Sim",0,IF(OR(F3606="",D3606="",L3606=""),"",IF(L3606="Sim",ROUND(F3606-D3606,2),0)))</f>
        <v/>
      </c>
      <c r="K3606" s="97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inlineStr">
        <is>
          <t>Nao</t>
        </is>
      </c>
      <c r="W3606" s="110" t="inlineStr">
        <is>
          <t>PC em analise</t>
        </is>
      </c>
      <c r="X3606" s="110" t="inlineStr">
        <is>
          <t>Pedido de Compra</t>
        </is>
      </c>
      <c r="Y3606" s="111" t="inlineStr">
        <is>
          <t>Impacto Potencial</t>
        </is>
      </c>
      <c r="Z3606" s="111" t="inlineStr">
        <is>
          <t>PC</t>
        </is>
      </c>
      <c r="AA3606" s="111" t="inlineStr">
        <is>
          <t>Nao</t>
        </is>
      </c>
      <c r="AB3606" s="111" t="inlineStr">
        <is>
          <t>NAO_COMPUTADO</t>
        </is>
      </c>
      <c r="AC3606" s="112" t="inlineStr">
        <is>
          <t>Estrutura Fase 1: sem impacto no VTA oficial</t>
        </is>
      </c>
    </row>
    <row r="3607" ht="25.5" customHeight="1" s="289">
      <c r="A3607" s="205" t="n"/>
      <c r="B3607" s="207" t="n"/>
      <c r="C3607" s="104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348" t="n"/>
      <c r="E3607" s="349">
        <f>IF(C3607="","",IFERROR(VLOOKUP(C3607,parametros!$A$11:$E$15,5,0),""))</f>
        <v/>
      </c>
      <c r="F3607" s="335">
        <f>IF(OR(D3607="",E3607=""),"",ROUND(D3607*E3607,2))</f>
        <v/>
      </c>
      <c r="G3607" s="106" t="n"/>
      <c r="H3607" s="350">
        <f>IF(G3607="Sim",IF(OR(F3607="",D3607="",L3607=""),"",IF(L3607="Sim",ROUND(F3607-D3607,2),0)),0)</f>
        <v/>
      </c>
      <c r="I3607" s="350">
        <f>IF(G3607="Sim",0,IF(OR(F3607="",L3607=""),"",F3607))</f>
        <v/>
      </c>
      <c r="J3607" s="350">
        <f>IF(G3607="Sim",0,IF(OR(F3607="",D3607="",L3607=""),"",IF(L3607="Sim",ROUND(F3607-D3607,2),0)))</f>
        <v/>
      </c>
      <c r="K3607" s="97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inlineStr">
        <is>
          <t>Nao</t>
        </is>
      </c>
      <c r="W3607" s="110" t="inlineStr">
        <is>
          <t>PC em analise</t>
        </is>
      </c>
      <c r="X3607" s="110" t="inlineStr">
        <is>
          <t>Pedido de Compra</t>
        </is>
      </c>
      <c r="Y3607" s="111" t="inlineStr">
        <is>
          <t>Impacto Potencial</t>
        </is>
      </c>
      <c r="Z3607" s="111" t="inlineStr">
        <is>
          <t>PC</t>
        </is>
      </c>
      <c r="AA3607" s="111" t="inlineStr">
        <is>
          <t>Nao</t>
        </is>
      </c>
      <c r="AB3607" s="111" t="inlineStr">
        <is>
          <t>NAO_COMPUTADO</t>
        </is>
      </c>
      <c r="AC3607" s="112" t="inlineStr">
        <is>
          <t>Estrutura Fase 1: sem impacto no VTA oficial</t>
        </is>
      </c>
    </row>
    <row r="3608" ht="25.5" customHeight="1" s="289">
      <c r="A3608" s="205" t="n"/>
      <c r="B3608" s="207" t="n"/>
      <c r="C3608" s="104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348" t="n"/>
      <c r="E3608" s="349">
        <f>IF(C3608="","",IFERROR(VLOOKUP(C3608,parametros!$A$11:$E$15,5,0),""))</f>
        <v/>
      </c>
      <c r="F3608" s="335">
        <f>IF(OR(D3608="",E3608=""),"",ROUND(D3608*E3608,2))</f>
        <v/>
      </c>
      <c r="G3608" s="106" t="n"/>
      <c r="H3608" s="350">
        <f>IF(G3608="Sim",IF(OR(F3608="",D3608="",L3608=""),"",IF(L3608="Sim",ROUND(F3608-D3608,2),0)),0)</f>
        <v/>
      </c>
      <c r="I3608" s="350">
        <f>IF(G3608="Sim",0,IF(OR(F3608="",L3608=""),"",F3608))</f>
        <v/>
      </c>
      <c r="J3608" s="350">
        <f>IF(G3608="Sim",0,IF(OR(F3608="",D3608="",L3608=""),"",IF(L3608="Sim",ROUND(F3608-D3608,2),0)))</f>
        <v/>
      </c>
      <c r="K3608" s="97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inlineStr">
        <is>
          <t>Nao</t>
        </is>
      </c>
      <c r="W3608" s="110" t="inlineStr">
        <is>
          <t>PC em analise</t>
        </is>
      </c>
      <c r="X3608" s="110" t="inlineStr">
        <is>
          <t>Pedido de Compra</t>
        </is>
      </c>
      <c r="Y3608" s="111" t="inlineStr">
        <is>
          <t>Impacto Potencial</t>
        </is>
      </c>
      <c r="Z3608" s="111" t="inlineStr">
        <is>
          <t>PC</t>
        </is>
      </c>
      <c r="AA3608" s="111" t="inlineStr">
        <is>
          <t>Nao</t>
        </is>
      </c>
      <c r="AB3608" s="111" t="inlineStr">
        <is>
          <t>NAO_COMPUTADO</t>
        </is>
      </c>
      <c r="AC3608" s="112" t="inlineStr">
        <is>
          <t>Estrutura Fase 1: sem impacto no VTA oficial</t>
        </is>
      </c>
    </row>
    <row r="3609" ht="25.5" customHeight="1" s="289">
      <c r="A3609" s="205" t="n"/>
      <c r="B3609" s="207" t="n"/>
      <c r="C3609" s="104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348" t="n"/>
      <c r="E3609" s="349">
        <f>IF(C3609="","",IFERROR(VLOOKUP(C3609,parametros!$A$11:$E$15,5,0),""))</f>
        <v/>
      </c>
      <c r="F3609" s="335">
        <f>IF(OR(D3609="",E3609=""),"",ROUND(D3609*E3609,2))</f>
        <v/>
      </c>
      <c r="G3609" s="106" t="n"/>
      <c r="H3609" s="350">
        <f>IF(G3609="Sim",IF(OR(F3609="",D3609="",L3609=""),"",IF(L3609="Sim",ROUND(F3609-D3609,2),0)),0)</f>
        <v/>
      </c>
      <c r="I3609" s="350">
        <f>IF(G3609="Sim",0,IF(OR(F3609="",L3609=""),"",F3609))</f>
        <v/>
      </c>
      <c r="J3609" s="350">
        <f>IF(G3609="Sim",0,IF(OR(F3609="",D3609="",L3609=""),"",IF(L3609="Sim",ROUND(F3609-D3609,2),0)))</f>
        <v/>
      </c>
      <c r="K3609" s="97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inlineStr">
        <is>
          <t>Nao</t>
        </is>
      </c>
      <c r="W3609" s="110" t="inlineStr">
        <is>
          <t>PC em analise</t>
        </is>
      </c>
      <c r="X3609" s="110" t="inlineStr">
        <is>
          <t>Pedido de Compra</t>
        </is>
      </c>
      <c r="Y3609" s="111" t="inlineStr">
        <is>
          <t>Impacto Potencial</t>
        </is>
      </c>
      <c r="Z3609" s="111" t="inlineStr">
        <is>
          <t>PC</t>
        </is>
      </c>
      <c r="AA3609" s="111" t="inlineStr">
        <is>
          <t>Nao</t>
        </is>
      </c>
      <c r="AB3609" s="111" t="inlineStr">
        <is>
          <t>NAO_COMPUTADO</t>
        </is>
      </c>
      <c r="AC3609" s="112" t="inlineStr">
        <is>
          <t>Estrutura Fase 1: sem impacto no VTA oficial</t>
        </is>
      </c>
    </row>
    <row r="3610" ht="25.5" customHeight="1" s="289">
      <c r="A3610" s="205" t="n"/>
      <c r="B3610" s="207" t="n"/>
      <c r="C3610" s="104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348" t="n"/>
      <c r="E3610" s="349">
        <f>IF(C3610="","",IFERROR(VLOOKUP(C3610,parametros!$A$11:$E$15,5,0),""))</f>
        <v/>
      </c>
      <c r="F3610" s="335">
        <f>IF(OR(D3610="",E3610=""),"",ROUND(D3610*E3610,2))</f>
        <v/>
      </c>
      <c r="G3610" s="106" t="n"/>
      <c r="H3610" s="350">
        <f>IF(G3610="Sim",IF(OR(F3610="",D3610="",L3610=""),"",IF(L3610="Sim",ROUND(F3610-D3610,2),0)),0)</f>
        <v/>
      </c>
      <c r="I3610" s="350">
        <f>IF(G3610="Sim",0,IF(OR(F3610="",L3610=""),"",F3610))</f>
        <v/>
      </c>
      <c r="J3610" s="350">
        <f>IF(G3610="Sim",0,IF(OR(F3610="",D3610="",L3610=""),"",IF(L3610="Sim",ROUND(F3610-D3610,2),0)))</f>
        <v/>
      </c>
      <c r="K3610" s="97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inlineStr">
        <is>
          <t>Nao</t>
        </is>
      </c>
      <c r="W3610" s="110" t="inlineStr">
        <is>
          <t>PC em analise</t>
        </is>
      </c>
      <c r="X3610" s="110" t="inlineStr">
        <is>
          <t>Pedido de Compra</t>
        </is>
      </c>
      <c r="Y3610" s="111" t="inlineStr">
        <is>
          <t>Impacto Potencial</t>
        </is>
      </c>
      <c r="Z3610" s="111" t="inlineStr">
        <is>
          <t>PC</t>
        </is>
      </c>
      <c r="AA3610" s="111" t="inlineStr">
        <is>
          <t>Nao</t>
        </is>
      </c>
      <c r="AB3610" s="111" t="inlineStr">
        <is>
          <t>NAO_COMPUTADO</t>
        </is>
      </c>
      <c r="AC3610" s="112" t="inlineStr">
        <is>
          <t>Estrutura Fase 1: sem impacto no VTA oficial</t>
        </is>
      </c>
    </row>
    <row r="3611" ht="25.5" customHeight="1" s="289">
      <c r="A3611" s="205" t="n"/>
      <c r="B3611" s="207" t="n"/>
      <c r="C3611" s="104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348" t="n"/>
      <c r="E3611" s="349">
        <f>IF(C3611="","",IFERROR(VLOOKUP(C3611,parametros!$A$11:$E$15,5,0),""))</f>
        <v/>
      </c>
      <c r="F3611" s="335">
        <f>IF(OR(D3611="",E3611=""),"",ROUND(D3611*E3611,2))</f>
        <v/>
      </c>
      <c r="G3611" s="106" t="n"/>
      <c r="H3611" s="350">
        <f>IF(G3611="Sim",IF(OR(F3611="",D3611="",L3611=""),"",IF(L3611="Sim",ROUND(F3611-D3611,2),0)),0)</f>
        <v/>
      </c>
      <c r="I3611" s="350">
        <f>IF(G3611="Sim",0,IF(OR(F3611="",L3611=""),"",F3611))</f>
        <v/>
      </c>
      <c r="J3611" s="350">
        <f>IF(G3611="Sim",0,IF(OR(F3611="",D3611="",L3611=""),"",IF(L3611="Sim",ROUND(F3611-D3611,2),0)))</f>
        <v/>
      </c>
      <c r="K3611" s="97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inlineStr">
        <is>
          <t>Nao</t>
        </is>
      </c>
      <c r="W3611" s="110" t="inlineStr">
        <is>
          <t>PC em analise</t>
        </is>
      </c>
      <c r="X3611" s="110" t="inlineStr">
        <is>
          <t>Pedido de Compra</t>
        </is>
      </c>
      <c r="Y3611" s="111" t="inlineStr">
        <is>
          <t>Impacto Potencial</t>
        </is>
      </c>
      <c r="Z3611" s="111" t="inlineStr">
        <is>
          <t>PC</t>
        </is>
      </c>
      <c r="AA3611" s="111" t="inlineStr">
        <is>
          <t>Nao</t>
        </is>
      </c>
      <c r="AB3611" s="111" t="inlineStr">
        <is>
          <t>NAO_COMPUTADO</t>
        </is>
      </c>
      <c r="AC3611" s="112" t="inlineStr">
        <is>
          <t>Estrutura Fase 1: sem impacto no VTA oficial</t>
        </is>
      </c>
    </row>
    <row r="3612" ht="25.5" customHeight="1" s="289">
      <c r="A3612" s="205" t="n"/>
      <c r="B3612" s="207" t="n"/>
      <c r="C3612" s="104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348" t="n"/>
      <c r="E3612" s="349">
        <f>IF(C3612="","",IFERROR(VLOOKUP(C3612,parametros!$A$11:$E$15,5,0),""))</f>
        <v/>
      </c>
      <c r="F3612" s="335">
        <f>IF(OR(D3612="",E3612=""),"",ROUND(D3612*E3612,2))</f>
        <v/>
      </c>
      <c r="G3612" s="106" t="n"/>
      <c r="H3612" s="350">
        <f>IF(G3612="Sim",IF(OR(F3612="",D3612="",L3612=""),"",IF(L3612="Sim",ROUND(F3612-D3612,2),0)),0)</f>
        <v/>
      </c>
      <c r="I3612" s="350">
        <f>IF(G3612="Sim",0,IF(OR(F3612="",L3612=""),"",F3612))</f>
        <v/>
      </c>
      <c r="J3612" s="350">
        <f>IF(G3612="Sim",0,IF(OR(F3612="",D3612="",L3612=""),"",IF(L3612="Sim",ROUND(F3612-D3612,2),0)))</f>
        <v/>
      </c>
      <c r="K3612" s="97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inlineStr">
        <is>
          <t>Nao</t>
        </is>
      </c>
      <c r="W3612" s="110" t="inlineStr">
        <is>
          <t>PC em analise</t>
        </is>
      </c>
      <c r="X3612" s="110" t="inlineStr">
        <is>
          <t>Pedido de Compra</t>
        </is>
      </c>
      <c r="Y3612" s="111" t="inlineStr">
        <is>
          <t>Impacto Potencial</t>
        </is>
      </c>
      <c r="Z3612" s="111" t="inlineStr">
        <is>
          <t>PC</t>
        </is>
      </c>
      <c r="AA3612" s="111" t="inlineStr">
        <is>
          <t>Nao</t>
        </is>
      </c>
      <c r="AB3612" s="111" t="inlineStr">
        <is>
          <t>NAO_COMPUTADO</t>
        </is>
      </c>
      <c r="AC3612" s="112" t="inlineStr">
        <is>
          <t>Estrutura Fase 1: sem impacto no VTA oficial</t>
        </is>
      </c>
    </row>
    <row r="3613" ht="25.5" customHeight="1" s="289">
      <c r="A3613" s="205" t="n"/>
      <c r="B3613" s="207" t="n"/>
      <c r="C3613" s="104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348" t="n"/>
      <c r="E3613" s="349">
        <f>IF(C3613="","",IFERROR(VLOOKUP(C3613,parametros!$A$11:$E$15,5,0),""))</f>
        <v/>
      </c>
      <c r="F3613" s="335">
        <f>IF(OR(D3613="",E3613=""),"",ROUND(D3613*E3613,2))</f>
        <v/>
      </c>
      <c r="G3613" s="106" t="n"/>
      <c r="H3613" s="350">
        <f>IF(G3613="Sim",IF(OR(F3613="",D3613="",L3613=""),"",IF(L3613="Sim",ROUND(F3613-D3613,2),0)),0)</f>
        <v/>
      </c>
      <c r="I3613" s="350">
        <f>IF(G3613="Sim",0,IF(OR(F3613="",L3613=""),"",F3613))</f>
        <v/>
      </c>
      <c r="J3613" s="350">
        <f>IF(G3613="Sim",0,IF(OR(F3613="",D3613="",L3613=""),"",IF(L3613="Sim",ROUND(F3613-D3613,2),0)))</f>
        <v/>
      </c>
      <c r="K3613" s="97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inlineStr">
        <is>
          <t>Nao</t>
        </is>
      </c>
      <c r="W3613" s="110" t="inlineStr">
        <is>
          <t>PC em analise</t>
        </is>
      </c>
      <c r="X3613" s="110" t="inlineStr">
        <is>
          <t>Pedido de Compra</t>
        </is>
      </c>
      <c r="Y3613" s="111" t="inlineStr">
        <is>
          <t>Impacto Potencial</t>
        </is>
      </c>
      <c r="Z3613" s="111" t="inlineStr">
        <is>
          <t>PC</t>
        </is>
      </c>
      <c r="AA3613" s="111" t="inlineStr">
        <is>
          <t>Nao</t>
        </is>
      </c>
      <c r="AB3613" s="111" t="inlineStr">
        <is>
          <t>NAO_COMPUTADO</t>
        </is>
      </c>
      <c r="AC3613" s="112" t="inlineStr">
        <is>
          <t>Estrutura Fase 1: sem impacto no VTA oficial</t>
        </is>
      </c>
    </row>
    <row r="3614" ht="25.5" customHeight="1" s="289">
      <c r="A3614" s="205" t="n"/>
      <c r="B3614" s="207" t="n"/>
      <c r="C3614" s="104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348" t="n"/>
      <c r="E3614" s="349">
        <f>IF(C3614="","",IFERROR(VLOOKUP(C3614,parametros!$A$11:$E$15,5,0),""))</f>
        <v/>
      </c>
      <c r="F3614" s="335">
        <f>IF(OR(D3614="",E3614=""),"",ROUND(D3614*E3614,2))</f>
        <v/>
      </c>
      <c r="G3614" s="106" t="n"/>
      <c r="H3614" s="350">
        <f>IF(G3614="Sim",IF(OR(F3614="",D3614="",L3614=""),"",IF(L3614="Sim",ROUND(F3614-D3614,2),0)),0)</f>
        <v/>
      </c>
      <c r="I3614" s="350">
        <f>IF(G3614="Sim",0,IF(OR(F3614="",L3614=""),"",F3614))</f>
        <v/>
      </c>
      <c r="J3614" s="350">
        <f>IF(G3614="Sim",0,IF(OR(F3614="",D3614="",L3614=""),"",IF(L3614="Sim",ROUND(F3614-D3614,2),0)))</f>
        <v/>
      </c>
      <c r="K3614" s="97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inlineStr">
        <is>
          <t>Nao</t>
        </is>
      </c>
      <c r="W3614" s="110" t="inlineStr">
        <is>
          <t>PC em analise</t>
        </is>
      </c>
      <c r="X3614" s="110" t="inlineStr">
        <is>
          <t>Pedido de Compra</t>
        </is>
      </c>
      <c r="Y3614" s="111" t="inlineStr">
        <is>
          <t>Impacto Potencial</t>
        </is>
      </c>
      <c r="Z3614" s="111" t="inlineStr">
        <is>
          <t>PC</t>
        </is>
      </c>
      <c r="AA3614" s="111" t="inlineStr">
        <is>
          <t>Nao</t>
        </is>
      </c>
      <c r="AB3614" s="111" t="inlineStr">
        <is>
          <t>NAO_COMPUTADO</t>
        </is>
      </c>
      <c r="AC3614" s="112" t="inlineStr">
        <is>
          <t>Estrutura Fase 1: sem impacto no VTA oficial</t>
        </is>
      </c>
    </row>
    <row r="3615" ht="25.5" customHeight="1" s="289">
      <c r="A3615" s="205" t="n"/>
      <c r="B3615" s="207" t="n"/>
      <c r="C3615" s="104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348" t="n"/>
      <c r="E3615" s="349">
        <f>IF(C3615="","",IFERROR(VLOOKUP(C3615,parametros!$A$11:$E$15,5,0),""))</f>
        <v/>
      </c>
      <c r="F3615" s="335">
        <f>IF(OR(D3615="",E3615=""),"",ROUND(D3615*E3615,2))</f>
        <v/>
      </c>
      <c r="G3615" s="106" t="n"/>
      <c r="H3615" s="350">
        <f>IF(G3615="Sim",IF(OR(F3615="",D3615="",L3615=""),"",IF(L3615="Sim",ROUND(F3615-D3615,2),0)),0)</f>
        <v/>
      </c>
      <c r="I3615" s="350">
        <f>IF(G3615="Sim",0,IF(OR(F3615="",L3615=""),"",F3615))</f>
        <v/>
      </c>
      <c r="J3615" s="350">
        <f>IF(G3615="Sim",0,IF(OR(F3615="",D3615="",L3615=""),"",IF(L3615="Sim",ROUND(F3615-D3615,2),0)))</f>
        <v/>
      </c>
      <c r="K3615" s="97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inlineStr">
        <is>
          <t>Nao</t>
        </is>
      </c>
      <c r="W3615" s="110" t="inlineStr">
        <is>
          <t>PC em analise</t>
        </is>
      </c>
      <c r="X3615" s="110" t="inlineStr">
        <is>
          <t>Pedido de Compra</t>
        </is>
      </c>
      <c r="Y3615" s="111" t="inlineStr">
        <is>
          <t>Impacto Potencial</t>
        </is>
      </c>
      <c r="Z3615" s="111" t="inlineStr">
        <is>
          <t>PC</t>
        </is>
      </c>
      <c r="AA3615" s="111" t="inlineStr">
        <is>
          <t>Nao</t>
        </is>
      </c>
      <c r="AB3615" s="111" t="inlineStr">
        <is>
          <t>NAO_COMPUTADO</t>
        </is>
      </c>
      <c r="AC3615" s="112" t="inlineStr">
        <is>
          <t>Estrutura Fase 1: sem impacto no VTA oficial</t>
        </is>
      </c>
    </row>
    <row r="3616" ht="25.5" customHeight="1" s="289">
      <c r="A3616" s="205" t="n"/>
      <c r="B3616" s="207" t="n"/>
      <c r="C3616" s="104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348" t="n"/>
      <c r="E3616" s="349">
        <f>IF(C3616="","",IFERROR(VLOOKUP(C3616,parametros!$A$11:$E$15,5,0),""))</f>
        <v/>
      </c>
      <c r="F3616" s="335">
        <f>IF(OR(D3616="",E3616=""),"",ROUND(D3616*E3616,2))</f>
        <v/>
      </c>
      <c r="G3616" s="106" t="n"/>
      <c r="H3616" s="350">
        <f>IF(G3616="Sim",IF(OR(F3616="",D3616="",L3616=""),"",IF(L3616="Sim",ROUND(F3616-D3616,2),0)),0)</f>
        <v/>
      </c>
      <c r="I3616" s="350">
        <f>IF(G3616="Sim",0,IF(OR(F3616="",L3616=""),"",F3616))</f>
        <v/>
      </c>
      <c r="J3616" s="350">
        <f>IF(G3616="Sim",0,IF(OR(F3616="",D3616="",L3616=""),"",IF(L3616="Sim",ROUND(F3616-D3616,2),0)))</f>
        <v/>
      </c>
      <c r="K3616" s="97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inlineStr">
        <is>
          <t>Nao</t>
        </is>
      </c>
      <c r="W3616" s="110" t="inlineStr">
        <is>
          <t>PC em analise</t>
        </is>
      </c>
      <c r="X3616" s="110" t="inlineStr">
        <is>
          <t>Pedido de Compra</t>
        </is>
      </c>
      <c r="Y3616" s="111" t="inlineStr">
        <is>
          <t>Impacto Potencial</t>
        </is>
      </c>
      <c r="Z3616" s="111" t="inlineStr">
        <is>
          <t>PC</t>
        </is>
      </c>
      <c r="AA3616" s="111" t="inlineStr">
        <is>
          <t>Nao</t>
        </is>
      </c>
      <c r="AB3616" s="111" t="inlineStr">
        <is>
          <t>NAO_COMPUTADO</t>
        </is>
      </c>
      <c r="AC3616" s="112" t="inlineStr">
        <is>
          <t>Estrutura Fase 1: sem impacto no VTA oficial</t>
        </is>
      </c>
    </row>
    <row r="3617" ht="25.5" customHeight="1" s="289">
      <c r="A3617" s="205" t="n"/>
      <c r="B3617" s="207" t="n"/>
      <c r="C3617" s="104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348" t="n"/>
      <c r="E3617" s="349">
        <f>IF(C3617="","",IFERROR(VLOOKUP(C3617,parametros!$A$11:$E$15,5,0),""))</f>
        <v/>
      </c>
      <c r="F3617" s="335">
        <f>IF(OR(D3617="",E3617=""),"",ROUND(D3617*E3617,2))</f>
        <v/>
      </c>
      <c r="G3617" s="106" t="n"/>
      <c r="H3617" s="350">
        <f>IF(G3617="Sim",IF(OR(F3617="",D3617="",L3617=""),"",IF(L3617="Sim",ROUND(F3617-D3617,2),0)),0)</f>
        <v/>
      </c>
      <c r="I3617" s="350">
        <f>IF(G3617="Sim",0,IF(OR(F3617="",L3617=""),"",F3617))</f>
        <v/>
      </c>
      <c r="J3617" s="350">
        <f>IF(G3617="Sim",0,IF(OR(F3617="",D3617="",L3617=""),"",IF(L3617="Sim",ROUND(F3617-D3617,2),0)))</f>
        <v/>
      </c>
      <c r="K3617" s="97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inlineStr">
        <is>
          <t>Nao</t>
        </is>
      </c>
      <c r="W3617" s="110" t="inlineStr">
        <is>
          <t>PC em analise</t>
        </is>
      </c>
      <c r="X3617" s="110" t="inlineStr">
        <is>
          <t>Pedido de Compra</t>
        </is>
      </c>
      <c r="Y3617" s="111" t="inlineStr">
        <is>
          <t>Impacto Potencial</t>
        </is>
      </c>
      <c r="Z3617" s="111" t="inlineStr">
        <is>
          <t>PC</t>
        </is>
      </c>
      <c r="AA3617" s="111" t="inlineStr">
        <is>
          <t>Nao</t>
        </is>
      </c>
      <c r="AB3617" s="111" t="inlineStr">
        <is>
          <t>NAO_COMPUTADO</t>
        </is>
      </c>
      <c r="AC3617" s="112" t="inlineStr">
        <is>
          <t>Estrutura Fase 1: sem impacto no VTA oficial</t>
        </is>
      </c>
    </row>
    <row r="3618" ht="25.5" customHeight="1" s="289">
      <c r="A3618" s="205" t="n"/>
      <c r="B3618" s="207" t="n"/>
      <c r="C3618" s="104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348" t="n"/>
      <c r="E3618" s="349">
        <f>IF(C3618="","",IFERROR(VLOOKUP(C3618,parametros!$A$11:$E$15,5,0),""))</f>
        <v/>
      </c>
      <c r="F3618" s="335">
        <f>IF(OR(D3618="",E3618=""),"",ROUND(D3618*E3618,2))</f>
        <v/>
      </c>
      <c r="G3618" s="106" t="n"/>
      <c r="H3618" s="350">
        <f>IF(G3618="Sim",IF(OR(F3618="",D3618="",L3618=""),"",IF(L3618="Sim",ROUND(F3618-D3618,2),0)),0)</f>
        <v/>
      </c>
      <c r="I3618" s="350">
        <f>IF(G3618="Sim",0,IF(OR(F3618="",L3618=""),"",F3618))</f>
        <v/>
      </c>
      <c r="J3618" s="350">
        <f>IF(G3618="Sim",0,IF(OR(F3618="",D3618="",L3618=""),"",IF(L3618="Sim",ROUND(F3618-D3618,2),0)))</f>
        <v/>
      </c>
      <c r="K3618" s="97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inlineStr">
        <is>
          <t>Nao</t>
        </is>
      </c>
      <c r="W3618" s="110" t="inlineStr">
        <is>
          <t>PC em analise</t>
        </is>
      </c>
      <c r="X3618" s="110" t="inlineStr">
        <is>
          <t>Pedido de Compra</t>
        </is>
      </c>
      <c r="Y3618" s="111" t="inlineStr">
        <is>
          <t>Impacto Potencial</t>
        </is>
      </c>
      <c r="Z3618" s="111" t="inlineStr">
        <is>
          <t>PC</t>
        </is>
      </c>
      <c r="AA3618" s="111" t="inlineStr">
        <is>
          <t>Nao</t>
        </is>
      </c>
      <c r="AB3618" s="111" t="inlineStr">
        <is>
          <t>NAO_COMPUTADO</t>
        </is>
      </c>
      <c r="AC3618" s="112" t="inlineStr">
        <is>
          <t>Estrutura Fase 1: sem impacto no VTA oficial</t>
        </is>
      </c>
    </row>
    <row r="3619" ht="25.5" customHeight="1" s="289">
      <c r="A3619" s="205" t="n"/>
      <c r="B3619" s="207" t="n"/>
      <c r="C3619" s="104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348" t="n"/>
      <c r="E3619" s="349">
        <f>IF(C3619="","",IFERROR(VLOOKUP(C3619,parametros!$A$11:$E$15,5,0),""))</f>
        <v/>
      </c>
      <c r="F3619" s="335">
        <f>IF(OR(D3619="",E3619=""),"",ROUND(D3619*E3619,2))</f>
        <v/>
      </c>
      <c r="G3619" s="106" t="n"/>
      <c r="H3619" s="350">
        <f>IF(G3619="Sim",IF(OR(F3619="",D3619="",L3619=""),"",IF(L3619="Sim",ROUND(F3619-D3619,2),0)),0)</f>
        <v/>
      </c>
      <c r="I3619" s="350">
        <f>IF(G3619="Sim",0,IF(OR(F3619="",L3619=""),"",F3619))</f>
        <v/>
      </c>
      <c r="J3619" s="350">
        <f>IF(G3619="Sim",0,IF(OR(F3619="",D3619="",L3619=""),"",IF(L3619="Sim",ROUND(F3619-D3619,2),0)))</f>
        <v/>
      </c>
      <c r="K3619" s="97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inlineStr">
        <is>
          <t>Nao</t>
        </is>
      </c>
      <c r="W3619" s="110" t="inlineStr">
        <is>
          <t>PC em analise</t>
        </is>
      </c>
      <c r="X3619" s="110" t="inlineStr">
        <is>
          <t>Pedido de Compra</t>
        </is>
      </c>
      <c r="Y3619" s="111" t="inlineStr">
        <is>
          <t>Impacto Potencial</t>
        </is>
      </c>
      <c r="Z3619" s="111" t="inlineStr">
        <is>
          <t>PC</t>
        </is>
      </c>
      <c r="AA3619" s="111" t="inlineStr">
        <is>
          <t>Nao</t>
        </is>
      </c>
      <c r="AB3619" s="111" t="inlineStr">
        <is>
          <t>NAO_COMPUTADO</t>
        </is>
      </c>
      <c r="AC3619" s="112" t="inlineStr">
        <is>
          <t>Estrutura Fase 1: sem impacto no VTA oficial</t>
        </is>
      </c>
    </row>
    <row r="3620" ht="25.5" customHeight="1" s="289">
      <c r="A3620" s="205" t="n"/>
      <c r="B3620" s="207" t="n"/>
      <c r="C3620" s="104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348" t="n"/>
      <c r="E3620" s="349">
        <f>IF(C3620="","",IFERROR(VLOOKUP(C3620,parametros!$A$11:$E$15,5,0),""))</f>
        <v/>
      </c>
      <c r="F3620" s="335">
        <f>IF(OR(D3620="",E3620=""),"",ROUND(D3620*E3620,2))</f>
        <v/>
      </c>
      <c r="G3620" s="106" t="n"/>
      <c r="H3620" s="350">
        <f>IF(G3620="Sim",IF(OR(F3620="",D3620="",L3620=""),"",IF(L3620="Sim",ROUND(F3620-D3620,2),0)),0)</f>
        <v/>
      </c>
      <c r="I3620" s="350">
        <f>IF(G3620="Sim",0,IF(OR(F3620="",L3620=""),"",F3620))</f>
        <v/>
      </c>
      <c r="J3620" s="350">
        <f>IF(G3620="Sim",0,IF(OR(F3620="",D3620="",L3620=""),"",IF(L3620="Sim",ROUND(F3620-D3620,2),0)))</f>
        <v/>
      </c>
      <c r="K3620" s="97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inlineStr">
        <is>
          <t>Nao</t>
        </is>
      </c>
      <c r="W3620" s="110" t="inlineStr">
        <is>
          <t>PC em analise</t>
        </is>
      </c>
      <c r="X3620" s="110" t="inlineStr">
        <is>
          <t>Pedido de Compra</t>
        </is>
      </c>
      <c r="Y3620" s="111" t="inlineStr">
        <is>
          <t>Impacto Potencial</t>
        </is>
      </c>
      <c r="Z3620" s="111" t="inlineStr">
        <is>
          <t>PC</t>
        </is>
      </c>
      <c r="AA3620" s="111" t="inlineStr">
        <is>
          <t>Nao</t>
        </is>
      </c>
      <c r="AB3620" s="111" t="inlineStr">
        <is>
          <t>NAO_COMPUTADO</t>
        </is>
      </c>
      <c r="AC3620" s="112" t="inlineStr">
        <is>
          <t>Estrutura Fase 1: sem impacto no VTA oficial</t>
        </is>
      </c>
    </row>
    <row r="3621" ht="25.5" customHeight="1" s="289">
      <c r="A3621" s="205" t="n"/>
      <c r="B3621" s="207" t="n"/>
      <c r="C3621" s="104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348" t="n"/>
      <c r="E3621" s="349">
        <f>IF(C3621="","",IFERROR(VLOOKUP(C3621,parametros!$A$11:$E$15,5,0),""))</f>
        <v/>
      </c>
      <c r="F3621" s="335">
        <f>IF(OR(D3621="",E3621=""),"",ROUND(D3621*E3621,2))</f>
        <v/>
      </c>
      <c r="G3621" s="106" t="n"/>
      <c r="H3621" s="350">
        <f>IF(G3621="Sim",IF(OR(F3621="",D3621="",L3621=""),"",IF(L3621="Sim",ROUND(F3621-D3621,2),0)),0)</f>
        <v/>
      </c>
      <c r="I3621" s="350">
        <f>IF(G3621="Sim",0,IF(OR(F3621="",L3621=""),"",F3621))</f>
        <v/>
      </c>
      <c r="J3621" s="350">
        <f>IF(G3621="Sim",0,IF(OR(F3621="",D3621="",L3621=""),"",IF(L3621="Sim",ROUND(F3621-D3621,2),0)))</f>
        <v/>
      </c>
      <c r="K3621" s="97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inlineStr">
        <is>
          <t>Nao</t>
        </is>
      </c>
      <c r="W3621" s="110" t="inlineStr">
        <is>
          <t>PC em analise</t>
        </is>
      </c>
      <c r="X3621" s="110" t="inlineStr">
        <is>
          <t>Pedido de Compra</t>
        </is>
      </c>
      <c r="Y3621" s="111" t="inlineStr">
        <is>
          <t>Impacto Potencial</t>
        </is>
      </c>
      <c r="Z3621" s="111" t="inlineStr">
        <is>
          <t>PC</t>
        </is>
      </c>
      <c r="AA3621" s="111" t="inlineStr">
        <is>
          <t>Nao</t>
        </is>
      </c>
      <c r="AB3621" s="111" t="inlineStr">
        <is>
          <t>NAO_COMPUTADO</t>
        </is>
      </c>
      <c r="AC3621" s="112" t="inlineStr">
        <is>
          <t>Estrutura Fase 1: sem impacto no VTA oficial</t>
        </is>
      </c>
    </row>
    <row r="3622" ht="25.5" customHeight="1" s="289">
      <c r="A3622" s="205" t="n"/>
      <c r="B3622" s="207" t="n"/>
      <c r="C3622" s="104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348" t="n"/>
      <c r="E3622" s="349">
        <f>IF(C3622="","",IFERROR(VLOOKUP(C3622,parametros!$A$11:$E$15,5,0),""))</f>
        <v/>
      </c>
      <c r="F3622" s="335">
        <f>IF(OR(D3622="",E3622=""),"",ROUND(D3622*E3622,2))</f>
        <v/>
      </c>
      <c r="G3622" s="106" t="n"/>
      <c r="H3622" s="350">
        <f>IF(G3622="Sim",IF(OR(F3622="",D3622="",L3622=""),"",IF(L3622="Sim",ROUND(F3622-D3622,2),0)),0)</f>
        <v/>
      </c>
      <c r="I3622" s="350">
        <f>IF(G3622="Sim",0,IF(OR(F3622="",L3622=""),"",F3622))</f>
        <v/>
      </c>
      <c r="J3622" s="350">
        <f>IF(G3622="Sim",0,IF(OR(F3622="",D3622="",L3622=""),"",IF(L3622="Sim",ROUND(F3622-D3622,2),0)))</f>
        <v/>
      </c>
      <c r="K3622" s="97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inlineStr">
        <is>
          <t>Nao</t>
        </is>
      </c>
      <c r="W3622" s="110" t="inlineStr">
        <is>
          <t>PC em analise</t>
        </is>
      </c>
      <c r="X3622" s="110" t="inlineStr">
        <is>
          <t>Pedido de Compra</t>
        </is>
      </c>
      <c r="Y3622" s="111" t="inlineStr">
        <is>
          <t>Impacto Potencial</t>
        </is>
      </c>
      <c r="Z3622" s="111" t="inlineStr">
        <is>
          <t>PC</t>
        </is>
      </c>
      <c r="AA3622" s="111" t="inlineStr">
        <is>
          <t>Nao</t>
        </is>
      </c>
      <c r="AB3622" s="111" t="inlineStr">
        <is>
          <t>NAO_COMPUTADO</t>
        </is>
      </c>
      <c r="AC3622" s="112" t="inlineStr">
        <is>
          <t>Estrutura Fase 1: sem impacto no VTA oficial</t>
        </is>
      </c>
    </row>
    <row r="3623" ht="25.5" customHeight="1" s="289">
      <c r="A3623" s="205" t="n"/>
      <c r="B3623" s="207" t="n"/>
      <c r="C3623" s="104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348" t="n"/>
      <c r="E3623" s="349">
        <f>IF(C3623="","",IFERROR(VLOOKUP(C3623,parametros!$A$11:$E$15,5,0),""))</f>
        <v/>
      </c>
      <c r="F3623" s="335">
        <f>IF(OR(D3623="",E3623=""),"",ROUND(D3623*E3623,2))</f>
        <v/>
      </c>
      <c r="G3623" s="106" t="n"/>
      <c r="H3623" s="350">
        <f>IF(G3623="Sim",IF(OR(F3623="",D3623="",L3623=""),"",IF(L3623="Sim",ROUND(F3623-D3623,2),0)),0)</f>
        <v/>
      </c>
      <c r="I3623" s="350">
        <f>IF(G3623="Sim",0,IF(OR(F3623="",L3623=""),"",F3623))</f>
        <v/>
      </c>
      <c r="J3623" s="350">
        <f>IF(G3623="Sim",0,IF(OR(F3623="",D3623="",L3623=""),"",IF(L3623="Sim",ROUND(F3623-D3623,2),0)))</f>
        <v/>
      </c>
      <c r="K3623" s="97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inlineStr">
        <is>
          <t>Nao</t>
        </is>
      </c>
      <c r="W3623" s="110" t="inlineStr">
        <is>
          <t>PC em analise</t>
        </is>
      </c>
      <c r="X3623" s="110" t="inlineStr">
        <is>
          <t>Pedido de Compra</t>
        </is>
      </c>
      <c r="Y3623" s="111" t="inlineStr">
        <is>
          <t>Impacto Potencial</t>
        </is>
      </c>
      <c r="Z3623" s="111" t="inlineStr">
        <is>
          <t>PC</t>
        </is>
      </c>
      <c r="AA3623" s="111" t="inlineStr">
        <is>
          <t>Nao</t>
        </is>
      </c>
      <c r="AB3623" s="111" t="inlineStr">
        <is>
          <t>NAO_COMPUTADO</t>
        </is>
      </c>
      <c r="AC3623" s="112" t="inlineStr">
        <is>
          <t>Estrutura Fase 1: sem impacto no VTA oficial</t>
        </is>
      </c>
    </row>
    <row r="3624" ht="25.5" customHeight="1" s="289">
      <c r="A3624" s="205" t="n"/>
      <c r="B3624" s="207" t="n"/>
      <c r="C3624" s="104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348" t="n"/>
      <c r="E3624" s="349">
        <f>IF(C3624="","",IFERROR(VLOOKUP(C3624,parametros!$A$11:$E$15,5,0),""))</f>
        <v/>
      </c>
      <c r="F3624" s="335">
        <f>IF(OR(D3624="",E3624=""),"",ROUND(D3624*E3624,2))</f>
        <v/>
      </c>
      <c r="G3624" s="106" t="n"/>
      <c r="H3624" s="350">
        <f>IF(G3624="Sim",IF(OR(F3624="",D3624="",L3624=""),"",IF(L3624="Sim",ROUND(F3624-D3624,2),0)),0)</f>
        <v/>
      </c>
      <c r="I3624" s="350">
        <f>IF(G3624="Sim",0,IF(OR(F3624="",L3624=""),"",F3624))</f>
        <v/>
      </c>
      <c r="J3624" s="350">
        <f>IF(G3624="Sim",0,IF(OR(F3624="",D3624="",L3624=""),"",IF(L3624="Sim",ROUND(F3624-D3624,2),0)))</f>
        <v/>
      </c>
      <c r="K3624" s="97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inlineStr">
        <is>
          <t>Nao</t>
        </is>
      </c>
      <c r="W3624" s="110" t="inlineStr">
        <is>
          <t>PC em analise</t>
        </is>
      </c>
      <c r="X3624" s="110" t="inlineStr">
        <is>
          <t>Pedido de Compra</t>
        </is>
      </c>
      <c r="Y3624" s="111" t="inlineStr">
        <is>
          <t>Impacto Potencial</t>
        </is>
      </c>
      <c r="Z3624" s="111" t="inlineStr">
        <is>
          <t>PC</t>
        </is>
      </c>
      <c r="AA3624" s="111" t="inlineStr">
        <is>
          <t>Nao</t>
        </is>
      </c>
      <c r="AB3624" s="111" t="inlineStr">
        <is>
          <t>NAO_COMPUTADO</t>
        </is>
      </c>
      <c r="AC3624" s="112" t="inlineStr">
        <is>
          <t>Estrutura Fase 1: sem impacto no VTA oficial</t>
        </is>
      </c>
    </row>
    <row r="3625" ht="25.5" customHeight="1" s="289">
      <c r="A3625" s="205" t="n"/>
      <c r="B3625" s="207" t="n"/>
      <c r="C3625" s="104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348" t="n"/>
      <c r="E3625" s="349">
        <f>IF(C3625="","",IFERROR(VLOOKUP(C3625,parametros!$A$11:$E$15,5,0),""))</f>
        <v/>
      </c>
      <c r="F3625" s="335">
        <f>IF(OR(D3625="",E3625=""),"",ROUND(D3625*E3625,2))</f>
        <v/>
      </c>
      <c r="G3625" s="106" t="n"/>
      <c r="H3625" s="350">
        <f>IF(G3625="Sim",IF(OR(F3625="",D3625="",L3625=""),"",IF(L3625="Sim",ROUND(F3625-D3625,2),0)),0)</f>
        <v/>
      </c>
      <c r="I3625" s="350">
        <f>IF(G3625="Sim",0,IF(OR(F3625="",L3625=""),"",F3625))</f>
        <v/>
      </c>
      <c r="J3625" s="350">
        <f>IF(G3625="Sim",0,IF(OR(F3625="",D3625="",L3625=""),"",IF(L3625="Sim",ROUND(F3625-D3625,2),0)))</f>
        <v/>
      </c>
      <c r="K3625" s="97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inlineStr">
        <is>
          <t>Nao</t>
        </is>
      </c>
      <c r="W3625" s="110" t="inlineStr">
        <is>
          <t>PC em analise</t>
        </is>
      </c>
      <c r="X3625" s="110" t="inlineStr">
        <is>
          <t>Pedido de Compra</t>
        </is>
      </c>
      <c r="Y3625" s="111" t="inlineStr">
        <is>
          <t>Impacto Potencial</t>
        </is>
      </c>
      <c r="Z3625" s="111" t="inlineStr">
        <is>
          <t>PC</t>
        </is>
      </c>
      <c r="AA3625" s="111" t="inlineStr">
        <is>
          <t>Nao</t>
        </is>
      </c>
      <c r="AB3625" s="111" t="inlineStr">
        <is>
          <t>NAO_COMPUTADO</t>
        </is>
      </c>
      <c r="AC3625" s="112" t="inlineStr">
        <is>
          <t>Estrutura Fase 1: sem impacto no VTA oficial</t>
        </is>
      </c>
    </row>
    <row r="3626" ht="25.5" customHeight="1" s="289">
      <c r="A3626" s="205" t="n"/>
      <c r="B3626" s="207" t="n"/>
      <c r="C3626" s="104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348" t="n"/>
      <c r="E3626" s="349">
        <f>IF(C3626="","",IFERROR(VLOOKUP(C3626,parametros!$A$11:$E$15,5,0),""))</f>
        <v/>
      </c>
      <c r="F3626" s="335">
        <f>IF(OR(D3626="",E3626=""),"",ROUND(D3626*E3626,2))</f>
        <v/>
      </c>
      <c r="G3626" s="106" t="n"/>
      <c r="H3626" s="350">
        <f>IF(G3626="Sim",IF(OR(F3626="",D3626="",L3626=""),"",IF(L3626="Sim",ROUND(F3626-D3626,2),0)),0)</f>
        <v/>
      </c>
      <c r="I3626" s="350">
        <f>IF(G3626="Sim",0,IF(OR(F3626="",L3626=""),"",F3626))</f>
        <v/>
      </c>
      <c r="J3626" s="350">
        <f>IF(G3626="Sim",0,IF(OR(F3626="",D3626="",L3626=""),"",IF(L3626="Sim",ROUND(F3626-D3626,2),0)))</f>
        <v/>
      </c>
      <c r="K3626" s="97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inlineStr">
        <is>
          <t>Nao</t>
        </is>
      </c>
      <c r="W3626" s="110" t="inlineStr">
        <is>
          <t>PC em analise</t>
        </is>
      </c>
      <c r="X3626" s="110" t="inlineStr">
        <is>
          <t>Pedido de Compra</t>
        </is>
      </c>
      <c r="Y3626" s="111" t="inlineStr">
        <is>
          <t>Impacto Potencial</t>
        </is>
      </c>
      <c r="Z3626" s="111" t="inlineStr">
        <is>
          <t>PC</t>
        </is>
      </c>
      <c r="AA3626" s="111" t="inlineStr">
        <is>
          <t>Nao</t>
        </is>
      </c>
      <c r="AB3626" s="111" t="inlineStr">
        <is>
          <t>NAO_COMPUTADO</t>
        </is>
      </c>
      <c r="AC3626" s="112" t="inlineStr">
        <is>
          <t>Estrutura Fase 1: sem impacto no VTA oficial</t>
        </is>
      </c>
    </row>
    <row r="3627" ht="25.5" customHeight="1" s="289">
      <c r="A3627" s="205" t="n"/>
      <c r="B3627" s="207" t="n"/>
      <c r="C3627" s="104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348" t="n"/>
      <c r="E3627" s="349">
        <f>IF(C3627="","",IFERROR(VLOOKUP(C3627,parametros!$A$11:$E$15,5,0),""))</f>
        <v/>
      </c>
      <c r="F3627" s="335">
        <f>IF(OR(D3627="",E3627=""),"",ROUND(D3627*E3627,2))</f>
        <v/>
      </c>
      <c r="G3627" s="106" t="n"/>
      <c r="H3627" s="350">
        <f>IF(G3627="Sim",IF(OR(F3627="",D3627="",L3627=""),"",IF(L3627="Sim",ROUND(F3627-D3627,2),0)),0)</f>
        <v/>
      </c>
      <c r="I3627" s="350">
        <f>IF(G3627="Sim",0,IF(OR(F3627="",L3627=""),"",F3627))</f>
        <v/>
      </c>
      <c r="J3627" s="350">
        <f>IF(G3627="Sim",0,IF(OR(F3627="",D3627="",L3627=""),"",IF(L3627="Sim",ROUND(F3627-D3627,2),0)))</f>
        <v/>
      </c>
      <c r="K3627" s="97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inlineStr">
        <is>
          <t>Nao</t>
        </is>
      </c>
      <c r="W3627" s="110" t="inlineStr">
        <is>
          <t>PC em analise</t>
        </is>
      </c>
      <c r="X3627" s="110" t="inlineStr">
        <is>
          <t>Pedido de Compra</t>
        </is>
      </c>
      <c r="Y3627" s="111" t="inlineStr">
        <is>
          <t>Impacto Potencial</t>
        </is>
      </c>
      <c r="Z3627" s="111" t="inlineStr">
        <is>
          <t>PC</t>
        </is>
      </c>
      <c r="AA3627" s="111" t="inlineStr">
        <is>
          <t>Nao</t>
        </is>
      </c>
      <c r="AB3627" s="111" t="inlineStr">
        <is>
          <t>NAO_COMPUTADO</t>
        </is>
      </c>
      <c r="AC3627" s="112" t="inlineStr">
        <is>
          <t>Estrutura Fase 1: sem impacto no VTA oficial</t>
        </is>
      </c>
    </row>
    <row r="3628" ht="25.5" customHeight="1" s="289">
      <c r="A3628" s="205" t="n"/>
      <c r="B3628" s="207" t="n"/>
      <c r="C3628" s="104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348" t="n"/>
      <c r="E3628" s="349">
        <f>IF(C3628="","",IFERROR(VLOOKUP(C3628,parametros!$A$11:$E$15,5,0),""))</f>
        <v/>
      </c>
      <c r="F3628" s="335">
        <f>IF(OR(D3628="",E3628=""),"",ROUND(D3628*E3628,2))</f>
        <v/>
      </c>
      <c r="G3628" s="106" t="n"/>
      <c r="H3628" s="350">
        <f>IF(G3628="Sim",IF(OR(F3628="",D3628="",L3628=""),"",IF(L3628="Sim",ROUND(F3628-D3628,2),0)),0)</f>
        <v/>
      </c>
      <c r="I3628" s="350">
        <f>IF(G3628="Sim",0,IF(OR(F3628="",L3628=""),"",F3628))</f>
        <v/>
      </c>
      <c r="J3628" s="350">
        <f>IF(G3628="Sim",0,IF(OR(F3628="",D3628="",L3628=""),"",IF(L3628="Sim",ROUND(F3628-D3628,2),0)))</f>
        <v/>
      </c>
      <c r="K3628" s="97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inlineStr">
        <is>
          <t>Nao</t>
        </is>
      </c>
      <c r="W3628" s="110" t="inlineStr">
        <is>
          <t>PC em analise</t>
        </is>
      </c>
      <c r="X3628" s="110" t="inlineStr">
        <is>
          <t>Pedido de Compra</t>
        </is>
      </c>
      <c r="Y3628" s="111" t="inlineStr">
        <is>
          <t>Impacto Potencial</t>
        </is>
      </c>
      <c r="Z3628" s="111" t="inlineStr">
        <is>
          <t>PC</t>
        </is>
      </c>
      <c r="AA3628" s="111" t="inlineStr">
        <is>
          <t>Nao</t>
        </is>
      </c>
      <c r="AB3628" s="111" t="inlineStr">
        <is>
          <t>NAO_COMPUTADO</t>
        </is>
      </c>
      <c r="AC3628" s="112" t="inlineStr">
        <is>
          <t>Estrutura Fase 1: sem impacto no VTA oficial</t>
        </is>
      </c>
    </row>
    <row r="3629" ht="25.5" customHeight="1" s="289">
      <c r="A3629" s="205" t="n"/>
      <c r="B3629" s="207" t="n"/>
      <c r="C3629" s="104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348" t="n"/>
      <c r="E3629" s="349">
        <f>IF(C3629="","",IFERROR(VLOOKUP(C3629,parametros!$A$11:$E$15,5,0),""))</f>
        <v/>
      </c>
      <c r="F3629" s="335">
        <f>IF(OR(D3629="",E3629=""),"",ROUND(D3629*E3629,2))</f>
        <v/>
      </c>
      <c r="G3629" s="106" t="n"/>
      <c r="H3629" s="350">
        <f>IF(G3629="Sim",IF(OR(F3629="",D3629="",L3629=""),"",IF(L3629="Sim",ROUND(F3629-D3629,2),0)),0)</f>
        <v/>
      </c>
      <c r="I3629" s="350">
        <f>IF(G3629="Sim",0,IF(OR(F3629="",L3629=""),"",F3629))</f>
        <v/>
      </c>
      <c r="J3629" s="350">
        <f>IF(G3629="Sim",0,IF(OR(F3629="",D3629="",L3629=""),"",IF(L3629="Sim",ROUND(F3629-D3629,2),0)))</f>
        <v/>
      </c>
      <c r="K3629" s="97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inlineStr">
        <is>
          <t>Nao</t>
        </is>
      </c>
      <c r="W3629" s="110" t="inlineStr">
        <is>
          <t>PC em analise</t>
        </is>
      </c>
      <c r="X3629" s="110" t="inlineStr">
        <is>
          <t>Pedido de Compra</t>
        </is>
      </c>
      <c r="Y3629" s="111" t="inlineStr">
        <is>
          <t>Impacto Potencial</t>
        </is>
      </c>
      <c r="Z3629" s="111" t="inlineStr">
        <is>
          <t>PC</t>
        </is>
      </c>
      <c r="AA3629" s="111" t="inlineStr">
        <is>
          <t>Nao</t>
        </is>
      </c>
      <c r="AB3629" s="111" t="inlineStr">
        <is>
          <t>NAO_COMPUTADO</t>
        </is>
      </c>
      <c r="AC3629" s="112" t="inlineStr">
        <is>
          <t>Estrutura Fase 1: sem impacto no VTA oficial</t>
        </is>
      </c>
    </row>
    <row r="3630" ht="25.5" customHeight="1" s="289">
      <c r="A3630" s="205" t="n"/>
      <c r="B3630" s="207" t="n"/>
      <c r="C3630" s="104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348" t="n"/>
      <c r="E3630" s="349">
        <f>IF(C3630="","",IFERROR(VLOOKUP(C3630,parametros!$A$11:$E$15,5,0),""))</f>
        <v/>
      </c>
      <c r="F3630" s="335">
        <f>IF(OR(D3630="",E3630=""),"",ROUND(D3630*E3630,2))</f>
        <v/>
      </c>
      <c r="G3630" s="106" t="n"/>
      <c r="H3630" s="350">
        <f>IF(G3630="Sim",IF(OR(F3630="",D3630="",L3630=""),"",IF(L3630="Sim",ROUND(F3630-D3630,2),0)),0)</f>
        <v/>
      </c>
      <c r="I3630" s="350">
        <f>IF(G3630="Sim",0,IF(OR(F3630="",L3630=""),"",F3630))</f>
        <v/>
      </c>
      <c r="J3630" s="350">
        <f>IF(G3630="Sim",0,IF(OR(F3630="",D3630="",L3630=""),"",IF(L3630="Sim",ROUND(F3630-D3630,2),0)))</f>
        <v/>
      </c>
      <c r="K3630" s="97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inlineStr">
        <is>
          <t>Nao</t>
        </is>
      </c>
      <c r="W3630" s="110" t="inlineStr">
        <is>
          <t>PC em analise</t>
        </is>
      </c>
      <c r="X3630" s="110" t="inlineStr">
        <is>
          <t>Pedido de Compra</t>
        </is>
      </c>
      <c r="Y3630" s="111" t="inlineStr">
        <is>
          <t>Impacto Potencial</t>
        </is>
      </c>
      <c r="Z3630" s="111" t="inlineStr">
        <is>
          <t>PC</t>
        </is>
      </c>
      <c r="AA3630" s="111" t="inlineStr">
        <is>
          <t>Nao</t>
        </is>
      </c>
      <c r="AB3630" s="111" t="inlineStr">
        <is>
          <t>NAO_COMPUTADO</t>
        </is>
      </c>
      <c r="AC3630" s="112" t="inlineStr">
        <is>
          <t>Estrutura Fase 1: sem impacto no VTA oficial</t>
        </is>
      </c>
    </row>
    <row r="3631" ht="25.5" customHeight="1" s="289">
      <c r="A3631" s="205" t="n"/>
      <c r="B3631" s="207" t="n"/>
      <c r="C3631" s="104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348" t="n"/>
      <c r="E3631" s="349">
        <f>IF(C3631="","",IFERROR(VLOOKUP(C3631,parametros!$A$11:$E$15,5,0),""))</f>
        <v/>
      </c>
      <c r="F3631" s="335">
        <f>IF(OR(D3631="",E3631=""),"",ROUND(D3631*E3631,2))</f>
        <v/>
      </c>
      <c r="G3631" s="106" t="n"/>
      <c r="H3631" s="350">
        <f>IF(G3631="Sim",IF(OR(F3631="",D3631="",L3631=""),"",IF(L3631="Sim",ROUND(F3631-D3631,2),0)),0)</f>
        <v/>
      </c>
      <c r="I3631" s="350">
        <f>IF(G3631="Sim",0,IF(OR(F3631="",L3631=""),"",F3631))</f>
        <v/>
      </c>
      <c r="J3631" s="350">
        <f>IF(G3631="Sim",0,IF(OR(F3631="",D3631="",L3631=""),"",IF(L3631="Sim",ROUND(F3631-D3631,2),0)))</f>
        <v/>
      </c>
      <c r="K3631" s="97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inlineStr">
        <is>
          <t>Nao</t>
        </is>
      </c>
      <c r="W3631" s="110" t="inlineStr">
        <is>
          <t>PC em analise</t>
        </is>
      </c>
      <c r="X3631" s="110" t="inlineStr">
        <is>
          <t>Pedido de Compra</t>
        </is>
      </c>
      <c r="Y3631" s="111" t="inlineStr">
        <is>
          <t>Impacto Potencial</t>
        </is>
      </c>
      <c r="Z3631" s="111" t="inlineStr">
        <is>
          <t>PC</t>
        </is>
      </c>
      <c r="AA3631" s="111" t="inlineStr">
        <is>
          <t>Nao</t>
        </is>
      </c>
      <c r="AB3631" s="111" t="inlineStr">
        <is>
          <t>NAO_COMPUTADO</t>
        </is>
      </c>
      <c r="AC3631" s="112" t="inlineStr">
        <is>
          <t>Estrutura Fase 1: sem impacto no VTA oficial</t>
        </is>
      </c>
    </row>
    <row r="3632" ht="25.5" customHeight="1" s="289">
      <c r="A3632" s="205" t="n"/>
      <c r="B3632" s="207" t="n"/>
      <c r="C3632" s="104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348" t="n"/>
      <c r="E3632" s="349">
        <f>IF(C3632="","",IFERROR(VLOOKUP(C3632,parametros!$A$11:$E$15,5,0),""))</f>
        <v/>
      </c>
      <c r="F3632" s="335">
        <f>IF(OR(D3632="",E3632=""),"",ROUND(D3632*E3632,2))</f>
        <v/>
      </c>
      <c r="G3632" s="106" t="n"/>
      <c r="H3632" s="350">
        <f>IF(G3632="Sim",IF(OR(F3632="",D3632="",L3632=""),"",IF(L3632="Sim",ROUND(F3632-D3632,2),0)),0)</f>
        <v/>
      </c>
      <c r="I3632" s="350">
        <f>IF(G3632="Sim",0,IF(OR(F3632="",L3632=""),"",F3632))</f>
        <v/>
      </c>
      <c r="J3632" s="350">
        <f>IF(G3632="Sim",0,IF(OR(F3632="",D3632="",L3632=""),"",IF(L3632="Sim",ROUND(F3632-D3632,2),0)))</f>
        <v/>
      </c>
      <c r="K3632" s="97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inlineStr">
        <is>
          <t>Nao</t>
        </is>
      </c>
      <c r="W3632" s="110" t="inlineStr">
        <is>
          <t>PC em analise</t>
        </is>
      </c>
      <c r="X3632" s="110" t="inlineStr">
        <is>
          <t>Pedido de Compra</t>
        </is>
      </c>
      <c r="Y3632" s="111" t="inlineStr">
        <is>
          <t>Impacto Potencial</t>
        </is>
      </c>
      <c r="Z3632" s="111" t="inlineStr">
        <is>
          <t>PC</t>
        </is>
      </c>
      <c r="AA3632" s="111" t="inlineStr">
        <is>
          <t>Nao</t>
        </is>
      </c>
      <c r="AB3632" s="111" t="inlineStr">
        <is>
          <t>NAO_COMPUTADO</t>
        </is>
      </c>
      <c r="AC3632" s="112" t="inlineStr">
        <is>
          <t>Estrutura Fase 1: sem impacto no VTA oficial</t>
        </is>
      </c>
    </row>
    <row r="3633" ht="25.5" customHeight="1" s="289">
      <c r="A3633" s="205" t="n"/>
      <c r="B3633" s="207" t="n"/>
      <c r="C3633" s="104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348" t="n"/>
      <c r="E3633" s="349">
        <f>IF(C3633="","",IFERROR(VLOOKUP(C3633,parametros!$A$11:$E$15,5,0),""))</f>
        <v/>
      </c>
      <c r="F3633" s="335">
        <f>IF(OR(D3633="",E3633=""),"",ROUND(D3633*E3633,2))</f>
        <v/>
      </c>
      <c r="G3633" s="106" t="n"/>
      <c r="H3633" s="350">
        <f>IF(G3633="Sim",IF(OR(F3633="",D3633="",L3633=""),"",IF(L3633="Sim",ROUND(F3633-D3633,2),0)),0)</f>
        <v/>
      </c>
      <c r="I3633" s="350">
        <f>IF(G3633="Sim",0,IF(OR(F3633="",L3633=""),"",F3633))</f>
        <v/>
      </c>
      <c r="J3633" s="350">
        <f>IF(G3633="Sim",0,IF(OR(F3633="",D3633="",L3633=""),"",IF(L3633="Sim",ROUND(F3633-D3633,2),0)))</f>
        <v/>
      </c>
      <c r="K3633" s="97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inlineStr">
        <is>
          <t>Nao</t>
        </is>
      </c>
      <c r="W3633" s="110" t="inlineStr">
        <is>
          <t>PC em analise</t>
        </is>
      </c>
      <c r="X3633" s="110" t="inlineStr">
        <is>
          <t>Pedido de Compra</t>
        </is>
      </c>
      <c r="Y3633" s="111" t="inlineStr">
        <is>
          <t>Impacto Potencial</t>
        </is>
      </c>
      <c r="Z3633" s="111" t="inlineStr">
        <is>
          <t>PC</t>
        </is>
      </c>
      <c r="AA3633" s="111" t="inlineStr">
        <is>
          <t>Nao</t>
        </is>
      </c>
      <c r="AB3633" s="111" t="inlineStr">
        <is>
          <t>NAO_COMPUTADO</t>
        </is>
      </c>
      <c r="AC3633" s="112" t="inlineStr">
        <is>
          <t>Estrutura Fase 1: sem impacto no VTA oficial</t>
        </is>
      </c>
    </row>
    <row r="3634" ht="25.5" customHeight="1" s="289">
      <c r="A3634" s="205" t="n"/>
      <c r="B3634" s="207" t="n"/>
      <c r="C3634" s="104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348" t="n"/>
      <c r="E3634" s="349">
        <f>IF(C3634="","",IFERROR(VLOOKUP(C3634,parametros!$A$11:$E$15,5,0),""))</f>
        <v/>
      </c>
      <c r="F3634" s="335">
        <f>IF(OR(D3634="",E3634=""),"",ROUND(D3634*E3634,2))</f>
        <v/>
      </c>
      <c r="G3634" s="106" t="n"/>
      <c r="H3634" s="350">
        <f>IF(G3634="Sim",IF(OR(F3634="",D3634="",L3634=""),"",IF(L3634="Sim",ROUND(F3634-D3634,2),0)),0)</f>
        <v/>
      </c>
      <c r="I3634" s="350">
        <f>IF(G3634="Sim",0,IF(OR(F3634="",L3634=""),"",F3634))</f>
        <v/>
      </c>
      <c r="J3634" s="350">
        <f>IF(G3634="Sim",0,IF(OR(F3634="",D3634="",L3634=""),"",IF(L3634="Sim",ROUND(F3634-D3634,2),0)))</f>
        <v/>
      </c>
      <c r="K3634" s="97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inlineStr">
        <is>
          <t>Nao</t>
        </is>
      </c>
      <c r="W3634" s="110" t="inlineStr">
        <is>
          <t>PC em analise</t>
        </is>
      </c>
      <c r="X3634" s="110" t="inlineStr">
        <is>
          <t>Pedido de Compra</t>
        </is>
      </c>
      <c r="Y3634" s="111" t="inlineStr">
        <is>
          <t>Impacto Potencial</t>
        </is>
      </c>
      <c r="Z3634" s="111" t="inlineStr">
        <is>
          <t>PC</t>
        </is>
      </c>
      <c r="AA3634" s="111" t="inlineStr">
        <is>
          <t>Nao</t>
        </is>
      </c>
      <c r="AB3634" s="111" t="inlineStr">
        <is>
          <t>NAO_COMPUTADO</t>
        </is>
      </c>
      <c r="AC3634" s="112" t="inlineStr">
        <is>
          <t>Estrutura Fase 1: sem impacto no VTA oficial</t>
        </is>
      </c>
    </row>
    <row r="3635" ht="25.5" customHeight="1" s="289">
      <c r="A3635" s="205" t="n"/>
      <c r="B3635" s="207" t="n"/>
      <c r="C3635" s="104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348" t="n"/>
      <c r="E3635" s="349">
        <f>IF(C3635="","",IFERROR(VLOOKUP(C3635,parametros!$A$11:$E$15,5,0),""))</f>
        <v/>
      </c>
      <c r="F3635" s="335">
        <f>IF(OR(D3635="",E3635=""),"",ROUND(D3635*E3635,2))</f>
        <v/>
      </c>
      <c r="G3635" s="106" t="n"/>
      <c r="H3635" s="350">
        <f>IF(G3635="Sim",IF(OR(F3635="",D3635="",L3635=""),"",IF(L3635="Sim",ROUND(F3635-D3635,2),0)),0)</f>
        <v/>
      </c>
      <c r="I3635" s="350">
        <f>IF(G3635="Sim",0,IF(OR(F3635="",L3635=""),"",F3635))</f>
        <v/>
      </c>
      <c r="J3635" s="350">
        <f>IF(G3635="Sim",0,IF(OR(F3635="",D3635="",L3635=""),"",IF(L3635="Sim",ROUND(F3635-D3635,2),0)))</f>
        <v/>
      </c>
      <c r="K3635" s="97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inlineStr">
        <is>
          <t>Nao</t>
        </is>
      </c>
      <c r="W3635" s="110" t="inlineStr">
        <is>
          <t>PC em analise</t>
        </is>
      </c>
      <c r="X3635" s="110" t="inlineStr">
        <is>
          <t>Pedido de Compra</t>
        </is>
      </c>
      <c r="Y3635" s="111" t="inlineStr">
        <is>
          <t>Impacto Potencial</t>
        </is>
      </c>
      <c r="Z3635" s="111" t="inlineStr">
        <is>
          <t>PC</t>
        </is>
      </c>
      <c r="AA3635" s="111" t="inlineStr">
        <is>
          <t>Nao</t>
        </is>
      </c>
      <c r="AB3635" s="111" t="inlineStr">
        <is>
          <t>NAO_COMPUTADO</t>
        </is>
      </c>
      <c r="AC3635" s="112" t="inlineStr">
        <is>
          <t>Estrutura Fase 1: sem impacto no VTA oficial</t>
        </is>
      </c>
    </row>
    <row r="3636" ht="25.5" customHeight="1" s="289">
      <c r="A3636" s="205" t="n"/>
      <c r="B3636" s="207" t="n"/>
      <c r="C3636" s="104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348" t="n"/>
      <c r="E3636" s="349">
        <f>IF(C3636="","",IFERROR(VLOOKUP(C3636,parametros!$A$11:$E$15,5,0),""))</f>
        <v/>
      </c>
      <c r="F3636" s="335">
        <f>IF(OR(D3636="",E3636=""),"",ROUND(D3636*E3636,2))</f>
        <v/>
      </c>
      <c r="G3636" s="106" t="n"/>
      <c r="H3636" s="350">
        <f>IF(G3636="Sim",IF(OR(F3636="",D3636="",L3636=""),"",IF(L3636="Sim",ROUND(F3636-D3636,2),0)),0)</f>
        <v/>
      </c>
      <c r="I3636" s="350">
        <f>IF(G3636="Sim",0,IF(OR(F3636="",L3636=""),"",F3636))</f>
        <v/>
      </c>
      <c r="J3636" s="350">
        <f>IF(G3636="Sim",0,IF(OR(F3636="",D3636="",L3636=""),"",IF(L3636="Sim",ROUND(F3636-D3636,2),0)))</f>
        <v/>
      </c>
      <c r="K3636" s="97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inlineStr">
        <is>
          <t>Nao</t>
        </is>
      </c>
      <c r="W3636" s="110" t="inlineStr">
        <is>
          <t>PC em analise</t>
        </is>
      </c>
      <c r="X3636" s="110" t="inlineStr">
        <is>
          <t>Pedido de Compra</t>
        </is>
      </c>
      <c r="Y3636" s="111" t="inlineStr">
        <is>
          <t>Impacto Potencial</t>
        </is>
      </c>
      <c r="Z3636" s="111" t="inlineStr">
        <is>
          <t>PC</t>
        </is>
      </c>
      <c r="AA3636" s="111" t="inlineStr">
        <is>
          <t>Nao</t>
        </is>
      </c>
      <c r="AB3636" s="111" t="inlineStr">
        <is>
          <t>NAO_COMPUTADO</t>
        </is>
      </c>
      <c r="AC3636" s="112" t="inlineStr">
        <is>
          <t>Estrutura Fase 1: sem impacto no VTA oficial</t>
        </is>
      </c>
    </row>
    <row r="3637" ht="25.5" customHeight="1" s="289">
      <c r="A3637" s="205" t="n"/>
      <c r="B3637" s="207" t="n"/>
      <c r="C3637" s="104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348" t="n"/>
      <c r="E3637" s="349">
        <f>IF(C3637="","",IFERROR(VLOOKUP(C3637,parametros!$A$11:$E$15,5,0),""))</f>
        <v/>
      </c>
      <c r="F3637" s="335">
        <f>IF(OR(D3637="",E3637=""),"",ROUND(D3637*E3637,2))</f>
        <v/>
      </c>
      <c r="G3637" s="106" t="n"/>
      <c r="H3637" s="350">
        <f>IF(G3637="Sim",IF(OR(F3637="",D3637="",L3637=""),"",IF(L3637="Sim",ROUND(F3637-D3637,2),0)),0)</f>
        <v/>
      </c>
      <c r="I3637" s="350">
        <f>IF(G3637="Sim",0,IF(OR(F3637="",L3637=""),"",F3637))</f>
        <v/>
      </c>
      <c r="J3637" s="350">
        <f>IF(G3637="Sim",0,IF(OR(F3637="",D3637="",L3637=""),"",IF(L3637="Sim",ROUND(F3637-D3637,2),0)))</f>
        <v/>
      </c>
      <c r="K3637" s="97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inlineStr">
        <is>
          <t>Nao</t>
        </is>
      </c>
      <c r="W3637" s="110" t="inlineStr">
        <is>
          <t>PC em analise</t>
        </is>
      </c>
      <c r="X3637" s="110" t="inlineStr">
        <is>
          <t>Pedido de Compra</t>
        </is>
      </c>
      <c r="Y3637" s="111" t="inlineStr">
        <is>
          <t>Impacto Potencial</t>
        </is>
      </c>
      <c r="Z3637" s="111" t="inlineStr">
        <is>
          <t>PC</t>
        </is>
      </c>
      <c r="AA3637" s="111" t="inlineStr">
        <is>
          <t>Nao</t>
        </is>
      </c>
      <c r="AB3637" s="111" t="inlineStr">
        <is>
          <t>NAO_COMPUTADO</t>
        </is>
      </c>
      <c r="AC3637" s="112" t="inlineStr">
        <is>
          <t>Estrutura Fase 1: sem impacto no VTA oficial</t>
        </is>
      </c>
    </row>
    <row r="3638" ht="25.5" customHeight="1" s="289">
      <c r="A3638" s="205" t="n"/>
      <c r="B3638" s="207" t="n"/>
      <c r="C3638" s="104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348" t="n"/>
      <c r="E3638" s="349">
        <f>IF(C3638="","",IFERROR(VLOOKUP(C3638,parametros!$A$11:$E$15,5,0),""))</f>
        <v/>
      </c>
      <c r="F3638" s="335">
        <f>IF(OR(D3638="",E3638=""),"",ROUND(D3638*E3638,2))</f>
        <v/>
      </c>
      <c r="G3638" s="106" t="n"/>
      <c r="H3638" s="350">
        <f>IF(G3638="Sim",IF(OR(F3638="",D3638="",L3638=""),"",IF(L3638="Sim",ROUND(F3638-D3638,2),0)),0)</f>
        <v/>
      </c>
      <c r="I3638" s="350">
        <f>IF(G3638="Sim",0,IF(OR(F3638="",L3638=""),"",F3638))</f>
        <v/>
      </c>
      <c r="J3638" s="350">
        <f>IF(G3638="Sim",0,IF(OR(F3638="",D3638="",L3638=""),"",IF(L3638="Sim",ROUND(F3638-D3638,2),0)))</f>
        <v/>
      </c>
      <c r="K3638" s="97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inlineStr">
        <is>
          <t>Nao</t>
        </is>
      </c>
      <c r="W3638" s="110" t="inlineStr">
        <is>
          <t>PC em analise</t>
        </is>
      </c>
      <c r="X3638" s="110" t="inlineStr">
        <is>
          <t>Pedido de Compra</t>
        </is>
      </c>
      <c r="Y3638" s="111" t="inlineStr">
        <is>
          <t>Impacto Potencial</t>
        </is>
      </c>
      <c r="Z3638" s="111" t="inlineStr">
        <is>
          <t>PC</t>
        </is>
      </c>
      <c r="AA3638" s="111" t="inlineStr">
        <is>
          <t>Nao</t>
        </is>
      </c>
      <c r="AB3638" s="111" t="inlineStr">
        <is>
          <t>NAO_COMPUTADO</t>
        </is>
      </c>
      <c r="AC3638" s="112" t="inlineStr">
        <is>
          <t>Estrutura Fase 1: sem impacto no VTA oficial</t>
        </is>
      </c>
    </row>
    <row r="3639" ht="25.5" customHeight="1" s="289">
      <c r="A3639" s="205" t="n"/>
      <c r="B3639" s="207" t="n"/>
      <c r="C3639" s="104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348" t="n"/>
      <c r="E3639" s="349">
        <f>IF(C3639="","",IFERROR(VLOOKUP(C3639,parametros!$A$11:$E$15,5,0),""))</f>
        <v/>
      </c>
      <c r="F3639" s="335">
        <f>IF(OR(D3639="",E3639=""),"",ROUND(D3639*E3639,2))</f>
        <v/>
      </c>
      <c r="G3639" s="106" t="n"/>
      <c r="H3639" s="350">
        <f>IF(G3639="Sim",IF(OR(F3639="",D3639="",L3639=""),"",IF(L3639="Sim",ROUND(F3639-D3639,2),0)),0)</f>
        <v/>
      </c>
      <c r="I3639" s="350">
        <f>IF(G3639="Sim",0,IF(OR(F3639="",L3639=""),"",F3639))</f>
        <v/>
      </c>
      <c r="J3639" s="350">
        <f>IF(G3639="Sim",0,IF(OR(F3639="",D3639="",L3639=""),"",IF(L3639="Sim",ROUND(F3639-D3639,2),0)))</f>
        <v/>
      </c>
      <c r="K3639" s="97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inlineStr">
        <is>
          <t>Nao</t>
        </is>
      </c>
      <c r="W3639" s="110" t="inlineStr">
        <is>
          <t>PC em analise</t>
        </is>
      </c>
      <c r="X3639" s="110" t="inlineStr">
        <is>
          <t>Pedido de Compra</t>
        </is>
      </c>
      <c r="Y3639" s="111" t="inlineStr">
        <is>
          <t>Impacto Potencial</t>
        </is>
      </c>
      <c r="Z3639" s="111" t="inlineStr">
        <is>
          <t>PC</t>
        </is>
      </c>
      <c r="AA3639" s="111" t="inlineStr">
        <is>
          <t>Nao</t>
        </is>
      </c>
      <c r="AB3639" s="111" t="inlineStr">
        <is>
          <t>NAO_COMPUTADO</t>
        </is>
      </c>
      <c r="AC3639" s="112" t="inlineStr">
        <is>
          <t>Estrutura Fase 1: sem impacto no VTA oficial</t>
        </is>
      </c>
    </row>
    <row r="3640" ht="25.5" customHeight="1" s="289">
      <c r="A3640" s="205" t="n"/>
      <c r="B3640" s="207" t="n"/>
      <c r="C3640" s="104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348" t="n"/>
      <c r="E3640" s="349">
        <f>IF(C3640="","",IFERROR(VLOOKUP(C3640,parametros!$A$11:$E$15,5,0),""))</f>
        <v/>
      </c>
      <c r="F3640" s="335">
        <f>IF(OR(D3640="",E3640=""),"",ROUND(D3640*E3640,2))</f>
        <v/>
      </c>
      <c r="G3640" s="106" t="n"/>
      <c r="H3640" s="350">
        <f>IF(G3640="Sim",IF(OR(F3640="",D3640="",L3640=""),"",IF(L3640="Sim",ROUND(F3640-D3640,2),0)),0)</f>
        <v/>
      </c>
      <c r="I3640" s="350">
        <f>IF(G3640="Sim",0,IF(OR(F3640="",L3640=""),"",F3640))</f>
        <v/>
      </c>
      <c r="J3640" s="350">
        <f>IF(G3640="Sim",0,IF(OR(F3640="",D3640="",L3640=""),"",IF(L3640="Sim",ROUND(F3640-D3640,2),0)))</f>
        <v/>
      </c>
      <c r="K3640" s="97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inlineStr">
        <is>
          <t>Nao</t>
        </is>
      </c>
      <c r="W3640" s="110" t="inlineStr">
        <is>
          <t>PC em analise</t>
        </is>
      </c>
      <c r="X3640" s="110" t="inlineStr">
        <is>
          <t>Pedido de Compra</t>
        </is>
      </c>
      <c r="Y3640" s="111" t="inlineStr">
        <is>
          <t>Impacto Potencial</t>
        </is>
      </c>
      <c r="Z3640" s="111" t="inlineStr">
        <is>
          <t>PC</t>
        </is>
      </c>
      <c r="AA3640" s="111" t="inlineStr">
        <is>
          <t>Nao</t>
        </is>
      </c>
      <c r="AB3640" s="111" t="inlineStr">
        <is>
          <t>NAO_COMPUTADO</t>
        </is>
      </c>
      <c r="AC3640" s="112" t="inlineStr">
        <is>
          <t>Estrutura Fase 1: sem impacto no VTA oficial</t>
        </is>
      </c>
    </row>
    <row r="3641" ht="25.5" customHeight="1" s="289">
      <c r="A3641" s="205" t="n"/>
      <c r="B3641" s="207" t="n"/>
      <c r="C3641" s="104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348" t="n"/>
      <c r="E3641" s="349">
        <f>IF(C3641="","",IFERROR(VLOOKUP(C3641,parametros!$A$11:$E$15,5,0),""))</f>
        <v/>
      </c>
      <c r="F3641" s="335">
        <f>IF(OR(D3641="",E3641=""),"",ROUND(D3641*E3641,2))</f>
        <v/>
      </c>
      <c r="G3641" s="106" t="n"/>
      <c r="H3641" s="350">
        <f>IF(G3641="Sim",IF(OR(F3641="",D3641="",L3641=""),"",IF(L3641="Sim",ROUND(F3641-D3641,2),0)),0)</f>
        <v/>
      </c>
      <c r="I3641" s="350">
        <f>IF(G3641="Sim",0,IF(OR(F3641="",L3641=""),"",F3641))</f>
        <v/>
      </c>
      <c r="J3641" s="350">
        <f>IF(G3641="Sim",0,IF(OR(F3641="",D3641="",L3641=""),"",IF(L3641="Sim",ROUND(F3641-D3641,2),0)))</f>
        <v/>
      </c>
      <c r="K3641" s="97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inlineStr">
        <is>
          <t>Nao</t>
        </is>
      </c>
      <c r="W3641" s="110" t="inlineStr">
        <is>
          <t>PC em analise</t>
        </is>
      </c>
      <c r="X3641" s="110" t="inlineStr">
        <is>
          <t>Pedido de Compra</t>
        </is>
      </c>
      <c r="Y3641" s="111" t="inlineStr">
        <is>
          <t>Impacto Potencial</t>
        </is>
      </c>
      <c r="Z3641" s="111" t="inlineStr">
        <is>
          <t>PC</t>
        </is>
      </c>
      <c r="AA3641" s="111" t="inlineStr">
        <is>
          <t>Nao</t>
        </is>
      </c>
      <c r="AB3641" s="111" t="inlineStr">
        <is>
          <t>NAO_COMPUTADO</t>
        </is>
      </c>
      <c r="AC3641" s="112" t="inlineStr">
        <is>
          <t>Estrutura Fase 1: sem impacto no VTA oficial</t>
        </is>
      </c>
    </row>
    <row r="3642" ht="25.5" customHeight="1" s="289">
      <c r="A3642" s="205" t="n"/>
      <c r="B3642" s="207" t="n"/>
      <c r="C3642" s="104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348" t="n"/>
      <c r="E3642" s="349">
        <f>IF(C3642="","",IFERROR(VLOOKUP(C3642,parametros!$A$11:$E$15,5,0),""))</f>
        <v/>
      </c>
      <c r="F3642" s="335">
        <f>IF(OR(D3642="",E3642=""),"",ROUND(D3642*E3642,2))</f>
        <v/>
      </c>
      <c r="G3642" s="106" t="n"/>
      <c r="H3642" s="350">
        <f>IF(G3642="Sim",IF(OR(F3642="",D3642="",L3642=""),"",IF(L3642="Sim",ROUND(F3642-D3642,2),0)),0)</f>
        <v/>
      </c>
      <c r="I3642" s="350">
        <f>IF(G3642="Sim",0,IF(OR(F3642="",L3642=""),"",F3642))</f>
        <v/>
      </c>
      <c r="J3642" s="350">
        <f>IF(G3642="Sim",0,IF(OR(F3642="",D3642="",L3642=""),"",IF(L3642="Sim",ROUND(F3642-D3642,2),0)))</f>
        <v/>
      </c>
      <c r="K3642" s="97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inlineStr">
        <is>
          <t>Nao</t>
        </is>
      </c>
      <c r="W3642" s="110" t="inlineStr">
        <is>
          <t>PC em analise</t>
        </is>
      </c>
      <c r="X3642" s="110" t="inlineStr">
        <is>
          <t>Pedido de Compra</t>
        </is>
      </c>
      <c r="Y3642" s="111" t="inlineStr">
        <is>
          <t>Impacto Potencial</t>
        </is>
      </c>
      <c r="Z3642" s="111" t="inlineStr">
        <is>
          <t>PC</t>
        </is>
      </c>
      <c r="AA3642" s="111" t="inlineStr">
        <is>
          <t>Nao</t>
        </is>
      </c>
      <c r="AB3642" s="111" t="inlineStr">
        <is>
          <t>NAO_COMPUTADO</t>
        </is>
      </c>
      <c r="AC3642" s="112" t="inlineStr">
        <is>
          <t>Estrutura Fase 1: sem impacto no VTA oficial</t>
        </is>
      </c>
    </row>
    <row r="3643" ht="25.5" customHeight="1" s="289">
      <c r="A3643" s="205" t="n"/>
      <c r="B3643" s="207" t="n"/>
      <c r="C3643" s="104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348" t="n"/>
      <c r="E3643" s="349">
        <f>IF(C3643="","",IFERROR(VLOOKUP(C3643,parametros!$A$11:$E$15,5,0),""))</f>
        <v/>
      </c>
      <c r="F3643" s="335">
        <f>IF(OR(D3643="",E3643=""),"",ROUND(D3643*E3643,2))</f>
        <v/>
      </c>
      <c r="G3643" s="106" t="n"/>
      <c r="H3643" s="350">
        <f>IF(G3643="Sim",IF(OR(F3643="",D3643="",L3643=""),"",IF(L3643="Sim",ROUND(F3643-D3643,2),0)),0)</f>
        <v/>
      </c>
      <c r="I3643" s="350">
        <f>IF(G3643="Sim",0,IF(OR(F3643="",L3643=""),"",F3643))</f>
        <v/>
      </c>
      <c r="J3643" s="350">
        <f>IF(G3643="Sim",0,IF(OR(F3643="",D3643="",L3643=""),"",IF(L3643="Sim",ROUND(F3643-D3643,2),0)))</f>
        <v/>
      </c>
      <c r="K3643" s="97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inlineStr">
        <is>
          <t>Nao</t>
        </is>
      </c>
      <c r="W3643" s="110" t="inlineStr">
        <is>
          <t>PC em analise</t>
        </is>
      </c>
      <c r="X3643" s="110" t="inlineStr">
        <is>
          <t>Pedido de Compra</t>
        </is>
      </c>
      <c r="Y3643" s="111" t="inlineStr">
        <is>
          <t>Impacto Potencial</t>
        </is>
      </c>
      <c r="Z3643" s="111" t="inlineStr">
        <is>
          <t>PC</t>
        </is>
      </c>
      <c r="AA3643" s="111" t="inlineStr">
        <is>
          <t>Nao</t>
        </is>
      </c>
      <c r="AB3643" s="111" t="inlineStr">
        <is>
          <t>NAO_COMPUTADO</t>
        </is>
      </c>
      <c r="AC3643" s="112" t="inlineStr">
        <is>
          <t>Estrutura Fase 1: sem impacto no VTA oficial</t>
        </is>
      </c>
    </row>
    <row r="3644" ht="25.5" customHeight="1" s="289">
      <c r="A3644" s="205" t="n"/>
      <c r="B3644" s="207" t="n"/>
      <c r="C3644" s="104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348" t="n"/>
      <c r="E3644" s="349">
        <f>IF(C3644="","",IFERROR(VLOOKUP(C3644,parametros!$A$11:$E$15,5,0),""))</f>
        <v/>
      </c>
      <c r="F3644" s="335">
        <f>IF(OR(D3644="",E3644=""),"",ROUND(D3644*E3644,2))</f>
        <v/>
      </c>
      <c r="G3644" s="106" t="n"/>
      <c r="H3644" s="350">
        <f>IF(G3644="Sim",IF(OR(F3644="",D3644="",L3644=""),"",IF(L3644="Sim",ROUND(F3644-D3644,2),0)),0)</f>
        <v/>
      </c>
      <c r="I3644" s="350">
        <f>IF(G3644="Sim",0,IF(OR(F3644="",L3644=""),"",F3644))</f>
        <v/>
      </c>
      <c r="J3644" s="350">
        <f>IF(G3644="Sim",0,IF(OR(F3644="",D3644="",L3644=""),"",IF(L3644="Sim",ROUND(F3644-D3644,2),0)))</f>
        <v/>
      </c>
      <c r="K3644" s="97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inlineStr">
        <is>
          <t>Nao</t>
        </is>
      </c>
      <c r="W3644" s="110" t="inlineStr">
        <is>
          <t>PC em analise</t>
        </is>
      </c>
      <c r="X3644" s="110" t="inlineStr">
        <is>
          <t>Pedido de Compra</t>
        </is>
      </c>
      <c r="Y3644" s="111" t="inlineStr">
        <is>
          <t>Impacto Potencial</t>
        </is>
      </c>
      <c r="Z3644" s="111" t="inlineStr">
        <is>
          <t>PC</t>
        </is>
      </c>
      <c r="AA3644" s="111" t="inlineStr">
        <is>
          <t>Nao</t>
        </is>
      </c>
      <c r="AB3644" s="111" t="inlineStr">
        <is>
          <t>NAO_COMPUTADO</t>
        </is>
      </c>
      <c r="AC3644" s="112" t="inlineStr">
        <is>
          <t>Estrutura Fase 1: sem impacto no VTA oficial</t>
        </is>
      </c>
    </row>
    <row r="3645" ht="25.5" customHeight="1" s="289">
      <c r="A3645" s="205" t="n"/>
      <c r="B3645" s="207" t="n"/>
      <c r="C3645" s="104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348" t="n"/>
      <c r="E3645" s="349">
        <f>IF(C3645="","",IFERROR(VLOOKUP(C3645,parametros!$A$11:$E$15,5,0),""))</f>
        <v/>
      </c>
      <c r="F3645" s="335">
        <f>IF(OR(D3645="",E3645=""),"",ROUND(D3645*E3645,2))</f>
        <v/>
      </c>
      <c r="G3645" s="106" t="n"/>
      <c r="H3645" s="350">
        <f>IF(G3645="Sim",IF(OR(F3645="",D3645="",L3645=""),"",IF(L3645="Sim",ROUND(F3645-D3645,2),0)),0)</f>
        <v/>
      </c>
      <c r="I3645" s="350">
        <f>IF(G3645="Sim",0,IF(OR(F3645="",L3645=""),"",F3645))</f>
        <v/>
      </c>
      <c r="J3645" s="350">
        <f>IF(G3645="Sim",0,IF(OR(F3645="",D3645="",L3645=""),"",IF(L3645="Sim",ROUND(F3645-D3645,2),0)))</f>
        <v/>
      </c>
      <c r="K3645" s="97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inlineStr">
        <is>
          <t>Nao</t>
        </is>
      </c>
      <c r="W3645" s="110" t="inlineStr">
        <is>
          <t>PC em analise</t>
        </is>
      </c>
      <c r="X3645" s="110" t="inlineStr">
        <is>
          <t>Pedido de Compra</t>
        </is>
      </c>
      <c r="Y3645" s="111" t="inlineStr">
        <is>
          <t>Impacto Potencial</t>
        </is>
      </c>
      <c r="Z3645" s="111" t="inlineStr">
        <is>
          <t>PC</t>
        </is>
      </c>
      <c r="AA3645" s="111" t="inlineStr">
        <is>
          <t>Nao</t>
        </is>
      </c>
      <c r="AB3645" s="111" t="inlineStr">
        <is>
          <t>NAO_COMPUTADO</t>
        </is>
      </c>
      <c r="AC3645" s="112" t="inlineStr">
        <is>
          <t>Estrutura Fase 1: sem impacto no VTA oficial</t>
        </is>
      </c>
    </row>
    <row r="3646" ht="25.5" customHeight="1" s="289">
      <c r="A3646" s="205" t="n"/>
      <c r="B3646" s="207" t="n"/>
      <c r="C3646" s="104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348" t="n"/>
      <c r="E3646" s="349">
        <f>IF(C3646="","",IFERROR(VLOOKUP(C3646,parametros!$A$11:$E$15,5,0),""))</f>
        <v/>
      </c>
      <c r="F3646" s="335">
        <f>IF(OR(D3646="",E3646=""),"",ROUND(D3646*E3646,2))</f>
        <v/>
      </c>
      <c r="G3646" s="106" t="n"/>
      <c r="H3646" s="350">
        <f>IF(G3646="Sim",IF(OR(F3646="",D3646="",L3646=""),"",IF(L3646="Sim",ROUND(F3646-D3646,2),0)),0)</f>
        <v/>
      </c>
      <c r="I3646" s="350">
        <f>IF(G3646="Sim",0,IF(OR(F3646="",L3646=""),"",F3646))</f>
        <v/>
      </c>
      <c r="J3646" s="350">
        <f>IF(G3646="Sim",0,IF(OR(F3646="",D3646="",L3646=""),"",IF(L3646="Sim",ROUND(F3646-D3646,2),0)))</f>
        <v/>
      </c>
      <c r="K3646" s="97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inlineStr">
        <is>
          <t>Nao</t>
        </is>
      </c>
      <c r="W3646" s="110" t="inlineStr">
        <is>
          <t>PC em analise</t>
        </is>
      </c>
      <c r="X3646" s="110" t="inlineStr">
        <is>
          <t>Pedido de Compra</t>
        </is>
      </c>
      <c r="Y3646" s="111" t="inlineStr">
        <is>
          <t>Impacto Potencial</t>
        </is>
      </c>
      <c r="Z3646" s="111" t="inlineStr">
        <is>
          <t>PC</t>
        </is>
      </c>
      <c r="AA3646" s="111" t="inlineStr">
        <is>
          <t>Nao</t>
        </is>
      </c>
      <c r="AB3646" s="111" t="inlineStr">
        <is>
          <t>NAO_COMPUTADO</t>
        </is>
      </c>
      <c r="AC3646" s="112" t="inlineStr">
        <is>
          <t>Estrutura Fase 1: sem impacto no VTA oficial</t>
        </is>
      </c>
    </row>
    <row r="3647" ht="25.5" customHeight="1" s="289">
      <c r="A3647" s="205" t="n"/>
      <c r="B3647" s="207" t="n"/>
      <c r="C3647" s="104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348" t="n"/>
      <c r="E3647" s="349">
        <f>IF(C3647="","",IFERROR(VLOOKUP(C3647,parametros!$A$11:$E$15,5,0),""))</f>
        <v/>
      </c>
      <c r="F3647" s="335">
        <f>IF(OR(D3647="",E3647=""),"",ROUND(D3647*E3647,2))</f>
        <v/>
      </c>
      <c r="G3647" s="106" t="n"/>
      <c r="H3647" s="350">
        <f>IF(G3647="Sim",IF(OR(F3647="",D3647="",L3647=""),"",IF(L3647="Sim",ROUND(F3647-D3647,2),0)),0)</f>
        <v/>
      </c>
      <c r="I3647" s="350">
        <f>IF(G3647="Sim",0,IF(OR(F3647="",L3647=""),"",F3647))</f>
        <v/>
      </c>
      <c r="J3647" s="350">
        <f>IF(G3647="Sim",0,IF(OR(F3647="",D3647="",L3647=""),"",IF(L3647="Sim",ROUND(F3647-D3647,2),0)))</f>
        <v/>
      </c>
      <c r="K3647" s="97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inlineStr">
        <is>
          <t>Nao</t>
        </is>
      </c>
      <c r="W3647" s="110" t="inlineStr">
        <is>
          <t>PC em analise</t>
        </is>
      </c>
      <c r="X3647" s="110" t="inlineStr">
        <is>
          <t>Pedido de Compra</t>
        </is>
      </c>
      <c r="Y3647" s="111" t="inlineStr">
        <is>
          <t>Impacto Potencial</t>
        </is>
      </c>
      <c r="Z3647" s="111" t="inlineStr">
        <is>
          <t>PC</t>
        </is>
      </c>
      <c r="AA3647" s="111" t="inlineStr">
        <is>
          <t>Nao</t>
        </is>
      </c>
      <c r="AB3647" s="111" t="inlineStr">
        <is>
          <t>NAO_COMPUTADO</t>
        </is>
      </c>
      <c r="AC3647" s="112" t="inlineStr">
        <is>
          <t>Estrutura Fase 1: sem impacto no VTA oficial</t>
        </is>
      </c>
    </row>
    <row r="3648" ht="25.5" customHeight="1" s="289">
      <c r="A3648" s="205" t="n"/>
      <c r="B3648" s="207" t="n"/>
      <c r="C3648" s="104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348" t="n"/>
      <c r="E3648" s="349">
        <f>IF(C3648="","",IFERROR(VLOOKUP(C3648,parametros!$A$11:$E$15,5,0),""))</f>
        <v/>
      </c>
      <c r="F3648" s="335">
        <f>IF(OR(D3648="",E3648=""),"",ROUND(D3648*E3648,2))</f>
        <v/>
      </c>
      <c r="G3648" s="106" t="n"/>
      <c r="H3648" s="350">
        <f>IF(G3648="Sim",IF(OR(F3648="",D3648="",L3648=""),"",IF(L3648="Sim",ROUND(F3648-D3648,2),0)),0)</f>
        <v/>
      </c>
      <c r="I3648" s="350">
        <f>IF(G3648="Sim",0,IF(OR(F3648="",L3648=""),"",F3648))</f>
        <v/>
      </c>
      <c r="J3648" s="350">
        <f>IF(G3648="Sim",0,IF(OR(F3648="",D3648="",L3648=""),"",IF(L3648="Sim",ROUND(F3648-D3648,2),0)))</f>
        <v/>
      </c>
      <c r="K3648" s="97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inlineStr">
        <is>
          <t>Nao</t>
        </is>
      </c>
      <c r="W3648" s="110" t="inlineStr">
        <is>
          <t>PC em analise</t>
        </is>
      </c>
      <c r="X3648" s="110" t="inlineStr">
        <is>
          <t>Pedido de Compra</t>
        </is>
      </c>
      <c r="Y3648" s="111" t="inlineStr">
        <is>
          <t>Impacto Potencial</t>
        </is>
      </c>
      <c r="Z3648" s="111" t="inlineStr">
        <is>
          <t>PC</t>
        </is>
      </c>
      <c r="AA3648" s="111" t="inlineStr">
        <is>
          <t>Nao</t>
        </is>
      </c>
      <c r="AB3648" s="111" t="inlineStr">
        <is>
          <t>NAO_COMPUTADO</t>
        </is>
      </c>
      <c r="AC3648" s="112" t="inlineStr">
        <is>
          <t>Estrutura Fase 1: sem impacto no VTA oficial</t>
        </is>
      </c>
    </row>
    <row r="3649" ht="25.5" customHeight="1" s="289">
      <c r="A3649" s="205" t="n"/>
      <c r="B3649" s="207" t="n"/>
      <c r="C3649" s="104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348" t="n"/>
      <c r="E3649" s="349">
        <f>IF(C3649="","",IFERROR(VLOOKUP(C3649,parametros!$A$11:$E$15,5,0),""))</f>
        <v/>
      </c>
      <c r="F3649" s="335">
        <f>IF(OR(D3649="",E3649=""),"",ROUND(D3649*E3649,2))</f>
        <v/>
      </c>
      <c r="G3649" s="106" t="n"/>
      <c r="H3649" s="350">
        <f>IF(G3649="Sim",IF(OR(F3649="",D3649="",L3649=""),"",IF(L3649="Sim",ROUND(F3649-D3649,2),0)),0)</f>
        <v/>
      </c>
      <c r="I3649" s="350">
        <f>IF(G3649="Sim",0,IF(OR(F3649="",L3649=""),"",F3649))</f>
        <v/>
      </c>
      <c r="J3649" s="350">
        <f>IF(G3649="Sim",0,IF(OR(F3649="",D3649="",L3649=""),"",IF(L3649="Sim",ROUND(F3649-D3649,2),0)))</f>
        <v/>
      </c>
      <c r="K3649" s="97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inlineStr">
        <is>
          <t>Nao</t>
        </is>
      </c>
      <c r="W3649" s="110" t="inlineStr">
        <is>
          <t>PC em analise</t>
        </is>
      </c>
      <c r="X3649" s="110" t="inlineStr">
        <is>
          <t>Pedido de Compra</t>
        </is>
      </c>
      <c r="Y3649" s="111" t="inlineStr">
        <is>
          <t>Impacto Potencial</t>
        </is>
      </c>
      <c r="Z3649" s="111" t="inlineStr">
        <is>
          <t>PC</t>
        </is>
      </c>
      <c r="AA3649" s="111" t="inlineStr">
        <is>
          <t>Nao</t>
        </is>
      </c>
      <c r="AB3649" s="111" t="inlineStr">
        <is>
          <t>NAO_COMPUTADO</t>
        </is>
      </c>
      <c r="AC3649" s="112" t="inlineStr">
        <is>
          <t>Estrutura Fase 1: sem impacto no VTA oficial</t>
        </is>
      </c>
    </row>
    <row r="3650" ht="25.5" customHeight="1" s="289">
      <c r="A3650" s="205" t="n"/>
      <c r="B3650" s="207" t="n"/>
      <c r="C3650" s="104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348" t="n"/>
      <c r="E3650" s="349">
        <f>IF(C3650="","",IFERROR(VLOOKUP(C3650,parametros!$A$11:$E$15,5,0),""))</f>
        <v/>
      </c>
      <c r="F3650" s="335">
        <f>IF(OR(D3650="",E3650=""),"",ROUND(D3650*E3650,2))</f>
        <v/>
      </c>
      <c r="G3650" s="106" t="n"/>
      <c r="H3650" s="350">
        <f>IF(G3650="Sim",IF(OR(F3650="",D3650="",L3650=""),"",IF(L3650="Sim",ROUND(F3650-D3650,2),0)),0)</f>
        <v/>
      </c>
      <c r="I3650" s="350">
        <f>IF(G3650="Sim",0,IF(OR(F3650="",L3650=""),"",F3650))</f>
        <v/>
      </c>
      <c r="J3650" s="350">
        <f>IF(G3650="Sim",0,IF(OR(F3650="",D3650="",L3650=""),"",IF(L3650="Sim",ROUND(F3650-D3650,2),0)))</f>
        <v/>
      </c>
      <c r="K3650" s="97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inlineStr">
        <is>
          <t>Nao</t>
        </is>
      </c>
      <c r="W3650" s="110" t="inlineStr">
        <is>
          <t>PC em analise</t>
        </is>
      </c>
      <c r="X3650" s="110" t="inlineStr">
        <is>
          <t>Pedido de Compra</t>
        </is>
      </c>
      <c r="Y3650" s="111" t="inlineStr">
        <is>
          <t>Impacto Potencial</t>
        </is>
      </c>
      <c r="Z3650" s="111" t="inlineStr">
        <is>
          <t>PC</t>
        </is>
      </c>
      <c r="AA3650" s="111" t="inlineStr">
        <is>
          <t>Nao</t>
        </is>
      </c>
      <c r="AB3650" s="111" t="inlineStr">
        <is>
          <t>NAO_COMPUTADO</t>
        </is>
      </c>
      <c r="AC3650" s="112" t="inlineStr">
        <is>
          <t>Estrutura Fase 1: sem impacto no VTA oficial</t>
        </is>
      </c>
    </row>
    <row r="3651" ht="25.5" customHeight="1" s="289">
      <c r="A3651" s="205" t="n"/>
      <c r="B3651" s="207" t="n"/>
      <c r="C3651" s="104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348" t="n"/>
      <c r="E3651" s="349">
        <f>IF(C3651="","",IFERROR(VLOOKUP(C3651,parametros!$A$11:$E$15,5,0),""))</f>
        <v/>
      </c>
      <c r="F3651" s="335">
        <f>IF(OR(D3651="",E3651=""),"",ROUND(D3651*E3651,2))</f>
        <v/>
      </c>
      <c r="G3651" s="106" t="n"/>
      <c r="H3651" s="350">
        <f>IF(G3651="Sim",IF(OR(F3651="",D3651="",L3651=""),"",IF(L3651="Sim",ROUND(F3651-D3651,2),0)),0)</f>
        <v/>
      </c>
      <c r="I3651" s="350">
        <f>IF(G3651="Sim",0,IF(OR(F3651="",L3651=""),"",F3651))</f>
        <v/>
      </c>
      <c r="J3651" s="350">
        <f>IF(G3651="Sim",0,IF(OR(F3651="",D3651="",L3651=""),"",IF(L3651="Sim",ROUND(F3651-D3651,2),0)))</f>
        <v/>
      </c>
      <c r="K3651" s="97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inlineStr">
        <is>
          <t>Nao</t>
        </is>
      </c>
      <c r="W3651" s="110" t="inlineStr">
        <is>
          <t>PC em analise</t>
        </is>
      </c>
      <c r="X3651" s="110" t="inlineStr">
        <is>
          <t>Pedido de Compra</t>
        </is>
      </c>
      <c r="Y3651" s="111" t="inlineStr">
        <is>
          <t>Impacto Potencial</t>
        </is>
      </c>
      <c r="Z3651" s="111" t="inlineStr">
        <is>
          <t>PC</t>
        </is>
      </c>
      <c r="AA3651" s="111" t="inlineStr">
        <is>
          <t>Nao</t>
        </is>
      </c>
      <c r="AB3651" s="111" t="inlineStr">
        <is>
          <t>NAO_COMPUTADO</t>
        </is>
      </c>
      <c r="AC3651" s="112" t="inlineStr">
        <is>
          <t>Estrutura Fase 1: sem impacto no VTA oficial</t>
        </is>
      </c>
    </row>
    <row r="3652" ht="25.5" customHeight="1" s="289">
      <c r="A3652" s="205" t="n"/>
      <c r="B3652" s="207" t="n"/>
      <c r="C3652" s="104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348" t="n"/>
      <c r="E3652" s="349">
        <f>IF(C3652="","",IFERROR(VLOOKUP(C3652,parametros!$A$11:$E$15,5,0),""))</f>
        <v/>
      </c>
      <c r="F3652" s="335">
        <f>IF(OR(D3652="",E3652=""),"",ROUND(D3652*E3652,2))</f>
        <v/>
      </c>
      <c r="G3652" s="106" t="n"/>
      <c r="H3652" s="350">
        <f>IF(G3652="Sim",IF(OR(F3652="",D3652="",L3652=""),"",IF(L3652="Sim",ROUND(F3652-D3652,2),0)),0)</f>
        <v/>
      </c>
      <c r="I3652" s="350">
        <f>IF(G3652="Sim",0,IF(OR(F3652="",L3652=""),"",F3652))</f>
        <v/>
      </c>
      <c r="J3652" s="350">
        <f>IF(G3652="Sim",0,IF(OR(F3652="",D3652="",L3652=""),"",IF(L3652="Sim",ROUND(F3652-D3652,2),0)))</f>
        <v/>
      </c>
      <c r="K3652" s="97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inlineStr">
        <is>
          <t>Nao</t>
        </is>
      </c>
      <c r="W3652" s="110" t="inlineStr">
        <is>
          <t>PC em analise</t>
        </is>
      </c>
      <c r="X3652" s="110" t="inlineStr">
        <is>
          <t>Pedido de Compra</t>
        </is>
      </c>
      <c r="Y3652" s="111" t="inlineStr">
        <is>
          <t>Impacto Potencial</t>
        </is>
      </c>
      <c r="Z3652" s="111" t="inlineStr">
        <is>
          <t>PC</t>
        </is>
      </c>
      <c r="AA3652" s="111" t="inlineStr">
        <is>
          <t>Nao</t>
        </is>
      </c>
      <c r="AB3652" s="111" t="inlineStr">
        <is>
          <t>NAO_COMPUTADO</t>
        </is>
      </c>
      <c r="AC3652" s="112" t="inlineStr">
        <is>
          <t>Estrutura Fase 1: sem impacto no VTA oficial</t>
        </is>
      </c>
    </row>
    <row r="3653" ht="25.5" customHeight="1" s="289">
      <c r="A3653" s="205" t="n"/>
      <c r="B3653" s="207" t="n"/>
      <c r="C3653" s="104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348" t="n"/>
      <c r="E3653" s="349">
        <f>IF(C3653="","",IFERROR(VLOOKUP(C3653,parametros!$A$11:$E$15,5,0),""))</f>
        <v/>
      </c>
      <c r="F3653" s="335">
        <f>IF(OR(D3653="",E3653=""),"",ROUND(D3653*E3653,2))</f>
        <v/>
      </c>
      <c r="G3653" s="106" t="n"/>
      <c r="H3653" s="350">
        <f>IF(G3653="Sim",IF(OR(F3653="",D3653="",L3653=""),"",IF(L3653="Sim",ROUND(F3653-D3653,2),0)),0)</f>
        <v/>
      </c>
      <c r="I3653" s="350">
        <f>IF(G3653="Sim",0,IF(OR(F3653="",L3653=""),"",F3653))</f>
        <v/>
      </c>
      <c r="J3653" s="350">
        <f>IF(G3653="Sim",0,IF(OR(F3653="",D3653="",L3653=""),"",IF(L3653="Sim",ROUND(F3653-D3653,2),0)))</f>
        <v/>
      </c>
      <c r="K3653" s="97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inlineStr">
        <is>
          <t>Nao</t>
        </is>
      </c>
      <c r="W3653" s="110" t="inlineStr">
        <is>
          <t>PC em analise</t>
        </is>
      </c>
      <c r="X3653" s="110" t="inlineStr">
        <is>
          <t>Pedido de Compra</t>
        </is>
      </c>
      <c r="Y3653" s="111" t="inlineStr">
        <is>
          <t>Impacto Potencial</t>
        </is>
      </c>
      <c r="Z3653" s="111" t="inlineStr">
        <is>
          <t>PC</t>
        </is>
      </c>
      <c r="AA3653" s="111" t="inlineStr">
        <is>
          <t>Nao</t>
        </is>
      </c>
      <c r="AB3653" s="111" t="inlineStr">
        <is>
          <t>NAO_COMPUTADO</t>
        </is>
      </c>
      <c r="AC3653" s="112" t="inlineStr">
        <is>
          <t>Estrutura Fase 1: sem impacto no VTA oficial</t>
        </is>
      </c>
    </row>
    <row r="3654" ht="25.5" customHeight="1" s="289">
      <c r="A3654" s="205" t="n"/>
      <c r="B3654" s="207" t="n"/>
      <c r="C3654" s="104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348" t="n"/>
      <c r="E3654" s="349">
        <f>IF(C3654="","",IFERROR(VLOOKUP(C3654,parametros!$A$11:$E$15,5,0),""))</f>
        <v/>
      </c>
      <c r="F3654" s="335">
        <f>IF(OR(D3654="",E3654=""),"",ROUND(D3654*E3654,2))</f>
        <v/>
      </c>
      <c r="G3654" s="106" t="n"/>
      <c r="H3654" s="350">
        <f>IF(G3654="Sim",IF(OR(F3654="",D3654="",L3654=""),"",IF(L3654="Sim",ROUND(F3654-D3654,2),0)),0)</f>
        <v/>
      </c>
      <c r="I3654" s="350">
        <f>IF(G3654="Sim",0,IF(OR(F3654="",L3654=""),"",F3654))</f>
        <v/>
      </c>
      <c r="J3654" s="350">
        <f>IF(G3654="Sim",0,IF(OR(F3654="",D3654="",L3654=""),"",IF(L3654="Sim",ROUND(F3654-D3654,2),0)))</f>
        <v/>
      </c>
      <c r="K3654" s="97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inlineStr">
        <is>
          <t>Nao</t>
        </is>
      </c>
      <c r="W3654" s="110" t="inlineStr">
        <is>
          <t>PC em analise</t>
        </is>
      </c>
      <c r="X3654" s="110" t="inlineStr">
        <is>
          <t>Pedido de Compra</t>
        </is>
      </c>
      <c r="Y3654" s="111" t="inlineStr">
        <is>
          <t>Impacto Potencial</t>
        </is>
      </c>
      <c r="Z3654" s="111" t="inlineStr">
        <is>
          <t>PC</t>
        </is>
      </c>
      <c r="AA3654" s="111" t="inlineStr">
        <is>
          <t>Nao</t>
        </is>
      </c>
      <c r="AB3654" s="111" t="inlineStr">
        <is>
          <t>NAO_COMPUTADO</t>
        </is>
      </c>
      <c r="AC3654" s="112" t="inlineStr">
        <is>
          <t>Estrutura Fase 1: sem impacto no VTA oficial</t>
        </is>
      </c>
    </row>
    <row r="3655" ht="25.5" customHeight="1" s="289">
      <c r="A3655" s="205" t="n"/>
      <c r="B3655" s="207" t="n"/>
      <c r="C3655" s="104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348" t="n"/>
      <c r="E3655" s="349">
        <f>IF(C3655="","",IFERROR(VLOOKUP(C3655,parametros!$A$11:$E$15,5,0),""))</f>
        <v/>
      </c>
      <c r="F3655" s="335">
        <f>IF(OR(D3655="",E3655=""),"",ROUND(D3655*E3655,2))</f>
        <v/>
      </c>
      <c r="G3655" s="106" t="n"/>
      <c r="H3655" s="350">
        <f>IF(G3655="Sim",IF(OR(F3655="",D3655="",L3655=""),"",IF(L3655="Sim",ROUND(F3655-D3655,2),0)),0)</f>
        <v/>
      </c>
      <c r="I3655" s="350">
        <f>IF(G3655="Sim",0,IF(OR(F3655="",L3655=""),"",F3655))</f>
        <v/>
      </c>
      <c r="J3655" s="350">
        <f>IF(G3655="Sim",0,IF(OR(F3655="",D3655="",L3655=""),"",IF(L3655="Sim",ROUND(F3655-D3655,2),0)))</f>
        <v/>
      </c>
      <c r="K3655" s="97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inlineStr">
        <is>
          <t>Nao</t>
        </is>
      </c>
      <c r="W3655" s="110" t="inlineStr">
        <is>
          <t>PC em analise</t>
        </is>
      </c>
      <c r="X3655" s="110" t="inlineStr">
        <is>
          <t>Pedido de Compra</t>
        </is>
      </c>
      <c r="Y3655" s="111" t="inlineStr">
        <is>
          <t>Impacto Potencial</t>
        </is>
      </c>
      <c r="Z3655" s="111" t="inlineStr">
        <is>
          <t>PC</t>
        </is>
      </c>
      <c r="AA3655" s="111" t="inlineStr">
        <is>
          <t>Nao</t>
        </is>
      </c>
      <c r="AB3655" s="111" t="inlineStr">
        <is>
          <t>NAO_COMPUTADO</t>
        </is>
      </c>
      <c r="AC3655" s="112" t="inlineStr">
        <is>
          <t>Estrutura Fase 1: sem impacto no VTA oficial</t>
        </is>
      </c>
    </row>
    <row r="3656" ht="25.5" customHeight="1" s="289">
      <c r="A3656" s="205" t="n"/>
      <c r="B3656" s="207" t="n"/>
      <c r="C3656" s="104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348" t="n"/>
      <c r="E3656" s="349">
        <f>IF(C3656="","",IFERROR(VLOOKUP(C3656,parametros!$A$11:$E$15,5,0),""))</f>
        <v/>
      </c>
      <c r="F3656" s="335">
        <f>IF(OR(D3656="",E3656=""),"",ROUND(D3656*E3656,2))</f>
        <v/>
      </c>
      <c r="G3656" s="106" t="n"/>
      <c r="H3656" s="350">
        <f>IF(G3656="Sim",IF(OR(F3656="",D3656="",L3656=""),"",IF(L3656="Sim",ROUND(F3656-D3656,2),0)),0)</f>
        <v/>
      </c>
      <c r="I3656" s="350">
        <f>IF(G3656="Sim",0,IF(OR(F3656="",L3656=""),"",F3656))</f>
        <v/>
      </c>
      <c r="J3656" s="350">
        <f>IF(G3656="Sim",0,IF(OR(F3656="",D3656="",L3656=""),"",IF(L3656="Sim",ROUND(F3656-D3656,2),0)))</f>
        <v/>
      </c>
      <c r="K3656" s="97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inlineStr">
        <is>
          <t>Nao</t>
        </is>
      </c>
      <c r="W3656" s="110" t="inlineStr">
        <is>
          <t>PC em analise</t>
        </is>
      </c>
      <c r="X3656" s="110" t="inlineStr">
        <is>
          <t>Pedido de Compra</t>
        </is>
      </c>
      <c r="Y3656" s="111" t="inlineStr">
        <is>
          <t>Impacto Potencial</t>
        </is>
      </c>
      <c r="Z3656" s="111" t="inlineStr">
        <is>
          <t>PC</t>
        </is>
      </c>
      <c r="AA3656" s="111" t="inlineStr">
        <is>
          <t>Nao</t>
        </is>
      </c>
      <c r="AB3656" s="111" t="inlineStr">
        <is>
          <t>NAO_COMPUTADO</t>
        </is>
      </c>
      <c r="AC3656" s="112" t="inlineStr">
        <is>
          <t>Estrutura Fase 1: sem impacto no VTA oficial</t>
        </is>
      </c>
    </row>
    <row r="3657" ht="25.5" customHeight="1" s="289">
      <c r="A3657" s="205" t="n"/>
      <c r="B3657" s="207" t="n"/>
      <c r="C3657" s="104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348" t="n"/>
      <c r="E3657" s="349">
        <f>IF(C3657="","",IFERROR(VLOOKUP(C3657,parametros!$A$11:$E$15,5,0),""))</f>
        <v/>
      </c>
      <c r="F3657" s="335">
        <f>IF(OR(D3657="",E3657=""),"",ROUND(D3657*E3657,2))</f>
        <v/>
      </c>
      <c r="G3657" s="106" t="n"/>
      <c r="H3657" s="350">
        <f>IF(G3657="Sim",IF(OR(F3657="",D3657="",L3657=""),"",IF(L3657="Sim",ROUND(F3657-D3657,2),0)),0)</f>
        <v/>
      </c>
      <c r="I3657" s="350">
        <f>IF(G3657="Sim",0,IF(OR(F3657="",L3657=""),"",F3657))</f>
        <v/>
      </c>
      <c r="J3657" s="350">
        <f>IF(G3657="Sim",0,IF(OR(F3657="",D3657="",L3657=""),"",IF(L3657="Sim",ROUND(F3657-D3657,2),0)))</f>
        <v/>
      </c>
      <c r="K3657" s="97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inlineStr">
        <is>
          <t>Nao</t>
        </is>
      </c>
      <c r="W3657" s="110" t="inlineStr">
        <is>
          <t>PC em analise</t>
        </is>
      </c>
      <c r="X3657" s="110" t="inlineStr">
        <is>
          <t>Pedido de Compra</t>
        </is>
      </c>
      <c r="Y3657" s="111" t="inlineStr">
        <is>
          <t>Impacto Potencial</t>
        </is>
      </c>
      <c r="Z3657" s="111" t="inlineStr">
        <is>
          <t>PC</t>
        </is>
      </c>
      <c r="AA3657" s="111" t="inlineStr">
        <is>
          <t>Nao</t>
        </is>
      </c>
      <c r="AB3657" s="111" t="inlineStr">
        <is>
          <t>NAO_COMPUTADO</t>
        </is>
      </c>
      <c r="AC3657" s="112" t="inlineStr">
        <is>
          <t>Estrutura Fase 1: sem impacto no VTA oficial</t>
        </is>
      </c>
    </row>
    <row r="3658" ht="25.5" customHeight="1" s="289">
      <c r="A3658" s="205" t="n"/>
      <c r="B3658" s="207" t="n"/>
      <c r="C3658" s="104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348" t="n"/>
      <c r="E3658" s="349">
        <f>IF(C3658="","",IFERROR(VLOOKUP(C3658,parametros!$A$11:$E$15,5,0),""))</f>
        <v/>
      </c>
      <c r="F3658" s="335">
        <f>IF(OR(D3658="",E3658=""),"",ROUND(D3658*E3658,2))</f>
        <v/>
      </c>
      <c r="G3658" s="106" t="n"/>
      <c r="H3658" s="350">
        <f>IF(G3658="Sim",IF(OR(F3658="",D3658="",L3658=""),"",IF(L3658="Sim",ROUND(F3658-D3658,2),0)),0)</f>
        <v/>
      </c>
      <c r="I3658" s="350">
        <f>IF(G3658="Sim",0,IF(OR(F3658="",L3658=""),"",F3658))</f>
        <v/>
      </c>
      <c r="J3658" s="350">
        <f>IF(G3658="Sim",0,IF(OR(F3658="",D3658="",L3658=""),"",IF(L3658="Sim",ROUND(F3658-D3658,2),0)))</f>
        <v/>
      </c>
      <c r="K3658" s="97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inlineStr">
        <is>
          <t>Nao</t>
        </is>
      </c>
      <c r="W3658" s="110" t="inlineStr">
        <is>
          <t>PC em analise</t>
        </is>
      </c>
      <c r="X3658" s="110" t="inlineStr">
        <is>
          <t>Pedido de Compra</t>
        </is>
      </c>
      <c r="Y3658" s="111" t="inlineStr">
        <is>
          <t>Impacto Potencial</t>
        </is>
      </c>
      <c r="Z3658" s="111" t="inlineStr">
        <is>
          <t>PC</t>
        </is>
      </c>
      <c r="AA3658" s="111" t="inlineStr">
        <is>
          <t>Nao</t>
        </is>
      </c>
      <c r="AB3658" s="111" t="inlineStr">
        <is>
          <t>NAO_COMPUTADO</t>
        </is>
      </c>
      <c r="AC3658" s="112" t="inlineStr">
        <is>
          <t>Estrutura Fase 1: sem impacto no VTA oficial</t>
        </is>
      </c>
    </row>
    <row r="3659" ht="25.5" customHeight="1" s="289">
      <c r="A3659" s="205" t="n"/>
      <c r="B3659" s="207" t="n"/>
      <c r="C3659" s="104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348" t="n"/>
      <c r="E3659" s="349">
        <f>IF(C3659="","",IFERROR(VLOOKUP(C3659,parametros!$A$11:$E$15,5,0),""))</f>
        <v/>
      </c>
      <c r="F3659" s="335">
        <f>IF(OR(D3659="",E3659=""),"",ROUND(D3659*E3659,2))</f>
        <v/>
      </c>
      <c r="G3659" s="106" t="n"/>
      <c r="H3659" s="350">
        <f>IF(G3659="Sim",IF(OR(F3659="",D3659="",L3659=""),"",IF(L3659="Sim",ROUND(F3659-D3659,2),0)),0)</f>
        <v/>
      </c>
      <c r="I3659" s="350">
        <f>IF(G3659="Sim",0,IF(OR(F3659="",L3659=""),"",F3659))</f>
        <v/>
      </c>
      <c r="J3659" s="350">
        <f>IF(G3659="Sim",0,IF(OR(F3659="",D3659="",L3659=""),"",IF(L3659="Sim",ROUND(F3659-D3659,2),0)))</f>
        <v/>
      </c>
      <c r="K3659" s="97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inlineStr">
        <is>
          <t>Nao</t>
        </is>
      </c>
      <c r="W3659" s="110" t="inlineStr">
        <is>
          <t>PC em analise</t>
        </is>
      </c>
      <c r="X3659" s="110" t="inlineStr">
        <is>
          <t>Pedido de Compra</t>
        </is>
      </c>
      <c r="Y3659" s="111" t="inlineStr">
        <is>
          <t>Impacto Potencial</t>
        </is>
      </c>
      <c r="Z3659" s="111" t="inlineStr">
        <is>
          <t>PC</t>
        </is>
      </c>
      <c r="AA3659" s="111" t="inlineStr">
        <is>
          <t>Nao</t>
        </is>
      </c>
      <c r="AB3659" s="111" t="inlineStr">
        <is>
          <t>NAO_COMPUTADO</t>
        </is>
      </c>
      <c r="AC3659" s="112" t="inlineStr">
        <is>
          <t>Estrutura Fase 1: sem impacto no VTA oficial</t>
        </is>
      </c>
    </row>
    <row r="3660" ht="25.5" customHeight="1" s="289">
      <c r="A3660" s="205" t="n"/>
      <c r="B3660" s="207" t="n"/>
      <c r="C3660" s="104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348" t="n"/>
      <c r="E3660" s="349">
        <f>IF(C3660="","",IFERROR(VLOOKUP(C3660,parametros!$A$11:$E$15,5,0),""))</f>
        <v/>
      </c>
      <c r="F3660" s="335">
        <f>IF(OR(D3660="",E3660=""),"",ROUND(D3660*E3660,2))</f>
        <v/>
      </c>
      <c r="G3660" s="106" t="n"/>
      <c r="H3660" s="350">
        <f>IF(G3660="Sim",IF(OR(F3660="",D3660="",L3660=""),"",IF(L3660="Sim",ROUND(F3660-D3660,2),0)),0)</f>
        <v/>
      </c>
      <c r="I3660" s="350">
        <f>IF(G3660="Sim",0,IF(OR(F3660="",L3660=""),"",F3660))</f>
        <v/>
      </c>
      <c r="J3660" s="350">
        <f>IF(G3660="Sim",0,IF(OR(F3660="",D3660="",L3660=""),"",IF(L3660="Sim",ROUND(F3660-D3660,2),0)))</f>
        <v/>
      </c>
      <c r="K3660" s="97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inlineStr">
        <is>
          <t>Nao</t>
        </is>
      </c>
      <c r="W3660" s="110" t="inlineStr">
        <is>
          <t>PC em analise</t>
        </is>
      </c>
      <c r="X3660" s="110" t="inlineStr">
        <is>
          <t>Pedido de Compra</t>
        </is>
      </c>
      <c r="Y3660" s="111" t="inlineStr">
        <is>
          <t>Impacto Potencial</t>
        </is>
      </c>
      <c r="Z3660" s="111" t="inlineStr">
        <is>
          <t>PC</t>
        </is>
      </c>
      <c r="AA3660" s="111" t="inlineStr">
        <is>
          <t>Nao</t>
        </is>
      </c>
      <c r="AB3660" s="111" t="inlineStr">
        <is>
          <t>NAO_COMPUTADO</t>
        </is>
      </c>
      <c r="AC3660" s="112" t="inlineStr">
        <is>
          <t>Estrutura Fase 1: sem impacto no VTA oficial</t>
        </is>
      </c>
    </row>
    <row r="3661" ht="25.5" customHeight="1" s="289">
      <c r="A3661" s="205" t="n"/>
      <c r="B3661" s="207" t="n"/>
      <c r="C3661" s="104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348" t="n"/>
      <c r="E3661" s="349">
        <f>IF(C3661="","",IFERROR(VLOOKUP(C3661,parametros!$A$11:$E$15,5,0),""))</f>
        <v/>
      </c>
      <c r="F3661" s="335">
        <f>IF(OR(D3661="",E3661=""),"",ROUND(D3661*E3661,2))</f>
        <v/>
      </c>
      <c r="G3661" s="106" t="n"/>
      <c r="H3661" s="350">
        <f>IF(G3661="Sim",IF(OR(F3661="",D3661="",L3661=""),"",IF(L3661="Sim",ROUND(F3661-D3661,2),0)),0)</f>
        <v/>
      </c>
      <c r="I3661" s="350">
        <f>IF(G3661="Sim",0,IF(OR(F3661="",L3661=""),"",F3661))</f>
        <v/>
      </c>
      <c r="J3661" s="350">
        <f>IF(G3661="Sim",0,IF(OR(F3661="",D3661="",L3661=""),"",IF(L3661="Sim",ROUND(F3661-D3661,2),0)))</f>
        <v/>
      </c>
      <c r="K3661" s="97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inlineStr">
        <is>
          <t>Nao</t>
        </is>
      </c>
      <c r="W3661" s="110" t="inlineStr">
        <is>
          <t>PC em analise</t>
        </is>
      </c>
      <c r="X3661" s="110" t="inlineStr">
        <is>
          <t>Pedido de Compra</t>
        </is>
      </c>
      <c r="Y3661" s="111" t="inlineStr">
        <is>
          <t>Impacto Potencial</t>
        </is>
      </c>
      <c r="Z3661" s="111" t="inlineStr">
        <is>
          <t>PC</t>
        </is>
      </c>
      <c r="AA3661" s="111" t="inlineStr">
        <is>
          <t>Nao</t>
        </is>
      </c>
      <c r="AB3661" s="111" t="inlineStr">
        <is>
          <t>NAO_COMPUTADO</t>
        </is>
      </c>
      <c r="AC3661" s="112" t="inlineStr">
        <is>
          <t>Estrutura Fase 1: sem impacto no VTA oficial</t>
        </is>
      </c>
    </row>
    <row r="3662" ht="25.5" customHeight="1" s="289">
      <c r="A3662" s="205" t="n"/>
      <c r="B3662" s="207" t="n"/>
      <c r="C3662" s="104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348" t="n"/>
      <c r="E3662" s="349">
        <f>IF(C3662="","",IFERROR(VLOOKUP(C3662,parametros!$A$11:$E$15,5,0),""))</f>
        <v/>
      </c>
      <c r="F3662" s="335">
        <f>IF(OR(D3662="",E3662=""),"",ROUND(D3662*E3662,2))</f>
        <v/>
      </c>
      <c r="G3662" s="106" t="n"/>
      <c r="H3662" s="350">
        <f>IF(G3662="Sim",IF(OR(F3662="",D3662="",L3662=""),"",IF(L3662="Sim",ROUND(F3662-D3662,2),0)),0)</f>
        <v/>
      </c>
      <c r="I3662" s="350">
        <f>IF(G3662="Sim",0,IF(OR(F3662="",L3662=""),"",F3662))</f>
        <v/>
      </c>
      <c r="J3662" s="350">
        <f>IF(G3662="Sim",0,IF(OR(F3662="",D3662="",L3662=""),"",IF(L3662="Sim",ROUND(F3662-D3662,2),0)))</f>
        <v/>
      </c>
      <c r="K3662" s="97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inlineStr">
        <is>
          <t>Nao</t>
        </is>
      </c>
      <c r="W3662" s="110" t="inlineStr">
        <is>
          <t>PC em analise</t>
        </is>
      </c>
      <c r="X3662" s="110" t="inlineStr">
        <is>
          <t>Pedido de Compra</t>
        </is>
      </c>
      <c r="Y3662" s="111" t="inlineStr">
        <is>
          <t>Impacto Potencial</t>
        </is>
      </c>
      <c r="Z3662" s="111" t="inlineStr">
        <is>
          <t>PC</t>
        </is>
      </c>
      <c r="AA3662" s="111" t="inlineStr">
        <is>
          <t>Nao</t>
        </is>
      </c>
      <c r="AB3662" s="111" t="inlineStr">
        <is>
          <t>NAO_COMPUTADO</t>
        </is>
      </c>
      <c r="AC3662" s="112" t="inlineStr">
        <is>
          <t>Estrutura Fase 1: sem impacto no VTA oficial</t>
        </is>
      </c>
    </row>
    <row r="3663" ht="25.5" customHeight="1" s="289">
      <c r="A3663" s="205" t="n"/>
      <c r="B3663" s="207" t="n"/>
      <c r="C3663" s="104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348" t="n"/>
      <c r="E3663" s="349">
        <f>IF(C3663="","",IFERROR(VLOOKUP(C3663,parametros!$A$11:$E$15,5,0),""))</f>
        <v/>
      </c>
      <c r="F3663" s="335">
        <f>IF(OR(D3663="",E3663=""),"",ROUND(D3663*E3663,2))</f>
        <v/>
      </c>
      <c r="G3663" s="106" t="n"/>
      <c r="H3663" s="350">
        <f>IF(G3663="Sim",IF(OR(F3663="",D3663="",L3663=""),"",IF(L3663="Sim",ROUND(F3663-D3663,2),0)),0)</f>
        <v/>
      </c>
      <c r="I3663" s="350">
        <f>IF(G3663="Sim",0,IF(OR(F3663="",L3663=""),"",F3663))</f>
        <v/>
      </c>
      <c r="J3663" s="350">
        <f>IF(G3663="Sim",0,IF(OR(F3663="",D3663="",L3663=""),"",IF(L3663="Sim",ROUND(F3663-D3663,2),0)))</f>
        <v/>
      </c>
      <c r="K3663" s="97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inlineStr">
        <is>
          <t>Nao</t>
        </is>
      </c>
      <c r="W3663" s="110" t="inlineStr">
        <is>
          <t>PC em analise</t>
        </is>
      </c>
      <c r="X3663" s="110" t="inlineStr">
        <is>
          <t>Pedido de Compra</t>
        </is>
      </c>
      <c r="Y3663" s="111" t="inlineStr">
        <is>
          <t>Impacto Potencial</t>
        </is>
      </c>
      <c r="Z3663" s="111" t="inlineStr">
        <is>
          <t>PC</t>
        </is>
      </c>
      <c r="AA3663" s="111" t="inlineStr">
        <is>
          <t>Nao</t>
        </is>
      </c>
      <c r="AB3663" s="111" t="inlineStr">
        <is>
          <t>NAO_COMPUTADO</t>
        </is>
      </c>
      <c r="AC3663" s="112" t="inlineStr">
        <is>
          <t>Estrutura Fase 1: sem impacto no VTA oficial</t>
        </is>
      </c>
    </row>
    <row r="3664" ht="25.5" customHeight="1" s="289">
      <c r="A3664" s="205" t="n"/>
      <c r="B3664" s="207" t="n"/>
      <c r="C3664" s="104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348" t="n"/>
      <c r="E3664" s="349">
        <f>IF(C3664="","",IFERROR(VLOOKUP(C3664,parametros!$A$11:$E$15,5,0),""))</f>
        <v/>
      </c>
      <c r="F3664" s="335">
        <f>IF(OR(D3664="",E3664=""),"",ROUND(D3664*E3664,2))</f>
        <v/>
      </c>
      <c r="G3664" s="106" t="n"/>
      <c r="H3664" s="350">
        <f>IF(G3664="Sim",IF(OR(F3664="",D3664="",L3664=""),"",IF(L3664="Sim",ROUND(F3664-D3664,2),0)),0)</f>
        <v/>
      </c>
      <c r="I3664" s="350">
        <f>IF(G3664="Sim",0,IF(OR(F3664="",L3664=""),"",F3664))</f>
        <v/>
      </c>
      <c r="J3664" s="350">
        <f>IF(G3664="Sim",0,IF(OR(F3664="",D3664="",L3664=""),"",IF(L3664="Sim",ROUND(F3664-D3664,2),0)))</f>
        <v/>
      </c>
      <c r="K3664" s="97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inlineStr">
        <is>
          <t>Nao</t>
        </is>
      </c>
      <c r="W3664" s="110" t="inlineStr">
        <is>
          <t>PC em analise</t>
        </is>
      </c>
      <c r="X3664" s="110" t="inlineStr">
        <is>
          <t>Pedido de Compra</t>
        </is>
      </c>
      <c r="Y3664" s="111" t="inlineStr">
        <is>
          <t>Impacto Potencial</t>
        </is>
      </c>
      <c r="Z3664" s="111" t="inlineStr">
        <is>
          <t>PC</t>
        </is>
      </c>
      <c r="AA3664" s="111" t="inlineStr">
        <is>
          <t>Nao</t>
        </is>
      </c>
      <c r="AB3664" s="111" t="inlineStr">
        <is>
          <t>NAO_COMPUTADO</t>
        </is>
      </c>
      <c r="AC3664" s="112" t="inlineStr">
        <is>
          <t>Estrutura Fase 1: sem impacto no VTA oficial</t>
        </is>
      </c>
    </row>
    <row r="3665" ht="25.5" customHeight="1" s="289">
      <c r="A3665" s="205" t="n"/>
      <c r="B3665" s="207" t="n"/>
      <c r="C3665" s="104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348" t="n"/>
      <c r="E3665" s="349">
        <f>IF(C3665="","",IFERROR(VLOOKUP(C3665,parametros!$A$11:$E$15,5,0),""))</f>
        <v/>
      </c>
      <c r="F3665" s="335">
        <f>IF(OR(D3665="",E3665=""),"",ROUND(D3665*E3665,2))</f>
        <v/>
      </c>
      <c r="G3665" s="106" t="n"/>
      <c r="H3665" s="350">
        <f>IF(G3665="Sim",IF(OR(F3665="",D3665="",L3665=""),"",IF(L3665="Sim",ROUND(F3665-D3665,2),0)),0)</f>
        <v/>
      </c>
      <c r="I3665" s="350">
        <f>IF(G3665="Sim",0,IF(OR(F3665="",L3665=""),"",F3665))</f>
        <v/>
      </c>
      <c r="J3665" s="350">
        <f>IF(G3665="Sim",0,IF(OR(F3665="",D3665="",L3665=""),"",IF(L3665="Sim",ROUND(F3665-D3665,2),0)))</f>
        <v/>
      </c>
      <c r="K3665" s="97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inlineStr">
        <is>
          <t>Nao</t>
        </is>
      </c>
      <c r="W3665" s="110" t="inlineStr">
        <is>
          <t>PC em analise</t>
        </is>
      </c>
      <c r="X3665" s="110" t="inlineStr">
        <is>
          <t>Pedido de Compra</t>
        </is>
      </c>
      <c r="Y3665" s="111" t="inlineStr">
        <is>
          <t>Impacto Potencial</t>
        </is>
      </c>
      <c r="Z3665" s="111" t="inlineStr">
        <is>
          <t>PC</t>
        </is>
      </c>
      <c r="AA3665" s="111" t="inlineStr">
        <is>
          <t>Nao</t>
        </is>
      </c>
      <c r="AB3665" s="111" t="inlineStr">
        <is>
          <t>NAO_COMPUTADO</t>
        </is>
      </c>
      <c r="AC3665" s="112" t="inlineStr">
        <is>
          <t>Estrutura Fase 1: sem impacto no VTA oficial</t>
        </is>
      </c>
    </row>
    <row r="3666" ht="25.5" customHeight="1" s="289">
      <c r="A3666" s="205" t="n"/>
      <c r="B3666" s="207" t="n"/>
      <c r="C3666" s="104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348" t="n"/>
      <c r="E3666" s="349">
        <f>IF(C3666="","",IFERROR(VLOOKUP(C3666,parametros!$A$11:$E$15,5,0),""))</f>
        <v/>
      </c>
      <c r="F3666" s="335">
        <f>IF(OR(D3666="",E3666=""),"",ROUND(D3666*E3666,2))</f>
        <v/>
      </c>
      <c r="G3666" s="106" t="n"/>
      <c r="H3666" s="350">
        <f>IF(G3666="Sim",IF(OR(F3666="",D3666="",L3666=""),"",IF(L3666="Sim",ROUND(F3666-D3666,2),0)),0)</f>
        <v/>
      </c>
      <c r="I3666" s="350">
        <f>IF(G3666="Sim",0,IF(OR(F3666="",L3666=""),"",F3666))</f>
        <v/>
      </c>
      <c r="J3666" s="350">
        <f>IF(G3666="Sim",0,IF(OR(F3666="",D3666="",L3666=""),"",IF(L3666="Sim",ROUND(F3666-D3666,2),0)))</f>
        <v/>
      </c>
      <c r="K3666" s="97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inlineStr">
        <is>
          <t>Nao</t>
        </is>
      </c>
      <c r="W3666" s="110" t="inlineStr">
        <is>
          <t>PC em analise</t>
        </is>
      </c>
      <c r="X3666" s="110" t="inlineStr">
        <is>
          <t>Pedido de Compra</t>
        </is>
      </c>
      <c r="Y3666" s="111" t="inlineStr">
        <is>
          <t>Impacto Potencial</t>
        </is>
      </c>
      <c r="Z3666" s="111" t="inlineStr">
        <is>
          <t>PC</t>
        </is>
      </c>
      <c r="AA3666" s="111" t="inlineStr">
        <is>
          <t>Nao</t>
        </is>
      </c>
      <c r="AB3666" s="111" t="inlineStr">
        <is>
          <t>NAO_COMPUTADO</t>
        </is>
      </c>
      <c r="AC3666" s="112" t="inlineStr">
        <is>
          <t>Estrutura Fase 1: sem impacto no VTA oficial</t>
        </is>
      </c>
    </row>
    <row r="3667" ht="25.5" customHeight="1" s="289">
      <c r="A3667" s="205" t="n"/>
      <c r="B3667" s="207" t="n"/>
      <c r="C3667" s="104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348" t="n"/>
      <c r="E3667" s="349">
        <f>IF(C3667="","",IFERROR(VLOOKUP(C3667,parametros!$A$11:$E$15,5,0),""))</f>
        <v/>
      </c>
      <c r="F3667" s="335">
        <f>IF(OR(D3667="",E3667=""),"",ROUND(D3667*E3667,2))</f>
        <v/>
      </c>
      <c r="G3667" s="106" t="n"/>
      <c r="H3667" s="350">
        <f>IF(G3667="Sim",IF(OR(F3667="",D3667="",L3667=""),"",IF(L3667="Sim",ROUND(F3667-D3667,2),0)),0)</f>
        <v/>
      </c>
      <c r="I3667" s="350">
        <f>IF(G3667="Sim",0,IF(OR(F3667="",L3667=""),"",F3667))</f>
        <v/>
      </c>
      <c r="J3667" s="350">
        <f>IF(G3667="Sim",0,IF(OR(F3667="",D3667="",L3667=""),"",IF(L3667="Sim",ROUND(F3667-D3667,2),0)))</f>
        <v/>
      </c>
      <c r="K3667" s="97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inlineStr">
        <is>
          <t>Nao</t>
        </is>
      </c>
      <c r="W3667" s="110" t="inlineStr">
        <is>
          <t>PC em analise</t>
        </is>
      </c>
      <c r="X3667" s="110" t="inlineStr">
        <is>
          <t>Pedido de Compra</t>
        </is>
      </c>
      <c r="Y3667" s="111" t="inlineStr">
        <is>
          <t>Impacto Potencial</t>
        </is>
      </c>
      <c r="Z3667" s="111" t="inlineStr">
        <is>
          <t>PC</t>
        </is>
      </c>
      <c r="AA3667" s="111" t="inlineStr">
        <is>
          <t>Nao</t>
        </is>
      </c>
      <c r="AB3667" s="111" t="inlineStr">
        <is>
          <t>NAO_COMPUTADO</t>
        </is>
      </c>
      <c r="AC3667" s="112" t="inlineStr">
        <is>
          <t>Estrutura Fase 1: sem impacto no VTA oficial</t>
        </is>
      </c>
    </row>
    <row r="3668" ht="25.5" customHeight="1" s="289">
      <c r="A3668" s="205" t="n"/>
      <c r="B3668" s="207" t="n"/>
      <c r="C3668" s="104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348" t="n"/>
      <c r="E3668" s="349">
        <f>IF(C3668="","",IFERROR(VLOOKUP(C3668,parametros!$A$11:$E$15,5,0),""))</f>
        <v/>
      </c>
      <c r="F3668" s="335">
        <f>IF(OR(D3668="",E3668=""),"",ROUND(D3668*E3668,2))</f>
        <v/>
      </c>
      <c r="G3668" s="106" t="n"/>
      <c r="H3668" s="350">
        <f>IF(G3668="Sim",IF(OR(F3668="",D3668="",L3668=""),"",IF(L3668="Sim",ROUND(F3668-D3668,2),0)),0)</f>
        <v/>
      </c>
      <c r="I3668" s="350">
        <f>IF(G3668="Sim",0,IF(OR(F3668="",L3668=""),"",F3668))</f>
        <v/>
      </c>
      <c r="J3668" s="350">
        <f>IF(G3668="Sim",0,IF(OR(F3668="",D3668="",L3668=""),"",IF(L3668="Sim",ROUND(F3668-D3668,2),0)))</f>
        <v/>
      </c>
      <c r="K3668" s="97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inlineStr">
        <is>
          <t>Nao</t>
        </is>
      </c>
      <c r="W3668" s="110" t="inlineStr">
        <is>
          <t>PC em analise</t>
        </is>
      </c>
      <c r="X3668" s="110" t="inlineStr">
        <is>
          <t>Pedido de Compra</t>
        </is>
      </c>
      <c r="Y3668" s="111" t="inlineStr">
        <is>
          <t>Impacto Potencial</t>
        </is>
      </c>
      <c r="Z3668" s="111" t="inlineStr">
        <is>
          <t>PC</t>
        </is>
      </c>
      <c r="AA3668" s="111" t="inlineStr">
        <is>
          <t>Nao</t>
        </is>
      </c>
      <c r="AB3668" s="111" t="inlineStr">
        <is>
          <t>NAO_COMPUTADO</t>
        </is>
      </c>
      <c r="AC3668" s="112" t="inlineStr">
        <is>
          <t>Estrutura Fase 1: sem impacto no VTA oficial</t>
        </is>
      </c>
    </row>
    <row r="3669" ht="25.5" customHeight="1" s="289">
      <c r="A3669" s="205" t="n"/>
      <c r="B3669" s="207" t="n"/>
      <c r="C3669" s="104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348" t="n"/>
      <c r="E3669" s="349">
        <f>IF(C3669="","",IFERROR(VLOOKUP(C3669,parametros!$A$11:$E$15,5,0),""))</f>
        <v/>
      </c>
      <c r="F3669" s="335">
        <f>IF(OR(D3669="",E3669=""),"",ROUND(D3669*E3669,2))</f>
        <v/>
      </c>
      <c r="G3669" s="106" t="n"/>
      <c r="H3669" s="350">
        <f>IF(G3669="Sim",IF(OR(F3669="",D3669="",L3669=""),"",IF(L3669="Sim",ROUND(F3669-D3669,2),0)),0)</f>
        <v/>
      </c>
      <c r="I3669" s="350">
        <f>IF(G3669="Sim",0,IF(OR(F3669="",L3669=""),"",F3669))</f>
        <v/>
      </c>
      <c r="J3669" s="350">
        <f>IF(G3669="Sim",0,IF(OR(F3669="",D3669="",L3669=""),"",IF(L3669="Sim",ROUND(F3669-D3669,2),0)))</f>
        <v/>
      </c>
      <c r="K3669" s="97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inlineStr">
        <is>
          <t>Nao</t>
        </is>
      </c>
      <c r="W3669" s="110" t="inlineStr">
        <is>
          <t>PC em analise</t>
        </is>
      </c>
      <c r="X3669" s="110" t="inlineStr">
        <is>
          <t>Pedido de Compra</t>
        </is>
      </c>
      <c r="Y3669" s="111" t="inlineStr">
        <is>
          <t>Impacto Potencial</t>
        </is>
      </c>
      <c r="Z3669" s="111" t="inlineStr">
        <is>
          <t>PC</t>
        </is>
      </c>
      <c r="AA3669" s="111" t="inlineStr">
        <is>
          <t>Nao</t>
        </is>
      </c>
      <c r="AB3669" s="111" t="inlineStr">
        <is>
          <t>NAO_COMPUTADO</t>
        </is>
      </c>
      <c r="AC3669" s="112" t="inlineStr">
        <is>
          <t>Estrutura Fase 1: sem impacto no VTA oficial</t>
        </is>
      </c>
    </row>
    <row r="3670" ht="25.5" customHeight="1" s="289">
      <c r="A3670" s="205" t="n"/>
      <c r="B3670" s="207" t="n"/>
      <c r="C3670" s="104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348" t="n"/>
      <c r="E3670" s="349">
        <f>IF(C3670="","",IFERROR(VLOOKUP(C3670,parametros!$A$11:$E$15,5,0),""))</f>
        <v/>
      </c>
      <c r="F3670" s="335">
        <f>IF(OR(D3670="",E3670=""),"",ROUND(D3670*E3670,2))</f>
        <v/>
      </c>
      <c r="G3670" s="106" t="n"/>
      <c r="H3670" s="350">
        <f>IF(G3670="Sim",IF(OR(F3670="",D3670="",L3670=""),"",IF(L3670="Sim",ROUND(F3670-D3670,2),0)),0)</f>
        <v/>
      </c>
      <c r="I3670" s="350">
        <f>IF(G3670="Sim",0,IF(OR(F3670="",L3670=""),"",F3670))</f>
        <v/>
      </c>
      <c r="J3670" s="350">
        <f>IF(G3670="Sim",0,IF(OR(F3670="",D3670="",L3670=""),"",IF(L3670="Sim",ROUND(F3670-D3670,2),0)))</f>
        <v/>
      </c>
      <c r="K3670" s="97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inlineStr">
        <is>
          <t>Nao</t>
        </is>
      </c>
      <c r="W3670" s="110" t="inlineStr">
        <is>
          <t>PC em analise</t>
        </is>
      </c>
      <c r="X3670" s="110" t="inlineStr">
        <is>
          <t>Pedido de Compra</t>
        </is>
      </c>
      <c r="Y3670" s="111" t="inlineStr">
        <is>
          <t>Impacto Potencial</t>
        </is>
      </c>
      <c r="Z3670" s="111" t="inlineStr">
        <is>
          <t>PC</t>
        </is>
      </c>
      <c r="AA3670" s="111" t="inlineStr">
        <is>
          <t>Nao</t>
        </is>
      </c>
      <c r="AB3670" s="111" t="inlineStr">
        <is>
          <t>NAO_COMPUTADO</t>
        </is>
      </c>
      <c r="AC3670" s="112" t="inlineStr">
        <is>
          <t>Estrutura Fase 1: sem impacto no VTA oficial</t>
        </is>
      </c>
    </row>
    <row r="3671" ht="25.5" customHeight="1" s="289">
      <c r="A3671" s="205" t="n"/>
      <c r="B3671" s="207" t="n"/>
      <c r="C3671" s="104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348" t="n"/>
      <c r="E3671" s="349">
        <f>IF(C3671="","",IFERROR(VLOOKUP(C3671,parametros!$A$11:$E$15,5,0),""))</f>
        <v/>
      </c>
      <c r="F3671" s="335">
        <f>IF(OR(D3671="",E3671=""),"",ROUND(D3671*E3671,2))</f>
        <v/>
      </c>
      <c r="G3671" s="106" t="n"/>
      <c r="H3671" s="350">
        <f>IF(G3671="Sim",IF(OR(F3671="",D3671="",L3671=""),"",IF(L3671="Sim",ROUND(F3671-D3671,2),0)),0)</f>
        <v/>
      </c>
      <c r="I3671" s="350">
        <f>IF(G3671="Sim",0,IF(OR(F3671="",L3671=""),"",F3671))</f>
        <v/>
      </c>
      <c r="J3671" s="350">
        <f>IF(G3671="Sim",0,IF(OR(F3671="",D3671="",L3671=""),"",IF(L3671="Sim",ROUND(F3671-D3671,2),0)))</f>
        <v/>
      </c>
      <c r="K3671" s="97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inlineStr">
        <is>
          <t>Nao</t>
        </is>
      </c>
      <c r="W3671" s="110" t="inlineStr">
        <is>
          <t>PC em analise</t>
        </is>
      </c>
      <c r="X3671" s="110" t="inlineStr">
        <is>
          <t>Pedido de Compra</t>
        </is>
      </c>
      <c r="Y3671" s="111" t="inlineStr">
        <is>
          <t>Impacto Potencial</t>
        </is>
      </c>
      <c r="Z3671" s="111" t="inlineStr">
        <is>
          <t>PC</t>
        </is>
      </c>
      <c r="AA3671" s="111" t="inlineStr">
        <is>
          <t>Nao</t>
        </is>
      </c>
      <c r="AB3671" s="111" t="inlineStr">
        <is>
          <t>NAO_COMPUTADO</t>
        </is>
      </c>
      <c r="AC3671" s="112" t="inlineStr">
        <is>
          <t>Estrutura Fase 1: sem impacto no VTA oficial</t>
        </is>
      </c>
    </row>
    <row r="3672" ht="25.5" customHeight="1" s="289">
      <c r="A3672" s="205" t="n"/>
      <c r="B3672" s="207" t="n"/>
      <c r="C3672" s="104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348" t="n"/>
      <c r="E3672" s="349">
        <f>IF(C3672="","",IFERROR(VLOOKUP(C3672,parametros!$A$11:$E$15,5,0),""))</f>
        <v/>
      </c>
      <c r="F3672" s="335">
        <f>IF(OR(D3672="",E3672=""),"",ROUND(D3672*E3672,2))</f>
        <v/>
      </c>
      <c r="G3672" s="106" t="n"/>
      <c r="H3672" s="350">
        <f>IF(G3672="Sim",IF(OR(F3672="",D3672="",L3672=""),"",IF(L3672="Sim",ROUND(F3672-D3672,2),0)),0)</f>
        <v/>
      </c>
      <c r="I3672" s="350">
        <f>IF(G3672="Sim",0,IF(OR(F3672="",L3672=""),"",F3672))</f>
        <v/>
      </c>
      <c r="J3672" s="350">
        <f>IF(G3672="Sim",0,IF(OR(F3672="",D3672="",L3672=""),"",IF(L3672="Sim",ROUND(F3672-D3672,2),0)))</f>
        <v/>
      </c>
      <c r="K3672" s="97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inlineStr">
        <is>
          <t>Nao</t>
        </is>
      </c>
      <c r="W3672" s="110" t="inlineStr">
        <is>
          <t>PC em analise</t>
        </is>
      </c>
      <c r="X3672" s="110" t="inlineStr">
        <is>
          <t>Pedido de Compra</t>
        </is>
      </c>
      <c r="Y3672" s="111" t="inlineStr">
        <is>
          <t>Impacto Potencial</t>
        </is>
      </c>
      <c r="Z3672" s="111" t="inlineStr">
        <is>
          <t>PC</t>
        </is>
      </c>
      <c r="AA3672" s="111" t="inlineStr">
        <is>
          <t>Nao</t>
        </is>
      </c>
      <c r="AB3672" s="111" t="inlineStr">
        <is>
          <t>NAO_COMPUTADO</t>
        </is>
      </c>
      <c r="AC3672" s="112" t="inlineStr">
        <is>
          <t>Estrutura Fase 1: sem impacto no VTA oficial</t>
        </is>
      </c>
    </row>
    <row r="3673" ht="25.5" customHeight="1" s="289">
      <c r="A3673" s="205" t="n"/>
      <c r="B3673" s="207" t="n"/>
      <c r="C3673" s="104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348" t="n"/>
      <c r="E3673" s="349">
        <f>IF(C3673="","",IFERROR(VLOOKUP(C3673,parametros!$A$11:$E$15,5,0),""))</f>
        <v/>
      </c>
      <c r="F3673" s="335">
        <f>IF(OR(D3673="",E3673=""),"",ROUND(D3673*E3673,2))</f>
        <v/>
      </c>
      <c r="G3673" s="106" t="n"/>
      <c r="H3673" s="350">
        <f>IF(G3673="Sim",IF(OR(F3673="",D3673="",L3673=""),"",IF(L3673="Sim",ROUND(F3673-D3673,2),0)),0)</f>
        <v/>
      </c>
      <c r="I3673" s="350">
        <f>IF(G3673="Sim",0,IF(OR(F3673="",L3673=""),"",F3673))</f>
        <v/>
      </c>
      <c r="J3673" s="350">
        <f>IF(G3673="Sim",0,IF(OR(F3673="",D3673="",L3673=""),"",IF(L3673="Sim",ROUND(F3673-D3673,2),0)))</f>
        <v/>
      </c>
      <c r="K3673" s="97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inlineStr">
        <is>
          <t>Nao</t>
        </is>
      </c>
      <c r="W3673" s="110" t="inlineStr">
        <is>
          <t>PC em analise</t>
        </is>
      </c>
      <c r="X3673" s="110" t="inlineStr">
        <is>
          <t>Pedido de Compra</t>
        </is>
      </c>
      <c r="Y3673" s="111" t="inlineStr">
        <is>
          <t>Impacto Potencial</t>
        </is>
      </c>
      <c r="Z3673" s="111" t="inlineStr">
        <is>
          <t>PC</t>
        </is>
      </c>
      <c r="AA3673" s="111" t="inlineStr">
        <is>
          <t>Nao</t>
        </is>
      </c>
      <c r="AB3673" s="111" t="inlineStr">
        <is>
          <t>NAO_COMPUTADO</t>
        </is>
      </c>
      <c r="AC3673" s="112" t="inlineStr">
        <is>
          <t>Estrutura Fase 1: sem impacto no VTA oficial</t>
        </is>
      </c>
    </row>
    <row r="3674" ht="25.5" customHeight="1" s="289">
      <c r="A3674" s="205" t="n"/>
      <c r="B3674" s="207" t="n"/>
      <c r="C3674" s="104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348" t="n"/>
      <c r="E3674" s="349">
        <f>IF(C3674="","",IFERROR(VLOOKUP(C3674,parametros!$A$11:$E$15,5,0),""))</f>
        <v/>
      </c>
      <c r="F3674" s="335">
        <f>IF(OR(D3674="",E3674=""),"",ROUND(D3674*E3674,2))</f>
        <v/>
      </c>
      <c r="G3674" s="106" t="n"/>
      <c r="H3674" s="350">
        <f>IF(G3674="Sim",IF(OR(F3674="",D3674="",L3674=""),"",IF(L3674="Sim",ROUND(F3674-D3674,2),0)),0)</f>
        <v/>
      </c>
      <c r="I3674" s="350">
        <f>IF(G3674="Sim",0,IF(OR(F3674="",L3674=""),"",F3674))</f>
        <v/>
      </c>
      <c r="J3674" s="350">
        <f>IF(G3674="Sim",0,IF(OR(F3674="",D3674="",L3674=""),"",IF(L3674="Sim",ROUND(F3674-D3674,2),0)))</f>
        <v/>
      </c>
      <c r="K3674" s="97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inlineStr">
        <is>
          <t>Nao</t>
        </is>
      </c>
      <c r="W3674" s="110" t="inlineStr">
        <is>
          <t>PC em analise</t>
        </is>
      </c>
      <c r="X3674" s="110" t="inlineStr">
        <is>
          <t>Pedido de Compra</t>
        </is>
      </c>
      <c r="Y3674" s="111" t="inlineStr">
        <is>
          <t>Impacto Potencial</t>
        </is>
      </c>
      <c r="Z3674" s="111" t="inlineStr">
        <is>
          <t>PC</t>
        </is>
      </c>
      <c r="AA3674" s="111" t="inlineStr">
        <is>
          <t>Nao</t>
        </is>
      </c>
      <c r="AB3674" s="111" t="inlineStr">
        <is>
          <t>NAO_COMPUTADO</t>
        </is>
      </c>
      <c r="AC3674" s="112" t="inlineStr">
        <is>
          <t>Estrutura Fase 1: sem impacto no VTA oficial</t>
        </is>
      </c>
    </row>
    <row r="3675" ht="25.5" customHeight="1" s="289">
      <c r="A3675" s="205" t="n"/>
      <c r="B3675" s="207" t="n"/>
      <c r="C3675" s="104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348" t="n"/>
      <c r="E3675" s="349">
        <f>IF(C3675="","",IFERROR(VLOOKUP(C3675,parametros!$A$11:$E$15,5,0),""))</f>
        <v/>
      </c>
      <c r="F3675" s="335">
        <f>IF(OR(D3675="",E3675=""),"",ROUND(D3675*E3675,2))</f>
        <v/>
      </c>
      <c r="G3675" s="106" t="n"/>
      <c r="H3675" s="350">
        <f>IF(G3675="Sim",IF(OR(F3675="",D3675="",L3675=""),"",IF(L3675="Sim",ROUND(F3675-D3675,2),0)),0)</f>
        <v/>
      </c>
      <c r="I3675" s="350">
        <f>IF(G3675="Sim",0,IF(OR(F3675="",L3675=""),"",F3675))</f>
        <v/>
      </c>
      <c r="J3675" s="350">
        <f>IF(G3675="Sim",0,IF(OR(F3675="",D3675="",L3675=""),"",IF(L3675="Sim",ROUND(F3675-D3675,2),0)))</f>
        <v/>
      </c>
      <c r="K3675" s="97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inlineStr">
        <is>
          <t>Nao</t>
        </is>
      </c>
      <c r="W3675" s="110" t="inlineStr">
        <is>
          <t>PC em analise</t>
        </is>
      </c>
      <c r="X3675" s="110" t="inlineStr">
        <is>
          <t>Pedido de Compra</t>
        </is>
      </c>
      <c r="Y3675" s="111" t="inlineStr">
        <is>
          <t>Impacto Potencial</t>
        </is>
      </c>
      <c r="Z3675" s="111" t="inlineStr">
        <is>
          <t>PC</t>
        </is>
      </c>
      <c r="AA3675" s="111" t="inlineStr">
        <is>
          <t>Nao</t>
        </is>
      </c>
      <c r="AB3675" s="111" t="inlineStr">
        <is>
          <t>NAO_COMPUTADO</t>
        </is>
      </c>
      <c r="AC3675" s="112" t="inlineStr">
        <is>
          <t>Estrutura Fase 1: sem impacto no VTA oficial</t>
        </is>
      </c>
    </row>
    <row r="3676" ht="25.5" customHeight="1" s="289">
      <c r="A3676" s="205" t="n"/>
      <c r="B3676" s="207" t="n"/>
      <c r="C3676" s="104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348" t="n"/>
      <c r="E3676" s="349">
        <f>IF(C3676="","",IFERROR(VLOOKUP(C3676,parametros!$A$11:$E$15,5,0),""))</f>
        <v/>
      </c>
      <c r="F3676" s="335">
        <f>IF(OR(D3676="",E3676=""),"",ROUND(D3676*E3676,2))</f>
        <v/>
      </c>
      <c r="G3676" s="106" t="n"/>
      <c r="H3676" s="350">
        <f>IF(G3676="Sim",IF(OR(F3676="",D3676="",L3676=""),"",IF(L3676="Sim",ROUND(F3676-D3676,2),0)),0)</f>
        <v/>
      </c>
      <c r="I3676" s="350">
        <f>IF(G3676="Sim",0,IF(OR(F3676="",L3676=""),"",F3676))</f>
        <v/>
      </c>
      <c r="J3676" s="350">
        <f>IF(G3676="Sim",0,IF(OR(F3676="",D3676="",L3676=""),"",IF(L3676="Sim",ROUND(F3676-D3676,2),0)))</f>
        <v/>
      </c>
      <c r="K3676" s="97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inlineStr">
        <is>
          <t>Nao</t>
        </is>
      </c>
      <c r="W3676" s="110" t="inlineStr">
        <is>
          <t>PC em analise</t>
        </is>
      </c>
      <c r="X3676" s="110" t="inlineStr">
        <is>
          <t>Pedido de Compra</t>
        </is>
      </c>
      <c r="Y3676" s="111" t="inlineStr">
        <is>
          <t>Impacto Potencial</t>
        </is>
      </c>
      <c r="Z3676" s="111" t="inlineStr">
        <is>
          <t>PC</t>
        </is>
      </c>
      <c r="AA3676" s="111" t="inlineStr">
        <is>
          <t>Nao</t>
        </is>
      </c>
      <c r="AB3676" s="111" t="inlineStr">
        <is>
          <t>NAO_COMPUTADO</t>
        </is>
      </c>
      <c r="AC3676" s="112" t="inlineStr">
        <is>
          <t>Estrutura Fase 1: sem impacto no VTA oficial</t>
        </is>
      </c>
    </row>
    <row r="3677" ht="25.5" customHeight="1" s="289">
      <c r="A3677" s="205" t="n"/>
      <c r="B3677" s="207" t="n"/>
      <c r="C3677" s="104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348" t="n"/>
      <c r="E3677" s="349">
        <f>IF(C3677="","",IFERROR(VLOOKUP(C3677,parametros!$A$11:$E$15,5,0),""))</f>
        <v/>
      </c>
      <c r="F3677" s="335">
        <f>IF(OR(D3677="",E3677=""),"",ROUND(D3677*E3677,2))</f>
        <v/>
      </c>
      <c r="G3677" s="106" t="n"/>
      <c r="H3677" s="350">
        <f>IF(G3677="Sim",IF(OR(F3677="",D3677="",L3677=""),"",IF(L3677="Sim",ROUND(F3677-D3677,2),0)),0)</f>
        <v/>
      </c>
      <c r="I3677" s="350">
        <f>IF(G3677="Sim",0,IF(OR(F3677="",L3677=""),"",F3677))</f>
        <v/>
      </c>
      <c r="J3677" s="350">
        <f>IF(G3677="Sim",0,IF(OR(F3677="",D3677="",L3677=""),"",IF(L3677="Sim",ROUND(F3677-D3677,2),0)))</f>
        <v/>
      </c>
      <c r="K3677" s="97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inlineStr">
        <is>
          <t>Nao</t>
        </is>
      </c>
      <c r="W3677" s="110" t="inlineStr">
        <is>
          <t>PC em analise</t>
        </is>
      </c>
      <c r="X3677" s="110" t="inlineStr">
        <is>
          <t>Pedido de Compra</t>
        </is>
      </c>
      <c r="Y3677" s="111" t="inlineStr">
        <is>
          <t>Impacto Potencial</t>
        </is>
      </c>
      <c r="Z3677" s="111" t="inlineStr">
        <is>
          <t>PC</t>
        </is>
      </c>
      <c r="AA3677" s="111" t="inlineStr">
        <is>
          <t>Nao</t>
        </is>
      </c>
      <c r="AB3677" s="111" t="inlineStr">
        <is>
          <t>NAO_COMPUTADO</t>
        </is>
      </c>
      <c r="AC3677" s="112" t="inlineStr">
        <is>
          <t>Estrutura Fase 1: sem impacto no VTA oficial</t>
        </is>
      </c>
    </row>
    <row r="3678" ht="25.5" customHeight="1" s="289">
      <c r="A3678" s="205" t="n"/>
      <c r="B3678" s="207" t="n"/>
      <c r="C3678" s="104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348" t="n"/>
      <c r="E3678" s="349">
        <f>IF(C3678="","",IFERROR(VLOOKUP(C3678,parametros!$A$11:$E$15,5,0),""))</f>
        <v/>
      </c>
      <c r="F3678" s="335">
        <f>IF(OR(D3678="",E3678=""),"",ROUND(D3678*E3678,2))</f>
        <v/>
      </c>
      <c r="G3678" s="106" t="n"/>
      <c r="H3678" s="350">
        <f>IF(G3678="Sim",IF(OR(F3678="",D3678="",L3678=""),"",IF(L3678="Sim",ROUND(F3678-D3678,2),0)),0)</f>
        <v/>
      </c>
      <c r="I3678" s="350">
        <f>IF(G3678="Sim",0,IF(OR(F3678="",L3678=""),"",F3678))</f>
        <v/>
      </c>
      <c r="J3678" s="350">
        <f>IF(G3678="Sim",0,IF(OR(F3678="",D3678="",L3678=""),"",IF(L3678="Sim",ROUND(F3678-D3678,2),0)))</f>
        <v/>
      </c>
      <c r="K3678" s="97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inlineStr">
        <is>
          <t>Nao</t>
        </is>
      </c>
      <c r="W3678" s="110" t="inlineStr">
        <is>
          <t>PC em analise</t>
        </is>
      </c>
      <c r="X3678" s="110" t="inlineStr">
        <is>
          <t>Pedido de Compra</t>
        </is>
      </c>
      <c r="Y3678" s="111" t="inlineStr">
        <is>
          <t>Impacto Potencial</t>
        </is>
      </c>
      <c r="Z3678" s="111" t="inlineStr">
        <is>
          <t>PC</t>
        </is>
      </c>
      <c r="AA3678" s="111" t="inlineStr">
        <is>
          <t>Nao</t>
        </is>
      </c>
      <c r="AB3678" s="111" t="inlineStr">
        <is>
          <t>NAO_COMPUTADO</t>
        </is>
      </c>
      <c r="AC3678" s="112" t="inlineStr">
        <is>
          <t>Estrutura Fase 1: sem impacto no VTA oficial</t>
        </is>
      </c>
    </row>
    <row r="3679" ht="25.5" customHeight="1" s="289">
      <c r="A3679" s="205" t="n"/>
      <c r="B3679" s="207" t="n"/>
      <c r="C3679" s="104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348" t="n"/>
      <c r="E3679" s="349">
        <f>IF(C3679="","",IFERROR(VLOOKUP(C3679,parametros!$A$11:$E$15,5,0),""))</f>
        <v/>
      </c>
      <c r="F3679" s="335">
        <f>IF(OR(D3679="",E3679=""),"",ROUND(D3679*E3679,2))</f>
        <v/>
      </c>
      <c r="G3679" s="106" t="n"/>
      <c r="H3679" s="350">
        <f>IF(G3679="Sim",IF(OR(F3679="",D3679="",L3679=""),"",IF(L3679="Sim",ROUND(F3679-D3679,2),0)),0)</f>
        <v/>
      </c>
      <c r="I3679" s="350">
        <f>IF(G3679="Sim",0,IF(OR(F3679="",L3679=""),"",F3679))</f>
        <v/>
      </c>
      <c r="J3679" s="350">
        <f>IF(G3679="Sim",0,IF(OR(F3679="",D3679="",L3679=""),"",IF(L3679="Sim",ROUND(F3679-D3679,2),0)))</f>
        <v/>
      </c>
      <c r="K3679" s="97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inlineStr">
        <is>
          <t>Nao</t>
        </is>
      </c>
      <c r="W3679" s="110" t="inlineStr">
        <is>
          <t>PC em analise</t>
        </is>
      </c>
      <c r="X3679" s="110" t="inlineStr">
        <is>
          <t>Pedido de Compra</t>
        </is>
      </c>
      <c r="Y3679" s="111" t="inlineStr">
        <is>
          <t>Impacto Potencial</t>
        </is>
      </c>
      <c r="Z3679" s="111" t="inlineStr">
        <is>
          <t>PC</t>
        </is>
      </c>
      <c r="AA3679" s="111" t="inlineStr">
        <is>
          <t>Nao</t>
        </is>
      </c>
      <c r="AB3679" s="111" t="inlineStr">
        <is>
          <t>NAO_COMPUTADO</t>
        </is>
      </c>
      <c r="AC3679" s="112" t="inlineStr">
        <is>
          <t>Estrutura Fase 1: sem impacto no VTA oficial</t>
        </is>
      </c>
    </row>
    <row r="3680" ht="25.5" customHeight="1" s="289">
      <c r="A3680" s="205" t="n"/>
      <c r="B3680" s="207" t="n"/>
      <c r="C3680" s="104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348" t="n"/>
      <c r="E3680" s="349">
        <f>IF(C3680="","",IFERROR(VLOOKUP(C3680,parametros!$A$11:$E$15,5,0),""))</f>
        <v/>
      </c>
      <c r="F3680" s="335">
        <f>IF(OR(D3680="",E3680=""),"",ROUND(D3680*E3680,2))</f>
        <v/>
      </c>
      <c r="G3680" s="106" t="n"/>
      <c r="H3680" s="350">
        <f>IF(G3680="Sim",IF(OR(F3680="",D3680="",L3680=""),"",IF(L3680="Sim",ROUND(F3680-D3680,2),0)),0)</f>
        <v/>
      </c>
      <c r="I3680" s="350">
        <f>IF(G3680="Sim",0,IF(OR(F3680="",L3680=""),"",F3680))</f>
        <v/>
      </c>
      <c r="J3680" s="350">
        <f>IF(G3680="Sim",0,IF(OR(F3680="",D3680="",L3680=""),"",IF(L3680="Sim",ROUND(F3680-D3680,2),0)))</f>
        <v/>
      </c>
      <c r="K3680" s="97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inlineStr">
        <is>
          <t>Nao</t>
        </is>
      </c>
      <c r="W3680" s="110" t="inlineStr">
        <is>
          <t>PC em analise</t>
        </is>
      </c>
      <c r="X3680" s="110" t="inlineStr">
        <is>
          <t>Pedido de Compra</t>
        </is>
      </c>
      <c r="Y3680" s="111" t="inlineStr">
        <is>
          <t>Impacto Potencial</t>
        </is>
      </c>
      <c r="Z3680" s="111" t="inlineStr">
        <is>
          <t>PC</t>
        </is>
      </c>
      <c r="AA3680" s="111" t="inlineStr">
        <is>
          <t>Nao</t>
        </is>
      </c>
      <c r="AB3680" s="111" t="inlineStr">
        <is>
          <t>NAO_COMPUTADO</t>
        </is>
      </c>
      <c r="AC3680" s="112" t="inlineStr">
        <is>
          <t>Estrutura Fase 1: sem impacto no VTA oficial</t>
        </is>
      </c>
    </row>
    <row r="3681" ht="25.5" customHeight="1" s="289">
      <c r="A3681" s="205" t="n"/>
      <c r="B3681" s="207" t="n"/>
      <c r="C3681" s="104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348" t="n"/>
      <c r="E3681" s="349">
        <f>IF(C3681="","",IFERROR(VLOOKUP(C3681,parametros!$A$11:$E$15,5,0),""))</f>
        <v/>
      </c>
      <c r="F3681" s="335">
        <f>IF(OR(D3681="",E3681=""),"",ROUND(D3681*E3681,2))</f>
        <v/>
      </c>
      <c r="G3681" s="106" t="n"/>
      <c r="H3681" s="350">
        <f>IF(G3681="Sim",IF(OR(F3681="",D3681="",L3681=""),"",IF(L3681="Sim",ROUND(F3681-D3681,2),0)),0)</f>
        <v/>
      </c>
      <c r="I3681" s="350">
        <f>IF(G3681="Sim",0,IF(OR(F3681="",L3681=""),"",F3681))</f>
        <v/>
      </c>
      <c r="J3681" s="350">
        <f>IF(G3681="Sim",0,IF(OR(F3681="",D3681="",L3681=""),"",IF(L3681="Sim",ROUND(F3681-D3681,2),0)))</f>
        <v/>
      </c>
      <c r="K3681" s="97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inlineStr">
        <is>
          <t>Nao</t>
        </is>
      </c>
      <c r="W3681" s="110" t="inlineStr">
        <is>
          <t>PC em analise</t>
        </is>
      </c>
      <c r="X3681" s="110" t="inlineStr">
        <is>
          <t>Pedido de Compra</t>
        </is>
      </c>
      <c r="Y3681" s="111" t="inlineStr">
        <is>
          <t>Impacto Potencial</t>
        </is>
      </c>
      <c r="Z3681" s="111" t="inlineStr">
        <is>
          <t>PC</t>
        </is>
      </c>
      <c r="AA3681" s="111" t="inlineStr">
        <is>
          <t>Nao</t>
        </is>
      </c>
      <c r="AB3681" s="111" t="inlineStr">
        <is>
          <t>NAO_COMPUTADO</t>
        </is>
      </c>
      <c r="AC3681" s="112" t="inlineStr">
        <is>
          <t>Estrutura Fase 1: sem impacto no VTA oficial</t>
        </is>
      </c>
    </row>
    <row r="3682" ht="25.5" customHeight="1" s="289">
      <c r="A3682" s="205" t="n"/>
      <c r="B3682" s="207" t="n"/>
      <c r="C3682" s="104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348" t="n"/>
      <c r="E3682" s="349">
        <f>IF(C3682="","",IFERROR(VLOOKUP(C3682,parametros!$A$11:$E$15,5,0),""))</f>
        <v/>
      </c>
      <c r="F3682" s="335">
        <f>IF(OR(D3682="",E3682=""),"",ROUND(D3682*E3682,2))</f>
        <v/>
      </c>
      <c r="G3682" s="106" t="n"/>
      <c r="H3682" s="350">
        <f>IF(G3682="Sim",IF(OR(F3682="",D3682="",L3682=""),"",IF(L3682="Sim",ROUND(F3682-D3682,2),0)),0)</f>
        <v/>
      </c>
      <c r="I3682" s="350">
        <f>IF(G3682="Sim",0,IF(OR(F3682="",L3682=""),"",F3682))</f>
        <v/>
      </c>
      <c r="J3682" s="350">
        <f>IF(G3682="Sim",0,IF(OR(F3682="",D3682="",L3682=""),"",IF(L3682="Sim",ROUND(F3682-D3682,2),0)))</f>
        <v/>
      </c>
      <c r="K3682" s="97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inlineStr">
        <is>
          <t>Nao</t>
        </is>
      </c>
      <c r="W3682" s="110" t="inlineStr">
        <is>
          <t>PC em analise</t>
        </is>
      </c>
      <c r="X3682" s="110" t="inlineStr">
        <is>
          <t>Pedido de Compra</t>
        </is>
      </c>
      <c r="Y3682" s="111" t="inlineStr">
        <is>
          <t>Impacto Potencial</t>
        </is>
      </c>
      <c r="Z3682" s="111" t="inlineStr">
        <is>
          <t>PC</t>
        </is>
      </c>
      <c r="AA3682" s="111" t="inlineStr">
        <is>
          <t>Nao</t>
        </is>
      </c>
      <c r="AB3682" s="111" t="inlineStr">
        <is>
          <t>NAO_COMPUTADO</t>
        </is>
      </c>
      <c r="AC3682" s="112" t="inlineStr">
        <is>
          <t>Estrutura Fase 1: sem impacto no VTA oficial</t>
        </is>
      </c>
    </row>
    <row r="3683" ht="25.5" customHeight="1" s="289">
      <c r="A3683" s="205" t="n"/>
      <c r="B3683" s="207" t="n"/>
      <c r="C3683" s="104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348" t="n"/>
      <c r="E3683" s="349">
        <f>IF(C3683="","",IFERROR(VLOOKUP(C3683,parametros!$A$11:$E$15,5,0),""))</f>
        <v/>
      </c>
      <c r="F3683" s="335">
        <f>IF(OR(D3683="",E3683=""),"",ROUND(D3683*E3683,2))</f>
        <v/>
      </c>
      <c r="G3683" s="106" t="n"/>
      <c r="H3683" s="350">
        <f>IF(G3683="Sim",IF(OR(F3683="",D3683="",L3683=""),"",IF(L3683="Sim",ROUND(F3683-D3683,2),0)),0)</f>
        <v/>
      </c>
      <c r="I3683" s="350">
        <f>IF(G3683="Sim",0,IF(OR(F3683="",L3683=""),"",F3683))</f>
        <v/>
      </c>
      <c r="J3683" s="350">
        <f>IF(G3683="Sim",0,IF(OR(F3683="",D3683="",L3683=""),"",IF(L3683="Sim",ROUND(F3683-D3683,2),0)))</f>
        <v/>
      </c>
      <c r="K3683" s="97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inlineStr">
        <is>
          <t>Nao</t>
        </is>
      </c>
      <c r="W3683" s="110" t="inlineStr">
        <is>
          <t>PC em analise</t>
        </is>
      </c>
      <c r="X3683" s="110" t="inlineStr">
        <is>
          <t>Pedido de Compra</t>
        </is>
      </c>
      <c r="Y3683" s="111" t="inlineStr">
        <is>
          <t>Impacto Potencial</t>
        </is>
      </c>
      <c r="Z3683" s="111" t="inlineStr">
        <is>
          <t>PC</t>
        </is>
      </c>
      <c r="AA3683" s="111" t="inlineStr">
        <is>
          <t>Nao</t>
        </is>
      </c>
      <c r="AB3683" s="111" t="inlineStr">
        <is>
          <t>NAO_COMPUTADO</t>
        </is>
      </c>
      <c r="AC3683" s="112" t="inlineStr">
        <is>
          <t>Estrutura Fase 1: sem impacto no VTA oficial</t>
        </is>
      </c>
    </row>
    <row r="3684" ht="25.5" customHeight="1" s="289">
      <c r="A3684" s="205" t="n"/>
      <c r="B3684" s="207" t="n"/>
      <c r="C3684" s="104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348" t="n"/>
      <c r="E3684" s="349">
        <f>IF(C3684="","",IFERROR(VLOOKUP(C3684,parametros!$A$11:$E$15,5,0),""))</f>
        <v/>
      </c>
      <c r="F3684" s="335">
        <f>IF(OR(D3684="",E3684=""),"",ROUND(D3684*E3684,2))</f>
        <v/>
      </c>
      <c r="G3684" s="106" t="n"/>
      <c r="H3684" s="350">
        <f>IF(G3684="Sim",IF(OR(F3684="",D3684="",L3684=""),"",IF(L3684="Sim",ROUND(F3684-D3684,2),0)),0)</f>
        <v/>
      </c>
      <c r="I3684" s="350">
        <f>IF(G3684="Sim",0,IF(OR(F3684="",L3684=""),"",F3684))</f>
        <v/>
      </c>
      <c r="J3684" s="350">
        <f>IF(G3684="Sim",0,IF(OR(F3684="",D3684="",L3684=""),"",IF(L3684="Sim",ROUND(F3684-D3684,2),0)))</f>
        <v/>
      </c>
      <c r="K3684" s="97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inlineStr">
        <is>
          <t>Nao</t>
        </is>
      </c>
      <c r="W3684" s="110" t="inlineStr">
        <is>
          <t>PC em analise</t>
        </is>
      </c>
      <c r="X3684" s="110" t="inlineStr">
        <is>
          <t>Pedido de Compra</t>
        </is>
      </c>
      <c r="Y3684" s="111" t="inlineStr">
        <is>
          <t>Impacto Potencial</t>
        </is>
      </c>
      <c r="Z3684" s="111" t="inlineStr">
        <is>
          <t>PC</t>
        </is>
      </c>
      <c r="AA3684" s="111" t="inlineStr">
        <is>
          <t>Nao</t>
        </is>
      </c>
      <c r="AB3684" s="111" t="inlineStr">
        <is>
          <t>NAO_COMPUTADO</t>
        </is>
      </c>
      <c r="AC3684" s="112" t="inlineStr">
        <is>
          <t>Estrutura Fase 1: sem impacto no VTA oficial</t>
        </is>
      </c>
    </row>
    <row r="3685" ht="25.5" customHeight="1" s="289">
      <c r="A3685" s="205" t="n"/>
      <c r="B3685" s="207" t="n"/>
      <c r="C3685" s="104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348" t="n"/>
      <c r="E3685" s="349">
        <f>IF(C3685="","",IFERROR(VLOOKUP(C3685,parametros!$A$11:$E$15,5,0),""))</f>
        <v/>
      </c>
      <c r="F3685" s="335">
        <f>IF(OR(D3685="",E3685=""),"",ROUND(D3685*E3685,2))</f>
        <v/>
      </c>
      <c r="G3685" s="106" t="n"/>
      <c r="H3685" s="350">
        <f>IF(G3685="Sim",IF(OR(F3685="",D3685="",L3685=""),"",IF(L3685="Sim",ROUND(F3685-D3685,2),0)),0)</f>
        <v/>
      </c>
      <c r="I3685" s="350">
        <f>IF(G3685="Sim",0,IF(OR(F3685="",L3685=""),"",F3685))</f>
        <v/>
      </c>
      <c r="J3685" s="350">
        <f>IF(G3685="Sim",0,IF(OR(F3685="",D3685="",L3685=""),"",IF(L3685="Sim",ROUND(F3685-D3685,2),0)))</f>
        <v/>
      </c>
      <c r="K3685" s="97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inlineStr">
        <is>
          <t>Nao</t>
        </is>
      </c>
      <c r="W3685" s="110" t="inlineStr">
        <is>
          <t>PC em analise</t>
        </is>
      </c>
      <c r="X3685" s="110" t="inlineStr">
        <is>
          <t>Pedido de Compra</t>
        </is>
      </c>
      <c r="Y3685" s="111" t="inlineStr">
        <is>
          <t>Impacto Potencial</t>
        </is>
      </c>
      <c r="Z3685" s="111" t="inlineStr">
        <is>
          <t>PC</t>
        </is>
      </c>
      <c r="AA3685" s="111" t="inlineStr">
        <is>
          <t>Nao</t>
        </is>
      </c>
      <c r="AB3685" s="111" t="inlineStr">
        <is>
          <t>NAO_COMPUTADO</t>
        </is>
      </c>
      <c r="AC3685" s="112" t="inlineStr">
        <is>
          <t>Estrutura Fase 1: sem impacto no VTA oficial</t>
        </is>
      </c>
    </row>
    <row r="3686" ht="25.5" customHeight="1" s="289">
      <c r="A3686" s="205" t="n"/>
      <c r="B3686" s="207" t="n"/>
      <c r="C3686" s="104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348" t="n"/>
      <c r="E3686" s="349">
        <f>IF(C3686="","",IFERROR(VLOOKUP(C3686,parametros!$A$11:$E$15,5,0),""))</f>
        <v/>
      </c>
      <c r="F3686" s="335">
        <f>IF(OR(D3686="",E3686=""),"",ROUND(D3686*E3686,2))</f>
        <v/>
      </c>
      <c r="G3686" s="106" t="n"/>
      <c r="H3686" s="350">
        <f>IF(G3686="Sim",IF(OR(F3686="",D3686="",L3686=""),"",IF(L3686="Sim",ROUND(F3686-D3686,2),0)),0)</f>
        <v/>
      </c>
      <c r="I3686" s="350">
        <f>IF(G3686="Sim",0,IF(OR(F3686="",L3686=""),"",F3686))</f>
        <v/>
      </c>
      <c r="J3686" s="350">
        <f>IF(G3686="Sim",0,IF(OR(F3686="",D3686="",L3686=""),"",IF(L3686="Sim",ROUND(F3686-D3686,2),0)))</f>
        <v/>
      </c>
      <c r="K3686" s="97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inlineStr">
        <is>
          <t>Nao</t>
        </is>
      </c>
      <c r="W3686" s="110" t="inlineStr">
        <is>
          <t>PC em analise</t>
        </is>
      </c>
      <c r="X3686" s="110" t="inlineStr">
        <is>
          <t>Pedido de Compra</t>
        </is>
      </c>
      <c r="Y3686" s="111" t="inlineStr">
        <is>
          <t>Impacto Potencial</t>
        </is>
      </c>
      <c r="Z3686" s="111" t="inlineStr">
        <is>
          <t>PC</t>
        </is>
      </c>
      <c r="AA3686" s="111" t="inlineStr">
        <is>
          <t>Nao</t>
        </is>
      </c>
      <c r="AB3686" s="111" t="inlineStr">
        <is>
          <t>NAO_COMPUTADO</t>
        </is>
      </c>
      <c r="AC3686" s="112" t="inlineStr">
        <is>
          <t>Estrutura Fase 1: sem impacto no VTA oficial</t>
        </is>
      </c>
    </row>
    <row r="3687" ht="25.5" customHeight="1" s="289">
      <c r="A3687" s="205" t="n"/>
      <c r="B3687" s="207" t="n"/>
      <c r="C3687" s="104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348" t="n"/>
      <c r="E3687" s="349">
        <f>IF(C3687="","",IFERROR(VLOOKUP(C3687,parametros!$A$11:$E$15,5,0),""))</f>
        <v/>
      </c>
      <c r="F3687" s="335">
        <f>IF(OR(D3687="",E3687=""),"",ROUND(D3687*E3687,2))</f>
        <v/>
      </c>
      <c r="G3687" s="106" t="n"/>
      <c r="H3687" s="350">
        <f>IF(G3687="Sim",IF(OR(F3687="",D3687="",L3687=""),"",IF(L3687="Sim",ROUND(F3687-D3687,2),0)),0)</f>
        <v/>
      </c>
      <c r="I3687" s="350">
        <f>IF(G3687="Sim",0,IF(OR(F3687="",L3687=""),"",F3687))</f>
        <v/>
      </c>
      <c r="J3687" s="350">
        <f>IF(G3687="Sim",0,IF(OR(F3687="",D3687="",L3687=""),"",IF(L3687="Sim",ROUND(F3687-D3687,2),0)))</f>
        <v/>
      </c>
      <c r="K3687" s="97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inlineStr">
        <is>
          <t>Nao</t>
        </is>
      </c>
      <c r="W3687" s="110" t="inlineStr">
        <is>
          <t>PC em analise</t>
        </is>
      </c>
      <c r="X3687" s="110" t="inlineStr">
        <is>
          <t>Pedido de Compra</t>
        </is>
      </c>
      <c r="Y3687" s="111" t="inlineStr">
        <is>
          <t>Impacto Potencial</t>
        </is>
      </c>
      <c r="Z3687" s="111" t="inlineStr">
        <is>
          <t>PC</t>
        </is>
      </c>
      <c r="AA3687" s="111" t="inlineStr">
        <is>
          <t>Nao</t>
        </is>
      </c>
      <c r="AB3687" s="111" t="inlineStr">
        <is>
          <t>NAO_COMPUTADO</t>
        </is>
      </c>
      <c r="AC3687" s="112" t="inlineStr">
        <is>
          <t>Estrutura Fase 1: sem impacto no VTA oficial</t>
        </is>
      </c>
    </row>
    <row r="3688" ht="25.5" customHeight="1" s="289">
      <c r="A3688" s="205" t="n"/>
      <c r="B3688" s="207" t="n"/>
      <c r="C3688" s="104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348" t="n"/>
      <c r="E3688" s="349">
        <f>IF(C3688="","",IFERROR(VLOOKUP(C3688,parametros!$A$11:$E$15,5,0),""))</f>
        <v/>
      </c>
      <c r="F3688" s="335">
        <f>IF(OR(D3688="",E3688=""),"",ROUND(D3688*E3688,2))</f>
        <v/>
      </c>
      <c r="G3688" s="106" t="n"/>
      <c r="H3688" s="350">
        <f>IF(G3688="Sim",IF(OR(F3688="",D3688="",L3688=""),"",IF(L3688="Sim",ROUND(F3688-D3688,2),0)),0)</f>
        <v/>
      </c>
      <c r="I3688" s="350">
        <f>IF(G3688="Sim",0,IF(OR(F3688="",L3688=""),"",F3688))</f>
        <v/>
      </c>
      <c r="J3688" s="350">
        <f>IF(G3688="Sim",0,IF(OR(F3688="",D3688="",L3688=""),"",IF(L3688="Sim",ROUND(F3688-D3688,2),0)))</f>
        <v/>
      </c>
      <c r="K3688" s="97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inlineStr">
        <is>
          <t>Nao</t>
        </is>
      </c>
      <c r="W3688" s="110" t="inlineStr">
        <is>
          <t>PC em analise</t>
        </is>
      </c>
      <c r="X3688" s="110" t="inlineStr">
        <is>
          <t>Pedido de Compra</t>
        </is>
      </c>
      <c r="Y3688" s="111" t="inlineStr">
        <is>
          <t>Impacto Potencial</t>
        </is>
      </c>
      <c r="Z3688" s="111" t="inlineStr">
        <is>
          <t>PC</t>
        </is>
      </c>
      <c r="AA3688" s="111" t="inlineStr">
        <is>
          <t>Nao</t>
        </is>
      </c>
      <c r="AB3688" s="111" t="inlineStr">
        <is>
          <t>NAO_COMPUTADO</t>
        </is>
      </c>
      <c r="AC3688" s="112" t="inlineStr">
        <is>
          <t>Estrutura Fase 1: sem impacto no VTA oficial</t>
        </is>
      </c>
    </row>
    <row r="3689" ht="25.5" customHeight="1" s="289">
      <c r="A3689" s="205" t="n"/>
      <c r="B3689" s="207" t="n"/>
      <c r="C3689" s="104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348" t="n"/>
      <c r="E3689" s="349">
        <f>IF(C3689="","",IFERROR(VLOOKUP(C3689,parametros!$A$11:$E$15,5,0),""))</f>
        <v/>
      </c>
      <c r="F3689" s="335">
        <f>IF(OR(D3689="",E3689=""),"",ROUND(D3689*E3689,2))</f>
        <v/>
      </c>
      <c r="G3689" s="106" t="n"/>
      <c r="H3689" s="350">
        <f>IF(G3689="Sim",IF(OR(F3689="",D3689="",L3689=""),"",IF(L3689="Sim",ROUND(F3689-D3689,2),0)),0)</f>
        <v/>
      </c>
      <c r="I3689" s="350">
        <f>IF(G3689="Sim",0,IF(OR(F3689="",L3689=""),"",F3689))</f>
        <v/>
      </c>
      <c r="J3689" s="350">
        <f>IF(G3689="Sim",0,IF(OR(F3689="",D3689="",L3689=""),"",IF(L3689="Sim",ROUND(F3689-D3689,2),0)))</f>
        <v/>
      </c>
      <c r="K3689" s="97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inlineStr">
        <is>
          <t>Nao</t>
        </is>
      </c>
      <c r="W3689" s="110" t="inlineStr">
        <is>
          <t>PC em analise</t>
        </is>
      </c>
      <c r="X3689" s="110" t="inlineStr">
        <is>
          <t>Pedido de Compra</t>
        </is>
      </c>
      <c r="Y3689" s="111" t="inlineStr">
        <is>
          <t>Impacto Potencial</t>
        </is>
      </c>
      <c r="Z3689" s="111" t="inlineStr">
        <is>
          <t>PC</t>
        </is>
      </c>
      <c r="AA3689" s="111" t="inlineStr">
        <is>
          <t>Nao</t>
        </is>
      </c>
      <c r="AB3689" s="111" t="inlineStr">
        <is>
          <t>NAO_COMPUTADO</t>
        </is>
      </c>
      <c r="AC3689" s="112" t="inlineStr">
        <is>
          <t>Estrutura Fase 1: sem impacto no VTA oficial</t>
        </is>
      </c>
    </row>
    <row r="3690" ht="25.5" customHeight="1" s="289">
      <c r="A3690" s="205" t="n"/>
      <c r="B3690" s="207" t="n"/>
      <c r="C3690" s="104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348" t="n"/>
      <c r="E3690" s="349">
        <f>IF(C3690="","",IFERROR(VLOOKUP(C3690,parametros!$A$11:$E$15,5,0),""))</f>
        <v/>
      </c>
      <c r="F3690" s="335">
        <f>IF(OR(D3690="",E3690=""),"",ROUND(D3690*E3690,2))</f>
        <v/>
      </c>
      <c r="G3690" s="106" t="n"/>
      <c r="H3690" s="350">
        <f>IF(G3690="Sim",IF(OR(F3690="",D3690="",L3690=""),"",IF(L3690="Sim",ROUND(F3690-D3690,2),0)),0)</f>
        <v/>
      </c>
      <c r="I3690" s="350">
        <f>IF(G3690="Sim",0,IF(OR(F3690="",L3690=""),"",F3690))</f>
        <v/>
      </c>
      <c r="J3690" s="350">
        <f>IF(G3690="Sim",0,IF(OR(F3690="",D3690="",L3690=""),"",IF(L3690="Sim",ROUND(F3690-D3690,2),0)))</f>
        <v/>
      </c>
      <c r="K3690" s="97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inlineStr">
        <is>
          <t>Nao</t>
        </is>
      </c>
      <c r="W3690" s="110" t="inlineStr">
        <is>
          <t>PC em analise</t>
        </is>
      </c>
      <c r="X3690" s="110" t="inlineStr">
        <is>
          <t>Pedido de Compra</t>
        </is>
      </c>
      <c r="Y3690" s="111" t="inlineStr">
        <is>
          <t>Impacto Potencial</t>
        </is>
      </c>
      <c r="Z3690" s="111" t="inlineStr">
        <is>
          <t>PC</t>
        </is>
      </c>
      <c r="AA3690" s="111" t="inlineStr">
        <is>
          <t>Nao</t>
        </is>
      </c>
      <c r="AB3690" s="111" t="inlineStr">
        <is>
          <t>NAO_COMPUTADO</t>
        </is>
      </c>
      <c r="AC3690" s="112" t="inlineStr">
        <is>
          <t>Estrutura Fase 1: sem impacto no VTA oficial</t>
        </is>
      </c>
    </row>
    <row r="3691" ht="25.5" customHeight="1" s="289">
      <c r="A3691" s="205" t="n"/>
      <c r="B3691" s="207" t="n"/>
      <c r="C3691" s="104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348" t="n"/>
      <c r="E3691" s="349">
        <f>IF(C3691="","",IFERROR(VLOOKUP(C3691,parametros!$A$11:$E$15,5,0),""))</f>
        <v/>
      </c>
      <c r="F3691" s="335">
        <f>IF(OR(D3691="",E3691=""),"",ROUND(D3691*E3691,2))</f>
        <v/>
      </c>
      <c r="G3691" s="106" t="n"/>
      <c r="H3691" s="350">
        <f>IF(G3691="Sim",IF(OR(F3691="",D3691="",L3691=""),"",IF(L3691="Sim",ROUND(F3691-D3691,2),0)),0)</f>
        <v/>
      </c>
      <c r="I3691" s="350">
        <f>IF(G3691="Sim",0,IF(OR(F3691="",L3691=""),"",F3691))</f>
        <v/>
      </c>
      <c r="J3691" s="350">
        <f>IF(G3691="Sim",0,IF(OR(F3691="",D3691="",L3691=""),"",IF(L3691="Sim",ROUND(F3691-D3691,2),0)))</f>
        <v/>
      </c>
      <c r="K3691" s="97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inlineStr">
        <is>
          <t>Nao</t>
        </is>
      </c>
      <c r="W3691" s="110" t="inlineStr">
        <is>
          <t>PC em analise</t>
        </is>
      </c>
      <c r="X3691" s="110" t="inlineStr">
        <is>
          <t>Pedido de Compra</t>
        </is>
      </c>
      <c r="Y3691" s="111" t="inlineStr">
        <is>
          <t>Impacto Potencial</t>
        </is>
      </c>
      <c r="Z3691" s="111" t="inlineStr">
        <is>
          <t>PC</t>
        </is>
      </c>
      <c r="AA3691" s="111" t="inlineStr">
        <is>
          <t>Nao</t>
        </is>
      </c>
      <c r="AB3691" s="111" t="inlineStr">
        <is>
          <t>NAO_COMPUTADO</t>
        </is>
      </c>
      <c r="AC3691" s="112" t="inlineStr">
        <is>
          <t>Estrutura Fase 1: sem impacto no VTA oficial</t>
        </is>
      </c>
    </row>
    <row r="3692" ht="25.5" customHeight="1" s="289">
      <c r="A3692" s="205" t="n"/>
      <c r="B3692" s="207" t="n"/>
      <c r="C3692" s="104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348" t="n"/>
      <c r="E3692" s="349">
        <f>IF(C3692="","",IFERROR(VLOOKUP(C3692,parametros!$A$11:$E$15,5,0),""))</f>
        <v/>
      </c>
      <c r="F3692" s="335">
        <f>IF(OR(D3692="",E3692=""),"",ROUND(D3692*E3692,2))</f>
        <v/>
      </c>
      <c r="G3692" s="106" t="n"/>
      <c r="H3692" s="350">
        <f>IF(G3692="Sim",IF(OR(F3692="",D3692="",L3692=""),"",IF(L3692="Sim",ROUND(F3692-D3692,2),0)),0)</f>
        <v/>
      </c>
      <c r="I3692" s="350">
        <f>IF(G3692="Sim",0,IF(OR(F3692="",L3692=""),"",F3692))</f>
        <v/>
      </c>
      <c r="J3692" s="350">
        <f>IF(G3692="Sim",0,IF(OR(F3692="",D3692="",L3692=""),"",IF(L3692="Sim",ROUND(F3692-D3692,2),0)))</f>
        <v/>
      </c>
      <c r="K3692" s="97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inlineStr">
        <is>
          <t>Nao</t>
        </is>
      </c>
      <c r="W3692" s="110" t="inlineStr">
        <is>
          <t>PC em analise</t>
        </is>
      </c>
      <c r="X3692" s="110" t="inlineStr">
        <is>
          <t>Pedido de Compra</t>
        </is>
      </c>
      <c r="Y3692" s="111" t="inlineStr">
        <is>
          <t>Impacto Potencial</t>
        </is>
      </c>
      <c r="Z3692" s="111" t="inlineStr">
        <is>
          <t>PC</t>
        </is>
      </c>
      <c r="AA3692" s="111" t="inlineStr">
        <is>
          <t>Nao</t>
        </is>
      </c>
      <c r="AB3692" s="111" t="inlineStr">
        <is>
          <t>NAO_COMPUTADO</t>
        </is>
      </c>
      <c r="AC3692" s="112" t="inlineStr">
        <is>
          <t>Estrutura Fase 1: sem impacto no VTA oficial</t>
        </is>
      </c>
    </row>
    <row r="3693" ht="25.5" customHeight="1" s="289">
      <c r="A3693" s="205" t="n"/>
      <c r="B3693" s="207" t="n"/>
      <c r="C3693" s="104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348" t="n"/>
      <c r="E3693" s="349">
        <f>IF(C3693="","",IFERROR(VLOOKUP(C3693,parametros!$A$11:$E$15,5,0),""))</f>
        <v/>
      </c>
      <c r="F3693" s="335">
        <f>IF(OR(D3693="",E3693=""),"",ROUND(D3693*E3693,2))</f>
        <v/>
      </c>
      <c r="G3693" s="106" t="n"/>
      <c r="H3693" s="350">
        <f>IF(G3693="Sim",IF(OR(F3693="",D3693="",L3693=""),"",IF(L3693="Sim",ROUND(F3693-D3693,2),0)),0)</f>
        <v/>
      </c>
      <c r="I3693" s="350">
        <f>IF(G3693="Sim",0,IF(OR(F3693="",L3693=""),"",F3693))</f>
        <v/>
      </c>
      <c r="J3693" s="350">
        <f>IF(G3693="Sim",0,IF(OR(F3693="",D3693="",L3693=""),"",IF(L3693="Sim",ROUND(F3693-D3693,2),0)))</f>
        <v/>
      </c>
      <c r="K3693" s="97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inlineStr">
        <is>
          <t>Nao</t>
        </is>
      </c>
      <c r="W3693" s="110" t="inlineStr">
        <is>
          <t>PC em analise</t>
        </is>
      </c>
      <c r="X3693" s="110" t="inlineStr">
        <is>
          <t>Pedido de Compra</t>
        </is>
      </c>
      <c r="Y3693" s="111" t="inlineStr">
        <is>
          <t>Impacto Potencial</t>
        </is>
      </c>
      <c r="Z3693" s="111" t="inlineStr">
        <is>
          <t>PC</t>
        </is>
      </c>
      <c r="AA3693" s="111" t="inlineStr">
        <is>
          <t>Nao</t>
        </is>
      </c>
      <c r="AB3693" s="111" t="inlineStr">
        <is>
          <t>NAO_COMPUTADO</t>
        </is>
      </c>
      <c r="AC3693" s="112" t="inlineStr">
        <is>
          <t>Estrutura Fase 1: sem impacto no VTA oficial</t>
        </is>
      </c>
    </row>
    <row r="3694" ht="25.5" customHeight="1" s="289">
      <c r="A3694" s="205" t="n"/>
      <c r="B3694" s="207" t="n"/>
      <c r="C3694" s="104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348" t="n"/>
      <c r="E3694" s="349">
        <f>IF(C3694="","",IFERROR(VLOOKUP(C3694,parametros!$A$11:$E$15,5,0),""))</f>
        <v/>
      </c>
      <c r="F3694" s="335">
        <f>IF(OR(D3694="",E3694=""),"",ROUND(D3694*E3694,2))</f>
        <v/>
      </c>
      <c r="G3694" s="106" t="n"/>
      <c r="H3694" s="350">
        <f>IF(G3694="Sim",IF(OR(F3694="",D3694="",L3694=""),"",IF(L3694="Sim",ROUND(F3694-D3694,2),0)),0)</f>
        <v/>
      </c>
      <c r="I3694" s="350">
        <f>IF(G3694="Sim",0,IF(OR(F3694="",L3694=""),"",F3694))</f>
        <v/>
      </c>
      <c r="J3694" s="350">
        <f>IF(G3694="Sim",0,IF(OR(F3694="",D3694="",L3694=""),"",IF(L3694="Sim",ROUND(F3694-D3694,2),0)))</f>
        <v/>
      </c>
      <c r="K3694" s="97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inlineStr">
        <is>
          <t>Nao</t>
        </is>
      </c>
      <c r="W3694" s="110" t="inlineStr">
        <is>
          <t>PC em analise</t>
        </is>
      </c>
      <c r="X3694" s="110" t="inlineStr">
        <is>
          <t>Pedido de Compra</t>
        </is>
      </c>
      <c r="Y3694" s="111" t="inlineStr">
        <is>
          <t>Impacto Potencial</t>
        </is>
      </c>
      <c r="Z3694" s="111" t="inlineStr">
        <is>
          <t>PC</t>
        </is>
      </c>
      <c r="AA3694" s="111" t="inlineStr">
        <is>
          <t>Nao</t>
        </is>
      </c>
      <c r="AB3694" s="111" t="inlineStr">
        <is>
          <t>NAO_COMPUTADO</t>
        </is>
      </c>
      <c r="AC3694" s="112" t="inlineStr">
        <is>
          <t>Estrutura Fase 1: sem impacto no VTA oficial</t>
        </is>
      </c>
    </row>
    <row r="3695" ht="25.5" customHeight="1" s="289">
      <c r="A3695" s="205" t="n"/>
      <c r="B3695" s="207" t="n"/>
      <c r="C3695" s="104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348" t="n"/>
      <c r="E3695" s="349">
        <f>IF(C3695="","",IFERROR(VLOOKUP(C3695,parametros!$A$11:$E$15,5,0),""))</f>
        <v/>
      </c>
      <c r="F3695" s="335">
        <f>IF(OR(D3695="",E3695=""),"",ROUND(D3695*E3695,2))</f>
        <v/>
      </c>
      <c r="G3695" s="106" t="n"/>
      <c r="H3695" s="350">
        <f>IF(G3695="Sim",IF(OR(F3695="",D3695="",L3695=""),"",IF(L3695="Sim",ROUND(F3695-D3695,2),0)),0)</f>
        <v/>
      </c>
      <c r="I3695" s="350">
        <f>IF(G3695="Sim",0,IF(OR(F3695="",L3695=""),"",F3695))</f>
        <v/>
      </c>
      <c r="J3695" s="350">
        <f>IF(G3695="Sim",0,IF(OR(F3695="",D3695="",L3695=""),"",IF(L3695="Sim",ROUND(F3695-D3695,2),0)))</f>
        <v/>
      </c>
      <c r="K3695" s="97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inlineStr">
        <is>
          <t>Nao</t>
        </is>
      </c>
      <c r="W3695" s="110" t="inlineStr">
        <is>
          <t>PC em analise</t>
        </is>
      </c>
      <c r="X3695" s="110" t="inlineStr">
        <is>
          <t>Pedido de Compra</t>
        </is>
      </c>
      <c r="Y3695" s="111" t="inlineStr">
        <is>
          <t>Impacto Potencial</t>
        </is>
      </c>
      <c r="Z3695" s="111" t="inlineStr">
        <is>
          <t>PC</t>
        </is>
      </c>
      <c r="AA3695" s="111" t="inlineStr">
        <is>
          <t>Nao</t>
        </is>
      </c>
      <c r="AB3695" s="111" t="inlineStr">
        <is>
          <t>NAO_COMPUTADO</t>
        </is>
      </c>
      <c r="AC3695" s="112" t="inlineStr">
        <is>
          <t>Estrutura Fase 1: sem impacto no VTA oficial</t>
        </is>
      </c>
    </row>
    <row r="3696" ht="25.5" customHeight="1" s="289">
      <c r="A3696" s="205" t="n"/>
      <c r="B3696" s="207" t="n"/>
      <c r="C3696" s="104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348" t="n"/>
      <c r="E3696" s="349">
        <f>IF(C3696="","",IFERROR(VLOOKUP(C3696,parametros!$A$11:$E$15,5,0),""))</f>
        <v/>
      </c>
      <c r="F3696" s="335">
        <f>IF(OR(D3696="",E3696=""),"",ROUND(D3696*E3696,2))</f>
        <v/>
      </c>
      <c r="G3696" s="106" t="n"/>
      <c r="H3696" s="350">
        <f>IF(G3696="Sim",IF(OR(F3696="",D3696="",L3696=""),"",IF(L3696="Sim",ROUND(F3696-D3696,2),0)),0)</f>
        <v/>
      </c>
      <c r="I3696" s="350">
        <f>IF(G3696="Sim",0,IF(OR(F3696="",L3696=""),"",F3696))</f>
        <v/>
      </c>
      <c r="J3696" s="350">
        <f>IF(G3696="Sim",0,IF(OR(F3696="",D3696="",L3696=""),"",IF(L3696="Sim",ROUND(F3696-D3696,2),0)))</f>
        <v/>
      </c>
      <c r="K3696" s="97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inlineStr">
        <is>
          <t>Nao</t>
        </is>
      </c>
      <c r="W3696" s="110" t="inlineStr">
        <is>
          <t>PC em analise</t>
        </is>
      </c>
      <c r="X3696" s="110" t="inlineStr">
        <is>
          <t>Pedido de Compra</t>
        </is>
      </c>
      <c r="Y3696" s="111" t="inlineStr">
        <is>
          <t>Impacto Potencial</t>
        </is>
      </c>
      <c r="Z3696" s="111" t="inlineStr">
        <is>
          <t>PC</t>
        </is>
      </c>
      <c r="AA3696" s="111" t="inlineStr">
        <is>
          <t>Nao</t>
        </is>
      </c>
      <c r="AB3696" s="111" t="inlineStr">
        <is>
          <t>NAO_COMPUTADO</t>
        </is>
      </c>
      <c r="AC3696" s="112" t="inlineStr">
        <is>
          <t>Estrutura Fase 1: sem impacto no VTA oficial</t>
        </is>
      </c>
    </row>
    <row r="3697" ht="25.5" customHeight="1" s="289">
      <c r="A3697" s="205" t="n"/>
      <c r="B3697" s="207" t="n"/>
      <c r="C3697" s="104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348" t="n"/>
      <c r="E3697" s="349">
        <f>IF(C3697="","",IFERROR(VLOOKUP(C3697,parametros!$A$11:$E$15,5,0),""))</f>
        <v/>
      </c>
      <c r="F3697" s="335">
        <f>IF(OR(D3697="",E3697=""),"",ROUND(D3697*E3697,2))</f>
        <v/>
      </c>
      <c r="G3697" s="106" t="n"/>
      <c r="H3697" s="350">
        <f>IF(G3697="Sim",IF(OR(F3697="",D3697="",L3697=""),"",IF(L3697="Sim",ROUND(F3697-D3697,2),0)),0)</f>
        <v/>
      </c>
      <c r="I3697" s="350">
        <f>IF(G3697="Sim",0,IF(OR(F3697="",L3697=""),"",F3697))</f>
        <v/>
      </c>
      <c r="J3697" s="350">
        <f>IF(G3697="Sim",0,IF(OR(F3697="",D3697="",L3697=""),"",IF(L3697="Sim",ROUND(F3697-D3697,2),0)))</f>
        <v/>
      </c>
      <c r="K3697" s="97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inlineStr">
        <is>
          <t>Nao</t>
        </is>
      </c>
      <c r="W3697" s="110" t="inlineStr">
        <is>
          <t>PC em analise</t>
        </is>
      </c>
      <c r="X3697" s="110" t="inlineStr">
        <is>
          <t>Pedido de Compra</t>
        </is>
      </c>
      <c r="Y3697" s="111" t="inlineStr">
        <is>
          <t>Impacto Potencial</t>
        </is>
      </c>
      <c r="Z3697" s="111" t="inlineStr">
        <is>
          <t>PC</t>
        </is>
      </c>
      <c r="AA3697" s="111" t="inlineStr">
        <is>
          <t>Nao</t>
        </is>
      </c>
      <c r="AB3697" s="111" t="inlineStr">
        <is>
          <t>NAO_COMPUTADO</t>
        </is>
      </c>
      <c r="AC3697" s="112" t="inlineStr">
        <is>
          <t>Estrutura Fase 1: sem impacto no VTA oficial</t>
        </is>
      </c>
    </row>
    <row r="3698" ht="25.5" customHeight="1" s="289">
      <c r="A3698" s="205" t="n"/>
      <c r="B3698" s="207" t="n"/>
      <c r="C3698" s="104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348" t="n"/>
      <c r="E3698" s="349">
        <f>IF(C3698="","",IFERROR(VLOOKUP(C3698,parametros!$A$11:$E$15,5,0),""))</f>
        <v/>
      </c>
      <c r="F3698" s="335">
        <f>IF(OR(D3698="",E3698=""),"",ROUND(D3698*E3698,2))</f>
        <v/>
      </c>
      <c r="G3698" s="106" t="n"/>
      <c r="H3698" s="350">
        <f>IF(G3698="Sim",IF(OR(F3698="",D3698="",L3698=""),"",IF(L3698="Sim",ROUND(F3698-D3698,2),0)),0)</f>
        <v/>
      </c>
      <c r="I3698" s="350">
        <f>IF(G3698="Sim",0,IF(OR(F3698="",L3698=""),"",F3698))</f>
        <v/>
      </c>
      <c r="J3698" s="350">
        <f>IF(G3698="Sim",0,IF(OR(F3698="",D3698="",L3698=""),"",IF(L3698="Sim",ROUND(F3698-D3698,2),0)))</f>
        <v/>
      </c>
      <c r="K3698" s="97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inlineStr">
        <is>
          <t>Nao</t>
        </is>
      </c>
      <c r="W3698" s="110" t="inlineStr">
        <is>
          <t>PC em analise</t>
        </is>
      </c>
      <c r="X3698" s="110" t="inlineStr">
        <is>
          <t>Pedido de Compra</t>
        </is>
      </c>
      <c r="Y3698" s="111" t="inlineStr">
        <is>
          <t>Impacto Potencial</t>
        </is>
      </c>
      <c r="Z3698" s="111" t="inlineStr">
        <is>
          <t>PC</t>
        </is>
      </c>
      <c r="AA3698" s="111" t="inlineStr">
        <is>
          <t>Nao</t>
        </is>
      </c>
      <c r="AB3698" s="111" t="inlineStr">
        <is>
          <t>NAO_COMPUTADO</t>
        </is>
      </c>
      <c r="AC3698" s="112" t="inlineStr">
        <is>
          <t>Estrutura Fase 1: sem impacto no VTA oficial</t>
        </is>
      </c>
    </row>
    <row r="3699" ht="25.5" customHeight="1" s="289">
      <c r="A3699" s="205" t="n"/>
      <c r="B3699" s="207" t="n"/>
      <c r="C3699" s="104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348" t="n"/>
      <c r="E3699" s="349">
        <f>IF(C3699="","",IFERROR(VLOOKUP(C3699,parametros!$A$11:$E$15,5,0),""))</f>
        <v/>
      </c>
      <c r="F3699" s="335">
        <f>IF(OR(D3699="",E3699=""),"",ROUND(D3699*E3699,2))</f>
        <v/>
      </c>
      <c r="G3699" s="106" t="n"/>
      <c r="H3699" s="350">
        <f>IF(G3699="Sim",IF(OR(F3699="",D3699="",L3699=""),"",IF(L3699="Sim",ROUND(F3699-D3699,2),0)),0)</f>
        <v/>
      </c>
      <c r="I3699" s="350">
        <f>IF(G3699="Sim",0,IF(OR(F3699="",L3699=""),"",F3699))</f>
        <v/>
      </c>
      <c r="J3699" s="350">
        <f>IF(G3699="Sim",0,IF(OR(F3699="",D3699="",L3699=""),"",IF(L3699="Sim",ROUND(F3699-D3699,2),0)))</f>
        <v/>
      </c>
      <c r="K3699" s="97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inlineStr">
        <is>
          <t>Nao</t>
        </is>
      </c>
      <c r="W3699" s="110" t="inlineStr">
        <is>
          <t>PC em analise</t>
        </is>
      </c>
      <c r="X3699" s="110" t="inlineStr">
        <is>
          <t>Pedido de Compra</t>
        </is>
      </c>
      <c r="Y3699" s="111" t="inlineStr">
        <is>
          <t>Impacto Potencial</t>
        </is>
      </c>
      <c r="Z3699" s="111" t="inlineStr">
        <is>
          <t>PC</t>
        </is>
      </c>
      <c r="AA3699" s="111" t="inlineStr">
        <is>
          <t>Nao</t>
        </is>
      </c>
      <c r="AB3699" s="111" t="inlineStr">
        <is>
          <t>NAO_COMPUTADO</t>
        </is>
      </c>
      <c r="AC3699" s="112" t="inlineStr">
        <is>
          <t>Estrutura Fase 1: sem impacto no VTA oficial</t>
        </is>
      </c>
    </row>
    <row r="3700" ht="25.5" customHeight="1" s="289">
      <c r="A3700" s="205" t="n"/>
      <c r="B3700" s="207" t="n"/>
      <c r="C3700" s="104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348" t="n"/>
      <c r="E3700" s="349">
        <f>IF(C3700="","",IFERROR(VLOOKUP(C3700,parametros!$A$11:$E$15,5,0),""))</f>
        <v/>
      </c>
      <c r="F3700" s="335">
        <f>IF(OR(D3700="",E3700=""),"",ROUND(D3700*E3700,2))</f>
        <v/>
      </c>
      <c r="G3700" s="106" t="n"/>
      <c r="H3700" s="350">
        <f>IF(G3700="Sim",IF(OR(F3700="",D3700="",L3700=""),"",IF(L3700="Sim",ROUND(F3700-D3700,2),0)),0)</f>
        <v/>
      </c>
      <c r="I3700" s="350">
        <f>IF(G3700="Sim",0,IF(OR(F3700="",L3700=""),"",F3700))</f>
        <v/>
      </c>
      <c r="J3700" s="350">
        <f>IF(G3700="Sim",0,IF(OR(F3700="",D3700="",L3700=""),"",IF(L3700="Sim",ROUND(F3700-D3700,2),0)))</f>
        <v/>
      </c>
      <c r="K3700" s="97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inlineStr">
        <is>
          <t>Nao</t>
        </is>
      </c>
      <c r="W3700" s="110" t="inlineStr">
        <is>
          <t>PC em analise</t>
        </is>
      </c>
      <c r="X3700" s="110" t="inlineStr">
        <is>
          <t>Pedido de Compra</t>
        </is>
      </c>
      <c r="Y3700" s="111" t="inlineStr">
        <is>
          <t>Impacto Potencial</t>
        </is>
      </c>
      <c r="Z3700" s="111" t="inlineStr">
        <is>
          <t>PC</t>
        </is>
      </c>
      <c r="AA3700" s="111" t="inlineStr">
        <is>
          <t>Nao</t>
        </is>
      </c>
      <c r="AB3700" s="111" t="inlineStr">
        <is>
          <t>NAO_COMPUTADO</t>
        </is>
      </c>
      <c r="AC3700" s="112" t="inlineStr">
        <is>
          <t>Estrutura Fase 1: sem impacto no VTA oficial</t>
        </is>
      </c>
    </row>
    <row r="3701" ht="25.5" customHeight="1" s="289">
      <c r="A3701" s="205" t="n"/>
      <c r="B3701" s="207" t="n"/>
      <c r="C3701" s="104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348" t="n"/>
      <c r="E3701" s="349">
        <f>IF(C3701="","",IFERROR(VLOOKUP(C3701,parametros!$A$11:$E$15,5,0),""))</f>
        <v/>
      </c>
      <c r="F3701" s="335">
        <f>IF(OR(D3701="",E3701=""),"",ROUND(D3701*E3701,2))</f>
        <v/>
      </c>
      <c r="G3701" s="106" t="n"/>
      <c r="H3701" s="350">
        <f>IF(G3701="Sim",IF(OR(F3701="",D3701="",L3701=""),"",IF(L3701="Sim",ROUND(F3701-D3701,2),0)),0)</f>
        <v/>
      </c>
      <c r="I3701" s="350">
        <f>IF(G3701="Sim",0,IF(OR(F3701="",L3701=""),"",F3701))</f>
        <v/>
      </c>
      <c r="J3701" s="350">
        <f>IF(G3701="Sim",0,IF(OR(F3701="",D3701="",L3701=""),"",IF(L3701="Sim",ROUND(F3701-D3701,2),0)))</f>
        <v/>
      </c>
      <c r="K3701" s="97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inlineStr">
        <is>
          <t>Nao</t>
        </is>
      </c>
      <c r="W3701" s="110" t="inlineStr">
        <is>
          <t>PC em analise</t>
        </is>
      </c>
      <c r="X3701" s="110" t="inlineStr">
        <is>
          <t>Pedido de Compra</t>
        </is>
      </c>
      <c r="Y3701" s="111" t="inlineStr">
        <is>
          <t>Impacto Potencial</t>
        </is>
      </c>
      <c r="Z3701" s="111" t="inlineStr">
        <is>
          <t>PC</t>
        </is>
      </c>
      <c r="AA3701" s="111" t="inlineStr">
        <is>
          <t>Nao</t>
        </is>
      </c>
      <c r="AB3701" s="111" t="inlineStr">
        <is>
          <t>NAO_COMPUTADO</t>
        </is>
      </c>
      <c r="AC3701" s="112" t="inlineStr">
        <is>
          <t>Estrutura Fase 1: sem impacto no VTA oficial</t>
        </is>
      </c>
    </row>
    <row r="3702" ht="25.5" customHeight="1" s="289">
      <c r="A3702" s="205" t="n"/>
      <c r="B3702" s="207" t="n"/>
      <c r="C3702" s="104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348" t="n"/>
      <c r="E3702" s="349">
        <f>IF(C3702="","",IFERROR(VLOOKUP(C3702,parametros!$A$11:$E$15,5,0),""))</f>
        <v/>
      </c>
      <c r="F3702" s="335">
        <f>IF(OR(D3702="",E3702=""),"",ROUND(D3702*E3702,2))</f>
        <v/>
      </c>
      <c r="G3702" s="106" t="n"/>
      <c r="H3702" s="350">
        <f>IF(G3702="Sim",IF(OR(F3702="",D3702="",L3702=""),"",IF(L3702="Sim",ROUND(F3702-D3702,2),0)),0)</f>
        <v/>
      </c>
      <c r="I3702" s="350">
        <f>IF(G3702="Sim",0,IF(OR(F3702="",L3702=""),"",F3702))</f>
        <v/>
      </c>
      <c r="J3702" s="350">
        <f>IF(G3702="Sim",0,IF(OR(F3702="",D3702="",L3702=""),"",IF(L3702="Sim",ROUND(F3702-D3702,2),0)))</f>
        <v/>
      </c>
      <c r="K3702" s="97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inlineStr">
        <is>
          <t>Nao</t>
        </is>
      </c>
      <c r="W3702" s="110" t="inlineStr">
        <is>
          <t>PC em analise</t>
        </is>
      </c>
      <c r="X3702" s="110" t="inlineStr">
        <is>
          <t>Pedido de Compra</t>
        </is>
      </c>
      <c r="Y3702" s="111" t="inlineStr">
        <is>
          <t>Impacto Potencial</t>
        </is>
      </c>
      <c r="Z3702" s="111" t="inlineStr">
        <is>
          <t>PC</t>
        </is>
      </c>
      <c r="AA3702" s="111" t="inlineStr">
        <is>
          <t>Nao</t>
        </is>
      </c>
      <c r="AB3702" s="111" t="inlineStr">
        <is>
          <t>NAO_COMPUTADO</t>
        </is>
      </c>
      <c r="AC3702" s="112" t="inlineStr">
        <is>
          <t>Estrutura Fase 1: sem impacto no VTA oficial</t>
        </is>
      </c>
    </row>
    <row r="3703" ht="25.5" customHeight="1" s="289">
      <c r="A3703" s="205" t="n"/>
      <c r="B3703" s="207" t="n"/>
      <c r="C3703" s="104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348" t="n"/>
      <c r="E3703" s="349">
        <f>IF(C3703="","",IFERROR(VLOOKUP(C3703,parametros!$A$11:$E$15,5,0),""))</f>
        <v/>
      </c>
      <c r="F3703" s="335">
        <f>IF(OR(D3703="",E3703=""),"",ROUND(D3703*E3703,2))</f>
        <v/>
      </c>
      <c r="G3703" s="106" t="n"/>
      <c r="H3703" s="350">
        <f>IF(G3703="Sim",IF(OR(F3703="",D3703="",L3703=""),"",IF(L3703="Sim",ROUND(F3703-D3703,2),0)),0)</f>
        <v/>
      </c>
      <c r="I3703" s="350">
        <f>IF(G3703="Sim",0,IF(OR(F3703="",L3703=""),"",F3703))</f>
        <v/>
      </c>
      <c r="J3703" s="350">
        <f>IF(G3703="Sim",0,IF(OR(F3703="",D3703="",L3703=""),"",IF(L3703="Sim",ROUND(F3703-D3703,2),0)))</f>
        <v/>
      </c>
      <c r="K3703" s="97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inlineStr">
        <is>
          <t>Nao</t>
        </is>
      </c>
      <c r="W3703" s="110" t="inlineStr">
        <is>
          <t>PC em analise</t>
        </is>
      </c>
      <c r="X3703" s="110" t="inlineStr">
        <is>
          <t>Pedido de Compra</t>
        </is>
      </c>
      <c r="Y3703" s="111" t="inlineStr">
        <is>
          <t>Impacto Potencial</t>
        </is>
      </c>
      <c r="Z3703" s="111" t="inlineStr">
        <is>
          <t>PC</t>
        </is>
      </c>
      <c r="AA3703" s="111" t="inlineStr">
        <is>
          <t>Nao</t>
        </is>
      </c>
      <c r="AB3703" s="111" t="inlineStr">
        <is>
          <t>NAO_COMPUTADO</t>
        </is>
      </c>
      <c r="AC3703" s="112" t="inlineStr">
        <is>
          <t>Estrutura Fase 1: sem impacto no VTA oficial</t>
        </is>
      </c>
    </row>
    <row r="3704" ht="25.5" customHeight="1" s="289">
      <c r="A3704" s="205" t="n"/>
      <c r="B3704" s="207" t="n"/>
      <c r="C3704" s="104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348" t="n"/>
      <c r="E3704" s="349">
        <f>IF(C3704="","",IFERROR(VLOOKUP(C3704,parametros!$A$11:$E$15,5,0),""))</f>
        <v/>
      </c>
      <c r="F3704" s="335">
        <f>IF(OR(D3704="",E3704=""),"",ROUND(D3704*E3704,2))</f>
        <v/>
      </c>
      <c r="G3704" s="106" t="n"/>
      <c r="H3704" s="350">
        <f>IF(G3704="Sim",IF(OR(F3704="",D3704="",L3704=""),"",IF(L3704="Sim",ROUND(F3704-D3704,2),0)),0)</f>
        <v/>
      </c>
      <c r="I3704" s="350">
        <f>IF(G3704="Sim",0,IF(OR(F3704="",L3704=""),"",F3704))</f>
        <v/>
      </c>
      <c r="J3704" s="350">
        <f>IF(G3704="Sim",0,IF(OR(F3704="",D3704="",L3704=""),"",IF(L3704="Sim",ROUND(F3704-D3704,2),0)))</f>
        <v/>
      </c>
      <c r="K3704" s="97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inlineStr">
        <is>
          <t>Nao</t>
        </is>
      </c>
      <c r="W3704" s="110" t="inlineStr">
        <is>
          <t>PC em analise</t>
        </is>
      </c>
      <c r="X3704" s="110" t="inlineStr">
        <is>
          <t>Pedido de Compra</t>
        </is>
      </c>
      <c r="Y3704" s="111" t="inlineStr">
        <is>
          <t>Impacto Potencial</t>
        </is>
      </c>
      <c r="Z3704" s="111" t="inlineStr">
        <is>
          <t>PC</t>
        </is>
      </c>
      <c r="AA3704" s="111" t="inlineStr">
        <is>
          <t>Nao</t>
        </is>
      </c>
      <c r="AB3704" s="111" t="inlineStr">
        <is>
          <t>NAO_COMPUTADO</t>
        </is>
      </c>
      <c r="AC3704" s="112" t="inlineStr">
        <is>
          <t>Estrutura Fase 1: sem impacto no VTA oficial</t>
        </is>
      </c>
    </row>
    <row r="3705" ht="25.5" customHeight="1" s="289">
      <c r="A3705" s="205" t="n"/>
      <c r="B3705" s="207" t="n"/>
      <c r="C3705" s="104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348" t="n"/>
      <c r="E3705" s="349">
        <f>IF(C3705="","",IFERROR(VLOOKUP(C3705,parametros!$A$11:$E$15,5,0),""))</f>
        <v/>
      </c>
      <c r="F3705" s="335">
        <f>IF(OR(D3705="",E3705=""),"",ROUND(D3705*E3705,2))</f>
        <v/>
      </c>
      <c r="G3705" s="106" t="n"/>
      <c r="H3705" s="350">
        <f>IF(G3705="Sim",IF(OR(F3705="",D3705="",L3705=""),"",IF(L3705="Sim",ROUND(F3705-D3705,2),0)),0)</f>
        <v/>
      </c>
      <c r="I3705" s="350">
        <f>IF(G3705="Sim",0,IF(OR(F3705="",L3705=""),"",F3705))</f>
        <v/>
      </c>
      <c r="J3705" s="350">
        <f>IF(G3705="Sim",0,IF(OR(F3705="",D3705="",L3705=""),"",IF(L3705="Sim",ROUND(F3705-D3705,2),0)))</f>
        <v/>
      </c>
      <c r="K3705" s="97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inlineStr">
        <is>
          <t>Nao</t>
        </is>
      </c>
      <c r="W3705" s="110" t="inlineStr">
        <is>
          <t>PC em analise</t>
        </is>
      </c>
      <c r="X3705" s="110" t="inlineStr">
        <is>
          <t>Pedido de Compra</t>
        </is>
      </c>
      <c r="Y3705" s="111" t="inlineStr">
        <is>
          <t>Impacto Potencial</t>
        </is>
      </c>
      <c r="Z3705" s="111" t="inlineStr">
        <is>
          <t>PC</t>
        </is>
      </c>
      <c r="AA3705" s="111" t="inlineStr">
        <is>
          <t>Nao</t>
        </is>
      </c>
      <c r="AB3705" s="111" t="inlineStr">
        <is>
          <t>NAO_COMPUTADO</t>
        </is>
      </c>
      <c r="AC3705" s="112" t="inlineStr">
        <is>
          <t>Estrutura Fase 1: sem impacto no VTA oficial</t>
        </is>
      </c>
    </row>
    <row r="3706" ht="25.5" customHeight="1" s="289">
      <c r="A3706" s="205" t="n"/>
      <c r="B3706" s="207" t="n"/>
      <c r="C3706" s="104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348" t="n"/>
      <c r="E3706" s="349">
        <f>IF(C3706="","",IFERROR(VLOOKUP(C3706,parametros!$A$11:$E$15,5,0),""))</f>
        <v/>
      </c>
      <c r="F3706" s="335">
        <f>IF(OR(D3706="",E3706=""),"",ROUND(D3706*E3706,2))</f>
        <v/>
      </c>
      <c r="G3706" s="106" t="n"/>
      <c r="H3706" s="350">
        <f>IF(G3706="Sim",IF(OR(F3706="",D3706="",L3706=""),"",IF(L3706="Sim",ROUND(F3706-D3706,2),0)),0)</f>
        <v/>
      </c>
      <c r="I3706" s="350">
        <f>IF(G3706="Sim",0,IF(OR(F3706="",L3706=""),"",F3706))</f>
        <v/>
      </c>
      <c r="J3706" s="350">
        <f>IF(G3706="Sim",0,IF(OR(F3706="",D3706="",L3706=""),"",IF(L3706="Sim",ROUND(F3706-D3706,2),0)))</f>
        <v/>
      </c>
      <c r="K3706" s="97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inlineStr">
        <is>
          <t>Nao</t>
        </is>
      </c>
      <c r="W3706" s="110" t="inlineStr">
        <is>
          <t>PC em analise</t>
        </is>
      </c>
      <c r="X3706" s="110" t="inlineStr">
        <is>
          <t>Pedido de Compra</t>
        </is>
      </c>
      <c r="Y3706" s="111" t="inlineStr">
        <is>
          <t>Impacto Potencial</t>
        </is>
      </c>
      <c r="Z3706" s="111" t="inlineStr">
        <is>
          <t>PC</t>
        </is>
      </c>
      <c r="AA3706" s="111" t="inlineStr">
        <is>
          <t>Nao</t>
        </is>
      </c>
      <c r="AB3706" s="111" t="inlineStr">
        <is>
          <t>NAO_COMPUTADO</t>
        </is>
      </c>
      <c r="AC3706" s="112" t="inlineStr">
        <is>
          <t>Estrutura Fase 1: sem impacto no VTA oficial</t>
        </is>
      </c>
    </row>
    <row r="3707" ht="25.5" customHeight="1" s="289">
      <c r="A3707" s="205" t="n"/>
      <c r="B3707" s="207" t="n"/>
      <c r="C3707" s="104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348" t="n"/>
      <c r="E3707" s="349">
        <f>IF(C3707="","",IFERROR(VLOOKUP(C3707,parametros!$A$11:$E$15,5,0),""))</f>
        <v/>
      </c>
      <c r="F3707" s="335">
        <f>IF(OR(D3707="",E3707=""),"",ROUND(D3707*E3707,2))</f>
        <v/>
      </c>
      <c r="G3707" s="106" t="n"/>
      <c r="H3707" s="350">
        <f>IF(G3707="Sim",IF(OR(F3707="",D3707="",L3707=""),"",IF(L3707="Sim",ROUND(F3707-D3707,2),0)),0)</f>
        <v/>
      </c>
      <c r="I3707" s="350">
        <f>IF(G3707="Sim",0,IF(OR(F3707="",L3707=""),"",F3707))</f>
        <v/>
      </c>
      <c r="J3707" s="350">
        <f>IF(G3707="Sim",0,IF(OR(F3707="",D3707="",L3707=""),"",IF(L3707="Sim",ROUND(F3707-D3707,2),0)))</f>
        <v/>
      </c>
      <c r="K3707" s="97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inlineStr">
        <is>
          <t>Nao</t>
        </is>
      </c>
      <c r="W3707" s="110" t="inlineStr">
        <is>
          <t>PC em analise</t>
        </is>
      </c>
      <c r="X3707" s="110" t="inlineStr">
        <is>
          <t>Pedido de Compra</t>
        </is>
      </c>
      <c r="Y3707" s="111" t="inlineStr">
        <is>
          <t>Impacto Potencial</t>
        </is>
      </c>
      <c r="Z3707" s="111" t="inlineStr">
        <is>
          <t>PC</t>
        </is>
      </c>
      <c r="AA3707" s="111" t="inlineStr">
        <is>
          <t>Nao</t>
        </is>
      </c>
      <c r="AB3707" s="111" t="inlineStr">
        <is>
          <t>NAO_COMPUTADO</t>
        </is>
      </c>
      <c r="AC3707" s="112" t="inlineStr">
        <is>
          <t>Estrutura Fase 1: sem impacto no VTA oficial</t>
        </is>
      </c>
    </row>
    <row r="3708" ht="25.5" customHeight="1" s="289">
      <c r="A3708" s="205" t="n"/>
      <c r="B3708" s="207" t="n"/>
      <c r="C3708" s="104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348" t="n"/>
      <c r="E3708" s="349">
        <f>IF(C3708="","",IFERROR(VLOOKUP(C3708,parametros!$A$11:$E$15,5,0),""))</f>
        <v/>
      </c>
      <c r="F3708" s="335">
        <f>IF(OR(D3708="",E3708=""),"",ROUND(D3708*E3708,2))</f>
        <v/>
      </c>
      <c r="G3708" s="106" t="n"/>
      <c r="H3708" s="350">
        <f>IF(G3708="Sim",IF(OR(F3708="",D3708="",L3708=""),"",IF(L3708="Sim",ROUND(F3708-D3708,2),0)),0)</f>
        <v/>
      </c>
      <c r="I3708" s="350">
        <f>IF(G3708="Sim",0,IF(OR(F3708="",L3708=""),"",F3708))</f>
        <v/>
      </c>
      <c r="J3708" s="350">
        <f>IF(G3708="Sim",0,IF(OR(F3708="",D3708="",L3708=""),"",IF(L3708="Sim",ROUND(F3708-D3708,2),0)))</f>
        <v/>
      </c>
      <c r="K3708" s="97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inlineStr">
        <is>
          <t>Nao</t>
        </is>
      </c>
      <c r="W3708" s="110" t="inlineStr">
        <is>
          <t>PC em analise</t>
        </is>
      </c>
      <c r="X3708" s="110" t="inlineStr">
        <is>
          <t>Pedido de Compra</t>
        </is>
      </c>
      <c r="Y3708" s="111" t="inlineStr">
        <is>
          <t>Impacto Potencial</t>
        </is>
      </c>
      <c r="Z3708" s="111" t="inlineStr">
        <is>
          <t>PC</t>
        </is>
      </c>
      <c r="AA3708" s="111" t="inlineStr">
        <is>
          <t>Nao</t>
        </is>
      </c>
      <c r="AB3708" s="111" t="inlineStr">
        <is>
          <t>NAO_COMPUTADO</t>
        </is>
      </c>
      <c r="AC3708" s="112" t="inlineStr">
        <is>
          <t>Estrutura Fase 1: sem impacto no VTA oficial</t>
        </is>
      </c>
    </row>
    <row r="3709" ht="25.5" customHeight="1" s="289">
      <c r="A3709" s="205" t="n"/>
      <c r="B3709" s="207" t="n"/>
      <c r="C3709" s="104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348" t="n"/>
      <c r="E3709" s="349">
        <f>IF(C3709="","",IFERROR(VLOOKUP(C3709,parametros!$A$11:$E$15,5,0),""))</f>
        <v/>
      </c>
      <c r="F3709" s="335">
        <f>IF(OR(D3709="",E3709=""),"",ROUND(D3709*E3709,2))</f>
        <v/>
      </c>
      <c r="G3709" s="106" t="n"/>
      <c r="H3709" s="350">
        <f>IF(G3709="Sim",IF(OR(F3709="",D3709="",L3709=""),"",IF(L3709="Sim",ROUND(F3709-D3709,2),0)),0)</f>
        <v/>
      </c>
      <c r="I3709" s="350">
        <f>IF(G3709="Sim",0,IF(OR(F3709="",L3709=""),"",F3709))</f>
        <v/>
      </c>
      <c r="J3709" s="350">
        <f>IF(G3709="Sim",0,IF(OR(F3709="",D3709="",L3709=""),"",IF(L3709="Sim",ROUND(F3709-D3709,2),0)))</f>
        <v/>
      </c>
      <c r="K3709" s="97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inlineStr">
        <is>
          <t>Nao</t>
        </is>
      </c>
      <c r="W3709" s="110" t="inlineStr">
        <is>
          <t>PC em analise</t>
        </is>
      </c>
      <c r="X3709" s="110" t="inlineStr">
        <is>
          <t>Pedido de Compra</t>
        </is>
      </c>
      <c r="Y3709" s="111" t="inlineStr">
        <is>
          <t>Impacto Potencial</t>
        </is>
      </c>
      <c r="Z3709" s="111" t="inlineStr">
        <is>
          <t>PC</t>
        </is>
      </c>
      <c r="AA3709" s="111" t="inlineStr">
        <is>
          <t>Nao</t>
        </is>
      </c>
      <c r="AB3709" s="111" t="inlineStr">
        <is>
          <t>NAO_COMPUTADO</t>
        </is>
      </c>
      <c r="AC3709" s="112" t="inlineStr">
        <is>
          <t>Estrutura Fase 1: sem impacto no VTA oficial</t>
        </is>
      </c>
    </row>
    <row r="3710" ht="25.5" customHeight="1" s="289">
      <c r="A3710" s="205" t="n"/>
      <c r="B3710" s="207" t="n"/>
      <c r="C3710" s="104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348" t="n"/>
      <c r="E3710" s="349">
        <f>IF(C3710="","",IFERROR(VLOOKUP(C3710,parametros!$A$11:$E$15,5,0),""))</f>
        <v/>
      </c>
      <c r="F3710" s="335">
        <f>IF(OR(D3710="",E3710=""),"",ROUND(D3710*E3710,2))</f>
        <v/>
      </c>
      <c r="G3710" s="106" t="n"/>
      <c r="H3710" s="350">
        <f>IF(G3710="Sim",IF(OR(F3710="",D3710="",L3710=""),"",IF(L3710="Sim",ROUND(F3710-D3710,2),0)),0)</f>
        <v/>
      </c>
      <c r="I3710" s="350">
        <f>IF(G3710="Sim",0,IF(OR(F3710="",L3710=""),"",F3710))</f>
        <v/>
      </c>
      <c r="J3710" s="350">
        <f>IF(G3710="Sim",0,IF(OR(F3710="",D3710="",L3710=""),"",IF(L3710="Sim",ROUND(F3710-D3710,2),0)))</f>
        <v/>
      </c>
      <c r="K3710" s="97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inlineStr">
        <is>
          <t>Nao</t>
        </is>
      </c>
      <c r="W3710" s="110" t="inlineStr">
        <is>
          <t>PC em analise</t>
        </is>
      </c>
      <c r="X3710" s="110" t="inlineStr">
        <is>
          <t>Pedido de Compra</t>
        </is>
      </c>
      <c r="Y3710" s="111" t="inlineStr">
        <is>
          <t>Impacto Potencial</t>
        </is>
      </c>
      <c r="Z3710" s="111" t="inlineStr">
        <is>
          <t>PC</t>
        </is>
      </c>
      <c r="AA3710" s="111" t="inlineStr">
        <is>
          <t>Nao</t>
        </is>
      </c>
      <c r="AB3710" s="111" t="inlineStr">
        <is>
          <t>NAO_COMPUTADO</t>
        </is>
      </c>
      <c r="AC3710" s="112" t="inlineStr">
        <is>
          <t>Estrutura Fase 1: sem impacto no VTA oficial</t>
        </is>
      </c>
    </row>
    <row r="3711" ht="25.5" customHeight="1" s="289">
      <c r="A3711" s="205" t="n"/>
      <c r="B3711" s="207" t="n"/>
      <c r="C3711" s="104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348" t="n"/>
      <c r="E3711" s="349">
        <f>IF(C3711="","",IFERROR(VLOOKUP(C3711,parametros!$A$11:$E$15,5,0),""))</f>
        <v/>
      </c>
      <c r="F3711" s="335">
        <f>IF(OR(D3711="",E3711=""),"",ROUND(D3711*E3711,2))</f>
        <v/>
      </c>
      <c r="G3711" s="106" t="n"/>
      <c r="H3711" s="350">
        <f>IF(G3711="Sim",IF(OR(F3711="",D3711="",L3711=""),"",IF(L3711="Sim",ROUND(F3711-D3711,2),0)),0)</f>
        <v/>
      </c>
      <c r="I3711" s="350">
        <f>IF(G3711="Sim",0,IF(OR(F3711="",L3711=""),"",F3711))</f>
        <v/>
      </c>
      <c r="J3711" s="350">
        <f>IF(G3711="Sim",0,IF(OR(F3711="",D3711="",L3711=""),"",IF(L3711="Sim",ROUND(F3711-D3711,2),0)))</f>
        <v/>
      </c>
      <c r="K3711" s="97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inlineStr">
        <is>
          <t>Nao</t>
        </is>
      </c>
      <c r="W3711" s="110" t="inlineStr">
        <is>
          <t>PC em analise</t>
        </is>
      </c>
      <c r="X3711" s="110" t="inlineStr">
        <is>
          <t>Pedido de Compra</t>
        </is>
      </c>
      <c r="Y3711" s="111" t="inlineStr">
        <is>
          <t>Impacto Potencial</t>
        </is>
      </c>
      <c r="Z3711" s="111" t="inlineStr">
        <is>
          <t>PC</t>
        </is>
      </c>
      <c r="AA3711" s="111" t="inlineStr">
        <is>
          <t>Nao</t>
        </is>
      </c>
      <c r="AB3711" s="111" t="inlineStr">
        <is>
          <t>NAO_COMPUTADO</t>
        </is>
      </c>
      <c r="AC3711" s="112" t="inlineStr">
        <is>
          <t>Estrutura Fase 1: sem impacto no VTA oficial</t>
        </is>
      </c>
    </row>
    <row r="3712" ht="25.5" customHeight="1" s="289">
      <c r="A3712" s="205" t="n"/>
      <c r="B3712" s="207" t="n"/>
      <c r="C3712" s="104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348" t="n"/>
      <c r="E3712" s="349">
        <f>IF(C3712="","",IFERROR(VLOOKUP(C3712,parametros!$A$11:$E$15,5,0),""))</f>
        <v/>
      </c>
      <c r="F3712" s="335">
        <f>IF(OR(D3712="",E3712=""),"",ROUND(D3712*E3712,2))</f>
        <v/>
      </c>
      <c r="G3712" s="106" t="n"/>
      <c r="H3712" s="350">
        <f>IF(G3712="Sim",IF(OR(F3712="",D3712="",L3712=""),"",IF(L3712="Sim",ROUND(F3712-D3712,2),0)),0)</f>
        <v/>
      </c>
      <c r="I3712" s="350">
        <f>IF(G3712="Sim",0,IF(OR(F3712="",L3712=""),"",F3712))</f>
        <v/>
      </c>
      <c r="J3712" s="350">
        <f>IF(G3712="Sim",0,IF(OR(F3712="",D3712="",L3712=""),"",IF(L3712="Sim",ROUND(F3712-D3712,2),0)))</f>
        <v/>
      </c>
      <c r="K3712" s="97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inlineStr">
        <is>
          <t>Nao</t>
        </is>
      </c>
      <c r="W3712" s="110" t="inlineStr">
        <is>
          <t>PC em analise</t>
        </is>
      </c>
      <c r="X3712" s="110" t="inlineStr">
        <is>
          <t>Pedido de Compra</t>
        </is>
      </c>
      <c r="Y3712" s="111" t="inlineStr">
        <is>
          <t>Impacto Potencial</t>
        </is>
      </c>
      <c r="Z3712" s="111" t="inlineStr">
        <is>
          <t>PC</t>
        </is>
      </c>
      <c r="AA3712" s="111" t="inlineStr">
        <is>
          <t>Nao</t>
        </is>
      </c>
      <c r="AB3712" s="111" t="inlineStr">
        <is>
          <t>NAO_COMPUTADO</t>
        </is>
      </c>
      <c r="AC3712" s="112" t="inlineStr">
        <is>
          <t>Estrutura Fase 1: sem impacto no VTA oficial</t>
        </is>
      </c>
    </row>
    <row r="3713" ht="25.5" customHeight="1" s="289">
      <c r="A3713" s="205" t="n"/>
      <c r="B3713" s="207" t="n"/>
      <c r="C3713" s="104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348" t="n"/>
      <c r="E3713" s="349">
        <f>IF(C3713="","",IFERROR(VLOOKUP(C3713,parametros!$A$11:$E$15,5,0),""))</f>
        <v/>
      </c>
      <c r="F3713" s="335">
        <f>IF(OR(D3713="",E3713=""),"",ROUND(D3713*E3713,2))</f>
        <v/>
      </c>
      <c r="G3713" s="106" t="n"/>
      <c r="H3713" s="350">
        <f>IF(G3713="Sim",IF(OR(F3713="",D3713="",L3713=""),"",IF(L3713="Sim",ROUND(F3713-D3713,2),0)),0)</f>
        <v/>
      </c>
      <c r="I3713" s="350">
        <f>IF(G3713="Sim",0,IF(OR(F3713="",L3713=""),"",F3713))</f>
        <v/>
      </c>
      <c r="J3713" s="350">
        <f>IF(G3713="Sim",0,IF(OR(F3713="",D3713="",L3713=""),"",IF(L3713="Sim",ROUND(F3713-D3713,2),0)))</f>
        <v/>
      </c>
      <c r="K3713" s="97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inlineStr">
        <is>
          <t>Nao</t>
        </is>
      </c>
      <c r="W3713" s="110" t="inlineStr">
        <is>
          <t>PC em analise</t>
        </is>
      </c>
      <c r="X3713" s="110" t="inlineStr">
        <is>
          <t>Pedido de Compra</t>
        </is>
      </c>
      <c r="Y3713" s="111" t="inlineStr">
        <is>
          <t>Impacto Potencial</t>
        </is>
      </c>
      <c r="Z3713" s="111" t="inlineStr">
        <is>
          <t>PC</t>
        </is>
      </c>
      <c r="AA3713" s="111" t="inlineStr">
        <is>
          <t>Nao</t>
        </is>
      </c>
      <c r="AB3713" s="111" t="inlineStr">
        <is>
          <t>NAO_COMPUTADO</t>
        </is>
      </c>
      <c r="AC3713" s="112" t="inlineStr">
        <is>
          <t>Estrutura Fase 1: sem impacto no VTA oficial</t>
        </is>
      </c>
    </row>
    <row r="3714" ht="25.5" customHeight="1" s="289">
      <c r="A3714" s="205" t="n"/>
      <c r="B3714" s="207" t="n"/>
      <c r="C3714" s="104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348" t="n"/>
      <c r="E3714" s="349">
        <f>IF(C3714="","",IFERROR(VLOOKUP(C3714,parametros!$A$11:$E$15,5,0),""))</f>
        <v/>
      </c>
      <c r="F3714" s="335">
        <f>IF(OR(D3714="",E3714=""),"",ROUND(D3714*E3714,2))</f>
        <v/>
      </c>
      <c r="G3714" s="106" t="n"/>
      <c r="H3714" s="350">
        <f>IF(G3714="Sim",IF(OR(F3714="",D3714="",L3714=""),"",IF(L3714="Sim",ROUND(F3714-D3714,2),0)),0)</f>
        <v/>
      </c>
      <c r="I3714" s="350">
        <f>IF(G3714="Sim",0,IF(OR(F3714="",L3714=""),"",F3714))</f>
        <v/>
      </c>
      <c r="J3714" s="350">
        <f>IF(G3714="Sim",0,IF(OR(F3714="",D3714="",L3714=""),"",IF(L3714="Sim",ROUND(F3714-D3714,2),0)))</f>
        <v/>
      </c>
      <c r="K3714" s="97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inlineStr">
        <is>
          <t>Nao</t>
        </is>
      </c>
      <c r="W3714" s="110" t="inlineStr">
        <is>
          <t>PC em analise</t>
        </is>
      </c>
      <c r="X3714" s="110" t="inlineStr">
        <is>
          <t>Pedido de Compra</t>
        </is>
      </c>
      <c r="Y3714" s="111" t="inlineStr">
        <is>
          <t>Impacto Potencial</t>
        </is>
      </c>
      <c r="Z3714" s="111" t="inlineStr">
        <is>
          <t>PC</t>
        </is>
      </c>
      <c r="AA3714" s="111" t="inlineStr">
        <is>
          <t>Nao</t>
        </is>
      </c>
      <c r="AB3714" s="111" t="inlineStr">
        <is>
          <t>NAO_COMPUTADO</t>
        </is>
      </c>
      <c r="AC3714" s="112" t="inlineStr">
        <is>
          <t>Estrutura Fase 1: sem impacto no VTA oficial</t>
        </is>
      </c>
    </row>
    <row r="3715" ht="25.5" customHeight="1" s="289">
      <c r="A3715" s="205" t="n"/>
      <c r="B3715" s="207" t="n"/>
      <c r="C3715" s="104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348" t="n"/>
      <c r="E3715" s="349">
        <f>IF(C3715="","",IFERROR(VLOOKUP(C3715,parametros!$A$11:$E$15,5,0),""))</f>
        <v/>
      </c>
      <c r="F3715" s="335">
        <f>IF(OR(D3715="",E3715=""),"",ROUND(D3715*E3715,2))</f>
        <v/>
      </c>
      <c r="G3715" s="106" t="n"/>
      <c r="H3715" s="350">
        <f>IF(G3715="Sim",IF(OR(F3715="",D3715="",L3715=""),"",IF(L3715="Sim",ROUND(F3715-D3715,2),0)),0)</f>
        <v/>
      </c>
      <c r="I3715" s="350">
        <f>IF(G3715="Sim",0,IF(OR(F3715="",L3715=""),"",F3715))</f>
        <v/>
      </c>
      <c r="J3715" s="350">
        <f>IF(G3715="Sim",0,IF(OR(F3715="",D3715="",L3715=""),"",IF(L3715="Sim",ROUND(F3715-D3715,2),0)))</f>
        <v/>
      </c>
      <c r="K3715" s="97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inlineStr">
        <is>
          <t>Nao</t>
        </is>
      </c>
      <c r="W3715" s="110" t="inlineStr">
        <is>
          <t>PC em analise</t>
        </is>
      </c>
      <c r="X3715" s="110" t="inlineStr">
        <is>
          <t>Pedido de Compra</t>
        </is>
      </c>
      <c r="Y3715" s="111" t="inlineStr">
        <is>
          <t>Impacto Potencial</t>
        </is>
      </c>
      <c r="Z3715" s="111" t="inlineStr">
        <is>
          <t>PC</t>
        </is>
      </c>
      <c r="AA3715" s="111" t="inlineStr">
        <is>
          <t>Nao</t>
        </is>
      </c>
      <c r="AB3715" s="111" t="inlineStr">
        <is>
          <t>NAO_COMPUTADO</t>
        </is>
      </c>
      <c r="AC3715" s="112" t="inlineStr">
        <is>
          <t>Estrutura Fase 1: sem impacto no VTA oficial</t>
        </is>
      </c>
    </row>
    <row r="3716" ht="25.5" customHeight="1" s="289">
      <c r="A3716" s="205" t="n"/>
      <c r="B3716" s="207" t="n"/>
      <c r="C3716" s="104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348" t="n"/>
      <c r="E3716" s="349">
        <f>IF(C3716="","",IFERROR(VLOOKUP(C3716,parametros!$A$11:$E$15,5,0),""))</f>
        <v/>
      </c>
      <c r="F3716" s="335">
        <f>IF(OR(D3716="",E3716=""),"",ROUND(D3716*E3716,2))</f>
        <v/>
      </c>
      <c r="G3716" s="106" t="n"/>
      <c r="H3716" s="350">
        <f>IF(G3716="Sim",IF(OR(F3716="",D3716="",L3716=""),"",IF(L3716="Sim",ROUND(F3716-D3716,2),0)),0)</f>
        <v/>
      </c>
      <c r="I3716" s="350">
        <f>IF(G3716="Sim",0,IF(OR(F3716="",L3716=""),"",F3716))</f>
        <v/>
      </c>
      <c r="J3716" s="350">
        <f>IF(G3716="Sim",0,IF(OR(F3716="",D3716="",L3716=""),"",IF(L3716="Sim",ROUND(F3716-D3716,2),0)))</f>
        <v/>
      </c>
      <c r="K3716" s="97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inlineStr">
        <is>
          <t>Nao</t>
        </is>
      </c>
      <c r="W3716" s="110" t="inlineStr">
        <is>
          <t>PC em analise</t>
        </is>
      </c>
      <c r="X3716" s="110" t="inlineStr">
        <is>
          <t>Pedido de Compra</t>
        </is>
      </c>
      <c r="Y3716" s="111" t="inlineStr">
        <is>
          <t>Impacto Potencial</t>
        </is>
      </c>
      <c r="Z3716" s="111" t="inlineStr">
        <is>
          <t>PC</t>
        </is>
      </c>
      <c r="AA3716" s="111" t="inlineStr">
        <is>
          <t>Nao</t>
        </is>
      </c>
      <c r="AB3716" s="111" t="inlineStr">
        <is>
          <t>NAO_COMPUTADO</t>
        </is>
      </c>
      <c r="AC3716" s="112" t="inlineStr">
        <is>
          <t>Estrutura Fase 1: sem impacto no VTA oficial</t>
        </is>
      </c>
    </row>
    <row r="3717" ht="25.5" customHeight="1" s="289">
      <c r="A3717" s="205" t="n"/>
      <c r="B3717" s="207" t="n"/>
      <c r="C3717" s="104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348" t="n"/>
      <c r="E3717" s="349">
        <f>IF(C3717="","",IFERROR(VLOOKUP(C3717,parametros!$A$11:$E$15,5,0),""))</f>
        <v/>
      </c>
      <c r="F3717" s="335">
        <f>IF(OR(D3717="",E3717=""),"",ROUND(D3717*E3717,2))</f>
        <v/>
      </c>
      <c r="G3717" s="106" t="n"/>
      <c r="H3717" s="350">
        <f>IF(G3717="Sim",IF(OR(F3717="",D3717="",L3717=""),"",IF(L3717="Sim",ROUND(F3717-D3717,2),0)),0)</f>
        <v/>
      </c>
      <c r="I3717" s="350">
        <f>IF(G3717="Sim",0,IF(OR(F3717="",L3717=""),"",F3717))</f>
        <v/>
      </c>
      <c r="J3717" s="350">
        <f>IF(G3717="Sim",0,IF(OR(F3717="",D3717="",L3717=""),"",IF(L3717="Sim",ROUND(F3717-D3717,2),0)))</f>
        <v/>
      </c>
      <c r="K3717" s="97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inlineStr">
        <is>
          <t>Nao</t>
        </is>
      </c>
      <c r="W3717" s="110" t="inlineStr">
        <is>
          <t>PC em analise</t>
        </is>
      </c>
      <c r="X3717" s="110" t="inlineStr">
        <is>
          <t>Pedido de Compra</t>
        </is>
      </c>
      <c r="Y3717" s="111" t="inlineStr">
        <is>
          <t>Impacto Potencial</t>
        </is>
      </c>
      <c r="Z3717" s="111" t="inlineStr">
        <is>
          <t>PC</t>
        </is>
      </c>
      <c r="AA3717" s="111" t="inlineStr">
        <is>
          <t>Nao</t>
        </is>
      </c>
      <c r="AB3717" s="111" t="inlineStr">
        <is>
          <t>NAO_COMPUTADO</t>
        </is>
      </c>
      <c r="AC3717" s="112" t="inlineStr">
        <is>
          <t>Estrutura Fase 1: sem impacto no VTA oficial</t>
        </is>
      </c>
    </row>
    <row r="3718" ht="25.5" customHeight="1" s="289">
      <c r="A3718" s="205" t="n"/>
      <c r="B3718" s="207" t="n"/>
      <c r="C3718" s="104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348" t="n"/>
      <c r="E3718" s="349">
        <f>IF(C3718="","",IFERROR(VLOOKUP(C3718,parametros!$A$11:$E$15,5,0),""))</f>
        <v/>
      </c>
      <c r="F3718" s="335">
        <f>IF(OR(D3718="",E3718=""),"",ROUND(D3718*E3718,2))</f>
        <v/>
      </c>
      <c r="G3718" s="106" t="n"/>
      <c r="H3718" s="350">
        <f>IF(G3718="Sim",IF(OR(F3718="",D3718="",L3718=""),"",IF(L3718="Sim",ROUND(F3718-D3718,2),0)),0)</f>
        <v/>
      </c>
      <c r="I3718" s="350">
        <f>IF(G3718="Sim",0,IF(OR(F3718="",L3718=""),"",F3718))</f>
        <v/>
      </c>
      <c r="J3718" s="350">
        <f>IF(G3718="Sim",0,IF(OR(F3718="",D3718="",L3718=""),"",IF(L3718="Sim",ROUND(F3718-D3718,2),0)))</f>
        <v/>
      </c>
      <c r="K3718" s="97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inlineStr">
        <is>
          <t>Nao</t>
        </is>
      </c>
      <c r="W3718" s="110" t="inlineStr">
        <is>
          <t>PC em analise</t>
        </is>
      </c>
      <c r="X3718" s="110" t="inlineStr">
        <is>
          <t>Pedido de Compra</t>
        </is>
      </c>
      <c r="Y3718" s="111" t="inlineStr">
        <is>
          <t>Impacto Potencial</t>
        </is>
      </c>
      <c r="Z3718" s="111" t="inlineStr">
        <is>
          <t>PC</t>
        </is>
      </c>
      <c r="AA3718" s="111" t="inlineStr">
        <is>
          <t>Nao</t>
        </is>
      </c>
      <c r="AB3718" s="111" t="inlineStr">
        <is>
          <t>NAO_COMPUTADO</t>
        </is>
      </c>
      <c r="AC3718" s="112" t="inlineStr">
        <is>
          <t>Estrutura Fase 1: sem impacto no VTA oficial</t>
        </is>
      </c>
    </row>
    <row r="3719" ht="25.5" customHeight="1" s="289">
      <c r="A3719" s="205" t="n"/>
      <c r="B3719" s="207" t="n"/>
      <c r="C3719" s="104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348" t="n"/>
      <c r="E3719" s="349">
        <f>IF(C3719="","",IFERROR(VLOOKUP(C3719,parametros!$A$11:$E$15,5,0),""))</f>
        <v/>
      </c>
      <c r="F3719" s="335">
        <f>IF(OR(D3719="",E3719=""),"",ROUND(D3719*E3719,2))</f>
        <v/>
      </c>
      <c r="G3719" s="106" t="n"/>
      <c r="H3719" s="350">
        <f>IF(G3719="Sim",IF(OR(F3719="",D3719="",L3719=""),"",IF(L3719="Sim",ROUND(F3719-D3719,2),0)),0)</f>
        <v/>
      </c>
      <c r="I3719" s="350">
        <f>IF(G3719="Sim",0,IF(OR(F3719="",L3719=""),"",F3719))</f>
        <v/>
      </c>
      <c r="J3719" s="350">
        <f>IF(G3719="Sim",0,IF(OR(F3719="",D3719="",L3719=""),"",IF(L3719="Sim",ROUND(F3719-D3719,2),0)))</f>
        <v/>
      </c>
      <c r="K3719" s="97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inlineStr">
        <is>
          <t>Nao</t>
        </is>
      </c>
      <c r="W3719" s="110" t="inlineStr">
        <is>
          <t>PC em analise</t>
        </is>
      </c>
      <c r="X3719" s="110" t="inlineStr">
        <is>
          <t>Pedido de Compra</t>
        </is>
      </c>
      <c r="Y3719" s="111" t="inlineStr">
        <is>
          <t>Impacto Potencial</t>
        </is>
      </c>
      <c r="Z3719" s="111" t="inlineStr">
        <is>
          <t>PC</t>
        </is>
      </c>
      <c r="AA3719" s="111" t="inlineStr">
        <is>
          <t>Nao</t>
        </is>
      </c>
      <c r="AB3719" s="111" t="inlineStr">
        <is>
          <t>NAO_COMPUTADO</t>
        </is>
      </c>
      <c r="AC3719" s="112" t="inlineStr">
        <is>
          <t>Estrutura Fase 1: sem impacto no VTA oficial</t>
        </is>
      </c>
    </row>
    <row r="3720" ht="25.5" customHeight="1" s="289">
      <c r="A3720" s="205" t="n"/>
      <c r="B3720" s="207" t="n"/>
      <c r="C3720" s="104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348" t="n"/>
      <c r="E3720" s="349">
        <f>IF(C3720="","",IFERROR(VLOOKUP(C3720,parametros!$A$11:$E$15,5,0),""))</f>
        <v/>
      </c>
      <c r="F3720" s="335">
        <f>IF(OR(D3720="",E3720=""),"",ROUND(D3720*E3720,2))</f>
        <v/>
      </c>
      <c r="G3720" s="106" t="n"/>
      <c r="H3720" s="350">
        <f>IF(G3720="Sim",IF(OR(F3720="",D3720="",L3720=""),"",IF(L3720="Sim",ROUND(F3720-D3720,2),0)),0)</f>
        <v/>
      </c>
      <c r="I3720" s="350">
        <f>IF(G3720="Sim",0,IF(OR(F3720="",L3720=""),"",F3720))</f>
        <v/>
      </c>
      <c r="J3720" s="350">
        <f>IF(G3720="Sim",0,IF(OR(F3720="",D3720="",L3720=""),"",IF(L3720="Sim",ROUND(F3720-D3720,2),0)))</f>
        <v/>
      </c>
      <c r="K3720" s="97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inlineStr">
        <is>
          <t>Nao</t>
        </is>
      </c>
      <c r="W3720" s="110" t="inlineStr">
        <is>
          <t>PC em analise</t>
        </is>
      </c>
      <c r="X3720" s="110" t="inlineStr">
        <is>
          <t>Pedido de Compra</t>
        </is>
      </c>
      <c r="Y3720" s="111" t="inlineStr">
        <is>
          <t>Impacto Potencial</t>
        </is>
      </c>
      <c r="Z3720" s="111" t="inlineStr">
        <is>
          <t>PC</t>
        </is>
      </c>
      <c r="AA3720" s="111" t="inlineStr">
        <is>
          <t>Nao</t>
        </is>
      </c>
      <c r="AB3720" s="111" t="inlineStr">
        <is>
          <t>NAO_COMPUTADO</t>
        </is>
      </c>
      <c r="AC3720" s="112" t="inlineStr">
        <is>
          <t>Estrutura Fase 1: sem impacto no VTA oficial</t>
        </is>
      </c>
    </row>
    <row r="3721" ht="25.5" customHeight="1" s="289">
      <c r="A3721" s="205" t="n"/>
      <c r="B3721" s="207" t="n"/>
      <c r="C3721" s="104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348" t="n"/>
      <c r="E3721" s="349">
        <f>IF(C3721="","",IFERROR(VLOOKUP(C3721,parametros!$A$11:$E$15,5,0),""))</f>
        <v/>
      </c>
      <c r="F3721" s="335">
        <f>IF(OR(D3721="",E3721=""),"",ROUND(D3721*E3721,2))</f>
        <v/>
      </c>
      <c r="G3721" s="106" t="n"/>
      <c r="H3721" s="350">
        <f>IF(G3721="Sim",IF(OR(F3721="",D3721="",L3721=""),"",IF(L3721="Sim",ROUND(F3721-D3721,2),0)),0)</f>
        <v/>
      </c>
      <c r="I3721" s="350">
        <f>IF(G3721="Sim",0,IF(OR(F3721="",L3721=""),"",F3721))</f>
        <v/>
      </c>
      <c r="J3721" s="350">
        <f>IF(G3721="Sim",0,IF(OR(F3721="",D3721="",L3721=""),"",IF(L3721="Sim",ROUND(F3721-D3721,2),0)))</f>
        <v/>
      </c>
      <c r="K3721" s="97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inlineStr">
        <is>
          <t>Nao</t>
        </is>
      </c>
      <c r="W3721" s="110" t="inlineStr">
        <is>
          <t>PC em analise</t>
        </is>
      </c>
      <c r="X3721" s="110" t="inlineStr">
        <is>
          <t>Pedido de Compra</t>
        </is>
      </c>
      <c r="Y3721" s="111" t="inlineStr">
        <is>
          <t>Impacto Potencial</t>
        </is>
      </c>
      <c r="Z3721" s="111" t="inlineStr">
        <is>
          <t>PC</t>
        </is>
      </c>
      <c r="AA3721" s="111" t="inlineStr">
        <is>
          <t>Nao</t>
        </is>
      </c>
      <c r="AB3721" s="111" t="inlineStr">
        <is>
          <t>NAO_COMPUTADO</t>
        </is>
      </c>
      <c r="AC3721" s="112" t="inlineStr">
        <is>
          <t>Estrutura Fase 1: sem impacto no VTA oficial</t>
        </is>
      </c>
    </row>
    <row r="3722" ht="25.5" customHeight="1" s="289">
      <c r="A3722" s="205" t="n"/>
      <c r="B3722" s="207" t="n"/>
      <c r="C3722" s="104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348" t="n"/>
      <c r="E3722" s="349">
        <f>IF(C3722="","",IFERROR(VLOOKUP(C3722,parametros!$A$11:$E$15,5,0),""))</f>
        <v/>
      </c>
      <c r="F3722" s="335">
        <f>IF(OR(D3722="",E3722=""),"",ROUND(D3722*E3722,2))</f>
        <v/>
      </c>
      <c r="G3722" s="106" t="n"/>
      <c r="H3722" s="350">
        <f>IF(G3722="Sim",IF(OR(F3722="",D3722="",L3722=""),"",IF(L3722="Sim",ROUND(F3722-D3722,2),0)),0)</f>
        <v/>
      </c>
      <c r="I3722" s="350">
        <f>IF(G3722="Sim",0,IF(OR(F3722="",L3722=""),"",F3722))</f>
        <v/>
      </c>
      <c r="J3722" s="350">
        <f>IF(G3722="Sim",0,IF(OR(F3722="",D3722="",L3722=""),"",IF(L3722="Sim",ROUND(F3722-D3722,2),0)))</f>
        <v/>
      </c>
      <c r="K3722" s="97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inlineStr">
        <is>
          <t>Nao</t>
        </is>
      </c>
      <c r="W3722" s="110" t="inlineStr">
        <is>
          <t>PC em analise</t>
        </is>
      </c>
      <c r="X3722" s="110" t="inlineStr">
        <is>
          <t>Pedido de Compra</t>
        </is>
      </c>
      <c r="Y3722" s="111" t="inlineStr">
        <is>
          <t>Impacto Potencial</t>
        </is>
      </c>
      <c r="Z3722" s="111" t="inlineStr">
        <is>
          <t>PC</t>
        </is>
      </c>
      <c r="AA3722" s="111" t="inlineStr">
        <is>
          <t>Nao</t>
        </is>
      </c>
      <c r="AB3722" s="111" t="inlineStr">
        <is>
          <t>NAO_COMPUTADO</t>
        </is>
      </c>
      <c r="AC3722" s="112" t="inlineStr">
        <is>
          <t>Estrutura Fase 1: sem impacto no VTA oficial</t>
        </is>
      </c>
    </row>
    <row r="3723" ht="25.5" customHeight="1" s="289">
      <c r="A3723" s="205" t="n"/>
      <c r="B3723" s="207" t="n"/>
      <c r="C3723" s="104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348" t="n"/>
      <c r="E3723" s="349">
        <f>IF(C3723="","",IFERROR(VLOOKUP(C3723,parametros!$A$11:$E$15,5,0),""))</f>
        <v/>
      </c>
      <c r="F3723" s="335">
        <f>IF(OR(D3723="",E3723=""),"",ROUND(D3723*E3723,2))</f>
        <v/>
      </c>
      <c r="G3723" s="106" t="n"/>
      <c r="H3723" s="350">
        <f>IF(G3723="Sim",IF(OR(F3723="",D3723="",L3723=""),"",IF(L3723="Sim",ROUND(F3723-D3723,2),0)),0)</f>
        <v/>
      </c>
      <c r="I3723" s="350">
        <f>IF(G3723="Sim",0,IF(OR(F3723="",L3723=""),"",F3723))</f>
        <v/>
      </c>
      <c r="J3723" s="350">
        <f>IF(G3723="Sim",0,IF(OR(F3723="",D3723="",L3723=""),"",IF(L3723="Sim",ROUND(F3723-D3723,2),0)))</f>
        <v/>
      </c>
      <c r="K3723" s="97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inlineStr">
        <is>
          <t>Nao</t>
        </is>
      </c>
      <c r="W3723" s="110" t="inlineStr">
        <is>
          <t>PC em analise</t>
        </is>
      </c>
      <c r="X3723" s="110" t="inlineStr">
        <is>
          <t>Pedido de Compra</t>
        </is>
      </c>
      <c r="Y3723" s="111" t="inlineStr">
        <is>
          <t>Impacto Potencial</t>
        </is>
      </c>
      <c r="Z3723" s="111" t="inlineStr">
        <is>
          <t>PC</t>
        </is>
      </c>
      <c r="AA3723" s="111" t="inlineStr">
        <is>
          <t>Nao</t>
        </is>
      </c>
      <c r="AB3723" s="111" t="inlineStr">
        <is>
          <t>NAO_COMPUTADO</t>
        </is>
      </c>
      <c r="AC3723" s="112" t="inlineStr">
        <is>
          <t>Estrutura Fase 1: sem impacto no VTA oficial</t>
        </is>
      </c>
    </row>
    <row r="3724" ht="25.5" customHeight="1" s="289">
      <c r="A3724" s="205" t="n"/>
      <c r="B3724" s="207" t="n"/>
      <c r="C3724" s="104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348" t="n"/>
      <c r="E3724" s="349">
        <f>IF(C3724="","",IFERROR(VLOOKUP(C3724,parametros!$A$11:$E$15,5,0),""))</f>
        <v/>
      </c>
      <c r="F3724" s="335">
        <f>IF(OR(D3724="",E3724=""),"",ROUND(D3724*E3724,2))</f>
        <v/>
      </c>
      <c r="G3724" s="106" t="n"/>
      <c r="H3724" s="350">
        <f>IF(G3724="Sim",IF(OR(F3724="",D3724="",L3724=""),"",IF(L3724="Sim",ROUND(F3724-D3724,2),0)),0)</f>
        <v/>
      </c>
      <c r="I3724" s="350">
        <f>IF(G3724="Sim",0,IF(OR(F3724="",L3724=""),"",F3724))</f>
        <v/>
      </c>
      <c r="J3724" s="350">
        <f>IF(G3724="Sim",0,IF(OR(F3724="",D3724="",L3724=""),"",IF(L3724="Sim",ROUND(F3724-D3724,2),0)))</f>
        <v/>
      </c>
      <c r="K3724" s="97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inlineStr">
        <is>
          <t>Nao</t>
        </is>
      </c>
      <c r="W3724" s="110" t="inlineStr">
        <is>
          <t>PC em analise</t>
        </is>
      </c>
      <c r="X3724" s="110" t="inlineStr">
        <is>
          <t>Pedido de Compra</t>
        </is>
      </c>
      <c r="Y3724" s="111" t="inlineStr">
        <is>
          <t>Impacto Potencial</t>
        </is>
      </c>
      <c r="Z3724" s="111" t="inlineStr">
        <is>
          <t>PC</t>
        </is>
      </c>
      <c r="AA3724" s="111" t="inlineStr">
        <is>
          <t>Nao</t>
        </is>
      </c>
      <c r="AB3724" s="111" t="inlineStr">
        <is>
          <t>NAO_COMPUTADO</t>
        </is>
      </c>
      <c r="AC3724" s="112" t="inlineStr">
        <is>
          <t>Estrutura Fase 1: sem impacto no VTA oficial</t>
        </is>
      </c>
    </row>
    <row r="3725" ht="25.5" customHeight="1" s="289">
      <c r="A3725" s="205" t="n"/>
      <c r="B3725" s="207" t="n"/>
      <c r="C3725" s="104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348" t="n"/>
      <c r="E3725" s="349">
        <f>IF(C3725="","",IFERROR(VLOOKUP(C3725,parametros!$A$11:$E$15,5,0),""))</f>
        <v/>
      </c>
      <c r="F3725" s="335">
        <f>IF(OR(D3725="",E3725=""),"",ROUND(D3725*E3725,2))</f>
        <v/>
      </c>
      <c r="G3725" s="106" t="n"/>
      <c r="H3725" s="350">
        <f>IF(G3725="Sim",IF(OR(F3725="",D3725="",L3725=""),"",IF(L3725="Sim",ROUND(F3725-D3725,2),0)),0)</f>
        <v/>
      </c>
      <c r="I3725" s="350">
        <f>IF(G3725="Sim",0,IF(OR(F3725="",L3725=""),"",F3725))</f>
        <v/>
      </c>
      <c r="J3725" s="350">
        <f>IF(G3725="Sim",0,IF(OR(F3725="",D3725="",L3725=""),"",IF(L3725="Sim",ROUND(F3725-D3725,2),0)))</f>
        <v/>
      </c>
      <c r="K3725" s="97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inlineStr">
        <is>
          <t>Nao</t>
        </is>
      </c>
      <c r="W3725" s="110" t="inlineStr">
        <is>
          <t>PC em analise</t>
        </is>
      </c>
      <c r="X3725" s="110" t="inlineStr">
        <is>
          <t>Pedido de Compra</t>
        </is>
      </c>
      <c r="Y3725" s="111" t="inlineStr">
        <is>
          <t>Impacto Potencial</t>
        </is>
      </c>
      <c r="Z3725" s="111" t="inlineStr">
        <is>
          <t>PC</t>
        </is>
      </c>
      <c r="AA3725" s="111" t="inlineStr">
        <is>
          <t>Nao</t>
        </is>
      </c>
      <c r="AB3725" s="111" t="inlineStr">
        <is>
          <t>NAO_COMPUTADO</t>
        </is>
      </c>
      <c r="AC3725" s="112" t="inlineStr">
        <is>
          <t>Estrutura Fase 1: sem impacto no VTA oficial</t>
        </is>
      </c>
    </row>
    <row r="3726" ht="25.5" customHeight="1" s="289">
      <c r="A3726" s="205" t="n"/>
      <c r="B3726" s="207" t="n"/>
      <c r="C3726" s="104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348" t="n"/>
      <c r="E3726" s="349">
        <f>IF(C3726="","",IFERROR(VLOOKUP(C3726,parametros!$A$11:$E$15,5,0),""))</f>
        <v/>
      </c>
      <c r="F3726" s="335">
        <f>IF(OR(D3726="",E3726=""),"",ROUND(D3726*E3726,2))</f>
        <v/>
      </c>
      <c r="G3726" s="106" t="n"/>
      <c r="H3726" s="350">
        <f>IF(G3726="Sim",IF(OR(F3726="",D3726="",L3726=""),"",IF(L3726="Sim",ROUND(F3726-D3726,2),0)),0)</f>
        <v/>
      </c>
      <c r="I3726" s="350">
        <f>IF(G3726="Sim",0,IF(OR(F3726="",L3726=""),"",F3726))</f>
        <v/>
      </c>
      <c r="J3726" s="350">
        <f>IF(G3726="Sim",0,IF(OR(F3726="",D3726="",L3726=""),"",IF(L3726="Sim",ROUND(F3726-D3726,2),0)))</f>
        <v/>
      </c>
      <c r="K3726" s="97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inlineStr">
        <is>
          <t>Nao</t>
        </is>
      </c>
      <c r="W3726" s="110" t="inlineStr">
        <is>
          <t>PC em analise</t>
        </is>
      </c>
      <c r="X3726" s="110" t="inlineStr">
        <is>
          <t>Pedido de Compra</t>
        </is>
      </c>
      <c r="Y3726" s="111" t="inlineStr">
        <is>
          <t>Impacto Potencial</t>
        </is>
      </c>
      <c r="Z3726" s="111" t="inlineStr">
        <is>
          <t>PC</t>
        </is>
      </c>
      <c r="AA3726" s="111" t="inlineStr">
        <is>
          <t>Nao</t>
        </is>
      </c>
      <c r="AB3726" s="111" t="inlineStr">
        <is>
          <t>NAO_COMPUTADO</t>
        </is>
      </c>
      <c r="AC3726" s="112" t="inlineStr">
        <is>
          <t>Estrutura Fase 1: sem impacto no VTA oficial</t>
        </is>
      </c>
    </row>
    <row r="3727" ht="25.5" customHeight="1" s="289">
      <c r="A3727" s="205" t="n"/>
      <c r="B3727" s="207" t="n"/>
      <c r="C3727" s="104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348" t="n"/>
      <c r="E3727" s="349">
        <f>IF(C3727="","",IFERROR(VLOOKUP(C3727,parametros!$A$11:$E$15,5,0),""))</f>
        <v/>
      </c>
      <c r="F3727" s="335">
        <f>IF(OR(D3727="",E3727=""),"",ROUND(D3727*E3727,2))</f>
        <v/>
      </c>
      <c r="G3727" s="106" t="n"/>
      <c r="H3727" s="350">
        <f>IF(G3727="Sim",IF(OR(F3727="",D3727="",L3727=""),"",IF(L3727="Sim",ROUND(F3727-D3727,2),0)),0)</f>
        <v/>
      </c>
      <c r="I3727" s="350">
        <f>IF(G3727="Sim",0,IF(OR(F3727="",L3727=""),"",F3727))</f>
        <v/>
      </c>
      <c r="J3727" s="350">
        <f>IF(G3727="Sim",0,IF(OR(F3727="",D3727="",L3727=""),"",IF(L3727="Sim",ROUND(F3727-D3727,2),0)))</f>
        <v/>
      </c>
      <c r="K3727" s="97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inlineStr">
        <is>
          <t>Nao</t>
        </is>
      </c>
      <c r="W3727" s="110" t="inlineStr">
        <is>
          <t>PC em analise</t>
        </is>
      </c>
      <c r="X3727" s="110" t="inlineStr">
        <is>
          <t>Pedido de Compra</t>
        </is>
      </c>
      <c r="Y3727" s="111" t="inlineStr">
        <is>
          <t>Impacto Potencial</t>
        </is>
      </c>
      <c r="Z3727" s="111" t="inlineStr">
        <is>
          <t>PC</t>
        </is>
      </c>
      <c r="AA3727" s="111" t="inlineStr">
        <is>
          <t>Nao</t>
        </is>
      </c>
      <c r="AB3727" s="111" t="inlineStr">
        <is>
          <t>NAO_COMPUTADO</t>
        </is>
      </c>
      <c r="AC3727" s="112" t="inlineStr">
        <is>
          <t>Estrutura Fase 1: sem impacto no VTA oficial</t>
        </is>
      </c>
    </row>
    <row r="3728" ht="25.5" customHeight="1" s="289">
      <c r="A3728" s="205" t="n"/>
      <c r="B3728" s="207" t="n"/>
      <c r="C3728" s="104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348" t="n"/>
      <c r="E3728" s="349">
        <f>IF(C3728="","",IFERROR(VLOOKUP(C3728,parametros!$A$11:$E$15,5,0),""))</f>
        <v/>
      </c>
      <c r="F3728" s="335">
        <f>IF(OR(D3728="",E3728=""),"",ROUND(D3728*E3728,2))</f>
        <v/>
      </c>
      <c r="G3728" s="106" t="n"/>
      <c r="H3728" s="350">
        <f>IF(G3728="Sim",IF(OR(F3728="",D3728="",L3728=""),"",IF(L3728="Sim",ROUND(F3728-D3728,2),0)),0)</f>
        <v/>
      </c>
      <c r="I3728" s="350">
        <f>IF(G3728="Sim",0,IF(OR(F3728="",L3728=""),"",F3728))</f>
        <v/>
      </c>
      <c r="J3728" s="350">
        <f>IF(G3728="Sim",0,IF(OR(F3728="",D3728="",L3728=""),"",IF(L3728="Sim",ROUND(F3728-D3728,2),0)))</f>
        <v/>
      </c>
      <c r="K3728" s="97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inlineStr">
        <is>
          <t>Nao</t>
        </is>
      </c>
      <c r="W3728" s="110" t="inlineStr">
        <is>
          <t>PC em analise</t>
        </is>
      </c>
      <c r="X3728" s="110" t="inlineStr">
        <is>
          <t>Pedido de Compra</t>
        </is>
      </c>
      <c r="Y3728" s="111" t="inlineStr">
        <is>
          <t>Impacto Potencial</t>
        </is>
      </c>
      <c r="Z3728" s="111" t="inlineStr">
        <is>
          <t>PC</t>
        </is>
      </c>
      <c r="AA3728" s="111" t="inlineStr">
        <is>
          <t>Nao</t>
        </is>
      </c>
      <c r="AB3728" s="111" t="inlineStr">
        <is>
          <t>NAO_COMPUTADO</t>
        </is>
      </c>
      <c r="AC3728" s="112" t="inlineStr">
        <is>
          <t>Estrutura Fase 1: sem impacto no VTA oficial</t>
        </is>
      </c>
    </row>
    <row r="3729" ht="25.5" customHeight="1" s="289">
      <c r="A3729" s="205" t="n"/>
      <c r="B3729" s="207" t="n"/>
      <c r="C3729" s="104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348" t="n"/>
      <c r="E3729" s="349">
        <f>IF(C3729="","",IFERROR(VLOOKUP(C3729,parametros!$A$11:$E$15,5,0),""))</f>
        <v/>
      </c>
      <c r="F3729" s="335">
        <f>IF(OR(D3729="",E3729=""),"",ROUND(D3729*E3729,2))</f>
        <v/>
      </c>
      <c r="G3729" s="106" t="n"/>
      <c r="H3729" s="350">
        <f>IF(G3729="Sim",IF(OR(F3729="",D3729="",L3729=""),"",IF(L3729="Sim",ROUND(F3729-D3729,2),0)),0)</f>
        <v/>
      </c>
      <c r="I3729" s="350">
        <f>IF(G3729="Sim",0,IF(OR(F3729="",L3729=""),"",F3729))</f>
        <v/>
      </c>
      <c r="J3729" s="350">
        <f>IF(G3729="Sim",0,IF(OR(F3729="",D3729="",L3729=""),"",IF(L3729="Sim",ROUND(F3729-D3729,2),0)))</f>
        <v/>
      </c>
      <c r="K3729" s="97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inlineStr">
        <is>
          <t>Nao</t>
        </is>
      </c>
      <c r="W3729" s="110" t="inlineStr">
        <is>
          <t>PC em analise</t>
        </is>
      </c>
      <c r="X3729" s="110" t="inlineStr">
        <is>
          <t>Pedido de Compra</t>
        </is>
      </c>
      <c r="Y3729" s="111" t="inlineStr">
        <is>
          <t>Impacto Potencial</t>
        </is>
      </c>
      <c r="Z3729" s="111" t="inlineStr">
        <is>
          <t>PC</t>
        </is>
      </c>
      <c r="AA3729" s="111" t="inlineStr">
        <is>
          <t>Nao</t>
        </is>
      </c>
      <c r="AB3729" s="111" t="inlineStr">
        <is>
          <t>NAO_COMPUTADO</t>
        </is>
      </c>
      <c r="AC3729" s="112" t="inlineStr">
        <is>
          <t>Estrutura Fase 1: sem impacto no VTA oficial</t>
        </is>
      </c>
    </row>
    <row r="3730" ht="25.5" customHeight="1" s="289">
      <c r="A3730" s="205" t="n"/>
      <c r="B3730" s="207" t="n"/>
      <c r="C3730" s="104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348" t="n"/>
      <c r="E3730" s="349">
        <f>IF(C3730="","",IFERROR(VLOOKUP(C3730,parametros!$A$11:$E$15,5,0),""))</f>
        <v/>
      </c>
      <c r="F3730" s="335">
        <f>IF(OR(D3730="",E3730=""),"",ROUND(D3730*E3730,2))</f>
        <v/>
      </c>
      <c r="G3730" s="106" t="n"/>
      <c r="H3730" s="350">
        <f>IF(G3730="Sim",IF(OR(F3730="",D3730="",L3730=""),"",IF(L3730="Sim",ROUND(F3730-D3730,2),0)),0)</f>
        <v/>
      </c>
      <c r="I3730" s="350">
        <f>IF(G3730="Sim",0,IF(OR(F3730="",L3730=""),"",F3730))</f>
        <v/>
      </c>
      <c r="J3730" s="350">
        <f>IF(G3730="Sim",0,IF(OR(F3730="",D3730="",L3730=""),"",IF(L3730="Sim",ROUND(F3730-D3730,2),0)))</f>
        <v/>
      </c>
      <c r="K3730" s="97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inlineStr">
        <is>
          <t>Nao</t>
        </is>
      </c>
      <c r="W3730" s="110" t="inlineStr">
        <is>
          <t>PC em analise</t>
        </is>
      </c>
      <c r="X3730" s="110" t="inlineStr">
        <is>
          <t>Pedido de Compra</t>
        </is>
      </c>
      <c r="Y3730" s="111" t="inlineStr">
        <is>
          <t>Impacto Potencial</t>
        </is>
      </c>
      <c r="Z3730" s="111" t="inlineStr">
        <is>
          <t>PC</t>
        </is>
      </c>
      <c r="AA3730" s="111" t="inlineStr">
        <is>
          <t>Nao</t>
        </is>
      </c>
      <c r="AB3730" s="111" t="inlineStr">
        <is>
          <t>NAO_COMPUTADO</t>
        </is>
      </c>
      <c r="AC3730" s="112" t="inlineStr">
        <is>
          <t>Estrutura Fase 1: sem impacto no VTA oficial</t>
        </is>
      </c>
    </row>
    <row r="3731" ht="25.5" customHeight="1" s="289">
      <c r="A3731" s="205" t="n"/>
      <c r="B3731" s="207" t="n"/>
      <c r="C3731" s="104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348" t="n"/>
      <c r="E3731" s="349">
        <f>IF(C3731="","",IFERROR(VLOOKUP(C3731,parametros!$A$11:$E$15,5,0),""))</f>
        <v/>
      </c>
      <c r="F3731" s="335">
        <f>IF(OR(D3731="",E3731=""),"",ROUND(D3731*E3731,2))</f>
        <v/>
      </c>
      <c r="G3731" s="106" t="n"/>
      <c r="H3731" s="350">
        <f>IF(G3731="Sim",IF(OR(F3731="",D3731="",L3731=""),"",IF(L3731="Sim",ROUND(F3731-D3731,2),0)),0)</f>
        <v/>
      </c>
      <c r="I3731" s="350">
        <f>IF(G3731="Sim",0,IF(OR(F3731="",L3731=""),"",F3731))</f>
        <v/>
      </c>
      <c r="J3731" s="350">
        <f>IF(G3731="Sim",0,IF(OR(F3731="",D3731="",L3731=""),"",IF(L3731="Sim",ROUND(F3731-D3731,2),0)))</f>
        <v/>
      </c>
      <c r="K3731" s="97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inlineStr">
        <is>
          <t>Nao</t>
        </is>
      </c>
      <c r="W3731" s="110" t="inlineStr">
        <is>
          <t>PC em analise</t>
        </is>
      </c>
      <c r="X3731" s="110" t="inlineStr">
        <is>
          <t>Pedido de Compra</t>
        </is>
      </c>
      <c r="Y3731" s="111" t="inlineStr">
        <is>
          <t>Impacto Potencial</t>
        </is>
      </c>
      <c r="Z3731" s="111" t="inlineStr">
        <is>
          <t>PC</t>
        </is>
      </c>
      <c r="AA3731" s="111" t="inlineStr">
        <is>
          <t>Nao</t>
        </is>
      </c>
      <c r="AB3731" s="111" t="inlineStr">
        <is>
          <t>NAO_COMPUTADO</t>
        </is>
      </c>
      <c r="AC3731" s="112" t="inlineStr">
        <is>
          <t>Estrutura Fase 1: sem impacto no VTA oficial</t>
        </is>
      </c>
    </row>
    <row r="3732" ht="25.5" customHeight="1" s="289">
      <c r="A3732" s="205" t="n"/>
      <c r="B3732" s="207" t="n"/>
      <c r="C3732" s="104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348" t="n"/>
      <c r="E3732" s="349">
        <f>IF(C3732="","",IFERROR(VLOOKUP(C3732,parametros!$A$11:$E$15,5,0),""))</f>
        <v/>
      </c>
      <c r="F3732" s="335">
        <f>IF(OR(D3732="",E3732=""),"",ROUND(D3732*E3732,2))</f>
        <v/>
      </c>
      <c r="G3732" s="106" t="n"/>
      <c r="H3732" s="350">
        <f>IF(G3732="Sim",IF(OR(F3732="",D3732="",L3732=""),"",IF(L3732="Sim",ROUND(F3732-D3732,2),0)),0)</f>
        <v/>
      </c>
      <c r="I3732" s="350">
        <f>IF(G3732="Sim",0,IF(OR(F3732="",L3732=""),"",F3732))</f>
        <v/>
      </c>
      <c r="J3732" s="350">
        <f>IF(G3732="Sim",0,IF(OR(F3732="",D3732="",L3732=""),"",IF(L3732="Sim",ROUND(F3732-D3732,2),0)))</f>
        <v/>
      </c>
      <c r="K3732" s="97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inlineStr">
        <is>
          <t>Nao</t>
        </is>
      </c>
      <c r="W3732" s="110" t="inlineStr">
        <is>
          <t>PC em analise</t>
        </is>
      </c>
      <c r="X3732" s="110" t="inlineStr">
        <is>
          <t>Pedido de Compra</t>
        </is>
      </c>
      <c r="Y3732" s="111" t="inlineStr">
        <is>
          <t>Impacto Potencial</t>
        </is>
      </c>
      <c r="Z3732" s="111" t="inlineStr">
        <is>
          <t>PC</t>
        </is>
      </c>
      <c r="AA3732" s="111" t="inlineStr">
        <is>
          <t>Nao</t>
        </is>
      </c>
      <c r="AB3732" s="111" t="inlineStr">
        <is>
          <t>NAO_COMPUTADO</t>
        </is>
      </c>
      <c r="AC3732" s="112" t="inlineStr">
        <is>
          <t>Estrutura Fase 1: sem impacto no VTA oficial</t>
        </is>
      </c>
    </row>
    <row r="3733" ht="25.5" customHeight="1" s="289">
      <c r="A3733" s="205" t="n"/>
      <c r="B3733" s="207" t="n"/>
      <c r="C3733" s="104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348" t="n"/>
      <c r="E3733" s="349">
        <f>IF(C3733="","",IFERROR(VLOOKUP(C3733,parametros!$A$11:$E$15,5,0),""))</f>
        <v/>
      </c>
      <c r="F3733" s="335">
        <f>IF(OR(D3733="",E3733=""),"",ROUND(D3733*E3733,2))</f>
        <v/>
      </c>
      <c r="G3733" s="106" t="n"/>
      <c r="H3733" s="350">
        <f>IF(G3733="Sim",IF(OR(F3733="",D3733="",L3733=""),"",IF(L3733="Sim",ROUND(F3733-D3733,2),0)),0)</f>
        <v/>
      </c>
      <c r="I3733" s="350">
        <f>IF(G3733="Sim",0,IF(OR(F3733="",L3733=""),"",F3733))</f>
        <v/>
      </c>
      <c r="J3733" s="350">
        <f>IF(G3733="Sim",0,IF(OR(F3733="",D3733="",L3733=""),"",IF(L3733="Sim",ROUND(F3733-D3733,2),0)))</f>
        <v/>
      </c>
      <c r="K3733" s="97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inlineStr">
        <is>
          <t>Nao</t>
        </is>
      </c>
      <c r="W3733" s="110" t="inlineStr">
        <is>
          <t>PC em analise</t>
        </is>
      </c>
      <c r="X3733" s="110" t="inlineStr">
        <is>
          <t>Pedido de Compra</t>
        </is>
      </c>
      <c r="Y3733" s="111" t="inlineStr">
        <is>
          <t>Impacto Potencial</t>
        </is>
      </c>
      <c r="Z3733" s="111" t="inlineStr">
        <is>
          <t>PC</t>
        </is>
      </c>
      <c r="AA3733" s="111" t="inlineStr">
        <is>
          <t>Nao</t>
        </is>
      </c>
      <c r="AB3733" s="111" t="inlineStr">
        <is>
          <t>NAO_COMPUTADO</t>
        </is>
      </c>
      <c r="AC3733" s="112" t="inlineStr">
        <is>
          <t>Estrutura Fase 1: sem impacto no VTA oficial</t>
        </is>
      </c>
    </row>
    <row r="3734" ht="25.5" customHeight="1" s="289">
      <c r="A3734" s="205" t="n"/>
      <c r="B3734" s="207" t="n"/>
      <c r="C3734" s="104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348" t="n"/>
      <c r="E3734" s="349">
        <f>IF(C3734="","",IFERROR(VLOOKUP(C3734,parametros!$A$11:$E$15,5,0),""))</f>
        <v/>
      </c>
      <c r="F3734" s="335">
        <f>IF(OR(D3734="",E3734=""),"",ROUND(D3734*E3734,2))</f>
        <v/>
      </c>
      <c r="G3734" s="106" t="n"/>
      <c r="H3734" s="350">
        <f>IF(G3734="Sim",IF(OR(F3734="",D3734="",L3734=""),"",IF(L3734="Sim",ROUND(F3734-D3734,2),0)),0)</f>
        <v/>
      </c>
      <c r="I3734" s="350">
        <f>IF(G3734="Sim",0,IF(OR(F3734="",L3734=""),"",F3734))</f>
        <v/>
      </c>
      <c r="J3734" s="350">
        <f>IF(G3734="Sim",0,IF(OR(F3734="",D3734="",L3734=""),"",IF(L3734="Sim",ROUND(F3734-D3734,2),0)))</f>
        <v/>
      </c>
      <c r="K3734" s="97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inlineStr">
        <is>
          <t>Nao</t>
        </is>
      </c>
      <c r="W3734" s="110" t="inlineStr">
        <is>
          <t>PC em analise</t>
        </is>
      </c>
      <c r="X3734" s="110" t="inlineStr">
        <is>
          <t>Pedido de Compra</t>
        </is>
      </c>
      <c r="Y3734" s="111" t="inlineStr">
        <is>
          <t>Impacto Potencial</t>
        </is>
      </c>
      <c r="Z3734" s="111" t="inlineStr">
        <is>
          <t>PC</t>
        </is>
      </c>
      <c r="AA3734" s="111" t="inlineStr">
        <is>
          <t>Nao</t>
        </is>
      </c>
      <c r="AB3734" s="111" t="inlineStr">
        <is>
          <t>NAO_COMPUTADO</t>
        </is>
      </c>
      <c r="AC3734" s="112" t="inlineStr">
        <is>
          <t>Estrutura Fase 1: sem impacto no VTA oficial</t>
        </is>
      </c>
    </row>
    <row r="3735" ht="25.5" customHeight="1" s="289">
      <c r="A3735" s="205" t="n"/>
      <c r="B3735" s="207" t="n"/>
      <c r="C3735" s="104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348" t="n"/>
      <c r="E3735" s="349">
        <f>IF(C3735="","",IFERROR(VLOOKUP(C3735,parametros!$A$11:$E$15,5,0),""))</f>
        <v/>
      </c>
      <c r="F3735" s="335">
        <f>IF(OR(D3735="",E3735=""),"",ROUND(D3735*E3735,2))</f>
        <v/>
      </c>
      <c r="G3735" s="106" t="n"/>
      <c r="H3735" s="350">
        <f>IF(G3735="Sim",IF(OR(F3735="",D3735="",L3735=""),"",IF(L3735="Sim",ROUND(F3735-D3735,2),0)),0)</f>
        <v/>
      </c>
      <c r="I3735" s="350">
        <f>IF(G3735="Sim",0,IF(OR(F3735="",L3735=""),"",F3735))</f>
        <v/>
      </c>
      <c r="J3735" s="350">
        <f>IF(G3735="Sim",0,IF(OR(F3735="",D3735="",L3735=""),"",IF(L3735="Sim",ROUND(F3735-D3735,2),0)))</f>
        <v/>
      </c>
      <c r="K3735" s="97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inlineStr">
        <is>
          <t>Nao</t>
        </is>
      </c>
      <c r="W3735" s="110" t="inlineStr">
        <is>
          <t>PC em analise</t>
        </is>
      </c>
      <c r="X3735" s="110" t="inlineStr">
        <is>
          <t>Pedido de Compra</t>
        </is>
      </c>
      <c r="Y3735" s="111" t="inlineStr">
        <is>
          <t>Impacto Potencial</t>
        </is>
      </c>
      <c r="Z3735" s="111" t="inlineStr">
        <is>
          <t>PC</t>
        </is>
      </c>
      <c r="AA3735" s="111" t="inlineStr">
        <is>
          <t>Nao</t>
        </is>
      </c>
      <c r="AB3735" s="111" t="inlineStr">
        <is>
          <t>NAO_COMPUTADO</t>
        </is>
      </c>
      <c r="AC3735" s="112" t="inlineStr">
        <is>
          <t>Estrutura Fase 1: sem impacto no VTA oficial</t>
        </is>
      </c>
    </row>
    <row r="3736" ht="25.5" customHeight="1" s="289">
      <c r="A3736" s="205" t="n"/>
      <c r="B3736" s="207" t="n"/>
      <c r="C3736" s="104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348" t="n"/>
      <c r="E3736" s="349">
        <f>IF(C3736="","",IFERROR(VLOOKUP(C3736,parametros!$A$11:$E$15,5,0),""))</f>
        <v/>
      </c>
      <c r="F3736" s="335">
        <f>IF(OR(D3736="",E3736=""),"",ROUND(D3736*E3736,2))</f>
        <v/>
      </c>
      <c r="G3736" s="106" t="n"/>
      <c r="H3736" s="350">
        <f>IF(G3736="Sim",IF(OR(F3736="",D3736="",L3736=""),"",IF(L3736="Sim",ROUND(F3736-D3736,2),0)),0)</f>
        <v/>
      </c>
      <c r="I3736" s="350">
        <f>IF(G3736="Sim",0,IF(OR(F3736="",L3736=""),"",F3736))</f>
        <v/>
      </c>
      <c r="J3736" s="350">
        <f>IF(G3736="Sim",0,IF(OR(F3736="",D3736="",L3736=""),"",IF(L3736="Sim",ROUND(F3736-D3736,2),0)))</f>
        <v/>
      </c>
      <c r="K3736" s="97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inlineStr">
        <is>
          <t>Nao</t>
        </is>
      </c>
      <c r="W3736" s="110" t="inlineStr">
        <is>
          <t>PC em analise</t>
        </is>
      </c>
      <c r="X3736" s="110" t="inlineStr">
        <is>
          <t>Pedido de Compra</t>
        </is>
      </c>
      <c r="Y3736" s="111" t="inlineStr">
        <is>
          <t>Impacto Potencial</t>
        </is>
      </c>
      <c r="Z3736" s="111" t="inlineStr">
        <is>
          <t>PC</t>
        </is>
      </c>
      <c r="AA3736" s="111" t="inlineStr">
        <is>
          <t>Nao</t>
        </is>
      </c>
      <c r="AB3736" s="111" t="inlineStr">
        <is>
          <t>NAO_COMPUTADO</t>
        </is>
      </c>
      <c r="AC3736" s="112" t="inlineStr">
        <is>
          <t>Estrutura Fase 1: sem impacto no VTA oficial</t>
        </is>
      </c>
    </row>
    <row r="3737" ht="25.5" customHeight="1" s="289">
      <c r="A3737" s="205" t="n"/>
      <c r="B3737" s="207" t="n"/>
      <c r="C3737" s="104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348" t="n"/>
      <c r="E3737" s="349">
        <f>IF(C3737="","",IFERROR(VLOOKUP(C3737,parametros!$A$11:$E$15,5,0),""))</f>
        <v/>
      </c>
      <c r="F3737" s="335">
        <f>IF(OR(D3737="",E3737=""),"",ROUND(D3737*E3737,2))</f>
        <v/>
      </c>
      <c r="G3737" s="106" t="n"/>
      <c r="H3737" s="350">
        <f>IF(G3737="Sim",IF(OR(F3737="",D3737="",L3737=""),"",IF(L3737="Sim",ROUND(F3737-D3737,2),0)),0)</f>
        <v/>
      </c>
      <c r="I3737" s="350">
        <f>IF(G3737="Sim",0,IF(OR(F3737="",L3737=""),"",F3737))</f>
        <v/>
      </c>
      <c r="J3737" s="350">
        <f>IF(G3737="Sim",0,IF(OR(F3737="",D3737="",L3737=""),"",IF(L3737="Sim",ROUND(F3737-D3737,2),0)))</f>
        <v/>
      </c>
      <c r="K3737" s="97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inlineStr">
        <is>
          <t>Nao</t>
        </is>
      </c>
      <c r="W3737" s="110" t="inlineStr">
        <is>
          <t>PC em analise</t>
        </is>
      </c>
      <c r="X3737" s="110" t="inlineStr">
        <is>
          <t>Pedido de Compra</t>
        </is>
      </c>
      <c r="Y3737" s="111" t="inlineStr">
        <is>
          <t>Impacto Potencial</t>
        </is>
      </c>
      <c r="Z3737" s="111" t="inlineStr">
        <is>
          <t>PC</t>
        </is>
      </c>
      <c r="AA3737" s="111" t="inlineStr">
        <is>
          <t>Nao</t>
        </is>
      </c>
      <c r="AB3737" s="111" t="inlineStr">
        <is>
          <t>NAO_COMPUTADO</t>
        </is>
      </c>
      <c r="AC3737" s="112" t="inlineStr">
        <is>
          <t>Estrutura Fase 1: sem impacto no VTA oficial</t>
        </is>
      </c>
    </row>
    <row r="3738" ht="25.5" customHeight="1" s="289">
      <c r="A3738" s="205" t="n"/>
      <c r="B3738" s="207" t="n"/>
      <c r="C3738" s="104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348" t="n"/>
      <c r="E3738" s="349">
        <f>IF(C3738="","",IFERROR(VLOOKUP(C3738,parametros!$A$11:$E$15,5,0),""))</f>
        <v/>
      </c>
      <c r="F3738" s="335">
        <f>IF(OR(D3738="",E3738=""),"",ROUND(D3738*E3738,2))</f>
        <v/>
      </c>
      <c r="G3738" s="106" t="n"/>
      <c r="H3738" s="350">
        <f>IF(G3738="Sim",IF(OR(F3738="",D3738="",L3738=""),"",IF(L3738="Sim",ROUND(F3738-D3738,2),0)),0)</f>
        <v/>
      </c>
      <c r="I3738" s="350">
        <f>IF(G3738="Sim",0,IF(OR(F3738="",L3738=""),"",F3738))</f>
        <v/>
      </c>
      <c r="J3738" s="350">
        <f>IF(G3738="Sim",0,IF(OR(F3738="",D3738="",L3738=""),"",IF(L3738="Sim",ROUND(F3738-D3738,2),0)))</f>
        <v/>
      </c>
      <c r="K3738" s="97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inlineStr">
        <is>
          <t>Nao</t>
        </is>
      </c>
      <c r="W3738" s="110" t="inlineStr">
        <is>
          <t>PC em analise</t>
        </is>
      </c>
      <c r="X3738" s="110" t="inlineStr">
        <is>
          <t>Pedido de Compra</t>
        </is>
      </c>
      <c r="Y3738" s="111" t="inlineStr">
        <is>
          <t>Impacto Potencial</t>
        </is>
      </c>
      <c r="Z3738" s="111" t="inlineStr">
        <is>
          <t>PC</t>
        </is>
      </c>
      <c r="AA3738" s="111" t="inlineStr">
        <is>
          <t>Nao</t>
        </is>
      </c>
      <c r="AB3738" s="111" t="inlineStr">
        <is>
          <t>NAO_COMPUTADO</t>
        </is>
      </c>
      <c r="AC3738" s="112" t="inlineStr">
        <is>
          <t>Estrutura Fase 1: sem impacto no VTA oficial</t>
        </is>
      </c>
    </row>
    <row r="3739" ht="25.5" customHeight="1" s="289">
      <c r="A3739" s="205" t="n"/>
      <c r="B3739" s="207" t="n"/>
      <c r="C3739" s="104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348" t="n"/>
      <c r="E3739" s="349">
        <f>IF(C3739="","",IFERROR(VLOOKUP(C3739,parametros!$A$11:$E$15,5,0),""))</f>
        <v/>
      </c>
      <c r="F3739" s="335">
        <f>IF(OR(D3739="",E3739=""),"",ROUND(D3739*E3739,2))</f>
        <v/>
      </c>
      <c r="G3739" s="106" t="n"/>
      <c r="H3739" s="350">
        <f>IF(G3739="Sim",IF(OR(F3739="",D3739="",L3739=""),"",IF(L3739="Sim",ROUND(F3739-D3739,2),0)),0)</f>
        <v/>
      </c>
      <c r="I3739" s="350">
        <f>IF(G3739="Sim",0,IF(OR(F3739="",L3739=""),"",F3739))</f>
        <v/>
      </c>
      <c r="J3739" s="350">
        <f>IF(G3739="Sim",0,IF(OR(F3739="",D3739="",L3739=""),"",IF(L3739="Sim",ROUND(F3739-D3739,2),0)))</f>
        <v/>
      </c>
      <c r="K3739" s="97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inlineStr">
        <is>
          <t>Nao</t>
        </is>
      </c>
      <c r="W3739" s="110" t="inlineStr">
        <is>
          <t>PC em analise</t>
        </is>
      </c>
      <c r="X3739" s="110" t="inlineStr">
        <is>
          <t>Pedido de Compra</t>
        </is>
      </c>
      <c r="Y3739" s="111" t="inlineStr">
        <is>
          <t>Impacto Potencial</t>
        </is>
      </c>
      <c r="Z3739" s="111" t="inlineStr">
        <is>
          <t>PC</t>
        </is>
      </c>
      <c r="AA3739" s="111" t="inlineStr">
        <is>
          <t>Nao</t>
        </is>
      </c>
      <c r="AB3739" s="111" t="inlineStr">
        <is>
          <t>NAO_COMPUTADO</t>
        </is>
      </c>
      <c r="AC3739" s="112" t="inlineStr">
        <is>
          <t>Estrutura Fase 1: sem impacto no VTA oficial</t>
        </is>
      </c>
    </row>
    <row r="3740" ht="25.5" customHeight="1" s="289">
      <c r="A3740" s="205" t="n"/>
      <c r="B3740" s="207" t="n"/>
      <c r="C3740" s="104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348" t="n"/>
      <c r="E3740" s="349">
        <f>IF(C3740="","",IFERROR(VLOOKUP(C3740,parametros!$A$11:$E$15,5,0),""))</f>
        <v/>
      </c>
      <c r="F3740" s="335">
        <f>IF(OR(D3740="",E3740=""),"",ROUND(D3740*E3740,2))</f>
        <v/>
      </c>
      <c r="G3740" s="106" t="n"/>
      <c r="H3740" s="350">
        <f>IF(G3740="Sim",IF(OR(F3740="",D3740="",L3740=""),"",IF(L3740="Sim",ROUND(F3740-D3740,2),0)),0)</f>
        <v/>
      </c>
      <c r="I3740" s="350">
        <f>IF(G3740="Sim",0,IF(OR(F3740="",L3740=""),"",F3740))</f>
        <v/>
      </c>
      <c r="J3740" s="350">
        <f>IF(G3740="Sim",0,IF(OR(F3740="",D3740="",L3740=""),"",IF(L3740="Sim",ROUND(F3740-D3740,2),0)))</f>
        <v/>
      </c>
      <c r="K3740" s="97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inlineStr">
        <is>
          <t>Nao</t>
        </is>
      </c>
      <c r="W3740" s="110" t="inlineStr">
        <is>
          <t>PC em analise</t>
        </is>
      </c>
      <c r="X3740" s="110" t="inlineStr">
        <is>
          <t>Pedido de Compra</t>
        </is>
      </c>
      <c r="Y3740" s="111" t="inlineStr">
        <is>
          <t>Impacto Potencial</t>
        </is>
      </c>
      <c r="Z3740" s="111" t="inlineStr">
        <is>
          <t>PC</t>
        </is>
      </c>
      <c r="AA3740" s="111" t="inlineStr">
        <is>
          <t>Nao</t>
        </is>
      </c>
      <c r="AB3740" s="111" t="inlineStr">
        <is>
          <t>NAO_COMPUTADO</t>
        </is>
      </c>
      <c r="AC3740" s="112" t="inlineStr">
        <is>
          <t>Estrutura Fase 1: sem impacto no VTA oficial</t>
        </is>
      </c>
    </row>
    <row r="3741" ht="25.5" customHeight="1" s="289">
      <c r="A3741" s="205" t="n"/>
      <c r="B3741" s="207" t="n"/>
      <c r="C3741" s="104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348" t="n"/>
      <c r="E3741" s="349">
        <f>IF(C3741="","",IFERROR(VLOOKUP(C3741,parametros!$A$11:$E$15,5,0),""))</f>
        <v/>
      </c>
      <c r="F3741" s="335">
        <f>IF(OR(D3741="",E3741=""),"",ROUND(D3741*E3741,2))</f>
        <v/>
      </c>
      <c r="G3741" s="106" t="n"/>
      <c r="H3741" s="350">
        <f>IF(G3741="Sim",IF(OR(F3741="",D3741="",L3741=""),"",IF(L3741="Sim",ROUND(F3741-D3741,2),0)),0)</f>
        <v/>
      </c>
      <c r="I3741" s="350">
        <f>IF(G3741="Sim",0,IF(OR(F3741="",L3741=""),"",F3741))</f>
        <v/>
      </c>
      <c r="J3741" s="350">
        <f>IF(G3741="Sim",0,IF(OR(F3741="",D3741="",L3741=""),"",IF(L3741="Sim",ROUND(F3741-D3741,2),0)))</f>
        <v/>
      </c>
      <c r="K3741" s="97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inlineStr">
        <is>
          <t>Nao</t>
        </is>
      </c>
      <c r="W3741" s="110" t="inlineStr">
        <is>
          <t>PC em analise</t>
        </is>
      </c>
      <c r="X3741" s="110" t="inlineStr">
        <is>
          <t>Pedido de Compra</t>
        </is>
      </c>
      <c r="Y3741" s="111" t="inlineStr">
        <is>
          <t>Impacto Potencial</t>
        </is>
      </c>
      <c r="Z3741" s="111" t="inlineStr">
        <is>
          <t>PC</t>
        </is>
      </c>
      <c r="AA3741" s="111" t="inlineStr">
        <is>
          <t>Nao</t>
        </is>
      </c>
      <c r="AB3741" s="111" t="inlineStr">
        <is>
          <t>NAO_COMPUTADO</t>
        </is>
      </c>
      <c r="AC3741" s="112" t="inlineStr">
        <is>
          <t>Estrutura Fase 1: sem impacto no VTA oficial</t>
        </is>
      </c>
    </row>
    <row r="3742" ht="25.5" customHeight="1" s="289">
      <c r="A3742" s="205" t="n"/>
      <c r="B3742" s="207" t="n"/>
      <c r="C3742" s="104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348" t="n"/>
      <c r="E3742" s="349">
        <f>IF(C3742="","",IFERROR(VLOOKUP(C3742,parametros!$A$11:$E$15,5,0),""))</f>
        <v/>
      </c>
      <c r="F3742" s="335">
        <f>IF(OR(D3742="",E3742=""),"",ROUND(D3742*E3742,2))</f>
        <v/>
      </c>
      <c r="G3742" s="106" t="n"/>
      <c r="H3742" s="350">
        <f>IF(G3742="Sim",IF(OR(F3742="",D3742="",L3742=""),"",IF(L3742="Sim",ROUND(F3742-D3742,2),0)),0)</f>
        <v/>
      </c>
      <c r="I3742" s="350">
        <f>IF(G3742="Sim",0,IF(OR(F3742="",L3742=""),"",F3742))</f>
        <v/>
      </c>
      <c r="J3742" s="350">
        <f>IF(G3742="Sim",0,IF(OR(F3742="",D3742="",L3742=""),"",IF(L3742="Sim",ROUND(F3742-D3742,2),0)))</f>
        <v/>
      </c>
      <c r="K3742" s="97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inlineStr">
        <is>
          <t>Nao</t>
        </is>
      </c>
      <c r="W3742" s="110" t="inlineStr">
        <is>
          <t>PC em analise</t>
        </is>
      </c>
      <c r="X3742" s="110" t="inlineStr">
        <is>
          <t>Pedido de Compra</t>
        </is>
      </c>
      <c r="Y3742" s="111" t="inlineStr">
        <is>
          <t>Impacto Potencial</t>
        </is>
      </c>
      <c r="Z3742" s="111" t="inlineStr">
        <is>
          <t>PC</t>
        </is>
      </c>
      <c r="AA3742" s="111" t="inlineStr">
        <is>
          <t>Nao</t>
        </is>
      </c>
      <c r="AB3742" s="111" t="inlineStr">
        <is>
          <t>NAO_COMPUTADO</t>
        </is>
      </c>
      <c r="AC3742" s="112" t="inlineStr">
        <is>
          <t>Estrutura Fase 1: sem impacto no VTA oficial</t>
        </is>
      </c>
    </row>
    <row r="3743" ht="25.5" customHeight="1" s="289">
      <c r="A3743" s="205" t="n"/>
      <c r="B3743" s="207" t="n"/>
      <c r="C3743" s="104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348" t="n"/>
      <c r="E3743" s="349">
        <f>IF(C3743="","",IFERROR(VLOOKUP(C3743,parametros!$A$11:$E$15,5,0),""))</f>
        <v/>
      </c>
      <c r="F3743" s="335">
        <f>IF(OR(D3743="",E3743=""),"",ROUND(D3743*E3743,2))</f>
        <v/>
      </c>
      <c r="G3743" s="106" t="n"/>
      <c r="H3743" s="350">
        <f>IF(G3743="Sim",IF(OR(F3743="",D3743="",L3743=""),"",IF(L3743="Sim",ROUND(F3743-D3743,2),0)),0)</f>
        <v/>
      </c>
      <c r="I3743" s="350">
        <f>IF(G3743="Sim",0,IF(OR(F3743="",L3743=""),"",F3743))</f>
        <v/>
      </c>
      <c r="J3743" s="350">
        <f>IF(G3743="Sim",0,IF(OR(F3743="",D3743="",L3743=""),"",IF(L3743="Sim",ROUND(F3743-D3743,2),0)))</f>
        <v/>
      </c>
      <c r="K3743" s="97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inlineStr">
        <is>
          <t>Nao</t>
        </is>
      </c>
      <c r="W3743" s="110" t="inlineStr">
        <is>
          <t>PC em analise</t>
        </is>
      </c>
      <c r="X3743" s="110" t="inlineStr">
        <is>
          <t>Pedido de Compra</t>
        </is>
      </c>
      <c r="Y3743" s="111" t="inlineStr">
        <is>
          <t>Impacto Potencial</t>
        </is>
      </c>
      <c r="Z3743" s="111" t="inlineStr">
        <is>
          <t>PC</t>
        </is>
      </c>
      <c r="AA3743" s="111" t="inlineStr">
        <is>
          <t>Nao</t>
        </is>
      </c>
      <c r="AB3743" s="111" t="inlineStr">
        <is>
          <t>NAO_COMPUTADO</t>
        </is>
      </c>
      <c r="AC3743" s="112" t="inlineStr">
        <is>
          <t>Estrutura Fase 1: sem impacto no VTA oficial</t>
        </is>
      </c>
    </row>
    <row r="3744" ht="25.5" customHeight="1" s="289">
      <c r="A3744" s="205" t="n"/>
      <c r="B3744" s="207" t="n"/>
      <c r="C3744" s="104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348" t="n"/>
      <c r="E3744" s="349">
        <f>IF(C3744="","",IFERROR(VLOOKUP(C3744,parametros!$A$11:$E$15,5,0),""))</f>
        <v/>
      </c>
      <c r="F3744" s="335">
        <f>IF(OR(D3744="",E3744=""),"",ROUND(D3744*E3744,2))</f>
        <v/>
      </c>
      <c r="G3744" s="106" t="n"/>
      <c r="H3744" s="350">
        <f>IF(G3744="Sim",IF(OR(F3744="",D3744="",L3744=""),"",IF(L3744="Sim",ROUND(F3744-D3744,2),0)),0)</f>
        <v/>
      </c>
      <c r="I3744" s="350">
        <f>IF(G3744="Sim",0,IF(OR(F3744="",L3744=""),"",F3744))</f>
        <v/>
      </c>
      <c r="J3744" s="350">
        <f>IF(G3744="Sim",0,IF(OR(F3744="",D3744="",L3744=""),"",IF(L3744="Sim",ROUND(F3744-D3744,2),0)))</f>
        <v/>
      </c>
      <c r="K3744" s="97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inlineStr">
        <is>
          <t>Nao</t>
        </is>
      </c>
      <c r="W3744" s="110" t="inlineStr">
        <is>
          <t>PC em analise</t>
        </is>
      </c>
      <c r="X3744" s="110" t="inlineStr">
        <is>
          <t>Pedido de Compra</t>
        </is>
      </c>
      <c r="Y3744" s="111" t="inlineStr">
        <is>
          <t>Impacto Potencial</t>
        </is>
      </c>
      <c r="Z3744" s="111" t="inlineStr">
        <is>
          <t>PC</t>
        </is>
      </c>
      <c r="AA3744" s="111" t="inlineStr">
        <is>
          <t>Nao</t>
        </is>
      </c>
      <c r="AB3744" s="111" t="inlineStr">
        <is>
          <t>NAO_COMPUTADO</t>
        </is>
      </c>
      <c r="AC3744" s="112" t="inlineStr">
        <is>
          <t>Estrutura Fase 1: sem impacto no VTA oficial</t>
        </is>
      </c>
    </row>
    <row r="3745" ht="25.5" customHeight="1" s="289">
      <c r="A3745" s="205" t="n"/>
      <c r="B3745" s="207" t="n"/>
      <c r="C3745" s="104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348" t="n"/>
      <c r="E3745" s="349">
        <f>IF(C3745="","",IFERROR(VLOOKUP(C3745,parametros!$A$11:$E$15,5,0),""))</f>
        <v/>
      </c>
      <c r="F3745" s="335">
        <f>IF(OR(D3745="",E3745=""),"",ROUND(D3745*E3745,2))</f>
        <v/>
      </c>
      <c r="G3745" s="106" t="n"/>
      <c r="H3745" s="350">
        <f>IF(G3745="Sim",IF(OR(F3745="",D3745="",L3745=""),"",IF(L3745="Sim",ROUND(F3745-D3745,2),0)),0)</f>
        <v/>
      </c>
      <c r="I3745" s="350">
        <f>IF(G3745="Sim",0,IF(OR(F3745="",L3745=""),"",F3745))</f>
        <v/>
      </c>
      <c r="J3745" s="350">
        <f>IF(G3745="Sim",0,IF(OR(F3745="",D3745="",L3745=""),"",IF(L3745="Sim",ROUND(F3745-D3745,2),0)))</f>
        <v/>
      </c>
      <c r="K3745" s="97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inlineStr">
        <is>
          <t>Nao</t>
        </is>
      </c>
      <c r="W3745" s="110" t="inlineStr">
        <is>
          <t>PC em analise</t>
        </is>
      </c>
      <c r="X3745" s="110" t="inlineStr">
        <is>
          <t>Pedido de Compra</t>
        </is>
      </c>
      <c r="Y3745" s="111" t="inlineStr">
        <is>
          <t>Impacto Potencial</t>
        </is>
      </c>
      <c r="Z3745" s="111" t="inlineStr">
        <is>
          <t>PC</t>
        </is>
      </c>
      <c r="AA3745" s="111" t="inlineStr">
        <is>
          <t>Nao</t>
        </is>
      </c>
      <c r="AB3745" s="111" t="inlineStr">
        <is>
          <t>NAO_COMPUTADO</t>
        </is>
      </c>
      <c r="AC3745" s="112" t="inlineStr">
        <is>
          <t>Estrutura Fase 1: sem impacto no VTA oficial</t>
        </is>
      </c>
    </row>
    <row r="3746" ht="25.5" customHeight="1" s="289">
      <c r="A3746" s="205" t="n"/>
      <c r="B3746" s="207" t="n"/>
      <c r="C3746" s="104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348" t="n"/>
      <c r="E3746" s="349">
        <f>IF(C3746="","",IFERROR(VLOOKUP(C3746,parametros!$A$11:$E$15,5,0),""))</f>
        <v/>
      </c>
      <c r="F3746" s="335">
        <f>IF(OR(D3746="",E3746=""),"",ROUND(D3746*E3746,2))</f>
        <v/>
      </c>
      <c r="G3746" s="106" t="n"/>
      <c r="H3746" s="350">
        <f>IF(G3746="Sim",IF(OR(F3746="",D3746="",L3746=""),"",IF(L3746="Sim",ROUND(F3746-D3746,2),0)),0)</f>
        <v/>
      </c>
      <c r="I3746" s="350">
        <f>IF(G3746="Sim",0,IF(OR(F3746="",L3746=""),"",F3746))</f>
        <v/>
      </c>
      <c r="J3746" s="350">
        <f>IF(G3746="Sim",0,IF(OR(F3746="",D3746="",L3746=""),"",IF(L3746="Sim",ROUND(F3746-D3746,2),0)))</f>
        <v/>
      </c>
      <c r="K3746" s="97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inlineStr">
        <is>
          <t>Nao</t>
        </is>
      </c>
      <c r="W3746" s="110" t="inlineStr">
        <is>
          <t>PC em analise</t>
        </is>
      </c>
      <c r="X3746" s="110" t="inlineStr">
        <is>
          <t>Pedido de Compra</t>
        </is>
      </c>
      <c r="Y3746" s="111" t="inlineStr">
        <is>
          <t>Impacto Potencial</t>
        </is>
      </c>
      <c r="Z3746" s="111" t="inlineStr">
        <is>
          <t>PC</t>
        </is>
      </c>
      <c r="AA3746" s="111" t="inlineStr">
        <is>
          <t>Nao</t>
        </is>
      </c>
      <c r="AB3746" s="111" t="inlineStr">
        <is>
          <t>NAO_COMPUTADO</t>
        </is>
      </c>
      <c r="AC3746" s="112" t="inlineStr">
        <is>
          <t>Estrutura Fase 1: sem impacto no VTA oficial</t>
        </is>
      </c>
    </row>
    <row r="3747" ht="25.5" customHeight="1" s="289">
      <c r="A3747" s="205" t="n"/>
      <c r="B3747" s="207" t="n"/>
      <c r="C3747" s="104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348" t="n"/>
      <c r="E3747" s="349">
        <f>IF(C3747="","",IFERROR(VLOOKUP(C3747,parametros!$A$11:$E$15,5,0),""))</f>
        <v/>
      </c>
      <c r="F3747" s="335">
        <f>IF(OR(D3747="",E3747=""),"",ROUND(D3747*E3747,2))</f>
        <v/>
      </c>
      <c r="G3747" s="106" t="n"/>
      <c r="H3747" s="350">
        <f>IF(G3747="Sim",IF(OR(F3747="",D3747="",L3747=""),"",IF(L3747="Sim",ROUND(F3747-D3747,2),0)),0)</f>
        <v/>
      </c>
      <c r="I3747" s="350">
        <f>IF(G3747="Sim",0,IF(OR(F3747="",L3747=""),"",F3747))</f>
        <v/>
      </c>
      <c r="J3747" s="350">
        <f>IF(G3747="Sim",0,IF(OR(F3747="",D3747="",L3747=""),"",IF(L3747="Sim",ROUND(F3747-D3747,2),0)))</f>
        <v/>
      </c>
      <c r="K3747" s="97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inlineStr">
        <is>
          <t>Nao</t>
        </is>
      </c>
      <c r="W3747" s="110" t="inlineStr">
        <is>
          <t>PC em analise</t>
        </is>
      </c>
      <c r="X3747" s="110" t="inlineStr">
        <is>
          <t>Pedido de Compra</t>
        </is>
      </c>
      <c r="Y3747" s="111" t="inlineStr">
        <is>
          <t>Impacto Potencial</t>
        </is>
      </c>
      <c r="Z3747" s="111" t="inlineStr">
        <is>
          <t>PC</t>
        </is>
      </c>
      <c r="AA3747" s="111" t="inlineStr">
        <is>
          <t>Nao</t>
        </is>
      </c>
      <c r="AB3747" s="111" t="inlineStr">
        <is>
          <t>NAO_COMPUTADO</t>
        </is>
      </c>
      <c r="AC3747" s="112" t="inlineStr">
        <is>
          <t>Estrutura Fase 1: sem impacto no VTA oficial</t>
        </is>
      </c>
    </row>
    <row r="3748" ht="25.5" customHeight="1" s="289">
      <c r="A3748" s="205" t="n"/>
      <c r="B3748" s="207" t="n"/>
      <c r="C3748" s="104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348" t="n"/>
      <c r="E3748" s="349">
        <f>IF(C3748="","",IFERROR(VLOOKUP(C3748,parametros!$A$11:$E$15,5,0),""))</f>
        <v/>
      </c>
      <c r="F3748" s="335">
        <f>IF(OR(D3748="",E3748=""),"",ROUND(D3748*E3748,2))</f>
        <v/>
      </c>
      <c r="G3748" s="106" t="n"/>
      <c r="H3748" s="350">
        <f>IF(G3748="Sim",IF(OR(F3748="",D3748="",L3748=""),"",IF(L3748="Sim",ROUND(F3748-D3748,2),0)),0)</f>
        <v/>
      </c>
      <c r="I3748" s="350">
        <f>IF(G3748="Sim",0,IF(OR(F3748="",L3748=""),"",F3748))</f>
        <v/>
      </c>
      <c r="J3748" s="350">
        <f>IF(G3748="Sim",0,IF(OR(F3748="",D3748="",L3748=""),"",IF(L3748="Sim",ROUND(F3748-D3748,2),0)))</f>
        <v/>
      </c>
      <c r="K3748" s="97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inlineStr">
        <is>
          <t>Nao</t>
        </is>
      </c>
      <c r="W3748" s="110" t="inlineStr">
        <is>
          <t>PC em analise</t>
        </is>
      </c>
      <c r="X3748" s="110" t="inlineStr">
        <is>
          <t>Pedido de Compra</t>
        </is>
      </c>
      <c r="Y3748" s="111" t="inlineStr">
        <is>
          <t>Impacto Potencial</t>
        </is>
      </c>
      <c r="Z3748" s="111" t="inlineStr">
        <is>
          <t>PC</t>
        </is>
      </c>
      <c r="AA3748" s="111" t="inlineStr">
        <is>
          <t>Nao</t>
        </is>
      </c>
      <c r="AB3748" s="111" t="inlineStr">
        <is>
          <t>NAO_COMPUTADO</t>
        </is>
      </c>
      <c r="AC3748" s="112" t="inlineStr">
        <is>
          <t>Estrutura Fase 1: sem impacto no VTA oficial</t>
        </is>
      </c>
    </row>
    <row r="3749" ht="25.5" customHeight="1" s="289">
      <c r="A3749" s="205" t="n"/>
      <c r="B3749" s="207" t="n"/>
      <c r="C3749" s="104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348" t="n"/>
      <c r="E3749" s="349">
        <f>IF(C3749="","",IFERROR(VLOOKUP(C3749,parametros!$A$11:$E$15,5,0),""))</f>
        <v/>
      </c>
      <c r="F3749" s="335">
        <f>IF(OR(D3749="",E3749=""),"",ROUND(D3749*E3749,2))</f>
        <v/>
      </c>
      <c r="G3749" s="106" t="n"/>
      <c r="H3749" s="350">
        <f>IF(G3749="Sim",IF(OR(F3749="",D3749="",L3749=""),"",IF(L3749="Sim",ROUND(F3749-D3749,2),0)),0)</f>
        <v/>
      </c>
      <c r="I3749" s="350">
        <f>IF(G3749="Sim",0,IF(OR(F3749="",L3749=""),"",F3749))</f>
        <v/>
      </c>
      <c r="J3749" s="350">
        <f>IF(G3749="Sim",0,IF(OR(F3749="",D3749="",L3749=""),"",IF(L3749="Sim",ROUND(F3749-D3749,2),0)))</f>
        <v/>
      </c>
      <c r="K3749" s="97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inlineStr">
        <is>
          <t>Nao</t>
        </is>
      </c>
      <c r="W3749" s="110" t="inlineStr">
        <is>
          <t>PC em analise</t>
        </is>
      </c>
      <c r="X3749" s="110" t="inlineStr">
        <is>
          <t>Pedido de Compra</t>
        </is>
      </c>
      <c r="Y3749" s="111" t="inlineStr">
        <is>
          <t>Impacto Potencial</t>
        </is>
      </c>
      <c r="Z3749" s="111" t="inlineStr">
        <is>
          <t>PC</t>
        </is>
      </c>
      <c r="AA3749" s="111" t="inlineStr">
        <is>
          <t>Nao</t>
        </is>
      </c>
      <c r="AB3749" s="111" t="inlineStr">
        <is>
          <t>NAO_COMPUTADO</t>
        </is>
      </c>
      <c r="AC3749" s="112" t="inlineStr">
        <is>
          <t>Estrutura Fase 1: sem impacto no VTA oficial</t>
        </is>
      </c>
    </row>
    <row r="3750" ht="25.5" customHeight="1" s="289">
      <c r="A3750" s="205" t="n"/>
      <c r="B3750" s="207" t="n"/>
      <c r="C3750" s="104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348" t="n"/>
      <c r="E3750" s="349">
        <f>IF(C3750="","",IFERROR(VLOOKUP(C3750,parametros!$A$11:$E$15,5,0),""))</f>
        <v/>
      </c>
      <c r="F3750" s="335">
        <f>IF(OR(D3750="",E3750=""),"",ROUND(D3750*E3750,2))</f>
        <v/>
      </c>
      <c r="G3750" s="106" t="n"/>
      <c r="H3750" s="350">
        <f>IF(G3750="Sim",IF(OR(F3750="",D3750="",L3750=""),"",IF(L3750="Sim",ROUND(F3750-D3750,2),0)),0)</f>
        <v/>
      </c>
      <c r="I3750" s="350">
        <f>IF(G3750="Sim",0,IF(OR(F3750="",L3750=""),"",F3750))</f>
        <v/>
      </c>
      <c r="J3750" s="350">
        <f>IF(G3750="Sim",0,IF(OR(F3750="",D3750="",L3750=""),"",IF(L3750="Sim",ROUND(F3750-D3750,2),0)))</f>
        <v/>
      </c>
      <c r="K3750" s="97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inlineStr">
        <is>
          <t>Nao</t>
        </is>
      </c>
      <c r="W3750" s="110" t="inlineStr">
        <is>
          <t>PC em analise</t>
        </is>
      </c>
      <c r="X3750" s="110" t="inlineStr">
        <is>
          <t>Pedido de Compra</t>
        </is>
      </c>
      <c r="Y3750" s="111" t="inlineStr">
        <is>
          <t>Impacto Potencial</t>
        </is>
      </c>
      <c r="Z3750" s="111" t="inlineStr">
        <is>
          <t>PC</t>
        </is>
      </c>
      <c r="AA3750" s="111" t="inlineStr">
        <is>
          <t>Nao</t>
        </is>
      </c>
      <c r="AB3750" s="111" t="inlineStr">
        <is>
          <t>NAO_COMPUTADO</t>
        </is>
      </c>
      <c r="AC3750" s="112" t="inlineStr">
        <is>
          <t>Estrutura Fase 1: sem impacto no VTA oficial</t>
        </is>
      </c>
    </row>
    <row r="3751" ht="25.5" customHeight="1" s="289">
      <c r="A3751" s="205" t="n"/>
      <c r="B3751" s="207" t="n"/>
      <c r="C3751" s="104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348" t="n"/>
      <c r="E3751" s="349">
        <f>IF(C3751="","",IFERROR(VLOOKUP(C3751,parametros!$A$11:$E$15,5,0),""))</f>
        <v/>
      </c>
      <c r="F3751" s="335">
        <f>IF(OR(D3751="",E3751=""),"",ROUND(D3751*E3751,2))</f>
        <v/>
      </c>
      <c r="G3751" s="106" t="n"/>
      <c r="H3751" s="350">
        <f>IF(G3751="Sim",IF(OR(F3751="",D3751="",L3751=""),"",IF(L3751="Sim",ROUND(F3751-D3751,2),0)),0)</f>
        <v/>
      </c>
      <c r="I3751" s="350">
        <f>IF(G3751="Sim",0,IF(OR(F3751="",L3751=""),"",F3751))</f>
        <v/>
      </c>
      <c r="J3751" s="350">
        <f>IF(G3751="Sim",0,IF(OR(F3751="",D3751="",L3751=""),"",IF(L3751="Sim",ROUND(F3751-D3751,2),0)))</f>
        <v/>
      </c>
      <c r="K3751" s="97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inlineStr">
        <is>
          <t>Nao</t>
        </is>
      </c>
      <c r="W3751" s="110" t="inlineStr">
        <is>
          <t>PC em analise</t>
        </is>
      </c>
      <c r="X3751" s="110" t="inlineStr">
        <is>
          <t>Pedido de Compra</t>
        </is>
      </c>
      <c r="Y3751" s="111" t="inlineStr">
        <is>
          <t>Impacto Potencial</t>
        </is>
      </c>
      <c r="Z3751" s="111" t="inlineStr">
        <is>
          <t>PC</t>
        </is>
      </c>
      <c r="AA3751" s="111" t="inlineStr">
        <is>
          <t>Nao</t>
        </is>
      </c>
      <c r="AB3751" s="111" t="inlineStr">
        <is>
          <t>NAO_COMPUTADO</t>
        </is>
      </c>
      <c r="AC3751" s="112" t="inlineStr">
        <is>
          <t>Estrutura Fase 1: sem impacto no VTA oficial</t>
        </is>
      </c>
    </row>
    <row r="3752" ht="25.5" customHeight="1" s="289">
      <c r="A3752" s="205" t="n"/>
      <c r="B3752" s="207" t="n"/>
      <c r="C3752" s="104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348" t="n"/>
      <c r="E3752" s="349">
        <f>IF(C3752="","",IFERROR(VLOOKUP(C3752,parametros!$A$11:$E$15,5,0),""))</f>
        <v/>
      </c>
      <c r="F3752" s="335">
        <f>IF(OR(D3752="",E3752=""),"",ROUND(D3752*E3752,2))</f>
        <v/>
      </c>
      <c r="G3752" s="106" t="n"/>
      <c r="H3752" s="350">
        <f>IF(G3752="Sim",IF(OR(F3752="",D3752="",L3752=""),"",IF(L3752="Sim",ROUND(F3752-D3752,2),0)),0)</f>
        <v/>
      </c>
      <c r="I3752" s="350">
        <f>IF(G3752="Sim",0,IF(OR(F3752="",L3752=""),"",F3752))</f>
        <v/>
      </c>
      <c r="J3752" s="350">
        <f>IF(G3752="Sim",0,IF(OR(F3752="",D3752="",L3752=""),"",IF(L3752="Sim",ROUND(F3752-D3752,2),0)))</f>
        <v/>
      </c>
      <c r="K3752" s="97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inlineStr">
        <is>
          <t>Nao</t>
        </is>
      </c>
      <c r="W3752" s="110" t="inlineStr">
        <is>
          <t>PC em analise</t>
        </is>
      </c>
      <c r="X3752" s="110" t="inlineStr">
        <is>
          <t>Pedido de Compra</t>
        </is>
      </c>
      <c r="Y3752" s="111" t="inlineStr">
        <is>
          <t>Impacto Potencial</t>
        </is>
      </c>
      <c r="Z3752" s="111" t="inlineStr">
        <is>
          <t>PC</t>
        </is>
      </c>
      <c r="AA3752" s="111" t="inlineStr">
        <is>
          <t>Nao</t>
        </is>
      </c>
      <c r="AB3752" s="111" t="inlineStr">
        <is>
          <t>NAO_COMPUTADO</t>
        </is>
      </c>
      <c r="AC3752" s="112" t="inlineStr">
        <is>
          <t>Estrutura Fase 1: sem impacto no VTA oficial</t>
        </is>
      </c>
    </row>
    <row r="3753" ht="25.5" customHeight="1" s="289">
      <c r="A3753" s="205" t="n"/>
      <c r="B3753" s="207" t="n"/>
      <c r="C3753" s="104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348" t="n"/>
      <c r="E3753" s="349">
        <f>IF(C3753="","",IFERROR(VLOOKUP(C3753,parametros!$A$11:$E$15,5,0),""))</f>
        <v/>
      </c>
      <c r="F3753" s="335">
        <f>IF(OR(D3753="",E3753=""),"",ROUND(D3753*E3753,2))</f>
        <v/>
      </c>
      <c r="G3753" s="106" t="n"/>
      <c r="H3753" s="350">
        <f>IF(G3753="Sim",IF(OR(F3753="",D3753="",L3753=""),"",IF(L3753="Sim",ROUND(F3753-D3753,2),0)),0)</f>
        <v/>
      </c>
      <c r="I3753" s="350">
        <f>IF(G3753="Sim",0,IF(OR(F3753="",L3753=""),"",F3753))</f>
        <v/>
      </c>
      <c r="J3753" s="350">
        <f>IF(G3753="Sim",0,IF(OR(F3753="",D3753="",L3753=""),"",IF(L3753="Sim",ROUND(F3753-D3753,2),0)))</f>
        <v/>
      </c>
      <c r="K3753" s="97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inlineStr">
        <is>
          <t>Nao</t>
        </is>
      </c>
      <c r="W3753" s="110" t="inlineStr">
        <is>
          <t>PC em analise</t>
        </is>
      </c>
      <c r="X3753" s="110" t="inlineStr">
        <is>
          <t>Pedido de Compra</t>
        </is>
      </c>
      <c r="Y3753" s="111" t="inlineStr">
        <is>
          <t>Impacto Potencial</t>
        </is>
      </c>
      <c r="Z3753" s="111" t="inlineStr">
        <is>
          <t>PC</t>
        </is>
      </c>
      <c r="AA3753" s="111" t="inlineStr">
        <is>
          <t>Nao</t>
        </is>
      </c>
      <c r="AB3753" s="111" t="inlineStr">
        <is>
          <t>NAO_COMPUTADO</t>
        </is>
      </c>
      <c r="AC3753" s="112" t="inlineStr">
        <is>
          <t>Estrutura Fase 1: sem impacto no VTA oficial</t>
        </is>
      </c>
    </row>
    <row r="3754" ht="25.5" customHeight="1" s="289">
      <c r="A3754" s="205" t="n"/>
      <c r="B3754" s="207" t="n"/>
      <c r="C3754" s="104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348" t="n"/>
      <c r="E3754" s="349">
        <f>IF(C3754="","",IFERROR(VLOOKUP(C3754,parametros!$A$11:$E$15,5,0),""))</f>
        <v/>
      </c>
      <c r="F3754" s="335">
        <f>IF(OR(D3754="",E3754=""),"",ROUND(D3754*E3754,2))</f>
        <v/>
      </c>
      <c r="G3754" s="106" t="n"/>
      <c r="H3754" s="350">
        <f>IF(G3754="Sim",IF(OR(F3754="",D3754="",L3754=""),"",IF(L3754="Sim",ROUND(F3754-D3754,2),0)),0)</f>
        <v/>
      </c>
      <c r="I3754" s="350">
        <f>IF(G3754="Sim",0,IF(OR(F3754="",L3754=""),"",F3754))</f>
        <v/>
      </c>
      <c r="J3754" s="350">
        <f>IF(G3754="Sim",0,IF(OR(F3754="",D3754="",L3754=""),"",IF(L3754="Sim",ROUND(F3754-D3754,2),0)))</f>
        <v/>
      </c>
      <c r="K3754" s="97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inlineStr">
        <is>
          <t>Nao</t>
        </is>
      </c>
      <c r="W3754" s="110" t="inlineStr">
        <is>
          <t>PC em analise</t>
        </is>
      </c>
      <c r="X3754" s="110" t="inlineStr">
        <is>
          <t>Pedido de Compra</t>
        </is>
      </c>
      <c r="Y3754" s="111" t="inlineStr">
        <is>
          <t>Impacto Potencial</t>
        </is>
      </c>
      <c r="Z3754" s="111" t="inlineStr">
        <is>
          <t>PC</t>
        </is>
      </c>
      <c r="AA3754" s="111" t="inlineStr">
        <is>
          <t>Nao</t>
        </is>
      </c>
      <c r="AB3754" s="111" t="inlineStr">
        <is>
          <t>NAO_COMPUTADO</t>
        </is>
      </c>
      <c r="AC3754" s="112" t="inlineStr">
        <is>
          <t>Estrutura Fase 1: sem impacto no VTA oficial</t>
        </is>
      </c>
    </row>
    <row r="3755" ht="25.5" customHeight="1" s="289">
      <c r="A3755" s="205" t="n"/>
      <c r="B3755" s="207" t="n"/>
      <c r="C3755" s="104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348" t="n"/>
      <c r="E3755" s="349">
        <f>IF(C3755="","",IFERROR(VLOOKUP(C3755,parametros!$A$11:$E$15,5,0),""))</f>
        <v/>
      </c>
      <c r="F3755" s="335">
        <f>IF(OR(D3755="",E3755=""),"",ROUND(D3755*E3755,2))</f>
        <v/>
      </c>
      <c r="G3755" s="106" t="n"/>
      <c r="H3755" s="350">
        <f>IF(G3755="Sim",IF(OR(F3755="",D3755="",L3755=""),"",IF(L3755="Sim",ROUND(F3755-D3755,2),0)),0)</f>
        <v/>
      </c>
      <c r="I3755" s="350">
        <f>IF(G3755="Sim",0,IF(OR(F3755="",L3755=""),"",F3755))</f>
        <v/>
      </c>
      <c r="J3755" s="350">
        <f>IF(G3755="Sim",0,IF(OR(F3755="",D3755="",L3755=""),"",IF(L3755="Sim",ROUND(F3755-D3755,2),0)))</f>
        <v/>
      </c>
      <c r="K3755" s="97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inlineStr">
        <is>
          <t>Nao</t>
        </is>
      </c>
      <c r="W3755" s="110" t="inlineStr">
        <is>
          <t>PC em analise</t>
        </is>
      </c>
      <c r="X3755" s="110" t="inlineStr">
        <is>
          <t>Pedido de Compra</t>
        </is>
      </c>
      <c r="Y3755" s="111" t="inlineStr">
        <is>
          <t>Impacto Potencial</t>
        </is>
      </c>
      <c r="Z3755" s="111" t="inlineStr">
        <is>
          <t>PC</t>
        </is>
      </c>
      <c r="AA3755" s="111" t="inlineStr">
        <is>
          <t>Nao</t>
        </is>
      </c>
      <c r="AB3755" s="111" t="inlineStr">
        <is>
          <t>NAO_COMPUTADO</t>
        </is>
      </c>
      <c r="AC3755" s="112" t="inlineStr">
        <is>
          <t>Estrutura Fase 1: sem impacto no VTA oficial</t>
        </is>
      </c>
    </row>
    <row r="3756" ht="25.5" customHeight="1" s="289">
      <c r="A3756" s="205" t="n"/>
      <c r="B3756" s="207" t="n"/>
      <c r="C3756" s="104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348" t="n"/>
      <c r="E3756" s="349">
        <f>IF(C3756="","",IFERROR(VLOOKUP(C3756,parametros!$A$11:$E$15,5,0),""))</f>
        <v/>
      </c>
      <c r="F3756" s="335">
        <f>IF(OR(D3756="",E3756=""),"",ROUND(D3756*E3756,2))</f>
        <v/>
      </c>
      <c r="G3756" s="106" t="n"/>
      <c r="H3756" s="350">
        <f>IF(G3756="Sim",IF(OR(F3756="",D3756="",L3756=""),"",IF(L3756="Sim",ROUND(F3756-D3756,2),0)),0)</f>
        <v/>
      </c>
      <c r="I3756" s="350">
        <f>IF(G3756="Sim",0,IF(OR(F3756="",L3756=""),"",F3756))</f>
        <v/>
      </c>
      <c r="J3756" s="350">
        <f>IF(G3756="Sim",0,IF(OR(F3756="",D3756="",L3756=""),"",IF(L3756="Sim",ROUND(F3756-D3756,2),0)))</f>
        <v/>
      </c>
      <c r="K3756" s="97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inlineStr">
        <is>
          <t>Nao</t>
        </is>
      </c>
      <c r="W3756" s="110" t="inlineStr">
        <is>
          <t>PC em analise</t>
        </is>
      </c>
      <c r="X3756" s="110" t="inlineStr">
        <is>
          <t>Pedido de Compra</t>
        </is>
      </c>
      <c r="Y3756" s="111" t="inlineStr">
        <is>
          <t>Impacto Potencial</t>
        </is>
      </c>
      <c r="Z3756" s="111" t="inlineStr">
        <is>
          <t>PC</t>
        </is>
      </c>
      <c r="AA3756" s="111" t="inlineStr">
        <is>
          <t>Nao</t>
        </is>
      </c>
      <c r="AB3756" s="111" t="inlineStr">
        <is>
          <t>NAO_COMPUTADO</t>
        </is>
      </c>
      <c r="AC3756" s="112" t="inlineStr">
        <is>
          <t>Estrutura Fase 1: sem impacto no VTA oficial</t>
        </is>
      </c>
    </row>
    <row r="3757" ht="25.5" customHeight="1" s="289">
      <c r="A3757" s="205" t="n"/>
      <c r="B3757" s="207" t="n"/>
      <c r="C3757" s="104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348" t="n"/>
      <c r="E3757" s="349">
        <f>IF(C3757="","",IFERROR(VLOOKUP(C3757,parametros!$A$11:$E$15,5,0),""))</f>
        <v/>
      </c>
      <c r="F3757" s="335">
        <f>IF(OR(D3757="",E3757=""),"",ROUND(D3757*E3757,2))</f>
        <v/>
      </c>
      <c r="G3757" s="106" t="n"/>
      <c r="H3757" s="350">
        <f>IF(G3757="Sim",IF(OR(F3757="",D3757="",L3757=""),"",IF(L3757="Sim",ROUND(F3757-D3757,2),0)),0)</f>
        <v/>
      </c>
      <c r="I3757" s="350">
        <f>IF(G3757="Sim",0,IF(OR(F3757="",L3757=""),"",F3757))</f>
        <v/>
      </c>
      <c r="J3757" s="350">
        <f>IF(G3757="Sim",0,IF(OR(F3757="",D3757="",L3757=""),"",IF(L3757="Sim",ROUND(F3757-D3757,2),0)))</f>
        <v/>
      </c>
      <c r="K3757" s="97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inlineStr">
        <is>
          <t>Nao</t>
        </is>
      </c>
      <c r="W3757" s="110" t="inlineStr">
        <is>
          <t>PC em analise</t>
        </is>
      </c>
      <c r="X3757" s="110" t="inlineStr">
        <is>
          <t>Pedido de Compra</t>
        </is>
      </c>
      <c r="Y3757" s="111" t="inlineStr">
        <is>
          <t>Impacto Potencial</t>
        </is>
      </c>
      <c r="Z3757" s="111" t="inlineStr">
        <is>
          <t>PC</t>
        </is>
      </c>
      <c r="AA3757" s="111" t="inlineStr">
        <is>
          <t>Nao</t>
        </is>
      </c>
      <c r="AB3757" s="111" t="inlineStr">
        <is>
          <t>NAO_COMPUTADO</t>
        </is>
      </c>
      <c r="AC3757" s="112" t="inlineStr">
        <is>
          <t>Estrutura Fase 1: sem impacto no VTA oficial</t>
        </is>
      </c>
    </row>
    <row r="3758" ht="25.5" customHeight="1" s="289">
      <c r="A3758" s="205" t="n"/>
      <c r="B3758" s="207" t="n"/>
      <c r="C3758" s="104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348" t="n"/>
      <c r="E3758" s="349">
        <f>IF(C3758="","",IFERROR(VLOOKUP(C3758,parametros!$A$11:$E$15,5,0),""))</f>
        <v/>
      </c>
      <c r="F3758" s="335">
        <f>IF(OR(D3758="",E3758=""),"",ROUND(D3758*E3758,2))</f>
        <v/>
      </c>
      <c r="G3758" s="106" t="n"/>
      <c r="H3758" s="350">
        <f>IF(G3758="Sim",IF(OR(F3758="",D3758="",L3758=""),"",IF(L3758="Sim",ROUND(F3758-D3758,2),0)),0)</f>
        <v/>
      </c>
      <c r="I3758" s="350">
        <f>IF(G3758="Sim",0,IF(OR(F3758="",L3758=""),"",F3758))</f>
        <v/>
      </c>
      <c r="J3758" s="350">
        <f>IF(G3758="Sim",0,IF(OR(F3758="",D3758="",L3758=""),"",IF(L3758="Sim",ROUND(F3758-D3758,2),0)))</f>
        <v/>
      </c>
      <c r="K3758" s="97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inlineStr">
        <is>
          <t>Nao</t>
        </is>
      </c>
      <c r="W3758" s="110" t="inlineStr">
        <is>
          <t>PC em analise</t>
        </is>
      </c>
      <c r="X3758" s="110" t="inlineStr">
        <is>
          <t>Pedido de Compra</t>
        </is>
      </c>
      <c r="Y3758" s="111" t="inlineStr">
        <is>
          <t>Impacto Potencial</t>
        </is>
      </c>
      <c r="Z3758" s="111" t="inlineStr">
        <is>
          <t>PC</t>
        </is>
      </c>
      <c r="AA3758" s="111" t="inlineStr">
        <is>
          <t>Nao</t>
        </is>
      </c>
      <c r="AB3758" s="111" t="inlineStr">
        <is>
          <t>NAO_COMPUTADO</t>
        </is>
      </c>
      <c r="AC3758" s="112" t="inlineStr">
        <is>
          <t>Estrutura Fase 1: sem impacto no VTA oficial</t>
        </is>
      </c>
    </row>
    <row r="3759" ht="25.5" customHeight="1" s="289">
      <c r="A3759" s="205" t="n"/>
      <c r="B3759" s="207" t="n"/>
      <c r="C3759" s="104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348" t="n"/>
      <c r="E3759" s="349">
        <f>IF(C3759="","",IFERROR(VLOOKUP(C3759,parametros!$A$11:$E$15,5,0),""))</f>
        <v/>
      </c>
      <c r="F3759" s="335">
        <f>IF(OR(D3759="",E3759=""),"",ROUND(D3759*E3759,2))</f>
        <v/>
      </c>
      <c r="G3759" s="106" t="n"/>
      <c r="H3759" s="350">
        <f>IF(G3759="Sim",IF(OR(F3759="",D3759="",L3759=""),"",IF(L3759="Sim",ROUND(F3759-D3759,2),0)),0)</f>
        <v/>
      </c>
      <c r="I3759" s="350">
        <f>IF(G3759="Sim",0,IF(OR(F3759="",L3759=""),"",F3759))</f>
        <v/>
      </c>
      <c r="J3759" s="350">
        <f>IF(G3759="Sim",0,IF(OR(F3759="",D3759="",L3759=""),"",IF(L3759="Sim",ROUND(F3759-D3759,2),0)))</f>
        <v/>
      </c>
      <c r="K3759" s="97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inlineStr">
        <is>
          <t>Nao</t>
        </is>
      </c>
      <c r="W3759" s="110" t="inlineStr">
        <is>
          <t>PC em analise</t>
        </is>
      </c>
      <c r="X3759" s="110" t="inlineStr">
        <is>
          <t>Pedido de Compra</t>
        </is>
      </c>
      <c r="Y3759" s="111" t="inlineStr">
        <is>
          <t>Impacto Potencial</t>
        </is>
      </c>
      <c r="Z3759" s="111" t="inlineStr">
        <is>
          <t>PC</t>
        </is>
      </c>
      <c r="AA3759" s="111" t="inlineStr">
        <is>
          <t>Nao</t>
        </is>
      </c>
      <c r="AB3759" s="111" t="inlineStr">
        <is>
          <t>NAO_COMPUTADO</t>
        </is>
      </c>
      <c r="AC3759" s="112" t="inlineStr">
        <is>
          <t>Estrutura Fase 1: sem impacto no VTA oficial</t>
        </is>
      </c>
    </row>
    <row r="3760" ht="25.5" customHeight="1" s="289">
      <c r="A3760" s="205" t="n"/>
      <c r="B3760" s="207" t="n"/>
      <c r="C3760" s="104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348" t="n"/>
      <c r="E3760" s="349">
        <f>IF(C3760="","",IFERROR(VLOOKUP(C3760,parametros!$A$11:$E$15,5,0),""))</f>
        <v/>
      </c>
      <c r="F3760" s="335">
        <f>IF(OR(D3760="",E3760=""),"",ROUND(D3760*E3760,2))</f>
        <v/>
      </c>
      <c r="G3760" s="106" t="n"/>
      <c r="H3760" s="350">
        <f>IF(G3760="Sim",IF(OR(F3760="",D3760="",L3760=""),"",IF(L3760="Sim",ROUND(F3760-D3760,2),0)),0)</f>
        <v/>
      </c>
      <c r="I3760" s="350">
        <f>IF(G3760="Sim",0,IF(OR(F3760="",L3760=""),"",F3760))</f>
        <v/>
      </c>
      <c r="J3760" s="350">
        <f>IF(G3760="Sim",0,IF(OR(F3760="",D3760="",L3760=""),"",IF(L3760="Sim",ROUND(F3760-D3760,2),0)))</f>
        <v/>
      </c>
      <c r="K3760" s="97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inlineStr">
        <is>
          <t>Nao</t>
        </is>
      </c>
      <c r="W3760" s="110" t="inlineStr">
        <is>
          <t>PC em analise</t>
        </is>
      </c>
      <c r="X3760" s="110" t="inlineStr">
        <is>
          <t>Pedido de Compra</t>
        </is>
      </c>
      <c r="Y3760" s="111" t="inlineStr">
        <is>
          <t>Impacto Potencial</t>
        </is>
      </c>
      <c r="Z3760" s="111" t="inlineStr">
        <is>
          <t>PC</t>
        </is>
      </c>
      <c r="AA3760" s="111" t="inlineStr">
        <is>
          <t>Nao</t>
        </is>
      </c>
      <c r="AB3760" s="111" t="inlineStr">
        <is>
          <t>NAO_COMPUTADO</t>
        </is>
      </c>
      <c r="AC3760" s="112" t="inlineStr">
        <is>
          <t>Estrutura Fase 1: sem impacto no VTA oficial</t>
        </is>
      </c>
    </row>
    <row r="3761" ht="25.5" customHeight="1" s="289">
      <c r="A3761" s="205" t="n"/>
      <c r="B3761" s="207" t="n"/>
      <c r="C3761" s="104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348" t="n"/>
      <c r="E3761" s="349">
        <f>IF(C3761="","",IFERROR(VLOOKUP(C3761,parametros!$A$11:$E$15,5,0),""))</f>
        <v/>
      </c>
      <c r="F3761" s="335">
        <f>IF(OR(D3761="",E3761=""),"",ROUND(D3761*E3761,2))</f>
        <v/>
      </c>
      <c r="G3761" s="106" t="n"/>
      <c r="H3761" s="350">
        <f>IF(G3761="Sim",IF(OR(F3761="",D3761="",L3761=""),"",IF(L3761="Sim",ROUND(F3761-D3761,2),0)),0)</f>
        <v/>
      </c>
      <c r="I3761" s="350">
        <f>IF(G3761="Sim",0,IF(OR(F3761="",L3761=""),"",F3761))</f>
        <v/>
      </c>
      <c r="J3761" s="350">
        <f>IF(G3761="Sim",0,IF(OR(F3761="",D3761="",L3761=""),"",IF(L3761="Sim",ROUND(F3761-D3761,2),0)))</f>
        <v/>
      </c>
      <c r="K3761" s="97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inlineStr">
        <is>
          <t>Nao</t>
        </is>
      </c>
      <c r="W3761" s="110" t="inlineStr">
        <is>
          <t>PC em analise</t>
        </is>
      </c>
      <c r="X3761" s="110" t="inlineStr">
        <is>
          <t>Pedido de Compra</t>
        </is>
      </c>
      <c r="Y3761" s="111" t="inlineStr">
        <is>
          <t>Impacto Potencial</t>
        </is>
      </c>
      <c r="Z3761" s="111" t="inlineStr">
        <is>
          <t>PC</t>
        </is>
      </c>
      <c r="AA3761" s="111" t="inlineStr">
        <is>
          <t>Nao</t>
        </is>
      </c>
      <c r="AB3761" s="111" t="inlineStr">
        <is>
          <t>NAO_COMPUTADO</t>
        </is>
      </c>
      <c r="AC3761" s="112" t="inlineStr">
        <is>
          <t>Estrutura Fase 1: sem impacto no VTA oficial</t>
        </is>
      </c>
    </row>
    <row r="3762" ht="25.5" customHeight="1" s="289">
      <c r="A3762" s="205" t="n"/>
      <c r="B3762" s="207" t="n"/>
      <c r="C3762" s="104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348" t="n"/>
      <c r="E3762" s="349">
        <f>IF(C3762="","",IFERROR(VLOOKUP(C3762,parametros!$A$11:$E$15,5,0),""))</f>
        <v/>
      </c>
      <c r="F3762" s="335">
        <f>IF(OR(D3762="",E3762=""),"",ROUND(D3762*E3762,2))</f>
        <v/>
      </c>
      <c r="G3762" s="106" t="n"/>
      <c r="H3762" s="350">
        <f>IF(G3762="Sim",IF(OR(F3762="",D3762="",L3762=""),"",IF(L3762="Sim",ROUND(F3762-D3762,2),0)),0)</f>
        <v/>
      </c>
      <c r="I3762" s="350">
        <f>IF(G3762="Sim",0,IF(OR(F3762="",L3762=""),"",F3762))</f>
        <v/>
      </c>
      <c r="J3762" s="350">
        <f>IF(G3762="Sim",0,IF(OR(F3762="",D3762="",L3762=""),"",IF(L3762="Sim",ROUND(F3762-D3762,2),0)))</f>
        <v/>
      </c>
      <c r="K3762" s="97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inlineStr">
        <is>
          <t>Nao</t>
        </is>
      </c>
      <c r="W3762" s="110" t="inlineStr">
        <is>
          <t>PC em analise</t>
        </is>
      </c>
      <c r="X3762" s="110" t="inlineStr">
        <is>
          <t>Pedido de Compra</t>
        </is>
      </c>
      <c r="Y3762" s="111" t="inlineStr">
        <is>
          <t>Impacto Potencial</t>
        </is>
      </c>
      <c r="Z3762" s="111" t="inlineStr">
        <is>
          <t>PC</t>
        </is>
      </c>
      <c r="AA3762" s="111" t="inlineStr">
        <is>
          <t>Nao</t>
        </is>
      </c>
      <c r="AB3762" s="111" t="inlineStr">
        <is>
          <t>NAO_COMPUTADO</t>
        </is>
      </c>
      <c r="AC3762" s="112" t="inlineStr">
        <is>
          <t>Estrutura Fase 1: sem impacto no VTA oficial</t>
        </is>
      </c>
    </row>
    <row r="3763" ht="25.5" customHeight="1" s="289">
      <c r="A3763" s="205" t="n"/>
      <c r="B3763" s="207" t="n"/>
      <c r="C3763" s="104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348" t="n"/>
      <c r="E3763" s="349">
        <f>IF(C3763="","",IFERROR(VLOOKUP(C3763,parametros!$A$11:$E$15,5,0),""))</f>
        <v/>
      </c>
      <c r="F3763" s="335">
        <f>IF(OR(D3763="",E3763=""),"",ROUND(D3763*E3763,2))</f>
        <v/>
      </c>
      <c r="G3763" s="106" t="n"/>
      <c r="H3763" s="350">
        <f>IF(G3763="Sim",IF(OR(F3763="",D3763="",L3763=""),"",IF(L3763="Sim",ROUND(F3763-D3763,2),0)),0)</f>
        <v/>
      </c>
      <c r="I3763" s="350">
        <f>IF(G3763="Sim",0,IF(OR(F3763="",L3763=""),"",F3763))</f>
        <v/>
      </c>
      <c r="J3763" s="350">
        <f>IF(G3763="Sim",0,IF(OR(F3763="",D3763="",L3763=""),"",IF(L3763="Sim",ROUND(F3763-D3763,2),0)))</f>
        <v/>
      </c>
      <c r="K3763" s="97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inlineStr">
        <is>
          <t>Nao</t>
        </is>
      </c>
      <c r="W3763" s="110" t="inlineStr">
        <is>
          <t>PC em analise</t>
        </is>
      </c>
      <c r="X3763" s="110" t="inlineStr">
        <is>
          <t>Pedido de Compra</t>
        </is>
      </c>
      <c r="Y3763" s="111" t="inlineStr">
        <is>
          <t>Impacto Potencial</t>
        </is>
      </c>
      <c r="Z3763" s="111" t="inlineStr">
        <is>
          <t>PC</t>
        </is>
      </c>
      <c r="AA3763" s="111" t="inlineStr">
        <is>
          <t>Nao</t>
        </is>
      </c>
      <c r="AB3763" s="111" t="inlineStr">
        <is>
          <t>NAO_COMPUTADO</t>
        </is>
      </c>
      <c r="AC3763" s="112" t="inlineStr">
        <is>
          <t>Estrutura Fase 1: sem impacto no VTA oficial</t>
        </is>
      </c>
    </row>
    <row r="3764" ht="25.5" customHeight="1" s="289">
      <c r="A3764" s="205" t="n"/>
      <c r="B3764" s="207" t="n"/>
      <c r="C3764" s="104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348" t="n"/>
      <c r="E3764" s="349">
        <f>IF(C3764="","",IFERROR(VLOOKUP(C3764,parametros!$A$11:$E$15,5,0),""))</f>
        <v/>
      </c>
      <c r="F3764" s="335">
        <f>IF(OR(D3764="",E3764=""),"",ROUND(D3764*E3764,2))</f>
        <v/>
      </c>
      <c r="G3764" s="106" t="n"/>
      <c r="H3764" s="350">
        <f>IF(G3764="Sim",IF(OR(F3764="",D3764="",L3764=""),"",IF(L3764="Sim",ROUND(F3764-D3764,2),0)),0)</f>
        <v/>
      </c>
      <c r="I3764" s="350">
        <f>IF(G3764="Sim",0,IF(OR(F3764="",L3764=""),"",F3764))</f>
        <v/>
      </c>
      <c r="J3764" s="350">
        <f>IF(G3764="Sim",0,IF(OR(F3764="",D3764="",L3764=""),"",IF(L3764="Sim",ROUND(F3764-D3764,2),0)))</f>
        <v/>
      </c>
      <c r="K3764" s="97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inlineStr">
        <is>
          <t>Nao</t>
        </is>
      </c>
      <c r="W3764" s="110" t="inlineStr">
        <is>
          <t>PC em analise</t>
        </is>
      </c>
      <c r="X3764" s="110" t="inlineStr">
        <is>
          <t>Pedido de Compra</t>
        </is>
      </c>
      <c r="Y3764" s="111" t="inlineStr">
        <is>
          <t>Impacto Potencial</t>
        </is>
      </c>
      <c r="Z3764" s="111" t="inlineStr">
        <is>
          <t>PC</t>
        </is>
      </c>
      <c r="AA3764" s="111" t="inlineStr">
        <is>
          <t>Nao</t>
        </is>
      </c>
      <c r="AB3764" s="111" t="inlineStr">
        <is>
          <t>NAO_COMPUTADO</t>
        </is>
      </c>
      <c r="AC3764" s="112" t="inlineStr">
        <is>
          <t>Estrutura Fase 1: sem impacto no VTA oficial</t>
        </is>
      </c>
    </row>
    <row r="3765" ht="25.5" customHeight="1" s="289">
      <c r="A3765" s="205" t="n"/>
      <c r="B3765" s="207" t="n"/>
      <c r="C3765" s="104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348" t="n"/>
      <c r="E3765" s="349">
        <f>IF(C3765="","",IFERROR(VLOOKUP(C3765,parametros!$A$11:$E$15,5,0),""))</f>
        <v/>
      </c>
      <c r="F3765" s="335">
        <f>IF(OR(D3765="",E3765=""),"",ROUND(D3765*E3765,2))</f>
        <v/>
      </c>
      <c r="G3765" s="106" t="n"/>
      <c r="H3765" s="350">
        <f>IF(G3765="Sim",IF(OR(F3765="",D3765="",L3765=""),"",IF(L3765="Sim",ROUND(F3765-D3765,2),0)),0)</f>
        <v/>
      </c>
      <c r="I3765" s="350">
        <f>IF(G3765="Sim",0,IF(OR(F3765="",L3765=""),"",F3765))</f>
        <v/>
      </c>
      <c r="J3765" s="350">
        <f>IF(G3765="Sim",0,IF(OR(F3765="",D3765="",L3765=""),"",IF(L3765="Sim",ROUND(F3765-D3765,2),0)))</f>
        <v/>
      </c>
      <c r="K3765" s="97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inlineStr">
        <is>
          <t>Nao</t>
        </is>
      </c>
      <c r="W3765" s="110" t="inlineStr">
        <is>
          <t>PC em analise</t>
        </is>
      </c>
      <c r="X3765" s="110" t="inlineStr">
        <is>
          <t>Pedido de Compra</t>
        </is>
      </c>
      <c r="Y3765" s="111" t="inlineStr">
        <is>
          <t>Impacto Potencial</t>
        </is>
      </c>
      <c r="Z3765" s="111" t="inlineStr">
        <is>
          <t>PC</t>
        </is>
      </c>
      <c r="AA3765" s="111" t="inlineStr">
        <is>
          <t>Nao</t>
        </is>
      </c>
      <c r="AB3765" s="111" t="inlineStr">
        <is>
          <t>NAO_COMPUTADO</t>
        </is>
      </c>
      <c r="AC3765" s="112" t="inlineStr">
        <is>
          <t>Estrutura Fase 1: sem impacto no VTA oficial</t>
        </is>
      </c>
    </row>
    <row r="3766" ht="25.5" customHeight="1" s="289">
      <c r="A3766" s="205" t="n"/>
      <c r="B3766" s="207" t="n"/>
      <c r="C3766" s="104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348" t="n"/>
      <c r="E3766" s="349">
        <f>IF(C3766="","",IFERROR(VLOOKUP(C3766,parametros!$A$11:$E$15,5,0),""))</f>
        <v/>
      </c>
      <c r="F3766" s="335">
        <f>IF(OR(D3766="",E3766=""),"",ROUND(D3766*E3766,2))</f>
        <v/>
      </c>
      <c r="G3766" s="106" t="n"/>
      <c r="H3766" s="350">
        <f>IF(G3766="Sim",IF(OR(F3766="",D3766="",L3766=""),"",IF(L3766="Sim",ROUND(F3766-D3766,2),0)),0)</f>
        <v/>
      </c>
      <c r="I3766" s="350">
        <f>IF(G3766="Sim",0,IF(OR(F3766="",L3766=""),"",F3766))</f>
        <v/>
      </c>
      <c r="J3766" s="350">
        <f>IF(G3766="Sim",0,IF(OR(F3766="",D3766="",L3766=""),"",IF(L3766="Sim",ROUND(F3766-D3766,2),0)))</f>
        <v/>
      </c>
      <c r="K3766" s="97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inlineStr">
        <is>
          <t>Nao</t>
        </is>
      </c>
      <c r="W3766" s="110" t="inlineStr">
        <is>
          <t>PC em analise</t>
        </is>
      </c>
      <c r="X3766" s="110" t="inlineStr">
        <is>
          <t>Pedido de Compra</t>
        </is>
      </c>
      <c r="Y3766" s="111" t="inlineStr">
        <is>
          <t>Impacto Potencial</t>
        </is>
      </c>
      <c r="Z3766" s="111" t="inlineStr">
        <is>
          <t>PC</t>
        </is>
      </c>
      <c r="AA3766" s="111" t="inlineStr">
        <is>
          <t>Nao</t>
        </is>
      </c>
      <c r="AB3766" s="111" t="inlineStr">
        <is>
          <t>NAO_COMPUTADO</t>
        </is>
      </c>
      <c r="AC3766" s="112" t="inlineStr">
        <is>
          <t>Estrutura Fase 1: sem impacto no VTA oficial</t>
        </is>
      </c>
    </row>
    <row r="3767" ht="25.5" customHeight="1" s="289">
      <c r="A3767" s="205" t="n"/>
      <c r="B3767" s="207" t="n"/>
      <c r="C3767" s="104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348" t="n"/>
      <c r="E3767" s="349">
        <f>IF(C3767="","",IFERROR(VLOOKUP(C3767,parametros!$A$11:$E$15,5,0),""))</f>
        <v/>
      </c>
      <c r="F3767" s="335">
        <f>IF(OR(D3767="",E3767=""),"",ROUND(D3767*E3767,2))</f>
        <v/>
      </c>
      <c r="G3767" s="106" t="n"/>
      <c r="H3767" s="350">
        <f>IF(G3767="Sim",IF(OR(F3767="",D3767="",L3767=""),"",IF(L3767="Sim",ROUND(F3767-D3767,2),0)),0)</f>
        <v/>
      </c>
      <c r="I3767" s="350">
        <f>IF(G3767="Sim",0,IF(OR(F3767="",L3767=""),"",F3767))</f>
        <v/>
      </c>
      <c r="J3767" s="350">
        <f>IF(G3767="Sim",0,IF(OR(F3767="",D3767="",L3767=""),"",IF(L3767="Sim",ROUND(F3767-D3767,2),0)))</f>
        <v/>
      </c>
      <c r="K3767" s="97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inlineStr">
        <is>
          <t>Nao</t>
        </is>
      </c>
      <c r="W3767" s="110" t="inlineStr">
        <is>
          <t>PC em analise</t>
        </is>
      </c>
      <c r="X3767" s="110" t="inlineStr">
        <is>
          <t>Pedido de Compra</t>
        </is>
      </c>
      <c r="Y3767" s="111" t="inlineStr">
        <is>
          <t>Impacto Potencial</t>
        </is>
      </c>
      <c r="Z3767" s="111" t="inlineStr">
        <is>
          <t>PC</t>
        </is>
      </c>
      <c r="AA3767" s="111" t="inlineStr">
        <is>
          <t>Nao</t>
        </is>
      </c>
      <c r="AB3767" s="111" t="inlineStr">
        <is>
          <t>NAO_COMPUTADO</t>
        </is>
      </c>
      <c r="AC3767" s="112" t="inlineStr">
        <is>
          <t>Estrutura Fase 1: sem impacto no VTA oficial</t>
        </is>
      </c>
    </row>
    <row r="3768" ht="25.5" customHeight="1" s="289">
      <c r="A3768" s="205" t="n"/>
      <c r="B3768" s="207" t="n"/>
      <c r="C3768" s="104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348" t="n"/>
      <c r="E3768" s="349">
        <f>IF(C3768="","",IFERROR(VLOOKUP(C3768,parametros!$A$11:$E$15,5,0),""))</f>
        <v/>
      </c>
      <c r="F3768" s="335">
        <f>IF(OR(D3768="",E3768=""),"",ROUND(D3768*E3768,2))</f>
        <v/>
      </c>
      <c r="G3768" s="106" t="n"/>
      <c r="H3768" s="350">
        <f>IF(G3768="Sim",IF(OR(F3768="",D3768="",L3768=""),"",IF(L3768="Sim",ROUND(F3768-D3768,2),0)),0)</f>
        <v/>
      </c>
      <c r="I3768" s="350">
        <f>IF(G3768="Sim",0,IF(OR(F3768="",L3768=""),"",F3768))</f>
        <v/>
      </c>
      <c r="J3768" s="350">
        <f>IF(G3768="Sim",0,IF(OR(F3768="",D3768="",L3768=""),"",IF(L3768="Sim",ROUND(F3768-D3768,2),0)))</f>
        <v/>
      </c>
      <c r="K3768" s="97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inlineStr">
        <is>
          <t>Nao</t>
        </is>
      </c>
      <c r="W3768" s="110" t="inlineStr">
        <is>
          <t>PC em analise</t>
        </is>
      </c>
      <c r="X3768" s="110" t="inlineStr">
        <is>
          <t>Pedido de Compra</t>
        </is>
      </c>
      <c r="Y3768" s="111" t="inlineStr">
        <is>
          <t>Impacto Potencial</t>
        </is>
      </c>
      <c r="Z3768" s="111" t="inlineStr">
        <is>
          <t>PC</t>
        </is>
      </c>
      <c r="AA3768" s="111" t="inlineStr">
        <is>
          <t>Nao</t>
        </is>
      </c>
      <c r="AB3768" s="111" t="inlineStr">
        <is>
          <t>NAO_COMPUTADO</t>
        </is>
      </c>
      <c r="AC3768" s="112" t="inlineStr">
        <is>
          <t>Estrutura Fase 1: sem impacto no VTA oficial</t>
        </is>
      </c>
    </row>
    <row r="3769" ht="25.5" customHeight="1" s="289">
      <c r="A3769" s="205" t="n"/>
      <c r="B3769" s="207" t="n"/>
      <c r="C3769" s="104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348" t="n"/>
      <c r="E3769" s="349">
        <f>IF(C3769="","",IFERROR(VLOOKUP(C3769,parametros!$A$11:$E$15,5,0),""))</f>
        <v/>
      </c>
      <c r="F3769" s="335">
        <f>IF(OR(D3769="",E3769=""),"",ROUND(D3769*E3769,2))</f>
        <v/>
      </c>
      <c r="G3769" s="106" t="n"/>
      <c r="H3769" s="350">
        <f>IF(G3769="Sim",IF(OR(F3769="",D3769="",L3769=""),"",IF(L3769="Sim",ROUND(F3769-D3769,2),0)),0)</f>
        <v/>
      </c>
      <c r="I3769" s="350">
        <f>IF(G3769="Sim",0,IF(OR(F3769="",L3769=""),"",F3769))</f>
        <v/>
      </c>
      <c r="J3769" s="350">
        <f>IF(G3769="Sim",0,IF(OR(F3769="",D3769="",L3769=""),"",IF(L3769="Sim",ROUND(F3769-D3769,2),0)))</f>
        <v/>
      </c>
      <c r="K3769" s="97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inlineStr">
        <is>
          <t>Nao</t>
        </is>
      </c>
      <c r="W3769" s="110" t="inlineStr">
        <is>
          <t>PC em analise</t>
        </is>
      </c>
      <c r="X3769" s="110" t="inlineStr">
        <is>
          <t>Pedido de Compra</t>
        </is>
      </c>
      <c r="Y3769" s="111" t="inlineStr">
        <is>
          <t>Impacto Potencial</t>
        </is>
      </c>
      <c r="Z3769" s="111" t="inlineStr">
        <is>
          <t>PC</t>
        </is>
      </c>
      <c r="AA3769" s="111" t="inlineStr">
        <is>
          <t>Nao</t>
        </is>
      </c>
      <c r="AB3769" s="111" t="inlineStr">
        <is>
          <t>NAO_COMPUTADO</t>
        </is>
      </c>
      <c r="AC3769" s="112" t="inlineStr">
        <is>
          <t>Estrutura Fase 1: sem impacto no VTA oficial</t>
        </is>
      </c>
    </row>
    <row r="3770" ht="25.5" customHeight="1" s="289">
      <c r="A3770" s="205" t="n"/>
      <c r="B3770" s="207" t="n"/>
      <c r="C3770" s="104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348" t="n"/>
      <c r="E3770" s="349">
        <f>IF(C3770="","",IFERROR(VLOOKUP(C3770,parametros!$A$11:$E$15,5,0),""))</f>
        <v/>
      </c>
      <c r="F3770" s="335">
        <f>IF(OR(D3770="",E3770=""),"",ROUND(D3770*E3770,2))</f>
        <v/>
      </c>
      <c r="G3770" s="106" t="n"/>
      <c r="H3770" s="350">
        <f>IF(G3770="Sim",IF(OR(F3770="",D3770="",L3770=""),"",IF(L3770="Sim",ROUND(F3770-D3770,2),0)),0)</f>
        <v/>
      </c>
      <c r="I3770" s="350">
        <f>IF(G3770="Sim",0,IF(OR(F3770="",L3770=""),"",F3770))</f>
        <v/>
      </c>
      <c r="J3770" s="350">
        <f>IF(G3770="Sim",0,IF(OR(F3770="",D3770="",L3770=""),"",IF(L3770="Sim",ROUND(F3770-D3770,2),0)))</f>
        <v/>
      </c>
      <c r="K3770" s="97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inlineStr">
        <is>
          <t>Nao</t>
        </is>
      </c>
      <c r="W3770" s="110" t="inlineStr">
        <is>
          <t>PC em analise</t>
        </is>
      </c>
      <c r="X3770" s="110" t="inlineStr">
        <is>
          <t>Pedido de Compra</t>
        </is>
      </c>
      <c r="Y3770" s="111" t="inlineStr">
        <is>
          <t>Impacto Potencial</t>
        </is>
      </c>
      <c r="Z3770" s="111" t="inlineStr">
        <is>
          <t>PC</t>
        </is>
      </c>
      <c r="AA3770" s="111" t="inlineStr">
        <is>
          <t>Nao</t>
        </is>
      </c>
      <c r="AB3770" s="111" t="inlineStr">
        <is>
          <t>NAO_COMPUTADO</t>
        </is>
      </c>
      <c r="AC3770" s="112" t="inlineStr">
        <is>
          <t>Estrutura Fase 1: sem impacto no VTA oficial</t>
        </is>
      </c>
    </row>
    <row r="3771" ht="25.5" customHeight="1" s="289">
      <c r="A3771" s="205" t="n"/>
      <c r="B3771" s="207" t="n"/>
      <c r="C3771" s="104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348" t="n"/>
      <c r="E3771" s="349">
        <f>IF(C3771="","",IFERROR(VLOOKUP(C3771,parametros!$A$11:$E$15,5,0),""))</f>
        <v/>
      </c>
      <c r="F3771" s="335">
        <f>IF(OR(D3771="",E3771=""),"",ROUND(D3771*E3771,2))</f>
        <v/>
      </c>
      <c r="G3771" s="106" t="n"/>
      <c r="H3771" s="350">
        <f>IF(G3771="Sim",IF(OR(F3771="",D3771="",L3771=""),"",IF(L3771="Sim",ROUND(F3771-D3771,2),0)),0)</f>
        <v/>
      </c>
      <c r="I3771" s="350">
        <f>IF(G3771="Sim",0,IF(OR(F3771="",L3771=""),"",F3771))</f>
        <v/>
      </c>
      <c r="J3771" s="350">
        <f>IF(G3771="Sim",0,IF(OR(F3771="",D3771="",L3771=""),"",IF(L3771="Sim",ROUND(F3771-D3771,2),0)))</f>
        <v/>
      </c>
      <c r="K3771" s="97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inlineStr">
        <is>
          <t>Nao</t>
        </is>
      </c>
      <c r="W3771" s="110" t="inlineStr">
        <is>
          <t>PC em analise</t>
        </is>
      </c>
      <c r="X3771" s="110" t="inlineStr">
        <is>
          <t>Pedido de Compra</t>
        </is>
      </c>
      <c r="Y3771" s="111" t="inlineStr">
        <is>
          <t>Impacto Potencial</t>
        </is>
      </c>
      <c r="Z3771" s="111" t="inlineStr">
        <is>
          <t>PC</t>
        </is>
      </c>
      <c r="AA3771" s="111" t="inlineStr">
        <is>
          <t>Nao</t>
        </is>
      </c>
      <c r="AB3771" s="111" t="inlineStr">
        <is>
          <t>NAO_COMPUTADO</t>
        </is>
      </c>
      <c r="AC3771" s="112" t="inlineStr">
        <is>
          <t>Estrutura Fase 1: sem impacto no VTA oficial</t>
        </is>
      </c>
    </row>
    <row r="3772" ht="25.5" customHeight="1" s="289">
      <c r="A3772" s="205" t="n"/>
      <c r="B3772" s="207" t="n"/>
      <c r="C3772" s="104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348" t="n"/>
      <c r="E3772" s="349">
        <f>IF(C3772="","",IFERROR(VLOOKUP(C3772,parametros!$A$11:$E$15,5,0),""))</f>
        <v/>
      </c>
      <c r="F3772" s="335">
        <f>IF(OR(D3772="",E3772=""),"",ROUND(D3772*E3772,2))</f>
        <v/>
      </c>
      <c r="G3772" s="106" t="n"/>
      <c r="H3772" s="350">
        <f>IF(G3772="Sim",IF(OR(F3772="",D3772="",L3772=""),"",IF(L3772="Sim",ROUND(F3772-D3772,2),0)),0)</f>
        <v/>
      </c>
      <c r="I3772" s="350">
        <f>IF(G3772="Sim",0,IF(OR(F3772="",L3772=""),"",F3772))</f>
        <v/>
      </c>
      <c r="J3772" s="350">
        <f>IF(G3772="Sim",0,IF(OR(F3772="",D3772="",L3772=""),"",IF(L3772="Sim",ROUND(F3772-D3772,2),0)))</f>
        <v/>
      </c>
      <c r="K3772" s="97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inlineStr">
        <is>
          <t>Nao</t>
        </is>
      </c>
      <c r="W3772" s="110" t="inlineStr">
        <is>
          <t>PC em analise</t>
        </is>
      </c>
      <c r="X3772" s="110" t="inlineStr">
        <is>
          <t>Pedido de Compra</t>
        </is>
      </c>
      <c r="Y3772" s="111" t="inlineStr">
        <is>
          <t>Impacto Potencial</t>
        </is>
      </c>
      <c r="Z3772" s="111" t="inlineStr">
        <is>
          <t>PC</t>
        </is>
      </c>
      <c r="AA3772" s="111" t="inlineStr">
        <is>
          <t>Nao</t>
        </is>
      </c>
      <c r="AB3772" s="111" t="inlineStr">
        <is>
          <t>NAO_COMPUTADO</t>
        </is>
      </c>
      <c r="AC3772" s="112" t="inlineStr">
        <is>
          <t>Estrutura Fase 1: sem impacto no VTA oficial</t>
        </is>
      </c>
    </row>
    <row r="3773" ht="25.5" customHeight="1" s="289">
      <c r="A3773" s="205" t="n"/>
      <c r="B3773" s="207" t="n"/>
      <c r="C3773" s="104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348" t="n"/>
      <c r="E3773" s="349">
        <f>IF(C3773="","",IFERROR(VLOOKUP(C3773,parametros!$A$11:$E$15,5,0),""))</f>
        <v/>
      </c>
      <c r="F3773" s="335">
        <f>IF(OR(D3773="",E3773=""),"",ROUND(D3773*E3773,2))</f>
        <v/>
      </c>
      <c r="G3773" s="106" t="n"/>
      <c r="H3773" s="350">
        <f>IF(G3773="Sim",IF(OR(F3773="",D3773="",L3773=""),"",IF(L3773="Sim",ROUND(F3773-D3773,2),0)),0)</f>
        <v/>
      </c>
      <c r="I3773" s="350">
        <f>IF(G3773="Sim",0,IF(OR(F3773="",L3773=""),"",F3773))</f>
        <v/>
      </c>
      <c r="J3773" s="350">
        <f>IF(G3773="Sim",0,IF(OR(F3773="",D3773="",L3773=""),"",IF(L3773="Sim",ROUND(F3773-D3773,2),0)))</f>
        <v/>
      </c>
      <c r="K3773" s="97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inlineStr">
        <is>
          <t>Nao</t>
        </is>
      </c>
      <c r="W3773" s="110" t="inlineStr">
        <is>
          <t>PC em analise</t>
        </is>
      </c>
      <c r="X3773" s="110" t="inlineStr">
        <is>
          <t>Pedido de Compra</t>
        </is>
      </c>
      <c r="Y3773" s="111" t="inlineStr">
        <is>
          <t>Impacto Potencial</t>
        </is>
      </c>
      <c r="Z3773" s="111" t="inlineStr">
        <is>
          <t>PC</t>
        </is>
      </c>
      <c r="AA3773" s="111" t="inlineStr">
        <is>
          <t>Nao</t>
        </is>
      </c>
      <c r="AB3773" s="111" t="inlineStr">
        <is>
          <t>NAO_COMPUTADO</t>
        </is>
      </c>
      <c r="AC3773" s="112" t="inlineStr">
        <is>
          <t>Estrutura Fase 1: sem impacto no VTA oficial</t>
        </is>
      </c>
    </row>
    <row r="3774" ht="25.5" customHeight="1" s="289">
      <c r="A3774" s="205" t="n"/>
      <c r="B3774" s="207" t="n"/>
      <c r="C3774" s="104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348" t="n"/>
      <c r="E3774" s="349">
        <f>IF(C3774="","",IFERROR(VLOOKUP(C3774,parametros!$A$11:$E$15,5,0),""))</f>
        <v/>
      </c>
      <c r="F3774" s="335">
        <f>IF(OR(D3774="",E3774=""),"",ROUND(D3774*E3774,2))</f>
        <v/>
      </c>
      <c r="G3774" s="106" t="n"/>
      <c r="H3774" s="350">
        <f>IF(G3774="Sim",IF(OR(F3774="",D3774="",L3774=""),"",IF(L3774="Sim",ROUND(F3774-D3774,2),0)),0)</f>
        <v/>
      </c>
      <c r="I3774" s="350">
        <f>IF(G3774="Sim",0,IF(OR(F3774="",L3774=""),"",F3774))</f>
        <v/>
      </c>
      <c r="J3774" s="350">
        <f>IF(G3774="Sim",0,IF(OR(F3774="",D3774="",L3774=""),"",IF(L3774="Sim",ROUND(F3774-D3774,2),0)))</f>
        <v/>
      </c>
      <c r="K3774" s="97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inlineStr">
        <is>
          <t>Nao</t>
        </is>
      </c>
      <c r="W3774" s="110" t="inlineStr">
        <is>
          <t>PC em analise</t>
        </is>
      </c>
      <c r="X3774" s="110" t="inlineStr">
        <is>
          <t>Pedido de Compra</t>
        </is>
      </c>
      <c r="Y3774" s="111" t="inlineStr">
        <is>
          <t>Impacto Potencial</t>
        </is>
      </c>
      <c r="Z3774" s="111" t="inlineStr">
        <is>
          <t>PC</t>
        </is>
      </c>
      <c r="AA3774" s="111" t="inlineStr">
        <is>
          <t>Nao</t>
        </is>
      </c>
      <c r="AB3774" s="111" t="inlineStr">
        <is>
          <t>NAO_COMPUTADO</t>
        </is>
      </c>
      <c r="AC3774" s="112" t="inlineStr">
        <is>
          <t>Estrutura Fase 1: sem impacto no VTA oficial</t>
        </is>
      </c>
    </row>
    <row r="3775" ht="25.5" customHeight="1" s="289">
      <c r="A3775" s="205" t="n"/>
      <c r="B3775" s="207" t="n"/>
      <c r="C3775" s="104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348" t="n"/>
      <c r="E3775" s="349">
        <f>IF(C3775="","",IFERROR(VLOOKUP(C3775,parametros!$A$11:$E$15,5,0),""))</f>
        <v/>
      </c>
      <c r="F3775" s="335">
        <f>IF(OR(D3775="",E3775=""),"",ROUND(D3775*E3775,2))</f>
        <v/>
      </c>
      <c r="G3775" s="106" t="n"/>
      <c r="H3775" s="350">
        <f>IF(G3775="Sim",IF(OR(F3775="",D3775="",L3775=""),"",IF(L3775="Sim",ROUND(F3775-D3775,2),0)),0)</f>
        <v/>
      </c>
      <c r="I3775" s="350">
        <f>IF(G3775="Sim",0,IF(OR(F3775="",L3775=""),"",F3775))</f>
        <v/>
      </c>
      <c r="J3775" s="350">
        <f>IF(G3775="Sim",0,IF(OR(F3775="",D3775="",L3775=""),"",IF(L3775="Sim",ROUND(F3775-D3775,2),0)))</f>
        <v/>
      </c>
      <c r="K3775" s="97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inlineStr">
        <is>
          <t>Nao</t>
        </is>
      </c>
      <c r="W3775" s="110" t="inlineStr">
        <is>
          <t>PC em analise</t>
        </is>
      </c>
      <c r="X3775" s="110" t="inlineStr">
        <is>
          <t>Pedido de Compra</t>
        </is>
      </c>
      <c r="Y3775" s="111" t="inlineStr">
        <is>
          <t>Impacto Potencial</t>
        </is>
      </c>
      <c r="Z3775" s="111" t="inlineStr">
        <is>
          <t>PC</t>
        </is>
      </c>
      <c r="AA3775" s="111" t="inlineStr">
        <is>
          <t>Nao</t>
        </is>
      </c>
      <c r="AB3775" s="111" t="inlineStr">
        <is>
          <t>NAO_COMPUTADO</t>
        </is>
      </c>
      <c r="AC3775" s="112" t="inlineStr">
        <is>
          <t>Estrutura Fase 1: sem impacto no VTA oficial</t>
        </is>
      </c>
    </row>
    <row r="3776" ht="25.5" customHeight="1" s="289">
      <c r="A3776" s="205" t="n"/>
      <c r="B3776" s="207" t="n"/>
      <c r="C3776" s="104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348" t="n"/>
      <c r="E3776" s="349">
        <f>IF(C3776="","",IFERROR(VLOOKUP(C3776,parametros!$A$11:$E$15,5,0),""))</f>
        <v/>
      </c>
      <c r="F3776" s="335">
        <f>IF(OR(D3776="",E3776=""),"",ROUND(D3776*E3776,2))</f>
        <v/>
      </c>
      <c r="G3776" s="106" t="n"/>
      <c r="H3776" s="350">
        <f>IF(G3776="Sim",IF(OR(F3776="",D3776="",L3776=""),"",IF(L3776="Sim",ROUND(F3776-D3776,2),0)),0)</f>
        <v/>
      </c>
      <c r="I3776" s="350">
        <f>IF(G3776="Sim",0,IF(OR(F3776="",L3776=""),"",F3776))</f>
        <v/>
      </c>
      <c r="J3776" s="350">
        <f>IF(G3776="Sim",0,IF(OR(F3776="",D3776="",L3776=""),"",IF(L3776="Sim",ROUND(F3776-D3776,2),0)))</f>
        <v/>
      </c>
      <c r="K3776" s="97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inlineStr">
        <is>
          <t>Nao</t>
        </is>
      </c>
      <c r="W3776" s="110" t="inlineStr">
        <is>
          <t>PC em analise</t>
        </is>
      </c>
      <c r="X3776" s="110" t="inlineStr">
        <is>
          <t>Pedido de Compra</t>
        </is>
      </c>
      <c r="Y3776" s="111" t="inlineStr">
        <is>
          <t>Impacto Potencial</t>
        </is>
      </c>
      <c r="Z3776" s="111" t="inlineStr">
        <is>
          <t>PC</t>
        </is>
      </c>
      <c r="AA3776" s="111" t="inlineStr">
        <is>
          <t>Nao</t>
        </is>
      </c>
      <c r="AB3776" s="111" t="inlineStr">
        <is>
          <t>NAO_COMPUTADO</t>
        </is>
      </c>
      <c r="AC3776" s="112" t="inlineStr">
        <is>
          <t>Estrutura Fase 1: sem impacto no VTA oficial</t>
        </is>
      </c>
    </row>
    <row r="3777" ht="25.5" customHeight="1" s="289">
      <c r="A3777" s="205" t="n"/>
      <c r="B3777" s="207" t="n"/>
      <c r="C3777" s="104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348" t="n"/>
      <c r="E3777" s="349">
        <f>IF(C3777="","",IFERROR(VLOOKUP(C3777,parametros!$A$11:$E$15,5,0),""))</f>
        <v/>
      </c>
      <c r="F3777" s="335">
        <f>IF(OR(D3777="",E3777=""),"",ROUND(D3777*E3777,2))</f>
        <v/>
      </c>
      <c r="G3777" s="106" t="n"/>
      <c r="H3777" s="350">
        <f>IF(G3777="Sim",IF(OR(F3777="",D3777="",L3777=""),"",IF(L3777="Sim",ROUND(F3777-D3777,2),0)),0)</f>
        <v/>
      </c>
      <c r="I3777" s="350">
        <f>IF(G3777="Sim",0,IF(OR(F3777="",L3777=""),"",F3777))</f>
        <v/>
      </c>
      <c r="J3777" s="350">
        <f>IF(G3777="Sim",0,IF(OR(F3777="",D3777="",L3777=""),"",IF(L3777="Sim",ROUND(F3777-D3777,2),0)))</f>
        <v/>
      </c>
      <c r="K3777" s="97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inlineStr">
        <is>
          <t>Nao</t>
        </is>
      </c>
      <c r="W3777" s="110" t="inlineStr">
        <is>
          <t>PC em analise</t>
        </is>
      </c>
      <c r="X3777" s="110" t="inlineStr">
        <is>
          <t>Pedido de Compra</t>
        </is>
      </c>
      <c r="Y3777" s="111" t="inlineStr">
        <is>
          <t>Impacto Potencial</t>
        </is>
      </c>
      <c r="Z3777" s="111" t="inlineStr">
        <is>
          <t>PC</t>
        </is>
      </c>
      <c r="AA3777" s="111" t="inlineStr">
        <is>
          <t>Nao</t>
        </is>
      </c>
      <c r="AB3777" s="111" t="inlineStr">
        <is>
          <t>NAO_COMPUTADO</t>
        </is>
      </c>
      <c r="AC3777" s="112" t="inlineStr">
        <is>
          <t>Estrutura Fase 1: sem impacto no VTA oficial</t>
        </is>
      </c>
    </row>
    <row r="3778" ht="25.5" customHeight="1" s="289">
      <c r="A3778" s="205" t="n"/>
      <c r="B3778" s="207" t="n"/>
      <c r="C3778" s="104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348" t="n"/>
      <c r="E3778" s="349">
        <f>IF(C3778="","",IFERROR(VLOOKUP(C3778,parametros!$A$11:$E$15,5,0),""))</f>
        <v/>
      </c>
      <c r="F3778" s="335">
        <f>IF(OR(D3778="",E3778=""),"",ROUND(D3778*E3778,2))</f>
        <v/>
      </c>
      <c r="G3778" s="106" t="n"/>
      <c r="H3778" s="350">
        <f>IF(G3778="Sim",IF(OR(F3778="",D3778="",L3778=""),"",IF(L3778="Sim",ROUND(F3778-D3778,2),0)),0)</f>
        <v/>
      </c>
      <c r="I3778" s="350">
        <f>IF(G3778="Sim",0,IF(OR(F3778="",L3778=""),"",F3778))</f>
        <v/>
      </c>
      <c r="J3778" s="350">
        <f>IF(G3778="Sim",0,IF(OR(F3778="",D3778="",L3778=""),"",IF(L3778="Sim",ROUND(F3778-D3778,2),0)))</f>
        <v/>
      </c>
      <c r="K3778" s="97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inlineStr">
        <is>
          <t>Nao</t>
        </is>
      </c>
      <c r="W3778" s="110" t="inlineStr">
        <is>
          <t>PC em analise</t>
        </is>
      </c>
      <c r="X3778" s="110" t="inlineStr">
        <is>
          <t>Pedido de Compra</t>
        </is>
      </c>
      <c r="Y3778" s="111" t="inlineStr">
        <is>
          <t>Impacto Potencial</t>
        </is>
      </c>
      <c r="Z3778" s="111" t="inlineStr">
        <is>
          <t>PC</t>
        </is>
      </c>
      <c r="AA3778" s="111" t="inlineStr">
        <is>
          <t>Nao</t>
        </is>
      </c>
      <c r="AB3778" s="111" t="inlineStr">
        <is>
          <t>NAO_COMPUTADO</t>
        </is>
      </c>
      <c r="AC3778" s="112" t="inlineStr">
        <is>
          <t>Estrutura Fase 1: sem impacto no VTA oficial</t>
        </is>
      </c>
    </row>
    <row r="3779" ht="25.5" customHeight="1" s="289">
      <c r="A3779" s="205" t="n"/>
      <c r="B3779" s="207" t="n"/>
      <c r="C3779" s="104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348" t="n"/>
      <c r="E3779" s="349">
        <f>IF(C3779="","",IFERROR(VLOOKUP(C3779,parametros!$A$11:$E$15,5,0),""))</f>
        <v/>
      </c>
      <c r="F3779" s="335">
        <f>IF(OR(D3779="",E3779=""),"",ROUND(D3779*E3779,2))</f>
        <v/>
      </c>
      <c r="G3779" s="106" t="n"/>
      <c r="H3779" s="350">
        <f>IF(G3779="Sim",IF(OR(F3779="",D3779="",L3779=""),"",IF(L3779="Sim",ROUND(F3779-D3779,2),0)),0)</f>
        <v/>
      </c>
      <c r="I3779" s="350">
        <f>IF(G3779="Sim",0,IF(OR(F3779="",L3779=""),"",F3779))</f>
        <v/>
      </c>
      <c r="J3779" s="350">
        <f>IF(G3779="Sim",0,IF(OR(F3779="",D3779="",L3779=""),"",IF(L3779="Sim",ROUND(F3779-D3779,2),0)))</f>
        <v/>
      </c>
      <c r="K3779" s="97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inlineStr">
        <is>
          <t>Nao</t>
        </is>
      </c>
      <c r="W3779" s="110" t="inlineStr">
        <is>
          <t>PC em analise</t>
        </is>
      </c>
      <c r="X3779" s="110" t="inlineStr">
        <is>
          <t>Pedido de Compra</t>
        </is>
      </c>
      <c r="Y3779" s="111" t="inlineStr">
        <is>
          <t>Impacto Potencial</t>
        </is>
      </c>
      <c r="Z3779" s="111" t="inlineStr">
        <is>
          <t>PC</t>
        </is>
      </c>
      <c r="AA3779" s="111" t="inlineStr">
        <is>
          <t>Nao</t>
        </is>
      </c>
      <c r="AB3779" s="111" t="inlineStr">
        <is>
          <t>NAO_COMPUTADO</t>
        </is>
      </c>
      <c r="AC3779" s="112" t="inlineStr">
        <is>
          <t>Estrutura Fase 1: sem impacto no VTA oficial</t>
        </is>
      </c>
    </row>
    <row r="3780" ht="25.5" customHeight="1" s="289">
      <c r="A3780" s="205" t="n"/>
      <c r="B3780" s="207" t="n"/>
      <c r="C3780" s="104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348" t="n"/>
      <c r="E3780" s="349">
        <f>IF(C3780="","",IFERROR(VLOOKUP(C3780,parametros!$A$11:$E$15,5,0),""))</f>
        <v/>
      </c>
      <c r="F3780" s="335">
        <f>IF(OR(D3780="",E3780=""),"",ROUND(D3780*E3780,2))</f>
        <v/>
      </c>
      <c r="G3780" s="106" t="n"/>
      <c r="H3780" s="350">
        <f>IF(G3780="Sim",IF(OR(F3780="",D3780="",L3780=""),"",IF(L3780="Sim",ROUND(F3780-D3780,2),0)),0)</f>
        <v/>
      </c>
      <c r="I3780" s="350">
        <f>IF(G3780="Sim",0,IF(OR(F3780="",L3780=""),"",F3780))</f>
        <v/>
      </c>
      <c r="J3780" s="350">
        <f>IF(G3780="Sim",0,IF(OR(F3780="",D3780="",L3780=""),"",IF(L3780="Sim",ROUND(F3780-D3780,2),0)))</f>
        <v/>
      </c>
      <c r="K3780" s="97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inlineStr">
        <is>
          <t>Nao</t>
        </is>
      </c>
      <c r="W3780" s="110" t="inlineStr">
        <is>
          <t>PC em analise</t>
        </is>
      </c>
      <c r="X3780" s="110" t="inlineStr">
        <is>
          <t>Pedido de Compra</t>
        </is>
      </c>
      <c r="Y3780" s="111" t="inlineStr">
        <is>
          <t>Impacto Potencial</t>
        </is>
      </c>
      <c r="Z3780" s="111" t="inlineStr">
        <is>
          <t>PC</t>
        </is>
      </c>
      <c r="AA3780" s="111" t="inlineStr">
        <is>
          <t>Nao</t>
        </is>
      </c>
      <c r="AB3780" s="111" t="inlineStr">
        <is>
          <t>NAO_COMPUTADO</t>
        </is>
      </c>
      <c r="AC3780" s="112" t="inlineStr">
        <is>
          <t>Estrutura Fase 1: sem impacto no VTA oficial</t>
        </is>
      </c>
    </row>
    <row r="3781" ht="25.5" customHeight="1" s="289">
      <c r="A3781" s="205" t="n"/>
      <c r="B3781" s="207" t="n"/>
      <c r="C3781" s="104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348" t="n"/>
      <c r="E3781" s="349">
        <f>IF(C3781="","",IFERROR(VLOOKUP(C3781,parametros!$A$11:$E$15,5,0),""))</f>
        <v/>
      </c>
      <c r="F3781" s="335">
        <f>IF(OR(D3781="",E3781=""),"",ROUND(D3781*E3781,2))</f>
        <v/>
      </c>
      <c r="G3781" s="106" t="n"/>
      <c r="H3781" s="350">
        <f>IF(G3781="Sim",IF(OR(F3781="",D3781="",L3781=""),"",IF(L3781="Sim",ROUND(F3781-D3781,2),0)),0)</f>
        <v/>
      </c>
      <c r="I3781" s="350">
        <f>IF(G3781="Sim",0,IF(OR(F3781="",L3781=""),"",F3781))</f>
        <v/>
      </c>
      <c r="J3781" s="350">
        <f>IF(G3781="Sim",0,IF(OR(F3781="",D3781="",L3781=""),"",IF(L3781="Sim",ROUND(F3781-D3781,2),0)))</f>
        <v/>
      </c>
      <c r="K3781" s="97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inlineStr">
        <is>
          <t>Nao</t>
        </is>
      </c>
      <c r="W3781" s="110" t="inlineStr">
        <is>
          <t>PC em analise</t>
        </is>
      </c>
      <c r="X3781" s="110" t="inlineStr">
        <is>
          <t>Pedido de Compra</t>
        </is>
      </c>
      <c r="Y3781" s="111" t="inlineStr">
        <is>
          <t>Impacto Potencial</t>
        </is>
      </c>
      <c r="Z3781" s="111" t="inlineStr">
        <is>
          <t>PC</t>
        </is>
      </c>
      <c r="AA3781" s="111" t="inlineStr">
        <is>
          <t>Nao</t>
        </is>
      </c>
      <c r="AB3781" s="111" t="inlineStr">
        <is>
          <t>NAO_COMPUTADO</t>
        </is>
      </c>
      <c r="AC3781" s="112" t="inlineStr">
        <is>
          <t>Estrutura Fase 1: sem impacto no VTA oficial</t>
        </is>
      </c>
    </row>
    <row r="3782" ht="25.5" customHeight="1" s="289">
      <c r="A3782" s="205" t="n"/>
      <c r="B3782" s="207" t="n"/>
      <c r="C3782" s="104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348" t="n"/>
      <c r="E3782" s="349">
        <f>IF(C3782="","",IFERROR(VLOOKUP(C3782,parametros!$A$11:$E$15,5,0),""))</f>
        <v/>
      </c>
      <c r="F3782" s="335">
        <f>IF(OR(D3782="",E3782=""),"",ROUND(D3782*E3782,2))</f>
        <v/>
      </c>
      <c r="G3782" s="106" t="n"/>
      <c r="H3782" s="350">
        <f>IF(G3782="Sim",IF(OR(F3782="",D3782="",L3782=""),"",IF(L3782="Sim",ROUND(F3782-D3782,2),0)),0)</f>
        <v/>
      </c>
      <c r="I3782" s="350">
        <f>IF(G3782="Sim",0,IF(OR(F3782="",L3782=""),"",F3782))</f>
        <v/>
      </c>
      <c r="J3782" s="350">
        <f>IF(G3782="Sim",0,IF(OR(F3782="",D3782="",L3782=""),"",IF(L3782="Sim",ROUND(F3782-D3782,2),0)))</f>
        <v/>
      </c>
      <c r="K3782" s="97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inlineStr">
        <is>
          <t>Nao</t>
        </is>
      </c>
      <c r="W3782" s="110" t="inlineStr">
        <is>
          <t>PC em analise</t>
        </is>
      </c>
      <c r="X3782" s="110" t="inlineStr">
        <is>
          <t>Pedido de Compra</t>
        </is>
      </c>
      <c r="Y3782" s="111" t="inlineStr">
        <is>
          <t>Impacto Potencial</t>
        </is>
      </c>
      <c r="Z3782" s="111" t="inlineStr">
        <is>
          <t>PC</t>
        </is>
      </c>
      <c r="AA3782" s="111" t="inlineStr">
        <is>
          <t>Nao</t>
        </is>
      </c>
      <c r="AB3782" s="111" t="inlineStr">
        <is>
          <t>NAO_COMPUTADO</t>
        </is>
      </c>
      <c r="AC3782" s="112" t="inlineStr">
        <is>
          <t>Estrutura Fase 1: sem impacto no VTA oficial</t>
        </is>
      </c>
    </row>
    <row r="3783" ht="25.5" customHeight="1" s="289">
      <c r="A3783" s="205" t="n"/>
      <c r="B3783" s="207" t="n"/>
      <c r="C3783" s="104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348" t="n"/>
      <c r="E3783" s="349">
        <f>IF(C3783="","",IFERROR(VLOOKUP(C3783,parametros!$A$11:$E$15,5,0),""))</f>
        <v/>
      </c>
      <c r="F3783" s="335">
        <f>IF(OR(D3783="",E3783=""),"",ROUND(D3783*E3783,2))</f>
        <v/>
      </c>
      <c r="G3783" s="106" t="n"/>
      <c r="H3783" s="350">
        <f>IF(G3783="Sim",IF(OR(F3783="",D3783="",L3783=""),"",IF(L3783="Sim",ROUND(F3783-D3783,2),0)),0)</f>
        <v/>
      </c>
      <c r="I3783" s="350">
        <f>IF(G3783="Sim",0,IF(OR(F3783="",L3783=""),"",F3783))</f>
        <v/>
      </c>
      <c r="J3783" s="350">
        <f>IF(G3783="Sim",0,IF(OR(F3783="",D3783="",L3783=""),"",IF(L3783="Sim",ROUND(F3783-D3783,2),0)))</f>
        <v/>
      </c>
      <c r="K3783" s="97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inlineStr">
        <is>
          <t>Nao</t>
        </is>
      </c>
      <c r="W3783" s="110" t="inlineStr">
        <is>
          <t>PC em analise</t>
        </is>
      </c>
      <c r="X3783" s="110" t="inlineStr">
        <is>
          <t>Pedido de Compra</t>
        </is>
      </c>
      <c r="Y3783" s="111" t="inlineStr">
        <is>
          <t>Impacto Potencial</t>
        </is>
      </c>
      <c r="Z3783" s="111" t="inlineStr">
        <is>
          <t>PC</t>
        </is>
      </c>
      <c r="AA3783" s="111" t="inlineStr">
        <is>
          <t>Nao</t>
        </is>
      </c>
      <c r="AB3783" s="111" t="inlineStr">
        <is>
          <t>NAO_COMPUTADO</t>
        </is>
      </c>
      <c r="AC3783" s="112" t="inlineStr">
        <is>
          <t>Estrutura Fase 1: sem impacto no VTA oficial</t>
        </is>
      </c>
    </row>
    <row r="3784" ht="25.5" customHeight="1" s="289">
      <c r="A3784" s="205" t="n"/>
      <c r="B3784" s="207" t="n"/>
      <c r="C3784" s="104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348" t="n"/>
      <c r="E3784" s="349">
        <f>IF(C3784="","",IFERROR(VLOOKUP(C3784,parametros!$A$11:$E$15,5,0),""))</f>
        <v/>
      </c>
      <c r="F3784" s="335">
        <f>IF(OR(D3784="",E3784=""),"",ROUND(D3784*E3784,2))</f>
        <v/>
      </c>
      <c r="G3784" s="106" t="n"/>
      <c r="H3784" s="350">
        <f>IF(G3784="Sim",IF(OR(F3784="",D3784="",L3784=""),"",IF(L3784="Sim",ROUND(F3784-D3784,2),0)),0)</f>
        <v/>
      </c>
      <c r="I3784" s="350">
        <f>IF(G3784="Sim",0,IF(OR(F3784="",L3784=""),"",F3784))</f>
        <v/>
      </c>
      <c r="J3784" s="350">
        <f>IF(G3784="Sim",0,IF(OR(F3784="",D3784="",L3784=""),"",IF(L3784="Sim",ROUND(F3784-D3784,2),0)))</f>
        <v/>
      </c>
      <c r="K3784" s="97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inlineStr">
        <is>
          <t>Nao</t>
        </is>
      </c>
      <c r="W3784" s="110" t="inlineStr">
        <is>
          <t>PC em analise</t>
        </is>
      </c>
      <c r="X3784" s="110" t="inlineStr">
        <is>
          <t>Pedido de Compra</t>
        </is>
      </c>
      <c r="Y3784" s="111" t="inlineStr">
        <is>
          <t>Impacto Potencial</t>
        </is>
      </c>
      <c r="Z3784" s="111" t="inlineStr">
        <is>
          <t>PC</t>
        </is>
      </c>
      <c r="AA3784" s="111" t="inlineStr">
        <is>
          <t>Nao</t>
        </is>
      </c>
      <c r="AB3784" s="111" t="inlineStr">
        <is>
          <t>NAO_COMPUTADO</t>
        </is>
      </c>
      <c r="AC3784" s="112" t="inlineStr">
        <is>
          <t>Estrutura Fase 1: sem impacto no VTA oficial</t>
        </is>
      </c>
    </row>
    <row r="3785" ht="25.5" customHeight="1" s="289">
      <c r="A3785" s="205" t="n"/>
      <c r="B3785" s="207" t="n"/>
      <c r="C3785" s="104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348" t="n"/>
      <c r="E3785" s="349">
        <f>IF(C3785="","",IFERROR(VLOOKUP(C3785,parametros!$A$11:$E$15,5,0),""))</f>
        <v/>
      </c>
      <c r="F3785" s="335">
        <f>IF(OR(D3785="",E3785=""),"",ROUND(D3785*E3785,2))</f>
        <v/>
      </c>
      <c r="G3785" s="106" t="n"/>
      <c r="H3785" s="350">
        <f>IF(G3785="Sim",IF(OR(F3785="",D3785="",L3785=""),"",IF(L3785="Sim",ROUND(F3785-D3785,2),0)),0)</f>
        <v/>
      </c>
      <c r="I3785" s="350">
        <f>IF(G3785="Sim",0,IF(OR(F3785="",L3785=""),"",F3785))</f>
        <v/>
      </c>
      <c r="J3785" s="350">
        <f>IF(G3785="Sim",0,IF(OR(F3785="",D3785="",L3785=""),"",IF(L3785="Sim",ROUND(F3785-D3785,2),0)))</f>
        <v/>
      </c>
      <c r="K3785" s="97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inlineStr">
        <is>
          <t>Nao</t>
        </is>
      </c>
      <c r="W3785" s="110" t="inlineStr">
        <is>
          <t>PC em analise</t>
        </is>
      </c>
      <c r="X3785" s="110" t="inlineStr">
        <is>
          <t>Pedido de Compra</t>
        </is>
      </c>
      <c r="Y3785" s="111" t="inlineStr">
        <is>
          <t>Impacto Potencial</t>
        </is>
      </c>
      <c r="Z3785" s="111" t="inlineStr">
        <is>
          <t>PC</t>
        </is>
      </c>
      <c r="AA3785" s="111" t="inlineStr">
        <is>
          <t>Nao</t>
        </is>
      </c>
      <c r="AB3785" s="111" t="inlineStr">
        <is>
          <t>NAO_COMPUTADO</t>
        </is>
      </c>
      <c r="AC3785" s="112" t="inlineStr">
        <is>
          <t>Estrutura Fase 1: sem impacto no VTA oficial</t>
        </is>
      </c>
    </row>
    <row r="3786" ht="25.5" customHeight="1" s="289">
      <c r="A3786" s="205" t="n"/>
      <c r="B3786" s="207" t="n"/>
      <c r="C3786" s="104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348" t="n"/>
      <c r="E3786" s="349">
        <f>IF(C3786="","",IFERROR(VLOOKUP(C3786,parametros!$A$11:$E$15,5,0),""))</f>
        <v/>
      </c>
      <c r="F3786" s="335">
        <f>IF(OR(D3786="",E3786=""),"",ROUND(D3786*E3786,2))</f>
        <v/>
      </c>
      <c r="G3786" s="106" t="n"/>
      <c r="H3786" s="350">
        <f>IF(G3786="Sim",IF(OR(F3786="",D3786="",L3786=""),"",IF(L3786="Sim",ROUND(F3786-D3786,2),0)),0)</f>
        <v/>
      </c>
      <c r="I3786" s="350">
        <f>IF(G3786="Sim",0,IF(OR(F3786="",L3786=""),"",F3786))</f>
        <v/>
      </c>
      <c r="J3786" s="350">
        <f>IF(G3786="Sim",0,IF(OR(F3786="",D3786="",L3786=""),"",IF(L3786="Sim",ROUND(F3786-D3786,2),0)))</f>
        <v/>
      </c>
      <c r="K3786" s="97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inlineStr">
        <is>
          <t>Nao</t>
        </is>
      </c>
      <c r="W3786" s="110" t="inlineStr">
        <is>
          <t>PC em analise</t>
        </is>
      </c>
      <c r="X3786" s="110" t="inlineStr">
        <is>
          <t>Pedido de Compra</t>
        </is>
      </c>
      <c r="Y3786" s="111" t="inlineStr">
        <is>
          <t>Impacto Potencial</t>
        </is>
      </c>
      <c r="Z3786" s="111" t="inlineStr">
        <is>
          <t>PC</t>
        </is>
      </c>
      <c r="AA3786" s="111" t="inlineStr">
        <is>
          <t>Nao</t>
        </is>
      </c>
      <c r="AB3786" s="111" t="inlineStr">
        <is>
          <t>NAO_COMPUTADO</t>
        </is>
      </c>
      <c r="AC3786" s="112" t="inlineStr">
        <is>
          <t>Estrutura Fase 1: sem impacto no VTA oficial</t>
        </is>
      </c>
    </row>
    <row r="3787" ht="25.5" customHeight="1" s="289">
      <c r="A3787" s="205" t="n"/>
      <c r="B3787" s="207" t="n"/>
      <c r="C3787" s="104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348" t="n"/>
      <c r="E3787" s="349">
        <f>IF(C3787="","",IFERROR(VLOOKUP(C3787,parametros!$A$11:$E$15,5,0),""))</f>
        <v/>
      </c>
      <c r="F3787" s="335">
        <f>IF(OR(D3787="",E3787=""),"",ROUND(D3787*E3787,2))</f>
        <v/>
      </c>
      <c r="G3787" s="106" t="n"/>
      <c r="H3787" s="350">
        <f>IF(G3787="Sim",IF(OR(F3787="",D3787="",L3787=""),"",IF(L3787="Sim",ROUND(F3787-D3787,2),0)),0)</f>
        <v/>
      </c>
      <c r="I3787" s="350">
        <f>IF(G3787="Sim",0,IF(OR(F3787="",L3787=""),"",F3787))</f>
        <v/>
      </c>
      <c r="J3787" s="350">
        <f>IF(G3787="Sim",0,IF(OR(F3787="",D3787="",L3787=""),"",IF(L3787="Sim",ROUND(F3787-D3787,2),0)))</f>
        <v/>
      </c>
      <c r="K3787" s="97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inlineStr">
        <is>
          <t>Nao</t>
        </is>
      </c>
      <c r="W3787" s="110" t="inlineStr">
        <is>
          <t>PC em analise</t>
        </is>
      </c>
      <c r="X3787" s="110" t="inlineStr">
        <is>
          <t>Pedido de Compra</t>
        </is>
      </c>
      <c r="Y3787" s="111" t="inlineStr">
        <is>
          <t>Impacto Potencial</t>
        </is>
      </c>
      <c r="Z3787" s="111" t="inlineStr">
        <is>
          <t>PC</t>
        </is>
      </c>
      <c r="AA3787" s="111" t="inlineStr">
        <is>
          <t>Nao</t>
        </is>
      </c>
      <c r="AB3787" s="111" t="inlineStr">
        <is>
          <t>NAO_COMPUTADO</t>
        </is>
      </c>
      <c r="AC3787" s="112" t="inlineStr">
        <is>
          <t>Estrutura Fase 1: sem impacto no VTA oficial</t>
        </is>
      </c>
    </row>
    <row r="3788" ht="25.5" customHeight="1" s="289">
      <c r="A3788" s="205" t="n"/>
      <c r="B3788" s="207" t="n"/>
      <c r="C3788" s="104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348" t="n"/>
      <c r="E3788" s="349">
        <f>IF(C3788="","",IFERROR(VLOOKUP(C3788,parametros!$A$11:$E$15,5,0),""))</f>
        <v/>
      </c>
      <c r="F3788" s="335">
        <f>IF(OR(D3788="",E3788=""),"",ROUND(D3788*E3788,2))</f>
        <v/>
      </c>
      <c r="G3788" s="106" t="n"/>
      <c r="H3788" s="350">
        <f>IF(G3788="Sim",IF(OR(F3788="",D3788="",L3788=""),"",IF(L3788="Sim",ROUND(F3788-D3788,2),0)),0)</f>
        <v/>
      </c>
      <c r="I3788" s="350">
        <f>IF(G3788="Sim",0,IF(OR(F3788="",L3788=""),"",F3788))</f>
        <v/>
      </c>
      <c r="J3788" s="350">
        <f>IF(G3788="Sim",0,IF(OR(F3788="",D3788="",L3788=""),"",IF(L3788="Sim",ROUND(F3788-D3788,2),0)))</f>
        <v/>
      </c>
      <c r="K3788" s="97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inlineStr">
        <is>
          <t>Nao</t>
        </is>
      </c>
      <c r="W3788" s="110" t="inlineStr">
        <is>
          <t>PC em analise</t>
        </is>
      </c>
      <c r="X3788" s="110" t="inlineStr">
        <is>
          <t>Pedido de Compra</t>
        </is>
      </c>
      <c r="Y3788" s="111" t="inlineStr">
        <is>
          <t>Impacto Potencial</t>
        </is>
      </c>
      <c r="Z3788" s="111" t="inlineStr">
        <is>
          <t>PC</t>
        </is>
      </c>
      <c r="AA3788" s="111" t="inlineStr">
        <is>
          <t>Nao</t>
        </is>
      </c>
      <c r="AB3788" s="111" t="inlineStr">
        <is>
          <t>NAO_COMPUTADO</t>
        </is>
      </c>
      <c r="AC3788" s="112" t="inlineStr">
        <is>
          <t>Estrutura Fase 1: sem impacto no VTA oficial</t>
        </is>
      </c>
    </row>
    <row r="3789" ht="25.5" customHeight="1" s="289">
      <c r="A3789" s="205" t="n"/>
      <c r="B3789" s="207" t="n"/>
      <c r="C3789" s="104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348" t="n"/>
      <c r="E3789" s="349">
        <f>IF(C3789="","",IFERROR(VLOOKUP(C3789,parametros!$A$11:$E$15,5,0),""))</f>
        <v/>
      </c>
      <c r="F3789" s="335">
        <f>IF(OR(D3789="",E3789=""),"",ROUND(D3789*E3789,2))</f>
        <v/>
      </c>
      <c r="G3789" s="106" t="n"/>
      <c r="H3789" s="350">
        <f>IF(G3789="Sim",IF(OR(F3789="",D3789="",L3789=""),"",IF(L3789="Sim",ROUND(F3789-D3789,2),0)),0)</f>
        <v/>
      </c>
      <c r="I3789" s="350">
        <f>IF(G3789="Sim",0,IF(OR(F3789="",L3789=""),"",F3789))</f>
        <v/>
      </c>
      <c r="J3789" s="350">
        <f>IF(G3789="Sim",0,IF(OR(F3789="",D3789="",L3789=""),"",IF(L3789="Sim",ROUND(F3789-D3789,2),0)))</f>
        <v/>
      </c>
      <c r="K3789" s="97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inlineStr">
        <is>
          <t>Nao</t>
        </is>
      </c>
      <c r="W3789" s="110" t="inlineStr">
        <is>
          <t>PC em analise</t>
        </is>
      </c>
      <c r="X3789" s="110" t="inlineStr">
        <is>
          <t>Pedido de Compra</t>
        </is>
      </c>
      <c r="Y3789" s="111" t="inlineStr">
        <is>
          <t>Impacto Potencial</t>
        </is>
      </c>
      <c r="Z3789" s="111" t="inlineStr">
        <is>
          <t>PC</t>
        </is>
      </c>
      <c r="AA3789" s="111" t="inlineStr">
        <is>
          <t>Nao</t>
        </is>
      </c>
      <c r="AB3789" s="111" t="inlineStr">
        <is>
          <t>NAO_COMPUTADO</t>
        </is>
      </c>
      <c r="AC3789" s="112" t="inlineStr">
        <is>
          <t>Estrutura Fase 1: sem impacto no VTA oficial</t>
        </is>
      </c>
    </row>
    <row r="3790" ht="25.5" customHeight="1" s="289">
      <c r="A3790" s="205" t="n"/>
      <c r="B3790" s="207" t="n"/>
      <c r="C3790" s="104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348" t="n"/>
      <c r="E3790" s="349">
        <f>IF(C3790="","",IFERROR(VLOOKUP(C3790,parametros!$A$11:$E$15,5,0),""))</f>
        <v/>
      </c>
      <c r="F3790" s="335">
        <f>IF(OR(D3790="",E3790=""),"",ROUND(D3790*E3790,2))</f>
        <v/>
      </c>
      <c r="G3790" s="106" t="n"/>
      <c r="H3790" s="350">
        <f>IF(G3790="Sim",IF(OR(F3790="",D3790="",L3790=""),"",IF(L3790="Sim",ROUND(F3790-D3790,2),0)),0)</f>
        <v/>
      </c>
      <c r="I3790" s="350">
        <f>IF(G3790="Sim",0,IF(OR(F3790="",L3790=""),"",F3790))</f>
        <v/>
      </c>
      <c r="J3790" s="350">
        <f>IF(G3790="Sim",0,IF(OR(F3790="",D3790="",L3790=""),"",IF(L3790="Sim",ROUND(F3790-D3790,2),0)))</f>
        <v/>
      </c>
      <c r="K3790" s="97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inlineStr">
        <is>
          <t>Nao</t>
        </is>
      </c>
      <c r="W3790" s="110" t="inlineStr">
        <is>
          <t>PC em analise</t>
        </is>
      </c>
      <c r="X3790" s="110" t="inlineStr">
        <is>
          <t>Pedido de Compra</t>
        </is>
      </c>
      <c r="Y3790" s="111" t="inlineStr">
        <is>
          <t>Impacto Potencial</t>
        </is>
      </c>
      <c r="Z3790" s="111" t="inlineStr">
        <is>
          <t>PC</t>
        </is>
      </c>
      <c r="AA3790" s="111" t="inlineStr">
        <is>
          <t>Nao</t>
        </is>
      </c>
      <c r="AB3790" s="111" t="inlineStr">
        <is>
          <t>NAO_COMPUTADO</t>
        </is>
      </c>
      <c r="AC3790" s="112" t="inlineStr">
        <is>
          <t>Estrutura Fase 1: sem impacto no VTA oficial</t>
        </is>
      </c>
    </row>
    <row r="3791" ht="25.5" customHeight="1" s="289">
      <c r="A3791" s="205" t="n"/>
      <c r="B3791" s="207" t="n"/>
      <c r="C3791" s="104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348" t="n"/>
      <c r="E3791" s="349">
        <f>IF(C3791="","",IFERROR(VLOOKUP(C3791,parametros!$A$11:$E$15,5,0),""))</f>
        <v/>
      </c>
      <c r="F3791" s="335">
        <f>IF(OR(D3791="",E3791=""),"",ROUND(D3791*E3791,2))</f>
        <v/>
      </c>
      <c r="G3791" s="106" t="n"/>
      <c r="H3791" s="350">
        <f>IF(G3791="Sim",IF(OR(F3791="",D3791="",L3791=""),"",IF(L3791="Sim",ROUND(F3791-D3791,2),0)),0)</f>
        <v/>
      </c>
      <c r="I3791" s="350">
        <f>IF(G3791="Sim",0,IF(OR(F3791="",L3791=""),"",F3791))</f>
        <v/>
      </c>
      <c r="J3791" s="350">
        <f>IF(G3791="Sim",0,IF(OR(F3791="",D3791="",L3791=""),"",IF(L3791="Sim",ROUND(F3791-D3791,2),0)))</f>
        <v/>
      </c>
      <c r="K3791" s="97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inlineStr">
        <is>
          <t>Nao</t>
        </is>
      </c>
      <c r="W3791" s="110" t="inlineStr">
        <is>
          <t>PC em analise</t>
        </is>
      </c>
      <c r="X3791" s="110" t="inlineStr">
        <is>
          <t>Pedido de Compra</t>
        </is>
      </c>
      <c r="Y3791" s="111" t="inlineStr">
        <is>
          <t>Impacto Potencial</t>
        </is>
      </c>
      <c r="Z3791" s="111" t="inlineStr">
        <is>
          <t>PC</t>
        </is>
      </c>
      <c r="AA3791" s="111" t="inlineStr">
        <is>
          <t>Nao</t>
        </is>
      </c>
      <c r="AB3791" s="111" t="inlineStr">
        <is>
          <t>NAO_COMPUTADO</t>
        </is>
      </c>
      <c r="AC3791" s="112" t="inlineStr">
        <is>
          <t>Estrutura Fase 1: sem impacto no VTA oficial</t>
        </is>
      </c>
    </row>
    <row r="3792" ht="25.5" customHeight="1" s="289">
      <c r="A3792" s="205" t="n"/>
      <c r="B3792" s="207" t="n"/>
      <c r="C3792" s="104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348" t="n"/>
      <c r="E3792" s="349">
        <f>IF(C3792="","",IFERROR(VLOOKUP(C3792,parametros!$A$11:$E$15,5,0),""))</f>
        <v/>
      </c>
      <c r="F3792" s="335">
        <f>IF(OR(D3792="",E3792=""),"",ROUND(D3792*E3792,2))</f>
        <v/>
      </c>
      <c r="G3792" s="106" t="n"/>
      <c r="H3792" s="350">
        <f>IF(G3792="Sim",IF(OR(F3792="",D3792="",L3792=""),"",IF(L3792="Sim",ROUND(F3792-D3792,2),0)),0)</f>
        <v/>
      </c>
      <c r="I3792" s="350">
        <f>IF(G3792="Sim",0,IF(OR(F3792="",L3792=""),"",F3792))</f>
        <v/>
      </c>
      <c r="J3792" s="350">
        <f>IF(G3792="Sim",0,IF(OR(F3792="",D3792="",L3792=""),"",IF(L3792="Sim",ROUND(F3792-D3792,2),0)))</f>
        <v/>
      </c>
      <c r="K3792" s="97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inlineStr">
        <is>
          <t>Nao</t>
        </is>
      </c>
      <c r="W3792" s="110" t="inlineStr">
        <is>
          <t>PC em analise</t>
        </is>
      </c>
      <c r="X3792" s="110" t="inlineStr">
        <is>
          <t>Pedido de Compra</t>
        </is>
      </c>
      <c r="Y3792" s="111" t="inlineStr">
        <is>
          <t>Impacto Potencial</t>
        </is>
      </c>
      <c r="Z3792" s="111" t="inlineStr">
        <is>
          <t>PC</t>
        </is>
      </c>
      <c r="AA3792" s="111" t="inlineStr">
        <is>
          <t>Nao</t>
        </is>
      </c>
      <c r="AB3792" s="111" t="inlineStr">
        <is>
          <t>NAO_COMPUTADO</t>
        </is>
      </c>
      <c r="AC3792" s="112" t="inlineStr">
        <is>
          <t>Estrutura Fase 1: sem impacto no VTA oficial</t>
        </is>
      </c>
    </row>
    <row r="3793" ht="25.5" customHeight="1" s="289">
      <c r="A3793" s="205" t="n"/>
      <c r="B3793" s="207" t="n"/>
      <c r="C3793" s="104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348" t="n"/>
      <c r="E3793" s="349">
        <f>IF(C3793="","",IFERROR(VLOOKUP(C3793,parametros!$A$11:$E$15,5,0),""))</f>
        <v/>
      </c>
      <c r="F3793" s="335">
        <f>IF(OR(D3793="",E3793=""),"",ROUND(D3793*E3793,2))</f>
        <v/>
      </c>
      <c r="G3793" s="106" t="n"/>
      <c r="H3793" s="350">
        <f>IF(G3793="Sim",IF(OR(F3793="",D3793="",L3793=""),"",IF(L3793="Sim",ROUND(F3793-D3793,2),0)),0)</f>
        <v/>
      </c>
      <c r="I3793" s="350">
        <f>IF(G3793="Sim",0,IF(OR(F3793="",L3793=""),"",F3793))</f>
        <v/>
      </c>
      <c r="J3793" s="350">
        <f>IF(G3793="Sim",0,IF(OR(F3793="",D3793="",L3793=""),"",IF(L3793="Sim",ROUND(F3793-D3793,2),0)))</f>
        <v/>
      </c>
      <c r="K3793" s="97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inlineStr">
        <is>
          <t>Nao</t>
        </is>
      </c>
      <c r="W3793" s="110" t="inlineStr">
        <is>
          <t>PC em analise</t>
        </is>
      </c>
      <c r="X3793" s="110" t="inlineStr">
        <is>
          <t>Pedido de Compra</t>
        </is>
      </c>
      <c r="Y3793" s="111" t="inlineStr">
        <is>
          <t>Impacto Potencial</t>
        </is>
      </c>
      <c r="Z3793" s="111" t="inlineStr">
        <is>
          <t>PC</t>
        </is>
      </c>
      <c r="AA3793" s="111" t="inlineStr">
        <is>
          <t>Nao</t>
        </is>
      </c>
      <c r="AB3793" s="111" t="inlineStr">
        <is>
          <t>NAO_COMPUTADO</t>
        </is>
      </c>
      <c r="AC3793" s="112" t="inlineStr">
        <is>
          <t>Estrutura Fase 1: sem impacto no VTA oficial</t>
        </is>
      </c>
    </row>
    <row r="3794" ht="25.5" customHeight="1" s="289">
      <c r="A3794" s="205" t="n"/>
      <c r="B3794" s="207" t="n"/>
      <c r="C3794" s="104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348" t="n"/>
      <c r="E3794" s="349">
        <f>IF(C3794="","",IFERROR(VLOOKUP(C3794,parametros!$A$11:$E$15,5,0),""))</f>
        <v/>
      </c>
      <c r="F3794" s="335">
        <f>IF(OR(D3794="",E3794=""),"",ROUND(D3794*E3794,2))</f>
        <v/>
      </c>
      <c r="G3794" s="106" t="n"/>
      <c r="H3794" s="350">
        <f>IF(G3794="Sim",IF(OR(F3794="",D3794="",L3794=""),"",IF(L3794="Sim",ROUND(F3794-D3794,2),0)),0)</f>
        <v/>
      </c>
      <c r="I3794" s="350">
        <f>IF(G3794="Sim",0,IF(OR(F3794="",L3794=""),"",F3794))</f>
        <v/>
      </c>
      <c r="J3794" s="350">
        <f>IF(G3794="Sim",0,IF(OR(F3794="",D3794="",L3794=""),"",IF(L3794="Sim",ROUND(F3794-D3794,2),0)))</f>
        <v/>
      </c>
      <c r="K3794" s="97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inlineStr">
        <is>
          <t>Nao</t>
        </is>
      </c>
      <c r="W3794" s="110" t="inlineStr">
        <is>
          <t>PC em analise</t>
        </is>
      </c>
      <c r="X3794" s="110" t="inlineStr">
        <is>
          <t>Pedido de Compra</t>
        </is>
      </c>
      <c r="Y3794" s="111" t="inlineStr">
        <is>
          <t>Impacto Potencial</t>
        </is>
      </c>
      <c r="Z3794" s="111" t="inlineStr">
        <is>
          <t>PC</t>
        </is>
      </c>
      <c r="AA3794" s="111" t="inlineStr">
        <is>
          <t>Nao</t>
        </is>
      </c>
      <c r="AB3794" s="111" t="inlineStr">
        <is>
          <t>NAO_COMPUTADO</t>
        </is>
      </c>
      <c r="AC3794" s="112" t="inlineStr">
        <is>
          <t>Estrutura Fase 1: sem impacto no VTA oficial</t>
        </is>
      </c>
    </row>
    <row r="3795" ht="25.5" customHeight="1" s="289">
      <c r="A3795" s="205" t="n"/>
      <c r="B3795" s="207" t="n"/>
      <c r="C3795" s="104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348" t="n"/>
      <c r="E3795" s="349">
        <f>IF(C3795="","",IFERROR(VLOOKUP(C3795,parametros!$A$11:$E$15,5,0),""))</f>
        <v/>
      </c>
      <c r="F3795" s="335">
        <f>IF(OR(D3795="",E3795=""),"",ROUND(D3795*E3795,2))</f>
        <v/>
      </c>
      <c r="G3795" s="106" t="n"/>
      <c r="H3795" s="350">
        <f>IF(G3795="Sim",IF(OR(F3795="",D3795="",L3795=""),"",IF(L3795="Sim",ROUND(F3795-D3795,2),0)),0)</f>
        <v/>
      </c>
      <c r="I3795" s="350">
        <f>IF(G3795="Sim",0,IF(OR(F3795="",L3795=""),"",F3795))</f>
        <v/>
      </c>
      <c r="J3795" s="350">
        <f>IF(G3795="Sim",0,IF(OR(F3795="",D3795="",L3795=""),"",IF(L3795="Sim",ROUND(F3795-D3795,2),0)))</f>
        <v/>
      </c>
      <c r="K3795" s="97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inlineStr">
        <is>
          <t>Nao</t>
        </is>
      </c>
      <c r="W3795" s="110" t="inlineStr">
        <is>
          <t>PC em analise</t>
        </is>
      </c>
      <c r="X3795" s="110" t="inlineStr">
        <is>
          <t>Pedido de Compra</t>
        </is>
      </c>
      <c r="Y3795" s="111" t="inlineStr">
        <is>
          <t>Impacto Potencial</t>
        </is>
      </c>
      <c r="Z3795" s="111" t="inlineStr">
        <is>
          <t>PC</t>
        </is>
      </c>
      <c r="AA3795" s="111" t="inlineStr">
        <is>
          <t>Nao</t>
        </is>
      </c>
      <c r="AB3795" s="111" t="inlineStr">
        <is>
          <t>NAO_COMPUTADO</t>
        </is>
      </c>
      <c r="AC3795" s="112" t="inlineStr">
        <is>
          <t>Estrutura Fase 1: sem impacto no VTA oficial</t>
        </is>
      </c>
    </row>
    <row r="3796" ht="25.5" customHeight="1" s="289">
      <c r="A3796" s="205" t="n"/>
      <c r="B3796" s="207" t="n"/>
      <c r="C3796" s="104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348" t="n"/>
      <c r="E3796" s="349">
        <f>IF(C3796="","",IFERROR(VLOOKUP(C3796,parametros!$A$11:$E$15,5,0),""))</f>
        <v/>
      </c>
      <c r="F3796" s="335">
        <f>IF(OR(D3796="",E3796=""),"",ROUND(D3796*E3796,2))</f>
        <v/>
      </c>
      <c r="G3796" s="106" t="n"/>
      <c r="H3796" s="350">
        <f>IF(G3796="Sim",IF(OR(F3796="",D3796="",L3796=""),"",IF(L3796="Sim",ROUND(F3796-D3796,2),0)),0)</f>
        <v/>
      </c>
      <c r="I3796" s="350">
        <f>IF(G3796="Sim",0,IF(OR(F3796="",L3796=""),"",F3796))</f>
        <v/>
      </c>
      <c r="J3796" s="350">
        <f>IF(G3796="Sim",0,IF(OR(F3796="",D3796="",L3796=""),"",IF(L3796="Sim",ROUND(F3796-D3796,2),0)))</f>
        <v/>
      </c>
      <c r="K3796" s="97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inlineStr">
        <is>
          <t>Nao</t>
        </is>
      </c>
      <c r="W3796" s="110" t="inlineStr">
        <is>
          <t>PC em analise</t>
        </is>
      </c>
      <c r="X3796" s="110" t="inlineStr">
        <is>
          <t>Pedido de Compra</t>
        </is>
      </c>
      <c r="Y3796" s="111" t="inlineStr">
        <is>
          <t>Impacto Potencial</t>
        </is>
      </c>
      <c r="Z3796" s="111" t="inlineStr">
        <is>
          <t>PC</t>
        </is>
      </c>
      <c r="AA3796" s="111" t="inlineStr">
        <is>
          <t>Nao</t>
        </is>
      </c>
      <c r="AB3796" s="111" t="inlineStr">
        <is>
          <t>NAO_COMPUTADO</t>
        </is>
      </c>
      <c r="AC3796" s="112" t="inlineStr">
        <is>
          <t>Estrutura Fase 1: sem impacto no VTA oficial</t>
        </is>
      </c>
    </row>
    <row r="3797" ht="25.5" customHeight="1" s="289">
      <c r="A3797" s="205" t="n"/>
      <c r="B3797" s="207" t="n"/>
      <c r="C3797" s="104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348" t="n"/>
      <c r="E3797" s="349">
        <f>IF(C3797="","",IFERROR(VLOOKUP(C3797,parametros!$A$11:$E$15,5,0),""))</f>
        <v/>
      </c>
      <c r="F3797" s="335">
        <f>IF(OR(D3797="",E3797=""),"",ROUND(D3797*E3797,2))</f>
        <v/>
      </c>
      <c r="G3797" s="106" t="n"/>
      <c r="H3797" s="350">
        <f>IF(G3797="Sim",IF(OR(F3797="",D3797="",L3797=""),"",IF(L3797="Sim",ROUND(F3797-D3797,2),0)),0)</f>
        <v/>
      </c>
      <c r="I3797" s="350">
        <f>IF(G3797="Sim",0,IF(OR(F3797="",L3797=""),"",F3797))</f>
        <v/>
      </c>
      <c r="J3797" s="350">
        <f>IF(G3797="Sim",0,IF(OR(F3797="",D3797="",L3797=""),"",IF(L3797="Sim",ROUND(F3797-D3797,2),0)))</f>
        <v/>
      </c>
      <c r="K3797" s="97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inlineStr">
        <is>
          <t>Nao</t>
        </is>
      </c>
      <c r="W3797" s="110" t="inlineStr">
        <is>
          <t>PC em analise</t>
        </is>
      </c>
      <c r="X3797" s="110" t="inlineStr">
        <is>
          <t>Pedido de Compra</t>
        </is>
      </c>
      <c r="Y3797" s="111" t="inlineStr">
        <is>
          <t>Impacto Potencial</t>
        </is>
      </c>
      <c r="Z3797" s="111" t="inlineStr">
        <is>
          <t>PC</t>
        </is>
      </c>
      <c r="AA3797" s="111" t="inlineStr">
        <is>
          <t>Nao</t>
        </is>
      </c>
      <c r="AB3797" s="111" t="inlineStr">
        <is>
          <t>NAO_COMPUTADO</t>
        </is>
      </c>
      <c r="AC3797" s="112" t="inlineStr">
        <is>
          <t>Estrutura Fase 1: sem impacto no VTA oficial</t>
        </is>
      </c>
    </row>
    <row r="3798" ht="25.5" customHeight="1" s="289">
      <c r="A3798" s="205" t="n"/>
      <c r="B3798" s="207" t="n"/>
      <c r="C3798" s="104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348" t="n"/>
      <c r="E3798" s="349">
        <f>IF(C3798="","",IFERROR(VLOOKUP(C3798,parametros!$A$11:$E$15,5,0),""))</f>
        <v/>
      </c>
      <c r="F3798" s="335">
        <f>IF(OR(D3798="",E3798=""),"",ROUND(D3798*E3798,2))</f>
        <v/>
      </c>
      <c r="G3798" s="106" t="n"/>
      <c r="H3798" s="350">
        <f>IF(G3798="Sim",IF(OR(F3798="",D3798="",L3798=""),"",IF(L3798="Sim",ROUND(F3798-D3798,2),0)),0)</f>
        <v/>
      </c>
      <c r="I3798" s="350">
        <f>IF(G3798="Sim",0,IF(OR(F3798="",L3798=""),"",F3798))</f>
        <v/>
      </c>
      <c r="J3798" s="350">
        <f>IF(G3798="Sim",0,IF(OR(F3798="",D3798="",L3798=""),"",IF(L3798="Sim",ROUND(F3798-D3798,2),0)))</f>
        <v/>
      </c>
      <c r="K3798" s="97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inlineStr">
        <is>
          <t>Nao</t>
        </is>
      </c>
      <c r="W3798" s="110" t="inlineStr">
        <is>
          <t>PC em analise</t>
        </is>
      </c>
      <c r="X3798" s="110" t="inlineStr">
        <is>
          <t>Pedido de Compra</t>
        </is>
      </c>
      <c r="Y3798" s="111" t="inlineStr">
        <is>
          <t>Impacto Potencial</t>
        </is>
      </c>
      <c r="Z3798" s="111" t="inlineStr">
        <is>
          <t>PC</t>
        </is>
      </c>
      <c r="AA3798" s="111" t="inlineStr">
        <is>
          <t>Nao</t>
        </is>
      </c>
      <c r="AB3798" s="111" t="inlineStr">
        <is>
          <t>NAO_COMPUTADO</t>
        </is>
      </c>
      <c r="AC3798" s="112" t="inlineStr">
        <is>
          <t>Estrutura Fase 1: sem impacto no VTA oficial</t>
        </is>
      </c>
    </row>
    <row r="3799" ht="25.5" customHeight="1" s="289">
      <c r="A3799" s="205" t="n"/>
      <c r="B3799" s="207" t="n"/>
      <c r="C3799" s="104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348" t="n"/>
      <c r="E3799" s="349">
        <f>IF(C3799="","",IFERROR(VLOOKUP(C3799,parametros!$A$11:$E$15,5,0),""))</f>
        <v/>
      </c>
      <c r="F3799" s="335">
        <f>IF(OR(D3799="",E3799=""),"",ROUND(D3799*E3799,2))</f>
        <v/>
      </c>
      <c r="G3799" s="106" t="n"/>
      <c r="H3799" s="350">
        <f>IF(G3799="Sim",IF(OR(F3799="",D3799="",L3799=""),"",IF(L3799="Sim",ROUND(F3799-D3799,2),0)),0)</f>
        <v/>
      </c>
      <c r="I3799" s="350">
        <f>IF(G3799="Sim",0,IF(OR(F3799="",L3799=""),"",F3799))</f>
        <v/>
      </c>
      <c r="J3799" s="350">
        <f>IF(G3799="Sim",0,IF(OR(F3799="",D3799="",L3799=""),"",IF(L3799="Sim",ROUND(F3799-D3799,2),0)))</f>
        <v/>
      </c>
      <c r="K3799" s="97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inlineStr">
        <is>
          <t>Nao</t>
        </is>
      </c>
      <c r="W3799" s="110" t="inlineStr">
        <is>
          <t>PC em analise</t>
        </is>
      </c>
      <c r="X3799" s="110" t="inlineStr">
        <is>
          <t>Pedido de Compra</t>
        </is>
      </c>
      <c r="Y3799" s="111" t="inlineStr">
        <is>
          <t>Impacto Potencial</t>
        </is>
      </c>
      <c r="Z3799" s="111" t="inlineStr">
        <is>
          <t>PC</t>
        </is>
      </c>
      <c r="AA3799" s="111" t="inlineStr">
        <is>
          <t>Nao</t>
        </is>
      </c>
      <c r="AB3799" s="111" t="inlineStr">
        <is>
          <t>NAO_COMPUTADO</t>
        </is>
      </c>
      <c r="AC3799" s="112" t="inlineStr">
        <is>
          <t>Estrutura Fase 1: sem impacto no VTA oficial</t>
        </is>
      </c>
    </row>
    <row r="3800" ht="25.5" customHeight="1" s="289">
      <c r="A3800" s="205" t="n"/>
      <c r="B3800" s="207" t="n"/>
      <c r="C3800" s="104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348" t="n"/>
      <c r="E3800" s="349">
        <f>IF(C3800="","",IFERROR(VLOOKUP(C3800,parametros!$A$11:$E$15,5,0),""))</f>
        <v/>
      </c>
      <c r="F3800" s="335">
        <f>IF(OR(D3800="",E3800=""),"",ROUND(D3800*E3800,2))</f>
        <v/>
      </c>
      <c r="G3800" s="106" t="n"/>
      <c r="H3800" s="350">
        <f>IF(G3800="Sim",IF(OR(F3800="",D3800="",L3800=""),"",IF(L3800="Sim",ROUND(F3800-D3800,2),0)),0)</f>
        <v/>
      </c>
      <c r="I3800" s="350">
        <f>IF(G3800="Sim",0,IF(OR(F3800="",L3800=""),"",F3800))</f>
        <v/>
      </c>
      <c r="J3800" s="350">
        <f>IF(G3800="Sim",0,IF(OR(F3800="",D3800="",L3800=""),"",IF(L3800="Sim",ROUND(F3800-D3800,2),0)))</f>
        <v/>
      </c>
      <c r="K3800" s="97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inlineStr">
        <is>
          <t>Nao</t>
        </is>
      </c>
      <c r="W3800" s="110" t="inlineStr">
        <is>
          <t>PC em analise</t>
        </is>
      </c>
      <c r="X3800" s="110" t="inlineStr">
        <is>
          <t>Pedido de Compra</t>
        </is>
      </c>
      <c r="Y3800" s="111" t="inlineStr">
        <is>
          <t>Impacto Potencial</t>
        </is>
      </c>
      <c r="Z3800" s="111" t="inlineStr">
        <is>
          <t>PC</t>
        </is>
      </c>
      <c r="AA3800" s="111" t="inlineStr">
        <is>
          <t>Nao</t>
        </is>
      </c>
      <c r="AB3800" s="111" t="inlineStr">
        <is>
          <t>NAO_COMPUTADO</t>
        </is>
      </c>
      <c r="AC3800" s="112" t="inlineStr">
        <is>
          <t>Estrutura Fase 1: sem impacto no VTA oficial</t>
        </is>
      </c>
    </row>
    <row r="3801" ht="25.5" customHeight="1" s="289">
      <c r="A3801" s="205" t="n"/>
      <c r="B3801" s="207" t="n"/>
      <c r="C3801" s="104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348" t="n"/>
      <c r="E3801" s="349">
        <f>IF(C3801="","",IFERROR(VLOOKUP(C3801,parametros!$A$11:$E$15,5,0),""))</f>
        <v/>
      </c>
      <c r="F3801" s="335">
        <f>IF(OR(D3801="",E3801=""),"",ROUND(D3801*E3801,2))</f>
        <v/>
      </c>
      <c r="G3801" s="106" t="n"/>
      <c r="H3801" s="350">
        <f>IF(G3801="Sim",IF(OR(F3801="",D3801="",L3801=""),"",IF(L3801="Sim",ROUND(F3801-D3801,2),0)),0)</f>
        <v/>
      </c>
      <c r="I3801" s="350">
        <f>IF(G3801="Sim",0,IF(OR(F3801="",L3801=""),"",F3801))</f>
        <v/>
      </c>
      <c r="J3801" s="350">
        <f>IF(G3801="Sim",0,IF(OR(F3801="",D3801="",L3801=""),"",IF(L3801="Sim",ROUND(F3801-D3801,2),0)))</f>
        <v/>
      </c>
      <c r="K3801" s="97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inlineStr">
        <is>
          <t>Nao</t>
        </is>
      </c>
      <c r="W3801" s="110" t="inlineStr">
        <is>
          <t>PC em analise</t>
        </is>
      </c>
      <c r="X3801" s="110" t="inlineStr">
        <is>
          <t>Pedido de Compra</t>
        </is>
      </c>
      <c r="Y3801" s="111" t="inlineStr">
        <is>
          <t>Impacto Potencial</t>
        </is>
      </c>
      <c r="Z3801" s="111" t="inlineStr">
        <is>
          <t>PC</t>
        </is>
      </c>
      <c r="AA3801" s="111" t="inlineStr">
        <is>
          <t>Nao</t>
        </is>
      </c>
      <c r="AB3801" s="111" t="inlineStr">
        <is>
          <t>NAO_COMPUTADO</t>
        </is>
      </c>
      <c r="AC3801" s="112" t="inlineStr">
        <is>
          <t>Estrutura Fase 1: sem impacto no VTA oficial</t>
        </is>
      </c>
    </row>
    <row r="3802" ht="25.5" customHeight="1" s="289">
      <c r="A3802" s="205" t="n"/>
      <c r="B3802" s="207" t="n"/>
      <c r="C3802" s="104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348" t="n"/>
      <c r="E3802" s="349">
        <f>IF(C3802="","",IFERROR(VLOOKUP(C3802,parametros!$A$11:$E$15,5,0),""))</f>
        <v/>
      </c>
      <c r="F3802" s="335">
        <f>IF(OR(D3802="",E3802=""),"",ROUND(D3802*E3802,2))</f>
        <v/>
      </c>
      <c r="G3802" s="106" t="n"/>
      <c r="H3802" s="350">
        <f>IF(G3802="Sim",IF(OR(F3802="",D3802="",L3802=""),"",IF(L3802="Sim",ROUND(F3802-D3802,2),0)),0)</f>
        <v/>
      </c>
      <c r="I3802" s="350">
        <f>IF(G3802="Sim",0,IF(OR(F3802="",L3802=""),"",F3802))</f>
        <v/>
      </c>
      <c r="J3802" s="350">
        <f>IF(G3802="Sim",0,IF(OR(F3802="",D3802="",L3802=""),"",IF(L3802="Sim",ROUND(F3802-D3802,2),0)))</f>
        <v/>
      </c>
      <c r="K3802" s="97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inlineStr">
        <is>
          <t>Nao</t>
        </is>
      </c>
      <c r="W3802" s="110" t="inlineStr">
        <is>
          <t>PC em analise</t>
        </is>
      </c>
      <c r="X3802" s="110" t="inlineStr">
        <is>
          <t>Pedido de Compra</t>
        </is>
      </c>
      <c r="Y3802" s="111" t="inlineStr">
        <is>
          <t>Impacto Potencial</t>
        </is>
      </c>
      <c r="Z3802" s="111" t="inlineStr">
        <is>
          <t>PC</t>
        </is>
      </c>
      <c r="AA3802" s="111" t="inlineStr">
        <is>
          <t>Nao</t>
        </is>
      </c>
      <c r="AB3802" s="111" t="inlineStr">
        <is>
          <t>NAO_COMPUTADO</t>
        </is>
      </c>
      <c r="AC3802" s="112" t="inlineStr">
        <is>
          <t>Estrutura Fase 1: sem impacto no VTA oficial</t>
        </is>
      </c>
    </row>
    <row r="3803" ht="25.5" customHeight="1" s="289">
      <c r="A3803" s="205" t="n"/>
      <c r="B3803" s="207" t="n"/>
      <c r="C3803" s="104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348" t="n"/>
      <c r="E3803" s="349">
        <f>IF(C3803="","",IFERROR(VLOOKUP(C3803,parametros!$A$11:$E$15,5,0),""))</f>
        <v/>
      </c>
      <c r="F3803" s="335">
        <f>IF(OR(D3803="",E3803=""),"",ROUND(D3803*E3803,2))</f>
        <v/>
      </c>
      <c r="G3803" s="106" t="n"/>
      <c r="H3803" s="350">
        <f>IF(G3803="Sim",IF(OR(F3803="",D3803="",L3803=""),"",IF(L3803="Sim",ROUND(F3803-D3803,2),0)),0)</f>
        <v/>
      </c>
      <c r="I3803" s="350">
        <f>IF(G3803="Sim",0,IF(OR(F3803="",L3803=""),"",F3803))</f>
        <v/>
      </c>
      <c r="J3803" s="350">
        <f>IF(G3803="Sim",0,IF(OR(F3803="",D3803="",L3803=""),"",IF(L3803="Sim",ROUND(F3803-D3803,2),0)))</f>
        <v/>
      </c>
      <c r="K3803" s="97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inlineStr">
        <is>
          <t>Nao</t>
        </is>
      </c>
      <c r="W3803" s="110" t="inlineStr">
        <is>
          <t>PC em analise</t>
        </is>
      </c>
      <c r="X3803" s="110" t="inlineStr">
        <is>
          <t>Pedido de Compra</t>
        </is>
      </c>
      <c r="Y3803" s="111" t="inlineStr">
        <is>
          <t>Impacto Potencial</t>
        </is>
      </c>
      <c r="Z3803" s="111" t="inlineStr">
        <is>
          <t>PC</t>
        </is>
      </c>
      <c r="AA3803" s="111" t="inlineStr">
        <is>
          <t>Nao</t>
        </is>
      </c>
      <c r="AB3803" s="111" t="inlineStr">
        <is>
          <t>NAO_COMPUTADO</t>
        </is>
      </c>
      <c r="AC3803" s="112" t="inlineStr">
        <is>
          <t>Estrutura Fase 1: sem impacto no VTA oficial</t>
        </is>
      </c>
    </row>
    <row r="3804" ht="25.5" customHeight="1" s="289">
      <c r="A3804" s="205" t="n"/>
      <c r="B3804" s="207" t="n"/>
      <c r="C3804" s="104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348" t="n"/>
      <c r="E3804" s="349">
        <f>IF(C3804="","",IFERROR(VLOOKUP(C3804,parametros!$A$11:$E$15,5,0),""))</f>
        <v/>
      </c>
      <c r="F3804" s="335">
        <f>IF(OR(D3804="",E3804=""),"",ROUND(D3804*E3804,2))</f>
        <v/>
      </c>
      <c r="G3804" s="106" t="n"/>
      <c r="H3804" s="350">
        <f>IF(G3804="Sim",IF(OR(F3804="",D3804="",L3804=""),"",IF(L3804="Sim",ROUND(F3804-D3804,2),0)),0)</f>
        <v/>
      </c>
      <c r="I3804" s="350">
        <f>IF(G3804="Sim",0,IF(OR(F3804="",L3804=""),"",F3804))</f>
        <v/>
      </c>
      <c r="J3804" s="350">
        <f>IF(G3804="Sim",0,IF(OR(F3804="",D3804="",L3804=""),"",IF(L3804="Sim",ROUND(F3804-D3804,2),0)))</f>
        <v/>
      </c>
      <c r="K3804" s="97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inlineStr">
        <is>
          <t>Nao</t>
        </is>
      </c>
      <c r="W3804" s="110" t="inlineStr">
        <is>
          <t>PC em analise</t>
        </is>
      </c>
      <c r="X3804" s="110" t="inlineStr">
        <is>
          <t>Pedido de Compra</t>
        </is>
      </c>
      <c r="Y3804" s="111" t="inlineStr">
        <is>
          <t>Impacto Potencial</t>
        </is>
      </c>
      <c r="Z3804" s="111" t="inlineStr">
        <is>
          <t>PC</t>
        </is>
      </c>
      <c r="AA3804" s="111" t="inlineStr">
        <is>
          <t>Nao</t>
        </is>
      </c>
      <c r="AB3804" s="111" t="inlineStr">
        <is>
          <t>NAO_COMPUTADO</t>
        </is>
      </c>
      <c r="AC3804" s="112" t="inlineStr">
        <is>
          <t>Estrutura Fase 1: sem impacto no VTA oficial</t>
        </is>
      </c>
    </row>
    <row r="3805" ht="25.5" customHeight="1" s="289">
      <c r="A3805" s="205" t="n"/>
      <c r="B3805" s="207" t="n"/>
      <c r="C3805" s="104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348" t="n"/>
      <c r="E3805" s="349">
        <f>IF(C3805="","",IFERROR(VLOOKUP(C3805,parametros!$A$11:$E$15,5,0),""))</f>
        <v/>
      </c>
      <c r="F3805" s="335">
        <f>IF(OR(D3805="",E3805=""),"",ROUND(D3805*E3805,2))</f>
        <v/>
      </c>
      <c r="G3805" s="106" t="n"/>
      <c r="H3805" s="350">
        <f>IF(G3805="Sim",IF(OR(F3805="",D3805="",L3805=""),"",IF(L3805="Sim",ROUND(F3805-D3805,2),0)),0)</f>
        <v/>
      </c>
      <c r="I3805" s="350">
        <f>IF(G3805="Sim",0,IF(OR(F3805="",L3805=""),"",F3805))</f>
        <v/>
      </c>
      <c r="J3805" s="350">
        <f>IF(G3805="Sim",0,IF(OR(F3805="",D3805="",L3805=""),"",IF(L3805="Sim",ROUND(F3805-D3805,2),0)))</f>
        <v/>
      </c>
      <c r="K3805" s="97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inlineStr">
        <is>
          <t>Nao</t>
        </is>
      </c>
      <c r="W3805" s="110" t="inlineStr">
        <is>
          <t>PC em analise</t>
        </is>
      </c>
      <c r="X3805" s="110" t="inlineStr">
        <is>
          <t>Pedido de Compra</t>
        </is>
      </c>
      <c r="Y3805" s="111" t="inlineStr">
        <is>
          <t>Impacto Potencial</t>
        </is>
      </c>
      <c r="Z3805" s="111" t="inlineStr">
        <is>
          <t>PC</t>
        </is>
      </c>
      <c r="AA3805" s="111" t="inlineStr">
        <is>
          <t>Nao</t>
        </is>
      </c>
      <c r="AB3805" s="111" t="inlineStr">
        <is>
          <t>NAO_COMPUTADO</t>
        </is>
      </c>
      <c r="AC3805" s="112" t="inlineStr">
        <is>
          <t>Estrutura Fase 1: sem impacto no VTA oficial</t>
        </is>
      </c>
    </row>
    <row r="3806" ht="25.5" customHeight="1" s="289">
      <c r="A3806" s="205" t="n"/>
      <c r="B3806" s="207" t="n"/>
      <c r="C3806" s="104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348" t="n"/>
      <c r="E3806" s="349">
        <f>IF(C3806="","",IFERROR(VLOOKUP(C3806,parametros!$A$11:$E$15,5,0),""))</f>
        <v/>
      </c>
      <c r="F3806" s="335">
        <f>IF(OR(D3806="",E3806=""),"",ROUND(D3806*E3806,2))</f>
        <v/>
      </c>
      <c r="G3806" s="106" t="n"/>
      <c r="H3806" s="350">
        <f>IF(G3806="Sim",IF(OR(F3806="",D3806="",L3806=""),"",IF(L3806="Sim",ROUND(F3806-D3806,2),0)),0)</f>
        <v/>
      </c>
      <c r="I3806" s="350">
        <f>IF(G3806="Sim",0,IF(OR(F3806="",L3806=""),"",F3806))</f>
        <v/>
      </c>
      <c r="J3806" s="350">
        <f>IF(G3806="Sim",0,IF(OR(F3806="",D3806="",L3806=""),"",IF(L3806="Sim",ROUND(F3806-D3806,2),0)))</f>
        <v/>
      </c>
      <c r="K3806" s="97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inlineStr">
        <is>
          <t>Nao</t>
        </is>
      </c>
      <c r="W3806" s="110" t="inlineStr">
        <is>
          <t>PC em analise</t>
        </is>
      </c>
      <c r="X3806" s="110" t="inlineStr">
        <is>
          <t>Pedido de Compra</t>
        </is>
      </c>
      <c r="Y3806" s="111" t="inlineStr">
        <is>
          <t>Impacto Potencial</t>
        </is>
      </c>
      <c r="Z3806" s="111" t="inlineStr">
        <is>
          <t>PC</t>
        </is>
      </c>
      <c r="AA3806" s="111" t="inlineStr">
        <is>
          <t>Nao</t>
        </is>
      </c>
      <c r="AB3806" s="111" t="inlineStr">
        <is>
          <t>NAO_COMPUTADO</t>
        </is>
      </c>
      <c r="AC3806" s="112" t="inlineStr">
        <is>
          <t>Estrutura Fase 1: sem impacto no VTA oficial</t>
        </is>
      </c>
    </row>
    <row r="3807" ht="25.5" customHeight="1" s="289">
      <c r="A3807" s="205" t="n"/>
      <c r="B3807" s="207" t="n"/>
      <c r="C3807" s="104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348" t="n"/>
      <c r="E3807" s="349">
        <f>IF(C3807="","",IFERROR(VLOOKUP(C3807,parametros!$A$11:$E$15,5,0),""))</f>
        <v/>
      </c>
      <c r="F3807" s="335">
        <f>IF(OR(D3807="",E3807=""),"",ROUND(D3807*E3807,2))</f>
        <v/>
      </c>
      <c r="G3807" s="106" t="n"/>
      <c r="H3807" s="350">
        <f>IF(G3807="Sim",IF(OR(F3807="",D3807="",L3807=""),"",IF(L3807="Sim",ROUND(F3807-D3807,2),0)),0)</f>
        <v/>
      </c>
      <c r="I3807" s="350">
        <f>IF(G3807="Sim",0,IF(OR(F3807="",L3807=""),"",F3807))</f>
        <v/>
      </c>
      <c r="J3807" s="350">
        <f>IF(G3807="Sim",0,IF(OR(F3807="",D3807="",L3807=""),"",IF(L3807="Sim",ROUND(F3807-D3807,2),0)))</f>
        <v/>
      </c>
      <c r="K3807" s="97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inlineStr">
        <is>
          <t>Nao</t>
        </is>
      </c>
      <c r="W3807" s="110" t="inlineStr">
        <is>
          <t>PC em analise</t>
        </is>
      </c>
      <c r="X3807" s="110" t="inlineStr">
        <is>
          <t>Pedido de Compra</t>
        </is>
      </c>
      <c r="Y3807" s="111" t="inlineStr">
        <is>
          <t>Impacto Potencial</t>
        </is>
      </c>
      <c r="Z3807" s="111" t="inlineStr">
        <is>
          <t>PC</t>
        </is>
      </c>
      <c r="AA3807" s="111" t="inlineStr">
        <is>
          <t>Nao</t>
        </is>
      </c>
      <c r="AB3807" s="111" t="inlineStr">
        <is>
          <t>NAO_COMPUTADO</t>
        </is>
      </c>
      <c r="AC3807" s="112" t="inlineStr">
        <is>
          <t>Estrutura Fase 1: sem impacto no VTA oficial</t>
        </is>
      </c>
    </row>
    <row r="3808" ht="25.5" customHeight="1" s="289">
      <c r="A3808" s="205" t="n"/>
      <c r="B3808" s="207" t="n"/>
      <c r="C3808" s="104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348" t="n"/>
      <c r="E3808" s="349">
        <f>IF(C3808="","",IFERROR(VLOOKUP(C3808,parametros!$A$11:$E$15,5,0),""))</f>
        <v/>
      </c>
      <c r="F3808" s="335">
        <f>IF(OR(D3808="",E3808=""),"",ROUND(D3808*E3808,2))</f>
        <v/>
      </c>
      <c r="G3808" s="106" t="n"/>
      <c r="H3808" s="350">
        <f>IF(G3808="Sim",IF(OR(F3808="",D3808="",L3808=""),"",IF(L3808="Sim",ROUND(F3808-D3808,2),0)),0)</f>
        <v/>
      </c>
      <c r="I3808" s="350">
        <f>IF(G3808="Sim",0,IF(OR(F3808="",L3808=""),"",F3808))</f>
        <v/>
      </c>
      <c r="J3808" s="350">
        <f>IF(G3808="Sim",0,IF(OR(F3808="",D3808="",L3808=""),"",IF(L3808="Sim",ROUND(F3808-D3808,2),0)))</f>
        <v/>
      </c>
      <c r="K3808" s="97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inlineStr">
        <is>
          <t>Nao</t>
        </is>
      </c>
      <c r="W3808" s="110" t="inlineStr">
        <is>
          <t>PC em analise</t>
        </is>
      </c>
      <c r="X3808" s="110" t="inlineStr">
        <is>
          <t>Pedido de Compra</t>
        </is>
      </c>
      <c r="Y3808" s="111" t="inlineStr">
        <is>
          <t>Impacto Potencial</t>
        </is>
      </c>
      <c r="Z3808" s="111" t="inlineStr">
        <is>
          <t>PC</t>
        </is>
      </c>
      <c r="AA3808" s="111" t="inlineStr">
        <is>
          <t>Nao</t>
        </is>
      </c>
      <c r="AB3808" s="111" t="inlineStr">
        <is>
          <t>NAO_COMPUTADO</t>
        </is>
      </c>
      <c r="AC3808" s="112" t="inlineStr">
        <is>
          <t>Estrutura Fase 1: sem impacto no VTA oficial</t>
        </is>
      </c>
    </row>
    <row r="3809" ht="25.5" customHeight="1" s="289">
      <c r="A3809" s="205" t="n"/>
      <c r="B3809" s="207" t="n"/>
      <c r="C3809" s="104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348" t="n"/>
      <c r="E3809" s="349">
        <f>IF(C3809="","",IFERROR(VLOOKUP(C3809,parametros!$A$11:$E$15,5,0),""))</f>
        <v/>
      </c>
      <c r="F3809" s="335">
        <f>IF(OR(D3809="",E3809=""),"",ROUND(D3809*E3809,2))</f>
        <v/>
      </c>
      <c r="G3809" s="106" t="n"/>
      <c r="H3809" s="350">
        <f>IF(G3809="Sim",IF(OR(F3809="",D3809="",L3809=""),"",IF(L3809="Sim",ROUND(F3809-D3809,2),0)),0)</f>
        <v/>
      </c>
      <c r="I3809" s="350">
        <f>IF(G3809="Sim",0,IF(OR(F3809="",L3809=""),"",F3809))</f>
        <v/>
      </c>
      <c r="J3809" s="350">
        <f>IF(G3809="Sim",0,IF(OR(F3809="",D3809="",L3809=""),"",IF(L3809="Sim",ROUND(F3809-D3809,2),0)))</f>
        <v/>
      </c>
      <c r="K3809" s="97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inlineStr">
        <is>
          <t>Nao</t>
        </is>
      </c>
      <c r="W3809" s="110" t="inlineStr">
        <is>
          <t>PC em analise</t>
        </is>
      </c>
      <c r="X3809" s="110" t="inlineStr">
        <is>
          <t>Pedido de Compra</t>
        </is>
      </c>
      <c r="Y3809" s="111" t="inlineStr">
        <is>
          <t>Impacto Potencial</t>
        </is>
      </c>
      <c r="Z3809" s="111" t="inlineStr">
        <is>
          <t>PC</t>
        </is>
      </c>
      <c r="AA3809" s="111" t="inlineStr">
        <is>
          <t>Nao</t>
        </is>
      </c>
      <c r="AB3809" s="111" t="inlineStr">
        <is>
          <t>NAO_COMPUTADO</t>
        </is>
      </c>
      <c r="AC3809" s="112" t="inlineStr">
        <is>
          <t>Estrutura Fase 1: sem impacto no VTA oficial</t>
        </is>
      </c>
    </row>
    <row r="3810" ht="25.5" customHeight="1" s="289">
      <c r="A3810" s="205" t="n"/>
      <c r="B3810" s="207" t="n"/>
      <c r="C3810" s="104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348" t="n"/>
      <c r="E3810" s="349">
        <f>IF(C3810="","",IFERROR(VLOOKUP(C3810,parametros!$A$11:$E$15,5,0),""))</f>
        <v/>
      </c>
      <c r="F3810" s="335">
        <f>IF(OR(D3810="",E3810=""),"",ROUND(D3810*E3810,2))</f>
        <v/>
      </c>
      <c r="G3810" s="106" t="n"/>
      <c r="H3810" s="350">
        <f>IF(G3810="Sim",IF(OR(F3810="",D3810="",L3810=""),"",IF(L3810="Sim",ROUND(F3810-D3810,2),0)),0)</f>
        <v/>
      </c>
      <c r="I3810" s="350">
        <f>IF(G3810="Sim",0,IF(OR(F3810="",L3810=""),"",F3810))</f>
        <v/>
      </c>
      <c r="J3810" s="350">
        <f>IF(G3810="Sim",0,IF(OR(F3810="",D3810="",L3810=""),"",IF(L3810="Sim",ROUND(F3810-D3810,2),0)))</f>
        <v/>
      </c>
      <c r="K3810" s="97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inlineStr">
        <is>
          <t>Nao</t>
        </is>
      </c>
      <c r="W3810" s="110" t="inlineStr">
        <is>
          <t>PC em analise</t>
        </is>
      </c>
      <c r="X3810" s="110" t="inlineStr">
        <is>
          <t>Pedido de Compra</t>
        </is>
      </c>
      <c r="Y3810" s="111" t="inlineStr">
        <is>
          <t>Impacto Potencial</t>
        </is>
      </c>
      <c r="Z3810" s="111" t="inlineStr">
        <is>
          <t>PC</t>
        </is>
      </c>
      <c r="AA3810" s="111" t="inlineStr">
        <is>
          <t>Nao</t>
        </is>
      </c>
      <c r="AB3810" s="111" t="inlineStr">
        <is>
          <t>NAO_COMPUTADO</t>
        </is>
      </c>
      <c r="AC3810" s="112" t="inlineStr">
        <is>
          <t>Estrutura Fase 1: sem impacto no VTA oficial</t>
        </is>
      </c>
    </row>
    <row r="3811" ht="25.5" customHeight="1" s="289">
      <c r="A3811" s="205" t="n"/>
      <c r="B3811" s="207" t="n"/>
      <c r="C3811" s="104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348" t="n"/>
      <c r="E3811" s="349">
        <f>IF(C3811="","",IFERROR(VLOOKUP(C3811,parametros!$A$11:$E$15,5,0),""))</f>
        <v/>
      </c>
      <c r="F3811" s="335">
        <f>IF(OR(D3811="",E3811=""),"",ROUND(D3811*E3811,2))</f>
        <v/>
      </c>
      <c r="G3811" s="106" t="n"/>
      <c r="H3811" s="350">
        <f>IF(G3811="Sim",IF(OR(F3811="",D3811="",L3811=""),"",IF(L3811="Sim",ROUND(F3811-D3811,2),0)),0)</f>
        <v/>
      </c>
      <c r="I3811" s="350">
        <f>IF(G3811="Sim",0,IF(OR(F3811="",L3811=""),"",F3811))</f>
        <v/>
      </c>
      <c r="J3811" s="350">
        <f>IF(G3811="Sim",0,IF(OR(F3811="",D3811="",L3811=""),"",IF(L3811="Sim",ROUND(F3811-D3811,2),0)))</f>
        <v/>
      </c>
      <c r="K3811" s="97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inlineStr">
        <is>
          <t>Nao</t>
        </is>
      </c>
      <c r="W3811" s="110" t="inlineStr">
        <is>
          <t>PC em analise</t>
        </is>
      </c>
      <c r="X3811" s="110" t="inlineStr">
        <is>
          <t>Pedido de Compra</t>
        </is>
      </c>
      <c r="Y3811" s="111" t="inlineStr">
        <is>
          <t>Impacto Potencial</t>
        </is>
      </c>
      <c r="Z3811" s="111" t="inlineStr">
        <is>
          <t>PC</t>
        </is>
      </c>
      <c r="AA3811" s="111" t="inlineStr">
        <is>
          <t>Nao</t>
        </is>
      </c>
      <c r="AB3811" s="111" t="inlineStr">
        <is>
          <t>NAO_COMPUTADO</t>
        </is>
      </c>
      <c r="AC3811" s="112" t="inlineStr">
        <is>
          <t>Estrutura Fase 1: sem impacto no VTA oficial</t>
        </is>
      </c>
    </row>
    <row r="3812" ht="25.5" customHeight="1" s="289">
      <c r="A3812" s="205" t="n"/>
      <c r="B3812" s="207" t="n"/>
      <c r="C3812" s="104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348" t="n"/>
      <c r="E3812" s="349">
        <f>IF(C3812="","",IFERROR(VLOOKUP(C3812,parametros!$A$11:$E$15,5,0),""))</f>
        <v/>
      </c>
      <c r="F3812" s="335">
        <f>IF(OR(D3812="",E3812=""),"",ROUND(D3812*E3812,2))</f>
        <v/>
      </c>
      <c r="G3812" s="106" t="n"/>
      <c r="H3812" s="350">
        <f>IF(G3812="Sim",IF(OR(F3812="",D3812="",L3812=""),"",IF(L3812="Sim",ROUND(F3812-D3812,2),0)),0)</f>
        <v/>
      </c>
      <c r="I3812" s="350">
        <f>IF(G3812="Sim",0,IF(OR(F3812="",L3812=""),"",F3812))</f>
        <v/>
      </c>
      <c r="J3812" s="350">
        <f>IF(G3812="Sim",0,IF(OR(F3812="",D3812="",L3812=""),"",IF(L3812="Sim",ROUND(F3812-D3812,2),0)))</f>
        <v/>
      </c>
      <c r="K3812" s="97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inlineStr">
        <is>
          <t>Nao</t>
        </is>
      </c>
      <c r="W3812" s="110" t="inlineStr">
        <is>
          <t>PC em analise</t>
        </is>
      </c>
      <c r="X3812" s="110" t="inlineStr">
        <is>
          <t>Pedido de Compra</t>
        </is>
      </c>
      <c r="Y3812" s="111" t="inlineStr">
        <is>
          <t>Impacto Potencial</t>
        </is>
      </c>
      <c r="Z3812" s="111" t="inlineStr">
        <is>
          <t>PC</t>
        </is>
      </c>
      <c r="AA3812" s="111" t="inlineStr">
        <is>
          <t>Nao</t>
        </is>
      </c>
      <c r="AB3812" s="111" t="inlineStr">
        <is>
          <t>NAO_COMPUTADO</t>
        </is>
      </c>
      <c r="AC3812" s="112" t="inlineStr">
        <is>
          <t>Estrutura Fase 1: sem impacto no VTA oficial</t>
        </is>
      </c>
    </row>
    <row r="3813" ht="25.5" customHeight="1" s="289">
      <c r="A3813" s="205" t="n"/>
      <c r="B3813" s="207" t="n"/>
      <c r="C3813" s="104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348" t="n"/>
      <c r="E3813" s="349">
        <f>IF(C3813="","",IFERROR(VLOOKUP(C3813,parametros!$A$11:$E$15,5,0),""))</f>
        <v/>
      </c>
      <c r="F3813" s="335">
        <f>IF(OR(D3813="",E3813=""),"",ROUND(D3813*E3813,2))</f>
        <v/>
      </c>
      <c r="G3813" s="106" t="n"/>
      <c r="H3813" s="350">
        <f>IF(G3813="Sim",IF(OR(F3813="",D3813="",L3813=""),"",IF(L3813="Sim",ROUND(F3813-D3813,2),0)),0)</f>
        <v/>
      </c>
      <c r="I3813" s="350">
        <f>IF(G3813="Sim",0,IF(OR(F3813="",L3813=""),"",F3813))</f>
        <v/>
      </c>
      <c r="J3813" s="350">
        <f>IF(G3813="Sim",0,IF(OR(F3813="",D3813="",L3813=""),"",IF(L3813="Sim",ROUND(F3813-D3813,2),0)))</f>
        <v/>
      </c>
      <c r="K3813" s="97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inlineStr">
        <is>
          <t>Nao</t>
        </is>
      </c>
      <c r="W3813" s="110" t="inlineStr">
        <is>
          <t>PC em analise</t>
        </is>
      </c>
      <c r="X3813" s="110" t="inlineStr">
        <is>
          <t>Pedido de Compra</t>
        </is>
      </c>
      <c r="Y3813" s="111" t="inlineStr">
        <is>
          <t>Impacto Potencial</t>
        </is>
      </c>
      <c r="Z3813" s="111" t="inlineStr">
        <is>
          <t>PC</t>
        </is>
      </c>
      <c r="AA3813" s="111" t="inlineStr">
        <is>
          <t>Nao</t>
        </is>
      </c>
      <c r="AB3813" s="111" t="inlineStr">
        <is>
          <t>NAO_COMPUTADO</t>
        </is>
      </c>
      <c r="AC3813" s="112" t="inlineStr">
        <is>
          <t>Estrutura Fase 1: sem impacto no VTA oficial</t>
        </is>
      </c>
    </row>
    <row r="3814" ht="25.5" customHeight="1" s="289">
      <c r="A3814" s="205" t="n"/>
      <c r="B3814" s="207" t="n"/>
      <c r="C3814" s="104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348" t="n"/>
      <c r="E3814" s="349">
        <f>IF(C3814="","",IFERROR(VLOOKUP(C3814,parametros!$A$11:$E$15,5,0),""))</f>
        <v/>
      </c>
      <c r="F3814" s="335">
        <f>IF(OR(D3814="",E3814=""),"",ROUND(D3814*E3814,2))</f>
        <v/>
      </c>
      <c r="G3814" s="106" t="n"/>
      <c r="H3814" s="350">
        <f>IF(G3814="Sim",IF(OR(F3814="",D3814="",L3814=""),"",IF(L3814="Sim",ROUND(F3814-D3814,2),0)),0)</f>
        <v/>
      </c>
      <c r="I3814" s="350">
        <f>IF(G3814="Sim",0,IF(OR(F3814="",L3814=""),"",F3814))</f>
        <v/>
      </c>
      <c r="J3814" s="350">
        <f>IF(G3814="Sim",0,IF(OR(F3814="",D3814="",L3814=""),"",IF(L3814="Sim",ROUND(F3814-D3814,2),0)))</f>
        <v/>
      </c>
      <c r="K3814" s="97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inlineStr">
        <is>
          <t>Nao</t>
        </is>
      </c>
      <c r="W3814" s="110" t="inlineStr">
        <is>
          <t>PC em analise</t>
        </is>
      </c>
      <c r="X3814" s="110" t="inlineStr">
        <is>
          <t>Pedido de Compra</t>
        </is>
      </c>
      <c r="Y3814" s="111" t="inlineStr">
        <is>
          <t>Impacto Potencial</t>
        </is>
      </c>
      <c r="Z3814" s="111" t="inlineStr">
        <is>
          <t>PC</t>
        </is>
      </c>
      <c r="AA3814" s="111" t="inlineStr">
        <is>
          <t>Nao</t>
        </is>
      </c>
      <c r="AB3814" s="111" t="inlineStr">
        <is>
          <t>NAO_COMPUTADO</t>
        </is>
      </c>
      <c r="AC3814" s="112" t="inlineStr">
        <is>
          <t>Estrutura Fase 1: sem impacto no VTA oficial</t>
        </is>
      </c>
    </row>
    <row r="3815" ht="25.5" customHeight="1" s="289">
      <c r="A3815" s="205" t="n"/>
      <c r="B3815" s="207" t="n"/>
      <c r="C3815" s="104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348" t="n"/>
      <c r="E3815" s="349">
        <f>IF(C3815="","",IFERROR(VLOOKUP(C3815,parametros!$A$11:$E$15,5,0),""))</f>
        <v/>
      </c>
      <c r="F3815" s="335">
        <f>IF(OR(D3815="",E3815=""),"",ROUND(D3815*E3815,2))</f>
        <v/>
      </c>
      <c r="G3815" s="106" t="n"/>
      <c r="H3815" s="350">
        <f>IF(G3815="Sim",IF(OR(F3815="",D3815="",L3815=""),"",IF(L3815="Sim",ROUND(F3815-D3815,2),0)),0)</f>
        <v/>
      </c>
      <c r="I3815" s="350">
        <f>IF(G3815="Sim",0,IF(OR(F3815="",L3815=""),"",F3815))</f>
        <v/>
      </c>
      <c r="J3815" s="350">
        <f>IF(G3815="Sim",0,IF(OR(F3815="",D3815="",L3815=""),"",IF(L3815="Sim",ROUND(F3815-D3815,2),0)))</f>
        <v/>
      </c>
      <c r="K3815" s="97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inlineStr">
        <is>
          <t>Nao</t>
        </is>
      </c>
      <c r="W3815" s="110" t="inlineStr">
        <is>
          <t>PC em analise</t>
        </is>
      </c>
      <c r="X3815" s="110" t="inlineStr">
        <is>
          <t>Pedido de Compra</t>
        </is>
      </c>
      <c r="Y3815" s="111" t="inlineStr">
        <is>
          <t>Impacto Potencial</t>
        </is>
      </c>
      <c r="Z3815" s="111" t="inlineStr">
        <is>
          <t>PC</t>
        </is>
      </c>
      <c r="AA3815" s="111" t="inlineStr">
        <is>
          <t>Nao</t>
        </is>
      </c>
      <c r="AB3815" s="111" t="inlineStr">
        <is>
          <t>NAO_COMPUTADO</t>
        </is>
      </c>
      <c r="AC3815" s="112" t="inlineStr">
        <is>
          <t>Estrutura Fase 1: sem impacto no VTA oficial</t>
        </is>
      </c>
    </row>
    <row r="3816" ht="25.5" customHeight="1" s="289">
      <c r="A3816" s="205" t="n"/>
      <c r="B3816" s="207" t="n"/>
      <c r="C3816" s="104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348" t="n"/>
      <c r="E3816" s="349">
        <f>IF(C3816="","",IFERROR(VLOOKUP(C3816,parametros!$A$11:$E$15,5,0),""))</f>
        <v/>
      </c>
      <c r="F3816" s="335">
        <f>IF(OR(D3816="",E3816=""),"",ROUND(D3816*E3816,2))</f>
        <v/>
      </c>
      <c r="G3816" s="106" t="n"/>
      <c r="H3816" s="350">
        <f>IF(G3816="Sim",IF(OR(F3816="",D3816="",L3816=""),"",IF(L3816="Sim",ROUND(F3816-D3816,2),0)),0)</f>
        <v/>
      </c>
      <c r="I3816" s="350">
        <f>IF(G3816="Sim",0,IF(OR(F3816="",L3816=""),"",F3816))</f>
        <v/>
      </c>
      <c r="J3816" s="350">
        <f>IF(G3816="Sim",0,IF(OR(F3816="",D3816="",L3816=""),"",IF(L3816="Sim",ROUND(F3816-D3816,2),0)))</f>
        <v/>
      </c>
      <c r="K3816" s="97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inlineStr">
        <is>
          <t>Nao</t>
        </is>
      </c>
      <c r="W3816" s="110" t="inlineStr">
        <is>
          <t>PC em analise</t>
        </is>
      </c>
      <c r="X3816" s="110" t="inlineStr">
        <is>
          <t>Pedido de Compra</t>
        </is>
      </c>
      <c r="Y3816" s="111" t="inlineStr">
        <is>
          <t>Impacto Potencial</t>
        </is>
      </c>
      <c r="Z3816" s="111" t="inlineStr">
        <is>
          <t>PC</t>
        </is>
      </c>
      <c r="AA3816" s="111" t="inlineStr">
        <is>
          <t>Nao</t>
        </is>
      </c>
      <c r="AB3816" s="111" t="inlineStr">
        <is>
          <t>NAO_COMPUTADO</t>
        </is>
      </c>
      <c r="AC3816" s="112" t="inlineStr">
        <is>
          <t>Estrutura Fase 1: sem impacto no VTA oficial</t>
        </is>
      </c>
    </row>
    <row r="3817" ht="25.5" customHeight="1" s="289">
      <c r="A3817" s="205" t="n"/>
      <c r="B3817" s="207" t="n"/>
      <c r="C3817" s="104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348" t="n"/>
      <c r="E3817" s="349">
        <f>IF(C3817="","",IFERROR(VLOOKUP(C3817,parametros!$A$11:$E$15,5,0),""))</f>
        <v/>
      </c>
      <c r="F3817" s="335">
        <f>IF(OR(D3817="",E3817=""),"",ROUND(D3817*E3817,2))</f>
        <v/>
      </c>
      <c r="G3817" s="106" t="n"/>
      <c r="H3817" s="350">
        <f>IF(G3817="Sim",IF(OR(F3817="",D3817="",L3817=""),"",IF(L3817="Sim",ROUND(F3817-D3817,2),0)),0)</f>
        <v/>
      </c>
      <c r="I3817" s="350">
        <f>IF(G3817="Sim",0,IF(OR(F3817="",L3817=""),"",F3817))</f>
        <v/>
      </c>
      <c r="J3817" s="350">
        <f>IF(G3817="Sim",0,IF(OR(F3817="",D3817="",L3817=""),"",IF(L3817="Sim",ROUND(F3817-D3817,2),0)))</f>
        <v/>
      </c>
      <c r="K3817" s="97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inlineStr">
        <is>
          <t>Nao</t>
        </is>
      </c>
      <c r="W3817" s="110" t="inlineStr">
        <is>
          <t>PC em analise</t>
        </is>
      </c>
      <c r="X3817" s="110" t="inlineStr">
        <is>
          <t>Pedido de Compra</t>
        </is>
      </c>
      <c r="Y3817" s="111" t="inlineStr">
        <is>
          <t>Impacto Potencial</t>
        </is>
      </c>
      <c r="Z3817" s="111" t="inlineStr">
        <is>
          <t>PC</t>
        </is>
      </c>
      <c r="AA3817" s="111" t="inlineStr">
        <is>
          <t>Nao</t>
        </is>
      </c>
      <c r="AB3817" s="111" t="inlineStr">
        <is>
          <t>NAO_COMPUTADO</t>
        </is>
      </c>
      <c r="AC3817" s="112" t="inlineStr">
        <is>
          <t>Estrutura Fase 1: sem impacto no VTA oficial</t>
        </is>
      </c>
    </row>
    <row r="3818" ht="25.5" customHeight="1" s="289">
      <c r="A3818" s="205" t="n"/>
      <c r="B3818" s="207" t="n"/>
      <c r="C3818" s="104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348" t="n"/>
      <c r="E3818" s="349">
        <f>IF(C3818="","",IFERROR(VLOOKUP(C3818,parametros!$A$11:$E$15,5,0),""))</f>
        <v/>
      </c>
      <c r="F3818" s="335">
        <f>IF(OR(D3818="",E3818=""),"",ROUND(D3818*E3818,2))</f>
        <v/>
      </c>
      <c r="G3818" s="106" t="n"/>
      <c r="H3818" s="350">
        <f>IF(G3818="Sim",IF(OR(F3818="",D3818="",L3818=""),"",IF(L3818="Sim",ROUND(F3818-D3818,2),0)),0)</f>
        <v/>
      </c>
      <c r="I3818" s="350">
        <f>IF(G3818="Sim",0,IF(OR(F3818="",L3818=""),"",F3818))</f>
        <v/>
      </c>
      <c r="J3818" s="350">
        <f>IF(G3818="Sim",0,IF(OR(F3818="",D3818="",L3818=""),"",IF(L3818="Sim",ROUND(F3818-D3818,2),0)))</f>
        <v/>
      </c>
      <c r="K3818" s="97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inlineStr">
        <is>
          <t>Nao</t>
        </is>
      </c>
      <c r="W3818" s="110" t="inlineStr">
        <is>
          <t>PC em analise</t>
        </is>
      </c>
      <c r="X3818" s="110" t="inlineStr">
        <is>
          <t>Pedido de Compra</t>
        </is>
      </c>
      <c r="Y3818" s="111" t="inlineStr">
        <is>
          <t>Impacto Potencial</t>
        </is>
      </c>
      <c r="Z3818" s="111" t="inlineStr">
        <is>
          <t>PC</t>
        </is>
      </c>
      <c r="AA3818" s="111" t="inlineStr">
        <is>
          <t>Nao</t>
        </is>
      </c>
      <c r="AB3818" s="111" t="inlineStr">
        <is>
          <t>NAO_COMPUTADO</t>
        </is>
      </c>
      <c r="AC3818" s="112" t="inlineStr">
        <is>
          <t>Estrutura Fase 1: sem impacto no VTA oficial</t>
        </is>
      </c>
    </row>
    <row r="3819" ht="25.5" customHeight="1" s="289">
      <c r="A3819" s="205" t="n"/>
      <c r="B3819" s="207" t="n"/>
      <c r="C3819" s="104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348" t="n"/>
      <c r="E3819" s="349">
        <f>IF(C3819="","",IFERROR(VLOOKUP(C3819,parametros!$A$11:$E$15,5,0),""))</f>
        <v/>
      </c>
      <c r="F3819" s="335">
        <f>IF(OR(D3819="",E3819=""),"",ROUND(D3819*E3819,2))</f>
        <v/>
      </c>
      <c r="G3819" s="106" t="n"/>
      <c r="H3819" s="350">
        <f>IF(G3819="Sim",IF(OR(F3819="",D3819="",L3819=""),"",IF(L3819="Sim",ROUND(F3819-D3819,2),0)),0)</f>
        <v/>
      </c>
      <c r="I3819" s="350">
        <f>IF(G3819="Sim",0,IF(OR(F3819="",L3819=""),"",F3819))</f>
        <v/>
      </c>
      <c r="J3819" s="350">
        <f>IF(G3819="Sim",0,IF(OR(F3819="",D3819="",L3819=""),"",IF(L3819="Sim",ROUND(F3819-D3819,2),0)))</f>
        <v/>
      </c>
      <c r="K3819" s="97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inlineStr">
        <is>
          <t>Nao</t>
        </is>
      </c>
      <c r="W3819" s="110" t="inlineStr">
        <is>
          <t>PC em analise</t>
        </is>
      </c>
      <c r="X3819" s="110" t="inlineStr">
        <is>
          <t>Pedido de Compra</t>
        </is>
      </c>
      <c r="Y3819" s="111" t="inlineStr">
        <is>
          <t>Impacto Potencial</t>
        </is>
      </c>
      <c r="Z3819" s="111" t="inlineStr">
        <is>
          <t>PC</t>
        </is>
      </c>
      <c r="AA3819" s="111" t="inlineStr">
        <is>
          <t>Nao</t>
        </is>
      </c>
      <c r="AB3819" s="111" t="inlineStr">
        <is>
          <t>NAO_COMPUTADO</t>
        </is>
      </c>
      <c r="AC3819" s="112" t="inlineStr">
        <is>
          <t>Estrutura Fase 1: sem impacto no VTA oficial</t>
        </is>
      </c>
    </row>
    <row r="3820" ht="25.5" customHeight="1" s="289">
      <c r="A3820" s="205" t="n"/>
      <c r="B3820" s="207" t="n"/>
      <c r="C3820" s="104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348" t="n"/>
      <c r="E3820" s="349">
        <f>IF(C3820="","",IFERROR(VLOOKUP(C3820,parametros!$A$11:$E$15,5,0),""))</f>
        <v/>
      </c>
      <c r="F3820" s="335">
        <f>IF(OR(D3820="",E3820=""),"",ROUND(D3820*E3820,2))</f>
        <v/>
      </c>
      <c r="G3820" s="106" t="n"/>
      <c r="H3820" s="350">
        <f>IF(G3820="Sim",IF(OR(F3820="",D3820="",L3820=""),"",IF(L3820="Sim",ROUND(F3820-D3820,2),0)),0)</f>
        <v/>
      </c>
      <c r="I3820" s="350">
        <f>IF(G3820="Sim",0,IF(OR(F3820="",L3820=""),"",F3820))</f>
        <v/>
      </c>
      <c r="J3820" s="350">
        <f>IF(G3820="Sim",0,IF(OR(F3820="",D3820="",L3820=""),"",IF(L3820="Sim",ROUND(F3820-D3820,2),0)))</f>
        <v/>
      </c>
      <c r="K3820" s="97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inlineStr">
        <is>
          <t>Nao</t>
        </is>
      </c>
      <c r="W3820" s="110" t="inlineStr">
        <is>
          <t>PC em analise</t>
        </is>
      </c>
      <c r="X3820" s="110" t="inlineStr">
        <is>
          <t>Pedido de Compra</t>
        </is>
      </c>
      <c r="Y3820" s="111" t="inlineStr">
        <is>
          <t>Impacto Potencial</t>
        </is>
      </c>
      <c r="Z3820" s="111" t="inlineStr">
        <is>
          <t>PC</t>
        </is>
      </c>
      <c r="AA3820" s="111" t="inlineStr">
        <is>
          <t>Nao</t>
        </is>
      </c>
      <c r="AB3820" s="111" t="inlineStr">
        <is>
          <t>NAO_COMPUTADO</t>
        </is>
      </c>
      <c r="AC3820" s="112" t="inlineStr">
        <is>
          <t>Estrutura Fase 1: sem impacto no VTA oficial</t>
        </is>
      </c>
    </row>
    <row r="3821" ht="25.5" customHeight="1" s="289">
      <c r="A3821" s="205" t="n"/>
      <c r="B3821" s="207" t="n"/>
      <c r="C3821" s="104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348" t="n"/>
      <c r="E3821" s="349">
        <f>IF(C3821="","",IFERROR(VLOOKUP(C3821,parametros!$A$11:$E$15,5,0),""))</f>
        <v/>
      </c>
      <c r="F3821" s="335">
        <f>IF(OR(D3821="",E3821=""),"",ROUND(D3821*E3821,2))</f>
        <v/>
      </c>
      <c r="G3821" s="106" t="n"/>
      <c r="H3821" s="350">
        <f>IF(G3821="Sim",IF(OR(F3821="",D3821="",L3821=""),"",IF(L3821="Sim",ROUND(F3821-D3821,2),0)),0)</f>
        <v/>
      </c>
      <c r="I3821" s="350">
        <f>IF(G3821="Sim",0,IF(OR(F3821="",L3821=""),"",F3821))</f>
        <v/>
      </c>
      <c r="J3821" s="350">
        <f>IF(G3821="Sim",0,IF(OR(F3821="",D3821="",L3821=""),"",IF(L3821="Sim",ROUND(F3821-D3821,2),0)))</f>
        <v/>
      </c>
      <c r="K3821" s="97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inlineStr">
        <is>
          <t>Nao</t>
        </is>
      </c>
      <c r="W3821" s="110" t="inlineStr">
        <is>
          <t>PC em analise</t>
        </is>
      </c>
      <c r="X3821" s="110" t="inlineStr">
        <is>
          <t>Pedido de Compra</t>
        </is>
      </c>
      <c r="Y3821" s="111" t="inlineStr">
        <is>
          <t>Impacto Potencial</t>
        </is>
      </c>
      <c r="Z3821" s="111" t="inlineStr">
        <is>
          <t>PC</t>
        </is>
      </c>
      <c r="AA3821" s="111" t="inlineStr">
        <is>
          <t>Nao</t>
        </is>
      </c>
      <c r="AB3821" s="111" t="inlineStr">
        <is>
          <t>NAO_COMPUTADO</t>
        </is>
      </c>
      <c r="AC3821" s="112" t="inlineStr">
        <is>
          <t>Estrutura Fase 1: sem impacto no VTA oficial</t>
        </is>
      </c>
    </row>
    <row r="3822" ht="25.5" customHeight="1" s="289">
      <c r="A3822" s="205" t="n"/>
      <c r="B3822" s="207" t="n"/>
      <c r="C3822" s="104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348" t="n"/>
      <c r="E3822" s="349">
        <f>IF(C3822="","",IFERROR(VLOOKUP(C3822,parametros!$A$11:$E$15,5,0),""))</f>
        <v/>
      </c>
      <c r="F3822" s="335">
        <f>IF(OR(D3822="",E3822=""),"",ROUND(D3822*E3822,2))</f>
        <v/>
      </c>
      <c r="G3822" s="106" t="n"/>
      <c r="H3822" s="350">
        <f>IF(G3822="Sim",IF(OR(F3822="",D3822="",L3822=""),"",IF(L3822="Sim",ROUND(F3822-D3822,2),0)),0)</f>
        <v/>
      </c>
      <c r="I3822" s="350">
        <f>IF(G3822="Sim",0,IF(OR(F3822="",L3822=""),"",F3822))</f>
        <v/>
      </c>
      <c r="J3822" s="350">
        <f>IF(G3822="Sim",0,IF(OR(F3822="",D3822="",L3822=""),"",IF(L3822="Sim",ROUND(F3822-D3822,2),0)))</f>
        <v/>
      </c>
      <c r="K3822" s="97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inlineStr">
        <is>
          <t>Nao</t>
        </is>
      </c>
      <c r="W3822" s="110" t="inlineStr">
        <is>
          <t>PC em analise</t>
        </is>
      </c>
      <c r="X3822" s="110" t="inlineStr">
        <is>
          <t>Pedido de Compra</t>
        </is>
      </c>
      <c r="Y3822" s="111" t="inlineStr">
        <is>
          <t>Impacto Potencial</t>
        </is>
      </c>
      <c r="Z3822" s="111" t="inlineStr">
        <is>
          <t>PC</t>
        </is>
      </c>
      <c r="AA3822" s="111" t="inlineStr">
        <is>
          <t>Nao</t>
        </is>
      </c>
      <c r="AB3822" s="111" t="inlineStr">
        <is>
          <t>NAO_COMPUTADO</t>
        </is>
      </c>
      <c r="AC3822" s="112" t="inlineStr">
        <is>
          <t>Estrutura Fase 1: sem impacto no VTA oficial</t>
        </is>
      </c>
    </row>
    <row r="3823" ht="25.5" customHeight="1" s="289">
      <c r="A3823" s="205" t="n"/>
      <c r="B3823" s="207" t="n"/>
      <c r="C3823" s="104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348" t="n"/>
      <c r="E3823" s="349">
        <f>IF(C3823="","",IFERROR(VLOOKUP(C3823,parametros!$A$11:$E$15,5,0),""))</f>
        <v/>
      </c>
      <c r="F3823" s="335">
        <f>IF(OR(D3823="",E3823=""),"",ROUND(D3823*E3823,2))</f>
        <v/>
      </c>
      <c r="G3823" s="106" t="n"/>
      <c r="H3823" s="350">
        <f>IF(G3823="Sim",IF(OR(F3823="",D3823="",L3823=""),"",IF(L3823="Sim",ROUND(F3823-D3823,2),0)),0)</f>
        <v/>
      </c>
      <c r="I3823" s="350">
        <f>IF(G3823="Sim",0,IF(OR(F3823="",L3823=""),"",F3823))</f>
        <v/>
      </c>
      <c r="J3823" s="350">
        <f>IF(G3823="Sim",0,IF(OR(F3823="",D3823="",L3823=""),"",IF(L3823="Sim",ROUND(F3823-D3823,2),0)))</f>
        <v/>
      </c>
      <c r="K3823" s="97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inlineStr">
        <is>
          <t>Nao</t>
        </is>
      </c>
      <c r="W3823" s="110" t="inlineStr">
        <is>
          <t>PC em analise</t>
        </is>
      </c>
      <c r="X3823" s="110" t="inlineStr">
        <is>
          <t>Pedido de Compra</t>
        </is>
      </c>
      <c r="Y3823" s="111" t="inlineStr">
        <is>
          <t>Impacto Potencial</t>
        </is>
      </c>
      <c r="Z3823" s="111" t="inlineStr">
        <is>
          <t>PC</t>
        </is>
      </c>
      <c r="AA3823" s="111" t="inlineStr">
        <is>
          <t>Nao</t>
        </is>
      </c>
      <c r="AB3823" s="111" t="inlineStr">
        <is>
          <t>NAO_COMPUTADO</t>
        </is>
      </c>
      <c r="AC3823" s="112" t="inlineStr">
        <is>
          <t>Estrutura Fase 1: sem impacto no VTA oficial</t>
        </is>
      </c>
    </row>
    <row r="3824" ht="25.5" customHeight="1" s="289">
      <c r="A3824" s="205" t="n"/>
      <c r="B3824" s="207" t="n"/>
      <c r="C3824" s="104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348" t="n"/>
      <c r="E3824" s="349">
        <f>IF(C3824="","",IFERROR(VLOOKUP(C3824,parametros!$A$11:$E$15,5,0),""))</f>
        <v/>
      </c>
      <c r="F3824" s="335">
        <f>IF(OR(D3824="",E3824=""),"",ROUND(D3824*E3824,2))</f>
        <v/>
      </c>
      <c r="G3824" s="106" t="n"/>
      <c r="H3824" s="350">
        <f>IF(G3824="Sim",IF(OR(F3824="",D3824="",L3824=""),"",IF(L3824="Sim",ROUND(F3824-D3824,2),0)),0)</f>
        <v/>
      </c>
      <c r="I3824" s="350">
        <f>IF(G3824="Sim",0,IF(OR(F3824="",L3824=""),"",F3824))</f>
        <v/>
      </c>
      <c r="J3824" s="350">
        <f>IF(G3824="Sim",0,IF(OR(F3824="",D3824="",L3824=""),"",IF(L3824="Sim",ROUND(F3824-D3824,2),0)))</f>
        <v/>
      </c>
      <c r="K3824" s="97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inlineStr">
        <is>
          <t>Nao</t>
        </is>
      </c>
      <c r="W3824" s="110" t="inlineStr">
        <is>
          <t>PC em analise</t>
        </is>
      </c>
      <c r="X3824" s="110" t="inlineStr">
        <is>
          <t>Pedido de Compra</t>
        </is>
      </c>
      <c r="Y3824" s="111" t="inlineStr">
        <is>
          <t>Impacto Potencial</t>
        </is>
      </c>
      <c r="Z3824" s="111" t="inlineStr">
        <is>
          <t>PC</t>
        </is>
      </c>
      <c r="AA3824" s="111" t="inlineStr">
        <is>
          <t>Nao</t>
        </is>
      </c>
      <c r="AB3824" s="111" t="inlineStr">
        <is>
          <t>NAO_COMPUTADO</t>
        </is>
      </c>
      <c r="AC3824" s="112" t="inlineStr">
        <is>
          <t>Estrutura Fase 1: sem impacto no VTA oficial</t>
        </is>
      </c>
    </row>
    <row r="3825" ht="25.5" customHeight="1" s="289">
      <c r="A3825" s="205" t="n"/>
      <c r="B3825" s="207" t="n"/>
      <c r="C3825" s="104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348" t="n"/>
      <c r="E3825" s="349">
        <f>IF(C3825="","",IFERROR(VLOOKUP(C3825,parametros!$A$11:$E$15,5,0),""))</f>
        <v/>
      </c>
      <c r="F3825" s="335">
        <f>IF(OR(D3825="",E3825=""),"",ROUND(D3825*E3825,2))</f>
        <v/>
      </c>
      <c r="G3825" s="106" t="n"/>
      <c r="H3825" s="350">
        <f>IF(G3825="Sim",IF(OR(F3825="",D3825="",L3825=""),"",IF(L3825="Sim",ROUND(F3825-D3825,2),0)),0)</f>
        <v/>
      </c>
      <c r="I3825" s="350">
        <f>IF(G3825="Sim",0,IF(OR(F3825="",L3825=""),"",F3825))</f>
        <v/>
      </c>
      <c r="J3825" s="350">
        <f>IF(G3825="Sim",0,IF(OR(F3825="",D3825="",L3825=""),"",IF(L3825="Sim",ROUND(F3825-D3825,2),0)))</f>
        <v/>
      </c>
      <c r="K3825" s="97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inlineStr">
        <is>
          <t>Nao</t>
        </is>
      </c>
      <c r="W3825" s="110" t="inlineStr">
        <is>
          <t>PC em analise</t>
        </is>
      </c>
      <c r="X3825" s="110" t="inlineStr">
        <is>
          <t>Pedido de Compra</t>
        </is>
      </c>
      <c r="Y3825" s="111" t="inlineStr">
        <is>
          <t>Impacto Potencial</t>
        </is>
      </c>
      <c r="Z3825" s="111" t="inlineStr">
        <is>
          <t>PC</t>
        </is>
      </c>
      <c r="AA3825" s="111" t="inlineStr">
        <is>
          <t>Nao</t>
        </is>
      </c>
      <c r="AB3825" s="111" t="inlineStr">
        <is>
          <t>NAO_COMPUTADO</t>
        </is>
      </c>
      <c r="AC3825" s="112" t="inlineStr">
        <is>
          <t>Estrutura Fase 1: sem impacto no VTA oficial</t>
        </is>
      </c>
    </row>
    <row r="3826" ht="25.5" customHeight="1" s="289">
      <c r="A3826" s="205" t="n"/>
      <c r="B3826" s="207" t="n"/>
      <c r="C3826" s="104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348" t="n"/>
      <c r="E3826" s="349">
        <f>IF(C3826="","",IFERROR(VLOOKUP(C3826,parametros!$A$11:$E$15,5,0),""))</f>
        <v/>
      </c>
      <c r="F3826" s="335">
        <f>IF(OR(D3826="",E3826=""),"",ROUND(D3826*E3826,2))</f>
        <v/>
      </c>
      <c r="G3826" s="106" t="n"/>
      <c r="H3826" s="350">
        <f>IF(G3826="Sim",IF(OR(F3826="",D3826="",L3826=""),"",IF(L3826="Sim",ROUND(F3826-D3826,2),0)),0)</f>
        <v/>
      </c>
      <c r="I3826" s="350">
        <f>IF(G3826="Sim",0,IF(OR(F3826="",L3826=""),"",F3826))</f>
        <v/>
      </c>
      <c r="J3826" s="350">
        <f>IF(G3826="Sim",0,IF(OR(F3826="",D3826="",L3826=""),"",IF(L3826="Sim",ROUND(F3826-D3826,2),0)))</f>
        <v/>
      </c>
      <c r="K3826" s="97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inlineStr">
        <is>
          <t>Nao</t>
        </is>
      </c>
      <c r="W3826" s="110" t="inlineStr">
        <is>
          <t>PC em analise</t>
        </is>
      </c>
      <c r="X3826" s="110" t="inlineStr">
        <is>
          <t>Pedido de Compra</t>
        </is>
      </c>
      <c r="Y3826" s="111" t="inlineStr">
        <is>
          <t>Impacto Potencial</t>
        </is>
      </c>
      <c r="Z3826" s="111" t="inlineStr">
        <is>
          <t>PC</t>
        </is>
      </c>
      <c r="AA3826" s="111" t="inlineStr">
        <is>
          <t>Nao</t>
        </is>
      </c>
      <c r="AB3826" s="111" t="inlineStr">
        <is>
          <t>NAO_COMPUTADO</t>
        </is>
      </c>
      <c r="AC3826" s="112" t="inlineStr">
        <is>
          <t>Estrutura Fase 1: sem impacto no VTA oficial</t>
        </is>
      </c>
    </row>
    <row r="3827" ht="25.5" customHeight="1" s="289">
      <c r="A3827" s="205" t="n"/>
      <c r="B3827" s="207" t="n"/>
      <c r="C3827" s="104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348" t="n"/>
      <c r="E3827" s="349">
        <f>IF(C3827="","",IFERROR(VLOOKUP(C3827,parametros!$A$11:$E$15,5,0),""))</f>
        <v/>
      </c>
      <c r="F3827" s="335">
        <f>IF(OR(D3827="",E3827=""),"",ROUND(D3827*E3827,2))</f>
        <v/>
      </c>
      <c r="G3827" s="106" t="n"/>
      <c r="H3827" s="350">
        <f>IF(G3827="Sim",IF(OR(F3827="",D3827="",L3827=""),"",IF(L3827="Sim",ROUND(F3827-D3827,2),0)),0)</f>
        <v/>
      </c>
      <c r="I3827" s="350">
        <f>IF(G3827="Sim",0,IF(OR(F3827="",L3827=""),"",F3827))</f>
        <v/>
      </c>
      <c r="J3827" s="350">
        <f>IF(G3827="Sim",0,IF(OR(F3827="",D3827="",L3827=""),"",IF(L3827="Sim",ROUND(F3827-D3827,2),0)))</f>
        <v/>
      </c>
      <c r="K3827" s="97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inlineStr">
        <is>
          <t>Nao</t>
        </is>
      </c>
      <c r="W3827" s="110" t="inlineStr">
        <is>
          <t>PC em analise</t>
        </is>
      </c>
      <c r="X3827" s="110" t="inlineStr">
        <is>
          <t>Pedido de Compra</t>
        </is>
      </c>
      <c r="Y3827" s="111" t="inlineStr">
        <is>
          <t>Impacto Potencial</t>
        </is>
      </c>
      <c r="Z3827" s="111" t="inlineStr">
        <is>
          <t>PC</t>
        </is>
      </c>
      <c r="AA3827" s="111" t="inlineStr">
        <is>
          <t>Nao</t>
        </is>
      </c>
      <c r="AB3827" s="111" t="inlineStr">
        <is>
          <t>NAO_COMPUTADO</t>
        </is>
      </c>
      <c r="AC3827" s="112" t="inlineStr">
        <is>
          <t>Estrutura Fase 1: sem impacto no VTA oficial</t>
        </is>
      </c>
    </row>
    <row r="3828" ht="25.5" customHeight="1" s="289">
      <c r="A3828" s="205" t="n"/>
      <c r="B3828" s="207" t="n"/>
      <c r="C3828" s="104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348" t="n"/>
      <c r="E3828" s="349">
        <f>IF(C3828="","",IFERROR(VLOOKUP(C3828,parametros!$A$11:$E$15,5,0),""))</f>
        <v/>
      </c>
      <c r="F3828" s="335">
        <f>IF(OR(D3828="",E3828=""),"",ROUND(D3828*E3828,2))</f>
        <v/>
      </c>
      <c r="G3828" s="106" t="n"/>
      <c r="H3828" s="350">
        <f>IF(G3828="Sim",IF(OR(F3828="",D3828="",L3828=""),"",IF(L3828="Sim",ROUND(F3828-D3828,2),0)),0)</f>
        <v/>
      </c>
      <c r="I3828" s="350">
        <f>IF(G3828="Sim",0,IF(OR(F3828="",L3828=""),"",F3828))</f>
        <v/>
      </c>
      <c r="J3828" s="350">
        <f>IF(G3828="Sim",0,IF(OR(F3828="",D3828="",L3828=""),"",IF(L3828="Sim",ROUND(F3828-D3828,2),0)))</f>
        <v/>
      </c>
      <c r="K3828" s="97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inlineStr">
        <is>
          <t>Nao</t>
        </is>
      </c>
      <c r="W3828" s="110" t="inlineStr">
        <is>
          <t>PC em analise</t>
        </is>
      </c>
      <c r="X3828" s="110" t="inlineStr">
        <is>
          <t>Pedido de Compra</t>
        </is>
      </c>
      <c r="Y3828" s="111" t="inlineStr">
        <is>
          <t>Impacto Potencial</t>
        </is>
      </c>
      <c r="Z3828" s="111" t="inlineStr">
        <is>
          <t>PC</t>
        </is>
      </c>
      <c r="AA3828" s="111" t="inlineStr">
        <is>
          <t>Nao</t>
        </is>
      </c>
      <c r="AB3828" s="111" t="inlineStr">
        <is>
          <t>NAO_COMPUTADO</t>
        </is>
      </c>
      <c r="AC3828" s="112" t="inlineStr">
        <is>
          <t>Estrutura Fase 1: sem impacto no VTA oficial</t>
        </is>
      </c>
    </row>
    <row r="3829" ht="25.5" customHeight="1" s="289">
      <c r="A3829" s="205" t="n"/>
      <c r="B3829" s="207" t="n"/>
      <c r="C3829" s="104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348" t="n"/>
      <c r="E3829" s="349">
        <f>IF(C3829="","",IFERROR(VLOOKUP(C3829,parametros!$A$11:$E$15,5,0),""))</f>
        <v/>
      </c>
      <c r="F3829" s="335">
        <f>IF(OR(D3829="",E3829=""),"",ROUND(D3829*E3829,2))</f>
        <v/>
      </c>
      <c r="G3829" s="106" t="n"/>
      <c r="H3829" s="350">
        <f>IF(G3829="Sim",IF(OR(F3829="",D3829="",L3829=""),"",IF(L3829="Sim",ROUND(F3829-D3829,2),0)),0)</f>
        <v/>
      </c>
      <c r="I3829" s="350">
        <f>IF(G3829="Sim",0,IF(OR(F3829="",L3829=""),"",F3829))</f>
        <v/>
      </c>
      <c r="J3829" s="350">
        <f>IF(G3829="Sim",0,IF(OR(F3829="",D3829="",L3829=""),"",IF(L3829="Sim",ROUND(F3829-D3829,2),0)))</f>
        <v/>
      </c>
      <c r="K3829" s="97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inlineStr">
        <is>
          <t>Nao</t>
        </is>
      </c>
      <c r="W3829" s="110" t="inlineStr">
        <is>
          <t>PC em analise</t>
        </is>
      </c>
      <c r="X3829" s="110" t="inlineStr">
        <is>
          <t>Pedido de Compra</t>
        </is>
      </c>
      <c r="Y3829" s="111" t="inlineStr">
        <is>
          <t>Impacto Potencial</t>
        </is>
      </c>
      <c r="Z3829" s="111" t="inlineStr">
        <is>
          <t>PC</t>
        </is>
      </c>
      <c r="AA3829" s="111" t="inlineStr">
        <is>
          <t>Nao</t>
        </is>
      </c>
      <c r="AB3829" s="111" t="inlineStr">
        <is>
          <t>NAO_COMPUTADO</t>
        </is>
      </c>
      <c r="AC3829" s="112" t="inlineStr">
        <is>
          <t>Estrutura Fase 1: sem impacto no VTA oficial</t>
        </is>
      </c>
    </row>
    <row r="3830" ht="25.5" customHeight="1" s="289">
      <c r="A3830" s="205" t="n"/>
      <c r="B3830" s="207" t="n"/>
      <c r="C3830" s="104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348" t="n"/>
      <c r="E3830" s="349">
        <f>IF(C3830="","",IFERROR(VLOOKUP(C3830,parametros!$A$11:$E$15,5,0),""))</f>
        <v/>
      </c>
      <c r="F3830" s="335">
        <f>IF(OR(D3830="",E3830=""),"",ROUND(D3830*E3830,2))</f>
        <v/>
      </c>
      <c r="G3830" s="106" t="n"/>
      <c r="H3830" s="350">
        <f>IF(G3830="Sim",IF(OR(F3830="",D3830="",L3830=""),"",IF(L3830="Sim",ROUND(F3830-D3830,2),0)),0)</f>
        <v/>
      </c>
      <c r="I3830" s="350">
        <f>IF(G3830="Sim",0,IF(OR(F3830="",L3830=""),"",F3830))</f>
        <v/>
      </c>
      <c r="J3830" s="350">
        <f>IF(G3830="Sim",0,IF(OR(F3830="",D3830="",L3830=""),"",IF(L3830="Sim",ROUND(F3830-D3830,2),0)))</f>
        <v/>
      </c>
      <c r="K3830" s="97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inlineStr">
        <is>
          <t>Nao</t>
        </is>
      </c>
      <c r="W3830" s="110" t="inlineStr">
        <is>
          <t>PC em analise</t>
        </is>
      </c>
      <c r="X3830" s="110" t="inlineStr">
        <is>
          <t>Pedido de Compra</t>
        </is>
      </c>
      <c r="Y3830" s="111" t="inlineStr">
        <is>
          <t>Impacto Potencial</t>
        </is>
      </c>
      <c r="Z3830" s="111" t="inlineStr">
        <is>
          <t>PC</t>
        </is>
      </c>
      <c r="AA3830" s="111" t="inlineStr">
        <is>
          <t>Nao</t>
        </is>
      </c>
      <c r="AB3830" s="111" t="inlineStr">
        <is>
          <t>NAO_COMPUTADO</t>
        </is>
      </c>
      <c r="AC3830" s="112" t="inlineStr">
        <is>
          <t>Estrutura Fase 1: sem impacto no VTA oficial</t>
        </is>
      </c>
    </row>
    <row r="3831" ht="25.5" customHeight="1" s="289">
      <c r="A3831" s="205" t="n"/>
      <c r="B3831" s="207" t="n"/>
      <c r="C3831" s="104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348" t="n"/>
      <c r="E3831" s="349">
        <f>IF(C3831="","",IFERROR(VLOOKUP(C3831,parametros!$A$11:$E$15,5,0),""))</f>
        <v/>
      </c>
      <c r="F3831" s="335">
        <f>IF(OR(D3831="",E3831=""),"",ROUND(D3831*E3831,2))</f>
        <v/>
      </c>
      <c r="G3831" s="106" t="n"/>
      <c r="H3831" s="350">
        <f>IF(G3831="Sim",IF(OR(F3831="",D3831="",L3831=""),"",IF(L3831="Sim",ROUND(F3831-D3831,2),0)),0)</f>
        <v/>
      </c>
      <c r="I3831" s="350">
        <f>IF(G3831="Sim",0,IF(OR(F3831="",L3831=""),"",F3831))</f>
        <v/>
      </c>
      <c r="J3831" s="350">
        <f>IF(G3831="Sim",0,IF(OR(F3831="",D3831="",L3831=""),"",IF(L3831="Sim",ROUND(F3831-D3831,2),0)))</f>
        <v/>
      </c>
      <c r="K3831" s="97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inlineStr">
        <is>
          <t>Nao</t>
        </is>
      </c>
      <c r="W3831" s="110" t="inlineStr">
        <is>
          <t>PC em analise</t>
        </is>
      </c>
      <c r="X3831" s="110" t="inlineStr">
        <is>
          <t>Pedido de Compra</t>
        </is>
      </c>
      <c r="Y3831" s="111" t="inlineStr">
        <is>
          <t>Impacto Potencial</t>
        </is>
      </c>
      <c r="Z3831" s="111" t="inlineStr">
        <is>
          <t>PC</t>
        </is>
      </c>
      <c r="AA3831" s="111" t="inlineStr">
        <is>
          <t>Nao</t>
        </is>
      </c>
      <c r="AB3831" s="111" t="inlineStr">
        <is>
          <t>NAO_COMPUTADO</t>
        </is>
      </c>
      <c r="AC3831" s="112" t="inlineStr">
        <is>
          <t>Estrutura Fase 1: sem impacto no VTA oficial</t>
        </is>
      </c>
    </row>
    <row r="3832" ht="25.5" customHeight="1" s="289">
      <c r="A3832" s="205" t="n"/>
      <c r="B3832" s="207" t="n"/>
      <c r="C3832" s="104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348" t="n"/>
      <c r="E3832" s="349">
        <f>IF(C3832="","",IFERROR(VLOOKUP(C3832,parametros!$A$11:$E$15,5,0),""))</f>
        <v/>
      </c>
      <c r="F3832" s="335">
        <f>IF(OR(D3832="",E3832=""),"",ROUND(D3832*E3832,2))</f>
        <v/>
      </c>
      <c r="G3832" s="106" t="n"/>
      <c r="H3832" s="350">
        <f>IF(G3832="Sim",IF(OR(F3832="",D3832="",L3832=""),"",IF(L3832="Sim",ROUND(F3832-D3832,2),0)),0)</f>
        <v/>
      </c>
      <c r="I3832" s="350">
        <f>IF(G3832="Sim",0,IF(OR(F3832="",L3832=""),"",F3832))</f>
        <v/>
      </c>
      <c r="J3832" s="350">
        <f>IF(G3832="Sim",0,IF(OR(F3832="",D3832="",L3832=""),"",IF(L3832="Sim",ROUND(F3832-D3832,2),0)))</f>
        <v/>
      </c>
      <c r="K3832" s="97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inlineStr">
        <is>
          <t>Nao</t>
        </is>
      </c>
      <c r="W3832" s="110" t="inlineStr">
        <is>
          <t>PC em analise</t>
        </is>
      </c>
      <c r="X3832" s="110" t="inlineStr">
        <is>
          <t>Pedido de Compra</t>
        </is>
      </c>
      <c r="Y3832" s="111" t="inlineStr">
        <is>
          <t>Impacto Potencial</t>
        </is>
      </c>
      <c r="Z3832" s="111" t="inlineStr">
        <is>
          <t>PC</t>
        </is>
      </c>
      <c r="AA3832" s="111" t="inlineStr">
        <is>
          <t>Nao</t>
        </is>
      </c>
      <c r="AB3832" s="111" t="inlineStr">
        <is>
          <t>NAO_COMPUTADO</t>
        </is>
      </c>
      <c r="AC3832" s="112" t="inlineStr">
        <is>
          <t>Estrutura Fase 1: sem impacto no VTA oficial</t>
        </is>
      </c>
    </row>
    <row r="3833" ht="25.5" customHeight="1" s="289">
      <c r="A3833" s="205" t="n"/>
      <c r="B3833" s="207" t="n"/>
      <c r="C3833" s="104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348" t="n"/>
      <c r="E3833" s="349">
        <f>IF(C3833="","",IFERROR(VLOOKUP(C3833,parametros!$A$11:$E$15,5,0),""))</f>
        <v/>
      </c>
      <c r="F3833" s="335">
        <f>IF(OR(D3833="",E3833=""),"",ROUND(D3833*E3833,2))</f>
        <v/>
      </c>
      <c r="G3833" s="106" t="n"/>
      <c r="H3833" s="350">
        <f>IF(G3833="Sim",IF(OR(F3833="",D3833="",L3833=""),"",IF(L3833="Sim",ROUND(F3833-D3833,2),0)),0)</f>
        <v/>
      </c>
      <c r="I3833" s="350">
        <f>IF(G3833="Sim",0,IF(OR(F3833="",L3833=""),"",F3833))</f>
        <v/>
      </c>
      <c r="J3833" s="350">
        <f>IF(G3833="Sim",0,IF(OR(F3833="",D3833="",L3833=""),"",IF(L3833="Sim",ROUND(F3833-D3833,2),0)))</f>
        <v/>
      </c>
      <c r="K3833" s="97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inlineStr">
        <is>
          <t>Nao</t>
        </is>
      </c>
      <c r="W3833" s="110" t="inlineStr">
        <is>
          <t>PC em analise</t>
        </is>
      </c>
      <c r="X3833" s="110" t="inlineStr">
        <is>
          <t>Pedido de Compra</t>
        </is>
      </c>
      <c r="Y3833" s="111" t="inlineStr">
        <is>
          <t>Impacto Potencial</t>
        </is>
      </c>
      <c r="Z3833" s="111" t="inlineStr">
        <is>
          <t>PC</t>
        </is>
      </c>
      <c r="AA3833" s="111" t="inlineStr">
        <is>
          <t>Nao</t>
        </is>
      </c>
      <c r="AB3833" s="111" t="inlineStr">
        <is>
          <t>NAO_COMPUTADO</t>
        </is>
      </c>
      <c r="AC3833" s="112" t="inlineStr">
        <is>
          <t>Estrutura Fase 1: sem impacto no VTA oficial</t>
        </is>
      </c>
    </row>
    <row r="3834" ht="25.5" customHeight="1" s="289">
      <c r="A3834" s="205" t="n"/>
      <c r="B3834" s="207" t="n"/>
      <c r="C3834" s="104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348" t="n"/>
      <c r="E3834" s="349">
        <f>IF(C3834="","",IFERROR(VLOOKUP(C3834,parametros!$A$11:$E$15,5,0),""))</f>
        <v/>
      </c>
      <c r="F3834" s="335">
        <f>IF(OR(D3834="",E3834=""),"",ROUND(D3834*E3834,2))</f>
        <v/>
      </c>
      <c r="G3834" s="106" t="n"/>
      <c r="H3834" s="350">
        <f>IF(G3834="Sim",IF(OR(F3834="",D3834="",L3834=""),"",IF(L3834="Sim",ROUND(F3834-D3834,2),0)),0)</f>
        <v/>
      </c>
      <c r="I3834" s="350">
        <f>IF(G3834="Sim",0,IF(OR(F3834="",L3834=""),"",F3834))</f>
        <v/>
      </c>
      <c r="J3834" s="350">
        <f>IF(G3834="Sim",0,IF(OR(F3834="",D3834="",L3834=""),"",IF(L3834="Sim",ROUND(F3834-D3834,2),0)))</f>
        <v/>
      </c>
      <c r="K3834" s="97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inlineStr">
        <is>
          <t>Nao</t>
        </is>
      </c>
      <c r="W3834" s="110" t="inlineStr">
        <is>
          <t>PC em analise</t>
        </is>
      </c>
      <c r="X3834" s="110" t="inlineStr">
        <is>
          <t>Pedido de Compra</t>
        </is>
      </c>
      <c r="Y3834" s="111" t="inlineStr">
        <is>
          <t>Impacto Potencial</t>
        </is>
      </c>
      <c r="Z3834" s="111" t="inlineStr">
        <is>
          <t>PC</t>
        </is>
      </c>
      <c r="AA3834" s="111" t="inlineStr">
        <is>
          <t>Nao</t>
        </is>
      </c>
      <c r="AB3834" s="111" t="inlineStr">
        <is>
          <t>NAO_COMPUTADO</t>
        </is>
      </c>
      <c r="AC3834" s="112" t="inlineStr">
        <is>
          <t>Estrutura Fase 1: sem impacto no VTA oficial</t>
        </is>
      </c>
    </row>
    <row r="3835" ht="25.5" customHeight="1" s="289">
      <c r="A3835" s="205" t="n"/>
      <c r="B3835" s="207" t="n"/>
      <c r="C3835" s="104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348" t="n"/>
      <c r="E3835" s="349">
        <f>IF(C3835="","",IFERROR(VLOOKUP(C3835,parametros!$A$11:$E$15,5,0),""))</f>
        <v/>
      </c>
      <c r="F3835" s="335">
        <f>IF(OR(D3835="",E3835=""),"",ROUND(D3835*E3835,2))</f>
        <v/>
      </c>
      <c r="G3835" s="106" t="n"/>
      <c r="H3835" s="350">
        <f>IF(G3835="Sim",IF(OR(F3835="",D3835="",L3835=""),"",IF(L3835="Sim",ROUND(F3835-D3835,2),0)),0)</f>
        <v/>
      </c>
      <c r="I3835" s="350">
        <f>IF(G3835="Sim",0,IF(OR(F3835="",L3835=""),"",F3835))</f>
        <v/>
      </c>
      <c r="J3835" s="350">
        <f>IF(G3835="Sim",0,IF(OR(F3835="",D3835="",L3835=""),"",IF(L3835="Sim",ROUND(F3835-D3835,2),0)))</f>
        <v/>
      </c>
      <c r="K3835" s="97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inlineStr">
        <is>
          <t>Nao</t>
        </is>
      </c>
      <c r="W3835" s="110" t="inlineStr">
        <is>
          <t>PC em analise</t>
        </is>
      </c>
      <c r="X3835" s="110" t="inlineStr">
        <is>
          <t>Pedido de Compra</t>
        </is>
      </c>
      <c r="Y3835" s="111" t="inlineStr">
        <is>
          <t>Impacto Potencial</t>
        </is>
      </c>
      <c r="Z3835" s="111" t="inlineStr">
        <is>
          <t>PC</t>
        </is>
      </c>
      <c r="AA3835" s="111" t="inlineStr">
        <is>
          <t>Nao</t>
        </is>
      </c>
      <c r="AB3835" s="111" t="inlineStr">
        <is>
          <t>NAO_COMPUTADO</t>
        </is>
      </c>
      <c r="AC3835" s="112" t="inlineStr">
        <is>
          <t>Estrutura Fase 1: sem impacto no VTA oficial</t>
        </is>
      </c>
    </row>
    <row r="3836" ht="25.5" customHeight="1" s="289">
      <c r="A3836" s="205" t="n"/>
      <c r="B3836" s="207" t="n"/>
      <c r="C3836" s="104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348" t="n"/>
      <c r="E3836" s="349">
        <f>IF(C3836="","",IFERROR(VLOOKUP(C3836,parametros!$A$11:$E$15,5,0),""))</f>
        <v/>
      </c>
      <c r="F3836" s="335">
        <f>IF(OR(D3836="",E3836=""),"",ROUND(D3836*E3836,2))</f>
        <v/>
      </c>
      <c r="G3836" s="106" t="n"/>
      <c r="H3836" s="350">
        <f>IF(G3836="Sim",IF(OR(F3836="",D3836="",L3836=""),"",IF(L3836="Sim",ROUND(F3836-D3836,2),0)),0)</f>
        <v/>
      </c>
      <c r="I3836" s="350">
        <f>IF(G3836="Sim",0,IF(OR(F3836="",L3836=""),"",F3836))</f>
        <v/>
      </c>
      <c r="J3836" s="350">
        <f>IF(G3836="Sim",0,IF(OR(F3836="",D3836="",L3836=""),"",IF(L3836="Sim",ROUND(F3836-D3836,2),0)))</f>
        <v/>
      </c>
      <c r="K3836" s="97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inlineStr">
        <is>
          <t>Nao</t>
        </is>
      </c>
      <c r="W3836" s="110" t="inlineStr">
        <is>
          <t>PC em analise</t>
        </is>
      </c>
      <c r="X3836" s="110" t="inlineStr">
        <is>
          <t>Pedido de Compra</t>
        </is>
      </c>
      <c r="Y3836" s="111" t="inlineStr">
        <is>
          <t>Impacto Potencial</t>
        </is>
      </c>
      <c r="Z3836" s="111" t="inlineStr">
        <is>
          <t>PC</t>
        </is>
      </c>
      <c r="AA3836" s="111" t="inlineStr">
        <is>
          <t>Nao</t>
        </is>
      </c>
      <c r="AB3836" s="111" t="inlineStr">
        <is>
          <t>NAO_COMPUTADO</t>
        </is>
      </c>
      <c r="AC3836" s="112" t="inlineStr">
        <is>
          <t>Estrutura Fase 1: sem impacto no VTA oficial</t>
        </is>
      </c>
    </row>
    <row r="3837" ht="25.5" customHeight="1" s="289">
      <c r="A3837" s="205" t="n"/>
      <c r="B3837" s="207" t="n"/>
      <c r="C3837" s="104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348" t="n"/>
      <c r="E3837" s="349">
        <f>IF(C3837="","",IFERROR(VLOOKUP(C3837,parametros!$A$11:$E$15,5,0),""))</f>
        <v/>
      </c>
      <c r="F3837" s="335">
        <f>IF(OR(D3837="",E3837=""),"",ROUND(D3837*E3837,2))</f>
        <v/>
      </c>
      <c r="G3837" s="106" t="n"/>
      <c r="H3837" s="350">
        <f>IF(G3837="Sim",IF(OR(F3837="",D3837="",L3837=""),"",IF(L3837="Sim",ROUND(F3837-D3837,2),0)),0)</f>
        <v/>
      </c>
      <c r="I3837" s="350">
        <f>IF(G3837="Sim",0,IF(OR(F3837="",L3837=""),"",F3837))</f>
        <v/>
      </c>
      <c r="J3837" s="350">
        <f>IF(G3837="Sim",0,IF(OR(F3837="",D3837="",L3837=""),"",IF(L3837="Sim",ROUND(F3837-D3837,2),0)))</f>
        <v/>
      </c>
      <c r="K3837" s="97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inlineStr">
        <is>
          <t>Nao</t>
        </is>
      </c>
      <c r="W3837" s="110" t="inlineStr">
        <is>
          <t>PC em analise</t>
        </is>
      </c>
      <c r="X3837" s="110" t="inlineStr">
        <is>
          <t>Pedido de Compra</t>
        </is>
      </c>
      <c r="Y3837" s="111" t="inlineStr">
        <is>
          <t>Impacto Potencial</t>
        </is>
      </c>
      <c r="Z3837" s="111" t="inlineStr">
        <is>
          <t>PC</t>
        </is>
      </c>
      <c r="AA3837" s="111" t="inlineStr">
        <is>
          <t>Nao</t>
        </is>
      </c>
      <c r="AB3837" s="111" t="inlineStr">
        <is>
          <t>NAO_COMPUTADO</t>
        </is>
      </c>
      <c r="AC3837" s="112" t="inlineStr">
        <is>
          <t>Estrutura Fase 1: sem impacto no VTA oficial</t>
        </is>
      </c>
    </row>
    <row r="3838" ht="25.5" customHeight="1" s="289">
      <c r="A3838" s="205" t="n"/>
      <c r="B3838" s="207" t="n"/>
      <c r="C3838" s="104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348" t="n"/>
      <c r="E3838" s="349">
        <f>IF(C3838="","",IFERROR(VLOOKUP(C3838,parametros!$A$11:$E$15,5,0),""))</f>
        <v/>
      </c>
      <c r="F3838" s="335">
        <f>IF(OR(D3838="",E3838=""),"",ROUND(D3838*E3838,2))</f>
        <v/>
      </c>
      <c r="G3838" s="106" t="n"/>
      <c r="H3838" s="350">
        <f>IF(G3838="Sim",IF(OR(F3838="",D3838="",L3838=""),"",IF(L3838="Sim",ROUND(F3838-D3838,2),0)),0)</f>
        <v/>
      </c>
      <c r="I3838" s="350">
        <f>IF(G3838="Sim",0,IF(OR(F3838="",L3838=""),"",F3838))</f>
        <v/>
      </c>
      <c r="J3838" s="350">
        <f>IF(G3838="Sim",0,IF(OR(F3838="",D3838="",L3838=""),"",IF(L3838="Sim",ROUND(F3838-D3838,2),0)))</f>
        <v/>
      </c>
      <c r="K3838" s="97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inlineStr">
        <is>
          <t>Nao</t>
        </is>
      </c>
      <c r="W3838" s="110" t="inlineStr">
        <is>
          <t>PC em analise</t>
        </is>
      </c>
      <c r="X3838" s="110" t="inlineStr">
        <is>
          <t>Pedido de Compra</t>
        </is>
      </c>
      <c r="Y3838" s="111" t="inlineStr">
        <is>
          <t>Impacto Potencial</t>
        </is>
      </c>
      <c r="Z3838" s="111" t="inlineStr">
        <is>
          <t>PC</t>
        </is>
      </c>
      <c r="AA3838" s="111" t="inlineStr">
        <is>
          <t>Nao</t>
        </is>
      </c>
      <c r="AB3838" s="111" t="inlineStr">
        <is>
          <t>NAO_COMPUTADO</t>
        </is>
      </c>
      <c r="AC3838" s="112" t="inlineStr">
        <is>
          <t>Estrutura Fase 1: sem impacto no VTA oficial</t>
        </is>
      </c>
    </row>
    <row r="3839" ht="25.5" customHeight="1" s="289">
      <c r="A3839" s="205" t="n"/>
      <c r="B3839" s="207" t="n"/>
      <c r="C3839" s="104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348" t="n"/>
      <c r="E3839" s="349">
        <f>IF(C3839="","",IFERROR(VLOOKUP(C3839,parametros!$A$11:$E$15,5,0),""))</f>
        <v/>
      </c>
      <c r="F3839" s="335">
        <f>IF(OR(D3839="",E3839=""),"",ROUND(D3839*E3839,2))</f>
        <v/>
      </c>
      <c r="G3839" s="106" t="n"/>
      <c r="H3839" s="350">
        <f>IF(G3839="Sim",IF(OR(F3839="",D3839="",L3839=""),"",IF(L3839="Sim",ROUND(F3839-D3839,2),0)),0)</f>
        <v/>
      </c>
      <c r="I3839" s="350">
        <f>IF(G3839="Sim",0,IF(OR(F3839="",L3839=""),"",F3839))</f>
        <v/>
      </c>
      <c r="J3839" s="350">
        <f>IF(G3839="Sim",0,IF(OR(F3839="",D3839="",L3839=""),"",IF(L3839="Sim",ROUND(F3839-D3839,2),0)))</f>
        <v/>
      </c>
      <c r="K3839" s="97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inlineStr">
        <is>
          <t>Nao</t>
        </is>
      </c>
      <c r="W3839" s="110" t="inlineStr">
        <is>
          <t>PC em analise</t>
        </is>
      </c>
      <c r="X3839" s="110" t="inlineStr">
        <is>
          <t>Pedido de Compra</t>
        </is>
      </c>
      <c r="Y3839" s="111" t="inlineStr">
        <is>
          <t>Impacto Potencial</t>
        </is>
      </c>
      <c r="Z3839" s="111" t="inlineStr">
        <is>
          <t>PC</t>
        </is>
      </c>
      <c r="AA3839" s="111" t="inlineStr">
        <is>
          <t>Nao</t>
        </is>
      </c>
      <c r="AB3839" s="111" t="inlineStr">
        <is>
          <t>NAO_COMPUTADO</t>
        </is>
      </c>
      <c r="AC3839" s="112" t="inlineStr">
        <is>
          <t>Estrutura Fase 1: sem impacto no VTA oficial</t>
        </is>
      </c>
    </row>
    <row r="3840" ht="25.5" customHeight="1" s="289">
      <c r="A3840" s="205" t="n"/>
      <c r="B3840" s="207" t="n"/>
      <c r="C3840" s="104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348" t="n"/>
      <c r="E3840" s="349">
        <f>IF(C3840="","",IFERROR(VLOOKUP(C3840,parametros!$A$11:$E$15,5,0),""))</f>
        <v/>
      </c>
      <c r="F3840" s="335">
        <f>IF(OR(D3840="",E3840=""),"",ROUND(D3840*E3840,2))</f>
        <v/>
      </c>
      <c r="G3840" s="106" t="n"/>
      <c r="H3840" s="350">
        <f>IF(G3840="Sim",IF(OR(F3840="",D3840="",L3840=""),"",IF(L3840="Sim",ROUND(F3840-D3840,2),0)),0)</f>
        <v/>
      </c>
      <c r="I3840" s="350">
        <f>IF(G3840="Sim",0,IF(OR(F3840="",L3840=""),"",F3840))</f>
        <v/>
      </c>
      <c r="J3840" s="350">
        <f>IF(G3840="Sim",0,IF(OR(F3840="",D3840="",L3840=""),"",IF(L3840="Sim",ROUND(F3840-D3840,2),0)))</f>
        <v/>
      </c>
      <c r="K3840" s="97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inlineStr">
        <is>
          <t>Nao</t>
        </is>
      </c>
      <c r="W3840" s="110" t="inlineStr">
        <is>
          <t>PC em analise</t>
        </is>
      </c>
      <c r="X3840" s="110" t="inlineStr">
        <is>
          <t>Pedido de Compra</t>
        </is>
      </c>
      <c r="Y3840" s="111" t="inlineStr">
        <is>
          <t>Impacto Potencial</t>
        </is>
      </c>
      <c r="Z3840" s="111" t="inlineStr">
        <is>
          <t>PC</t>
        </is>
      </c>
      <c r="AA3840" s="111" t="inlineStr">
        <is>
          <t>Nao</t>
        </is>
      </c>
      <c r="AB3840" s="111" t="inlineStr">
        <is>
          <t>NAO_COMPUTADO</t>
        </is>
      </c>
      <c r="AC3840" s="112" t="inlineStr">
        <is>
          <t>Estrutura Fase 1: sem impacto no VTA oficial</t>
        </is>
      </c>
    </row>
    <row r="3841" ht="25.5" customHeight="1" s="289">
      <c r="A3841" s="205" t="n"/>
      <c r="B3841" s="207" t="n"/>
      <c r="C3841" s="104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348" t="n"/>
      <c r="E3841" s="349">
        <f>IF(C3841="","",IFERROR(VLOOKUP(C3841,parametros!$A$11:$E$15,5,0),""))</f>
        <v/>
      </c>
      <c r="F3841" s="335">
        <f>IF(OR(D3841="",E3841=""),"",ROUND(D3841*E3841,2))</f>
        <v/>
      </c>
      <c r="G3841" s="106" t="n"/>
      <c r="H3841" s="350">
        <f>IF(G3841="Sim",IF(OR(F3841="",D3841="",L3841=""),"",IF(L3841="Sim",ROUND(F3841-D3841,2),0)),0)</f>
        <v/>
      </c>
      <c r="I3841" s="350">
        <f>IF(G3841="Sim",0,IF(OR(F3841="",L3841=""),"",F3841))</f>
        <v/>
      </c>
      <c r="J3841" s="350">
        <f>IF(G3841="Sim",0,IF(OR(F3841="",D3841="",L3841=""),"",IF(L3841="Sim",ROUND(F3841-D3841,2),0)))</f>
        <v/>
      </c>
      <c r="K3841" s="97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inlineStr">
        <is>
          <t>Nao</t>
        </is>
      </c>
      <c r="W3841" s="110" t="inlineStr">
        <is>
          <t>PC em analise</t>
        </is>
      </c>
      <c r="X3841" s="110" t="inlineStr">
        <is>
          <t>Pedido de Compra</t>
        </is>
      </c>
      <c r="Y3841" s="111" t="inlineStr">
        <is>
          <t>Impacto Potencial</t>
        </is>
      </c>
      <c r="Z3841" s="111" t="inlineStr">
        <is>
          <t>PC</t>
        </is>
      </c>
      <c r="AA3841" s="111" t="inlineStr">
        <is>
          <t>Nao</t>
        </is>
      </c>
      <c r="AB3841" s="111" t="inlineStr">
        <is>
          <t>NAO_COMPUTADO</t>
        </is>
      </c>
      <c r="AC3841" s="112" t="inlineStr">
        <is>
          <t>Estrutura Fase 1: sem impacto no VTA oficial</t>
        </is>
      </c>
    </row>
    <row r="3842" ht="25.5" customHeight="1" s="289">
      <c r="A3842" s="205" t="n"/>
      <c r="B3842" s="207" t="n"/>
      <c r="C3842" s="104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348" t="n"/>
      <c r="E3842" s="349">
        <f>IF(C3842="","",IFERROR(VLOOKUP(C3842,parametros!$A$11:$E$15,5,0),""))</f>
        <v/>
      </c>
      <c r="F3842" s="335">
        <f>IF(OR(D3842="",E3842=""),"",ROUND(D3842*E3842,2))</f>
        <v/>
      </c>
      <c r="G3842" s="106" t="n"/>
      <c r="H3842" s="350">
        <f>IF(G3842="Sim",IF(OR(F3842="",D3842="",L3842=""),"",IF(L3842="Sim",ROUND(F3842-D3842,2),0)),0)</f>
        <v/>
      </c>
      <c r="I3842" s="350">
        <f>IF(G3842="Sim",0,IF(OR(F3842="",L3842=""),"",F3842))</f>
        <v/>
      </c>
      <c r="J3842" s="350">
        <f>IF(G3842="Sim",0,IF(OR(F3842="",D3842="",L3842=""),"",IF(L3842="Sim",ROUND(F3842-D3842,2),0)))</f>
        <v/>
      </c>
      <c r="K3842" s="97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inlineStr">
        <is>
          <t>Nao</t>
        </is>
      </c>
      <c r="W3842" s="110" t="inlineStr">
        <is>
          <t>PC em analise</t>
        </is>
      </c>
      <c r="X3842" s="110" t="inlineStr">
        <is>
          <t>Pedido de Compra</t>
        </is>
      </c>
      <c r="Y3842" s="111" t="inlineStr">
        <is>
          <t>Impacto Potencial</t>
        </is>
      </c>
      <c r="Z3842" s="111" t="inlineStr">
        <is>
          <t>PC</t>
        </is>
      </c>
      <c r="AA3842" s="111" t="inlineStr">
        <is>
          <t>Nao</t>
        </is>
      </c>
      <c r="AB3842" s="111" t="inlineStr">
        <is>
          <t>NAO_COMPUTADO</t>
        </is>
      </c>
      <c r="AC3842" s="112" t="inlineStr">
        <is>
          <t>Estrutura Fase 1: sem impacto no VTA oficial</t>
        </is>
      </c>
    </row>
    <row r="3843" ht="25.5" customHeight="1" s="289">
      <c r="A3843" s="205" t="n"/>
      <c r="B3843" s="207" t="n"/>
      <c r="C3843" s="104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348" t="n"/>
      <c r="E3843" s="349">
        <f>IF(C3843="","",IFERROR(VLOOKUP(C3843,parametros!$A$11:$E$15,5,0),""))</f>
        <v/>
      </c>
      <c r="F3843" s="335">
        <f>IF(OR(D3843="",E3843=""),"",ROUND(D3843*E3843,2))</f>
        <v/>
      </c>
      <c r="G3843" s="106" t="n"/>
      <c r="H3843" s="350">
        <f>IF(G3843="Sim",IF(OR(F3843="",D3843="",L3843=""),"",IF(L3843="Sim",ROUND(F3843-D3843,2),0)),0)</f>
        <v/>
      </c>
      <c r="I3843" s="350">
        <f>IF(G3843="Sim",0,IF(OR(F3843="",L3843=""),"",F3843))</f>
        <v/>
      </c>
      <c r="J3843" s="350">
        <f>IF(G3843="Sim",0,IF(OR(F3843="",D3843="",L3843=""),"",IF(L3843="Sim",ROUND(F3843-D3843,2),0)))</f>
        <v/>
      </c>
      <c r="K3843" s="97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inlineStr">
        <is>
          <t>Nao</t>
        </is>
      </c>
      <c r="W3843" s="110" t="inlineStr">
        <is>
          <t>PC em analise</t>
        </is>
      </c>
      <c r="X3843" s="110" t="inlineStr">
        <is>
          <t>Pedido de Compra</t>
        </is>
      </c>
      <c r="Y3843" s="111" t="inlineStr">
        <is>
          <t>Impacto Potencial</t>
        </is>
      </c>
      <c r="Z3843" s="111" t="inlineStr">
        <is>
          <t>PC</t>
        </is>
      </c>
      <c r="AA3843" s="111" t="inlineStr">
        <is>
          <t>Nao</t>
        </is>
      </c>
      <c r="AB3843" s="111" t="inlineStr">
        <is>
          <t>NAO_COMPUTADO</t>
        </is>
      </c>
      <c r="AC3843" s="112" t="inlineStr">
        <is>
          <t>Estrutura Fase 1: sem impacto no VTA oficial</t>
        </is>
      </c>
    </row>
    <row r="3844" ht="25.5" customHeight="1" s="289">
      <c r="A3844" s="205" t="n"/>
      <c r="B3844" s="207" t="n"/>
      <c r="C3844" s="104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348" t="n"/>
      <c r="E3844" s="349">
        <f>IF(C3844="","",IFERROR(VLOOKUP(C3844,parametros!$A$11:$E$15,5,0),""))</f>
        <v/>
      </c>
      <c r="F3844" s="335">
        <f>IF(OR(D3844="",E3844=""),"",ROUND(D3844*E3844,2))</f>
        <v/>
      </c>
      <c r="G3844" s="106" t="n"/>
      <c r="H3844" s="350">
        <f>IF(G3844="Sim",IF(OR(F3844="",D3844="",L3844=""),"",IF(L3844="Sim",ROUND(F3844-D3844,2),0)),0)</f>
        <v/>
      </c>
      <c r="I3844" s="350">
        <f>IF(G3844="Sim",0,IF(OR(F3844="",L3844=""),"",F3844))</f>
        <v/>
      </c>
      <c r="J3844" s="350">
        <f>IF(G3844="Sim",0,IF(OR(F3844="",D3844="",L3844=""),"",IF(L3844="Sim",ROUND(F3844-D3844,2),0)))</f>
        <v/>
      </c>
      <c r="K3844" s="97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inlineStr">
        <is>
          <t>Nao</t>
        </is>
      </c>
      <c r="W3844" s="110" t="inlineStr">
        <is>
          <t>PC em analise</t>
        </is>
      </c>
      <c r="X3844" s="110" t="inlineStr">
        <is>
          <t>Pedido de Compra</t>
        </is>
      </c>
      <c r="Y3844" s="111" t="inlineStr">
        <is>
          <t>Impacto Potencial</t>
        </is>
      </c>
      <c r="Z3844" s="111" t="inlineStr">
        <is>
          <t>PC</t>
        </is>
      </c>
      <c r="AA3844" s="111" t="inlineStr">
        <is>
          <t>Nao</t>
        </is>
      </c>
      <c r="AB3844" s="111" t="inlineStr">
        <is>
          <t>NAO_COMPUTADO</t>
        </is>
      </c>
      <c r="AC3844" s="112" t="inlineStr">
        <is>
          <t>Estrutura Fase 1: sem impacto no VTA oficial</t>
        </is>
      </c>
    </row>
    <row r="3845" ht="25.5" customHeight="1" s="289">
      <c r="A3845" s="205" t="n"/>
      <c r="B3845" s="207" t="n"/>
      <c r="C3845" s="104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348" t="n"/>
      <c r="E3845" s="349">
        <f>IF(C3845="","",IFERROR(VLOOKUP(C3845,parametros!$A$11:$E$15,5,0),""))</f>
        <v/>
      </c>
      <c r="F3845" s="335">
        <f>IF(OR(D3845="",E3845=""),"",ROUND(D3845*E3845,2))</f>
        <v/>
      </c>
      <c r="G3845" s="106" t="n"/>
      <c r="H3845" s="350">
        <f>IF(G3845="Sim",IF(OR(F3845="",D3845="",L3845=""),"",IF(L3845="Sim",ROUND(F3845-D3845,2),0)),0)</f>
        <v/>
      </c>
      <c r="I3845" s="350">
        <f>IF(G3845="Sim",0,IF(OR(F3845="",L3845=""),"",F3845))</f>
        <v/>
      </c>
      <c r="J3845" s="350">
        <f>IF(G3845="Sim",0,IF(OR(F3845="",D3845="",L3845=""),"",IF(L3845="Sim",ROUND(F3845-D3845,2),0)))</f>
        <v/>
      </c>
      <c r="K3845" s="97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inlineStr">
        <is>
          <t>Nao</t>
        </is>
      </c>
      <c r="W3845" s="110" t="inlineStr">
        <is>
          <t>PC em analise</t>
        </is>
      </c>
      <c r="X3845" s="110" t="inlineStr">
        <is>
          <t>Pedido de Compra</t>
        </is>
      </c>
      <c r="Y3845" s="111" t="inlineStr">
        <is>
          <t>Impacto Potencial</t>
        </is>
      </c>
      <c r="Z3845" s="111" t="inlineStr">
        <is>
          <t>PC</t>
        </is>
      </c>
      <c r="AA3845" s="111" t="inlineStr">
        <is>
          <t>Nao</t>
        </is>
      </c>
      <c r="AB3845" s="111" t="inlineStr">
        <is>
          <t>NAO_COMPUTADO</t>
        </is>
      </c>
      <c r="AC3845" s="112" t="inlineStr">
        <is>
          <t>Estrutura Fase 1: sem impacto no VTA oficial</t>
        </is>
      </c>
    </row>
    <row r="3846" ht="25.5" customHeight="1" s="289">
      <c r="A3846" s="205" t="n"/>
      <c r="B3846" s="207" t="n"/>
      <c r="C3846" s="104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348" t="n"/>
      <c r="E3846" s="349">
        <f>IF(C3846="","",IFERROR(VLOOKUP(C3846,parametros!$A$11:$E$15,5,0),""))</f>
        <v/>
      </c>
      <c r="F3846" s="335">
        <f>IF(OR(D3846="",E3846=""),"",ROUND(D3846*E3846,2))</f>
        <v/>
      </c>
      <c r="G3846" s="106" t="n"/>
      <c r="H3846" s="350">
        <f>IF(G3846="Sim",IF(OR(F3846="",D3846="",L3846=""),"",IF(L3846="Sim",ROUND(F3846-D3846,2),0)),0)</f>
        <v/>
      </c>
      <c r="I3846" s="350">
        <f>IF(G3846="Sim",0,IF(OR(F3846="",L3846=""),"",F3846))</f>
        <v/>
      </c>
      <c r="J3846" s="350">
        <f>IF(G3846="Sim",0,IF(OR(F3846="",D3846="",L3846=""),"",IF(L3846="Sim",ROUND(F3846-D3846,2),0)))</f>
        <v/>
      </c>
      <c r="K3846" s="97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inlineStr">
        <is>
          <t>Nao</t>
        </is>
      </c>
      <c r="W3846" s="110" t="inlineStr">
        <is>
          <t>PC em analise</t>
        </is>
      </c>
      <c r="X3846" s="110" t="inlineStr">
        <is>
          <t>Pedido de Compra</t>
        </is>
      </c>
      <c r="Y3846" s="111" t="inlineStr">
        <is>
          <t>Impacto Potencial</t>
        </is>
      </c>
      <c r="Z3846" s="111" t="inlineStr">
        <is>
          <t>PC</t>
        </is>
      </c>
      <c r="AA3846" s="111" t="inlineStr">
        <is>
          <t>Nao</t>
        </is>
      </c>
      <c r="AB3846" s="111" t="inlineStr">
        <is>
          <t>NAO_COMPUTADO</t>
        </is>
      </c>
      <c r="AC3846" s="112" t="inlineStr">
        <is>
          <t>Estrutura Fase 1: sem impacto no VTA oficial</t>
        </is>
      </c>
    </row>
    <row r="3847" ht="25.5" customHeight="1" s="289">
      <c r="A3847" s="205" t="n"/>
      <c r="B3847" s="207" t="n"/>
      <c r="C3847" s="104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348" t="n"/>
      <c r="E3847" s="349">
        <f>IF(C3847="","",IFERROR(VLOOKUP(C3847,parametros!$A$11:$E$15,5,0),""))</f>
        <v/>
      </c>
      <c r="F3847" s="335">
        <f>IF(OR(D3847="",E3847=""),"",ROUND(D3847*E3847,2))</f>
        <v/>
      </c>
      <c r="G3847" s="106" t="n"/>
      <c r="H3847" s="350">
        <f>IF(G3847="Sim",IF(OR(F3847="",D3847="",L3847=""),"",IF(L3847="Sim",ROUND(F3847-D3847,2),0)),0)</f>
        <v/>
      </c>
      <c r="I3847" s="350">
        <f>IF(G3847="Sim",0,IF(OR(F3847="",L3847=""),"",F3847))</f>
        <v/>
      </c>
      <c r="J3847" s="350">
        <f>IF(G3847="Sim",0,IF(OR(F3847="",D3847="",L3847=""),"",IF(L3847="Sim",ROUND(F3847-D3847,2),0)))</f>
        <v/>
      </c>
      <c r="K3847" s="97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inlineStr">
        <is>
          <t>Nao</t>
        </is>
      </c>
      <c r="W3847" s="110" t="inlineStr">
        <is>
          <t>PC em analise</t>
        </is>
      </c>
      <c r="X3847" s="110" t="inlineStr">
        <is>
          <t>Pedido de Compra</t>
        </is>
      </c>
      <c r="Y3847" s="111" t="inlineStr">
        <is>
          <t>Impacto Potencial</t>
        </is>
      </c>
      <c r="Z3847" s="111" t="inlineStr">
        <is>
          <t>PC</t>
        </is>
      </c>
      <c r="AA3847" s="111" t="inlineStr">
        <is>
          <t>Nao</t>
        </is>
      </c>
      <c r="AB3847" s="111" t="inlineStr">
        <is>
          <t>NAO_COMPUTADO</t>
        </is>
      </c>
      <c r="AC3847" s="112" t="inlineStr">
        <is>
          <t>Estrutura Fase 1: sem impacto no VTA oficial</t>
        </is>
      </c>
    </row>
    <row r="3848" ht="25.5" customHeight="1" s="289">
      <c r="A3848" s="205" t="n"/>
      <c r="B3848" s="207" t="n"/>
      <c r="C3848" s="104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348" t="n"/>
      <c r="E3848" s="349">
        <f>IF(C3848="","",IFERROR(VLOOKUP(C3848,parametros!$A$11:$E$15,5,0),""))</f>
        <v/>
      </c>
      <c r="F3848" s="335">
        <f>IF(OR(D3848="",E3848=""),"",ROUND(D3848*E3848,2))</f>
        <v/>
      </c>
      <c r="G3848" s="106" t="n"/>
      <c r="H3848" s="350">
        <f>IF(G3848="Sim",IF(OR(F3848="",D3848="",L3848=""),"",IF(L3848="Sim",ROUND(F3848-D3848,2),0)),0)</f>
        <v/>
      </c>
      <c r="I3848" s="350">
        <f>IF(G3848="Sim",0,IF(OR(F3848="",L3848=""),"",F3848))</f>
        <v/>
      </c>
      <c r="J3848" s="350">
        <f>IF(G3848="Sim",0,IF(OR(F3848="",D3848="",L3848=""),"",IF(L3848="Sim",ROUND(F3848-D3848,2),0)))</f>
        <v/>
      </c>
      <c r="K3848" s="97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inlineStr">
        <is>
          <t>Nao</t>
        </is>
      </c>
      <c r="W3848" s="110" t="inlineStr">
        <is>
          <t>PC em analise</t>
        </is>
      </c>
      <c r="X3848" s="110" t="inlineStr">
        <is>
          <t>Pedido de Compra</t>
        </is>
      </c>
      <c r="Y3848" s="111" t="inlineStr">
        <is>
          <t>Impacto Potencial</t>
        </is>
      </c>
      <c r="Z3848" s="111" t="inlineStr">
        <is>
          <t>PC</t>
        </is>
      </c>
      <c r="AA3848" s="111" t="inlineStr">
        <is>
          <t>Nao</t>
        </is>
      </c>
      <c r="AB3848" s="111" t="inlineStr">
        <is>
          <t>NAO_COMPUTADO</t>
        </is>
      </c>
      <c r="AC3848" s="112" t="inlineStr">
        <is>
          <t>Estrutura Fase 1: sem impacto no VTA oficial</t>
        </is>
      </c>
    </row>
    <row r="3849" ht="25.5" customHeight="1" s="289">
      <c r="A3849" s="205" t="n"/>
      <c r="B3849" s="207" t="n"/>
      <c r="C3849" s="104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348" t="n"/>
      <c r="E3849" s="349">
        <f>IF(C3849="","",IFERROR(VLOOKUP(C3849,parametros!$A$11:$E$15,5,0),""))</f>
        <v/>
      </c>
      <c r="F3849" s="335">
        <f>IF(OR(D3849="",E3849=""),"",ROUND(D3849*E3849,2))</f>
        <v/>
      </c>
      <c r="G3849" s="106" t="n"/>
      <c r="H3849" s="350">
        <f>IF(G3849="Sim",IF(OR(F3849="",D3849="",L3849=""),"",IF(L3849="Sim",ROUND(F3849-D3849,2),0)),0)</f>
        <v/>
      </c>
      <c r="I3849" s="350">
        <f>IF(G3849="Sim",0,IF(OR(F3849="",L3849=""),"",F3849))</f>
        <v/>
      </c>
      <c r="J3849" s="350">
        <f>IF(G3849="Sim",0,IF(OR(F3849="",D3849="",L3849=""),"",IF(L3849="Sim",ROUND(F3849-D3849,2),0)))</f>
        <v/>
      </c>
      <c r="K3849" s="97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inlineStr">
        <is>
          <t>Nao</t>
        </is>
      </c>
      <c r="W3849" s="110" t="inlineStr">
        <is>
          <t>PC em analise</t>
        </is>
      </c>
      <c r="X3849" s="110" t="inlineStr">
        <is>
          <t>Pedido de Compra</t>
        </is>
      </c>
      <c r="Y3849" s="111" t="inlineStr">
        <is>
          <t>Impacto Potencial</t>
        </is>
      </c>
      <c r="Z3849" s="111" t="inlineStr">
        <is>
          <t>PC</t>
        </is>
      </c>
      <c r="AA3849" s="111" t="inlineStr">
        <is>
          <t>Nao</t>
        </is>
      </c>
      <c r="AB3849" s="111" t="inlineStr">
        <is>
          <t>NAO_COMPUTADO</t>
        </is>
      </c>
      <c r="AC3849" s="112" t="inlineStr">
        <is>
          <t>Estrutura Fase 1: sem impacto no VTA oficial</t>
        </is>
      </c>
    </row>
    <row r="3850" ht="25.5" customHeight="1" s="289">
      <c r="A3850" s="205" t="n"/>
      <c r="B3850" s="207" t="n"/>
      <c r="C3850" s="104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348" t="n"/>
      <c r="E3850" s="349">
        <f>IF(C3850="","",IFERROR(VLOOKUP(C3850,parametros!$A$11:$E$15,5,0),""))</f>
        <v/>
      </c>
      <c r="F3850" s="335">
        <f>IF(OR(D3850="",E3850=""),"",ROUND(D3850*E3850,2))</f>
        <v/>
      </c>
      <c r="G3850" s="106" t="n"/>
      <c r="H3850" s="350">
        <f>IF(G3850="Sim",IF(OR(F3850="",D3850="",L3850=""),"",IF(L3850="Sim",ROUND(F3850-D3850,2),0)),0)</f>
        <v/>
      </c>
      <c r="I3850" s="350">
        <f>IF(G3850="Sim",0,IF(OR(F3850="",L3850=""),"",F3850))</f>
        <v/>
      </c>
      <c r="J3850" s="350">
        <f>IF(G3850="Sim",0,IF(OR(F3850="",D3850="",L3850=""),"",IF(L3850="Sim",ROUND(F3850-D3850,2),0)))</f>
        <v/>
      </c>
      <c r="K3850" s="97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inlineStr">
        <is>
          <t>Nao</t>
        </is>
      </c>
      <c r="W3850" s="110" t="inlineStr">
        <is>
          <t>PC em analise</t>
        </is>
      </c>
      <c r="X3850" s="110" t="inlineStr">
        <is>
          <t>Pedido de Compra</t>
        </is>
      </c>
      <c r="Y3850" s="111" t="inlineStr">
        <is>
          <t>Impacto Potencial</t>
        </is>
      </c>
      <c r="Z3850" s="111" t="inlineStr">
        <is>
          <t>PC</t>
        </is>
      </c>
      <c r="AA3850" s="111" t="inlineStr">
        <is>
          <t>Nao</t>
        </is>
      </c>
      <c r="AB3850" s="111" t="inlineStr">
        <is>
          <t>NAO_COMPUTADO</t>
        </is>
      </c>
      <c r="AC3850" s="112" t="inlineStr">
        <is>
          <t>Estrutura Fase 1: sem impacto no VTA oficial</t>
        </is>
      </c>
    </row>
    <row r="3851" ht="25.5" customHeight="1" s="289">
      <c r="A3851" s="205" t="n"/>
      <c r="B3851" s="207" t="n"/>
      <c r="C3851" s="104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348" t="n"/>
      <c r="E3851" s="349">
        <f>IF(C3851="","",IFERROR(VLOOKUP(C3851,parametros!$A$11:$E$15,5,0),""))</f>
        <v/>
      </c>
      <c r="F3851" s="335">
        <f>IF(OR(D3851="",E3851=""),"",ROUND(D3851*E3851,2))</f>
        <v/>
      </c>
      <c r="G3851" s="106" t="n"/>
      <c r="H3851" s="350">
        <f>IF(G3851="Sim",IF(OR(F3851="",D3851="",L3851=""),"",IF(L3851="Sim",ROUND(F3851-D3851,2),0)),0)</f>
        <v/>
      </c>
      <c r="I3851" s="350">
        <f>IF(G3851="Sim",0,IF(OR(F3851="",L3851=""),"",F3851))</f>
        <v/>
      </c>
      <c r="J3851" s="350">
        <f>IF(G3851="Sim",0,IF(OR(F3851="",D3851="",L3851=""),"",IF(L3851="Sim",ROUND(F3851-D3851,2),0)))</f>
        <v/>
      </c>
      <c r="K3851" s="97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inlineStr">
        <is>
          <t>Nao</t>
        </is>
      </c>
      <c r="W3851" s="110" t="inlineStr">
        <is>
          <t>PC em analise</t>
        </is>
      </c>
      <c r="X3851" s="110" t="inlineStr">
        <is>
          <t>Pedido de Compra</t>
        </is>
      </c>
      <c r="Y3851" s="111" t="inlineStr">
        <is>
          <t>Impacto Potencial</t>
        </is>
      </c>
      <c r="Z3851" s="111" t="inlineStr">
        <is>
          <t>PC</t>
        </is>
      </c>
      <c r="AA3851" s="111" t="inlineStr">
        <is>
          <t>Nao</t>
        </is>
      </c>
      <c r="AB3851" s="111" t="inlineStr">
        <is>
          <t>NAO_COMPUTADO</t>
        </is>
      </c>
      <c r="AC3851" s="112" t="inlineStr">
        <is>
          <t>Estrutura Fase 1: sem impacto no VTA oficial</t>
        </is>
      </c>
    </row>
    <row r="3852" ht="25.5" customHeight="1" s="289">
      <c r="A3852" s="205" t="n"/>
      <c r="B3852" s="207" t="n"/>
      <c r="C3852" s="104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348" t="n"/>
      <c r="E3852" s="349">
        <f>IF(C3852="","",IFERROR(VLOOKUP(C3852,parametros!$A$11:$E$15,5,0),""))</f>
        <v/>
      </c>
      <c r="F3852" s="335">
        <f>IF(OR(D3852="",E3852=""),"",ROUND(D3852*E3852,2))</f>
        <v/>
      </c>
      <c r="G3852" s="106" t="n"/>
      <c r="H3852" s="350">
        <f>IF(G3852="Sim",IF(OR(F3852="",D3852="",L3852=""),"",IF(L3852="Sim",ROUND(F3852-D3852,2),0)),0)</f>
        <v/>
      </c>
      <c r="I3852" s="350">
        <f>IF(G3852="Sim",0,IF(OR(F3852="",L3852=""),"",F3852))</f>
        <v/>
      </c>
      <c r="J3852" s="350">
        <f>IF(G3852="Sim",0,IF(OR(F3852="",D3852="",L3852=""),"",IF(L3852="Sim",ROUND(F3852-D3852,2),0)))</f>
        <v/>
      </c>
      <c r="K3852" s="97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inlineStr">
        <is>
          <t>Nao</t>
        </is>
      </c>
      <c r="W3852" s="110" t="inlineStr">
        <is>
          <t>PC em analise</t>
        </is>
      </c>
      <c r="X3852" s="110" t="inlineStr">
        <is>
          <t>Pedido de Compra</t>
        </is>
      </c>
      <c r="Y3852" s="111" t="inlineStr">
        <is>
          <t>Impacto Potencial</t>
        </is>
      </c>
      <c r="Z3852" s="111" t="inlineStr">
        <is>
          <t>PC</t>
        </is>
      </c>
      <c r="AA3852" s="111" t="inlineStr">
        <is>
          <t>Nao</t>
        </is>
      </c>
      <c r="AB3852" s="111" t="inlineStr">
        <is>
          <t>NAO_COMPUTADO</t>
        </is>
      </c>
      <c r="AC3852" s="112" t="inlineStr">
        <is>
          <t>Estrutura Fase 1: sem impacto no VTA oficial</t>
        </is>
      </c>
    </row>
    <row r="3853" ht="25.5" customHeight="1" s="289">
      <c r="A3853" s="205" t="n"/>
      <c r="B3853" s="207" t="n"/>
      <c r="C3853" s="104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348" t="n"/>
      <c r="E3853" s="349">
        <f>IF(C3853="","",IFERROR(VLOOKUP(C3853,parametros!$A$11:$E$15,5,0),""))</f>
        <v/>
      </c>
      <c r="F3853" s="335">
        <f>IF(OR(D3853="",E3853=""),"",ROUND(D3853*E3853,2))</f>
        <v/>
      </c>
      <c r="G3853" s="106" t="n"/>
      <c r="H3853" s="350">
        <f>IF(G3853="Sim",IF(OR(F3853="",D3853="",L3853=""),"",IF(L3853="Sim",ROUND(F3853-D3853,2),0)),0)</f>
        <v/>
      </c>
      <c r="I3853" s="350">
        <f>IF(G3853="Sim",0,IF(OR(F3853="",L3853=""),"",F3853))</f>
        <v/>
      </c>
      <c r="J3853" s="350">
        <f>IF(G3853="Sim",0,IF(OR(F3853="",D3853="",L3853=""),"",IF(L3853="Sim",ROUND(F3853-D3853,2),0)))</f>
        <v/>
      </c>
      <c r="K3853" s="97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inlineStr">
        <is>
          <t>Nao</t>
        </is>
      </c>
      <c r="W3853" s="110" t="inlineStr">
        <is>
          <t>PC em analise</t>
        </is>
      </c>
      <c r="X3853" s="110" t="inlineStr">
        <is>
          <t>Pedido de Compra</t>
        </is>
      </c>
      <c r="Y3853" s="111" t="inlineStr">
        <is>
          <t>Impacto Potencial</t>
        </is>
      </c>
      <c r="Z3853" s="111" t="inlineStr">
        <is>
          <t>PC</t>
        </is>
      </c>
      <c r="AA3853" s="111" t="inlineStr">
        <is>
          <t>Nao</t>
        </is>
      </c>
      <c r="AB3853" s="111" t="inlineStr">
        <is>
          <t>NAO_COMPUTADO</t>
        </is>
      </c>
      <c r="AC3853" s="112" t="inlineStr">
        <is>
          <t>Estrutura Fase 1: sem impacto no VTA oficial</t>
        </is>
      </c>
    </row>
    <row r="3854" ht="25.5" customHeight="1" s="289">
      <c r="A3854" s="205" t="n"/>
      <c r="B3854" s="207" t="n"/>
      <c r="C3854" s="104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348" t="n"/>
      <c r="E3854" s="349">
        <f>IF(C3854="","",IFERROR(VLOOKUP(C3854,parametros!$A$11:$E$15,5,0),""))</f>
        <v/>
      </c>
      <c r="F3854" s="335">
        <f>IF(OR(D3854="",E3854=""),"",ROUND(D3854*E3854,2))</f>
        <v/>
      </c>
      <c r="G3854" s="106" t="n"/>
      <c r="H3854" s="350">
        <f>IF(G3854="Sim",IF(OR(F3854="",D3854="",L3854=""),"",IF(L3854="Sim",ROUND(F3854-D3854,2),0)),0)</f>
        <v/>
      </c>
      <c r="I3854" s="350">
        <f>IF(G3854="Sim",0,IF(OR(F3854="",L3854=""),"",F3854))</f>
        <v/>
      </c>
      <c r="J3854" s="350">
        <f>IF(G3854="Sim",0,IF(OR(F3854="",D3854="",L3854=""),"",IF(L3854="Sim",ROUND(F3854-D3854,2),0)))</f>
        <v/>
      </c>
      <c r="K3854" s="97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inlineStr">
        <is>
          <t>Nao</t>
        </is>
      </c>
      <c r="W3854" s="110" t="inlineStr">
        <is>
          <t>PC em analise</t>
        </is>
      </c>
      <c r="X3854" s="110" t="inlineStr">
        <is>
          <t>Pedido de Compra</t>
        </is>
      </c>
      <c r="Y3854" s="111" t="inlineStr">
        <is>
          <t>Impacto Potencial</t>
        </is>
      </c>
      <c r="Z3854" s="111" t="inlineStr">
        <is>
          <t>PC</t>
        </is>
      </c>
      <c r="AA3854" s="111" t="inlineStr">
        <is>
          <t>Nao</t>
        </is>
      </c>
      <c r="AB3854" s="111" t="inlineStr">
        <is>
          <t>NAO_COMPUTADO</t>
        </is>
      </c>
      <c r="AC3854" s="112" t="inlineStr">
        <is>
          <t>Estrutura Fase 1: sem impacto no VTA oficial</t>
        </is>
      </c>
    </row>
    <row r="3855" ht="25.5" customHeight="1" s="289">
      <c r="A3855" s="205" t="n"/>
      <c r="B3855" s="207" t="n"/>
      <c r="C3855" s="104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348" t="n"/>
      <c r="E3855" s="349">
        <f>IF(C3855="","",IFERROR(VLOOKUP(C3855,parametros!$A$11:$E$15,5,0),""))</f>
        <v/>
      </c>
      <c r="F3855" s="335">
        <f>IF(OR(D3855="",E3855=""),"",ROUND(D3855*E3855,2))</f>
        <v/>
      </c>
      <c r="G3855" s="106" t="n"/>
      <c r="H3855" s="350">
        <f>IF(G3855="Sim",IF(OR(F3855="",D3855="",L3855=""),"",IF(L3855="Sim",ROUND(F3855-D3855,2),0)),0)</f>
        <v/>
      </c>
      <c r="I3855" s="350">
        <f>IF(G3855="Sim",0,IF(OR(F3855="",L3855=""),"",F3855))</f>
        <v/>
      </c>
      <c r="J3855" s="350">
        <f>IF(G3855="Sim",0,IF(OR(F3855="",D3855="",L3855=""),"",IF(L3855="Sim",ROUND(F3855-D3855,2),0)))</f>
        <v/>
      </c>
      <c r="K3855" s="97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inlineStr">
        <is>
          <t>Nao</t>
        </is>
      </c>
      <c r="W3855" s="110" t="inlineStr">
        <is>
          <t>PC em analise</t>
        </is>
      </c>
      <c r="X3855" s="110" t="inlineStr">
        <is>
          <t>Pedido de Compra</t>
        </is>
      </c>
      <c r="Y3855" s="111" t="inlineStr">
        <is>
          <t>Impacto Potencial</t>
        </is>
      </c>
      <c r="Z3855" s="111" t="inlineStr">
        <is>
          <t>PC</t>
        </is>
      </c>
      <c r="AA3855" s="111" t="inlineStr">
        <is>
          <t>Nao</t>
        </is>
      </c>
      <c r="AB3855" s="111" t="inlineStr">
        <is>
          <t>NAO_COMPUTADO</t>
        </is>
      </c>
      <c r="AC3855" s="112" t="inlineStr">
        <is>
          <t>Estrutura Fase 1: sem impacto no VTA oficial</t>
        </is>
      </c>
    </row>
    <row r="3856" ht="25.5" customHeight="1" s="289">
      <c r="A3856" s="205" t="n"/>
      <c r="B3856" s="207" t="n"/>
      <c r="C3856" s="104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348" t="n"/>
      <c r="E3856" s="349">
        <f>IF(C3856="","",IFERROR(VLOOKUP(C3856,parametros!$A$11:$E$15,5,0),""))</f>
        <v/>
      </c>
      <c r="F3856" s="335">
        <f>IF(OR(D3856="",E3856=""),"",ROUND(D3856*E3856,2))</f>
        <v/>
      </c>
      <c r="G3856" s="106" t="n"/>
      <c r="H3856" s="350">
        <f>IF(G3856="Sim",IF(OR(F3856="",D3856="",L3856=""),"",IF(L3856="Sim",ROUND(F3856-D3856,2),0)),0)</f>
        <v/>
      </c>
      <c r="I3856" s="350">
        <f>IF(G3856="Sim",0,IF(OR(F3856="",L3856=""),"",F3856))</f>
        <v/>
      </c>
      <c r="J3856" s="350">
        <f>IF(G3856="Sim",0,IF(OR(F3856="",D3856="",L3856=""),"",IF(L3856="Sim",ROUND(F3856-D3856,2),0)))</f>
        <v/>
      </c>
      <c r="K3856" s="97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inlineStr">
        <is>
          <t>Nao</t>
        </is>
      </c>
      <c r="W3856" s="110" t="inlineStr">
        <is>
          <t>PC em analise</t>
        </is>
      </c>
      <c r="X3856" s="110" t="inlineStr">
        <is>
          <t>Pedido de Compra</t>
        </is>
      </c>
      <c r="Y3856" s="111" t="inlineStr">
        <is>
          <t>Impacto Potencial</t>
        </is>
      </c>
      <c r="Z3856" s="111" t="inlineStr">
        <is>
          <t>PC</t>
        </is>
      </c>
      <c r="AA3856" s="111" t="inlineStr">
        <is>
          <t>Nao</t>
        </is>
      </c>
      <c r="AB3856" s="111" t="inlineStr">
        <is>
          <t>NAO_COMPUTADO</t>
        </is>
      </c>
      <c r="AC3856" s="112" t="inlineStr">
        <is>
          <t>Estrutura Fase 1: sem impacto no VTA oficial</t>
        </is>
      </c>
    </row>
    <row r="3857" ht="25.5" customHeight="1" s="289">
      <c r="A3857" s="205" t="n"/>
      <c r="B3857" s="207" t="n"/>
      <c r="C3857" s="104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348" t="n"/>
      <c r="E3857" s="349">
        <f>IF(C3857="","",IFERROR(VLOOKUP(C3857,parametros!$A$11:$E$15,5,0),""))</f>
        <v/>
      </c>
      <c r="F3857" s="335">
        <f>IF(OR(D3857="",E3857=""),"",ROUND(D3857*E3857,2))</f>
        <v/>
      </c>
      <c r="G3857" s="106" t="n"/>
      <c r="H3857" s="350">
        <f>IF(G3857="Sim",IF(OR(F3857="",D3857="",L3857=""),"",IF(L3857="Sim",ROUND(F3857-D3857,2),0)),0)</f>
        <v/>
      </c>
      <c r="I3857" s="350">
        <f>IF(G3857="Sim",0,IF(OR(F3857="",L3857=""),"",F3857))</f>
        <v/>
      </c>
      <c r="J3857" s="350">
        <f>IF(G3857="Sim",0,IF(OR(F3857="",D3857="",L3857=""),"",IF(L3857="Sim",ROUND(F3857-D3857,2),0)))</f>
        <v/>
      </c>
      <c r="K3857" s="97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inlineStr">
        <is>
          <t>Nao</t>
        </is>
      </c>
      <c r="W3857" s="110" t="inlineStr">
        <is>
          <t>PC em analise</t>
        </is>
      </c>
      <c r="X3857" s="110" t="inlineStr">
        <is>
          <t>Pedido de Compra</t>
        </is>
      </c>
      <c r="Y3857" s="111" t="inlineStr">
        <is>
          <t>Impacto Potencial</t>
        </is>
      </c>
      <c r="Z3857" s="111" t="inlineStr">
        <is>
          <t>PC</t>
        </is>
      </c>
      <c r="AA3857" s="111" t="inlineStr">
        <is>
          <t>Nao</t>
        </is>
      </c>
      <c r="AB3857" s="111" t="inlineStr">
        <is>
          <t>NAO_COMPUTADO</t>
        </is>
      </c>
      <c r="AC3857" s="112" t="inlineStr">
        <is>
          <t>Estrutura Fase 1: sem impacto no VTA oficial</t>
        </is>
      </c>
    </row>
    <row r="3858" ht="25.5" customHeight="1" s="289">
      <c r="A3858" s="205" t="n"/>
      <c r="B3858" s="207" t="n"/>
      <c r="C3858" s="104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348" t="n"/>
      <c r="E3858" s="349">
        <f>IF(C3858="","",IFERROR(VLOOKUP(C3858,parametros!$A$11:$E$15,5,0),""))</f>
        <v/>
      </c>
      <c r="F3858" s="335">
        <f>IF(OR(D3858="",E3858=""),"",ROUND(D3858*E3858,2))</f>
        <v/>
      </c>
      <c r="G3858" s="106" t="n"/>
      <c r="H3858" s="350">
        <f>IF(G3858="Sim",IF(OR(F3858="",D3858="",L3858=""),"",IF(L3858="Sim",ROUND(F3858-D3858,2),0)),0)</f>
        <v/>
      </c>
      <c r="I3858" s="350">
        <f>IF(G3858="Sim",0,IF(OR(F3858="",L3858=""),"",F3858))</f>
        <v/>
      </c>
      <c r="J3858" s="350">
        <f>IF(G3858="Sim",0,IF(OR(F3858="",D3858="",L3858=""),"",IF(L3858="Sim",ROUND(F3858-D3858,2),0)))</f>
        <v/>
      </c>
      <c r="K3858" s="97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inlineStr">
        <is>
          <t>Nao</t>
        </is>
      </c>
      <c r="W3858" s="110" t="inlineStr">
        <is>
          <t>PC em analise</t>
        </is>
      </c>
      <c r="X3858" s="110" t="inlineStr">
        <is>
          <t>Pedido de Compra</t>
        </is>
      </c>
      <c r="Y3858" s="111" t="inlineStr">
        <is>
          <t>Impacto Potencial</t>
        </is>
      </c>
      <c r="Z3858" s="111" t="inlineStr">
        <is>
          <t>PC</t>
        </is>
      </c>
      <c r="AA3858" s="111" t="inlineStr">
        <is>
          <t>Nao</t>
        </is>
      </c>
      <c r="AB3858" s="111" t="inlineStr">
        <is>
          <t>NAO_COMPUTADO</t>
        </is>
      </c>
      <c r="AC3858" s="112" t="inlineStr">
        <is>
          <t>Estrutura Fase 1: sem impacto no VTA oficial</t>
        </is>
      </c>
    </row>
    <row r="3859" ht="25.5" customHeight="1" s="289">
      <c r="A3859" s="205" t="n"/>
      <c r="B3859" s="207" t="n"/>
      <c r="C3859" s="104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348" t="n"/>
      <c r="E3859" s="349">
        <f>IF(C3859="","",IFERROR(VLOOKUP(C3859,parametros!$A$11:$E$15,5,0),""))</f>
        <v/>
      </c>
      <c r="F3859" s="335">
        <f>IF(OR(D3859="",E3859=""),"",ROUND(D3859*E3859,2))</f>
        <v/>
      </c>
      <c r="G3859" s="106" t="n"/>
      <c r="H3859" s="350">
        <f>IF(G3859="Sim",IF(OR(F3859="",D3859="",L3859=""),"",IF(L3859="Sim",ROUND(F3859-D3859,2),0)),0)</f>
        <v/>
      </c>
      <c r="I3859" s="350">
        <f>IF(G3859="Sim",0,IF(OR(F3859="",L3859=""),"",F3859))</f>
        <v/>
      </c>
      <c r="J3859" s="350">
        <f>IF(G3859="Sim",0,IF(OR(F3859="",D3859="",L3859=""),"",IF(L3859="Sim",ROUND(F3859-D3859,2),0)))</f>
        <v/>
      </c>
      <c r="K3859" s="97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inlineStr">
        <is>
          <t>Nao</t>
        </is>
      </c>
      <c r="W3859" s="110" t="inlineStr">
        <is>
          <t>PC em analise</t>
        </is>
      </c>
      <c r="X3859" s="110" t="inlineStr">
        <is>
          <t>Pedido de Compra</t>
        </is>
      </c>
      <c r="Y3859" s="111" t="inlineStr">
        <is>
          <t>Impacto Potencial</t>
        </is>
      </c>
      <c r="Z3859" s="111" t="inlineStr">
        <is>
          <t>PC</t>
        </is>
      </c>
      <c r="AA3859" s="111" t="inlineStr">
        <is>
          <t>Nao</t>
        </is>
      </c>
      <c r="AB3859" s="111" t="inlineStr">
        <is>
          <t>NAO_COMPUTADO</t>
        </is>
      </c>
      <c r="AC3859" s="112" t="inlineStr">
        <is>
          <t>Estrutura Fase 1: sem impacto no VTA oficial</t>
        </is>
      </c>
    </row>
    <row r="3860" ht="25.5" customHeight="1" s="289">
      <c r="A3860" s="205" t="n"/>
      <c r="B3860" s="207" t="n"/>
      <c r="C3860" s="104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348" t="n"/>
      <c r="E3860" s="349">
        <f>IF(C3860="","",IFERROR(VLOOKUP(C3860,parametros!$A$11:$E$15,5,0),""))</f>
        <v/>
      </c>
      <c r="F3860" s="335">
        <f>IF(OR(D3860="",E3860=""),"",ROUND(D3860*E3860,2))</f>
        <v/>
      </c>
      <c r="G3860" s="106" t="n"/>
      <c r="H3860" s="350">
        <f>IF(G3860="Sim",IF(OR(F3860="",D3860="",L3860=""),"",IF(L3860="Sim",ROUND(F3860-D3860,2),0)),0)</f>
        <v/>
      </c>
      <c r="I3860" s="350">
        <f>IF(G3860="Sim",0,IF(OR(F3860="",L3860=""),"",F3860))</f>
        <v/>
      </c>
      <c r="J3860" s="350">
        <f>IF(G3860="Sim",0,IF(OR(F3860="",D3860="",L3860=""),"",IF(L3860="Sim",ROUND(F3860-D3860,2),0)))</f>
        <v/>
      </c>
      <c r="K3860" s="97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inlineStr">
        <is>
          <t>Nao</t>
        </is>
      </c>
      <c r="W3860" s="110" t="inlineStr">
        <is>
          <t>PC em analise</t>
        </is>
      </c>
      <c r="X3860" s="110" t="inlineStr">
        <is>
          <t>Pedido de Compra</t>
        </is>
      </c>
      <c r="Y3860" s="111" t="inlineStr">
        <is>
          <t>Impacto Potencial</t>
        </is>
      </c>
      <c r="Z3860" s="111" t="inlineStr">
        <is>
          <t>PC</t>
        </is>
      </c>
      <c r="AA3860" s="111" t="inlineStr">
        <is>
          <t>Nao</t>
        </is>
      </c>
      <c r="AB3860" s="111" t="inlineStr">
        <is>
          <t>NAO_COMPUTADO</t>
        </is>
      </c>
      <c r="AC3860" s="112" t="inlineStr">
        <is>
          <t>Estrutura Fase 1: sem impacto no VTA oficial</t>
        </is>
      </c>
    </row>
    <row r="3861" ht="25.5" customHeight="1" s="289">
      <c r="A3861" s="205" t="n"/>
      <c r="B3861" s="207" t="n"/>
      <c r="C3861" s="104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348" t="n"/>
      <c r="E3861" s="349">
        <f>IF(C3861="","",IFERROR(VLOOKUP(C3861,parametros!$A$11:$E$15,5,0),""))</f>
        <v/>
      </c>
      <c r="F3861" s="335">
        <f>IF(OR(D3861="",E3861=""),"",ROUND(D3861*E3861,2))</f>
        <v/>
      </c>
      <c r="G3861" s="106" t="n"/>
      <c r="H3861" s="350">
        <f>IF(G3861="Sim",IF(OR(F3861="",D3861="",L3861=""),"",IF(L3861="Sim",ROUND(F3861-D3861,2),0)),0)</f>
        <v/>
      </c>
      <c r="I3861" s="350">
        <f>IF(G3861="Sim",0,IF(OR(F3861="",L3861=""),"",F3861))</f>
        <v/>
      </c>
      <c r="J3861" s="350">
        <f>IF(G3861="Sim",0,IF(OR(F3861="",D3861="",L3861=""),"",IF(L3861="Sim",ROUND(F3861-D3861,2),0)))</f>
        <v/>
      </c>
      <c r="K3861" s="97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inlineStr">
        <is>
          <t>Nao</t>
        </is>
      </c>
      <c r="W3861" s="110" t="inlineStr">
        <is>
          <t>PC em analise</t>
        </is>
      </c>
      <c r="X3861" s="110" t="inlineStr">
        <is>
          <t>Pedido de Compra</t>
        </is>
      </c>
      <c r="Y3861" s="111" t="inlineStr">
        <is>
          <t>Impacto Potencial</t>
        </is>
      </c>
      <c r="Z3861" s="111" t="inlineStr">
        <is>
          <t>PC</t>
        </is>
      </c>
      <c r="AA3861" s="111" t="inlineStr">
        <is>
          <t>Nao</t>
        </is>
      </c>
      <c r="AB3861" s="111" t="inlineStr">
        <is>
          <t>NAO_COMPUTADO</t>
        </is>
      </c>
      <c r="AC3861" s="112" t="inlineStr">
        <is>
          <t>Estrutura Fase 1: sem impacto no VTA oficial</t>
        </is>
      </c>
    </row>
    <row r="3862" ht="25.5" customHeight="1" s="289">
      <c r="A3862" s="205" t="n"/>
      <c r="B3862" s="207" t="n"/>
      <c r="C3862" s="104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348" t="n"/>
      <c r="E3862" s="349">
        <f>IF(C3862="","",IFERROR(VLOOKUP(C3862,parametros!$A$11:$E$15,5,0),""))</f>
        <v/>
      </c>
      <c r="F3862" s="335">
        <f>IF(OR(D3862="",E3862=""),"",ROUND(D3862*E3862,2))</f>
        <v/>
      </c>
      <c r="G3862" s="106" t="n"/>
      <c r="H3862" s="350">
        <f>IF(G3862="Sim",IF(OR(F3862="",D3862="",L3862=""),"",IF(L3862="Sim",ROUND(F3862-D3862,2),0)),0)</f>
        <v/>
      </c>
      <c r="I3862" s="350">
        <f>IF(G3862="Sim",0,IF(OR(F3862="",L3862=""),"",F3862))</f>
        <v/>
      </c>
      <c r="J3862" s="350">
        <f>IF(G3862="Sim",0,IF(OR(F3862="",D3862="",L3862=""),"",IF(L3862="Sim",ROUND(F3862-D3862,2),0)))</f>
        <v/>
      </c>
      <c r="K3862" s="97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inlineStr">
        <is>
          <t>Nao</t>
        </is>
      </c>
      <c r="W3862" s="110" t="inlineStr">
        <is>
          <t>PC em analise</t>
        </is>
      </c>
      <c r="X3862" s="110" t="inlineStr">
        <is>
          <t>Pedido de Compra</t>
        </is>
      </c>
      <c r="Y3862" s="111" t="inlineStr">
        <is>
          <t>Impacto Potencial</t>
        </is>
      </c>
      <c r="Z3862" s="111" t="inlineStr">
        <is>
          <t>PC</t>
        </is>
      </c>
      <c r="AA3862" s="111" t="inlineStr">
        <is>
          <t>Nao</t>
        </is>
      </c>
      <c r="AB3862" s="111" t="inlineStr">
        <is>
          <t>NAO_COMPUTADO</t>
        </is>
      </c>
      <c r="AC3862" s="112" t="inlineStr">
        <is>
          <t>Estrutura Fase 1: sem impacto no VTA oficial</t>
        </is>
      </c>
    </row>
    <row r="3863" ht="25.5" customHeight="1" s="289">
      <c r="A3863" s="205" t="n"/>
      <c r="B3863" s="207" t="n"/>
      <c r="C3863" s="104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348" t="n"/>
      <c r="E3863" s="349">
        <f>IF(C3863="","",IFERROR(VLOOKUP(C3863,parametros!$A$11:$E$15,5,0),""))</f>
        <v/>
      </c>
      <c r="F3863" s="335">
        <f>IF(OR(D3863="",E3863=""),"",ROUND(D3863*E3863,2))</f>
        <v/>
      </c>
      <c r="G3863" s="106" t="n"/>
      <c r="H3863" s="350">
        <f>IF(G3863="Sim",IF(OR(F3863="",D3863="",L3863=""),"",IF(L3863="Sim",ROUND(F3863-D3863,2),0)),0)</f>
        <v/>
      </c>
      <c r="I3863" s="350">
        <f>IF(G3863="Sim",0,IF(OR(F3863="",L3863=""),"",F3863))</f>
        <v/>
      </c>
      <c r="J3863" s="350">
        <f>IF(G3863="Sim",0,IF(OR(F3863="",D3863="",L3863=""),"",IF(L3863="Sim",ROUND(F3863-D3863,2),0)))</f>
        <v/>
      </c>
      <c r="K3863" s="97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inlineStr">
        <is>
          <t>Nao</t>
        </is>
      </c>
      <c r="W3863" s="110" t="inlineStr">
        <is>
          <t>PC em analise</t>
        </is>
      </c>
      <c r="X3863" s="110" t="inlineStr">
        <is>
          <t>Pedido de Compra</t>
        </is>
      </c>
      <c r="Y3863" s="111" t="inlineStr">
        <is>
          <t>Impacto Potencial</t>
        </is>
      </c>
      <c r="Z3863" s="111" t="inlineStr">
        <is>
          <t>PC</t>
        </is>
      </c>
      <c r="AA3863" s="111" t="inlineStr">
        <is>
          <t>Nao</t>
        </is>
      </c>
      <c r="AB3863" s="111" t="inlineStr">
        <is>
          <t>NAO_COMPUTADO</t>
        </is>
      </c>
      <c r="AC3863" s="112" t="inlineStr">
        <is>
          <t>Estrutura Fase 1: sem impacto no VTA oficial</t>
        </is>
      </c>
    </row>
    <row r="3864" ht="25.5" customHeight="1" s="289">
      <c r="A3864" s="205" t="n"/>
      <c r="B3864" s="207" t="n"/>
      <c r="C3864" s="104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348" t="n"/>
      <c r="E3864" s="349">
        <f>IF(C3864="","",IFERROR(VLOOKUP(C3864,parametros!$A$11:$E$15,5,0),""))</f>
        <v/>
      </c>
      <c r="F3864" s="335">
        <f>IF(OR(D3864="",E3864=""),"",ROUND(D3864*E3864,2))</f>
        <v/>
      </c>
      <c r="G3864" s="106" t="n"/>
      <c r="H3864" s="350">
        <f>IF(G3864="Sim",IF(OR(F3864="",D3864="",L3864=""),"",IF(L3864="Sim",ROUND(F3864-D3864,2),0)),0)</f>
        <v/>
      </c>
      <c r="I3864" s="350">
        <f>IF(G3864="Sim",0,IF(OR(F3864="",L3864=""),"",F3864))</f>
        <v/>
      </c>
      <c r="J3864" s="350">
        <f>IF(G3864="Sim",0,IF(OR(F3864="",D3864="",L3864=""),"",IF(L3864="Sim",ROUND(F3864-D3864,2),0)))</f>
        <v/>
      </c>
      <c r="K3864" s="97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inlineStr">
        <is>
          <t>Nao</t>
        </is>
      </c>
      <c r="W3864" s="110" t="inlineStr">
        <is>
          <t>PC em analise</t>
        </is>
      </c>
      <c r="X3864" s="110" t="inlineStr">
        <is>
          <t>Pedido de Compra</t>
        </is>
      </c>
      <c r="Y3864" s="111" t="inlineStr">
        <is>
          <t>Impacto Potencial</t>
        </is>
      </c>
      <c r="Z3864" s="111" t="inlineStr">
        <is>
          <t>PC</t>
        </is>
      </c>
      <c r="AA3864" s="111" t="inlineStr">
        <is>
          <t>Nao</t>
        </is>
      </c>
      <c r="AB3864" s="111" t="inlineStr">
        <is>
          <t>NAO_COMPUTADO</t>
        </is>
      </c>
      <c r="AC3864" s="112" t="inlineStr">
        <is>
          <t>Estrutura Fase 1: sem impacto no VTA oficial</t>
        </is>
      </c>
    </row>
    <row r="3865" ht="25.5" customHeight="1" s="289">
      <c r="A3865" s="205" t="n"/>
      <c r="B3865" s="207" t="n"/>
      <c r="C3865" s="104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348" t="n"/>
      <c r="E3865" s="349">
        <f>IF(C3865="","",IFERROR(VLOOKUP(C3865,parametros!$A$11:$E$15,5,0),""))</f>
        <v/>
      </c>
      <c r="F3865" s="335">
        <f>IF(OR(D3865="",E3865=""),"",ROUND(D3865*E3865,2))</f>
        <v/>
      </c>
      <c r="G3865" s="106" t="n"/>
      <c r="H3865" s="350">
        <f>IF(G3865="Sim",IF(OR(F3865="",D3865="",L3865=""),"",IF(L3865="Sim",ROUND(F3865-D3865,2),0)),0)</f>
        <v/>
      </c>
      <c r="I3865" s="350">
        <f>IF(G3865="Sim",0,IF(OR(F3865="",L3865=""),"",F3865))</f>
        <v/>
      </c>
      <c r="J3865" s="350">
        <f>IF(G3865="Sim",0,IF(OR(F3865="",D3865="",L3865=""),"",IF(L3865="Sim",ROUND(F3865-D3865,2),0)))</f>
        <v/>
      </c>
      <c r="K3865" s="97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inlineStr">
        <is>
          <t>Nao</t>
        </is>
      </c>
      <c r="W3865" s="110" t="inlineStr">
        <is>
          <t>PC em analise</t>
        </is>
      </c>
      <c r="X3865" s="110" t="inlineStr">
        <is>
          <t>Pedido de Compra</t>
        </is>
      </c>
      <c r="Y3865" s="111" t="inlineStr">
        <is>
          <t>Impacto Potencial</t>
        </is>
      </c>
      <c r="Z3865" s="111" t="inlineStr">
        <is>
          <t>PC</t>
        </is>
      </c>
      <c r="AA3865" s="111" t="inlineStr">
        <is>
          <t>Nao</t>
        </is>
      </c>
      <c r="AB3865" s="111" t="inlineStr">
        <is>
          <t>NAO_COMPUTADO</t>
        </is>
      </c>
      <c r="AC3865" s="112" t="inlineStr">
        <is>
          <t>Estrutura Fase 1: sem impacto no VTA oficial</t>
        </is>
      </c>
    </row>
    <row r="3866" ht="25.5" customHeight="1" s="289">
      <c r="A3866" s="205" t="n"/>
      <c r="B3866" s="207" t="n"/>
      <c r="C3866" s="104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348" t="n"/>
      <c r="E3866" s="349">
        <f>IF(C3866="","",IFERROR(VLOOKUP(C3866,parametros!$A$11:$E$15,5,0),""))</f>
        <v/>
      </c>
      <c r="F3866" s="335">
        <f>IF(OR(D3866="",E3866=""),"",ROUND(D3866*E3866,2))</f>
        <v/>
      </c>
      <c r="G3866" s="106" t="n"/>
      <c r="H3866" s="350">
        <f>IF(G3866="Sim",IF(OR(F3866="",D3866="",L3866=""),"",IF(L3866="Sim",ROUND(F3866-D3866,2),0)),0)</f>
        <v/>
      </c>
      <c r="I3866" s="350">
        <f>IF(G3866="Sim",0,IF(OR(F3866="",L3866=""),"",F3866))</f>
        <v/>
      </c>
      <c r="J3866" s="350">
        <f>IF(G3866="Sim",0,IF(OR(F3866="",D3866="",L3866=""),"",IF(L3866="Sim",ROUND(F3866-D3866,2),0)))</f>
        <v/>
      </c>
      <c r="K3866" s="97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inlineStr">
        <is>
          <t>Nao</t>
        </is>
      </c>
      <c r="W3866" s="110" t="inlineStr">
        <is>
          <t>PC em analise</t>
        </is>
      </c>
      <c r="X3866" s="110" t="inlineStr">
        <is>
          <t>Pedido de Compra</t>
        </is>
      </c>
      <c r="Y3866" s="111" t="inlineStr">
        <is>
          <t>Impacto Potencial</t>
        </is>
      </c>
      <c r="Z3866" s="111" t="inlineStr">
        <is>
          <t>PC</t>
        </is>
      </c>
      <c r="AA3866" s="111" t="inlineStr">
        <is>
          <t>Nao</t>
        </is>
      </c>
      <c r="AB3866" s="111" t="inlineStr">
        <is>
          <t>NAO_COMPUTADO</t>
        </is>
      </c>
      <c r="AC3866" s="112" t="inlineStr">
        <is>
          <t>Estrutura Fase 1: sem impacto no VTA oficial</t>
        </is>
      </c>
    </row>
    <row r="3867" ht="25.5" customHeight="1" s="289">
      <c r="A3867" s="205" t="n"/>
      <c r="B3867" s="207" t="n"/>
      <c r="C3867" s="104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348" t="n"/>
      <c r="E3867" s="349">
        <f>IF(C3867="","",IFERROR(VLOOKUP(C3867,parametros!$A$11:$E$15,5,0),""))</f>
        <v/>
      </c>
      <c r="F3867" s="335">
        <f>IF(OR(D3867="",E3867=""),"",ROUND(D3867*E3867,2))</f>
        <v/>
      </c>
      <c r="G3867" s="106" t="n"/>
      <c r="H3867" s="350">
        <f>IF(G3867="Sim",IF(OR(F3867="",D3867="",L3867=""),"",IF(L3867="Sim",ROUND(F3867-D3867,2),0)),0)</f>
        <v/>
      </c>
      <c r="I3867" s="350">
        <f>IF(G3867="Sim",0,IF(OR(F3867="",L3867=""),"",F3867))</f>
        <v/>
      </c>
      <c r="J3867" s="350">
        <f>IF(G3867="Sim",0,IF(OR(F3867="",D3867="",L3867=""),"",IF(L3867="Sim",ROUND(F3867-D3867,2),0)))</f>
        <v/>
      </c>
      <c r="K3867" s="97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inlineStr">
        <is>
          <t>Nao</t>
        </is>
      </c>
      <c r="W3867" s="110" t="inlineStr">
        <is>
          <t>PC em analise</t>
        </is>
      </c>
      <c r="X3867" s="110" t="inlineStr">
        <is>
          <t>Pedido de Compra</t>
        </is>
      </c>
      <c r="Y3867" s="111" t="inlineStr">
        <is>
          <t>Impacto Potencial</t>
        </is>
      </c>
      <c r="Z3867" s="111" t="inlineStr">
        <is>
          <t>PC</t>
        </is>
      </c>
      <c r="AA3867" s="111" t="inlineStr">
        <is>
          <t>Nao</t>
        </is>
      </c>
      <c r="AB3867" s="111" t="inlineStr">
        <is>
          <t>NAO_COMPUTADO</t>
        </is>
      </c>
      <c r="AC3867" s="112" t="inlineStr">
        <is>
          <t>Estrutura Fase 1: sem impacto no VTA oficial</t>
        </is>
      </c>
    </row>
    <row r="3868" ht="25.5" customHeight="1" s="289">
      <c r="A3868" s="205" t="n"/>
      <c r="B3868" s="207" t="n"/>
      <c r="C3868" s="104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348" t="n"/>
      <c r="E3868" s="349">
        <f>IF(C3868="","",IFERROR(VLOOKUP(C3868,parametros!$A$11:$E$15,5,0),""))</f>
        <v/>
      </c>
      <c r="F3868" s="335">
        <f>IF(OR(D3868="",E3868=""),"",ROUND(D3868*E3868,2))</f>
        <v/>
      </c>
      <c r="G3868" s="106" t="n"/>
      <c r="H3868" s="350">
        <f>IF(G3868="Sim",IF(OR(F3868="",D3868="",L3868=""),"",IF(L3868="Sim",ROUND(F3868-D3868,2),0)),0)</f>
        <v/>
      </c>
      <c r="I3868" s="350">
        <f>IF(G3868="Sim",0,IF(OR(F3868="",L3868=""),"",F3868))</f>
        <v/>
      </c>
      <c r="J3868" s="350">
        <f>IF(G3868="Sim",0,IF(OR(F3868="",D3868="",L3868=""),"",IF(L3868="Sim",ROUND(F3868-D3868,2),0)))</f>
        <v/>
      </c>
      <c r="K3868" s="97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inlineStr">
        <is>
          <t>Nao</t>
        </is>
      </c>
      <c r="W3868" s="110" t="inlineStr">
        <is>
          <t>PC em analise</t>
        </is>
      </c>
      <c r="X3868" s="110" t="inlineStr">
        <is>
          <t>Pedido de Compra</t>
        </is>
      </c>
      <c r="Y3868" s="111" t="inlineStr">
        <is>
          <t>Impacto Potencial</t>
        </is>
      </c>
      <c r="Z3868" s="111" t="inlineStr">
        <is>
          <t>PC</t>
        </is>
      </c>
      <c r="AA3868" s="111" t="inlineStr">
        <is>
          <t>Nao</t>
        </is>
      </c>
      <c r="AB3868" s="111" t="inlineStr">
        <is>
          <t>NAO_COMPUTADO</t>
        </is>
      </c>
      <c r="AC3868" s="112" t="inlineStr">
        <is>
          <t>Estrutura Fase 1: sem impacto no VTA oficial</t>
        </is>
      </c>
    </row>
    <row r="3869" ht="25.5" customHeight="1" s="289">
      <c r="A3869" s="205" t="n"/>
      <c r="B3869" s="207" t="n"/>
      <c r="C3869" s="104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348" t="n"/>
      <c r="E3869" s="349">
        <f>IF(C3869="","",IFERROR(VLOOKUP(C3869,parametros!$A$11:$E$15,5,0),""))</f>
        <v/>
      </c>
      <c r="F3869" s="335">
        <f>IF(OR(D3869="",E3869=""),"",ROUND(D3869*E3869,2))</f>
        <v/>
      </c>
      <c r="G3869" s="106" t="n"/>
      <c r="H3869" s="350">
        <f>IF(G3869="Sim",IF(OR(F3869="",D3869="",L3869=""),"",IF(L3869="Sim",ROUND(F3869-D3869,2),0)),0)</f>
        <v/>
      </c>
      <c r="I3869" s="350">
        <f>IF(G3869="Sim",0,IF(OR(F3869="",L3869=""),"",F3869))</f>
        <v/>
      </c>
      <c r="J3869" s="350">
        <f>IF(G3869="Sim",0,IF(OR(F3869="",D3869="",L3869=""),"",IF(L3869="Sim",ROUND(F3869-D3869,2),0)))</f>
        <v/>
      </c>
      <c r="K3869" s="97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inlineStr">
        <is>
          <t>Nao</t>
        </is>
      </c>
      <c r="W3869" s="110" t="inlineStr">
        <is>
          <t>PC em analise</t>
        </is>
      </c>
      <c r="X3869" s="110" t="inlineStr">
        <is>
          <t>Pedido de Compra</t>
        </is>
      </c>
      <c r="Y3869" s="111" t="inlineStr">
        <is>
          <t>Impacto Potencial</t>
        </is>
      </c>
      <c r="Z3869" s="111" t="inlineStr">
        <is>
          <t>PC</t>
        </is>
      </c>
      <c r="AA3869" s="111" t="inlineStr">
        <is>
          <t>Nao</t>
        </is>
      </c>
      <c r="AB3869" s="111" t="inlineStr">
        <is>
          <t>NAO_COMPUTADO</t>
        </is>
      </c>
      <c r="AC3869" s="112" t="inlineStr">
        <is>
          <t>Estrutura Fase 1: sem impacto no VTA oficial</t>
        </is>
      </c>
    </row>
    <row r="3870" ht="25.5" customHeight="1" s="289">
      <c r="A3870" s="205" t="n"/>
      <c r="B3870" s="207" t="n"/>
      <c r="C3870" s="104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348" t="n"/>
      <c r="E3870" s="349">
        <f>IF(C3870="","",IFERROR(VLOOKUP(C3870,parametros!$A$11:$E$15,5,0),""))</f>
        <v/>
      </c>
      <c r="F3870" s="335">
        <f>IF(OR(D3870="",E3870=""),"",ROUND(D3870*E3870,2))</f>
        <v/>
      </c>
      <c r="G3870" s="106" t="n"/>
      <c r="H3870" s="350">
        <f>IF(G3870="Sim",IF(OR(F3870="",D3870="",L3870=""),"",IF(L3870="Sim",ROUND(F3870-D3870,2),0)),0)</f>
        <v/>
      </c>
      <c r="I3870" s="350">
        <f>IF(G3870="Sim",0,IF(OR(F3870="",L3870=""),"",F3870))</f>
        <v/>
      </c>
      <c r="J3870" s="350">
        <f>IF(G3870="Sim",0,IF(OR(F3870="",D3870="",L3870=""),"",IF(L3870="Sim",ROUND(F3870-D3870,2),0)))</f>
        <v/>
      </c>
      <c r="K3870" s="97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inlineStr">
        <is>
          <t>Nao</t>
        </is>
      </c>
      <c r="W3870" s="110" t="inlineStr">
        <is>
          <t>PC em analise</t>
        </is>
      </c>
      <c r="X3870" s="110" t="inlineStr">
        <is>
          <t>Pedido de Compra</t>
        </is>
      </c>
      <c r="Y3870" s="111" t="inlineStr">
        <is>
          <t>Impacto Potencial</t>
        </is>
      </c>
      <c r="Z3870" s="111" t="inlineStr">
        <is>
          <t>PC</t>
        </is>
      </c>
      <c r="AA3870" s="111" t="inlineStr">
        <is>
          <t>Nao</t>
        </is>
      </c>
      <c r="AB3870" s="111" t="inlineStr">
        <is>
          <t>NAO_COMPUTADO</t>
        </is>
      </c>
      <c r="AC3870" s="112" t="inlineStr">
        <is>
          <t>Estrutura Fase 1: sem impacto no VTA oficial</t>
        </is>
      </c>
    </row>
    <row r="3871" ht="25.5" customHeight="1" s="289">
      <c r="A3871" s="205" t="n"/>
      <c r="B3871" s="207" t="n"/>
      <c r="C3871" s="104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348" t="n"/>
      <c r="E3871" s="349">
        <f>IF(C3871="","",IFERROR(VLOOKUP(C3871,parametros!$A$11:$E$15,5,0),""))</f>
        <v/>
      </c>
      <c r="F3871" s="335">
        <f>IF(OR(D3871="",E3871=""),"",ROUND(D3871*E3871,2))</f>
        <v/>
      </c>
      <c r="G3871" s="106" t="n"/>
      <c r="H3871" s="350">
        <f>IF(G3871="Sim",IF(OR(F3871="",D3871="",L3871=""),"",IF(L3871="Sim",ROUND(F3871-D3871,2),0)),0)</f>
        <v/>
      </c>
      <c r="I3871" s="350">
        <f>IF(G3871="Sim",0,IF(OR(F3871="",L3871=""),"",F3871))</f>
        <v/>
      </c>
      <c r="J3871" s="350">
        <f>IF(G3871="Sim",0,IF(OR(F3871="",D3871="",L3871=""),"",IF(L3871="Sim",ROUND(F3871-D3871,2),0)))</f>
        <v/>
      </c>
      <c r="K3871" s="97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inlineStr">
        <is>
          <t>Nao</t>
        </is>
      </c>
      <c r="W3871" s="110" t="inlineStr">
        <is>
          <t>PC em analise</t>
        </is>
      </c>
      <c r="X3871" s="110" t="inlineStr">
        <is>
          <t>Pedido de Compra</t>
        </is>
      </c>
      <c r="Y3871" s="111" t="inlineStr">
        <is>
          <t>Impacto Potencial</t>
        </is>
      </c>
      <c r="Z3871" s="111" t="inlineStr">
        <is>
          <t>PC</t>
        </is>
      </c>
      <c r="AA3871" s="111" t="inlineStr">
        <is>
          <t>Nao</t>
        </is>
      </c>
      <c r="AB3871" s="111" t="inlineStr">
        <is>
          <t>NAO_COMPUTADO</t>
        </is>
      </c>
      <c r="AC3871" s="112" t="inlineStr">
        <is>
          <t>Estrutura Fase 1: sem impacto no VTA oficial</t>
        </is>
      </c>
    </row>
    <row r="3872" ht="25.5" customHeight="1" s="289">
      <c r="A3872" s="205" t="n"/>
      <c r="B3872" s="207" t="n"/>
      <c r="C3872" s="104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348" t="n"/>
      <c r="E3872" s="349">
        <f>IF(C3872="","",IFERROR(VLOOKUP(C3872,parametros!$A$11:$E$15,5,0),""))</f>
        <v/>
      </c>
      <c r="F3872" s="335">
        <f>IF(OR(D3872="",E3872=""),"",ROUND(D3872*E3872,2))</f>
        <v/>
      </c>
      <c r="G3872" s="106" t="n"/>
      <c r="H3872" s="350">
        <f>IF(G3872="Sim",IF(OR(F3872="",D3872="",L3872=""),"",IF(L3872="Sim",ROUND(F3872-D3872,2),0)),0)</f>
        <v/>
      </c>
      <c r="I3872" s="350">
        <f>IF(G3872="Sim",0,IF(OR(F3872="",L3872=""),"",F3872))</f>
        <v/>
      </c>
      <c r="J3872" s="350">
        <f>IF(G3872="Sim",0,IF(OR(F3872="",D3872="",L3872=""),"",IF(L3872="Sim",ROUND(F3872-D3872,2),0)))</f>
        <v/>
      </c>
      <c r="K3872" s="97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inlineStr">
        <is>
          <t>Nao</t>
        </is>
      </c>
      <c r="W3872" s="110" t="inlineStr">
        <is>
          <t>PC em analise</t>
        </is>
      </c>
      <c r="X3872" s="110" t="inlineStr">
        <is>
          <t>Pedido de Compra</t>
        </is>
      </c>
      <c r="Y3872" s="111" t="inlineStr">
        <is>
          <t>Impacto Potencial</t>
        </is>
      </c>
      <c r="Z3872" s="111" t="inlineStr">
        <is>
          <t>PC</t>
        </is>
      </c>
      <c r="AA3872" s="111" t="inlineStr">
        <is>
          <t>Nao</t>
        </is>
      </c>
      <c r="AB3872" s="111" t="inlineStr">
        <is>
          <t>NAO_COMPUTADO</t>
        </is>
      </c>
      <c r="AC3872" s="112" t="inlineStr">
        <is>
          <t>Estrutura Fase 1: sem impacto no VTA oficial</t>
        </is>
      </c>
    </row>
    <row r="3873" ht="25.5" customHeight="1" s="289">
      <c r="A3873" s="205" t="n"/>
      <c r="B3873" s="207" t="n"/>
      <c r="C3873" s="104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348" t="n"/>
      <c r="E3873" s="349">
        <f>IF(C3873="","",IFERROR(VLOOKUP(C3873,parametros!$A$11:$E$15,5,0),""))</f>
        <v/>
      </c>
      <c r="F3873" s="335">
        <f>IF(OR(D3873="",E3873=""),"",ROUND(D3873*E3873,2))</f>
        <v/>
      </c>
      <c r="G3873" s="106" t="n"/>
      <c r="H3873" s="350">
        <f>IF(G3873="Sim",IF(OR(F3873="",D3873="",L3873=""),"",IF(L3873="Sim",ROUND(F3873-D3873,2),0)),0)</f>
        <v/>
      </c>
      <c r="I3873" s="350">
        <f>IF(G3873="Sim",0,IF(OR(F3873="",L3873=""),"",F3873))</f>
        <v/>
      </c>
      <c r="J3873" s="350">
        <f>IF(G3873="Sim",0,IF(OR(F3873="",D3873="",L3873=""),"",IF(L3873="Sim",ROUND(F3873-D3873,2),0)))</f>
        <v/>
      </c>
      <c r="K3873" s="97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inlineStr">
        <is>
          <t>Nao</t>
        </is>
      </c>
      <c r="W3873" s="110" t="inlineStr">
        <is>
          <t>PC em analise</t>
        </is>
      </c>
      <c r="X3873" s="110" t="inlineStr">
        <is>
          <t>Pedido de Compra</t>
        </is>
      </c>
      <c r="Y3873" s="111" t="inlineStr">
        <is>
          <t>Impacto Potencial</t>
        </is>
      </c>
      <c r="Z3873" s="111" t="inlineStr">
        <is>
          <t>PC</t>
        </is>
      </c>
      <c r="AA3873" s="111" t="inlineStr">
        <is>
          <t>Nao</t>
        </is>
      </c>
      <c r="AB3873" s="111" t="inlineStr">
        <is>
          <t>NAO_COMPUTADO</t>
        </is>
      </c>
      <c r="AC3873" s="112" t="inlineStr">
        <is>
          <t>Estrutura Fase 1: sem impacto no VTA oficial</t>
        </is>
      </c>
    </row>
    <row r="3874" ht="25.5" customHeight="1" s="289">
      <c r="A3874" s="205" t="n"/>
      <c r="B3874" s="207" t="n"/>
      <c r="C3874" s="104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348" t="n"/>
      <c r="E3874" s="349">
        <f>IF(C3874="","",IFERROR(VLOOKUP(C3874,parametros!$A$11:$E$15,5,0),""))</f>
        <v/>
      </c>
      <c r="F3874" s="335">
        <f>IF(OR(D3874="",E3874=""),"",ROUND(D3874*E3874,2))</f>
        <v/>
      </c>
      <c r="G3874" s="106" t="n"/>
      <c r="H3874" s="350">
        <f>IF(G3874="Sim",IF(OR(F3874="",D3874="",L3874=""),"",IF(L3874="Sim",ROUND(F3874-D3874,2),0)),0)</f>
        <v/>
      </c>
      <c r="I3874" s="350">
        <f>IF(G3874="Sim",0,IF(OR(F3874="",L3874=""),"",F3874))</f>
        <v/>
      </c>
      <c r="J3874" s="350">
        <f>IF(G3874="Sim",0,IF(OR(F3874="",D3874="",L3874=""),"",IF(L3874="Sim",ROUND(F3874-D3874,2),0)))</f>
        <v/>
      </c>
      <c r="K3874" s="97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inlineStr">
        <is>
          <t>Nao</t>
        </is>
      </c>
      <c r="W3874" s="110" t="inlineStr">
        <is>
          <t>PC em analise</t>
        </is>
      </c>
      <c r="X3874" s="110" t="inlineStr">
        <is>
          <t>Pedido de Compra</t>
        </is>
      </c>
      <c r="Y3874" s="111" t="inlineStr">
        <is>
          <t>Impacto Potencial</t>
        </is>
      </c>
      <c r="Z3874" s="111" t="inlineStr">
        <is>
          <t>PC</t>
        </is>
      </c>
      <c r="AA3874" s="111" t="inlineStr">
        <is>
          <t>Nao</t>
        </is>
      </c>
      <c r="AB3874" s="111" t="inlineStr">
        <is>
          <t>NAO_COMPUTADO</t>
        </is>
      </c>
      <c r="AC3874" s="112" t="inlineStr">
        <is>
          <t>Estrutura Fase 1: sem impacto no VTA oficial</t>
        </is>
      </c>
    </row>
    <row r="3875" ht="25.5" customHeight="1" s="289">
      <c r="A3875" s="205" t="n"/>
      <c r="B3875" s="207" t="n"/>
      <c r="C3875" s="104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348" t="n"/>
      <c r="E3875" s="349">
        <f>IF(C3875="","",IFERROR(VLOOKUP(C3875,parametros!$A$11:$E$15,5,0),""))</f>
        <v/>
      </c>
      <c r="F3875" s="335">
        <f>IF(OR(D3875="",E3875=""),"",ROUND(D3875*E3875,2))</f>
        <v/>
      </c>
      <c r="G3875" s="106" t="n"/>
      <c r="H3875" s="350">
        <f>IF(G3875="Sim",IF(OR(F3875="",D3875="",L3875=""),"",IF(L3875="Sim",ROUND(F3875-D3875,2),0)),0)</f>
        <v/>
      </c>
      <c r="I3875" s="350">
        <f>IF(G3875="Sim",0,IF(OR(F3875="",L3875=""),"",F3875))</f>
        <v/>
      </c>
      <c r="J3875" s="350">
        <f>IF(G3875="Sim",0,IF(OR(F3875="",D3875="",L3875=""),"",IF(L3875="Sim",ROUND(F3875-D3875,2),0)))</f>
        <v/>
      </c>
      <c r="K3875" s="97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inlineStr">
        <is>
          <t>Nao</t>
        </is>
      </c>
      <c r="W3875" s="110" t="inlineStr">
        <is>
          <t>PC em analise</t>
        </is>
      </c>
      <c r="X3875" s="110" t="inlineStr">
        <is>
          <t>Pedido de Compra</t>
        </is>
      </c>
      <c r="Y3875" s="111" t="inlineStr">
        <is>
          <t>Impacto Potencial</t>
        </is>
      </c>
      <c r="Z3875" s="111" t="inlineStr">
        <is>
          <t>PC</t>
        </is>
      </c>
      <c r="AA3875" s="111" t="inlineStr">
        <is>
          <t>Nao</t>
        </is>
      </c>
      <c r="AB3875" s="111" t="inlineStr">
        <is>
          <t>NAO_COMPUTADO</t>
        </is>
      </c>
      <c r="AC3875" s="112" t="inlineStr">
        <is>
          <t>Estrutura Fase 1: sem impacto no VTA oficial</t>
        </is>
      </c>
    </row>
    <row r="3876" ht="25.5" customHeight="1" s="289">
      <c r="A3876" s="205" t="n"/>
      <c r="B3876" s="207" t="n"/>
      <c r="C3876" s="104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348" t="n"/>
      <c r="E3876" s="349">
        <f>IF(C3876="","",IFERROR(VLOOKUP(C3876,parametros!$A$11:$E$15,5,0),""))</f>
        <v/>
      </c>
      <c r="F3876" s="335">
        <f>IF(OR(D3876="",E3876=""),"",ROUND(D3876*E3876,2))</f>
        <v/>
      </c>
      <c r="G3876" s="106" t="n"/>
      <c r="H3876" s="350">
        <f>IF(G3876="Sim",IF(OR(F3876="",D3876="",L3876=""),"",IF(L3876="Sim",ROUND(F3876-D3876,2),0)),0)</f>
        <v/>
      </c>
      <c r="I3876" s="350">
        <f>IF(G3876="Sim",0,IF(OR(F3876="",L3876=""),"",F3876))</f>
        <v/>
      </c>
      <c r="J3876" s="350">
        <f>IF(G3876="Sim",0,IF(OR(F3876="",D3876="",L3876=""),"",IF(L3876="Sim",ROUND(F3876-D3876,2),0)))</f>
        <v/>
      </c>
      <c r="K3876" s="97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inlineStr">
        <is>
          <t>Nao</t>
        </is>
      </c>
      <c r="W3876" s="110" t="inlineStr">
        <is>
          <t>PC em analise</t>
        </is>
      </c>
      <c r="X3876" s="110" t="inlineStr">
        <is>
          <t>Pedido de Compra</t>
        </is>
      </c>
      <c r="Y3876" s="111" t="inlineStr">
        <is>
          <t>Impacto Potencial</t>
        </is>
      </c>
      <c r="Z3876" s="111" t="inlineStr">
        <is>
          <t>PC</t>
        </is>
      </c>
      <c r="AA3876" s="111" t="inlineStr">
        <is>
          <t>Nao</t>
        </is>
      </c>
      <c r="AB3876" s="111" t="inlineStr">
        <is>
          <t>NAO_COMPUTADO</t>
        </is>
      </c>
      <c r="AC3876" s="112" t="inlineStr">
        <is>
          <t>Estrutura Fase 1: sem impacto no VTA oficial</t>
        </is>
      </c>
    </row>
    <row r="3877" ht="25.5" customHeight="1" s="289">
      <c r="A3877" s="205" t="n"/>
      <c r="B3877" s="207" t="n"/>
      <c r="C3877" s="104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348" t="n"/>
      <c r="E3877" s="349">
        <f>IF(C3877="","",IFERROR(VLOOKUP(C3877,parametros!$A$11:$E$15,5,0),""))</f>
        <v/>
      </c>
      <c r="F3877" s="335">
        <f>IF(OR(D3877="",E3877=""),"",ROUND(D3877*E3877,2))</f>
        <v/>
      </c>
      <c r="G3877" s="106" t="n"/>
      <c r="H3877" s="350">
        <f>IF(G3877="Sim",IF(OR(F3877="",D3877="",L3877=""),"",IF(L3877="Sim",ROUND(F3877-D3877,2),0)),0)</f>
        <v/>
      </c>
      <c r="I3877" s="350">
        <f>IF(G3877="Sim",0,IF(OR(F3877="",L3877=""),"",F3877))</f>
        <v/>
      </c>
      <c r="J3877" s="350">
        <f>IF(G3877="Sim",0,IF(OR(F3877="",D3877="",L3877=""),"",IF(L3877="Sim",ROUND(F3877-D3877,2),0)))</f>
        <v/>
      </c>
      <c r="K3877" s="97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inlineStr">
        <is>
          <t>Nao</t>
        </is>
      </c>
      <c r="W3877" s="110" t="inlineStr">
        <is>
          <t>PC em analise</t>
        </is>
      </c>
      <c r="X3877" s="110" t="inlineStr">
        <is>
          <t>Pedido de Compra</t>
        </is>
      </c>
      <c r="Y3877" s="111" t="inlineStr">
        <is>
          <t>Impacto Potencial</t>
        </is>
      </c>
      <c r="Z3877" s="111" t="inlineStr">
        <is>
          <t>PC</t>
        </is>
      </c>
      <c r="AA3877" s="111" t="inlineStr">
        <is>
          <t>Nao</t>
        </is>
      </c>
      <c r="AB3877" s="111" t="inlineStr">
        <is>
          <t>NAO_COMPUTADO</t>
        </is>
      </c>
      <c r="AC3877" s="112" t="inlineStr">
        <is>
          <t>Estrutura Fase 1: sem impacto no VTA oficial</t>
        </is>
      </c>
    </row>
    <row r="3878" ht="25.5" customHeight="1" s="289">
      <c r="A3878" s="205" t="n"/>
      <c r="B3878" s="207" t="n"/>
      <c r="C3878" s="104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348" t="n"/>
      <c r="E3878" s="349">
        <f>IF(C3878="","",IFERROR(VLOOKUP(C3878,parametros!$A$11:$E$15,5,0),""))</f>
        <v/>
      </c>
      <c r="F3878" s="335">
        <f>IF(OR(D3878="",E3878=""),"",ROUND(D3878*E3878,2))</f>
        <v/>
      </c>
      <c r="G3878" s="106" t="n"/>
      <c r="H3878" s="350">
        <f>IF(G3878="Sim",IF(OR(F3878="",D3878="",L3878=""),"",IF(L3878="Sim",ROUND(F3878-D3878,2),0)),0)</f>
        <v/>
      </c>
      <c r="I3878" s="350">
        <f>IF(G3878="Sim",0,IF(OR(F3878="",L3878=""),"",F3878))</f>
        <v/>
      </c>
      <c r="J3878" s="350">
        <f>IF(G3878="Sim",0,IF(OR(F3878="",D3878="",L3878=""),"",IF(L3878="Sim",ROUND(F3878-D3878,2),0)))</f>
        <v/>
      </c>
      <c r="K3878" s="97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inlineStr">
        <is>
          <t>Nao</t>
        </is>
      </c>
      <c r="W3878" s="110" t="inlineStr">
        <is>
          <t>PC em analise</t>
        </is>
      </c>
      <c r="X3878" s="110" t="inlineStr">
        <is>
          <t>Pedido de Compra</t>
        </is>
      </c>
      <c r="Y3878" s="111" t="inlineStr">
        <is>
          <t>Impacto Potencial</t>
        </is>
      </c>
      <c r="Z3878" s="111" t="inlineStr">
        <is>
          <t>PC</t>
        </is>
      </c>
      <c r="AA3878" s="111" t="inlineStr">
        <is>
          <t>Nao</t>
        </is>
      </c>
      <c r="AB3878" s="111" t="inlineStr">
        <is>
          <t>NAO_COMPUTADO</t>
        </is>
      </c>
      <c r="AC3878" s="112" t="inlineStr">
        <is>
          <t>Estrutura Fase 1: sem impacto no VTA oficial</t>
        </is>
      </c>
    </row>
    <row r="3879" ht="25.5" customHeight="1" s="289">
      <c r="A3879" s="205" t="n"/>
      <c r="B3879" s="207" t="n"/>
      <c r="C3879" s="104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348" t="n"/>
      <c r="E3879" s="349">
        <f>IF(C3879="","",IFERROR(VLOOKUP(C3879,parametros!$A$11:$E$15,5,0),""))</f>
        <v/>
      </c>
      <c r="F3879" s="335">
        <f>IF(OR(D3879="",E3879=""),"",ROUND(D3879*E3879,2))</f>
        <v/>
      </c>
      <c r="G3879" s="106" t="n"/>
      <c r="H3879" s="350">
        <f>IF(G3879="Sim",IF(OR(F3879="",D3879="",L3879=""),"",IF(L3879="Sim",ROUND(F3879-D3879,2),0)),0)</f>
        <v/>
      </c>
      <c r="I3879" s="350">
        <f>IF(G3879="Sim",0,IF(OR(F3879="",L3879=""),"",F3879))</f>
        <v/>
      </c>
      <c r="J3879" s="350">
        <f>IF(G3879="Sim",0,IF(OR(F3879="",D3879="",L3879=""),"",IF(L3879="Sim",ROUND(F3879-D3879,2),0)))</f>
        <v/>
      </c>
      <c r="K3879" s="97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inlineStr">
        <is>
          <t>Nao</t>
        </is>
      </c>
      <c r="W3879" s="110" t="inlineStr">
        <is>
          <t>PC em analise</t>
        </is>
      </c>
      <c r="X3879" s="110" t="inlineStr">
        <is>
          <t>Pedido de Compra</t>
        </is>
      </c>
      <c r="Y3879" s="111" t="inlineStr">
        <is>
          <t>Impacto Potencial</t>
        </is>
      </c>
      <c r="Z3879" s="111" t="inlineStr">
        <is>
          <t>PC</t>
        </is>
      </c>
      <c r="AA3879" s="111" t="inlineStr">
        <is>
          <t>Nao</t>
        </is>
      </c>
      <c r="AB3879" s="111" t="inlineStr">
        <is>
          <t>NAO_COMPUTADO</t>
        </is>
      </c>
      <c r="AC3879" s="112" t="inlineStr">
        <is>
          <t>Estrutura Fase 1: sem impacto no VTA oficial</t>
        </is>
      </c>
    </row>
    <row r="3880" ht="25.5" customHeight="1" s="289">
      <c r="A3880" s="205" t="n"/>
      <c r="B3880" s="207" t="n"/>
      <c r="C3880" s="104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348" t="n"/>
      <c r="E3880" s="349">
        <f>IF(C3880="","",IFERROR(VLOOKUP(C3880,parametros!$A$11:$E$15,5,0),""))</f>
        <v/>
      </c>
      <c r="F3880" s="335">
        <f>IF(OR(D3880="",E3880=""),"",ROUND(D3880*E3880,2))</f>
        <v/>
      </c>
      <c r="G3880" s="106" t="n"/>
      <c r="H3880" s="350">
        <f>IF(G3880="Sim",IF(OR(F3880="",D3880="",L3880=""),"",IF(L3880="Sim",ROUND(F3880-D3880,2),0)),0)</f>
        <v/>
      </c>
      <c r="I3880" s="350">
        <f>IF(G3880="Sim",0,IF(OR(F3880="",L3880=""),"",F3880))</f>
        <v/>
      </c>
      <c r="J3880" s="350">
        <f>IF(G3880="Sim",0,IF(OR(F3880="",D3880="",L3880=""),"",IF(L3880="Sim",ROUND(F3880-D3880,2),0)))</f>
        <v/>
      </c>
      <c r="K3880" s="97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inlineStr">
        <is>
          <t>Nao</t>
        </is>
      </c>
      <c r="W3880" s="110" t="inlineStr">
        <is>
          <t>PC em analise</t>
        </is>
      </c>
      <c r="X3880" s="110" t="inlineStr">
        <is>
          <t>Pedido de Compra</t>
        </is>
      </c>
      <c r="Y3880" s="111" t="inlineStr">
        <is>
          <t>Impacto Potencial</t>
        </is>
      </c>
      <c r="Z3880" s="111" t="inlineStr">
        <is>
          <t>PC</t>
        </is>
      </c>
      <c r="AA3880" s="111" t="inlineStr">
        <is>
          <t>Nao</t>
        </is>
      </c>
      <c r="AB3880" s="111" t="inlineStr">
        <is>
          <t>NAO_COMPUTADO</t>
        </is>
      </c>
      <c r="AC3880" s="112" t="inlineStr">
        <is>
          <t>Estrutura Fase 1: sem impacto no VTA oficial</t>
        </is>
      </c>
    </row>
    <row r="3881" ht="25.5" customHeight="1" s="289">
      <c r="A3881" s="205" t="n"/>
      <c r="B3881" s="207" t="n"/>
      <c r="C3881" s="104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348" t="n"/>
      <c r="E3881" s="349">
        <f>IF(C3881="","",IFERROR(VLOOKUP(C3881,parametros!$A$11:$E$15,5,0),""))</f>
        <v/>
      </c>
      <c r="F3881" s="335">
        <f>IF(OR(D3881="",E3881=""),"",ROUND(D3881*E3881,2))</f>
        <v/>
      </c>
      <c r="G3881" s="106" t="n"/>
      <c r="H3881" s="350">
        <f>IF(G3881="Sim",IF(OR(F3881="",D3881="",L3881=""),"",IF(L3881="Sim",ROUND(F3881-D3881,2),0)),0)</f>
        <v/>
      </c>
      <c r="I3881" s="350">
        <f>IF(G3881="Sim",0,IF(OR(F3881="",L3881=""),"",F3881))</f>
        <v/>
      </c>
      <c r="J3881" s="350">
        <f>IF(G3881="Sim",0,IF(OR(F3881="",D3881="",L3881=""),"",IF(L3881="Sim",ROUND(F3881-D3881,2),0)))</f>
        <v/>
      </c>
      <c r="K3881" s="97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inlineStr">
        <is>
          <t>Nao</t>
        </is>
      </c>
      <c r="W3881" s="110" t="inlineStr">
        <is>
          <t>PC em analise</t>
        </is>
      </c>
      <c r="X3881" s="110" t="inlineStr">
        <is>
          <t>Pedido de Compra</t>
        </is>
      </c>
      <c r="Y3881" s="111" t="inlineStr">
        <is>
          <t>Impacto Potencial</t>
        </is>
      </c>
      <c r="Z3881" s="111" t="inlineStr">
        <is>
          <t>PC</t>
        </is>
      </c>
      <c r="AA3881" s="111" t="inlineStr">
        <is>
          <t>Nao</t>
        </is>
      </c>
      <c r="AB3881" s="111" t="inlineStr">
        <is>
          <t>NAO_COMPUTADO</t>
        </is>
      </c>
      <c r="AC3881" s="112" t="inlineStr">
        <is>
          <t>Estrutura Fase 1: sem impacto no VTA oficial</t>
        </is>
      </c>
    </row>
    <row r="3882" ht="25.5" customHeight="1" s="289">
      <c r="A3882" s="205" t="n"/>
      <c r="B3882" s="207" t="n"/>
      <c r="C3882" s="104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348" t="n"/>
      <c r="E3882" s="349">
        <f>IF(C3882="","",IFERROR(VLOOKUP(C3882,parametros!$A$11:$E$15,5,0),""))</f>
        <v/>
      </c>
      <c r="F3882" s="335">
        <f>IF(OR(D3882="",E3882=""),"",ROUND(D3882*E3882,2))</f>
        <v/>
      </c>
      <c r="G3882" s="106" t="n"/>
      <c r="H3882" s="350">
        <f>IF(G3882="Sim",IF(OR(F3882="",D3882="",L3882=""),"",IF(L3882="Sim",ROUND(F3882-D3882,2),0)),0)</f>
        <v/>
      </c>
      <c r="I3882" s="350">
        <f>IF(G3882="Sim",0,IF(OR(F3882="",L3882=""),"",F3882))</f>
        <v/>
      </c>
      <c r="J3882" s="350">
        <f>IF(G3882="Sim",0,IF(OR(F3882="",D3882="",L3882=""),"",IF(L3882="Sim",ROUND(F3882-D3882,2),0)))</f>
        <v/>
      </c>
      <c r="K3882" s="97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inlineStr">
        <is>
          <t>Nao</t>
        </is>
      </c>
      <c r="W3882" s="110" t="inlineStr">
        <is>
          <t>PC em analise</t>
        </is>
      </c>
      <c r="X3882" s="110" t="inlineStr">
        <is>
          <t>Pedido de Compra</t>
        </is>
      </c>
      <c r="Y3882" s="111" t="inlineStr">
        <is>
          <t>Impacto Potencial</t>
        </is>
      </c>
      <c r="Z3882" s="111" t="inlineStr">
        <is>
          <t>PC</t>
        </is>
      </c>
      <c r="AA3882" s="111" t="inlineStr">
        <is>
          <t>Nao</t>
        </is>
      </c>
      <c r="AB3882" s="111" t="inlineStr">
        <is>
          <t>NAO_COMPUTADO</t>
        </is>
      </c>
      <c r="AC3882" s="112" t="inlineStr">
        <is>
          <t>Estrutura Fase 1: sem impacto no VTA oficial</t>
        </is>
      </c>
    </row>
    <row r="3883" ht="25.5" customHeight="1" s="289">
      <c r="A3883" s="205" t="n"/>
      <c r="B3883" s="207" t="n"/>
      <c r="C3883" s="104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348" t="n"/>
      <c r="E3883" s="349">
        <f>IF(C3883="","",IFERROR(VLOOKUP(C3883,parametros!$A$11:$E$15,5,0),""))</f>
        <v/>
      </c>
      <c r="F3883" s="335">
        <f>IF(OR(D3883="",E3883=""),"",ROUND(D3883*E3883,2))</f>
        <v/>
      </c>
      <c r="G3883" s="106" t="n"/>
      <c r="H3883" s="350">
        <f>IF(G3883="Sim",IF(OR(F3883="",D3883="",L3883=""),"",IF(L3883="Sim",ROUND(F3883-D3883,2),0)),0)</f>
        <v/>
      </c>
      <c r="I3883" s="350">
        <f>IF(G3883="Sim",0,IF(OR(F3883="",L3883=""),"",F3883))</f>
        <v/>
      </c>
      <c r="J3883" s="350">
        <f>IF(G3883="Sim",0,IF(OR(F3883="",D3883="",L3883=""),"",IF(L3883="Sim",ROUND(F3883-D3883,2),0)))</f>
        <v/>
      </c>
      <c r="K3883" s="97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inlineStr">
        <is>
          <t>Nao</t>
        </is>
      </c>
      <c r="W3883" s="110" t="inlineStr">
        <is>
          <t>PC em analise</t>
        </is>
      </c>
      <c r="X3883" s="110" t="inlineStr">
        <is>
          <t>Pedido de Compra</t>
        </is>
      </c>
      <c r="Y3883" s="111" t="inlineStr">
        <is>
          <t>Impacto Potencial</t>
        </is>
      </c>
      <c r="Z3883" s="111" t="inlineStr">
        <is>
          <t>PC</t>
        </is>
      </c>
      <c r="AA3883" s="111" t="inlineStr">
        <is>
          <t>Nao</t>
        </is>
      </c>
      <c r="AB3883" s="111" t="inlineStr">
        <is>
          <t>NAO_COMPUTADO</t>
        </is>
      </c>
      <c r="AC3883" s="112" t="inlineStr">
        <is>
          <t>Estrutura Fase 1: sem impacto no VTA oficial</t>
        </is>
      </c>
    </row>
    <row r="3884" ht="25.5" customHeight="1" s="289">
      <c r="A3884" s="205" t="n"/>
      <c r="B3884" s="207" t="n"/>
      <c r="C3884" s="104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348" t="n"/>
      <c r="E3884" s="349">
        <f>IF(C3884="","",IFERROR(VLOOKUP(C3884,parametros!$A$11:$E$15,5,0),""))</f>
        <v/>
      </c>
      <c r="F3884" s="335">
        <f>IF(OR(D3884="",E3884=""),"",ROUND(D3884*E3884,2))</f>
        <v/>
      </c>
      <c r="G3884" s="106" t="n"/>
      <c r="H3884" s="350">
        <f>IF(G3884="Sim",IF(OR(F3884="",D3884="",L3884=""),"",IF(L3884="Sim",ROUND(F3884-D3884,2),0)),0)</f>
        <v/>
      </c>
      <c r="I3884" s="350">
        <f>IF(G3884="Sim",0,IF(OR(F3884="",L3884=""),"",F3884))</f>
        <v/>
      </c>
      <c r="J3884" s="350">
        <f>IF(G3884="Sim",0,IF(OR(F3884="",D3884="",L3884=""),"",IF(L3884="Sim",ROUND(F3884-D3884,2),0)))</f>
        <v/>
      </c>
      <c r="K3884" s="97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inlineStr">
        <is>
          <t>Nao</t>
        </is>
      </c>
      <c r="W3884" s="110" t="inlineStr">
        <is>
          <t>PC em analise</t>
        </is>
      </c>
      <c r="X3884" s="110" t="inlineStr">
        <is>
          <t>Pedido de Compra</t>
        </is>
      </c>
      <c r="Y3884" s="111" t="inlineStr">
        <is>
          <t>Impacto Potencial</t>
        </is>
      </c>
      <c r="Z3884" s="111" t="inlineStr">
        <is>
          <t>PC</t>
        </is>
      </c>
      <c r="AA3884" s="111" t="inlineStr">
        <is>
          <t>Nao</t>
        </is>
      </c>
      <c r="AB3884" s="111" t="inlineStr">
        <is>
          <t>NAO_COMPUTADO</t>
        </is>
      </c>
      <c r="AC3884" s="112" t="inlineStr">
        <is>
          <t>Estrutura Fase 1: sem impacto no VTA oficial</t>
        </is>
      </c>
    </row>
    <row r="3885" ht="25.5" customHeight="1" s="289">
      <c r="A3885" s="205" t="n"/>
      <c r="B3885" s="207" t="n"/>
      <c r="C3885" s="104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348" t="n"/>
      <c r="E3885" s="349">
        <f>IF(C3885="","",IFERROR(VLOOKUP(C3885,parametros!$A$11:$E$15,5,0),""))</f>
        <v/>
      </c>
      <c r="F3885" s="335">
        <f>IF(OR(D3885="",E3885=""),"",ROUND(D3885*E3885,2))</f>
        <v/>
      </c>
      <c r="G3885" s="106" t="n"/>
      <c r="H3885" s="350">
        <f>IF(G3885="Sim",IF(OR(F3885="",D3885="",L3885=""),"",IF(L3885="Sim",ROUND(F3885-D3885,2),0)),0)</f>
        <v/>
      </c>
      <c r="I3885" s="350">
        <f>IF(G3885="Sim",0,IF(OR(F3885="",L3885=""),"",F3885))</f>
        <v/>
      </c>
      <c r="J3885" s="350">
        <f>IF(G3885="Sim",0,IF(OR(F3885="",D3885="",L3885=""),"",IF(L3885="Sim",ROUND(F3885-D3885,2),0)))</f>
        <v/>
      </c>
      <c r="K3885" s="97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inlineStr">
        <is>
          <t>Nao</t>
        </is>
      </c>
      <c r="W3885" s="110" t="inlineStr">
        <is>
          <t>PC em analise</t>
        </is>
      </c>
      <c r="X3885" s="110" t="inlineStr">
        <is>
          <t>Pedido de Compra</t>
        </is>
      </c>
      <c r="Y3885" s="111" t="inlineStr">
        <is>
          <t>Impacto Potencial</t>
        </is>
      </c>
      <c r="Z3885" s="111" t="inlineStr">
        <is>
          <t>PC</t>
        </is>
      </c>
      <c r="AA3885" s="111" t="inlineStr">
        <is>
          <t>Nao</t>
        </is>
      </c>
      <c r="AB3885" s="111" t="inlineStr">
        <is>
          <t>NAO_COMPUTADO</t>
        </is>
      </c>
      <c r="AC3885" s="112" t="inlineStr">
        <is>
          <t>Estrutura Fase 1: sem impacto no VTA oficial</t>
        </is>
      </c>
    </row>
    <row r="3886" ht="25.5" customHeight="1" s="289">
      <c r="A3886" s="205" t="n"/>
      <c r="B3886" s="207" t="n"/>
      <c r="C3886" s="104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348" t="n"/>
      <c r="E3886" s="349">
        <f>IF(C3886="","",IFERROR(VLOOKUP(C3886,parametros!$A$11:$E$15,5,0),""))</f>
        <v/>
      </c>
      <c r="F3886" s="335">
        <f>IF(OR(D3886="",E3886=""),"",ROUND(D3886*E3886,2))</f>
        <v/>
      </c>
      <c r="G3886" s="106" t="n"/>
      <c r="H3886" s="350">
        <f>IF(G3886="Sim",IF(OR(F3886="",D3886="",L3886=""),"",IF(L3886="Sim",ROUND(F3886-D3886,2),0)),0)</f>
        <v/>
      </c>
      <c r="I3886" s="350">
        <f>IF(G3886="Sim",0,IF(OR(F3886="",L3886=""),"",F3886))</f>
        <v/>
      </c>
      <c r="J3886" s="350">
        <f>IF(G3886="Sim",0,IF(OR(F3886="",D3886="",L3886=""),"",IF(L3886="Sim",ROUND(F3886-D3886,2),0)))</f>
        <v/>
      </c>
      <c r="K3886" s="97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inlineStr">
        <is>
          <t>Nao</t>
        </is>
      </c>
      <c r="W3886" s="110" t="inlineStr">
        <is>
          <t>PC em analise</t>
        </is>
      </c>
      <c r="X3886" s="110" t="inlineStr">
        <is>
          <t>Pedido de Compra</t>
        </is>
      </c>
      <c r="Y3886" s="111" t="inlineStr">
        <is>
          <t>Impacto Potencial</t>
        </is>
      </c>
      <c r="Z3886" s="111" t="inlineStr">
        <is>
          <t>PC</t>
        </is>
      </c>
      <c r="AA3886" s="111" t="inlineStr">
        <is>
          <t>Nao</t>
        </is>
      </c>
      <c r="AB3886" s="111" t="inlineStr">
        <is>
          <t>NAO_COMPUTADO</t>
        </is>
      </c>
      <c r="AC3886" s="112" t="inlineStr">
        <is>
          <t>Estrutura Fase 1: sem impacto no VTA oficial</t>
        </is>
      </c>
    </row>
    <row r="3887" ht="25.5" customHeight="1" s="289">
      <c r="A3887" s="205" t="n"/>
      <c r="B3887" s="207" t="n"/>
      <c r="C3887" s="104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348" t="n"/>
      <c r="E3887" s="349">
        <f>IF(C3887="","",IFERROR(VLOOKUP(C3887,parametros!$A$11:$E$15,5,0),""))</f>
        <v/>
      </c>
      <c r="F3887" s="335">
        <f>IF(OR(D3887="",E3887=""),"",ROUND(D3887*E3887,2))</f>
        <v/>
      </c>
      <c r="G3887" s="106" t="n"/>
      <c r="H3887" s="350">
        <f>IF(G3887="Sim",IF(OR(F3887="",D3887="",L3887=""),"",IF(L3887="Sim",ROUND(F3887-D3887,2),0)),0)</f>
        <v/>
      </c>
      <c r="I3887" s="350">
        <f>IF(G3887="Sim",0,IF(OR(F3887="",L3887=""),"",F3887))</f>
        <v/>
      </c>
      <c r="J3887" s="350">
        <f>IF(G3887="Sim",0,IF(OR(F3887="",D3887="",L3887=""),"",IF(L3887="Sim",ROUND(F3887-D3887,2),0)))</f>
        <v/>
      </c>
      <c r="K3887" s="97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inlineStr">
        <is>
          <t>Nao</t>
        </is>
      </c>
      <c r="W3887" s="110" t="inlineStr">
        <is>
          <t>PC em analise</t>
        </is>
      </c>
      <c r="X3887" s="110" t="inlineStr">
        <is>
          <t>Pedido de Compra</t>
        </is>
      </c>
      <c r="Y3887" s="111" t="inlineStr">
        <is>
          <t>Impacto Potencial</t>
        </is>
      </c>
      <c r="Z3887" s="111" t="inlineStr">
        <is>
          <t>PC</t>
        </is>
      </c>
      <c r="AA3887" s="111" t="inlineStr">
        <is>
          <t>Nao</t>
        </is>
      </c>
      <c r="AB3887" s="111" t="inlineStr">
        <is>
          <t>NAO_COMPUTADO</t>
        </is>
      </c>
      <c r="AC3887" s="112" t="inlineStr">
        <is>
          <t>Estrutura Fase 1: sem impacto no VTA oficial</t>
        </is>
      </c>
    </row>
    <row r="3888" ht="25.5" customHeight="1" s="289">
      <c r="A3888" s="205" t="n"/>
      <c r="B3888" s="207" t="n"/>
      <c r="C3888" s="104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348" t="n"/>
      <c r="E3888" s="349">
        <f>IF(C3888="","",IFERROR(VLOOKUP(C3888,parametros!$A$11:$E$15,5,0),""))</f>
        <v/>
      </c>
      <c r="F3888" s="335">
        <f>IF(OR(D3888="",E3888=""),"",ROUND(D3888*E3888,2))</f>
        <v/>
      </c>
      <c r="G3888" s="106" t="n"/>
      <c r="H3888" s="350">
        <f>IF(G3888="Sim",IF(OR(F3888="",D3888="",L3888=""),"",IF(L3888="Sim",ROUND(F3888-D3888,2),0)),0)</f>
        <v/>
      </c>
      <c r="I3888" s="350">
        <f>IF(G3888="Sim",0,IF(OR(F3888="",L3888=""),"",F3888))</f>
        <v/>
      </c>
      <c r="J3888" s="350">
        <f>IF(G3888="Sim",0,IF(OR(F3888="",D3888="",L3888=""),"",IF(L3888="Sim",ROUND(F3888-D3888,2),0)))</f>
        <v/>
      </c>
      <c r="K3888" s="97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inlineStr">
        <is>
          <t>Nao</t>
        </is>
      </c>
      <c r="W3888" s="110" t="inlineStr">
        <is>
          <t>PC em analise</t>
        </is>
      </c>
      <c r="X3888" s="110" t="inlineStr">
        <is>
          <t>Pedido de Compra</t>
        </is>
      </c>
      <c r="Y3888" s="111" t="inlineStr">
        <is>
          <t>Impacto Potencial</t>
        </is>
      </c>
      <c r="Z3888" s="111" t="inlineStr">
        <is>
          <t>PC</t>
        </is>
      </c>
      <c r="AA3888" s="111" t="inlineStr">
        <is>
          <t>Nao</t>
        </is>
      </c>
      <c r="AB3888" s="111" t="inlineStr">
        <is>
          <t>NAO_COMPUTADO</t>
        </is>
      </c>
      <c r="AC3888" s="112" t="inlineStr">
        <is>
          <t>Estrutura Fase 1: sem impacto no VTA oficial</t>
        </is>
      </c>
    </row>
    <row r="3889" ht="25.5" customHeight="1" s="289">
      <c r="A3889" s="205" t="n"/>
      <c r="B3889" s="207" t="n"/>
      <c r="C3889" s="104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348" t="n"/>
      <c r="E3889" s="349">
        <f>IF(C3889="","",IFERROR(VLOOKUP(C3889,parametros!$A$11:$E$15,5,0),""))</f>
        <v/>
      </c>
      <c r="F3889" s="335">
        <f>IF(OR(D3889="",E3889=""),"",ROUND(D3889*E3889,2))</f>
        <v/>
      </c>
      <c r="G3889" s="106" t="n"/>
      <c r="H3889" s="350">
        <f>IF(G3889="Sim",IF(OR(F3889="",D3889="",L3889=""),"",IF(L3889="Sim",ROUND(F3889-D3889,2),0)),0)</f>
        <v/>
      </c>
      <c r="I3889" s="350">
        <f>IF(G3889="Sim",0,IF(OR(F3889="",L3889=""),"",F3889))</f>
        <v/>
      </c>
      <c r="J3889" s="350">
        <f>IF(G3889="Sim",0,IF(OR(F3889="",D3889="",L3889=""),"",IF(L3889="Sim",ROUND(F3889-D3889,2),0)))</f>
        <v/>
      </c>
      <c r="K3889" s="97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inlineStr">
        <is>
          <t>Nao</t>
        </is>
      </c>
      <c r="W3889" s="110" t="inlineStr">
        <is>
          <t>PC em analise</t>
        </is>
      </c>
      <c r="X3889" s="110" t="inlineStr">
        <is>
          <t>Pedido de Compra</t>
        </is>
      </c>
      <c r="Y3889" s="111" t="inlineStr">
        <is>
          <t>Impacto Potencial</t>
        </is>
      </c>
      <c r="Z3889" s="111" t="inlineStr">
        <is>
          <t>PC</t>
        </is>
      </c>
      <c r="AA3889" s="111" t="inlineStr">
        <is>
          <t>Nao</t>
        </is>
      </c>
      <c r="AB3889" s="111" t="inlineStr">
        <is>
          <t>NAO_COMPUTADO</t>
        </is>
      </c>
      <c r="AC3889" s="112" t="inlineStr">
        <is>
          <t>Estrutura Fase 1: sem impacto no VTA oficial</t>
        </is>
      </c>
    </row>
    <row r="3890" ht="25.5" customHeight="1" s="289">
      <c r="A3890" s="205" t="n"/>
      <c r="B3890" s="207" t="n"/>
      <c r="C3890" s="104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348" t="n"/>
      <c r="E3890" s="349">
        <f>IF(C3890="","",IFERROR(VLOOKUP(C3890,parametros!$A$11:$E$15,5,0),""))</f>
        <v/>
      </c>
      <c r="F3890" s="335">
        <f>IF(OR(D3890="",E3890=""),"",ROUND(D3890*E3890,2))</f>
        <v/>
      </c>
      <c r="G3890" s="106" t="n"/>
      <c r="H3890" s="350">
        <f>IF(G3890="Sim",IF(OR(F3890="",D3890="",L3890=""),"",IF(L3890="Sim",ROUND(F3890-D3890,2),0)),0)</f>
        <v/>
      </c>
      <c r="I3890" s="350">
        <f>IF(G3890="Sim",0,IF(OR(F3890="",L3890=""),"",F3890))</f>
        <v/>
      </c>
      <c r="J3890" s="350">
        <f>IF(G3890="Sim",0,IF(OR(F3890="",D3890="",L3890=""),"",IF(L3890="Sim",ROUND(F3890-D3890,2),0)))</f>
        <v/>
      </c>
      <c r="K3890" s="97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inlineStr">
        <is>
          <t>Nao</t>
        </is>
      </c>
      <c r="W3890" s="110" t="inlineStr">
        <is>
          <t>PC em analise</t>
        </is>
      </c>
      <c r="X3890" s="110" t="inlineStr">
        <is>
          <t>Pedido de Compra</t>
        </is>
      </c>
      <c r="Y3890" s="111" t="inlineStr">
        <is>
          <t>Impacto Potencial</t>
        </is>
      </c>
      <c r="Z3890" s="111" t="inlineStr">
        <is>
          <t>PC</t>
        </is>
      </c>
      <c r="AA3890" s="111" t="inlineStr">
        <is>
          <t>Nao</t>
        </is>
      </c>
      <c r="AB3890" s="111" t="inlineStr">
        <is>
          <t>NAO_COMPUTADO</t>
        </is>
      </c>
      <c r="AC3890" s="112" t="inlineStr">
        <is>
          <t>Estrutura Fase 1: sem impacto no VTA oficial</t>
        </is>
      </c>
    </row>
    <row r="3891" ht="25.5" customHeight="1" s="289">
      <c r="A3891" s="205" t="n"/>
      <c r="B3891" s="207" t="n"/>
      <c r="C3891" s="104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348" t="n"/>
      <c r="E3891" s="349">
        <f>IF(C3891="","",IFERROR(VLOOKUP(C3891,parametros!$A$11:$E$15,5,0),""))</f>
        <v/>
      </c>
      <c r="F3891" s="335">
        <f>IF(OR(D3891="",E3891=""),"",ROUND(D3891*E3891,2))</f>
        <v/>
      </c>
      <c r="G3891" s="106" t="n"/>
      <c r="H3891" s="350">
        <f>IF(G3891="Sim",IF(OR(F3891="",D3891="",L3891=""),"",IF(L3891="Sim",ROUND(F3891-D3891,2),0)),0)</f>
        <v/>
      </c>
      <c r="I3891" s="350">
        <f>IF(G3891="Sim",0,IF(OR(F3891="",L3891=""),"",F3891))</f>
        <v/>
      </c>
      <c r="J3891" s="350">
        <f>IF(G3891="Sim",0,IF(OR(F3891="",D3891="",L3891=""),"",IF(L3891="Sim",ROUND(F3891-D3891,2),0)))</f>
        <v/>
      </c>
      <c r="K3891" s="97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inlineStr">
        <is>
          <t>Nao</t>
        </is>
      </c>
      <c r="W3891" s="110" t="inlineStr">
        <is>
          <t>PC em analise</t>
        </is>
      </c>
      <c r="X3891" s="110" t="inlineStr">
        <is>
          <t>Pedido de Compra</t>
        </is>
      </c>
      <c r="Y3891" s="111" t="inlineStr">
        <is>
          <t>Impacto Potencial</t>
        </is>
      </c>
      <c r="Z3891" s="111" t="inlineStr">
        <is>
          <t>PC</t>
        </is>
      </c>
      <c r="AA3891" s="111" t="inlineStr">
        <is>
          <t>Nao</t>
        </is>
      </c>
      <c r="AB3891" s="111" t="inlineStr">
        <is>
          <t>NAO_COMPUTADO</t>
        </is>
      </c>
      <c r="AC3891" s="112" t="inlineStr">
        <is>
          <t>Estrutura Fase 1: sem impacto no VTA oficial</t>
        </is>
      </c>
    </row>
    <row r="3892" ht="25.5" customHeight="1" s="289">
      <c r="A3892" s="205" t="n"/>
      <c r="B3892" s="207" t="n"/>
      <c r="C3892" s="104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348" t="n"/>
      <c r="E3892" s="349">
        <f>IF(C3892="","",IFERROR(VLOOKUP(C3892,parametros!$A$11:$E$15,5,0),""))</f>
        <v/>
      </c>
      <c r="F3892" s="335">
        <f>IF(OR(D3892="",E3892=""),"",ROUND(D3892*E3892,2))</f>
        <v/>
      </c>
      <c r="G3892" s="106" t="n"/>
      <c r="H3892" s="350">
        <f>IF(G3892="Sim",IF(OR(F3892="",D3892="",L3892=""),"",IF(L3892="Sim",ROUND(F3892-D3892,2),0)),0)</f>
        <v/>
      </c>
      <c r="I3892" s="350">
        <f>IF(G3892="Sim",0,IF(OR(F3892="",L3892=""),"",F3892))</f>
        <v/>
      </c>
      <c r="J3892" s="350">
        <f>IF(G3892="Sim",0,IF(OR(F3892="",D3892="",L3892=""),"",IF(L3892="Sim",ROUND(F3892-D3892,2),0)))</f>
        <v/>
      </c>
      <c r="K3892" s="97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inlineStr">
        <is>
          <t>Nao</t>
        </is>
      </c>
      <c r="W3892" s="110" t="inlineStr">
        <is>
          <t>PC em analise</t>
        </is>
      </c>
      <c r="X3892" s="110" t="inlineStr">
        <is>
          <t>Pedido de Compra</t>
        </is>
      </c>
      <c r="Y3892" s="111" t="inlineStr">
        <is>
          <t>Impacto Potencial</t>
        </is>
      </c>
      <c r="Z3892" s="111" t="inlineStr">
        <is>
          <t>PC</t>
        </is>
      </c>
      <c r="AA3892" s="111" t="inlineStr">
        <is>
          <t>Nao</t>
        </is>
      </c>
      <c r="AB3892" s="111" t="inlineStr">
        <is>
          <t>NAO_COMPUTADO</t>
        </is>
      </c>
      <c r="AC3892" s="112" t="inlineStr">
        <is>
          <t>Estrutura Fase 1: sem impacto no VTA oficial</t>
        </is>
      </c>
    </row>
    <row r="3893" ht="25.5" customHeight="1" s="289">
      <c r="A3893" s="205" t="n"/>
      <c r="B3893" s="207" t="n"/>
      <c r="C3893" s="104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348" t="n"/>
      <c r="E3893" s="349">
        <f>IF(C3893="","",IFERROR(VLOOKUP(C3893,parametros!$A$11:$E$15,5,0),""))</f>
        <v/>
      </c>
      <c r="F3893" s="335">
        <f>IF(OR(D3893="",E3893=""),"",ROUND(D3893*E3893,2))</f>
        <v/>
      </c>
      <c r="G3893" s="106" t="n"/>
      <c r="H3893" s="350">
        <f>IF(G3893="Sim",IF(OR(F3893="",D3893="",L3893=""),"",IF(L3893="Sim",ROUND(F3893-D3893,2),0)),0)</f>
        <v/>
      </c>
      <c r="I3893" s="350">
        <f>IF(G3893="Sim",0,IF(OR(F3893="",L3893=""),"",F3893))</f>
        <v/>
      </c>
      <c r="J3893" s="350">
        <f>IF(G3893="Sim",0,IF(OR(F3893="",D3893="",L3893=""),"",IF(L3893="Sim",ROUND(F3893-D3893,2),0)))</f>
        <v/>
      </c>
      <c r="K3893" s="97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inlineStr">
        <is>
          <t>Nao</t>
        </is>
      </c>
      <c r="W3893" s="110" t="inlineStr">
        <is>
          <t>PC em analise</t>
        </is>
      </c>
      <c r="X3893" s="110" t="inlineStr">
        <is>
          <t>Pedido de Compra</t>
        </is>
      </c>
      <c r="Y3893" s="111" t="inlineStr">
        <is>
          <t>Impacto Potencial</t>
        </is>
      </c>
      <c r="Z3893" s="111" t="inlineStr">
        <is>
          <t>PC</t>
        </is>
      </c>
      <c r="AA3893" s="111" t="inlineStr">
        <is>
          <t>Nao</t>
        </is>
      </c>
      <c r="AB3893" s="111" t="inlineStr">
        <is>
          <t>NAO_COMPUTADO</t>
        </is>
      </c>
      <c r="AC3893" s="112" t="inlineStr">
        <is>
          <t>Estrutura Fase 1: sem impacto no VTA oficial</t>
        </is>
      </c>
    </row>
    <row r="3894" ht="25.5" customHeight="1" s="289">
      <c r="A3894" s="205" t="n"/>
      <c r="B3894" s="207" t="n"/>
      <c r="C3894" s="104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348" t="n"/>
      <c r="E3894" s="349">
        <f>IF(C3894="","",IFERROR(VLOOKUP(C3894,parametros!$A$11:$E$15,5,0),""))</f>
        <v/>
      </c>
      <c r="F3894" s="335">
        <f>IF(OR(D3894="",E3894=""),"",ROUND(D3894*E3894,2))</f>
        <v/>
      </c>
      <c r="G3894" s="106" t="n"/>
      <c r="H3894" s="350">
        <f>IF(G3894="Sim",IF(OR(F3894="",D3894="",L3894=""),"",IF(L3894="Sim",ROUND(F3894-D3894,2),0)),0)</f>
        <v/>
      </c>
      <c r="I3894" s="350">
        <f>IF(G3894="Sim",0,IF(OR(F3894="",L3894=""),"",F3894))</f>
        <v/>
      </c>
      <c r="J3894" s="350">
        <f>IF(G3894="Sim",0,IF(OR(F3894="",D3894="",L3894=""),"",IF(L3894="Sim",ROUND(F3894-D3894,2),0)))</f>
        <v/>
      </c>
      <c r="K3894" s="97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inlineStr">
        <is>
          <t>Nao</t>
        </is>
      </c>
      <c r="W3894" s="110" t="inlineStr">
        <is>
          <t>PC em analise</t>
        </is>
      </c>
      <c r="X3894" s="110" t="inlineStr">
        <is>
          <t>Pedido de Compra</t>
        </is>
      </c>
      <c r="Y3894" s="111" t="inlineStr">
        <is>
          <t>Impacto Potencial</t>
        </is>
      </c>
      <c r="Z3894" s="111" t="inlineStr">
        <is>
          <t>PC</t>
        </is>
      </c>
      <c r="AA3894" s="111" t="inlineStr">
        <is>
          <t>Nao</t>
        </is>
      </c>
      <c r="AB3894" s="111" t="inlineStr">
        <is>
          <t>NAO_COMPUTADO</t>
        </is>
      </c>
      <c r="AC3894" s="112" t="inlineStr">
        <is>
          <t>Estrutura Fase 1: sem impacto no VTA oficial</t>
        </is>
      </c>
    </row>
    <row r="3895" ht="25.5" customHeight="1" s="289">
      <c r="A3895" s="205" t="n"/>
      <c r="B3895" s="207" t="n"/>
      <c r="C3895" s="104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348" t="n"/>
      <c r="E3895" s="349">
        <f>IF(C3895="","",IFERROR(VLOOKUP(C3895,parametros!$A$11:$E$15,5,0),""))</f>
        <v/>
      </c>
      <c r="F3895" s="335">
        <f>IF(OR(D3895="",E3895=""),"",ROUND(D3895*E3895,2))</f>
        <v/>
      </c>
      <c r="G3895" s="106" t="n"/>
      <c r="H3895" s="350">
        <f>IF(G3895="Sim",IF(OR(F3895="",D3895="",L3895=""),"",IF(L3895="Sim",ROUND(F3895-D3895,2),0)),0)</f>
        <v/>
      </c>
      <c r="I3895" s="350">
        <f>IF(G3895="Sim",0,IF(OR(F3895="",L3895=""),"",F3895))</f>
        <v/>
      </c>
      <c r="J3895" s="350">
        <f>IF(G3895="Sim",0,IF(OR(F3895="",D3895="",L3895=""),"",IF(L3895="Sim",ROUND(F3895-D3895,2),0)))</f>
        <v/>
      </c>
      <c r="K3895" s="97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inlineStr">
        <is>
          <t>Nao</t>
        </is>
      </c>
      <c r="W3895" s="110" t="inlineStr">
        <is>
          <t>PC em analise</t>
        </is>
      </c>
      <c r="X3895" s="110" t="inlineStr">
        <is>
          <t>Pedido de Compra</t>
        </is>
      </c>
      <c r="Y3895" s="111" t="inlineStr">
        <is>
          <t>Impacto Potencial</t>
        </is>
      </c>
      <c r="Z3895" s="111" t="inlineStr">
        <is>
          <t>PC</t>
        </is>
      </c>
      <c r="AA3895" s="111" t="inlineStr">
        <is>
          <t>Nao</t>
        </is>
      </c>
      <c r="AB3895" s="111" t="inlineStr">
        <is>
          <t>NAO_COMPUTADO</t>
        </is>
      </c>
      <c r="AC3895" s="112" t="inlineStr">
        <is>
          <t>Estrutura Fase 1: sem impacto no VTA oficial</t>
        </is>
      </c>
    </row>
    <row r="3896" ht="25.5" customHeight="1" s="289">
      <c r="A3896" s="205" t="n"/>
      <c r="B3896" s="207" t="n"/>
      <c r="C3896" s="104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348" t="n"/>
      <c r="E3896" s="349">
        <f>IF(C3896="","",IFERROR(VLOOKUP(C3896,parametros!$A$11:$E$15,5,0),""))</f>
        <v/>
      </c>
      <c r="F3896" s="335">
        <f>IF(OR(D3896="",E3896=""),"",ROUND(D3896*E3896,2))</f>
        <v/>
      </c>
      <c r="G3896" s="106" t="n"/>
      <c r="H3896" s="350">
        <f>IF(G3896="Sim",IF(OR(F3896="",D3896="",L3896=""),"",IF(L3896="Sim",ROUND(F3896-D3896,2),0)),0)</f>
        <v/>
      </c>
      <c r="I3896" s="350">
        <f>IF(G3896="Sim",0,IF(OR(F3896="",L3896=""),"",F3896))</f>
        <v/>
      </c>
      <c r="J3896" s="350">
        <f>IF(G3896="Sim",0,IF(OR(F3896="",D3896="",L3896=""),"",IF(L3896="Sim",ROUND(F3896-D3896,2),0)))</f>
        <v/>
      </c>
      <c r="K3896" s="97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inlineStr">
        <is>
          <t>Nao</t>
        </is>
      </c>
      <c r="W3896" s="110" t="inlineStr">
        <is>
          <t>PC em analise</t>
        </is>
      </c>
      <c r="X3896" s="110" t="inlineStr">
        <is>
          <t>Pedido de Compra</t>
        </is>
      </c>
      <c r="Y3896" s="111" t="inlineStr">
        <is>
          <t>Impacto Potencial</t>
        </is>
      </c>
      <c r="Z3896" s="111" t="inlineStr">
        <is>
          <t>PC</t>
        </is>
      </c>
      <c r="AA3896" s="111" t="inlineStr">
        <is>
          <t>Nao</t>
        </is>
      </c>
      <c r="AB3896" s="111" t="inlineStr">
        <is>
          <t>NAO_COMPUTADO</t>
        </is>
      </c>
      <c r="AC3896" s="112" t="inlineStr">
        <is>
          <t>Estrutura Fase 1: sem impacto no VTA oficial</t>
        </is>
      </c>
    </row>
    <row r="3897" ht="25.5" customHeight="1" s="289">
      <c r="A3897" s="205" t="n"/>
      <c r="B3897" s="207" t="n"/>
      <c r="C3897" s="104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348" t="n"/>
      <c r="E3897" s="349">
        <f>IF(C3897="","",IFERROR(VLOOKUP(C3897,parametros!$A$11:$E$15,5,0),""))</f>
        <v/>
      </c>
      <c r="F3897" s="335">
        <f>IF(OR(D3897="",E3897=""),"",ROUND(D3897*E3897,2))</f>
        <v/>
      </c>
      <c r="G3897" s="106" t="n"/>
      <c r="H3897" s="350">
        <f>IF(G3897="Sim",IF(OR(F3897="",D3897="",L3897=""),"",IF(L3897="Sim",ROUND(F3897-D3897,2),0)),0)</f>
        <v/>
      </c>
      <c r="I3897" s="350">
        <f>IF(G3897="Sim",0,IF(OR(F3897="",L3897=""),"",F3897))</f>
        <v/>
      </c>
      <c r="J3897" s="350">
        <f>IF(G3897="Sim",0,IF(OR(F3897="",D3897="",L3897=""),"",IF(L3897="Sim",ROUND(F3897-D3897,2),0)))</f>
        <v/>
      </c>
      <c r="K3897" s="97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inlineStr">
        <is>
          <t>Nao</t>
        </is>
      </c>
      <c r="W3897" s="110" t="inlineStr">
        <is>
          <t>PC em analise</t>
        </is>
      </c>
      <c r="X3897" s="110" t="inlineStr">
        <is>
          <t>Pedido de Compra</t>
        </is>
      </c>
      <c r="Y3897" s="111" t="inlineStr">
        <is>
          <t>Impacto Potencial</t>
        </is>
      </c>
      <c r="Z3897" s="111" t="inlineStr">
        <is>
          <t>PC</t>
        </is>
      </c>
      <c r="AA3897" s="111" t="inlineStr">
        <is>
          <t>Nao</t>
        </is>
      </c>
      <c r="AB3897" s="111" t="inlineStr">
        <is>
          <t>NAO_COMPUTADO</t>
        </is>
      </c>
      <c r="AC3897" s="112" t="inlineStr">
        <is>
          <t>Estrutura Fase 1: sem impacto no VTA oficial</t>
        </is>
      </c>
    </row>
    <row r="3898" ht="25.5" customHeight="1" s="289">
      <c r="A3898" s="205" t="n"/>
      <c r="B3898" s="207" t="n"/>
      <c r="C3898" s="104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348" t="n"/>
      <c r="E3898" s="349">
        <f>IF(C3898="","",IFERROR(VLOOKUP(C3898,parametros!$A$11:$E$15,5,0),""))</f>
        <v/>
      </c>
      <c r="F3898" s="335">
        <f>IF(OR(D3898="",E3898=""),"",ROUND(D3898*E3898,2))</f>
        <v/>
      </c>
      <c r="G3898" s="106" t="n"/>
      <c r="H3898" s="350">
        <f>IF(G3898="Sim",IF(OR(F3898="",D3898="",L3898=""),"",IF(L3898="Sim",ROUND(F3898-D3898,2),0)),0)</f>
        <v/>
      </c>
      <c r="I3898" s="350">
        <f>IF(G3898="Sim",0,IF(OR(F3898="",L3898=""),"",F3898))</f>
        <v/>
      </c>
      <c r="J3898" s="350">
        <f>IF(G3898="Sim",0,IF(OR(F3898="",D3898="",L3898=""),"",IF(L3898="Sim",ROUND(F3898-D3898,2),0)))</f>
        <v/>
      </c>
      <c r="K3898" s="97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inlineStr">
        <is>
          <t>Nao</t>
        </is>
      </c>
      <c r="W3898" s="110" t="inlineStr">
        <is>
          <t>PC em analise</t>
        </is>
      </c>
      <c r="X3898" s="110" t="inlineStr">
        <is>
          <t>Pedido de Compra</t>
        </is>
      </c>
      <c r="Y3898" s="111" t="inlineStr">
        <is>
          <t>Impacto Potencial</t>
        </is>
      </c>
      <c r="Z3898" s="111" t="inlineStr">
        <is>
          <t>PC</t>
        </is>
      </c>
      <c r="AA3898" s="111" t="inlineStr">
        <is>
          <t>Nao</t>
        </is>
      </c>
      <c r="AB3898" s="111" t="inlineStr">
        <is>
          <t>NAO_COMPUTADO</t>
        </is>
      </c>
      <c r="AC3898" s="112" t="inlineStr">
        <is>
          <t>Estrutura Fase 1: sem impacto no VTA oficial</t>
        </is>
      </c>
    </row>
    <row r="3899" ht="25.5" customHeight="1" s="289">
      <c r="A3899" s="205" t="n"/>
      <c r="B3899" s="207" t="n"/>
      <c r="C3899" s="104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348" t="n"/>
      <c r="E3899" s="349">
        <f>IF(C3899="","",IFERROR(VLOOKUP(C3899,parametros!$A$11:$E$15,5,0),""))</f>
        <v/>
      </c>
      <c r="F3899" s="335">
        <f>IF(OR(D3899="",E3899=""),"",ROUND(D3899*E3899,2))</f>
        <v/>
      </c>
      <c r="G3899" s="106" t="n"/>
      <c r="H3899" s="350">
        <f>IF(G3899="Sim",IF(OR(F3899="",D3899="",L3899=""),"",IF(L3899="Sim",ROUND(F3899-D3899,2),0)),0)</f>
        <v/>
      </c>
      <c r="I3899" s="350">
        <f>IF(G3899="Sim",0,IF(OR(F3899="",L3899=""),"",F3899))</f>
        <v/>
      </c>
      <c r="J3899" s="350">
        <f>IF(G3899="Sim",0,IF(OR(F3899="",D3899="",L3899=""),"",IF(L3899="Sim",ROUND(F3899-D3899,2),0)))</f>
        <v/>
      </c>
      <c r="K3899" s="97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inlineStr">
        <is>
          <t>Nao</t>
        </is>
      </c>
      <c r="W3899" s="110" t="inlineStr">
        <is>
          <t>PC em analise</t>
        </is>
      </c>
      <c r="X3899" s="110" t="inlineStr">
        <is>
          <t>Pedido de Compra</t>
        </is>
      </c>
      <c r="Y3899" s="111" t="inlineStr">
        <is>
          <t>Impacto Potencial</t>
        </is>
      </c>
      <c r="Z3899" s="111" t="inlineStr">
        <is>
          <t>PC</t>
        </is>
      </c>
      <c r="AA3899" s="111" t="inlineStr">
        <is>
          <t>Nao</t>
        </is>
      </c>
      <c r="AB3899" s="111" t="inlineStr">
        <is>
          <t>NAO_COMPUTADO</t>
        </is>
      </c>
      <c r="AC3899" s="112" t="inlineStr">
        <is>
          <t>Estrutura Fase 1: sem impacto no VTA oficial</t>
        </is>
      </c>
    </row>
    <row r="3900" ht="25.5" customHeight="1" s="289">
      <c r="A3900" s="205" t="n"/>
      <c r="B3900" s="207" t="n"/>
      <c r="C3900" s="104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348" t="n"/>
      <c r="E3900" s="349">
        <f>IF(C3900="","",IFERROR(VLOOKUP(C3900,parametros!$A$11:$E$15,5,0),""))</f>
        <v/>
      </c>
      <c r="F3900" s="335">
        <f>IF(OR(D3900="",E3900=""),"",ROUND(D3900*E3900,2))</f>
        <v/>
      </c>
      <c r="G3900" s="106" t="n"/>
      <c r="H3900" s="350">
        <f>IF(G3900="Sim",IF(OR(F3900="",D3900="",L3900=""),"",IF(L3900="Sim",ROUND(F3900-D3900,2),0)),0)</f>
        <v/>
      </c>
      <c r="I3900" s="350">
        <f>IF(G3900="Sim",0,IF(OR(F3900="",L3900=""),"",F3900))</f>
        <v/>
      </c>
      <c r="J3900" s="350">
        <f>IF(G3900="Sim",0,IF(OR(F3900="",D3900="",L3900=""),"",IF(L3900="Sim",ROUND(F3900-D3900,2),0)))</f>
        <v/>
      </c>
      <c r="K3900" s="97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inlineStr">
        <is>
          <t>Nao</t>
        </is>
      </c>
      <c r="W3900" s="110" t="inlineStr">
        <is>
          <t>PC em analise</t>
        </is>
      </c>
      <c r="X3900" s="110" t="inlineStr">
        <is>
          <t>Pedido de Compra</t>
        </is>
      </c>
      <c r="Y3900" s="111" t="inlineStr">
        <is>
          <t>Impacto Potencial</t>
        </is>
      </c>
      <c r="Z3900" s="111" t="inlineStr">
        <is>
          <t>PC</t>
        </is>
      </c>
      <c r="AA3900" s="111" t="inlineStr">
        <is>
          <t>Nao</t>
        </is>
      </c>
      <c r="AB3900" s="111" t="inlineStr">
        <is>
          <t>NAO_COMPUTADO</t>
        </is>
      </c>
      <c r="AC3900" s="112" t="inlineStr">
        <is>
          <t>Estrutura Fase 1: sem impacto no VTA oficial</t>
        </is>
      </c>
    </row>
    <row r="3901" ht="25.5" customHeight="1" s="289">
      <c r="A3901" s="205" t="n"/>
      <c r="B3901" s="207" t="n"/>
      <c r="C3901" s="104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348" t="n"/>
      <c r="E3901" s="349">
        <f>IF(C3901="","",IFERROR(VLOOKUP(C3901,parametros!$A$11:$E$15,5,0),""))</f>
        <v/>
      </c>
      <c r="F3901" s="335">
        <f>IF(OR(D3901="",E3901=""),"",ROUND(D3901*E3901,2))</f>
        <v/>
      </c>
      <c r="G3901" s="106" t="n"/>
      <c r="H3901" s="350">
        <f>IF(G3901="Sim",IF(OR(F3901="",D3901="",L3901=""),"",IF(L3901="Sim",ROUND(F3901-D3901,2),0)),0)</f>
        <v/>
      </c>
      <c r="I3901" s="350">
        <f>IF(G3901="Sim",0,IF(OR(F3901="",L3901=""),"",F3901))</f>
        <v/>
      </c>
      <c r="J3901" s="350">
        <f>IF(G3901="Sim",0,IF(OR(F3901="",D3901="",L3901=""),"",IF(L3901="Sim",ROUND(F3901-D3901,2),0)))</f>
        <v/>
      </c>
      <c r="K3901" s="97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inlineStr">
        <is>
          <t>Nao</t>
        </is>
      </c>
      <c r="W3901" s="110" t="inlineStr">
        <is>
          <t>PC em analise</t>
        </is>
      </c>
      <c r="X3901" s="110" t="inlineStr">
        <is>
          <t>Pedido de Compra</t>
        </is>
      </c>
      <c r="Y3901" s="111" t="inlineStr">
        <is>
          <t>Impacto Potencial</t>
        </is>
      </c>
      <c r="Z3901" s="111" t="inlineStr">
        <is>
          <t>PC</t>
        </is>
      </c>
      <c r="AA3901" s="111" t="inlineStr">
        <is>
          <t>Nao</t>
        </is>
      </c>
      <c r="AB3901" s="111" t="inlineStr">
        <is>
          <t>NAO_COMPUTADO</t>
        </is>
      </c>
      <c r="AC3901" s="112" t="inlineStr">
        <is>
          <t>Estrutura Fase 1: sem impacto no VTA oficial</t>
        </is>
      </c>
    </row>
    <row r="3902" ht="25.5" customHeight="1" s="289">
      <c r="A3902" s="205" t="n"/>
      <c r="B3902" s="207" t="n"/>
      <c r="C3902" s="104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348" t="n"/>
      <c r="E3902" s="349">
        <f>IF(C3902="","",IFERROR(VLOOKUP(C3902,parametros!$A$11:$E$15,5,0),""))</f>
        <v/>
      </c>
      <c r="F3902" s="335">
        <f>IF(OR(D3902="",E3902=""),"",ROUND(D3902*E3902,2))</f>
        <v/>
      </c>
      <c r="G3902" s="106" t="n"/>
      <c r="H3902" s="350">
        <f>IF(G3902="Sim",IF(OR(F3902="",D3902="",L3902=""),"",IF(L3902="Sim",ROUND(F3902-D3902,2),0)),0)</f>
        <v/>
      </c>
      <c r="I3902" s="350">
        <f>IF(G3902="Sim",0,IF(OR(F3902="",L3902=""),"",F3902))</f>
        <v/>
      </c>
      <c r="J3902" s="350">
        <f>IF(G3902="Sim",0,IF(OR(F3902="",D3902="",L3902=""),"",IF(L3902="Sim",ROUND(F3902-D3902,2),0)))</f>
        <v/>
      </c>
      <c r="K3902" s="97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inlineStr">
        <is>
          <t>Nao</t>
        </is>
      </c>
      <c r="W3902" s="110" t="inlineStr">
        <is>
          <t>PC em analise</t>
        </is>
      </c>
      <c r="X3902" s="110" t="inlineStr">
        <is>
          <t>Pedido de Compra</t>
        </is>
      </c>
      <c r="Y3902" s="111" t="inlineStr">
        <is>
          <t>Impacto Potencial</t>
        </is>
      </c>
      <c r="Z3902" s="111" t="inlineStr">
        <is>
          <t>PC</t>
        </is>
      </c>
      <c r="AA3902" s="111" t="inlineStr">
        <is>
          <t>Nao</t>
        </is>
      </c>
      <c r="AB3902" s="111" t="inlineStr">
        <is>
          <t>NAO_COMPUTADO</t>
        </is>
      </c>
      <c r="AC3902" s="112" t="inlineStr">
        <is>
          <t>Estrutura Fase 1: sem impacto no VTA oficial</t>
        </is>
      </c>
    </row>
    <row r="3903" ht="25.5" customHeight="1" s="289">
      <c r="A3903" s="205" t="n"/>
      <c r="B3903" s="207" t="n"/>
      <c r="C3903" s="104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348" t="n"/>
      <c r="E3903" s="349">
        <f>IF(C3903="","",IFERROR(VLOOKUP(C3903,parametros!$A$11:$E$15,5,0),""))</f>
        <v/>
      </c>
      <c r="F3903" s="335">
        <f>IF(OR(D3903="",E3903=""),"",ROUND(D3903*E3903,2))</f>
        <v/>
      </c>
      <c r="G3903" s="106" t="n"/>
      <c r="H3903" s="350">
        <f>IF(G3903="Sim",IF(OR(F3903="",D3903="",L3903=""),"",IF(L3903="Sim",ROUND(F3903-D3903,2),0)),0)</f>
        <v/>
      </c>
      <c r="I3903" s="350">
        <f>IF(G3903="Sim",0,IF(OR(F3903="",L3903=""),"",F3903))</f>
        <v/>
      </c>
      <c r="J3903" s="350">
        <f>IF(G3903="Sim",0,IF(OR(F3903="",D3903="",L3903=""),"",IF(L3903="Sim",ROUND(F3903-D3903,2),0)))</f>
        <v/>
      </c>
      <c r="K3903" s="97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inlineStr">
        <is>
          <t>Nao</t>
        </is>
      </c>
      <c r="W3903" s="110" t="inlineStr">
        <is>
          <t>PC em analise</t>
        </is>
      </c>
      <c r="X3903" s="110" t="inlineStr">
        <is>
          <t>Pedido de Compra</t>
        </is>
      </c>
      <c r="Y3903" s="111" t="inlineStr">
        <is>
          <t>Impacto Potencial</t>
        </is>
      </c>
      <c r="Z3903" s="111" t="inlineStr">
        <is>
          <t>PC</t>
        </is>
      </c>
      <c r="AA3903" s="111" t="inlineStr">
        <is>
          <t>Nao</t>
        </is>
      </c>
      <c r="AB3903" s="111" t="inlineStr">
        <is>
          <t>NAO_COMPUTADO</t>
        </is>
      </c>
      <c r="AC3903" s="112" t="inlineStr">
        <is>
          <t>Estrutura Fase 1: sem impacto no VTA oficial</t>
        </is>
      </c>
    </row>
    <row r="3904" ht="25.5" customHeight="1" s="289">
      <c r="A3904" s="205" t="n"/>
      <c r="B3904" s="207" t="n"/>
      <c r="C3904" s="104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348" t="n"/>
      <c r="E3904" s="349">
        <f>IF(C3904="","",IFERROR(VLOOKUP(C3904,parametros!$A$11:$E$15,5,0),""))</f>
        <v/>
      </c>
      <c r="F3904" s="335">
        <f>IF(OR(D3904="",E3904=""),"",ROUND(D3904*E3904,2))</f>
        <v/>
      </c>
      <c r="G3904" s="106" t="n"/>
      <c r="H3904" s="350">
        <f>IF(G3904="Sim",IF(OR(F3904="",D3904="",L3904=""),"",IF(L3904="Sim",ROUND(F3904-D3904,2),0)),0)</f>
        <v/>
      </c>
      <c r="I3904" s="350">
        <f>IF(G3904="Sim",0,IF(OR(F3904="",L3904=""),"",F3904))</f>
        <v/>
      </c>
      <c r="J3904" s="350">
        <f>IF(G3904="Sim",0,IF(OR(F3904="",D3904="",L3904=""),"",IF(L3904="Sim",ROUND(F3904-D3904,2),0)))</f>
        <v/>
      </c>
      <c r="K3904" s="97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inlineStr">
        <is>
          <t>Nao</t>
        </is>
      </c>
      <c r="W3904" s="110" t="inlineStr">
        <is>
          <t>PC em analise</t>
        </is>
      </c>
      <c r="X3904" s="110" t="inlineStr">
        <is>
          <t>Pedido de Compra</t>
        </is>
      </c>
      <c r="Y3904" s="111" t="inlineStr">
        <is>
          <t>Impacto Potencial</t>
        </is>
      </c>
      <c r="Z3904" s="111" t="inlineStr">
        <is>
          <t>PC</t>
        </is>
      </c>
      <c r="AA3904" s="111" t="inlineStr">
        <is>
          <t>Nao</t>
        </is>
      </c>
      <c r="AB3904" s="111" t="inlineStr">
        <is>
          <t>NAO_COMPUTADO</t>
        </is>
      </c>
      <c r="AC3904" s="112" t="inlineStr">
        <is>
          <t>Estrutura Fase 1: sem impacto no VTA oficial</t>
        </is>
      </c>
    </row>
    <row r="3905" ht="25.5" customHeight="1" s="289">
      <c r="A3905" s="205" t="n"/>
      <c r="B3905" s="207" t="n"/>
      <c r="C3905" s="104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348" t="n"/>
      <c r="E3905" s="349">
        <f>IF(C3905="","",IFERROR(VLOOKUP(C3905,parametros!$A$11:$E$15,5,0),""))</f>
        <v/>
      </c>
      <c r="F3905" s="335">
        <f>IF(OR(D3905="",E3905=""),"",ROUND(D3905*E3905,2))</f>
        <v/>
      </c>
      <c r="G3905" s="106" t="n"/>
      <c r="H3905" s="350">
        <f>IF(G3905="Sim",IF(OR(F3905="",D3905="",L3905=""),"",IF(L3905="Sim",ROUND(F3905-D3905,2),0)),0)</f>
        <v/>
      </c>
      <c r="I3905" s="350">
        <f>IF(G3905="Sim",0,IF(OR(F3905="",L3905=""),"",F3905))</f>
        <v/>
      </c>
      <c r="J3905" s="350">
        <f>IF(G3905="Sim",0,IF(OR(F3905="",D3905="",L3905=""),"",IF(L3905="Sim",ROUND(F3905-D3905,2),0)))</f>
        <v/>
      </c>
      <c r="K3905" s="97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inlineStr">
        <is>
          <t>Nao</t>
        </is>
      </c>
      <c r="W3905" s="110" t="inlineStr">
        <is>
          <t>PC em analise</t>
        </is>
      </c>
      <c r="X3905" s="110" t="inlineStr">
        <is>
          <t>Pedido de Compra</t>
        </is>
      </c>
      <c r="Y3905" s="111" t="inlineStr">
        <is>
          <t>Impacto Potencial</t>
        </is>
      </c>
      <c r="Z3905" s="111" t="inlineStr">
        <is>
          <t>PC</t>
        </is>
      </c>
      <c r="AA3905" s="111" t="inlineStr">
        <is>
          <t>Nao</t>
        </is>
      </c>
      <c r="AB3905" s="111" t="inlineStr">
        <is>
          <t>NAO_COMPUTADO</t>
        </is>
      </c>
      <c r="AC3905" s="112" t="inlineStr">
        <is>
          <t>Estrutura Fase 1: sem impacto no VTA oficial</t>
        </is>
      </c>
    </row>
    <row r="3906" ht="25.5" customHeight="1" s="289">
      <c r="A3906" s="205" t="n"/>
      <c r="B3906" s="207" t="n"/>
      <c r="C3906" s="104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348" t="n"/>
      <c r="E3906" s="349">
        <f>IF(C3906="","",IFERROR(VLOOKUP(C3906,parametros!$A$11:$E$15,5,0),""))</f>
        <v/>
      </c>
      <c r="F3906" s="335">
        <f>IF(OR(D3906="",E3906=""),"",ROUND(D3906*E3906,2))</f>
        <v/>
      </c>
      <c r="G3906" s="106" t="n"/>
      <c r="H3906" s="350">
        <f>IF(G3906="Sim",IF(OR(F3906="",D3906="",L3906=""),"",IF(L3906="Sim",ROUND(F3906-D3906,2),0)),0)</f>
        <v/>
      </c>
      <c r="I3906" s="350">
        <f>IF(G3906="Sim",0,IF(OR(F3906="",L3906=""),"",F3906))</f>
        <v/>
      </c>
      <c r="J3906" s="350">
        <f>IF(G3906="Sim",0,IF(OR(F3906="",D3906="",L3906=""),"",IF(L3906="Sim",ROUND(F3906-D3906,2),0)))</f>
        <v/>
      </c>
      <c r="K3906" s="97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inlineStr">
        <is>
          <t>Nao</t>
        </is>
      </c>
      <c r="W3906" s="110" t="inlineStr">
        <is>
          <t>PC em analise</t>
        </is>
      </c>
      <c r="X3906" s="110" t="inlineStr">
        <is>
          <t>Pedido de Compra</t>
        </is>
      </c>
      <c r="Y3906" s="111" t="inlineStr">
        <is>
          <t>Impacto Potencial</t>
        </is>
      </c>
      <c r="Z3906" s="111" t="inlineStr">
        <is>
          <t>PC</t>
        </is>
      </c>
      <c r="AA3906" s="111" t="inlineStr">
        <is>
          <t>Nao</t>
        </is>
      </c>
      <c r="AB3906" s="111" t="inlineStr">
        <is>
          <t>NAO_COMPUTADO</t>
        </is>
      </c>
      <c r="AC3906" s="112" t="inlineStr">
        <is>
          <t>Estrutura Fase 1: sem impacto no VTA oficial</t>
        </is>
      </c>
    </row>
    <row r="3907" ht="25.5" customHeight="1" s="289">
      <c r="A3907" s="205" t="n"/>
      <c r="B3907" s="207" t="n"/>
      <c r="C3907" s="104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348" t="n"/>
      <c r="E3907" s="349">
        <f>IF(C3907="","",IFERROR(VLOOKUP(C3907,parametros!$A$11:$E$15,5,0),""))</f>
        <v/>
      </c>
      <c r="F3907" s="335">
        <f>IF(OR(D3907="",E3907=""),"",ROUND(D3907*E3907,2))</f>
        <v/>
      </c>
      <c r="G3907" s="106" t="n"/>
      <c r="H3907" s="350">
        <f>IF(G3907="Sim",IF(OR(F3907="",D3907="",L3907=""),"",IF(L3907="Sim",ROUND(F3907-D3907,2),0)),0)</f>
        <v/>
      </c>
      <c r="I3907" s="350">
        <f>IF(G3907="Sim",0,IF(OR(F3907="",L3907=""),"",F3907))</f>
        <v/>
      </c>
      <c r="J3907" s="350">
        <f>IF(G3907="Sim",0,IF(OR(F3907="",D3907="",L3907=""),"",IF(L3907="Sim",ROUND(F3907-D3907,2),0)))</f>
        <v/>
      </c>
      <c r="K3907" s="97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inlineStr">
        <is>
          <t>Nao</t>
        </is>
      </c>
      <c r="W3907" s="110" t="inlineStr">
        <is>
          <t>PC em analise</t>
        </is>
      </c>
      <c r="X3907" s="110" t="inlineStr">
        <is>
          <t>Pedido de Compra</t>
        </is>
      </c>
      <c r="Y3907" s="111" t="inlineStr">
        <is>
          <t>Impacto Potencial</t>
        </is>
      </c>
      <c r="Z3907" s="111" t="inlineStr">
        <is>
          <t>PC</t>
        </is>
      </c>
      <c r="AA3907" s="111" t="inlineStr">
        <is>
          <t>Nao</t>
        </is>
      </c>
      <c r="AB3907" s="111" t="inlineStr">
        <is>
          <t>NAO_COMPUTADO</t>
        </is>
      </c>
      <c r="AC3907" s="112" t="inlineStr">
        <is>
          <t>Estrutura Fase 1: sem impacto no VTA oficial</t>
        </is>
      </c>
    </row>
    <row r="3908" ht="25.5" customHeight="1" s="289">
      <c r="A3908" s="205" t="n"/>
      <c r="B3908" s="207" t="n"/>
      <c r="C3908" s="104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348" t="n"/>
      <c r="E3908" s="349">
        <f>IF(C3908="","",IFERROR(VLOOKUP(C3908,parametros!$A$11:$E$15,5,0),""))</f>
        <v/>
      </c>
      <c r="F3908" s="335">
        <f>IF(OR(D3908="",E3908=""),"",ROUND(D3908*E3908,2))</f>
        <v/>
      </c>
      <c r="G3908" s="106" t="n"/>
      <c r="H3908" s="350">
        <f>IF(G3908="Sim",IF(OR(F3908="",D3908="",L3908=""),"",IF(L3908="Sim",ROUND(F3908-D3908,2),0)),0)</f>
        <v/>
      </c>
      <c r="I3908" s="350">
        <f>IF(G3908="Sim",0,IF(OR(F3908="",L3908=""),"",F3908))</f>
        <v/>
      </c>
      <c r="J3908" s="350">
        <f>IF(G3908="Sim",0,IF(OR(F3908="",D3908="",L3908=""),"",IF(L3908="Sim",ROUND(F3908-D3908,2),0)))</f>
        <v/>
      </c>
      <c r="K3908" s="97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inlineStr">
        <is>
          <t>Nao</t>
        </is>
      </c>
      <c r="W3908" s="110" t="inlineStr">
        <is>
          <t>PC em analise</t>
        </is>
      </c>
      <c r="X3908" s="110" t="inlineStr">
        <is>
          <t>Pedido de Compra</t>
        </is>
      </c>
      <c r="Y3908" s="111" t="inlineStr">
        <is>
          <t>Impacto Potencial</t>
        </is>
      </c>
      <c r="Z3908" s="111" t="inlineStr">
        <is>
          <t>PC</t>
        </is>
      </c>
      <c r="AA3908" s="111" t="inlineStr">
        <is>
          <t>Nao</t>
        </is>
      </c>
      <c r="AB3908" s="111" t="inlineStr">
        <is>
          <t>NAO_COMPUTADO</t>
        </is>
      </c>
      <c r="AC3908" s="112" t="inlineStr">
        <is>
          <t>Estrutura Fase 1: sem impacto no VTA oficial</t>
        </is>
      </c>
    </row>
    <row r="3909" ht="25.5" customHeight="1" s="289">
      <c r="A3909" s="205" t="n"/>
      <c r="B3909" s="207" t="n"/>
      <c r="C3909" s="104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348" t="n"/>
      <c r="E3909" s="349">
        <f>IF(C3909="","",IFERROR(VLOOKUP(C3909,parametros!$A$11:$E$15,5,0),""))</f>
        <v/>
      </c>
      <c r="F3909" s="335">
        <f>IF(OR(D3909="",E3909=""),"",ROUND(D3909*E3909,2))</f>
        <v/>
      </c>
      <c r="G3909" s="106" t="n"/>
      <c r="H3909" s="350">
        <f>IF(G3909="Sim",IF(OR(F3909="",D3909="",L3909=""),"",IF(L3909="Sim",ROUND(F3909-D3909,2),0)),0)</f>
        <v/>
      </c>
      <c r="I3909" s="350">
        <f>IF(G3909="Sim",0,IF(OR(F3909="",L3909=""),"",F3909))</f>
        <v/>
      </c>
      <c r="J3909" s="350">
        <f>IF(G3909="Sim",0,IF(OR(F3909="",D3909="",L3909=""),"",IF(L3909="Sim",ROUND(F3909-D3909,2),0)))</f>
        <v/>
      </c>
      <c r="K3909" s="97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inlineStr">
        <is>
          <t>Nao</t>
        </is>
      </c>
      <c r="W3909" s="110" t="inlineStr">
        <is>
          <t>PC em analise</t>
        </is>
      </c>
      <c r="X3909" s="110" t="inlineStr">
        <is>
          <t>Pedido de Compra</t>
        </is>
      </c>
      <c r="Y3909" s="111" t="inlineStr">
        <is>
          <t>Impacto Potencial</t>
        </is>
      </c>
      <c r="Z3909" s="111" t="inlineStr">
        <is>
          <t>PC</t>
        </is>
      </c>
      <c r="AA3909" s="111" t="inlineStr">
        <is>
          <t>Nao</t>
        </is>
      </c>
      <c r="AB3909" s="111" t="inlineStr">
        <is>
          <t>NAO_COMPUTADO</t>
        </is>
      </c>
      <c r="AC3909" s="112" t="inlineStr">
        <is>
          <t>Estrutura Fase 1: sem impacto no VTA oficial</t>
        </is>
      </c>
    </row>
    <row r="3910" ht="25.5" customHeight="1" s="289">
      <c r="A3910" s="205" t="n"/>
      <c r="B3910" s="207" t="n"/>
      <c r="C3910" s="104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348" t="n"/>
      <c r="E3910" s="349">
        <f>IF(C3910="","",IFERROR(VLOOKUP(C3910,parametros!$A$11:$E$15,5,0),""))</f>
        <v/>
      </c>
      <c r="F3910" s="335">
        <f>IF(OR(D3910="",E3910=""),"",ROUND(D3910*E3910,2))</f>
        <v/>
      </c>
      <c r="G3910" s="106" t="n"/>
      <c r="H3910" s="350">
        <f>IF(G3910="Sim",IF(OR(F3910="",D3910="",L3910=""),"",IF(L3910="Sim",ROUND(F3910-D3910,2),0)),0)</f>
        <v/>
      </c>
      <c r="I3910" s="350">
        <f>IF(G3910="Sim",0,IF(OR(F3910="",L3910=""),"",F3910))</f>
        <v/>
      </c>
      <c r="J3910" s="350">
        <f>IF(G3910="Sim",0,IF(OR(F3910="",D3910="",L3910=""),"",IF(L3910="Sim",ROUND(F3910-D3910,2),0)))</f>
        <v/>
      </c>
      <c r="K3910" s="97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inlineStr">
        <is>
          <t>Nao</t>
        </is>
      </c>
      <c r="W3910" s="110" t="inlineStr">
        <is>
          <t>PC em analise</t>
        </is>
      </c>
      <c r="X3910" s="110" t="inlineStr">
        <is>
          <t>Pedido de Compra</t>
        </is>
      </c>
      <c r="Y3910" s="111" t="inlineStr">
        <is>
          <t>Impacto Potencial</t>
        </is>
      </c>
      <c r="Z3910" s="111" t="inlineStr">
        <is>
          <t>PC</t>
        </is>
      </c>
      <c r="AA3910" s="111" t="inlineStr">
        <is>
          <t>Nao</t>
        </is>
      </c>
      <c r="AB3910" s="111" t="inlineStr">
        <is>
          <t>NAO_COMPUTADO</t>
        </is>
      </c>
      <c r="AC3910" s="112" t="inlineStr">
        <is>
          <t>Estrutura Fase 1: sem impacto no VTA oficial</t>
        </is>
      </c>
    </row>
    <row r="3911" ht="25.5" customHeight="1" s="289">
      <c r="A3911" s="205" t="n"/>
      <c r="B3911" s="207" t="n"/>
      <c r="C3911" s="104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348" t="n"/>
      <c r="E3911" s="349">
        <f>IF(C3911="","",IFERROR(VLOOKUP(C3911,parametros!$A$11:$E$15,5,0),""))</f>
        <v/>
      </c>
      <c r="F3911" s="335">
        <f>IF(OR(D3911="",E3911=""),"",ROUND(D3911*E3911,2))</f>
        <v/>
      </c>
      <c r="G3911" s="106" t="n"/>
      <c r="H3911" s="350">
        <f>IF(G3911="Sim",IF(OR(F3911="",D3911="",L3911=""),"",IF(L3911="Sim",ROUND(F3911-D3911,2),0)),0)</f>
        <v/>
      </c>
      <c r="I3911" s="350">
        <f>IF(G3911="Sim",0,IF(OR(F3911="",L3911=""),"",F3911))</f>
        <v/>
      </c>
      <c r="J3911" s="350">
        <f>IF(G3911="Sim",0,IF(OR(F3911="",D3911="",L3911=""),"",IF(L3911="Sim",ROUND(F3911-D3911,2),0)))</f>
        <v/>
      </c>
      <c r="K3911" s="97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inlineStr">
        <is>
          <t>Nao</t>
        </is>
      </c>
      <c r="W3911" s="110" t="inlineStr">
        <is>
          <t>PC em analise</t>
        </is>
      </c>
      <c r="X3911" s="110" t="inlineStr">
        <is>
          <t>Pedido de Compra</t>
        </is>
      </c>
      <c r="Y3911" s="111" t="inlineStr">
        <is>
          <t>Impacto Potencial</t>
        </is>
      </c>
      <c r="Z3911" s="111" t="inlineStr">
        <is>
          <t>PC</t>
        </is>
      </c>
      <c r="AA3911" s="111" t="inlineStr">
        <is>
          <t>Nao</t>
        </is>
      </c>
      <c r="AB3911" s="111" t="inlineStr">
        <is>
          <t>NAO_COMPUTADO</t>
        </is>
      </c>
      <c r="AC3911" s="112" t="inlineStr">
        <is>
          <t>Estrutura Fase 1: sem impacto no VTA oficial</t>
        </is>
      </c>
    </row>
    <row r="3912" ht="25.5" customHeight="1" s="289">
      <c r="A3912" s="205" t="n"/>
      <c r="B3912" s="207" t="n"/>
      <c r="C3912" s="104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348" t="n"/>
      <c r="E3912" s="349">
        <f>IF(C3912="","",IFERROR(VLOOKUP(C3912,parametros!$A$11:$E$15,5,0),""))</f>
        <v/>
      </c>
      <c r="F3912" s="335">
        <f>IF(OR(D3912="",E3912=""),"",ROUND(D3912*E3912,2))</f>
        <v/>
      </c>
      <c r="G3912" s="106" t="n"/>
      <c r="H3912" s="350">
        <f>IF(G3912="Sim",IF(OR(F3912="",D3912="",L3912=""),"",IF(L3912="Sim",ROUND(F3912-D3912,2),0)),0)</f>
        <v/>
      </c>
      <c r="I3912" s="350">
        <f>IF(G3912="Sim",0,IF(OR(F3912="",L3912=""),"",F3912))</f>
        <v/>
      </c>
      <c r="J3912" s="350">
        <f>IF(G3912="Sim",0,IF(OR(F3912="",D3912="",L3912=""),"",IF(L3912="Sim",ROUND(F3912-D3912,2),0)))</f>
        <v/>
      </c>
      <c r="K3912" s="97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inlineStr">
        <is>
          <t>Nao</t>
        </is>
      </c>
      <c r="W3912" s="110" t="inlineStr">
        <is>
          <t>PC em analise</t>
        </is>
      </c>
      <c r="X3912" s="110" t="inlineStr">
        <is>
          <t>Pedido de Compra</t>
        </is>
      </c>
      <c r="Y3912" s="111" t="inlineStr">
        <is>
          <t>Impacto Potencial</t>
        </is>
      </c>
      <c r="Z3912" s="111" t="inlineStr">
        <is>
          <t>PC</t>
        </is>
      </c>
      <c r="AA3912" s="111" t="inlineStr">
        <is>
          <t>Nao</t>
        </is>
      </c>
      <c r="AB3912" s="111" t="inlineStr">
        <is>
          <t>NAO_COMPUTADO</t>
        </is>
      </c>
      <c r="AC3912" s="112" t="inlineStr">
        <is>
          <t>Estrutura Fase 1: sem impacto no VTA oficial</t>
        </is>
      </c>
    </row>
    <row r="3913" ht="25.5" customHeight="1" s="289">
      <c r="A3913" s="205" t="n"/>
      <c r="B3913" s="207" t="n"/>
      <c r="C3913" s="104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348" t="n"/>
      <c r="E3913" s="349">
        <f>IF(C3913="","",IFERROR(VLOOKUP(C3913,parametros!$A$11:$E$15,5,0),""))</f>
        <v/>
      </c>
      <c r="F3913" s="335">
        <f>IF(OR(D3913="",E3913=""),"",ROUND(D3913*E3913,2))</f>
        <v/>
      </c>
      <c r="G3913" s="106" t="n"/>
      <c r="H3913" s="350">
        <f>IF(G3913="Sim",IF(OR(F3913="",D3913="",L3913=""),"",IF(L3913="Sim",ROUND(F3913-D3913,2),0)),0)</f>
        <v/>
      </c>
      <c r="I3913" s="350">
        <f>IF(G3913="Sim",0,IF(OR(F3913="",L3913=""),"",F3913))</f>
        <v/>
      </c>
      <c r="J3913" s="350">
        <f>IF(G3913="Sim",0,IF(OR(F3913="",D3913="",L3913=""),"",IF(L3913="Sim",ROUND(F3913-D3913,2),0)))</f>
        <v/>
      </c>
      <c r="K3913" s="97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inlineStr">
        <is>
          <t>Nao</t>
        </is>
      </c>
      <c r="W3913" s="110" t="inlineStr">
        <is>
          <t>PC em analise</t>
        </is>
      </c>
      <c r="X3913" s="110" t="inlineStr">
        <is>
          <t>Pedido de Compra</t>
        </is>
      </c>
      <c r="Y3913" s="111" t="inlineStr">
        <is>
          <t>Impacto Potencial</t>
        </is>
      </c>
      <c r="Z3913" s="111" t="inlineStr">
        <is>
          <t>PC</t>
        </is>
      </c>
      <c r="AA3913" s="111" t="inlineStr">
        <is>
          <t>Nao</t>
        </is>
      </c>
      <c r="AB3913" s="111" t="inlineStr">
        <is>
          <t>NAO_COMPUTADO</t>
        </is>
      </c>
      <c r="AC3913" s="112" t="inlineStr">
        <is>
          <t>Estrutura Fase 1: sem impacto no VTA oficial</t>
        </is>
      </c>
    </row>
    <row r="3914" ht="25.5" customHeight="1" s="289">
      <c r="A3914" s="205" t="n"/>
      <c r="B3914" s="207" t="n"/>
      <c r="C3914" s="104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348" t="n"/>
      <c r="E3914" s="349">
        <f>IF(C3914="","",IFERROR(VLOOKUP(C3914,parametros!$A$11:$E$15,5,0),""))</f>
        <v/>
      </c>
      <c r="F3914" s="335">
        <f>IF(OR(D3914="",E3914=""),"",ROUND(D3914*E3914,2))</f>
        <v/>
      </c>
      <c r="G3914" s="106" t="n"/>
      <c r="H3914" s="350">
        <f>IF(G3914="Sim",IF(OR(F3914="",D3914="",L3914=""),"",IF(L3914="Sim",ROUND(F3914-D3914,2),0)),0)</f>
        <v/>
      </c>
      <c r="I3914" s="350">
        <f>IF(G3914="Sim",0,IF(OR(F3914="",L3914=""),"",F3914))</f>
        <v/>
      </c>
      <c r="J3914" s="350">
        <f>IF(G3914="Sim",0,IF(OR(F3914="",D3914="",L3914=""),"",IF(L3914="Sim",ROUND(F3914-D3914,2),0)))</f>
        <v/>
      </c>
      <c r="K3914" s="97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inlineStr">
        <is>
          <t>Nao</t>
        </is>
      </c>
      <c r="W3914" s="110" t="inlineStr">
        <is>
          <t>PC em analise</t>
        </is>
      </c>
      <c r="X3914" s="110" t="inlineStr">
        <is>
          <t>Pedido de Compra</t>
        </is>
      </c>
      <c r="Y3914" s="111" t="inlineStr">
        <is>
          <t>Impacto Potencial</t>
        </is>
      </c>
      <c r="Z3914" s="111" t="inlineStr">
        <is>
          <t>PC</t>
        </is>
      </c>
      <c r="AA3914" s="111" t="inlineStr">
        <is>
          <t>Nao</t>
        </is>
      </c>
      <c r="AB3914" s="111" t="inlineStr">
        <is>
          <t>NAO_COMPUTADO</t>
        </is>
      </c>
      <c r="AC3914" s="112" t="inlineStr">
        <is>
          <t>Estrutura Fase 1: sem impacto no VTA oficial</t>
        </is>
      </c>
    </row>
    <row r="3915" ht="25.5" customHeight="1" s="289">
      <c r="A3915" s="205" t="n"/>
      <c r="B3915" s="207" t="n"/>
      <c r="C3915" s="104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348" t="n"/>
      <c r="E3915" s="349">
        <f>IF(C3915="","",IFERROR(VLOOKUP(C3915,parametros!$A$11:$E$15,5,0),""))</f>
        <v/>
      </c>
      <c r="F3915" s="335">
        <f>IF(OR(D3915="",E3915=""),"",ROUND(D3915*E3915,2))</f>
        <v/>
      </c>
      <c r="G3915" s="106" t="n"/>
      <c r="H3915" s="350">
        <f>IF(G3915="Sim",IF(OR(F3915="",D3915="",L3915=""),"",IF(L3915="Sim",ROUND(F3915-D3915,2),0)),0)</f>
        <v/>
      </c>
      <c r="I3915" s="350">
        <f>IF(G3915="Sim",0,IF(OR(F3915="",L3915=""),"",F3915))</f>
        <v/>
      </c>
      <c r="J3915" s="350">
        <f>IF(G3915="Sim",0,IF(OR(F3915="",D3915="",L3915=""),"",IF(L3915="Sim",ROUND(F3915-D3915,2),0)))</f>
        <v/>
      </c>
      <c r="K3915" s="97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inlineStr">
        <is>
          <t>Nao</t>
        </is>
      </c>
      <c r="W3915" s="110" t="inlineStr">
        <is>
          <t>PC em analise</t>
        </is>
      </c>
      <c r="X3915" s="110" t="inlineStr">
        <is>
          <t>Pedido de Compra</t>
        </is>
      </c>
      <c r="Y3915" s="111" t="inlineStr">
        <is>
          <t>Impacto Potencial</t>
        </is>
      </c>
      <c r="Z3915" s="111" t="inlineStr">
        <is>
          <t>PC</t>
        </is>
      </c>
      <c r="AA3915" s="111" t="inlineStr">
        <is>
          <t>Nao</t>
        </is>
      </c>
      <c r="AB3915" s="111" t="inlineStr">
        <is>
          <t>NAO_COMPUTADO</t>
        </is>
      </c>
      <c r="AC3915" s="112" t="inlineStr">
        <is>
          <t>Estrutura Fase 1: sem impacto no VTA oficial</t>
        </is>
      </c>
    </row>
    <row r="3916" ht="25.5" customHeight="1" s="289">
      <c r="A3916" s="205" t="n"/>
      <c r="B3916" s="207" t="n"/>
      <c r="C3916" s="104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348" t="n"/>
      <c r="E3916" s="349">
        <f>IF(C3916="","",IFERROR(VLOOKUP(C3916,parametros!$A$11:$E$15,5,0),""))</f>
        <v/>
      </c>
      <c r="F3916" s="335">
        <f>IF(OR(D3916="",E3916=""),"",ROUND(D3916*E3916,2))</f>
        <v/>
      </c>
      <c r="G3916" s="106" t="n"/>
      <c r="H3916" s="350">
        <f>IF(G3916="Sim",IF(OR(F3916="",D3916="",L3916=""),"",IF(L3916="Sim",ROUND(F3916-D3916,2),0)),0)</f>
        <v/>
      </c>
      <c r="I3916" s="350">
        <f>IF(G3916="Sim",0,IF(OR(F3916="",L3916=""),"",F3916))</f>
        <v/>
      </c>
      <c r="J3916" s="350">
        <f>IF(G3916="Sim",0,IF(OR(F3916="",D3916="",L3916=""),"",IF(L3916="Sim",ROUND(F3916-D3916,2),0)))</f>
        <v/>
      </c>
      <c r="K3916" s="97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inlineStr">
        <is>
          <t>Nao</t>
        </is>
      </c>
      <c r="W3916" s="110" t="inlineStr">
        <is>
          <t>PC em analise</t>
        </is>
      </c>
      <c r="X3916" s="110" t="inlineStr">
        <is>
          <t>Pedido de Compra</t>
        </is>
      </c>
      <c r="Y3916" s="111" t="inlineStr">
        <is>
          <t>Impacto Potencial</t>
        </is>
      </c>
      <c r="Z3916" s="111" t="inlineStr">
        <is>
          <t>PC</t>
        </is>
      </c>
      <c r="AA3916" s="111" t="inlineStr">
        <is>
          <t>Nao</t>
        </is>
      </c>
      <c r="AB3916" s="111" t="inlineStr">
        <is>
          <t>NAO_COMPUTADO</t>
        </is>
      </c>
      <c r="AC3916" s="112" t="inlineStr">
        <is>
          <t>Estrutura Fase 1: sem impacto no VTA oficial</t>
        </is>
      </c>
    </row>
    <row r="3917" ht="25.5" customHeight="1" s="289">
      <c r="A3917" s="205" t="n"/>
      <c r="B3917" s="207" t="n"/>
      <c r="C3917" s="104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348" t="n"/>
      <c r="E3917" s="349">
        <f>IF(C3917="","",IFERROR(VLOOKUP(C3917,parametros!$A$11:$E$15,5,0),""))</f>
        <v/>
      </c>
      <c r="F3917" s="335">
        <f>IF(OR(D3917="",E3917=""),"",ROUND(D3917*E3917,2))</f>
        <v/>
      </c>
      <c r="G3917" s="106" t="n"/>
      <c r="H3917" s="350">
        <f>IF(G3917="Sim",IF(OR(F3917="",D3917="",L3917=""),"",IF(L3917="Sim",ROUND(F3917-D3917,2),0)),0)</f>
        <v/>
      </c>
      <c r="I3917" s="350">
        <f>IF(G3917="Sim",0,IF(OR(F3917="",L3917=""),"",F3917))</f>
        <v/>
      </c>
      <c r="J3917" s="350">
        <f>IF(G3917="Sim",0,IF(OR(F3917="",D3917="",L3917=""),"",IF(L3917="Sim",ROUND(F3917-D3917,2),0)))</f>
        <v/>
      </c>
      <c r="K3917" s="97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inlineStr">
        <is>
          <t>Nao</t>
        </is>
      </c>
      <c r="W3917" s="110" t="inlineStr">
        <is>
          <t>PC em analise</t>
        </is>
      </c>
      <c r="X3917" s="110" t="inlineStr">
        <is>
          <t>Pedido de Compra</t>
        </is>
      </c>
      <c r="Y3917" s="111" t="inlineStr">
        <is>
          <t>Impacto Potencial</t>
        </is>
      </c>
      <c r="Z3917" s="111" t="inlineStr">
        <is>
          <t>PC</t>
        </is>
      </c>
      <c r="AA3917" s="111" t="inlineStr">
        <is>
          <t>Nao</t>
        </is>
      </c>
      <c r="AB3917" s="111" t="inlineStr">
        <is>
          <t>NAO_COMPUTADO</t>
        </is>
      </c>
      <c r="AC3917" s="112" t="inlineStr">
        <is>
          <t>Estrutura Fase 1: sem impacto no VTA oficial</t>
        </is>
      </c>
    </row>
    <row r="3918" ht="25.5" customHeight="1" s="289">
      <c r="A3918" s="205" t="n"/>
      <c r="B3918" s="207" t="n"/>
      <c r="C3918" s="104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348" t="n"/>
      <c r="E3918" s="349">
        <f>IF(C3918="","",IFERROR(VLOOKUP(C3918,parametros!$A$11:$E$15,5,0),""))</f>
        <v/>
      </c>
      <c r="F3918" s="335">
        <f>IF(OR(D3918="",E3918=""),"",ROUND(D3918*E3918,2))</f>
        <v/>
      </c>
      <c r="G3918" s="106" t="n"/>
      <c r="H3918" s="350">
        <f>IF(G3918="Sim",IF(OR(F3918="",D3918="",L3918=""),"",IF(L3918="Sim",ROUND(F3918-D3918,2),0)),0)</f>
        <v/>
      </c>
      <c r="I3918" s="350">
        <f>IF(G3918="Sim",0,IF(OR(F3918="",L3918=""),"",F3918))</f>
        <v/>
      </c>
      <c r="J3918" s="350">
        <f>IF(G3918="Sim",0,IF(OR(F3918="",D3918="",L3918=""),"",IF(L3918="Sim",ROUND(F3918-D3918,2),0)))</f>
        <v/>
      </c>
      <c r="K3918" s="97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inlineStr">
        <is>
          <t>Nao</t>
        </is>
      </c>
      <c r="W3918" s="110" t="inlineStr">
        <is>
          <t>PC em analise</t>
        </is>
      </c>
      <c r="X3918" s="110" t="inlineStr">
        <is>
          <t>Pedido de Compra</t>
        </is>
      </c>
      <c r="Y3918" s="111" t="inlineStr">
        <is>
          <t>Impacto Potencial</t>
        </is>
      </c>
      <c r="Z3918" s="111" t="inlineStr">
        <is>
          <t>PC</t>
        </is>
      </c>
      <c r="AA3918" s="111" t="inlineStr">
        <is>
          <t>Nao</t>
        </is>
      </c>
      <c r="AB3918" s="111" t="inlineStr">
        <is>
          <t>NAO_COMPUTADO</t>
        </is>
      </c>
      <c r="AC3918" s="112" t="inlineStr">
        <is>
          <t>Estrutura Fase 1: sem impacto no VTA oficial</t>
        </is>
      </c>
    </row>
    <row r="3919" ht="25.5" customHeight="1" s="289">
      <c r="A3919" s="205" t="n"/>
      <c r="B3919" s="207" t="n"/>
      <c r="C3919" s="104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348" t="n"/>
      <c r="E3919" s="349">
        <f>IF(C3919="","",IFERROR(VLOOKUP(C3919,parametros!$A$11:$E$15,5,0),""))</f>
        <v/>
      </c>
      <c r="F3919" s="335">
        <f>IF(OR(D3919="",E3919=""),"",ROUND(D3919*E3919,2))</f>
        <v/>
      </c>
      <c r="G3919" s="106" t="n"/>
      <c r="H3919" s="350">
        <f>IF(G3919="Sim",IF(OR(F3919="",D3919="",L3919=""),"",IF(L3919="Sim",ROUND(F3919-D3919,2),0)),0)</f>
        <v/>
      </c>
      <c r="I3919" s="350">
        <f>IF(G3919="Sim",0,IF(OR(F3919="",L3919=""),"",F3919))</f>
        <v/>
      </c>
      <c r="J3919" s="350">
        <f>IF(G3919="Sim",0,IF(OR(F3919="",D3919="",L3919=""),"",IF(L3919="Sim",ROUND(F3919-D3919,2),0)))</f>
        <v/>
      </c>
      <c r="K3919" s="97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inlineStr">
        <is>
          <t>Nao</t>
        </is>
      </c>
      <c r="W3919" s="110" t="inlineStr">
        <is>
          <t>PC em analise</t>
        </is>
      </c>
      <c r="X3919" s="110" t="inlineStr">
        <is>
          <t>Pedido de Compra</t>
        </is>
      </c>
      <c r="Y3919" s="111" t="inlineStr">
        <is>
          <t>Impacto Potencial</t>
        </is>
      </c>
      <c r="Z3919" s="111" t="inlineStr">
        <is>
          <t>PC</t>
        </is>
      </c>
      <c r="AA3919" s="111" t="inlineStr">
        <is>
          <t>Nao</t>
        </is>
      </c>
      <c r="AB3919" s="111" t="inlineStr">
        <is>
          <t>NAO_COMPUTADO</t>
        </is>
      </c>
      <c r="AC3919" s="112" t="inlineStr">
        <is>
          <t>Estrutura Fase 1: sem impacto no VTA oficial</t>
        </is>
      </c>
    </row>
    <row r="3920" ht="25.5" customHeight="1" s="289">
      <c r="A3920" s="205" t="n"/>
      <c r="B3920" s="207" t="n"/>
      <c r="C3920" s="104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348" t="n"/>
      <c r="E3920" s="349">
        <f>IF(C3920="","",IFERROR(VLOOKUP(C3920,parametros!$A$11:$E$15,5,0),""))</f>
        <v/>
      </c>
      <c r="F3920" s="335">
        <f>IF(OR(D3920="",E3920=""),"",ROUND(D3920*E3920,2))</f>
        <v/>
      </c>
      <c r="G3920" s="106" t="n"/>
      <c r="H3920" s="350">
        <f>IF(G3920="Sim",IF(OR(F3920="",D3920="",L3920=""),"",IF(L3920="Sim",ROUND(F3920-D3920,2),0)),0)</f>
        <v/>
      </c>
      <c r="I3920" s="350">
        <f>IF(G3920="Sim",0,IF(OR(F3920="",L3920=""),"",F3920))</f>
        <v/>
      </c>
      <c r="J3920" s="350">
        <f>IF(G3920="Sim",0,IF(OR(F3920="",D3920="",L3920=""),"",IF(L3920="Sim",ROUND(F3920-D3920,2),0)))</f>
        <v/>
      </c>
      <c r="K3920" s="97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inlineStr">
        <is>
          <t>Nao</t>
        </is>
      </c>
      <c r="W3920" s="110" t="inlineStr">
        <is>
          <t>PC em analise</t>
        </is>
      </c>
      <c r="X3920" s="110" t="inlineStr">
        <is>
          <t>Pedido de Compra</t>
        </is>
      </c>
      <c r="Y3920" s="111" t="inlineStr">
        <is>
          <t>Impacto Potencial</t>
        </is>
      </c>
      <c r="Z3920" s="111" t="inlineStr">
        <is>
          <t>PC</t>
        </is>
      </c>
      <c r="AA3920" s="111" t="inlineStr">
        <is>
          <t>Nao</t>
        </is>
      </c>
      <c r="AB3920" s="111" t="inlineStr">
        <is>
          <t>NAO_COMPUTADO</t>
        </is>
      </c>
      <c r="AC3920" s="112" t="inlineStr">
        <is>
          <t>Estrutura Fase 1: sem impacto no VTA oficial</t>
        </is>
      </c>
    </row>
    <row r="3921" ht="25.5" customHeight="1" s="289">
      <c r="A3921" s="205" t="n"/>
      <c r="B3921" s="207" t="n"/>
      <c r="C3921" s="104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348" t="n"/>
      <c r="E3921" s="349">
        <f>IF(C3921="","",IFERROR(VLOOKUP(C3921,parametros!$A$11:$E$15,5,0),""))</f>
        <v/>
      </c>
      <c r="F3921" s="335">
        <f>IF(OR(D3921="",E3921=""),"",ROUND(D3921*E3921,2))</f>
        <v/>
      </c>
      <c r="G3921" s="106" t="n"/>
      <c r="H3921" s="350">
        <f>IF(G3921="Sim",IF(OR(F3921="",D3921="",L3921=""),"",IF(L3921="Sim",ROUND(F3921-D3921,2),0)),0)</f>
        <v/>
      </c>
      <c r="I3921" s="350">
        <f>IF(G3921="Sim",0,IF(OR(F3921="",L3921=""),"",F3921))</f>
        <v/>
      </c>
      <c r="J3921" s="350">
        <f>IF(G3921="Sim",0,IF(OR(F3921="",D3921="",L3921=""),"",IF(L3921="Sim",ROUND(F3921-D3921,2),0)))</f>
        <v/>
      </c>
      <c r="K3921" s="97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inlineStr">
        <is>
          <t>Nao</t>
        </is>
      </c>
      <c r="W3921" s="110" t="inlineStr">
        <is>
          <t>PC em analise</t>
        </is>
      </c>
      <c r="X3921" s="110" t="inlineStr">
        <is>
          <t>Pedido de Compra</t>
        </is>
      </c>
      <c r="Y3921" s="111" t="inlineStr">
        <is>
          <t>Impacto Potencial</t>
        </is>
      </c>
      <c r="Z3921" s="111" t="inlineStr">
        <is>
          <t>PC</t>
        </is>
      </c>
      <c r="AA3921" s="111" t="inlineStr">
        <is>
          <t>Nao</t>
        </is>
      </c>
      <c r="AB3921" s="111" t="inlineStr">
        <is>
          <t>NAO_COMPUTADO</t>
        </is>
      </c>
      <c r="AC3921" s="112" t="inlineStr">
        <is>
          <t>Estrutura Fase 1: sem impacto no VTA oficial</t>
        </is>
      </c>
    </row>
    <row r="3922" ht="25.5" customHeight="1" s="289">
      <c r="A3922" s="205" t="n"/>
      <c r="B3922" s="207" t="n"/>
      <c r="C3922" s="104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348" t="n"/>
      <c r="E3922" s="349">
        <f>IF(C3922="","",IFERROR(VLOOKUP(C3922,parametros!$A$11:$E$15,5,0),""))</f>
        <v/>
      </c>
      <c r="F3922" s="335">
        <f>IF(OR(D3922="",E3922=""),"",ROUND(D3922*E3922,2))</f>
        <v/>
      </c>
      <c r="G3922" s="106" t="n"/>
      <c r="H3922" s="350">
        <f>IF(G3922="Sim",IF(OR(F3922="",D3922="",L3922=""),"",IF(L3922="Sim",ROUND(F3922-D3922,2),0)),0)</f>
        <v/>
      </c>
      <c r="I3922" s="350">
        <f>IF(G3922="Sim",0,IF(OR(F3922="",L3922=""),"",F3922))</f>
        <v/>
      </c>
      <c r="J3922" s="350">
        <f>IF(G3922="Sim",0,IF(OR(F3922="",D3922="",L3922=""),"",IF(L3922="Sim",ROUND(F3922-D3922,2),0)))</f>
        <v/>
      </c>
      <c r="K3922" s="97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inlineStr">
        <is>
          <t>Nao</t>
        </is>
      </c>
      <c r="W3922" s="110" t="inlineStr">
        <is>
          <t>PC em analise</t>
        </is>
      </c>
      <c r="X3922" s="110" t="inlineStr">
        <is>
          <t>Pedido de Compra</t>
        </is>
      </c>
      <c r="Y3922" s="111" t="inlineStr">
        <is>
          <t>Impacto Potencial</t>
        </is>
      </c>
      <c r="Z3922" s="111" t="inlineStr">
        <is>
          <t>PC</t>
        </is>
      </c>
      <c r="AA3922" s="111" t="inlineStr">
        <is>
          <t>Nao</t>
        </is>
      </c>
      <c r="AB3922" s="111" t="inlineStr">
        <is>
          <t>NAO_COMPUTADO</t>
        </is>
      </c>
      <c r="AC3922" s="112" t="inlineStr">
        <is>
          <t>Estrutura Fase 1: sem impacto no VTA oficial</t>
        </is>
      </c>
    </row>
    <row r="3923" ht="25.5" customHeight="1" s="289">
      <c r="A3923" s="205" t="n"/>
      <c r="B3923" s="207" t="n"/>
      <c r="C3923" s="104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348" t="n"/>
      <c r="E3923" s="349">
        <f>IF(C3923="","",IFERROR(VLOOKUP(C3923,parametros!$A$11:$E$15,5,0),""))</f>
        <v/>
      </c>
      <c r="F3923" s="335">
        <f>IF(OR(D3923="",E3923=""),"",ROUND(D3923*E3923,2))</f>
        <v/>
      </c>
      <c r="G3923" s="106" t="n"/>
      <c r="H3923" s="350">
        <f>IF(G3923="Sim",IF(OR(F3923="",D3923="",L3923=""),"",IF(L3923="Sim",ROUND(F3923-D3923,2),0)),0)</f>
        <v/>
      </c>
      <c r="I3923" s="350">
        <f>IF(G3923="Sim",0,IF(OR(F3923="",L3923=""),"",F3923))</f>
        <v/>
      </c>
      <c r="J3923" s="350">
        <f>IF(G3923="Sim",0,IF(OR(F3923="",D3923="",L3923=""),"",IF(L3923="Sim",ROUND(F3923-D3923,2),0)))</f>
        <v/>
      </c>
      <c r="K3923" s="97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inlineStr">
        <is>
          <t>Nao</t>
        </is>
      </c>
      <c r="W3923" s="110" t="inlineStr">
        <is>
          <t>PC em analise</t>
        </is>
      </c>
      <c r="X3923" s="110" t="inlineStr">
        <is>
          <t>Pedido de Compra</t>
        </is>
      </c>
      <c r="Y3923" s="111" t="inlineStr">
        <is>
          <t>Impacto Potencial</t>
        </is>
      </c>
      <c r="Z3923" s="111" t="inlineStr">
        <is>
          <t>PC</t>
        </is>
      </c>
      <c r="AA3923" s="111" t="inlineStr">
        <is>
          <t>Nao</t>
        </is>
      </c>
      <c r="AB3923" s="111" t="inlineStr">
        <is>
          <t>NAO_COMPUTADO</t>
        </is>
      </c>
      <c r="AC3923" s="112" t="inlineStr">
        <is>
          <t>Estrutura Fase 1: sem impacto no VTA oficial</t>
        </is>
      </c>
    </row>
    <row r="3924" ht="25.5" customHeight="1" s="289">
      <c r="A3924" s="205" t="n"/>
      <c r="B3924" s="207" t="n"/>
      <c r="C3924" s="104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348" t="n"/>
      <c r="E3924" s="349">
        <f>IF(C3924="","",IFERROR(VLOOKUP(C3924,parametros!$A$11:$E$15,5,0),""))</f>
        <v/>
      </c>
      <c r="F3924" s="335">
        <f>IF(OR(D3924="",E3924=""),"",ROUND(D3924*E3924,2))</f>
        <v/>
      </c>
      <c r="G3924" s="106" t="n"/>
      <c r="H3924" s="350">
        <f>IF(G3924="Sim",IF(OR(F3924="",D3924="",L3924=""),"",IF(L3924="Sim",ROUND(F3924-D3924,2),0)),0)</f>
        <v/>
      </c>
      <c r="I3924" s="350">
        <f>IF(G3924="Sim",0,IF(OR(F3924="",L3924=""),"",F3924))</f>
        <v/>
      </c>
      <c r="J3924" s="350">
        <f>IF(G3924="Sim",0,IF(OR(F3924="",D3924="",L3924=""),"",IF(L3924="Sim",ROUND(F3924-D3924,2),0)))</f>
        <v/>
      </c>
      <c r="K3924" s="97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inlineStr">
        <is>
          <t>Nao</t>
        </is>
      </c>
      <c r="W3924" s="110" t="inlineStr">
        <is>
          <t>PC em analise</t>
        </is>
      </c>
      <c r="X3924" s="110" t="inlineStr">
        <is>
          <t>Pedido de Compra</t>
        </is>
      </c>
      <c r="Y3924" s="111" t="inlineStr">
        <is>
          <t>Impacto Potencial</t>
        </is>
      </c>
      <c r="Z3924" s="111" t="inlineStr">
        <is>
          <t>PC</t>
        </is>
      </c>
      <c r="AA3924" s="111" t="inlineStr">
        <is>
          <t>Nao</t>
        </is>
      </c>
      <c r="AB3924" s="111" t="inlineStr">
        <is>
          <t>NAO_COMPUTADO</t>
        </is>
      </c>
      <c r="AC3924" s="112" t="inlineStr">
        <is>
          <t>Estrutura Fase 1: sem impacto no VTA oficial</t>
        </is>
      </c>
    </row>
    <row r="3925" ht="25.5" customHeight="1" s="289">
      <c r="A3925" s="205" t="n"/>
      <c r="B3925" s="207" t="n"/>
      <c r="C3925" s="104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348" t="n"/>
      <c r="E3925" s="349">
        <f>IF(C3925="","",IFERROR(VLOOKUP(C3925,parametros!$A$11:$E$15,5,0),""))</f>
        <v/>
      </c>
      <c r="F3925" s="335">
        <f>IF(OR(D3925="",E3925=""),"",ROUND(D3925*E3925,2))</f>
        <v/>
      </c>
      <c r="G3925" s="106" t="n"/>
      <c r="H3925" s="350">
        <f>IF(G3925="Sim",IF(OR(F3925="",D3925="",L3925=""),"",IF(L3925="Sim",ROUND(F3925-D3925,2),0)),0)</f>
        <v/>
      </c>
      <c r="I3925" s="350">
        <f>IF(G3925="Sim",0,IF(OR(F3925="",L3925=""),"",F3925))</f>
        <v/>
      </c>
      <c r="J3925" s="350">
        <f>IF(G3925="Sim",0,IF(OR(F3925="",D3925="",L3925=""),"",IF(L3925="Sim",ROUND(F3925-D3925,2),0)))</f>
        <v/>
      </c>
      <c r="K3925" s="97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inlineStr">
        <is>
          <t>Nao</t>
        </is>
      </c>
      <c r="W3925" s="110" t="inlineStr">
        <is>
          <t>PC em analise</t>
        </is>
      </c>
      <c r="X3925" s="110" t="inlineStr">
        <is>
          <t>Pedido de Compra</t>
        </is>
      </c>
      <c r="Y3925" s="111" t="inlineStr">
        <is>
          <t>Impacto Potencial</t>
        </is>
      </c>
      <c r="Z3925" s="111" t="inlineStr">
        <is>
          <t>PC</t>
        </is>
      </c>
      <c r="AA3925" s="111" t="inlineStr">
        <is>
          <t>Nao</t>
        </is>
      </c>
      <c r="AB3925" s="111" t="inlineStr">
        <is>
          <t>NAO_COMPUTADO</t>
        </is>
      </c>
      <c r="AC3925" s="112" t="inlineStr">
        <is>
          <t>Estrutura Fase 1: sem impacto no VTA oficial</t>
        </is>
      </c>
    </row>
    <row r="3926" ht="25.5" customHeight="1" s="289">
      <c r="A3926" s="205" t="n"/>
      <c r="B3926" s="207" t="n"/>
      <c r="C3926" s="104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348" t="n"/>
      <c r="E3926" s="349">
        <f>IF(C3926="","",IFERROR(VLOOKUP(C3926,parametros!$A$11:$E$15,5,0),""))</f>
        <v/>
      </c>
      <c r="F3926" s="335">
        <f>IF(OR(D3926="",E3926=""),"",ROUND(D3926*E3926,2))</f>
        <v/>
      </c>
      <c r="G3926" s="106" t="n"/>
      <c r="H3926" s="350">
        <f>IF(G3926="Sim",IF(OR(F3926="",D3926="",L3926=""),"",IF(L3926="Sim",ROUND(F3926-D3926,2),0)),0)</f>
        <v/>
      </c>
      <c r="I3926" s="350">
        <f>IF(G3926="Sim",0,IF(OR(F3926="",L3926=""),"",F3926))</f>
        <v/>
      </c>
      <c r="J3926" s="350">
        <f>IF(G3926="Sim",0,IF(OR(F3926="",D3926="",L3926=""),"",IF(L3926="Sim",ROUND(F3926-D3926,2),0)))</f>
        <v/>
      </c>
      <c r="K3926" s="97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inlineStr">
        <is>
          <t>Nao</t>
        </is>
      </c>
      <c r="W3926" s="110" t="inlineStr">
        <is>
          <t>PC em analise</t>
        </is>
      </c>
      <c r="X3926" s="110" t="inlineStr">
        <is>
          <t>Pedido de Compra</t>
        </is>
      </c>
      <c r="Y3926" s="111" t="inlineStr">
        <is>
          <t>Impacto Potencial</t>
        </is>
      </c>
      <c r="Z3926" s="111" t="inlineStr">
        <is>
          <t>PC</t>
        </is>
      </c>
      <c r="AA3926" s="111" t="inlineStr">
        <is>
          <t>Nao</t>
        </is>
      </c>
      <c r="AB3926" s="111" t="inlineStr">
        <is>
          <t>NAO_COMPUTADO</t>
        </is>
      </c>
      <c r="AC3926" s="112" t="inlineStr">
        <is>
          <t>Estrutura Fase 1: sem impacto no VTA oficial</t>
        </is>
      </c>
    </row>
    <row r="3927" ht="25.5" customHeight="1" s="289">
      <c r="A3927" s="205" t="n"/>
      <c r="B3927" s="207" t="n"/>
      <c r="C3927" s="104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348" t="n"/>
      <c r="E3927" s="349">
        <f>IF(C3927="","",IFERROR(VLOOKUP(C3927,parametros!$A$11:$E$15,5,0),""))</f>
        <v/>
      </c>
      <c r="F3927" s="335">
        <f>IF(OR(D3927="",E3927=""),"",ROUND(D3927*E3927,2))</f>
        <v/>
      </c>
      <c r="G3927" s="106" t="n"/>
      <c r="H3927" s="350">
        <f>IF(G3927="Sim",IF(OR(F3927="",D3927="",L3927=""),"",IF(L3927="Sim",ROUND(F3927-D3927,2),0)),0)</f>
        <v/>
      </c>
      <c r="I3927" s="350">
        <f>IF(G3927="Sim",0,IF(OR(F3927="",L3927=""),"",F3927))</f>
        <v/>
      </c>
      <c r="J3927" s="350">
        <f>IF(G3927="Sim",0,IF(OR(F3927="",D3927="",L3927=""),"",IF(L3927="Sim",ROUND(F3927-D3927,2),0)))</f>
        <v/>
      </c>
      <c r="K3927" s="97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inlineStr">
        <is>
          <t>Nao</t>
        </is>
      </c>
      <c r="W3927" s="110" t="inlineStr">
        <is>
          <t>PC em analise</t>
        </is>
      </c>
      <c r="X3927" s="110" t="inlineStr">
        <is>
          <t>Pedido de Compra</t>
        </is>
      </c>
      <c r="Y3927" s="111" t="inlineStr">
        <is>
          <t>Impacto Potencial</t>
        </is>
      </c>
      <c r="Z3927" s="111" t="inlineStr">
        <is>
          <t>PC</t>
        </is>
      </c>
      <c r="AA3927" s="111" t="inlineStr">
        <is>
          <t>Nao</t>
        </is>
      </c>
      <c r="AB3927" s="111" t="inlineStr">
        <is>
          <t>NAO_COMPUTADO</t>
        </is>
      </c>
      <c r="AC3927" s="112" t="inlineStr">
        <is>
          <t>Estrutura Fase 1: sem impacto no VTA oficial</t>
        </is>
      </c>
    </row>
    <row r="3928" ht="25.5" customHeight="1" s="289">
      <c r="A3928" s="205" t="n"/>
      <c r="B3928" s="207" t="n"/>
      <c r="C3928" s="104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348" t="n"/>
      <c r="E3928" s="349">
        <f>IF(C3928="","",IFERROR(VLOOKUP(C3928,parametros!$A$11:$E$15,5,0),""))</f>
        <v/>
      </c>
      <c r="F3928" s="335">
        <f>IF(OR(D3928="",E3928=""),"",ROUND(D3928*E3928,2))</f>
        <v/>
      </c>
      <c r="G3928" s="106" t="n"/>
      <c r="H3928" s="350">
        <f>IF(G3928="Sim",IF(OR(F3928="",D3928="",L3928=""),"",IF(L3928="Sim",ROUND(F3928-D3928,2),0)),0)</f>
        <v/>
      </c>
      <c r="I3928" s="350">
        <f>IF(G3928="Sim",0,IF(OR(F3928="",L3928=""),"",F3928))</f>
        <v/>
      </c>
      <c r="J3928" s="350">
        <f>IF(G3928="Sim",0,IF(OR(F3928="",D3928="",L3928=""),"",IF(L3928="Sim",ROUND(F3928-D3928,2),0)))</f>
        <v/>
      </c>
      <c r="K3928" s="97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inlineStr">
        <is>
          <t>Nao</t>
        </is>
      </c>
      <c r="W3928" s="110" t="inlineStr">
        <is>
          <t>PC em analise</t>
        </is>
      </c>
      <c r="X3928" s="110" t="inlineStr">
        <is>
          <t>Pedido de Compra</t>
        </is>
      </c>
      <c r="Y3928" s="111" t="inlineStr">
        <is>
          <t>Impacto Potencial</t>
        </is>
      </c>
      <c r="Z3928" s="111" t="inlineStr">
        <is>
          <t>PC</t>
        </is>
      </c>
      <c r="AA3928" s="111" t="inlineStr">
        <is>
          <t>Nao</t>
        </is>
      </c>
      <c r="AB3928" s="111" t="inlineStr">
        <is>
          <t>NAO_COMPUTADO</t>
        </is>
      </c>
      <c r="AC3928" s="112" t="inlineStr">
        <is>
          <t>Estrutura Fase 1: sem impacto no VTA oficial</t>
        </is>
      </c>
    </row>
    <row r="3929" ht="25.5" customHeight="1" s="289">
      <c r="A3929" s="205" t="n"/>
      <c r="B3929" s="207" t="n"/>
      <c r="C3929" s="104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348" t="n"/>
      <c r="E3929" s="349">
        <f>IF(C3929="","",IFERROR(VLOOKUP(C3929,parametros!$A$11:$E$15,5,0),""))</f>
        <v/>
      </c>
      <c r="F3929" s="335">
        <f>IF(OR(D3929="",E3929=""),"",ROUND(D3929*E3929,2))</f>
        <v/>
      </c>
      <c r="G3929" s="106" t="n"/>
      <c r="H3929" s="350">
        <f>IF(G3929="Sim",IF(OR(F3929="",D3929="",L3929=""),"",IF(L3929="Sim",ROUND(F3929-D3929,2),0)),0)</f>
        <v/>
      </c>
      <c r="I3929" s="350">
        <f>IF(G3929="Sim",0,IF(OR(F3929="",L3929=""),"",F3929))</f>
        <v/>
      </c>
      <c r="J3929" s="350">
        <f>IF(G3929="Sim",0,IF(OR(F3929="",D3929="",L3929=""),"",IF(L3929="Sim",ROUND(F3929-D3929,2),0)))</f>
        <v/>
      </c>
      <c r="K3929" s="97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inlineStr">
        <is>
          <t>Nao</t>
        </is>
      </c>
      <c r="W3929" s="110" t="inlineStr">
        <is>
          <t>PC em analise</t>
        </is>
      </c>
      <c r="X3929" s="110" t="inlineStr">
        <is>
          <t>Pedido de Compra</t>
        </is>
      </c>
      <c r="Y3929" s="111" t="inlineStr">
        <is>
          <t>Impacto Potencial</t>
        </is>
      </c>
      <c r="Z3929" s="111" t="inlineStr">
        <is>
          <t>PC</t>
        </is>
      </c>
      <c r="AA3929" s="111" t="inlineStr">
        <is>
          <t>Nao</t>
        </is>
      </c>
      <c r="AB3929" s="111" t="inlineStr">
        <is>
          <t>NAO_COMPUTADO</t>
        </is>
      </c>
      <c r="AC3929" s="112" t="inlineStr">
        <is>
          <t>Estrutura Fase 1: sem impacto no VTA oficial</t>
        </is>
      </c>
    </row>
    <row r="3930" ht="25.5" customHeight="1" s="289">
      <c r="A3930" s="205" t="n"/>
      <c r="B3930" s="207" t="n"/>
      <c r="C3930" s="104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348" t="n"/>
      <c r="E3930" s="349">
        <f>IF(C3930="","",IFERROR(VLOOKUP(C3930,parametros!$A$11:$E$15,5,0),""))</f>
        <v/>
      </c>
      <c r="F3930" s="335">
        <f>IF(OR(D3930="",E3930=""),"",ROUND(D3930*E3930,2))</f>
        <v/>
      </c>
      <c r="G3930" s="106" t="n"/>
      <c r="H3930" s="350">
        <f>IF(G3930="Sim",IF(OR(F3930="",D3930="",L3930=""),"",IF(L3930="Sim",ROUND(F3930-D3930,2),0)),0)</f>
        <v/>
      </c>
      <c r="I3930" s="350">
        <f>IF(G3930="Sim",0,IF(OR(F3930="",L3930=""),"",F3930))</f>
        <v/>
      </c>
      <c r="J3930" s="350">
        <f>IF(G3930="Sim",0,IF(OR(F3930="",D3930="",L3930=""),"",IF(L3930="Sim",ROUND(F3930-D3930,2),0)))</f>
        <v/>
      </c>
      <c r="K3930" s="97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inlineStr">
        <is>
          <t>Nao</t>
        </is>
      </c>
      <c r="W3930" s="110" t="inlineStr">
        <is>
          <t>PC em analise</t>
        </is>
      </c>
      <c r="X3930" s="110" t="inlineStr">
        <is>
          <t>Pedido de Compra</t>
        </is>
      </c>
      <c r="Y3930" s="111" t="inlineStr">
        <is>
          <t>Impacto Potencial</t>
        </is>
      </c>
      <c r="Z3930" s="111" t="inlineStr">
        <is>
          <t>PC</t>
        </is>
      </c>
      <c r="AA3930" s="111" t="inlineStr">
        <is>
          <t>Nao</t>
        </is>
      </c>
      <c r="AB3930" s="111" t="inlineStr">
        <is>
          <t>NAO_COMPUTADO</t>
        </is>
      </c>
      <c r="AC3930" s="112" t="inlineStr">
        <is>
          <t>Estrutura Fase 1: sem impacto no VTA oficial</t>
        </is>
      </c>
    </row>
    <row r="3931" ht="25.5" customHeight="1" s="289">
      <c r="A3931" s="205" t="n"/>
      <c r="B3931" s="207" t="n"/>
      <c r="C3931" s="104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348" t="n"/>
      <c r="E3931" s="349">
        <f>IF(C3931="","",IFERROR(VLOOKUP(C3931,parametros!$A$11:$E$15,5,0),""))</f>
        <v/>
      </c>
      <c r="F3931" s="335">
        <f>IF(OR(D3931="",E3931=""),"",ROUND(D3931*E3931,2))</f>
        <v/>
      </c>
      <c r="G3931" s="106" t="n"/>
      <c r="H3931" s="350">
        <f>IF(G3931="Sim",IF(OR(F3931="",D3931="",L3931=""),"",IF(L3931="Sim",ROUND(F3931-D3931,2),0)),0)</f>
        <v/>
      </c>
      <c r="I3931" s="350">
        <f>IF(G3931="Sim",0,IF(OR(F3931="",L3931=""),"",F3931))</f>
        <v/>
      </c>
      <c r="J3931" s="350">
        <f>IF(G3931="Sim",0,IF(OR(F3931="",D3931="",L3931=""),"",IF(L3931="Sim",ROUND(F3931-D3931,2),0)))</f>
        <v/>
      </c>
      <c r="K3931" s="97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inlineStr">
        <is>
          <t>Nao</t>
        </is>
      </c>
      <c r="W3931" s="110" t="inlineStr">
        <is>
          <t>PC em analise</t>
        </is>
      </c>
      <c r="X3931" s="110" t="inlineStr">
        <is>
          <t>Pedido de Compra</t>
        </is>
      </c>
      <c r="Y3931" s="111" t="inlineStr">
        <is>
          <t>Impacto Potencial</t>
        </is>
      </c>
      <c r="Z3931" s="111" t="inlineStr">
        <is>
          <t>PC</t>
        </is>
      </c>
      <c r="AA3931" s="111" t="inlineStr">
        <is>
          <t>Nao</t>
        </is>
      </c>
      <c r="AB3931" s="111" t="inlineStr">
        <is>
          <t>NAO_COMPUTADO</t>
        </is>
      </c>
      <c r="AC3931" s="112" t="inlineStr">
        <is>
          <t>Estrutura Fase 1: sem impacto no VTA oficial</t>
        </is>
      </c>
    </row>
    <row r="3932" ht="25.5" customHeight="1" s="289">
      <c r="A3932" s="205" t="n"/>
      <c r="B3932" s="207" t="n"/>
      <c r="C3932" s="104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348" t="n"/>
      <c r="E3932" s="349">
        <f>IF(C3932="","",IFERROR(VLOOKUP(C3932,parametros!$A$11:$E$15,5,0),""))</f>
        <v/>
      </c>
      <c r="F3932" s="335">
        <f>IF(OR(D3932="",E3932=""),"",ROUND(D3932*E3932,2))</f>
        <v/>
      </c>
      <c r="G3932" s="106" t="n"/>
      <c r="H3932" s="350">
        <f>IF(G3932="Sim",IF(OR(F3932="",D3932="",L3932=""),"",IF(L3932="Sim",ROUND(F3932-D3932,2),0)),0)</f>
        <v/>
      </c>
      <c r="I3932" s="350">
        <f>IF(G3932="Sim",0,IF(OR(F3932="",L3932=""),"",F3932))</f>
        <v/>
      </c>
      <c r="J3932" s="350">
        <f>IF(G3932="Sim",0,IF(OR(F3932="",D3932="",L3932=""),"",IF(L3932="Sim",ROUND(F3932-D3932,2),0)))</f>
        <v/>
      </c>
      <c r="K3932" s="97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inlineStr">
        <is>
          <t>Nao</t>
        </is>
      </c>
      <c r="W3932" s="110" t="inlineStr">
        <is>
          <t>PC em analise</t>
        </is>
      </c>
      <c r="X3932" s="110" t="inlineStr">
        <is>
          <t>Pedido de Compra</t>
        </is>
      </c>
      <c r="Y3932" s="111" t="inlineStr">
        <is>
          <t>Impacto Potencial</t>
        </is>
      </c>
      <c r="Z3932" s="111" t="inlineStr">
        <is>
          <t>PC</t>
        </is>
      </c>
      <c r="AA3932" s="111" t="inlineStr">
        <is>
          <t>Nao</t>
        </is>
      </c>
      <c r="AB3932" s="111" t="inlineStr">
        <is>
          <t>NAO_COMPUTADO</t>
        </is>
      </c>
      <c r="AC3932" s="112" t="inlineStr">
        <is>
          <t>Estrutura Fase 1: sem impacto no VTA oficial</t>
        </is>
      </c>
    </row>
    <row r="3933" ht="25.5" customHeight="1" s="289">
      <c r="A3933" s="205" t="n"/>
      <c r="B3933" s="207" t="n"/>
      <c r="C3933" s="104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348" t="n"/>
      <c r="E3933" s="349">
        <f>IF(C3933="","",IFERROR(VLOOKUP(C3933,parametros!$A$11:$E$15,5,0),""))</f>
        <v/>
      </c>
      <c r="F3933" s="335">
        <f>IF(OR(D3933="",E3933=""),"",ROUND(D3933*E3933,2))</f>
        <v/>
      </c>
      <c r="G3933" s="106" t="n"/>
      <c r="H3933" s="350">
        <f>IF(G3933="Sim",IF(OR(F3933="",D3933="",L3933=""),"",IF(L3933="Sim",ROUND(F3933-D3933,2),0)),0)</f>
        <v/>
      </c>
      <c r="I3933" s="350">
        <f>IF(G3933="Sim",0,IF(OR(F3933="",L3933=""),"",F3933))</f>
        <v/>
      </c>
      <c r="J3933" s="350">
        <f>IF(G3933="Sim",0,IF(OR(F3933="",D3933="",L3933=""),"",IF(L3933="Sim",ROUND(F3933-D3933,2),0)))</f>
        <v/>
      </c>
      <c r="K3933" s="97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inlineStr">
        <is>
          <t>Nao</t>
        </is>
      </c>
      <c r="W3933" s="110" t="inlineStr">
        <is>
          <t>PC em analise</t>
        </is>
      </c>
      <c r="X3933" s="110" t="inlineStr">
        <is>
          <t>Pedido de Compra</t>
        </is>
      </c>
      <c r="Y3933" s="111" t="inlineStr">
        <is>
          <t>Impacto Potencial</t>
        </is>
      </c>
      <c r="Z3933" s="111" t="inlineStr">
        <is>
          <t>PC</t>
        </is>
      </c>
      <c r="AA3933" s="111" t="inlineStr">
        <is>
          <t>Nao</t>
        </is>
      </c>
      <c r="AB3933" s="111" t="inlineStr">
        <is>
          <t>NAO_COMPUTADO</t>
        </is>
      </c>
      <c r="AC3933" s="112" t="inlineStr">
        <is>
          <t>Estrutura Fase 1: sem impacto no VTA oficial</t>
        </is>
      </c>
    </row>
    <row r="3934" ht="25.5" customHeight="1" s="289">
      <c r="A3934" s="205" t="n"/>
      <c r="B3934" s="207" t="n"/>
      <c r="C3934" s="104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348" t="n"/>
      <c r="E3934" s="349">
        <f>IF(C3934="","",IFERROR(VLOOKUP(C3934,parametros!$A$11:$E$15,5,0),""))</f>
        <v/>
      </c>
      <c r="F3934" s="335">
        <f>IF(OR(D3934="",E3934=""),"",ROUND(D3934*E3934,2))</f>
        <v/>
      </c>
      <c r="G3934" s="106" t="n"/>
      <c r="H3934" s="350">
        <f>IF(G3934="Sim",IF(OR(F3934="",D3934="",L3934=""),"",IF(L3934="Sim",ROUND(F3934-D3934,2),0)),0)</f>
        <v/>
      </c>
      <c r="I3934" s="350">
        <f>IF(G3934="Sim",0,IF(OR(F3934="",L3934=""),"",F3934))</f>
        <v/>
      </c>
      <c r="J3934" s="350">
        <f>IF(G3934="Sim",0,IF(OR(F3934="",D3934="",L3934=""),"",IF(L3934="Sim",ROUND(F3934-D3934,2),0)))</f>
        <v/>
      </c>
      <c r="K3934" s="97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inlineStr">
        <is>
          <t>Nao</t>
        </is>
      </c>
      <c r="W3934" s="110" t="inlineStr">
        <is>
          <t>PC em analise</t>
        </is>
      </c>
      <c r="X3934" s="110" t="inlineStr">
        <is>
          <t>Pedido de Compra</t>
        </is>
      </c>
      <c r="Y3934" s="111" t="inlineStr">
        <is>
          <t>Impacto Potencial</t>
        </is>
      </c>
      <c r="Z3934" s="111" t="inlineStr">
        <is>
          <t>PC</t>
        </is>
      </c>
      <c r="AA3934" s="111" t="inlineStr">
        <is>
          <t>Nao</t>
        </is>
      </c>
      <c r="AB3934" s="111" t="inlineStr">
        <is>
          <t>NAO_COMPUTADO</t>
        </is>
      </c>
      <c r="AC3934" s="112" t="inlineStr">
        <is>
          <t>Estrutura Fase 1: sem impacto no VTA oficial</t>
        </is>
      </c>
    </row>
    <row r="3935" ht="25.5" customHeight="1" s="289">
      <c r="A3935" s="205" t="n"/>
      <c r="B3935" s="207" t="n"/>
      <c r="C3935" s="104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348" t="n"/>
      <c r="E3935" s="349">
        <f>IF(C3935="","",IFERROR(VLOOKUP(C3935,parametros!$A$11:$E$15,5,0),""))</f>
        <v/>
      </c>
      <c r="F3935" s="335">
        <f>IF(OR(D3935="",E3935=""),"",ROUND(D3935*E3935,2))</f>
        <v/>
      </c>
      <c r="G3935" s="106" t="n"/>
      <c r="H3935" s="350">
        <f>IF(G3935="Sim",IF(OR(F3935="",D3935="",L3935=""),"",IF(L3935="Sim",ROUND(F3935-D3935,2),0)),0)</f>
        <v/>
      </c>
      <c r="I3935" s="350">
        <f>IF(G3935="Sim",0,IF(OR(F3935="",L3935=""),"",F3935))</f>
        <v/>
      </c>
      <c r="J3935" s="350">
        <f>IF(G3935="Sim",0,IF(OR(F3935="",D3935="",L3935=""),"",IF(L3935="Sim",ROUND(F3935-D3935,2),0)))</f>
        <v/>
      </c>
      <c r="K3935" s="97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inlineStr">
        <is>
          <t>Nao</t>
        </is>
      </c>
      <c r="W3935" s="110" t="inlineStr">
        <is>
          <t>PC em analise</t>
        </is>
      </c>
      <c r="X3935" s="110" t="inlineStr">
        <is>
          <t>Pedido de Compra</t>
        </is>
      </c>
      <c r="Y3935" s="111" t="inlineStr">
        <is>
          <t>Impacto Potencial</t>
        </is>
      </c>
      <c r="Z3935" s="111" t="inlineStr">
        <is>
          <t>PC</t>
        </is>
      </c>
      <c r="AA3935" s="111" t="inlineStr">
        <is>
          <t>Nao</t>
        </is>
      </c>
      <c r="AB3935" s="111" t="inlineStr">
        <is>
          <t>NAO_COMPUTADO</t>
        </is>
      </c>
      <c r="AC3935" s="112" t="inlineStr">
        <is>
          <t>Estrutura Fase 1: sem impacto no VTA oficial</t>
        </is>
      </c>
    </row>
    <row r="3936" ht="25.5" customHeight="1" s="289">
      <c r="A3936" s="205" t="n"/>
      <c r="B3936" s="207" t="n"/>
      <c r="C3936" s="104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348" t="n"/>
      <c r="E3936" s="349">
        <f>IF(C3936="","",IFERROR(VLOOKUP(C3936,parametros!$A$11:$E$15,5,0),""))</f>
        <v/>
      </c>
      <c r="F3936" s="335">
        <f>IF(OR(D3936="",E3936=""),"",ROUND(D3936*E3936,2))</f>
        <v/>
      </c>
      <c r="G3936" s="106" t="n"/>
      <c r="H3936" s="350">
        <f>IF(G3936="Sim",IF(OR(F3936="",D3936="",L3936=""),"",IF(L3936="Sim",ROUND(F3936-D3936,2),0)),0)</f>
        <v/>
      </c>
      <c r="I3936" s="350">
        <f>IF(G3936="Sim",0,IF(OR(F3936="",L3936=""),"",F3936))</f>
        <v/>
      </c>
      <c r="J3936" s="350">
        <f>IF(G3936="Sim",0,IF(OR(F3936="",D3936="",L3936=""),"",IF(L3936="Sim",ROUND(F3936-D3936,2),0)))</f>
        <v/>
      </c>
      <c r="K3936" s="97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inlineStr">
        <is>
          <t>Nao</t>
        </is>
      </c>
      <c r="W3936" s="110" t="inlineStr">
        <is>
          <t>PC em analise</t>
        </is>
      </c>
      <c r="X3936" s="110" t="inlineStr">
        <is>
          <t>Pedido de Compra</t>
        </is>
      </c>
      <c r="Y3936" s="111" t="inlineStr">
        <is>
          <t>Impacto Potencial</t>
        </is>
      </c>
      <c r="Z3936" s="111" t="inlineStr">
        <is>
          <t>PC</t>
        </is>
      </c>
      <c r="AA3936" s="111" t="inlineStr">
        <is>
          <t>Nao</t>
        </is>
      </c>
      <c r="AB3936" s="111" t="inlineStr">
        <is>
          <t>NAO_COMPUTADO</t>
        </is>
      </c>
      <c r="AC3936" s="112" t="inlineStr">
        <is>
          <t>Estrutura Fase 1: sem impacto no VTA oficial</t>
        </is>
      </c>
    </row>
    <row r="3937" ht="25.5" customHeight="1" s="289">
      <c r="A3937" s="205" t="n"/>
      <c r="B3937" s="207" t="n"/>
      <c r="C3937" s="104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348" t="n"/>
      <c r="E3937" s="349">
        <f>IF(C3937="","",IFERROR(VLOOKUP(C3937,parametros!$A$11:$E$15,5,0),""))</f>
        <v/>
      </c>
      <c r="F3937" s="335">
        <f>IF(OR(D3937="",E3937=""),"",ROUND(D3937*E3937,2))</f>
        <v/>
      </c>
      <c r="G3937" s="106" t="n"/>
      <c r="H3937" s="350">
        <f>IF(G3937="Sim",IF(OR(F3937="",D3937="",L3937=""),"",IF(L3937="Sim",ROUND(F3937-D3937,2),0)),0)</f>
        <v/>
      </c>
      <c r="I3937" s="350">
        <f>IF(G3937="Sim",0,IF(OR(F3937="",L3937=""),"",F3937))</f>
        <v/>
      </c>
      <c r="J3937" s="350">
        <f>IF(G3937="Sim",0,IF(OR(F3937="",D3937="",L3937=""),"",IF(L3937="Sim",ROUND(F3937-D3937,2),0)))</f>
        <v/>
      </c>
      <c r="K3937" s="97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inlineStr">
        <is>
          <t>Nao</t>
        </is>
      </c>
      <c r="W3937" s="110" t="inlineStr">
        <is>
          <t>PC em analise</t>
        </is>
      </c>
      <c r="X3937" s="110" t="inlineStr">
        <is>
          <t>Pedido de Compra</t>
        </is>
      </c>
      <c r="Y3937" s="111" t="inlineStr">
        <is>
          <t>Impacto Potencial</t>
        </is>
      </c>
      <c r="Z3937" s="111" t="inlineStr">
        <is>
          <t>PC</t>
        </is>
      </c>
      <c r="AA3937" s="111" t="inlineStr">
        <is>
          <t>Nao</t>
        </is>
      </c>
      <c r="AB3937" s="111" t="inlineStr">
        <is>
          <t>NAO_COMPUTADO</t>
        </is>
      </c>
      <c r="AC3937" s="112" t="inlineStr">
        <is>
          <t>Estrutura Fase 1: sem impacto no VTA oficial</t>
        </is>
      </c>
    </row>
    <row r="3938" ht="25.5" customHeight="1" s="289">
      <c r="A3938" s="205" t="n"/>
      <c r="B3938" s="207" t="n"/>
      <c r="C3938" s="104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348" t="n"/>
      <c r="E3938" s="349">
        <f>IF(C3938="","",IFERROR(VLOOKUP(C3938,parametros!$A$11:$E$15,5,0),""))</f>
        <v/>
      </c>
      <c r="F3938" s="335">
        <f>IF(OR(D3938="",E3938=""),"",ROUND(D3938*E3938,2))</f>
        <v/>
      </c>
      <c r="G3938" s="106" t="n"/>
      <c r="H3938" s="350">
        <f>IF(G3938="Sim",IF(OR(F3938="",D3938="",L3938=""),"",IF(L3938="Sim",ROUND(F3938-D3938,2),0)),0)</f>
        <v/>
      </c>
      <c r="I3938" s="350">
        <f>IF(G3938="Sim",0,IF(OR(F3938="",L3938=""),"",F3938))</f>
        <v/>
      </c>
      <c r="J3938" s="350">
        <f>IF(G3938="Sim",0,IF(OR(F3938="",D3938="",L3938=""),"",IF(L3938="Sim",ROUND(F3938-D3938,2),0)))</f>
        <v/>
      </c>
      <c r="K3938" s="97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inlineStr">
        <is>
          <t>Nao</t>
        </is>
      </c>
      <c r="W3938" s="110" t="inlineStr">
        <is>
          <t>PC em analise</t>
        </is>
      </c>
      <c r="X3938" s="110" t="inlineStr">
        <is>
          <t>Pedido de Compra</t>
        </is>
      </c>
      <c r="Y3938" s="111" t="inlineStr">
        <is>
          <t>Impacto Potencial</t>
        </is>
      </c>
      <c r="Z3938" s="111" t="inlineStr">
        <is>
          <t>PC</t>
        </is>
      </c>
      <c r="AA3938" s="111" t="inlineStr">
        <is>
          <t>Nao</t>
        </is>
      </c>
      <c r="AB3938" s="111" t="inlineStr">
        <is>
          <t>NAO_COMPUTADO</t>
        </is>
      </c>
      <c r="AC3938" s="112" t="inlineStr">
        <is>
          <t>Estrutura Fase 1: sem impacto no VTA oficial</t>
        </is>
      </c>
    </row>
    <row r="3939" ht="25.5" customHeight="1" s="289">
      <c r="A3939" s="205" t="n"/>
      <c r="B3939" s="207" t="n"/>
      <c r="C3939" s="104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348" t="n"/>
      <c r="E3939" s="349">
        <f>IF(C3939="","",IFERROR(VLOOKUP(C3939,parametros!$A$11:$E$15,5,0),""))</f>
        <v/>
      </c>
      <c r="F3939" s="335">
        <f>IF(OR(D3939="",E3939=""),"",ROUND(D3939*E3939,2))</f>
        <v/>
      </c>
      <c r="G3939" s="106" t="n"/>
      <c r="H3939" s="350">
        <f>IF(G3939="Sim",IF(OR(F3939="",D3939="",L3939=""),"",IF(L3939="Sim",ROUND(F3939-D3939,2),0)),0)</f>
        <v/>
      </c>
      <c r="I3939" s="350">
        <f>IF(G3939="Sim",0,IF(OR(F3939="",L3939=""),"",F3939))</f>
        <v/>
      </c>
      <c r="J3939" s="350">
        <f>IF(G3939="Sim",0,IF(OR(F3939="",D3939="",L3939=""),"",IF(L3939="Sim",ROUND(F3939-D3939,2),0)))</f>
        <v/>
      </c>
      <c r="K3939" s="97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inlineStr">
        <is>
          <t>Nao</t>
        </is>
      </c>
      <c r="W3939" s="110" t="inlineStr">
        <is>
          <t>PC em analise</t>
        </is>
      </c>
      <c r="X3939" s="110" t="inlineStr">
        <is>
          <t>Pedido de Compra</t>
        </is>
      </c>
      <c r="Y3939" s="111" t="inlineStr">
        <is>
          <t>Impacto Potencial</t>
        </is>
      </c>
      <c r="Z3939" s="111" t="inlineStr">
        <is>
          <t>PC</t>
        </is>
      </c>
      <c r="AA3939" s="111" t="inlineStr">
        <is>
          <t>Nao</t>
        </is>
      </c>
      <c r="AB3939" s="111" t="inlineStr">
        <is>
          <t>NAO_COMPUTADO</t>
        </is>
      </c>
      <c r="AC3939" s="112" t="inlineStr">
        <is>
          <t>Estrutura Fase 1: sem impacto no VTA oficial</t>
        </is>
      </c>
    </row>
    <row r="3940" ht="25.5" customHeight="1" s="289">
      <c r="A3940" s="205" t="n"/>
      <c r="B3940" s="207" t="n"/>
      <c r="C3940" s="104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348" t="n"/>
      <c r="E3940" s="349">
        <f>IF(C3940="","",IFERROR(VLOOKUP(C3940,parametros!$A$11:$E$15,5,0),""))</f>
        <v/>
      </c>
      <c r="F3940" s="335">
        <f>IF(OR(D3940="",E3940=""),"",ROUND(D3940*E3940,2))</f>
        <v/>
      </c>
      <c r="G3940" s="106" t="n"/>
      <c r="H3940" s="350">
        <f>IF(G3940="Sim",IF(OR(F3940="",D3940="",L3940=""),"",IF(L3940="Sim",ROUND(F3940-D3940,2),0)),0)</f>
        <v/>
      </c>
      <c r="I3940" s="350">
        <f>IF(G3940="Sim",0,IF(OR(F3940="",L3940=""),"",F3940))</f>
        <v/>
      </c>
      <c r="J3940" s="350">
        <f>IF(G3940="Sim",0,IF(OR(F3940="",D3940="",L3940=""),"",IF(L3940="Sim",ROUND(F3940-D3940,2),0)))</f>
        <v/>
      </c>
      <c r="K3940" s="97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inlineStr">
        <is>
          <t>Nao</t>
        </is>
      </c>
      <c r="W3940" s="110" t="inlineStr">
        <is>
          <t>PC em analise</t>
        </is>
      </c>
      <c r="X3940" s="110" t="inlineStr">
        <is>
          <t>Pedido de Compra</t>
        </is>
      </c>
      <c r="Y3940" s="111" t="inlineStr">
        <is>
          <t>Impacto Potencial</t>
        </is>
      </c>
      <c r="Z3940" s="111" t="inlineStr">
        <is>
          <t>PC</t>
        </is>
      </c>
      <c r="AA3940" s="111" t="inlineStr">
        <is>
          <t>Nao</t>
        </is>
      </c>
      <c r="AB3940" s="111" t="inlineStr">
        <is>
          <t>NAO_COMPUTADO</t>
        </is>
      </c>
      <c r="AC3940" s="112" t="inlineStr">
        <is>
          <t>Estrutura Fase 1: sem impacto no VTA oficial</t>
        </is>
      </c>
    </row>
    <row r="3941" ht="25.5" customHeight="1" s="289">
      <c r="A3941" s="205" t="n"/>
      <c r="B3941" s="207" t="n"/>
      <c r="C3941" s="104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348" t="n"/>
      <c r="E3941" s="349">
        <f>IF(C3941="","",IFERROR(VLOOKUP(C3941,parametros!$A$11:$E$15,5,0),""))</f>
        <v/>
      </c>
      <c r="F3941" s="335">
        <f>IF(OR(D3941="",E3941=""),"",ROUND(D3941*E3941,2))</f>
        <v/>
      </c>
      <c r="G3941" s="106" t="n"/>
      <c r="H3941" s="350">
        <f>IF(G3941="Sim",IF(OR(F3941="",D3941="",L3941=""),"",IF(L3941="Sim",ROUND(F3941-D3941,2),0)),0)</f>
        <v/>
      </c>
      <c r="I3941" s="350">
        <f>IF(G3941="Sim",0,IF(OR(F3941="",L3941=""),"",F3941))</f>
        <v/>
      </c>
      <c r="J3941" s="350">
        <f>IF(G3941="Sim",0,IF(OR(F3941="",D3941="",L3941=""),"",IF(L3941="Sim",ROUND(F3941-D3941,2),0)))</f>
        <v/>
      </c>
      <c r="K3941" s="97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inlineStr">
        <is>
          <t>Nao</t>
        </is>
      </c>
      <c r="W3941" s="110" t="inlineStr">
        <is>
          <t>PC em analise</t>
        </is>
      </c>
      <c r="X3941" s="110" t="inlineStr">
        <is>
          <t>Pedido de Compra</t>
        </is>
      </c>
      <c r="Y3941" s="111" t="inlineStr">
        <is>
          <t>Impacto Potencial</t>
        </is>
      </c>
      <c r="Z3941" s="111" t="inlineStr">
        <is>
          <t>PC</t>
        </is>
      </c>
      <c r="AA3941" s="111" t="inlineStr">
        <is>
          <t>Nao</t>
        </is>
      </c>
      <c r="AB3941" s="111" t="inlineStr">
        <is>
          <t>NAO_COMPUTADO</t>
        </is>
      </c>
      <c r="AC3941" s="112" t="inlineStr">
        <is>
          <t>Estrutura Fase 1: sem impacto no VTA oficial</t>
        </is>
      </c>
    </row>
    <row r="3942" ht="25.5" customHeight="1" s="289">
      <c r="A3942" s="205" t="n"/>
      <c r="B3942" s="207" t="n"/>
      <c r="C3942" s="104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348" t="n"/>
      <c r="E3942" s="349">
        <f>IF(C3942="","",IFERROR(VLOOKUP(C3942,parametros!$A$11:$E$15,5,0),""))</f>
        <v/>
      </c>
      <c r="F3942" s="335">
        <f>IF(OR(D3942="",E3942=""),"",ROUND(D3942*E3942,2))</f>
        <v/>
      </c>
      <c r="G3942" s="106" t="n"/>
      <c r="H3942" s="350">
        <f>IF(G3942="Sim",IF(OR(F3942="",D3942="",L3942=""),"",IF(L3942="Sim",ROUND(F3942-D3942,2),0)),0)</f>
        <v/>
      </c>
      <c r="I3942" s="350">
        <f>IF(G3942="Sim",0,IF(OR(F3942="",L3942=""),"",F3942))</f>
        <v/>
      </c>
      <c r="J3942" s="350">
        <f>IF(G3942="Sim",0,IF(OR(F3942="",D3942="",L3942=""),"",IF(L3942="Sim",ROUND(F3942-D3942,2),0)))</f>
        <v/>
      </c>
      <c r="K3942" s="97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inlineStr">
        <is>
          <t>Nao</t>
        </is>
      </c>
      <c r="W3942" s="110" t="inlineStr">
        <is>
          <t>PC em analise</t>
        </is>
      </c>
      <c r="X3942" s="110" t="inlineStr">
        <is>
          <t>Pedido de Compra</t>
        </is>
      </c>
      <c r="Y3942" s="111" t="inlineStr">
        <is>
          <t>Impacto Potencial</t>
        </is>
      </c>
      <c r="Z3942" s="111" t="inlineStr">
        <is>
          <t>PC</t>
        </is>
      </c>
      <c r="AA3942" s="111" t="inlineStr">
        <is>
          <t>Nao</t>
        </is>
      </c>
      <c r="AB3942" s="111" t="inlineStr">
        <is>
          <t>NAO_COMPUTADO</t>
        </is>
      </c>
      <c r="AC3942" s="112" t="inlineStr">
        <is>
          <t>Estrutura Fase 1: sem impacto no VTA oficial</t>
        </is>
      </c>
    </row>
    <row r="3943" ht="25.5" customHeight="1" s="289">
      <c r="A3943" s="205" t="n"/>
      <c r="B3943" s="207" t="n"/>
      <c r="C3943" s="104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348" t="n"/>
      <c r="E3943" s="349">
        <f>IF(C3943="","",IFERROR(VLOOKUP(C3943,parametros!$A$11:$E$15,5,0),""))</f>
        <v/>
      </c>
      <c r="F3943" s="335">
        <f>IF(OR(D3943="",E3943=""),"",ROUND(D3943*E3943,2))</f>
        <v/>
      </c>
      <c r="G3943" s="106" t="n"/>
      <c r="H3943" s="350">
        <f>IF(G3943="Sim",IF(OR(F3943="",D3943="",L3943=""),"",IF(L3943="Sim",ROUND(F3943-D3943,2),0)),0)</f>
        <v/>
      </c>
      <c r="I3943" s="350">
        <f>IF(G3943="Sim",0,IF(OR(F3943="",L3943=""),"",F3943))</f>
        <v/>
      </c>
      <c r="J3943" s="350">
        <f>IF(G3943="Sim",0,IF(OR(F3943="",D3943="",L3943=""),"",IF(L3943="Sim",ROUND(F3943-D3943,2),0)))</f>
        <v/>
      </c>
      <c r="K3943" s="97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inlineStr">
        <is>
          <t>Nao</t>
        </is>
      </c>
      <c r="W3943" s="110" t="inlineStr">
        <is>
          <t>PC em analise</t>
        </is>
      </c>
      <c r="X3943" s="110" t="inlineStr">
        <is>
          <t>Pedido de Compra</t>
        </is>
      </c>
      <c r="Y3943" s="111" t="inlineStr">
        <is>
          <t>Impacto Potencial</t>
        </is>
      </c>
      <c r="Z3943" s="111" t="inlineStr">
        <is>
          <t>PC</t>
        </is>
      </c>
      <c r="AA3943" s="111" t="inlineStr">
        <is>
          <t>Nao</t>
        </is>
      </c>
      <c r="AB3943" s="111" t="inlineStr">
        <is>
          <t>NAO_COMPUTADO</t>
        </is>
      </c>
      <c r="AC3943" s="112" t="inlineStr">
        <is>
          <t>Estrutura Fase 1: sem impacto no VTA oficial</t>
        </is>
      </c>
    </row>
    <row r="3944" ht="25.5" customHeight="1" s="289">
      <c r="A3944" s="205" t="n"/>
      <c r="B3944" s="207" t="n"/>
      <c r="C3944" s="104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348" t="n"/>
      <c r="E3944" s="349">
        <f>IF(C3944="","",IFERROR(VLOOKUP(C3944,parametros!$A$11:$E$15,5,0),""))</f>
        <v/>
      </c>
      <c r="F3944" s="335">
        <f>IF(OR(D3944="",E3944=""),"",ROUND(D3944*E3944,2))</f>
        <v/>
      </c>
      <c r="G3944" s="106" t="n"/>
      <c r="H3944" s="350">
        <f>IF(G3944="Sim",IF(OR(F3944="",D3944="",L3944=""),"",IF(L3944="Sim",ROUND(F3944-D3944,2),0)),0)</f>
        <v/>
      </c>
      <c r="I3944" s="350">
        <f>IF(G3944="Sim",0,IF(OR(F3944="",L3944=""),"",F3944))</f>
        <v/>
      </c>
      <c r="J3944" s="350">
        <f>IF(G3944="Sim",0,IF(OR(F3944="",D3944="",L3944=""),"",IF(L3944="Sim",ROUND(F3944-D3944,2),0)))</f>
        <v/>
      </c>
      <c r="K3944" s="97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inlineStr">
        <is>
          <t>Nao</t>
        </is>
      </c>
      <c r="W3944" s="110" t="inlineStr">
        <is>
          <t>PC em analise</t>
        </is>
      </c>
      <c r="X3944" s="110" t="inlineStr">
        <is>
          <t>Pedido de Compra</t>
        </is>
      </c>
      <c r="Y3944" s="111" t="inlineStr">
        <is>
          <t>Impacto Potencial</t>
        </is>
      </c>
      <c r="Z3944" s="111" t="inlineStr">
        <is>
          <t>PC</t>
        </is>
      </c>
      <c r="AA3944" s="111" t="inlineStr">
        <is>
          <t>Nao</t>
        </is>
      </c>
      <c r="AB3944" s="111" t="inlineStr">
        <is>
          <t>NAO_COMPUTADO</t>
        </is>
      </c>
      <c r="AC3944" s="112" t="inlineStr">
        <is>
          <t>Estrutura Fase 1: sem impacto no VTA oficial</t>
        </is>
      </c>
    </row>
    <row r="3945" ht="25.5" customHeight="1" s="289">
      <c r="A3945" s="205" t="n"/>
      <c r="B3945" s="207" t="n"/>
      <c r="C3945" s="104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348" t="n"/>
      <c r="E3945" s="349">
        <f>IF(C3945="","",IFERROR(VLOOKUP(C3945,parametros!$A$11:$E$15,5,0),""))</f>
        <v/>
      </c>
      <c r="F3945" s="335">
        <f>IF(OR(D3945="",E3945=""),"",ROUND(D3945*E3945,2))</f>
        <v/>
      </c>
      <c r="G3945" s="106" t="n"/>
      <c r="H3945" s="350">
        <f>IF(G3945="Sim",IF(OR(F3945="",D3945="",L3945=""),"",IF(L3945="Sim",ROUND(F3945-D3945,2),0)),0)</f>
        <v/>
      </c>
      <c r="I3945" s="350">
        <f>IF(G3945="Sim",0,IF(OR(F3945="",L3945=""),"",F3945))</f>
        <v/>
      </c>
      <c r="J3945" s="350">
        <f>IF(G3945="Sim",0,IF(OR(F3945="",D3945="",L3945=""),"",IF(L3945="Sim",ROUND(F3945-D3945,2),0)))</f>
        <v/>
      </c>
      <c r="K3945" s="97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inlineStr">
        <is>
          <t>Nao</t>
        </is>
      </c>
      <c r="W3945" s="110" t="inlineStr">
        <is>
          <t>PC em analise</t>
        </is>
      </c>
      <c r="X3945" s="110" t="inlineStr">
        <is>
          <t>Pedido de Compra</t>
        </is>
      </c>
      <c r="Y3945" s="111" t="inlineStr">
        <is>
          <t>Impacto Potencial</t>
        </is>
      </c>
      <c r="Z3945" s="111" t="inlineStr">
        <is>
          <t>PC</t>
        </is>
      </c>
      <c r="AA3945" s="111" t="inlineStr">
        <is>
          <t>Nao</t>
        </is>
      </c>
      <c r="AB3945" s="111" t="inlineStr">
        <is>
          <t>NAO_COMPUTADO</t>
        </is>
      </c>
      <c r="AC3945" s="112" t="inlineStr">
        <is>
          <t>Estrutura Fase 1: sem impacto no VTA oficial</t>
        </is>
      </c>
    </row>
    <row r="3946" ht="25.5" customHeight="1" s="289">
      <c r="A3946" s="205" t="n"/>
      <c r="B3946" s="207" t="n"/>
      <c r="C3946" s="104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348" t="n"/>
      <c r="E3946" s="349">
        <f>IF(C3946="","",IFERROR(VLOOKUP(C3946,parametros!$A$11:$E$15,5,0),""))</f>
        <v/>
      </c>
      <c r="F3946" s="335">
        <f>IF(OR(D3946="",E3946=""),"",ROUND(D3946*E3946,2))</f>
        <v/>
      </c>
      <c r="G3946" s="106" t="n"/>
      <c r="H3946" s="350">
        <f>IF(G3946="Sim",IF(OR(F3946="",D3946="",L3946=""),"",IF(L3946="Sim",ROUND(F3946-D3946,2),0)),0)</f>
        <v/>
      </c>
      <c r="I3946" s="350">
        <f>IF(G3946="Sim",0,IF(OR(F3946="",L3946=""),"",F3946))</f>
        <v/>
      </c>
      <c r="J3946" s="350">
        <f>IF(G3946="Sim",0,IF(OR(F3946="",D3946="",L3946=""),"",IF(L3946="Sim",ROUND(F3946-D3946,2),0)))</f>
        <v/>
      </c>
      <c r="K3946" s="97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inlineStr">
        <is>
          <t>Nao</t>
        </is>
      </c>
      <c r="W3946" s="110" t="inlineStr">
        <is>
          <t>PC em analise</t>
        </is>
      </c>
      <c r="X3946" s="110" t="inlineStr">
        <is>
          <t>Pedido de Compra</t>
        </is>
      </c>
      <c r="Y3946" s="111" t="inlineStr">
        <is>
          <t>Impacto Potencial</t>
        </is>
      </c>
      <c r="Z3946" s="111" t="inlineStr">
        <is>
          <t>PC</t>
        </is>
      </c>
      <c r="AA3946" s="111" t="inlineStr">
        <is>
          <t>Nao</t>
        </is>
      </c>
      <c r="AB3946" s="111" t="inlineStr">
        <is>
          <t>NAO_COMPUTADO</t>
        </is>
      </c>
      <c r="AC3946" s="112" t="inlineStr">
        <is>
          <t>Estrutura Fase 1: sem impacto no VTA oficial</t>
        </is>
      </c>
    </row>
    <row r="3947" ht="25.5" customHeight="1" s="289">
      <c r="A3947" s="205" t="n"/>
      <c r="B3947" s="207" t="n"/>
      <c r="C3947" s="104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348" t="n"/>
      <c r="E3947" s="349">
        <f>IF(C3947="","",IFERROR(VLOOKUP(C3947,parametros!$A$11:$E$15,5,0),""))</f>
        <v/>
      </c>
      <c r="F3947" s="335">
        <f>IF(OR(D3947="",E3947=""),"",ROUND(D3947*E3947,2))</f>
        <v/>
      </c>
      <c r="G3947" s="106" t="n"/>
      <c r="H3947" s="350">
        <f>IF(G3947="Sim",IF(OR(F3947="",D3947="",L3947=""),"",IF(L3947="Sim",ROUND(F3947-D3947,2),0)),0)</f>
        <v/>
      </c>
      <c r="I3947" s="350">
        <f>IF(G3947="Sim",0,IF(OR(F3947="",L3947=""),"",F3947))</f>
        <v/>
      </c>
      <c r="J3947" s="350">
        <f>IF(G3947="Sim",0,IF(OR(F3947="",D3947="",L3947=""),"",IF(L3947="Sim",ROUND(F3947-D3947,2),0)))</f>
        <v/>
      </c>
      <c r="K3947" s="97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inlineStr">
        <is>
          <t>Nao</t>
        </is>
      </c>
      <c r="W3947" s="110" t="inlineStr">
        <is>
          <t>PC em analise</t>
        </is>
      </c>
      <c r="X3947" s="110" t="inlineStr">
        <is>
          <t>Pedido de Compra</t>
        </is>
      </c>
      <c r="Y3947" s="111" t="inlineStr">
        <is>
          <t>Impacto Potencial</t>
        </is>
      </c>
      <c r="Z3947" s="111" t="inlineStr">
        <is>
          <t>PC</t>
        </is>
      </c>
      <c r="AA3947" s="111" t="inlineStr">
        <is>
          <t>Nao</t>
        </is>
      </c>
      <c r="AB3947" s="111" t="inlineStr">
        <is>
          <t>NAO_COMPUTADO</t>
        </is>
      </c>
      <c r="AC3947" s="112" t="inlineStr">
        <is>
          <t>Estrutura Fase 1: sem impacto no VTA oficial</t>
        </is>
      </c>
    </row>
    <row r="3948" ht="25.5" customHeight="1" s="289">
      <c r="A3948" s="205" t="n"/>
      <c r="B3948" s="207" t="n"/>
      <c r="C3948" s="104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348" t="n"/>
      <c r="E3948" s="349">
        <f>IF(C3948="","",IFERROR(VLOOKUP(C3948,parametros!$A$11:$E$15,5,0),""))</f>
        <v/>
      </c>
      <c r="F3948" s="335">
        <f>IF(OR(D3948="",E3948=""),"",ROUND(D3948*E3948,2))</f>
        <v/>
      </c>
      <c r="G3948" s="106" t="n"/>
      <c r="H3948" s="350">
        <f>IF(G3948="Sim",IF(OR(F3948="",D3948="",L3948=""),"",IF(L3948="Sim",ROUND(F3948-D3948,2),0)),0)</f>
        <v/>
      </c>
      <c r="I3948" s="350">
        <f>IF(G3948="Sim",0,IF(OR(F3948="",L3948=""),"",F3948))</f>
        <v/>
      </c>
      <c r="J3948" s="350">
        <f>IF(G3948="Sim",0,IF(OR(F3948="",D3948="",L3948=""),"",IF(L3948="Sim",ROUND(F3948-D3948,2),0)))</f>
        <v/>
      </c>
      <c r="K3948" s="97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inlineStr">
        <is>
          <t>Nao</t>
        </is>
      </c>
      <c r="W3948" s="110" t="inlineStr">
        <is>
          <t>PC em analise</t>
        </is>
      </c>
      <c r="X3948" s="110" t="inlineStr">
        <is>
          <t>Pedido de Compra</t>
        </is>
      </c>
      <c r="Y3948" s="111" t="inlineStr">
        <is>
          <t>Impacto Potencial</t>
        </is>
      </c>
      <c r="Z3948" s="111" t="inlineStr">
        <is>
          <t>PC</t>
        </is>
      </c>
      <c r="AA3948" s="111" t="inlineStr">
        <is>
          <t>Nao</t>
        </is>
      </c>
      <c r="AB3948" s="111" t="inlineStr">
        <is>
          <t>NAO_COMPUTADO</t>
        </is>
      </c>
      <c r="AC3948" s="112" t="inlineStr">
        <is>
          <t>Estrutura Fase 1: sem impacto no VTA oficial</t>
        </is>
      </c>
    </row>
    <row r="3949" ht="25.5" customHeight="1" s="289">
      <c r="A3949" s="205" t="n"/>
      <c r="B3949" s="207" t="n"/>
      <c r="C3949" s="104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348" t="n"/>
      <c r="E3949" s="349">
        <f>IF(C3949="","",IFERROR(VLOOKUP(C3949,parametros!$A$11:$E$15,5,0),""))</f>
        <v/>
      </c>
      <c r="F3949" s="335">
        <f>IF(OR(D3949="",E3949=""),"",ROUND(D3949*E3949,2))</f>
        <v/>
      </c>
      <c r="G3949" s="106" t="n"/>
      <c r="H3949" s="350">
        <f>IF(G3949="Sim",IF(OR(F3949="",D3949="",L3949=""),"",IF(L3949="Sim",ROUND(F3949-D3949,2),0)),0)</f>
        <v/>
      </c>
      <c r="I3949" s="350">
        <f>IF(G3949="Sim",0,IF(OR(F3949="",L3949=""),"",F3949))</f>
        <v/>
      </c>
      <c r="J3949" s="350">
        <f>IF(G3949="Sim",0,IF(OR(F3949="",D3949="",L3949=""),"",IF(L3949="Sim",ROUND(F3949-D3949,2),0)))</f>
        <v/>
      </c>
      <c r="K3949" s="97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inlineStr">
        <is>
          <t>Nao</t>
        </is>
      </c>
      <c r="W3949" s="110" t="inlineStr">
        <is>
          <t>PC em analise</t>
        </is>
      </c>
      <c r="X3949" s="110" t="inlineStr">
        <is>
          <t>Pedido de Compra</t>
        </is>
      </c>
      <c r="Y3949" s="111" t="inlineStr">
        <is>
          <t>Impacto Potencial</t>
        </is>
      </c>
      <c r="Z3949" s="111" t="inlineStr">
        <is>
          <t>PC</t>
        </is>
      </c>
      <c r="AA3949" s="111" t="inlineStr">
        <is>
          <t>Nao</t>
        </is>
      </c>
      <c r="AB3949" s="111" t="inlineStr">
        <is>
          <t>NAO_COMPUTADO</t>
        </is>
      </c>
      <c r="AC3949" s="112" t="inlineStr">
        <is>
          <t>Estrutura Fase 1: sem impacto no VTA oficial</t>
        </is>
      </c>
    </row>
    <row r="3950" ht="25.5" customHeight="1" s="289">
      <c r="A3950" s="205" t="n"/>
      <c r="B3950" s="207" t="n"/>
      <c r="C3950" s="104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348" t="n"/>
      <c r="E3950" s="349">
        <f>IF(C3950="","",IFERROR(VLOOKUP(C3950,parametros!$A$11:$E$15,5,0),""))</f>
        <v/>
      </c>
      <c r="F3950" s="335">
        <f>IF(OR(D3950="",E3950=""),"",ROUND(D3950*E3950,2))</f>
        <v/>
      </c>
      <c r="G3950" s="106" t="n"/>
      <c r="H3950" s="350">
        <f>IF(G3950="Sim",IF(OR(F3950="",D3950="",L3950=""),"",IF(L3950="Sim",ROUND(F3950-D3950,2),0)),0)</f>
        <v/>
      </c>
      <c r="I3950" s="350">
        <f>IF(G3950="Sim",0,IF(OR(F3950="",L3950=""),"",F3950))</f>
        <v/>
      </c>
      <c r="J3950" s="350">
        <f>IF(G3950="Sim",0,IF(OR(F3950="",D3950="",L3950=""),"",IF(L3950="Sim",ROUND(F3950-D3950,2),0)))</f>
        <v/>
      </c>
      <c r="K3950" s="97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inlineStr">
        <is>
          <t>Nao</t>
        </is>
      </c>
      <c r="W3950" s="110" t="inlineStr">
        <is>
          <t>PC em analise</t>
        </is>
      </c>
      <c r="X3950" s="110" t="inlineStr">
        <is>
          <t>Pedido de Compra</t>
        </is>
      </c>
      <c r="Y3950" s="111" t="inlineStr">
        <is>
          <t>Impacto Potencial</t>
        </is>
      </c>
      <c r="Z3950" s="111" t="inlineStr">
        <is>
          <t>PC</t>
        </is>
      </c>
      <c r="AA3950" s="111" t="inlineStr">
        <is>
          <t>Nao</t>
        </is>
      </c>
      <c r="AB3950" s="111" t="inlineStr">
        <is>
          <t>NAO_COMPUTADO</t>
        </is>
      </c>
      <c r="AC3950" s="112" t="inlineStr">
        <is>
          <t>Estrutura Fase 1: sem impacto no VTA oficial</t>
        </is>
      </c>
    </row>
    <row r="3951" ht="25.5" customHeight="1" s="289">
      <c r="A3951" s="205" t="n"/>
      <c r="B3951" s="207" t="n"/>
      <c r="C3951" s="104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348" t="n"/>
      <c r="E3951" s="349">
        <f>IF(C3951="","",IFERROR(VLOOKUP(C3951,parametros!$A$11:$E$15,5,0),""))</f>
        <v/>
      </c>
      <c r="F3951" s="335">
        <f>IF(OR(D3951="",E3951=""),"",ROUND(D3951*E3951,2))</f>
        <v/>
      </c>
      <c r="G3951" s="106" t="n"/>
      <c r="H3951" s="350">
        <f>IF(G3951="Sim",IF(OR(F3951="",D3951="",L3951=""),"",IF(L3951="Sim",ROUND(F3951-D3951,2),0)),0)</f>
        <v/>
      </c>
      <c r="I3951" s="350">
        <f>IF(G3951="Sim",0,IF(OR(F3951="",L3951=""),"",F3951))</f>
        <v/>
      </c>
      <c r="J3951" s="350">
        <f>IF(G3951="Sim",0,IF(OR(F3951="",D3951="",L3951=""),"",IF(L3951="Sim",ROUND(F3951-D3951,2),0)))</f>
        <v/>
      </c>
      <c r="K3951" s="97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inlineStr">
        <is>
          <t>Nao</t>
        </is>
      </c>
      <c r="W3951" s="110" t="inlineStr">
        <is>
          <t>PC em analise</t>
        </is>
      </c>
      <c r="X3951" s="110" t="inlineStr">
        <is>
          <t>Pedido de Compra</t>
        </is>
      </c>
      <c r="Y3951" s="111" t="inlineStr">
        <is>
          <t>Impacto Potencial</t>
        </is>
      </c>
      <c r="Z3951" s="111" t="inlineStr">
        <is>
          <t>PC</t>
        </is>
      </c>
      <c r="AA3951" s="111" t="inlineStr">
        <is>
          <t>Nao</t>
        </is>
      </c>
      <c r="AB3951" s="111" t="inlineStr">
        <is>
          <t>NAO_COMPUTADO</t>
        </is>
      </c>
      <c r="AC3951" s="112" t="inlineStr">
        <is>
          <t>Estrutura Fase 1: sem impacto no VTA oficial</t>
        </is>
      </c>
    </row>
    <row r="3952" ht="25.5" customHeight="1" s="289">
      <c r="A3952" s="205" t="n"/>
      <c r="B3952" s="207" t="n"/>
      <c r="C3952" s="104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348" t="n"/>
      <c r="E3952" s="349">
        <f>IF(C3952="","",IFERROR(VLOOKUP(C3952,parametros!$A$11:$E$15,5,0),""))</f>
        <v/>
      </c>
      <c r="F3952" s="335">
        <f>IF(OR(D3952="",E3952=""),"",ROUND(D3952*E3952,2))</f>
        <v/>
      </c>
      <c r="G3952" s="106" t="n"/>
      <c r="H3952" s="350">
        <f>IF(G3952="Sim",IF(OR(F3952="",D3952="",L3952=""),"",IF(L3952="Sim",ROUND(F3952-D3952,2),0)),0)</f>
        <v/>
      </c>
      <c r="I3952" s="350">
        <f>IF(G3952="Sim",0,IF(OR(F3952="",L3952=""),"",F3952))</f>
        <v/>
      </c>
      <c r="J3952" s="350">
        <f>IF(G3952="Sim",0,IF(OR(F3952="",D3952="",L3952=""),"",IF(L3952="Sim",ROUND(F3952-D3952,2),0)))</f>
        <v/>
      </c>
      <c r="K3952" s="97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inlineStr">
        <is>
          <t>Nao</t>
        </is>
      </c>
      <c r="W3952" s="110" t="inlineStr">
        <is>
          <t>PC em analise</t>
        </is>
      </c>
      <c r="X3952" s="110" t="inlineStr">
        <is>
          <t>Pedido de Compra</t>
        </is>
      </c>
      <c r="Y3952" s="111" t="inlineStr">
        <is>
          <t>Impacto Potencial</t>
        </is>
      </c>
      <c r="Z3952" s="111" t="inlineStr">
        <is>
          <t>PC</t>
        </is>
      </c>
      <c r="AA3952" s="111" t="inlineStr">
        <is>
          <t>Nao</t>
        </is>
      </c>
      <c r="AB3952" s="111" t="inlineStr">
        <is>
          <t>NAO_COMPUTADO</t>
        </is>
      </c>
      <c r="AC3952" s="112" t="inlineStr">
        <is>
          <t>Estrutura Fase 1: sem impacto no VTA oficial</t>
        </is>
      </c>
    </row>
    <row r="3953" ht="25.5" customHeight="1" s="289">
      <c r="A3953" s="205" t="n"/>
      <c r="B3953" s="207" t="n"/>
      <c r="C3953" s="104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348" t="n"/>
      <c r="E3953" s="349">
        <f>IF(C3953="","",IFERROR(VLOOKUP(C3953,parametros!$A$11:$E$15,5,0),""))</f>
        <v/>
      </c>
      <c r="F3953" s="335">
        <f>IF(OR(D3953="",E3953=""),"",ROUND(D3953*E3953,2))</f>
        <v/>
      </c>
      <c r="G3953" s="106" t="n"/>
      <c r="H3953" s="350">
        <f>IF(G3953="Sim",IF(OR(F3953="",D3953="",L3953=""),"",IF(L3953="Sim",ROUND(F3953-D3953,2),0)),0)</f>
        <v/>
      </c>
      <c r="I3953" s="350">
        <f>IF(G3953="Sim",0,IF(OR(F3953="",L3953=""),"",F3953))</f>
        <v/>
      </c>
      <c r="J3953" s="350">
        <f>IF(G3953="Sim",0,IF(OR(F3953="",D3953="",L3953=""),"",IF(L3953="Sim",ROUND(F3953-D3953,2),0)))</f>
        <v/>
      </c>
      <c r="K3953" s="97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inlineStr">
        <is>
          <t>Nao</t>
        </is>
      </c>
      <c r="W3953" s="110" t="inlineStr">
        <is>
          <t>PC em analise</t>
        </is>
      </c>
      <c r="X3953" s="110" t="inlineStr">
        <is>
          <t>Pedido de Compra</t>
        </is>
      </c>
      <c r="Y3953" s="111" t="inlineStr">
        <is>
          <t>Impacto Potencial</t>
        </is>
      </c>
      <c r="Z3953" s="111" t="inlineStr">
        <is>
          <t>PC</t>
        </is>
      </c>
      <c r="AA3953" s="111" t="inlineStr">
        <is>
          <t>Nao</t>
        </is>
      </c>
      <c r="AB3953" s="111" t="inlineStr">
        <is>
          <t>NAO_COMPUTADO</t>
        </is>
      </c>
      <c r="AC3953" s="112" t="inlineStr">
        <is>
          <t>Estrutura Fase 1: sem impacto no VTA oficial</t>
        </is>
      </c>
    </row>
    <row r="3954" ht="25.5" customHeight="1" s="289">
      <c r="A3954" s="205" t="n"/>
      <c r="B3954" s="207" t="n"/>
      <c r="C3954" s="104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348" t="n"/>
      <c r="E3954" s="349">
        <f>IF(C3954="","",IFERROR(VLOOKUP(C3954,parametros!$A$11:$E$15,5,0),""))</f>
        <v/>
      </c>
      <c r="F3954" s="335">
        <f>IF(OR(D3954="",E3954=""),"",ROUND(D3954*E3954,2))</f>
        <v/>
      </c>
      <c r="G3954" s="106" t="n"/>
      <c r="H3954" s="350">
        <f>IF(G3954="Sim",IF(OR(F3954="",D3954="",L3954=""),"",IF(L3954="Sim",ROUND(F3954-D3954,2),0)),0)</f>
        <v/>
      </c>
      <c r="I3954" s="350">
        <f>IF(G3954="Sim",0,IF(OR(F3954="",L3954=""),"",F3954))</f>
        <v/>
      </c>
      <c r="J3954" s="350">
        <f>IF(G3954="Sim",0,IF(OR(F3954="",D3954="",L3954=""),"",IF(L3954="Sim",ROUND(F3954-D3954,2),0)))</f>
        <v/>
      </c>
      <c r="K3954" s="97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inlineStr">
        <is>
          <t>Nao</t>
        </is>
      </c>
      <c r="W3954" s="110" t="inlineStr">
        <is>
          <t>PC em analise</t>
        </is>
      </c>
      <c r="X3954" s="110" t="inlineStr">
        <is>
          <t>Pedido de Compra</t>
        </is>
      </c>
      <c r="Y3954" s="111" t="inlineStr">
        <is>
          <t>Impacto Potencial</t>
        </is>
      </c>
      <c r="Z3954" s="111" t="inlineStr">
        <is>
          <t>PC</t>
        </is>
      </c>
      <c r="AA3954" s="111" t="inlineStr">
        <is>
          <t>Nao</t>
        </is>
      </c>
      <c r="AB3954" s="111" t="inlineStr">
        <is>
          <t>NAO_COMPUTADO</t>
        </is>
      </c>
      <c r="AC3954" s="112" t="inlineStr">
        <is>
          <t>Estrutura Fase 1: sem impacto no VTA oficial</t>
        </is>
      </c>
    </row>
    <row r="3955" ht="25.5" customHeight="1" s="289">
      <c r="A3955" s="205" t="n"/>
      <c r="B3955" s="207" t="n"/>
      <c r="C3955" s="104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348" t="n"/>
      <c r="E3955" s="349">
        <f>IF(C3955="","",IFERROR(VLOOKUP(C3955,parametros!$A$11:$E$15,5,0),""))</f>
        <v/>
      </c>
      <c r="F3955" s="335">
        <f>IF(OR(D3955="",E3955=""),"",ROUND(D3955*E3955,2))</f>
        <v/>
      </c>
      <c r="G3955" s="106" t="n"/>
      <c r="H3955" s="350">
        <f>IF(G3955="Sim",IF(OR(F3955="",D3955="",L3955=""),"",IF(L3955="Sim",ROUND(F3955-D3955,2),0)),0)</f>
        <v/>
      </c>
      <c r="I3955" s="350">
        <f>IF(G3955="Sim",0,IF(OR(F3955="",L3955=""),"",F3955))</f>
        <v/>
      </c>
      <c r="J3955" s="350">
        <f>IF(G3955="Sim",0,IF(OR(F3955="",D3955="",L3955=""),"",IF(L3955="Sim",ROUND(F3955-D3955,2),0)))</f>
        <v/>
      </c>
      <c r="K3955" s="97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inlineStr">
        <is>
          <t>Nao</t>
        </is>
      </c>
      <c r="W3955" s="110" t="inlineStr">
        <is>
          <t>PC em analise</t>
        </is>
      </c>
      <c r="X3955" s="110" t="inlineStr">
        <is>
          <t>Pedido de Compra</t>
        </is>
      </c>
      <c r="Y3955" s="111" t="inlineStr">
        <is>
          <t>Impacto Potencial</t>
        </is>
      </c>
      <c r="Z3955" s="111" t="inlineStr">
        <is>
          <t>PC</t>
        </is>
      </c>
      <c r="AA3955" s="111" t="inlineStr">
        <is>
          <t>Nao</t>
        </is>
      </c>
      <c r="AB3955" s="111" t="inlineStr">
        <is>
          <t>NAO_COMPUTADO</t>
        </is>
      </c>
      <c r="AC3955" s="112" t="inlineStr">
        <is>
          <t>Estrutura Fase 1: sem impacto no VTA oficial</t>
        </is>
      </c>
    </row>
    <row r="3956" ht="25.5" customHeight="1" s="289">
      <c r="A3956" s="205" t="n"/>
      <c r="B3956" s="207" t="n"/>
      <c r="C3956" s="104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348" t="n"/>
      <c r="E3956" s="349">
        <f>IF(C3956="","",IFERROR(VLOOKUP(C3956,parametros!$A$11:$E$15,5,0),""))</f>
        <v/>
      </c>
      <c r="F3956" s="335">
        <f>IF(OR(D3956="",E3956=""),"",ROUND(D3956*E3956,2))</f>
        <v/>
      </c>
      <c r="G3956" s="106" t="n"/>
      <c r="H3956" s="350">
        <f>IF(G3956="Sim",IF(OR(F3956="",D3956="",L3956=""),"",IF(L3956="Sim",ROUND(F3956-D3956,2),0)),0)</f>
        <v/>
      </c>
      <c r="I3956" s="350">
        <f>IF(G3956="Sim",0,IF(OR(F3956="",L3956=""),"",F3956))</f>
        <v/>
      </c>
      <c r="J3956" s="350">
        <f>IF(G3956="Sim",0,IF(OR(F3956="",D3956="",L3956=""),"",IF(L3956="Sim",ROUND(F3956-D3956,2),0)))</f>
        <v/>
      </c>
      <c r="K3956" s="97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inlineStr">
        <is>
          <t>Nao</t>
        </is>
      </c>
      <c r="W3956" s="110" t="inlineStr">
        <is>
          <t>PC em analise</t>
        </is>
      </c>
      <c r="X3956" s="110" t="inlineStr">
        <is>
          <t>Pedido de Compra</t>
        </is>
      </c>
      <c r="Y3956" s="111" t="inlineStr">
        <is>
          <t>Impacto Potencial</t>
        </is>
      </c>
      <c r="Z3956" s="111" t="inlineStr">
        <is>
          <t>PC</t>
        </is>
      </c>
      <c r="AA3956" s="111" t="inlineStr">
        <is>
          <t>Nao</t>
        </is>
      </c>
      <c r="AB3956" s="111" t="inlineStr">
        <is>
          <t>NAO_COMPUTADO</t>
        </is>
      </c>
      <c r="AC3956" s="112" t="inlineStr">
        <is>
          <t>Estrutura Fase 1: sem impacto no VTA oficial</t>
        </is>
      </c>
    </row>
    <row r="3957" ht="25.5" customHeight="1" s="289">
      <c r="A3957" s="205" t="n"/>
      <c r="B3957" s="207" t="n"/>
      <c r="C3957" s="104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348" t="n"/>
      <c r="E3957" s="349">
        <f>IF(C3957="","",IFERROR(VLOOKUP(C3957,parametros!$A$11:$E$15,5,0),""))</f>
        <v/>
      </c>
      <c r="F3957" s="335">
        <f>IF(OR(D3957="",E3957=""),"",ROUND(D3957*E3957,2))</f>
        <v/>
      </c>
      <c r="G3957" s="106" t="n"/>
      <c r="H3957" s="350">
        <f>IF(G3957="Sim",IF(OR(F3957="",D3957="",L3957=""),"",IF(L3957="Sim",ROUND(F3957-D3957,2),0)),0)</f>
        <v/>
      </c>
      <c r="I3957" s="350">
        <f>IF(G3957="Sim",0,IF(OR(F3957="",L3957=""),"",F3957))</f>
        <v/>
      </c>
      <c r="J3957" s="350">
        <f>IF(G3957="Sim",0,IF(OR(F3957="",D3957="",L3957=""),"",IF(L3957="Sim",ROUND(F3957-D3957,2),0)))</f>
        <v/>
      </c>
      <c r="K3957" s="97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inlineStr">
        <is>
          <t>Nao</t>
        </is>
      </c>
      <c r="W3957" s="110" t="inlineStr">
        <is>
          <t>PC em analise</t>
        </is>
      </c>
      <c r="X3957" s="110" t="inlineStr">
        <is>
          <t>Pedido de Compra</t>
        </is>
      </c>
      <c r="Y3957" s="111" t="inlineStr">
        <is>
          <t>Impacto Potencial</t>
        </is>
      </c>
      <c r="Z3957" s="111" t="inlineStr">
        <is>
          <t>PC</t>
        </is>
      </c>
      <c r="AA3957" s="111" t="inlineStr">
        <is>
          <t>Nao</t>
        </is>
      </c>
      <c r="AB3957" s="111" t="inlineStr">
        <is>
          <t>NAO_COMPUTADO</t>
        </is>
      </c>
      <c r="AC3957" s="112" t="inlineStr">
        <is>
          <t>Estrutura Fase 1: sem impacto no VTA oficial</t>
        </is>
      </c>
    </row>
    <row r="3958" ht="25.5" customHeight="1" s="289">
      <c r="A3958" s="205" t="n"/>
      <c r="B3958" s="207" t="n"/>
      <c r="C3958" s="104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348" t="n"/>
      <c r="E3958" s="349">
        <f>IF(C3958="","",IFERROR(VLOOKUP(C3958,parametros!$A$11:$E$15,5,0),""))</f>
        <v/>
      </c>
      <c r="F3958" s="335">
        <f>IF(OR(D3958="",E3958=""),"",ROUND(D3958*E3958,2))</f>
        <v/>
      </c>
      <c r="G3958" s="106" t="n"/>
      <c r="H3958" s="350">
        <f>IF(G3958="Sim",IF(OR(F3958="",D3958="",L3958=""),"",IF(L3958="Sim",ROUND(F3958-D3958,2),0)),0)</f>
        <v/>
      </c>
      <c r="I3958" s="350">
        <f>IF(G3958="Sim",0,IF(OR(F3958="",L3958=""),"",F3958))</f>
        <v/>
      </c>
      <c r="J3958" s="350">
        <f>IF(G3958="Sim",0,IF(OR(F3958="",D3958="",L3958=""),"",IF(L3958="Sim",ROUND(F3958-D3958,2),0)))</f>
        <v/>
      </c>
      <c r="K3958" s="97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inlineStr">
        <is>
          <t>Nao</t>
        </is>
      </c>
      <c r="W3958" s="110" t="inlineStr">
        <is>
          <t>PC em analise</t>
        </is>
      </c>
      <c r="X3958" s="110" t="inlineStr">
        <is>
          <t>Pedido de Compra</t>
        </is>
      </c>
      <c r="Y3958" s="111" t="inlineStr">
        <is>
          <t>Impacto Potencial</t>
        </is>
      </c>
      <c r="Z3958" s="111" t="inlineStr">
        <is>
          <t>PC</t>
        </is>
      </c>
      <c r="AA3958" s="111" t="inlineStr">
        <is>
          <t>Nao</t>
        </is>
      </c>
      <c r="AB3958" s="111" t="inlineStr">
        <is>
          <t>NAO_COMPUTADO</t>
        </is>
      </c>
      <c r="AC3958" s="112" t="inlineStr">
        <is>
          <t>Estrutura Fase 1: sem impacto no VTA oficial</t>
        </is>
      </c>
    </row>
    <row r="3959" ht="25.5" customHeight="1" s="289">
      <c r="A3959" s="205" t="n"/>
      <c r="B3959" s="207" t="n"/>
      <c r="C3959" s="104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348" t="n"/>
      <c r="E3959" s="349">
        <f>IF(C3959="","",IFERROR(VLOOKUP(C3959,parametros!$A$11:$E$15,5,0),""))</f>
        <v/>
      </c>
      <c r="F3959" s="335">
        <f>IF(OR(D3959="",E3959=""),"",ROUND(D3959*E3959,2))</f>
        <v/>
      </c>
      <c r="G3959" s="106" t="n"/>
      <c r="H3959" s="350">
        <f>IF(G3959="Sim",IF(OR(F3959="",D3959="",L3959=""),"",IF(L3959="Sim",ROUND(F3959-D3959,2),0)),0)</f>
        <v/>
      </c>
      <c r="I3959" s="350">
        <f>IF(G3959="Sim",0,IF(OR(F3959="",L3959=""),"",F3959))</f>
        <v/>
      </c>
      <c r="J3959" s="350">
        <f>IF(G3959="Sim",0,IF(OR(F3959="",D3959="",L3959=""),"",IF(L3959="Sim",ROUND(F3959-D3959,2),0)))</f>
        <v/>
      </c>
      <c r="K3959" s="97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inlineStr">
        <is>
          <t>Nao</t>
        </is>
      </c>
      <c r="W3959" s="110" t="inlineStr">
        <is>
          <t>PC em analise</t>
        </is>
      </c>
      <c r="X3959" s="110" t="inlineStr">
        <is>
          <t>Pedido de Compra</t>
        </is>
      </c>
      <c r="Y3959" s="111" t="inlineStr">
        <is>
          <t>Impacto Potencial</t>
        </is>
      </c>
      <c r="Z3959" s="111" t="inlineStr">
        <is>
          <t>PC</t>
        </is>
      </c>
      <c r="AA3959" s="111" t="inlineStr">
        <is>
          <t>Nao</t>
        </is>
      </c>
      <c r="AB3959" s="111" t="inlineStr">
        <is>
          <t>NAO_COMPUTADO</t>
        </is>
      </c>
      <c r="AC3959" s="112" t="inlineStr">
        <is>
          <t>Estrutura Fase 1: sem impacto no VTA oficial</t>
        </is>
      </c>
    </row>
    <row r="3960" ht="25.5" customHeight="1" s="289">
      <c r="A3960" s="205" t="n"/>
      <c r="B3960" s="207" t="n"/>
      <c r="C3960" s="104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348" t="n"/>
      <c r="E3960" s="349">
        <f>IF(C3960="","",IFERROR(VLOOKUP(C3960,parametros!$A$11:$E$15,5,0),""))</f>
        <v/>
      </c>
      <c r="F3960" s="335">
        <f>IF(OR(D3960="",E3960=""),"",ROUND(D3960*E3960,2))</f>
        <v/>
      </c>
      <c r="G3960" s="106" t="n"/>
      <c r="H3960" s="350">
        <f>IF(G3960="Sim",IF(OR(F3960="",D3960="",L3960=""),"",IF(L3960="Sim",ROUND(F3960-D3960,2),0)),0)</f>
        <v/>
      </c>
      <c r="I3960" s="350">
        <f>IF(G3960="Sim",0,IF(OR(F3960="",L3960=""),"",F3960))</f>
        <v/>
      </c>
      <c r="J3960" s="350">
        <f>IF(G3960="Sim",0,IF(OR(F3960="",D3960="",L3960=""),"",IF(L3960="Sim",ROUND(F3960-D3960,2),0)))</f>
        <v/>
      </c>
      <c r="K3960" s="97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inlineStr">
        <is>
          <t>Nao</t>
        </is>
      </c>
      <c r="W3960" s="110" t="inlineStr">
        <is>
          <t>PC em analise</t>
        </is>
      </c>
      <c r="X3960" s="110" t="inlineStr">
        <is>
          <t>Pedido de Compra</t>
        </is>
      </c>
      <c r="Y3960" s="111" t="inlineStr">
        <is>
          <t>Impacto Potencial</t>
        </is>
      </c>
      <c r="Z3960" s="111" t="inlineStr">
        <is>
          <t>PC</t>
        </is>
      </c>
      <c r="AA3960" s="111" t="inlineStr">
        <is>
          <t>Nao</t>
        </is>
      </c>
      <c r="AB3960" s="111" t="inlineStr">
        <is>
          <t>NAO_COMPUTADO</t>
        </is>
      </c>
      <c r="AC3960" s="112" t="inlineStr">
        <is>
          <t>Estrutura Fase 1: sem impacto no VTA oficial</t>
        </is>
      </c>
    </row>
    <row r="3961" ht="25.5" customHeight="1" s="289">
      <c r="A3961" s="205" t="n"/>
      <c r="B3961" s="207" t="n"/>
      <c r="C3961" s="104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348" t="n"/>
      <c r="E3961" s="349">
        <f>IF(C3961="","",IFERROR(VLOOKUP(C3961,parametros!$A$11:$E$15,5,0),""))</f>
        <v/>
      </c>
      <c r="F3961" s="335">
        <f>IF(OR(D3961="",E3961=""),"",ROUND(D3961*E3961,2))</f>
        <v/>
      </c>
      <c r="G3961" s="106" t="n"/>
      <c r="H3961" s="350">
        <f>IF(G3961="Sim",IF(OR(F3961="",D3961="",L3961=""),"",IF(L3961="Sim",ROUND(F3961-D3961,2),0)),0)</f>
        <v/>
      </c>
      <c r="I3961" s="350">
        <f>IF(G3961="Sim",0,IF(OR(F3961="",L3961=""),"",F3961))</f>
        <v/>
      </c>
      <c r="J3961" s="350">
        <f>IF(G3961="Sim",0,IF(OR(F3961="",D3961="",L3961=""),"",IF(L3961="Sim",ROUND(F3961-D3961,2),0)))</f>
        <v/>
      </c>
      <c r="K3961" s="97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inlineStr">
        <is>
          <t>Nao</t>
        </is>
      </c>
      <c r="W3961" s="110" t="inlineStr">
        <is>
          <t>PC em analise</t>
        </is>
      </c>
      <c r="X3961" s="110" t="inlineStr">
        <is>
          <t>Pedido de Compra</t>
        </is>
      </c>
      <c r="Y3961" s="111" t="inlineStr">
        <is>
          <t>Impacto Potencial</t>
        </is>
      </c>
      <c r="Z3961" s="111" t="inlineStr">
        <is>
          <t>PC</t>
        </is>
      </c>
      <c r="AA3961" s="111" t="inlineStr">
        <is>
          <t>Nao</t>
        </is>
      </c>
      <c r="AB3961" s="111" t="inlineStr">
        <is>
          <t>NAO_COMPUTADO</t>
        </is>
      </c>
      <c r="AC3961" s="112" t="inlineStr">
        <is>
          <t>Estrutura Fase 1: sem impacto no VTA oficial</t>
        </is>
      </c>
    </row>
    <row r="3962" ht="25.5" customHeight="1" s="289">
      <c r="A3962" s="205" t="n"/>
      <c r="B3962" s="207" t="n"/>
      <c r="C3962" s="104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348" t="n"/>
      <c r="E3962" s="349">
        <f>IF(C3962="","",IFERROR(VLOOKUP(C3962,parametros!$A$11:$E$15,5,0),""))</f>
        <v/>
      </c>
      <c r="F3962" s="335">
        <f>IF(OR(D3962="",E3962=""),"",ROUND(D3962*E3962,2))</f>
        <v/>
      </c>
      <c r="G3962" s="106" t="n"/>
      <c r="H3962" s="350">
        <f>IF(G3962="Sim",IF(OR(F3962="",D3962="",L3962=""),"",IF(L3962="Sim",ROUND(F3962-D3962,2),0)),0)</f>
        <v/>
      </c>
      <c r="I3962" s="350">
        <f>IF(G3962="Sim",0,IF(OR(F3962="",L3962=""),"",F3962))</f>
        <v/>
      </c>
      <c r="J3962" s="350">
        <f>IF(G3962="Sim",0,IF(OR(F3962="",D3962="",L3962=""),"",IF(L3962="Sim",ROUND(F3962-D3962,2),0)))</f>
        <v/>
      </c>
      <c r="K3962" s="97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inlineStr">
        <is>
          <t>Nao</t>
        </is>
      </c>
      <c r="W3962" s="110" t="inlineStr">
        <is>
          <t>PC em analise</t>
        </is>
      </c>
      <c r="X3962" s="110" t="inlineStr">
        <is>
          <t>Pedido de Compra</t>
        </is>
      </c>
      <c r="Y3962" s="111" t="inlineStr">
        <is>
          <t>Impacto Potencial</t>
        </is>
      </c>
      <c r="Z3962" s="111" t="inlineStr">
        <is>
          <t>PC</t>
        </is>
      </c>
      <c r="AA3962" s="111" t="inlineStr">
        <is>
          <t>Nao</t>
        </is>
      </c>
      <c r="AB3962" s="111" t="inlineStr">
        <is>
          <t>NAO_COMPUTADO</t>
        </is>
      </c>
      <c r="AC3962" s="112" t="inlineStr">
        <is>
          <t>Estrutura Fase 1: sem impacto no VTA oficial</t>
        </is>
      </c>
    </row>
    <row r="3963" ht="25.5" customHeight="1" s="289">
      <c r="A3963" s="205" t="n"/>
      <c r="B3963" s="207" t="n"/>
      <c r="C3963" s="104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348" t="n"/>
      <c r="E3963" s="349">
        <f>IF(C3963="","",IFERROR(VLOOKUP(C3963,parametros!$A$11:$E$15,5,0),""))</f>
        <v/>
      </c>
      <c r="F3963" s="335">
        <f>IF(OR(D3963="",E3963=""),"",ROUND(D3963*E3963,2))</f>
        <v/>
      </c>
      <c r="G3963" s="106" t="n"/>
      <c r="H3963" s="350">
        <f>IF(G3963="Sim",IF(OR(F3963="",D3963="",L3963=""),"",IF(L3963="Sim",ROUND(F3963-D3963,2),0)),0)</f>
        <v/>
      </c>
      <c r="I3963" s="350">
        <f>IF(G3963="Sim",0,IF(OR(F3963="",L3963=""),"",F3963))</f>
        <v/>
      </c>
      <c r="J3963" s="350">
        <f>IF(G3963="Sim",0,IF(OR(F3963="",D3963="",L3963=""),"",IF(L3963="Sim",ROUND(F3963-D3963,2),0)))</f>
        <v/>
      </c>
      <c r="K3963" s="97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inlineStr">
        <is>
          <t>Nao</t>
        </is>
      </c>
      <c r="W3963" s="110" t="inlineStr">
        <is>
          <t>PC em analise</t>
        </is>
      </c>
      <c r="X3963" s="110" t="inlineStr">
        <is>
          <t>Pedido de Compra</t>
        </is>
      </c>
      <c r="Y3963" s="111" t="inlineStr">
        <is>
          <t>Impacto Potencial</t>
        </is>
      </c>
      <c r="Z3963" s="111" t="inlineStr">
        <is>
          <t>PC</t>
        </is>
      </c>
      <c r="AA3963" s="111" t="inlineStr">
        <is>
          <t>Nao</t>
        </is>
      </c>
      <c r="AB3963" s="111" t="inlineStr">
        <is>
          <t>NAO_COMPUTADO</t>
        </is>
      </c>
      <c r="AC3963" s="112" t="inlineStr">
        <is>
          <t>Estrutura Fase 1: sem impacto no VTA oficial</t>
        </is>
      </c>
    </row>
    <row r="3964" ht="25.5" customHeight="1" s="289">
      <c r="A3964" s="205" t="n"/>
      <c r="B3964" s="207" t="n"/>
      <c r="C3964" s="104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348" t="n"/>
      <c r="E3964" s="349">
        <f>IF(C3964="","",IFERROR(VLOOKUP(C3964,parametros!$A$11:$E$15,5,0),""))</f>
        <v/>
      </c>
      <c r="F3964" s="335">
        <f>IF(OR(D3964="",E3964=""),"",ROUND(D3964*E3964,2))</f>
        <v/>
      </c>
      <c r="G3964" s="106" t="n"/>
      <c r="H3964" s="350">
        <f>IF(G3964="Sim",IF(OR(F3964="",D3964="",L3964=""),"",IF(L3964="Sim",ROUND(F3964-D3964,2),0)),0)</f>
        <v/>
      </c>
      <c r="I3964" s="350">
        <f>IF(G3964="Sim",0,IF(OR(F3964="",L3964=""),"",F3964))</f>
        <v/>
      </c>
      <c r="J3964" s="350">
        <f>IF(G3964="Sim",0,IF(OR(F3964="",D3964="",L3964=""),"",IF(L3964="Sim",ROUND(F3964-D3964,2),0)))</f>
        <v/>
      </c>
      <c r="K3964" s="97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inlineStr">
        <is>
          <t>Nao</t>
        </is>
      </c>
      <c r="W3964" s="110" t="inlineStr">
        <is>
          <t>PC em analise</t>
        </is>
      </c>
      <c r="X3964" s="110" t="inlineStr">
        <is>
          <t>Pedido de Compra</t>
        </is>
      </c>
      <c r="Y3964" s="111" t="inlineStr">
        <is>
          <t>Impacto Potencial</t>
        </is>
      </c>
      <c r="Z3964" s="111" t="inlineStr">
        <is>
          <t>PC</t>
        </is>
      </c>
      <c r="AA3964" s="111" t="inlineStr">
        <is>
          <t>Nao</t>
        </is>
      </c>
      <c r="AB3964" s="111" t="inlineStr">
        <is>
          <t>NAO_COMPUTADO</t>
        </is>
      </c>
      <c r="AC3964" s="112" t="inlineStr">
        <is>
          <t>Estrutura Fase 1: sem impacto no VTA oficial</t>
        </is>
      </c>
    </row>
    <row r="3965" ht="25.5" customHeight="1" s="289">
      <c r="A3965" s="205" t="n"/>
      <c r="B3965" s="207" t="n"/>
      <c r="C3965" s="104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348" t="n"/>
      <c r="E3965" s="349">
        <f>IF(C3965="","",IFERROR(VLOOKUP(C3965,parametros!$A$11:$E$15,5,0),""))</f>
        <v/>
      </c>
      <c r="F3965" s="335">
        <f>IF(OR(D3965="",E3965=""),"",ROUND(D3965*E3965,2))</f>
        <v/>
      </c>
      <c r="G3965" s="106" t="n"/>
      <c r="H3965" s="350">
        <f>IF(G3965="Sim",IF(OR(F3965="",D3965="",L3965=""),"",IF(L3965="Sim",ROUND(F3965-D3965,2),0)),0)</f>
        <v/>
      </c>
      <c r="I3965" s="350">
        <f>IF(G3965="Sim",0,IF(OR(F3965="",L3965=""),"",F3965))</f>
        <v/>
      </c>
      <c r="J3965" s="350">
        <f>IF(G3965="Sim",0,IF(OR(F3965="",D3965="",L3965=""),"",IF(L3965="Sim",ROUND(F3965-D3965,2),0)))</f>
        <v/>
      </c>
      <c r="K3965" s="97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inlineStr">
        <is>
          <t>Nao</t>
        </is>
      </c>
      <c r="W3965" s="110" t="inlineStr">
        <is>
          <t>PC em analise</t>
        </is>
      </c>
      <c r="X3965" s="110" t="inlineStr">
        <is>
          <t>Pedido de Compra</t>
        </is>
      </c>
      <c r="Y3965" s="111" t="inlineStr">
        <is>
          <t>Impacto Potencial</t>
        </is>
      </c>
      <c r="Z3965" s="111" t="inlineStr">
        <is>
          <t>PC</t>
        </is>
      </c>
      <c r="AA3965" s="111" t="inlineStr">
        <is>
          <t>Nao</t>
        </is>
      </c>
      <c r="AB3965" s="111" t="inlineStr">
        <is>
          <t>NAO_COMPUTADO</t>
        </is>
      </c>
      <c r="AC3965" s="112" t="inlineStr">
        <is>
          <t>Estrutura Fase 1: sem impacto no VTA oficial</t>
        </is>
      </c>
    </row>
    <row r="3966" ht="25.5" customHeight="1" s="289">
      <c r="A3966" s="205" t="n"/>
      <c r="B3966" s="207" t="n"/>
      <c r="C3966" s="104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348" t="n"/>
      <c r="E3966" s="349">
        <f>IF(C3966="","",IFERROR(VLOOKUP(C3966,parametros!$A$11:$E$15,5,0),""))</f>
        <v/>
      </c>
      <c r="F3966" s="335">
        <f>IF(OR(D3966="",E3966=""),"",ROUND(D3966*E3966,2))</f>
        <v/>
      </c>
      <c r="G3966" s="106" t="n"/>
      <c r="H3966" s="350">
        <f>IF(G3966="Sim",IF(OR(F3966="",D3966="",L3966=""),"",IF(L3966="Sim",ROUND(F3966-D3966,2),0)),0)</f>
        <v/>
      </c>
      <c r="I3966" s="350">
        <f>IF(G3966="Sim",0,IF(OR(F3966="",L3966=""),"",F3966))</f>
        <v/>
      </c>
      <c r="J3966" s="350">
        <f>IF(G3966="Sim",0,IF(OR(F3966="",D3966="",L3966=""),"",IF(L3966="Sim",ROUND(F3966-D3966,2),0)))</f>
        <v/>
      </c>
      <c r="K3966" s="97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inlineStr">
        <is>
          <t>Nao</t>
        </is>
      </c>
      <c r="W3966" s="110" t="inlineStr">
        <is>
          <t>PC em analise</t>
        </is>
      </c>
      <c r="X3966" s="110" t="inlineStr">
        <is>
          <t>Pedido de Compra</t>
        </is>
      </c>
      <c r="Y3966" s="111" t="inlineStr">
        <is>
          <t>Impacto Potencial</t>
        </is>
      </c>
      <c r="Z3966" s="111" t="inlineStr">
        <is>
          <t>PC</t>
        </is>
      </c>
      <c r="AA3966" s="111" t="inlineStr">
        <is>
          <t>Nao</t>
        </is>
      </c>
      <c r="AB3966" s="111" t="inlineStr">
        <is>
          <t>NAO_COMPUTADO</t>
        </is>
      </c>
      <c r="AC3966" s="112" t="inlineStr">
        <is>
          <t>Estrutura Fase 1: sem impacto no VTA oficial</t>
        </is>
      </c>
    </row>
    <row r="3967" ht="25.5" customHeight="1" s="289">
      <c r="A3967" s="205" t="n"/>
      <c r="B3967" s="207" t="n"/>
      <c r="C3967" s="104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348" t="n"/>
      <c r="E3967" s="349">
        <f>IF(C3967="","",IFERROR(VLOOKUP(C3967,parametros!$A$11:$E$15,5,0),""))</f>
        <v/>
      </c>
      <c r="F3967" s="335">
        <f>IF(OR(D3967="",E3967=""),"",ROUND(D3967*E3967,2))</f>
        <v/>
      </c>
      <c r="G3967" s="106" t="n"/>
      <c r="H3967" s="350">
        <f>IF(G3967="Sim",IF(OR(F3967="",D3967="",L3967=""),"",IF(L3967="Sim",ROUND(F3967-D3967,2),0)),0)</f>
        <v/>
      </c>
      <c r="I3967" s="350">
        <f>IF(G3967="Sim",0,IF(OR(F3967="",L3967=""),"",F3967))</f>
        <v/>
      </c>
      <c r="J3967" s="350">
        <f>IF(G3967="Sim",0,IF(OR(F3967="",D3967="",L3967=""),"",IF(L3967="Sim",ROUND(F3967-D3967,2),0)))</f>
        <v/>
      </c>
      <c r="K3967" s="97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inlineStr">
        <is>
          <t>Nao</t>
        </is>
      </c>
      <c r="W3967" s="110" t="inlineStr">
        <is>
          <t>PC em analise</t>
        </is>
      </c>
      <c r="X3967" s="110" t="inlineStr">
        <is>
          <t>Pedido de Compra</t>
        </is>
      </c>
      <c r="Y3967" s="111" t="inlineStr">
        <is>
          <t>Impacto Potencial</t>
        </is>
      </c>
      <c r="Z3967" s="111" t="inlineStr">
        <is>
          <t>PC</t>
        </is>
      </c>
      <c r="AA3967" s="111" t="inlineStr">
        <is>
          <t>Nao</t>
        </is>
      </c>
      <c r="AB3967" s="111" t="inlineStr">
        <is>
          <t>NAO_COMPUTADO</t>
        </is>
      </c>
      <c r="AC3967" s="112" t="inlineStr">
        <is>
          <t>Estrutura Fase 1: sem impacto no VTA oficial</t>
        </is>
      </c>
    </row>
    <row r="3968" ht="25.5" customHeight="1" s="289">
      <c r="A3968" s="205" t="n"/>
      <c r="B3968" s="207" t="n"/>
      <c r="C3968" s="104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348" t="n"/>
      <c r="E3968" s="349">
        <f>IF(C3968="","",IFERROR(VLOOKUP(C3968,parametros!$A$11:$E$15,5,0),""))</f>
        <v/>
      </c>
      <c r="F3968" s="335">
        <f>IF(OR(D3968="",E3968=""),"",ROUND(D3968*E3968,2))</f>
        <v/>
      </c>
      <c r="G3968" s="106" t="n"/>
      <c r="H3968" s="350">
        <f>IF(G3968="Sim",IF(OR(F3968="",D3968="",L3968=""),"",IF(L3968="Sim",ROUND(F3968-D3968,2),0)),0)</f>
        <v/>
      </c>
      <c r="I3968" s="350">
        <f>IF(G3968="Sim",0,IF(OR(F3968="",L3968=""),"",F3968))</f>
        <v/>
      </c>
      <c r="J3968" s="350">
        <f>IF(G3968="Sim",0,IF(OR(F3968="",D3968="",L3968=""),"",IF(L3968="Sim",ROUND(F3968-D3968,2),0)))</f>
        <v/>
      </c>
      <c r="K3968" s="97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inlineStr">
        <is>
          <t>Nao</t>
        </is>
      </c>
      <c r="W3968" s="110" t="inlineStr">
        <is>
          <t>PC em analise</t>
        </is>
      </c>
      <c r="X3968" s="110" t="inlineStr">
        <is>
          <t>Pedido de Compra</t>
        </is>
      </c>
      <c r="Y3968" s="111" t="inlineStr">
        <is>
          <t>Impacto Potencial</t>
        </is>
      </c>
      <c r="Z3968" s="111" t="inlineStr">
        <is>
          <t>PC</t>
        </is>
      </c>
      <c r="AA3968" s="111" t="inlineStr">
        <is>
          <t>Nao</t>
        </is>
      </c>
      <c r="AB3968" s="111" t="inlineStr">
        <is>
          <t>NAO_COMPUTADO</t>
        </is>
      </c>
      <c r="AC3968" s="112" t="inlineStr">
        <is>
          <t>Estrutura Fase 1: sem impacto no VTA oficial</t>
        </is>
      </c>
    </row>
    <row r="3969" ht="25.5" customHeight="1" s="289">
      <c r="A3969" s="205" t="n"/>
      <c r="B3969" s="207" t="n"/>
      <c r="C3969" s="104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348" t="n"/>
      <c r="E3969" s="349">
        <f>IF(C3969="","",IFERROR(VLOOKUP(C3969,parametros!$A$11:$E$15,5,0),""))</f>
        <v/>
      </c>
      <c r="F3969" s="335">
        <f>IF(OR(D3969="",E3969=""),"",ROUND(D3969*E3969,2))</f>
        <v/>
      </c>
      <c r="G3969" s="106" t="n"/>
      <c r="H3969" s="350">
        <f>IF(G3969="Sim",IF(OR(F3969="",D3969="",L3969=""),"",IF(L3969="Sim",ROUND(F3969-D3969,2),0)),0)</f>
        <v/>
      </c>
      <c r="I3969" s="350">
        <f>IF(G3969="Sim",0,IF(OR(F3969="",L3969=""),"",F3969))</f>
        <v/>
      </c>
      <c r="J3969" s="350">
        <f>IF(G3969="Sim",0,IF(OR(F3969="",D3969="",L3969=""),"",IF(L3969="Sim",ROUND(F3969-D3969,2),0)))</f>
        <v/>
      </c>
      <c r="K3969" s="97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inlineStr">
        <is>
          <t>Nao</t>
        </is>
      </c>
      <c r="W3969" s="110" t="inlineStr">
        <is>
          <t>PC em analise</t>
        </is>
      </c>
      <c r="X3969" s="110" t="inlineStr">
        <is>
          <t>Pedido de Compra</t>
        </is>
      </c>
      <c r="Y3969" s="111" t="inlineStr">
        <is>
          <t>Impacto Potencial</t>
        </is>
      </c>
      <c r="Z3969" s="111" t="inlineStr">
        <is>
          <t>PC</t>
        </is>
      </c>
      <c r="AA3969" s="111" t="inlineStr">
        <is>
          <t>Nao</t>
        </is>
      </c>
      <c r="AB3969" s="111" t="inlineStr">
        <is>
          <t>NAO_COMPUTADO</t>
        </is>
      </c>
      <c r="AC3969" s="112" t="inlineStr">
        <is>
          <t>Estrutura Fase 1: sem impacto no VTA oficial</t>
        </is>
      </c>
    </row>
    <row r="3970" ht="25.5" customHeight="1" s="289">
      <c r="A3970" s="205" t="n"/>
      <c r="B3970" s="207" t="n"/>
      <c r="C3970" s="104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348" t="n"/>
      <c r="E3970" s="349">
        <f>IF(C3970="","",IFERROR(VLOOKUP(C3970,parametros!$A$11:$E$15,5,0),""))</f>
        <v/>
      </c>
      <c r="F3970" s="335">
        <f>IF(OR(D3970="",E3970=""),"",ROUND(D3970*E3970,2))</f>
        <v/>
      </c>
      <c r="G3970" s="106" t="n"/>
      <c r="H3970" s="350">
        <f>IF(G3970="Sim",IF(OR(F3970="",D3970="",L3970=""),"",IF(L3970="Sim",ROUND(F3970-D3970,2),0)),0)</f>
        <v/>
      </c>
      <c r="I3970" s="350">
        <f>IF(G3970="Sim",0,IF(OR(F3970="",L3970=""),"",F3970))</f>
        <v/>
      </c>
      <c r="J3970" s="350">
        <f>IF(G3970="Sim",0,IF(OR(F3970="",D3970="",L3970=""),"",IF(L3970="Sim",ROUND(F3970-D3970,2),0)))</f>
        <v/>
      </c>
      <c r="K3970" s="97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inlineStr">
        <is>
          <t>Nao</t>
        </is>
      </c>
      <c r="W3970" s="110" t="inlineStr">
        <is>
          <t>PC em analise</t>
        </is>
      </c>
      <c r="X3970" s="110" t="inlineStr">
        <is>
          <t>Pedido de Compra</t>
        </is>
      </c>
      <c r="Y3970" s="111" t="inlineStr">
        <is>
          <t>Impacto Potencial</t>
        </is>
      </c>
      <c r="Z3970" s="111" t="inlineStr">
        <is>
          <t>PC</t>
        </is>
      </c>
      <c r="AA3970" s="111" t="inlineStr">
        <is>
          <t>Nao</t>
        </is>
      </c>
      <c r="AB3970" s="111" t="inlineStr">
        <is>
          <t>NAO_COMPUTADO</t>
        </is>
      </c>
      <c r="AC3970" s="112" t="inlineStr">
        <is>
          <t>Estrutura Fase 1: sem impacto no VTA oficial</t>
        </is>
      </c>
    </row>
    <row r="3971" ht="25.5" customHeight="1" s="289">
      <c r="A3971" s="205" t="n"/>
      <c r="B3971" s="207" t="n"/>
      <c r="C3971" s="104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348" t="n"/>
      <c r="E3971" s="349">
        <f>IF(C3971="","",IFERROR(VLOOKUP(C3971,parametros!$A$11:$E$15,5,0),""))</f>
        <v/>
      </c>
      <c r="F3971" s="335">
        <f>IF(OR(D3971="",E3971=""),"",ROUND(D3971*E3971,2))</f>
        <v/>
      </c>
      <c r="G3971" s="106" t="n"/>
      <c r="H3971" s="350">
        <f>IF(G3971="Sim",IF(OR(F3971="",D3971="",L3971=""),"",IF(L3971="Sim",ROUND(F3971-D3971,2),0)),0)</f>
        <v/>
      </c>
      <c r="I3971" s="350">
        <f>IF(G3971="Sim",0,IF(OR(F3971="",L3971=""),"",F3971))</f>
        <v/>
      </c>
      <c r="J3971" s="350">
        <f>IF(G3971="Sim",0,IF(OR(F3971="",D3971="",L3971=""),"",IF(L3971="Sim",ROUND(F3971-D3971,2),0)))</f>
        <v/>
      </c>
      <c r="K3971" s="97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inlineStr">
        <is>
          <t>Nao</t>
        </is>
      </c>
      <c r="W3971" s="110" t="inlineStr">
        <is>
          <t>PC em analise</t>
        </is>
      </c>
      <c r="X3971" s="110" t="inlineStr">
        <is>
          <t>Pedido de Compra</t>
        </is>
      </c>
      <c r="Y3971" s="111" t="inlineStr">
        <is>
          <t>Impacto Potencial</t>
        </is>
      </c>
      <c r="Z3971" s="111" t="inlineStr">
        <is>
          <t>PC</t>
        </is>
      </c>
      <c r="AA3971" s="111" t="inlineStr">
        <is>
          <t>Nao</t>
        </is>
      </c>
      <c r="AB3971" s="111" t="inlineStr">
        <is>
          <t>NAO_COMPUTADO</t>
        </is>
      </c>
      <c r="AC3971" s="112" t="inlineStr">
        <is>
          <t>Estrutura Fase 1: sem impacto no VTA oficial</t>
        </is>
      </c>
    </row>
    <row r="3972" ht="25.5" customHeight="1" s="289">
      <c r="A3972" s="205" t="n"/>
      <c r="B3972" s="207" t="n"/>
      <c r="C3972" s="104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348" t="n"/>
      <c r="E3972" s="349">
        <f>IF(C3972="","",IFERROR(VLOOKUP(C3972,parametros!$A$11:$E$15,5,0),""))</f>
        <v/>
      </c>
      <c r="F3972" s="335">
        <f>IF(OR(D3972="",E3972=""),"",ROUND(D3972*E3972,2))</f>
        <v/>
      </c>
      <c r="G3972" s="106" t="n"/>
      <c r="H3972" s="350">
        <f>IF(G3972="Sim",IF(OR(F3972="",D3972="",L3972=""),"",IF(L3972="Sim",ROUND(F3972-D3972,2),0)),0)</f>
        <v/>
      </c>
      <c r="I3972" s="350">
        <f>IF(G3972="Sim",0,IF(OR(F3972="",L3972=""),"",F3972))</f>
        <v/>
      </c>
      <c r="J3972" s="350">
        <f>IF(G3972="Sim",0,IF(OR(F3972="",D3972="",L3972=""),"",IF(L3972="Sim",ROUND(F3972-D3972,2),0)))</f>
        <v/>
      </c>
      <c r="K3972" s="97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inlineStr">
        <is>
          <t>Nao</t>
        </is>
      </c>
      <c r="W3972" s="110" t="inlineStr">
        <is>
          <t>PC em analise</t>
        </is>
      </c>
      <c r="X3972" s="110" t="inlineStr">
        <is>
          <t>Pedido de Compra</t>
        </is>
      </c>
      <c r="Y3972" s="111" t="inlineStr">
        <is>
          <t>Impacto Potencial</t>
        </is>
      </c>
      <c r="Z3972" s="111" t="inlineStr">
        <is>
          <t>PC</t>
        </is>
      </c>
      <c r="AA3972" s="111" t="inlineStr">
        <is>
          <t>Nao</t>
        </is>
      </c>
      <c r="AB3972" s="111" t="inlineStr">
        <is>
          <t>NAO_COMPUTADO</t>
        </is>
      </c>
      <c r="AC3972" s="112" t="inlineStr">
        <is>
          <t>Estrutura Fase 1: sem impacto no VTA oficial</t>
        </is>
      </c>
    </row>
    <row r="3973" ht="25.5" customHeight="1" s="289">
      <c r="A3973" s="205" t="n"/>
      <c r="B3973" s="207" t="n"/>
      <c r="C3973" s="104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348" t="n"/>
      <c r="E3973" s="349">
        <f>IF(C3973="","",IFERROR(VLOOKUP(C3973,parametros!$A$11:$E$15,5,0),""))</f>
        <v/>
      </c>
      <c r="F3973" s="335">
        <f>IF(OR(D3973="",E3973=""),"",ROUND(D3973*E3973,2))</f>
        <v/>
      </c>
      <c r="G3973" s="106" t="n"/>
      <c r="H3973" s="350">
        <f>IF(G3973="Sim",IF(OR(F3973="",D3973="",L3973=""),"",IF(L3973="Sim",ROUND(F3973-D3973,2),0)),0)</f>
        <v/>
      </c>
      <c r="I3973" s="350">
        <f>IF(G3973="Sim",0,IF(OR(F3973="",L3973=""),"",F3973))</f>
        <v/>
      </c>
      <c r="J3973" s="350">
        <f>IF(G3973="Sim",0,IF(OR(F3973="",D3973="",L3973=""),"",IF(L3973="Sim",ROUND(F3973-D3973,2),0)))</f>
        <v/>
      </c>
      <c r="K3973" s="97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inlineStr">
        <is>
          <t>Nao</t>
        </is>
      </c>
      <c r="W3973" s="110" t="inlineStr">
        <is>
          <t>PC em analise</t>
        </is>
      </c>
      <c r="X3973" s="110" t="inlineStr">
        <is>
          <t>Pedido de Compra</t>
        </is>
      </c>
      <c r="Y3973" s="111" t="inlineStr">
        <is>
          <t>Impacto Potencial</t>
        </is>
      </c>
      <c r="Z3973" s="111" t="inlineStr">
        <is>
          <t>PC</t>
        </is>
      </c>
      <c r="AA3973" s="111" t="inlineStr">
        <is>
          <t>Nao</t>
        </is>
      </c>
      <c r="AB3973" s="111" t="inlineStr">
        <is>
          <t>NAO_COMPUTADO</t>
        </is>
      </c>
      <c r="AC3973" s="112" t="inlineStr">
        <is>
          <t>Estrutura Fase 1: sem impacto no VTA oficial</t>
        </is>
      </c>
    </row>
    <row r="3974" ht="25.5" customHeight="1" s="289">
      <c r="A3974" s="205" t="n"/>
      <c r="B3974" s="207" t="n"/>
      <c r="C3974" s="104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348" t="n"/>
      <c r="E3974" s="349">
        <f>IF(C3974="","",IFERROR(VLOOKUP(C3974,parametros!$A$11:$E$15,5,0),""))</f>
        <v/>
      </c>
      <c r="F3974" s="335">
        <f>IF(OR(D3974="",E3974=""),"",ROUND(D3974*E3974,2))</f>
        <v/>
      </c>
      <c r="G3974" s="106" t="n"/>
      <c r="H3974" s="350">
        <f>IF(G3974="Sim",IF(OR(F3974="",D3974="",L3974=""),"",IF(L3974="Sim",ROUND(F3974-D3974,2),0)),0)</f>
        <v/>
      </c>
      <c r="I3974" s="350">
        <f>IF(G3974="Sim",0,IF(OR(F3974="",L3974=""),"",F3974))</f>
        <v/>
      </c>
      <c r="J3974" s="350">
        <f>IF(G3974="Sim",0,IF(OR(F3974="",D3974="",L3974=""),"",IF(L3974="Sim",ROUND(F3974-D3974,2),0)))</f>
        <v/>
      </c>
      <c r="K3974" s="97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inlineStr">
        <is>
          <t>Nao</t>
        </is>
      </c>
      <c r="W3974" s="110" t="inlineStr">
        <is>
          <t>PC em analise</t>
        </is>
      </c>
      <c r="X3974" s="110" t="inlineStr">
        <is>
          <t>Pedido de Compra</t>
        </is>
      </c>
      <c r="Y3974" s="111" t="inlineStr">
        <is>
          <t>Impacto Potencial</t>
        </is>
      </c>
      <c r="Z3974" s="111" t="inlineStr">
        <is>
          <t>PC</t>
        </is>
      </c>
      <c r="AA3974" s="111" t="inlineStr">
        <is>
          <t>Nao</t>
        </is>
      </c>
      <c r="AB3974" s="111" t="inlineStr">
        <is>
          <t>NAO_COMPUTADO</t>
        </is>
      </c>
      <c r="AC3974" s="112" t="inlineStr">
        <is>
          <t>Estrutura Fase 1: sem impacto no VTA oficial</t>
        </is>
      </c>
    </row>
    <row r="3975" ht="25.5" customHeight="1" s="289">
      <c r="A3975" s="205" t="n"/>
      <c r="B3975" s="207" t="n"/>
      <c r="C3975" s="104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348" t="n"/>
      <c r="E3975" s="349">
        <f>IF(C3975="","",IFERROR(VLOOKUP(C3975,parametros!$A$11:$E$15,5,0),""))</f>
        <v/>
      </c>
      <c r="F3975" s="335">
        <f>IF(OR(D3975="",E3975=""),"",ROUND(D3975*E3975,2))</f>
        <v/>
      </c>
      <c r="G3975" s="106" t="n"/>
      <c r="H3975" s="350">
        <f>IF(G3975="Sim",IF(OR(F3975="",D3975="",L3975=""),"",IF(L3975="Sim",ROUND(F3975-D3975,2),0)),0)</f>
        <v/>
      </c>
      <c r="I3975" s="350">
        <f>IF(G3975="Sim",0,IF(OR(F3975="",L3975=""),"",F3975))</f>
        <v/>
      </c>
      <c r="J3975" s="350">
        <f>IF(G3975="Sim",0,IF(OR(F3975="",D3975="",L3975=""),"",IF(L3975="Sim",ROUND(F3975-D3975,2),0)))</f>
        <v/>
      </c>
      <c r="K3975" s="97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inlineStr">
        <is>
          <t>Nao</t>
        </is>
      </c>
      <c r="W3975" s="110" t="inlineStr">
        <is>
          <t>PC em analise</t>
        </is>
      </c>
      <c r="X3975" s="110" t="inlineStr">
        <is>
          <t>Pedido de Compra</t>
        </is>
      </c>
      <c r="Y3975" s="111" t="inlineStr">
        <is>
          <t>Impacto Potencial</t>
        </is>
      </c>
      <c r="Z3975" s="111" t="inlineStr">
        <is>
          <t>PC</t>
        </is>
      </c>
      <c r="AA3975" s="111" t="inlineStr">
        <is>
          <t>Nao</t>
        </is>
      </c>
      <c r="AB3975" s="111" t="inlineStr">
        <is>
          <t>NAO_COMPUTADO</t>
        </is>
      </c>
      <c r="AC3975" s="112" t="inlineStr">
        <is>
          <t>Estrutura Fase 1: sem impacto no VTA oficial</t>
        </is>
      </c>
    </row>
    <row r="3976" ht="25.5" customHeight="1" s="289">
      <c r="A3976" s="205" t="n"/>
      <c r="B3976" s="207" t="n"/>
      <c r="C3976" s="104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348" t="n"/>
      <c r="E3976" s="349">
        <f>IF(C3976="","",IFERROR(VLOOKUP(C3976,parametros!$A$11:$E$15,5,0),""))</f>
        <v/>
      </c>
      <c r="F3976" s="335">
        <f>IF(OR(D3976="",E3976=""),"",ROUND(D3976*E3976,2))</f>
        <v/>
      </c>
      <c r="G3976" s="106" t="n"/>
      <c r="H3976" s="350">
        <f>IF(G3976="Sim",IF(OR(F3976="",D3976="",L3976=""),"",IF(L3976="Sim",ROUND(F3976-D3976,2),0)),0)</f>
        <v/>
      </c>
      <c r="I3976" s="350">
        <f>IF(G3976="Sim",0,IF(OR(F3976="",L3976=""),"",F3976))</f>
        <v/>
      </c>
      <c r="J3976" s="350">
        <f>IF(G3976="Sim",0,IF(OR(F3976="",D3976="",L3976=""),"",IF(L3976="Sim",ROUND(F3976-D3976,2),0)))</f>
        <v/>
      </c>
      <c r="K3976" s="97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inlineStr">
        <is>
          <t>Nao</t>
        </is>
      </c>
      <c r="W3976" s="110" t="inlineStr">
        <is>
          <t>PC em analise</t>
        </is>
      </c>
      <c r="X3976" s="110" t="inlineStr">
        <is>
          <t>Pedido de Compra</t>
        </is>
      </c>
      <c r="Y3976" s="111" t="inlineStr">
        <is>
          <t>Impacto Potencial</t>
        </is>
      </c>
      <c r="Z3976" s="111" t="inlineStr">
        <is>
          <t>PC</t>
        </is>
      </c>
      <c r="AA3976" s="111" t="inlineStr">
        <is>
          <t>Nao</t>
        </is>
      </c>
      <c r="AB3976" s="111" t="inlineStr">
        <is>
          <t>NAO_COMPUTADO</t>
        </is>
      </c>
      <c r="AC3976" s="112" t="inlineStr">
        <is>
          <t>Estrutura Fase 1: sem impacto no VTA oficial</t>
        </is>
      </c>
    </row>
    <row r="3977" ht="25.5" customHeight="1" s="289">
      <c r="A3977" s="205" t="n"/>
      <c r="B3977" s="207" t="n"/>
      <c r="C3977" s="104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348" t="n"/>
      <c r="E3977" s="349">
        <f>IF(C3977="","",IFERROR(VLOOKUP(C3977,parametros!$A$11:$E$15,5,0),""))</f>
        <v/>
      </c>
      <c r="F3977" s="335">
        <f>IF(OR(D3977="",E3977=""),"",ROUND(D3977*E3977,2))</f>
        <v/>
      </c>
      <c r="G3977" s="106" t="n"/>
      <c r="H3977" s="350">
        <f>IF(G3977="Sim",IF(OR(F3977="",D3977="",L3977=""),"",IF(L3977="Sim",ROUND(F3977-D3977,2),0)),0)</f>
        <v/>
      </c>
      <c r="I3977" s="350">
        <f>IF(G3977="Sim",0,IF(OR(F3977="",L3977=""),"",F3977))</f>
        <v/>
      </c>
      <c r="J3977" s="350">
        <f>IF(G3977="Sim",0,IF(OR(F3977="",D3977="",L3977=""),"",IF(L3977="Sim",ROUND(F3977-D3977,2),0)))</f>
        <v/>
      </c>
      <c r="K3977" s="97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inlineStr">
        <is>
          <t>Nao</t>
        </is>
      </c>
      <c r="W3977" s="110" t="inlineStr">
        <is>
          <t>PC em analise</t>
        </is>
      </c>
      <c r="X3977" s="110" t="inlineStr">
        <is>
          <t>Pedido de Compra</t>
        </is>
      </c>
      <c r="Y3977" s="111" t="inlineStr">
        <is>
          <t>Impacto Potencial</t>
        </is>
      </c>
      <c r="Z3977" s="111" t="inlineStr">
        <is>
          <t>PC</t>
        </is>
      </c>
      <c r="AA3977" s="111" t="inlineStr">
        <is>
          <t>Nao</t>
        </is>
      </c>
      <c r="AB3977" s="111" t="inlineStr">
        <is>
          <t>NAO_COMPUTADO</t>
        </is>
      </c>
      <c r="AC3977" s="112" t="inlineStr">
        <is>
          <t>Estrutura Fase 1: sem impacto no VTA oficial</t>
        </is>
      </c>
    </row>
    <row r="3978" ht="25.5" customHeight="1" s="289">
      <c r="A3978" s="205" t="n"/>
      <c r="B3978" s="207" t="n"/>
      <c r="C3978" s="104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348" t="n"/>
      <c r="E3978" s="349">
        <f>IF(C3978="","",IFERROR(VLOOKUP(C3978,parametros!$A$11:$E$15,5,0),""))</f>
        <v/>
      </c>
      <c r="F3978" s="335">
        <f>IF(OR(D3978="",E3978=""),"",ROUND(D3978*E3978,2))</f>
        <v/>
      </c>
      <c r="G3978" s="106" t="n"/>
      <c r="H3978" s="350">
        <f>IF(G3978="Sim",IF(OR(F3978="",D3978="",L3978=""),"",IF(L3978="Sim",ROUND(F3978-D3978,2),0)),0)</f>
        <v/>
      </c>
      <c r="I3978" s="350">
        <f>IF(G3978="Sim",0,IF(OR(F3978="",L3978=""),"",F3978))</f>
        <v/>
      </c>
      <c r="J3978" s="350">
        <f>IF(G3978="Sim",0,IF(OR(F3978="",D3978="",L3978=""),"",IF(L3978="Sim",ROUND(F3978-D3978,2),0)))</f>
        <v/>
      </c>
      <c r="K3978" s="97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inlineStr">
        <is>
          <t>Nao</t>
        </is>
      </c>
      <c r="W3978" s="110" t="inlineStr">
        <is>
          <t>PC em analise</t>
        </is>
      </c>
      <c r="X3978" s="110" t="inlineStr">
        <is>
          <t>Pedido de Compra</t>
        </is>
      </c>
      <c r="Y3978" s="111" t="inlineStr">
        <is>
          <t>Impacto Potencial</t>
        </is>
      </c>
      <c r="Z3978" s="111" t="inlineStr">
        <is>
          <t>PC</t>
        </is>
      </c>
      <c r="AA3978" s="111" t="inlineStr">
        <is>
          <t>Nao</t>
        </is>
      </c>
      <c r="AB3978" s="111" t="inlineStr">
        <is>
          <t>NAO_COMPUTADO</t>
        </is>
      </c>
      <c r="AC3978" s="112" t="inlineStr">
        <is>
          <t>Estrutura Fase 1: sem impacto no VTA oficial</t>
        </is>
      </c>
    </row>
    <row r="3979" ht="25.5" customHeight="1" s="289">
      <c r="A3979" s="205" t="n"/>
      <c r="B3979" s="207" t="n"/>
      <c r="C3979" s="104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348" t="n"/>
      <c r="E3979" s="349">
        <f>IF(C3979="","",IFERROR(VLOOKUP(C3979,parametros!$A$11:$E$15,5,0),""))</f>
        <v/>
      </c>
      <c r="F3979" s="335">
        <f>IF(OR(D3979="",E3979=""),"",ROUND(D3979*E3979,2))</f>
        <v/>
      </c>
      <c r="G3979" s="106" t="n"/>
      <c r="H3979" s="350">
        <f>IF(G3979="Sim",IF(OR(F3979="",D3979="",L3979=""),"",IF(L3979="Sim",ROUND(F3979-D3979,2),0)),0)</f>
        <v/>
      </c>
      <c r="I3979" s="350">
        <f>IF(G3979="Sim",0,IF(OR(F3979="",L3979=""),"",F3979))</f>
        <v/>
      </c>
      <c r="J3979" s="350">
        <f>IF(G3979="Sim",0,IF(OR(F3979="",D3979="",L3979=""),"",IF(L3979="Sim",ROUND(F3979-D3979,2),0)))</f>
        <v/>
      </c>
      <c r="K3979" s="97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inlineStr">
        <is>
          <t>Nao</t>
        </is>
      </c>
      <c r="W3979" s="110" t="inlineStr">
        <is>
          <t>PC em analise</t>
        </is>
      </c>
      <c r="X3979" s="110" t="inlineStr">
        <is>
          <t>Pedido de Compra</t>
        </is>
      </c>
      <c r="Y3979" s="111" t="inlineStr">
        <is>
          <t>Impacto Potencial</t>
        </is>
      </c>
      <c r="Z3979" s="111" t="inlineStr">
        <is>
          <t>PC</t>
        </is>
      </c>
      <c r="AA3979" s="111" t="inlineStr">
        <is>
          <t>Nao</t>
        </is>
      </c>
      <c r="AB3979" s="111" t="inlineStr">
        <is>
          <t>NAO_COMPUTADO</t>
        </is>
      </c>
      <c r="AC3979" s="112" t="inlineStr">
        <is>
          <t>Estrutura Fase 1: sem impacto no VTA oficial</t>
        </is>
      </c>
    </row>
    <row r="3980" ht="25.5" customHeight="1" s="289">
      <c r="A3980" s="205" t="n"/>
      <c r="B3980" s="207" t="n"/>
      <c r="C3980" s="104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348" t="n"/>
      <c r="E3980" s="349">
        <f>IF(C3980="","",IFERROR(VLOOKUP(C3980,parametros!$A$11:$E$15,5,0),""))</f>
        <v/>
      </c>
      <c r="F3980" s="335">
        <f>IF(OR(D3980="",E3980=""),"",ROUND(D3980*E3980,2))</f>
        <v/>
      </c>
      <c r="G3980" s="106" t="n"/>
      <c r="H3980" s="350">
        <f>IF(G3980="Sim",IF(OR(F3980="",D3980="",L3980=""),"",IF(L3980="Sim",ROUND(F3980-D3980,2),0)),0)</f>
        <v/>
      </c>
      <c r="I3980" s="350">
        <f>IF(G3980="Sim",0,IF(OR(F3980="",L3980=""),"",F3980))</f>
        <v/>
      </c>
      <c r="J3980" s="350">
        <f>IF(G3980="Sim",0,IF(OR(F3980="",D3980="",L3980=""),"",IF(L3980="Sim",ROUND(F3980-D3980,2),0)))</f>
        <v/>
      </c>
      <c r="K3980" s="97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inlineStr">
        <is>
          <t>Nao</t>
        </is>
      </c>
      <c r="W3980" s="110" t="inlineStr">
        <is>
          <t>PC em analise</t>
        </is>
      </c>
      <c r="X3980" s="110" t="inlineStr">
        <is>
          <t>Pedido de Compra</t>
        </is>
      </c>
      <c r="Y3980" s="111" t="inlineStr">
        <is>
          <t>Impacto Potencial</t>
        </is>
      </c>
      <c r="Z3980" s="111" t="inlineStr">
        <is>
          <t>PC</t>
        </is>
      </c>
      <c r="AA3980" s="111" t="inlineStr">
        <is>
          <t>Nao</t>
        </is>
      </c>
      <c r="AB3980" s="111" t="inlineStr">
        <is>
          <t>NAO_COMPUTADO</t>
        </is>
      </c>
      <c r="AC3980" s="112" t="inlineStr">
        <is>
          <t>Estrutura Fase 1: sem impacto no VTA oficial</t>
        </is>
      </c>
    </row>
    <row r="3981" ht="25.5" customHeight="1" s="289">
      <c r="A3981" s="205" t="n"/>
      <c r="B3981" s="207" t="n"/>
      <c r="C3981" s="104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348" t="n"/>
      <c r="E3981" s="349">
        <f>IF(C3981="","",IFERROR(VLOOKUP(C3981,parametros!$A$11:$E$15,5,0),""))</f>
        <v/>
      </c>
      <c r="F3981" s="335">
        <f>IF(OR(D3981="",E3981=""),"",ROUND(D3981*E3981,2))</f>
        <v/>
      </c>
      <c r="G3981" s="106" t="n"/>
      <c r="H3981" s="350">
        <f>IF(G3981="Sim",IF(OR(F3981="",D3981="",L3981=""),"",IF(L3981="Sim",ROUND(F3981-D3981,2),0)),0)</f>
        <v/>
      </c>
      <c r="I3981" s="350">
        <f>IF(G3981="Sim",0,IF(OR(F3981="",L3981=""),"",F3981))</f>
        <v/>
      </c>
      <c r="J3981" s="350">
        <f>IF(G3981="Sim",0,IF(OR(F3981="",D3981="",L3981=""),"",IF(L3981="Sim",ROUND(F3981-D3981,2),0)))</f>
        <v/>
      </c>
      <c r="K3981" s="97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inlineStr">
        <is>
          <t>Nao</t>
        </is>
      </c>
      <c r="W3981" s="110" t="inlineStr">
        <is>
          <t>PC em analise</t>
        </is>
      </c>
      <c r="X3981" s="110" t="inlineStr">
        <is>
          <t>Pedido de Compra</t>
        </is>
      </c>
      <c r="Y3981" s="111" t="inlineStr">
        <is>
          <t>Impacto Potencial</t>
        </is>
      </c>
      <c r="Z3981" s="111" t="inlineStr">
        <is>
          <t>PC</t>
        </is>
      </c>
      <c r="AA3981" s="111" t="inlineStr">
        <is>
          <t>Nao</t>
        </is>
      </c>
      <c r="AB3981" s="111" t="inlineStr">
        <is>
          <t>NAO_COMPUTADO</t>
        </is>
      </c>
      <c r="AC3981" s="112" t="inlineStr">
        <is>
          <t>Estrutura Fase 1: sem impacto no VTA oficial</t>
        </is>
      </c>
    </row>
    <row r="3982" ht="25.5" customHeight="1" s="289">
      <c r="A3982" s="205" t="n"/>
      <c r="B3982" s="207" t="n"/>
      <c r="C3982" s="104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348" t="n"/>
      <c r="E3982" s="349">
        <f>IF(C3982="","",IFERROR(VLOOKUP(C3982,parametros!$A$11:$E$15,5,0),""))</f>
        <v/>
      </c>
      <c r="F3982" s="335">
        <f>IF(OR(D3982="",E3982=""),"",ROUND(D3982*E3982,2))</f>
        <v/>
      </c>
      <c r="G3982" s="106" t="n"/>
      <c r="H3982" s="350">
        <f>IF(G3982="Sim",IF(OR(F3982="",D3982="",L3982=""),"",IF(L3982="Sim",ROUND(F3982-D3982,2),0)),0)</f>
        <v/>
      </c>
      <c r="I3982" s="350">
        <f>IF(G3982="Sim",0,IF(OR(F3982="",L3982=""),"",F3982))</f>
        <v/>
      </c>
      <c r="J3982" s="350">
        <f>IF(G3982="Sim",0,IF(OR(F3982="",D3982="",L3982=""),"",IF(L3982="Sim",ROUND(F3982-D3982,2),0)))</f>
        <v/>
      </c>
      <c r="K3982" s="97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inlineStr">
        <is>
          <t>Nao</t>
        </is>
      </c>
      <c r="W3982" s="110" t="inlineStr">
        <is>
          <t>PC em analise</t>
        </is>
      </c>
      <c r="X3982" s="110" t="inlineStr">
        <is>
          <t>Pedido de Compra</t>
        </is>
      </c>
      <c r="Y3982" s="111" t="inlineStr">
        <is>
          <t>Impacto Potencial</t>
        </is>
      </c>
      <c r="Z3982" s="111" t="inlineStr">
        <is>
          <t>PC</t>
        </is>
      </c>
      <c r="AA3982" s="111" t="inlineStr">
        <is>
          <t>Nao</t>
        </is>
      </c>
      <c r="AB3982" s="111" t="inlineStr">
        <is>
          <t>NAO_COMPUTADO</t>
        </is>
      </c>
      <c r="AC3982" s="112" t="inlineStr">
        <is>
          <t>Estrutura Fase 1: sem impacto no VTA oficial</t>
        </is>
      </c>
    </row>
    <row r="3983" ht="25.5" customHeight="1" s="289">
      <c r="A3983" s="205" t="n"/>
      <c r="B3983" s="207" t="n"/>
      <c r="C3983" s="104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348" t="n"/>
      <c r="E3983" s="349">
        <f>IF(C3983="","",IFERROR(VLOOKUP(C3983,parametros!$A$11:$E$15,5,0),""))</f>
        <v/>
      </c>
      <c r="F3983" s="335">
        <f>IF(OR(D3983="",E3983=""),"",ROUND(D3983*E3983,2))</f>
        <v/>
      </c>
      <c r="G3983" s="106" t="n"/>
      <c r="H3983" s="350">
        <f>IF(G3983="Sim",IF(OR(F3983="",D3983="",L3983=""),"",IF(L3983="Sim",ROUND(F3983-D3983,2),0)),0)</f>
        <v/>
      </c>
      <c r="I3983" s="350">
        <f>IF(G3983="Sim",0,IF(OR(F3983="",L3983=""),"",F3983))</f>
        <v/>
      </c>
      <c r="J3983" s="350">
        <f>IF(G3983="Sim",0,IF(OR(F3983="",D3983="",L3983=""),"",IF(L3983="Sim",ROUND(F3983-D3983,2),0)))</f>
        <v/>
      </c>
      <c r="K3983" s="97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inlineStr">
        <is>
          <t>Nao</t>
        </is>
      </c>
      <c r="W3983" s="110" t="inlineStr">
        <is>
          <t>PC em analise</t>
        </is>
      </c>
      <c r="X3983" s="110" t="inlineStr">
        <is>
          <t>Pedido de Compra</t>
        </is>
      </c>
      <c r="Y3983" s="111" t="inlineStr">
        <is>
          <t>Impacto Potencial</t>
        </is>
      </c>
      <c r="Z3983" s="111" t="inlineStr">
        <is>
          <t>PC</t>
        </is>
      </c>
      <c r="AA3983" s="111" t="inlineStr">
        <is>
          <t>Nao</t>
        </is>
      </c>
      <c r="AB3983" s="111" t="inlineStr">
        <is>
          <t>NAO_COMPUTADO</t>
        </is>
      </c>
      <c r="AC3983" s="112" t="inlineStr">
        <is>
          <t>Estrutura Fase 1: sem impacto no VTA oficial</t>
        </is>
      </c>
    </row>
    <row r="3984" ht="25.5" customHeight="1" s="289">
      <c r="A3984" s="205" t="n"/>
      <c r="B3984" s="207" t="n"/>
      <c r="C3984" s="104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348" t="n"/>
      <c r="E3984" s="349">
        <f>IF(C3984="","",IFERROR(VLOOKUP(C3984,parametros!$A$11:$E$15,5,0),""))</f>
        <v/>
      </c>
      <c r="F3984" s="335">
        <f>IF(OR(D3984="",E3984=""),"",ROUND(D3984*E3984,2))</f>
        <v/>
      </c>
      <c r="G3984" s="106" t="n"/>
      <c r="H3984" s="350">
        <f>IF(G3984="Sim",IF(OR(F3984="",D3984="",L3984=""),"",IF(L3984="Sim",ROUND(F3984-D3984,2),0)),0)</f>
        <v/>
      </c>
      <c r="I3984" s="350">
        <f>IF(G3984="Sim",0,IF(OR(F3984="",L3984=""),"",F3984))</f>
        <v/>
      </c>
      <c r="J3984" s="350">
        <f>IF(G3984="Sim",0,IF(OR(F3984="",D3984="",L3984=""),"",IF(L3984="Sim",ROUND(F3984-D3984,2),0)))</f>
        <v/>
      </c>
      <c r="K3984" s="97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inlineStr">
        <is>
          <t>Nao</t>
        </is>
      </c>
      <c r="W3984" s="110" t="inlineStr">
        <is>
          <t>PC em analise</t>
        </is>
      </c>
      <c r="X3984" s="110" t="inlineStr">
        <is>
          <t>Pedido de Compra</t>
        </is>
      </c>
      <c r="Y3984" s="111" t="inlineStr">
        <is>
          <t>Impacto Potencial</t>
        </is>
      </c>
      <c r="Z3984" s="111" t="inlineStr">
        <is>
          <t>PC</t>
        </is>
      </c>
      <c r="AA3984" s="111" t="inlineStr">
        <is>
          <t>Nao</t>
        </is>
      </c>
      <c r="AB3984" s="111" t="inlineStr">
        <is>
          <t>NAO_COMPUTADO</t>
        </is>
      </c>
      <c r="AC3984" s="112" t="inlineStr">
        <is>
          <t>Estrutura Fase 1: sem impacto no VTA oficial</t>
        </is>
      </c>
    </row>
    <row r="3985" ht="25.5" customHeight="1" s="289">
      <c r="A3985" s="205" t="n"/>
      <c r="B3985" s="207" t="n"/>
      <c r="C3985" s="104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348" t="n"/>
      <c r="E3985" s="349">
        <f>IF(C3985="","",IFERROR(VLOOKUP(C3985,parametros!$A$11:$E$15,5,0),""))</f>
        <v/>
      </c>
      <c r="F3985" s="335">
        <f>IF(OR(D3985="",E3985=""),"",ROUND(D3985*E3985,2))</f>
        <v/>
      </c>
      <c r="G3985" s="106" t="n"/>
      <c r="H3985" s="350">
        <f>IF(G3985="Sim",IF(OR(F3985="",D3985="",L3985=""),"",IF(L3985="Sim",ROUND(F3985-D3985,2),0)),0)</f>
        <v/>
      </c>
      <c r="I3985" s="350">
        <f>IF(G3985="Sim",0,IF(OR(F3985="",L3985=""),"",F3985))</f>
        <v/>
      </c>
      <c r="J3985" s="350">
        <f>IF(G3985="Sim",0,IF(OR(F3985="",D3985="",L3985=""),"",IF(L3985="Sim",ROUND(F3985-D3985,2),0)))</f>
        <v/>
      </c>
      <c r="K3985" s="97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inlineStr">
        <is>
          <t>Nao</t>
        </is>
      </c>
      <c r="W3985" s="110" t="inlineStr">
        <is>
          <t>PC em analise</t>
        </is>
      </c>
      <c r="X3985" s="110" t="inlineStr">
        <is>
          <t>Pedido de Compra</t>
        </is>
      </c>
      <c r="Y3985" s="111" t="inlineStr">
        <is>
          <t>Impacto Potencial</t>
        </is>
      </c>
      <c r="Z3985" s="111" t="inlineStr">
        <is>
          <t>PC</t>
        </is>
      </c>
      <c r="AA3985" s="111" t="inlineStr">
        <is>
          <t>Nao</t>
        </is>
      </c>
      <c r="AB3985" s="111" t="inlineStr">
        <is>
          <t>NAO_COMPUTADO</t>
        </is>
      </c>
      <c r="AC3985" s="112" t="inlineStr">
        <is>
          <t>Estrutura Fase 1: sem impacto no VTA oficial</t>
        </is>
      </c>
    </row>
    <row r="3986" ht="25.5" customHeight="1" s="289">
      <c r="A3986" s="205" t="n"/>
      <c r="B3986" s="207" t="n"/>
      <c r="C3986" s="104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348" t="n"/>
      <c r="E3986" s="349">
        <f>IF(C3986="","",IFERROR(VLOOKUP(C3986,parametros!$A$11:$E$15,5,0),""))</f>
        <v/>
      </c>
      <c r="F3986" s="335">
        <f>IF(OR(D3986="",E3986=""),"",ROUND(D3986*E3986,2))</f>
        <v/>
      </c>
      <c r="G3986" s="106" t="n"/>
      <c r="H3986" s="350">
        <f>IF(G3986="Sim",IF(OR(F3986="",D3986="",L3986=""),"",IF(L3986="Sim",ROUND(F3986-D3986,2),0)),0)</f>
        <v/>
      </c>
      <c r="I3986" s="350">
        <f>IF(G3986="Sim",0,IF(OR(F3986="",L3986=""),"",F3986))</f>
        <v/>
      </c>
      <c r="J3986" s="350">
        <f>IF(G3986="Sim",0,IF(OR(F3986="",D3986="",L3986=""),"",IF(L3986="Sim",ROUND(F3986-D3986,2),0)))</f>
        <v/>
      </c>
      <c r="K3986" s="97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inlineStr">
        <is>
          <t>Nao</t>
        </is>
      </c>
      <c r="W3986" s="110" t="inlineStr">
        <is>
          <t>PC em analise</t>
        </is>
      </c>
      <c r="X3986" s="110" t="inlineStr">
        <is>
          <t>Pedido de Compra</t>
        </is>
      </c>
      <c r="Y3986" s="111" t="inlineStr">
        <is>
          <t>Impacto Potencial</t>
        </is>
      </c>
      <c r="Z3986" s="111" t="inlineStr">
        <is>
          <t>PC</t>
        </is>
      </c>
      <c r="AA3986" s="111" t="inlineStr">
        <is>
          <t>Nao</t>
        </is>
      </c>
      <c r="AB3986" s="111" t="inlineStr">
        <is>
          <t>NAO_COMPUTADO</t>
        </is>
      </c>
      <c r="AC3986" s="112" t="inlineStr">
        <is>
          <t>Estrutura Fase 1: sem impacto no VTA oficial</t>
        </is>
      </c>
    </row>
    <row r="3987" ht="25.5" customHeight="1" s="289">
      <c r="A3987" s="205" t="n"/>
      <c r="B3987" s="207" t="n"/>
      <c r="C3987" s="104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348" t="n"/>
      <c r="E3987" s="349">
        <f>IF(C3987="","",IFERROR(VLOOKUP(C3987,parametros!$A$11:$E$15,5,0),""))</f>
        <v/>
      </c>
      <c r="F3987" s="335">
        <f>IF(OR(D3987="",E3987=""),"",ROUND(D3987*E3987,2))</f>
        <v/>
      </c>
      <c r="G3987" s="106" t="n"/>
      <c r="H3987" s="350">
        <f>IF(G3987="Sim",IF(OR(F3987="",D3987="",L3987=""),"",IF(L3987="Sim",ROUND(F3987-D3987,2),0)),0)</f>
        <v/>
      </c>
      <c r="I3987" s="350">
        <f>IF(G3987="Sim",0,IF(OR(F3987="",L3987=""),"",F3987))</f>
        <v/>
      </c>
      <c r="J3987" s="350">
        <f>IF(G3987="Sim",0,IF(OR(F3987="",D3987="",L3987=""),"",IF(L3987="Sim",ROUND(F3987-D3987,2),0)))</f>
        <v/>
      </c>
      <c r="K3987" s="97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inlineStr">
        <is>
          <t>Nao</t>
        </is>
      </c>
      <c r="W3987" s="110" t="inlineStr">
        <is>
          <t>PC em analise</t>
        </is>
      </c>
      <c r="X3987" s="110" t="inlineStr">
        <is>
          <t>Pedido de Compra</t>
        </is>
      </c>
      <c r="Y3987" s="111" t="inlineStr">
        <is>
          <t>Impacto Potencial</t>
        </is>
      </c>
      <c r="Z3987" s="111" t="inlineStr">
        <is>
          <t>PC</t>
        </is>
      </c>
      <c r="AA3987" s="111" t="inlineStr">
        <is>
          <t>Nao</t>
        </is>
      </c>
      <c r="AB3987" s="111" t="inlineStr">
        <is>
          <t>NAO_COMPUTADO</t>
        </is>
      </c>
      <c r="AC3987" s="112" t="inlineStr">
        <is>
          <t>Estrutura Fase 1: sem impacto no VTA oficial</t>
        </is>
      </c>
    </row>
    <row r="3988" ht="25.5" customHeight="1" s="289">
      <c r="A3988" s="205" t="n"/>
      <c r="B3988" s="207" t="n"/>
      <c r="C3988" s="104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348" t="n"/>
      <c r="E3988" s="349">
        <f>IF(C3988="","",IFERROR(VLOOKUP(C3988,parametros!$A$11:$E$15,5,0),""))</f>
        <v/>
      </c>
      <c r="F3988" s="335">
        <f>IF(OR(D3988="",E3988=""),"",ROUND(D3988*E3988,2))</f>
        <v/>
      </c>
      <c r="G3988" s="106" t="n"/>
      <c r="H3988" s="350">
        <f>IF(G3988="Sim",IF(OR(F3988="",D3988="",L3988=""),"",IF(L3988="Sim",ROUND(F3988-D3988,2),0)),0)</f>
        <v/>
      </c>
      <c r="I3988" s="350">
        <f>IF(G3988="Sim",0,IF(OR(F3988="",L3988=""),"",F3988))</f>
        <v/>
      </c>
      <c r="J3988" s="350">
        <f>IF(G3988="Sim",0,IF(OR(F3988="",D3988="",L3988=""),"",IF(L3988="Sim",ROUND(F3988-D3988,2),0)))</f>
        <v/>
      </c>
      <c r="K3988" s="97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inlineStr">
        <is>
          <t>Nao</t>
        </is>
      </c>
      <c r="W3988" s="110" t="inlineStr">
        <is>
          <t>PC em analise</t>
        </is>
      </c>
      <c r="X3988" s="110" t="inlineStr">
        <is>
          <t>Pedido de Compra</t>
        </is>
      </c>
      <c r="Y3988" s="111" t="inlineStr">
        <is>
          <t>Impacto Potencial</t>
        </is>
      </c>
      <c r="Z3988" s="111" t="inlineStr">
        <is>
          <t>PC</t>
        </is>
      </c>
      <c r="AA3988" s="111" t="inlineStr">
        <is>
          <t>Nao</t>
        </is>
      </c>
      <c r="AB3988" s="111" t="inlineStr">
        <is>
          <t>NAO_COMPUTADO</t>
        </is>
      </c>
      <c r="AC3988" s="112" t="inlineStr">
        <is>
          <t>Estrutura Fase 1: sem impacto no VTA oficial</t>
        </is>
      </c>
    </row>
    <row r="3989" ht="25.5" customHeight="1" s="289">
      <c r="A3989" s="205" t="n"/>
      <c r="B3989" s="207" t="n"/>
      <c r="C3989" s="104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348" t="n"/>
      <c r="E3989" s="349">
        <f>IF(C3989="","",IFERROR(VLOOKUP(C3989,parametros!$A$11:$E$15,5,0),""))</f>
        <v/>
      </c>
      <c r="F3989" s="335">
        <f>IF(OR(D3989="",E3989=""),"",ROUND(D3989*E3989,2))</f>
        <v/>
      </c>
      <c r="G3989" s="106" t="n"/>
      <c r="H3989" s="350">
        <f>IF(G3989="Sim",IF(OR(F3989="",D3989="",L3989=""),"",IF(L3989="Sim",ROUND(F3989-D3989,2),0)),0)</f>
        <v/>
      </c>
      <c r="I3989" s="350">
        <f>IF(G3989="Sim",0,IF(OR(F3989="",L3989=""),"",F3989))</f>
        <v/>
      </c>
      <c r="J3989" s="350">
        <f>IF(G3989="Sim",0,IF(OR(F3989="",D3989="",L3989=""),"",IF(L3989="Sim",ROUND(F3989-D3989,2),0)))</f>
        <v/>
      </c>
      <c r="K3989" s="97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inlineStr">
        <is>
          <t>Nao</t>
        </is>
      </c>
      <c r="W3989" s="110" t="inlineStr">
        <is>
          <t>PC em analise</t>
        </is>
      </c>
      <c r="X3989" s="110" t="inlineStr">
        <is>
          <t>Pedido de Compra</t>
        </is>
      </c>
      <c r="Y3989" s="111" t="inlineStr">
        <is>
          <t>Impacto Potencial</t>
        </is>
      </c>
      <c r="Z3989" s="111" t="inlineStr">
        <is>
          <t>PC</t>
        </is>
      </c>
      <c r="AA3989" s="111" t="inlineStr">
        <is>
          <t>Nao</t>
        </is>
      </c>
      <c r="AB3989" s="111" t="inlineStr">
        <is>
          <t>NAO_COMPUTADO</t>
        </is>
      </c>
      <c r="AC3989" s="112" t="inlineStr">
        <is>
          <t>Estrutura Fase 1: sem impacto no VTA oficial</t>
        </is>
      </c>
    </row>
    <row r="3990" ht="25.5" customHeight="1" s="289">
      <c r="A3990" s="205" t="n"/>
      <c r="B3990" s="207" t="n"/>
      <c r="C3990" s="104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348" t="n"/>
      <c r="E3990" s="349">
        <f>IF(C3990="","",IFERROR(VLOOKUP(C3990,parametros!$A$11:$E$15,5,0),""))</f>
        <v/>
      </c>
      <c r="F3990" s="335">
        <f>IF(OR(D3990="",E3990=""),"",ROUND(D3990*E3990,2))</f>
        <v/>
      </c>
      <c r="G3990" s="106" t="n"/>
      <c r="H3990" s="350">
        <f>IF(G3990="Sim",IF(OR(F3990="",D3990="",L3990=""),"",IF(L3990="Sim",ROUND(F3990-D3990,2),0)),0)</f>
        <v/>
      </c>
      <c r="I3990" s="350">
        <f>IF(G3990="Sim",0,IF(OR(F3990="",L3990=""),"",F3990))</f>
        <v/>
      </c>
      <c r="J3990" s="350">
        <f>IF(G3990="Sim",0,IF(OR(F3990="",D3990="",L3990=""),"",IF(L3990="Sim",ROUND(F3990-D3990,2),0)))</f>
        <v/>
      </c>
      <c r="K3990" s="97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inlineStr">
        <is>
          <t>Nao</t>
        </is>
      </c>
      <c r="W3990" s="110" t="inlineStr">
        <is>
          <t>PC em analise</t>
        </is>
      </c>
      <c r="X3990" s="110" t="inlineStr">
        <is>
          <t>Pedido de Compra</t>
        </is>
      </c>
      <c r="Y3990" s="111" t="inlineStr">
        <is>
          <t>Impacto Potencial</t>
        </is>
      </c>
      <c r="Z3990" s="111" t="inlineStr">
        <is>
          <t>PC</t>
        </is>
      </c>
      <c r="AA3990" s="111" t="inlineStr">
        <is>
          <t>Nao</t>
        </is>
      </c>
      <c r="AB3990" s="111" t="inlineStr">
        <is>
          <t>NAO_COMPUTADO</t>
        </is>
      </c>
      <c r="AC3990" s="112" t="inlineStr">
        <is>
          <t>Estrutura Fase 1: sem impacto no VTA oficial</t>
        </is>
      </c>
    </row>
    <row r="3991" ht="25.5" customHeight="1" s="289">
      <c r="A3991" s="205" t="n"/>
      <c r="B3991" s="207" t="n"/>
      <c r="C3991" s="104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348" t="n"/>
      <c r="E3991" s="349">
        <f>IF(C3991="","",IFERROR(VLOOKUP(C3991,parametros!$A$11:$E$15,5,0),""))</f>
        <v/>
      </c>
      <c r="F3991" s="335">
        <f>IF(OR(D3991="",E3991=""),"",ROUND(D3991*E3991,2))</f>
        <v/>
      </c>
      <c r="G3991" s="106" t="n"/>
      <c r="H3991" s="350">
        <f>IF(G3991="Sim",IF(OR(F3991="",D3991="",L3991=""),"",IF(L3991="Sim",ROUND(F3991-D3991,2),0)),0)</f>
        <v/>
      </c>
      <c r="I3991" s="350">
        <f>IF(G3991="Sim",0,IF(OR(F3991="",L3991=""),"",F3991))</f>
        <v/>
      </c>
      <c r="J3991" s="350">
        <f>IF(G3991="Sim",0,IF(OR(F3991="",D3991="",L3991=""),"",IF(L3991="Sim",ROUND(F3991-D3991,2),0)))</f>
        <v/>
      </c>
      <c r="K3991" s="97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inlineStr">
        <is>
          <t>Nao</t>
        </is>
      </c>
      <c r="W3991" s="110" t="inlineStr">
        <is>
          <t>PC em analise</t>
        </is>
      </c>
      <c r="X3991" s="110" t="inlineStr">
        <is>
          <t>Pedido de Compra</t>
        </is>
      </c>
      <c r="Y3991" s="111" t="inlineStr">
        <is>
          <t>Impacto Potencial</t>
        </is>
      </c>
      <c r="Z3991" s="111" t="inlineStr">
        <is>
          <t>PC</t>
        </is>
      </c>
      <c r="AA3991" s="111" t="inlineStr">
        <is>
          <t>Nao</t>
        </is>
      </c>
      <c r="AB3991" s="111" t="inlineStr">
        <is>
          <t>NAO_COMPUTADO</t>
        </is>
      </c>
      <c r="AC3991" s="112" t="inlineStr">
        <is>
          <t>Estrutura Fase 1: sem impacto no VTA oficial</t>
        </is>
      </c>
    </row>
    <row r="3992" ht="25.5" customHeight="1" s="289">
      <c r="A3992" s="205" t="n"/>
      <c r="B3992" s="207" t="n"/>
      <c r="C3992" s="104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348" t="n"/>
      <c r="E3992" s="349">
        <f>IF(C3992="","",IFERROR(VLOOKUP(C3992,parametros!$A$11:$E$15,5,0),""))</f>
        <v/>
      </c>
      <c r="F3992" s="335">
        <f>IF(OR(D3992="",E3992=""),"",ROUND(D3992*E3992,2))</f>
        <v/>
      </c>
      <c r="G3992" s="106" t="n"/>
      <c r="H3992" s="350">
        <f>IF(G3992="Sim",IF(OR(F3992="",D3992="",L3992=""),"",IF(L3992="Sim",ROUND(F3992-D3992,2),0)),0)</f>
        <v/>
      </c>
      <c r="I3992" s="350">
        <f>IF(G3992="Sim",0,IF(OR(F3992="",L3992=""),"",F3992))</f>
        <v/>
      </c>
      <c r="J3992" s="350">
        <f>IF(G3992="Sim",0,IF(OR(F3992="",D3992="",L3992=""),"",IF(L3992="Sim",ROUND(F3992-D3992,2),0)))</f>
        <v/>
      </c>
      <c r="K3992" s="97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inlineStr">
        <is>
          <t>Nao</t>
        </is>
      </c>
      <c r="W3992" s="110" t="inlineStr">
        <is>
          <t>PC em analise</t>
        </is>
      </c>
      <c r="X3992" s="110" t="inlineStr">
        <is>
          <t>Pedido de Compra</t>
        </is>
      </c>
      <c r="Y3992" s="111" t="inlineStr">
        <is>
          <t>Impacto Potencial</t>
        </is>
      </c>
      <c r="Z3992" s="111" t="inlineStr">
        <is>
          <t>PC</t>
        </is>
      </c>
      <c r="AA3992" s="111" t="inlineStr">
        <is>
          <t>Nao</t>
        </is>
      </c>
      <c r="AB3992" s="111" t="inlineStr">
        <is>
          <t>NAO_COMPUTADO</t>
        </is>
      </c>
      <c r="AC3992" s="112" t="inlineStr">
        <is>
          <t>Estrutura Fase 1: sem impacto no VTA oficial</t>
        </is>
      </c>
    </row>
    <row r="3993" ht="25.5" customHeight="1" s="289">
      <c r="A3993" s="205" t="n"/>
      <c r="B3993" s="207" t="n"/>
      <c r="C3993" s="104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348" t="n"/>
      <c r="E3993" s="349">
        <f>IF(C3993="","",IFERROR(VLOOKUP(C3993,parametros!$A$11:$E$15,5,0),""))</f>
        <v/>
      </c>
      <c r="F3993" s="335">
        <f>IF(OR(D3993="",E3993=""),"",ROUND(D3993*E3993,2))</f>
        <v/>
      </c>
      <c r="G3993" s="106" t="n"/>
      <c r="H3993" s="350">
        <f>IF(G3993="Sim",IF(OR(F3993="",D3993="",L3993=""),"",IF(L3993="Sim",ROUND(F3993-D3993,2),0)),0)</f>
        <v/>
      </c>
      <c r="I3993" s="350">
        <f>IF(G3993="Sim",0,IF(OR(F3993="",L3993=""),"",F3993))</f>
        <v/>
      </c>
      <c r="J3993" s="350">
        <f>IF(G3993="Sim",0,IF(OR(F3993="",D3993="",L3993=""),"",IF(L3993="Sim",ROUND(F3993-D3993,2),0)))</f>
        <v/>
      </c>
      <c r="K3993" s="97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inlineStr">
        <is>
          <t>Nao</t>
        </is>
      </c>
      <c r="W3993" s="110" t="inlineStr">
        <is>
          <t>PC em analise</t>
        </is>
      </c>
      <c r="X3993" s="110" t="inlineStr">
        <is>
          <t>Pedido de Compra</t>
        </is>
      </c>
      <c r="Y3993" s="111" t="inlineStr">
        <is>
          <t>Impacto Potencial</t>
        </is>
      </c>
      <c r="Z3993" s="111" t="inlineStr">
        <is>
          <t>PC</t>
        </is>
      </c>
      <c r="AA3993" s="111" t="inlineStr">
        <is>
          <t>Nao</t>
        </is>
      </c>
      <c r="AB3993" s="111" t="inlineStr">
        <is>
          <t>NAO_COMPUTADO</t>
        </is>
      </c>
      <c r="AC3993" s="112" t="inlineStr">
        <is>
          <t>Estrutura Fase 1: sem impacto no VTA oficial</t>
        </is>
      </c>
    </row>
    <row r="3994" ht="25.5" customHeight="1" s="289">
      <c r="A3994" s="205" t="n"/>
      <c r="B3994" s="207" t="n"/>
      <c r="C3994" s="104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348" t="n"/>
      <c r="E3994" s="349">
        <f>IF(C3994="","",IFERROR(VLOOKUP(C3994,parametros!$A$11:$E$15,5,0),""))</f>
        <v/>
      </c>
      <c r="F3994" s="335">
        <f>IF(OR(D3994="",E3994=""),"",ROUND(D3994*E3994,2))</f>
        <v/>
      </c>
      <c r="G3994" s="106" t="n"/>
      <c r="H3994" s="350">
        <f>IF(G3994="Sim",IF(OR(F3994="",D3994="",L3994=""),"",IF(L3994="Sim",ROUND(F3994-D3994,2),0)),0)</f>
        <v/>
      </c>
      <c r="I3994" s="350">
        <f>IF(G3994="Sim",0,IF(OR(F3994="",L3994=""),"",F3994))</f>
        <v/>
      </c>
      <c r="J3994" s="350">
        <f>IF(G3994="Sim",0,IF(OR(F3994="",D3994="",L3994=""),"",IF(L3994="Sim",ROUND(F3994-D3994,2),0)))</f>
        <v/>
      </c>
      <c r="K3994" s="97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inlineStr">
        <is>
          <t>Nao</t>
        </is>
      </c>
      <c r="W3994" s="110" t="inlineStr">
        <is>
          <t>PC em analise</t>
        </is>
      </c>
      <c r="X3994" s="110" t="inlineStr">
        <is>
          <t>Pedido de Compra</t>
        </is>
      </c>
      <c r="Y3994" s="111" t="inlineStr">
        <is>
          <t>Impacto Potencial</t>
        </is>
      </c>
      <c r="Z3994" s="111" t="inlineStr">
        <is>
          <t>PC</t>
        </is>
      </c>
      <c r="AA3994" s="111" t="inlineStr">
        <is>
          <t>Nao</t>
        </is>
      </c>
      <c r="AB3994" s="111" t="inlineStr">
        <is>
          <t>NAO_COMPUTADO</t>
        </is>
      </c>
      <c r="AC3994" s="112" t="inlineStr">
        <is>
          <t>Estrutura Fase 1: sem impacto no VTA oficial</t>
        </is>
      </c>
    </row>
    <row r="3995" ht="25.5" customHeight="1" s="289">
      <c r="A3995" s="205" t="n"/>
      <c r="B3995" s="207" t="n"/>
      <c r="C3995" s="104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348" t="n"/>
      <c r="E3995" s="349">
        <f>IF(C3995="","",IFERROR(VLOOKUP(C3995,parametros!$A$11:$E$15,5,0),""))</f>
        <v/>
      </c>
      <c r="F3995" s="335">
        <f>IF(OR(D3995="",E3995=""),"",ROUND(D3995*E3995,2))</f>
        <v/>
      </c>
      <c r="G3995" s="106" t="n"/>
      <c r="H3995" s="350">
        <f>IF(G3995="Sim",IF(OR(F3995="",D3995="",L3995=""),"",IF(L3995="Sim",ROUND(F3995-D3995,2),0)),0)</f>
        <v/>
      </c>
      <c r="I3995" s="350">
        <f>IF(G3995="Sim",0,IF(OR(F3995="",L3995=""),"",F3995))</f>
        <v/>
      </c>
      <c r="J3995" s="350">
        <f>IF(G3995="Sim",0,IF(OR(F3995="",D3995="",L3995=""),"",IF(L3995="Sim",ROUND(F3995-D3995,2),0)))</f>
        <v/>
      </c>
      <c r="K3995" s="97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inlineStr">
        <is>
          <t>Nao</t>
        </is>
      </c>
      <c r="W3995" s="110" t="inlineStr">
        <is>
          <t>PC em analise</t>
        </is>
      </c>
      <c r="X3995" s="110" t="inlineStr">
        <is>
          <t>Pedido de Compra</t>
        </is>
      </c>
      <c r="Y3995" s="111" t="inlineStr">
        <is>
          <t>Impacto Potencial</t>
        </is>
      </c>
      <c r="Z3995" s="111" t="inlineStr">
        <is>
          <t>PC</t>
        </is>
      </c>
      <c r="AA3995" s="111" t="inlineStr">
        <is>
          <t>Nao</t>
        </is>
      </c>
      <c r="AB3995" s="111" t="inlineStr">
        <is>
          <t>NAO_COMPUTADO</t>
        </is>
      </c>
      <c r="AC3995" s="112" t="inlineStr">
        <is>
          <t>Estrutura Fase 1: sem impacto no VTA oficial</t>
        </is>
      </c>
    </row>
    <row r="3996" ht="25.5" customHeight="1" s="289">
      <c r="A3996" s="205" t="n"/>
      <c r="B3996" s="207" t="n"/>
      <c r="C3996" s="104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348" t="n"/>
      <c r="E3996" s="349">
        <f>IF(C3996="","",IFERROR(VLOOKUP(C3996,parametros!$A$11:$E$15,5,0),""))</f>
        <v/>
      </c>
      <c r="F3996" s="335">
        <f>IF(OR(D3996="",E3996=""),"",ROUND(D3996*E3996,2))</f>
        <v/>
      </c>
      <c r="G3996" s="106" t="n"/>
      <c r="H3996" s="350">
        <f>IF(G3996="Sim",IF(OR(F3996="",D3996="",L3996=""),"",IF(L3996="Sim",ROUND(F3996-D3996,2),0)),0)</f>
        <v/>
      </c>
      <c r="I3996" s="350">
        <f>IF(G3996="Sim",0,IF(OR(F3996="",L3996=""),"",F3996))</f>
        <v/>
      </c>
      <c r="J3996" s="350">
        <f>IF(G3996="Sim",0,IF(OR(F3996="",D3996="",L3996=""),"",IF(L3996="Sim",ROUND(F3996-D3996,2),0)))</f>
        <v/>
      </c>
      <c r="K3996" s="97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inlineStr">
        <is>
          <t>Nao</t>
        </is>
      </c>
      <c r="W3996" s="110" t="inlineStr">
        <is>
          <t>PC em analise</t>
        </is>
      </c>
      <c r="X3996" s="110" t="inlineStr">
        <is>
          <t>Pedido de Compra</t>
        </is>
      </c>
      <c r="Y3996" s="111" t="inlineStr">
        <is>
          <t>Impacto Potencial</t>
        </is>
      </c>
      <c r="Z3996" s="111" t="inlineStr">
        <is>
          <t>PC</t>
        </is>
      </c>
      <c r="AA3996" s="111" t="inlineStr">
        <is>
          <t>Nao</t>
        </is>
      </c>
      <c r="AB3996" s="111" t="inlineStr">
        <is>
          <t>NAO_COMPUTADO</t>
        </is>
      </c>
      <c r="AC3996" s="112" t="inlineStr">
        <is>
          <t>Estrutura Fase 1: sem impacto no VTA oficial</t>
        </is>
      </c>
    </row>
    <row r="3997" ht="25.5" customHeight="1" s="289">
      <c r="A3997" s="205" t="n"/>
      <c r="B3997" s="207" t="n"/>
      <c r="C3997" s="104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348" t="n"/>
      <c r="E3997" s="349">
        <f>IF(C3997="","",IFERROR(VLOOKUP(C3997,parametros!$A$11:$E$15,5,0),""))</f>
        <v/>
      </c>
      <c r="F3997" s="335">
        <f>IF(OR(D3997="",E3997=""),"",ROUND(D3997*E3997,2))</f>
        <v/>
      </c>
      <c r="G3997" s="106" t="n"/>
      <c r="H3997" s="350">
        <f>IF(G3997="Sim",IF(OR(F3997="",D3997="",L3997=""),"",IF(L3997="Sim",ROUND(F3997-D3997,2),0)),0)</f>
        <v/>
      </c>
      <c r="I3997" s="350">
        <f>IF(G3997="Sim",0,IF(OR(F3997="",L3997=""),"",F3997))</f>
        <v/>
      </c>
      <c r="J3997" s="350">
        <f>IF(G3997="Sim",0,IF(OR(F3997="",D3997="",L3997=""),"",IF(L3997="Sim",ROUND(F3997-D3997,2),0)))</f>
        <v/>
      </c>
      <c r="K3997" s="97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inlineStr">
        <is>
          <t>Nao</t>
        </is>
      </c>
      <c r="W3997" s="110" t="inlineStr">
        <is>
          <t>PC em analise</t>
        </is>
      </c>
      <c r="X3997" s="110" t="inlineStr">
        <is>
          <t>Pedido de Compra</t>
        </is>
      </c>
      <c r="Y3997" s="111" t="inlineStr">
        <is>
          <t>Impacto Potencial</t>
        </is>
      </c>
      <c r="Z3997" s="111" t="inlineStr">
        <is>
          <t>PC</t>
        </is>
      </c>
      <c r="AA3997" s="111" t="inlineStr">
        <is>
          <t>Nao</t>
        </is>
      </c>
      <c r="AB3997" s="111" t="inlineStr">
        <is>
          <t>NAO_COMPUTADO</t>
        </is>
      </c>
      <c r="AC3997" s="112" t="inlineStr">
        <is>
          <t>Estrutura Fase 1: sem impacto no VTA oficial</t>
        </is>
      </c>
    </row>
    <row r="3998" ht="25.5" customHeight="1" s="289">
      <c r="A3998" s="205" t="n"/>
      <c r="B3998" s="207" t="n"/>
      <c r="C3998" s="104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348" t="n"/>
      <c r="E3998" s="349">
        <f>IF(C3998="","",IFERROR(VLOOKUP(C3998,parametros!$A$11:$E$15,5,0),""))</f>
        <v/>
      </c>
      <c r="F3998" s="335">
        <f>IF(OR(D3998="",E3998=""),"",ROUND(D3998*E3998,2))</f>
        <v/>
      </c>
      <c r="G3998" s="106" t="n"/>
      <c r="H3998" s="350">
        <f>IF(G3998="Sim",IF(OR(F3998="",D3998="",L3998=""),"",IF(L3998="Sim",ROUND(F3998-D3998,2),0)),0)</f>
        <v/>
      </c>
      <c r="I3998" s="350">
        <f>IF(G3998="Sim",0,IF(OR(F3998="",L3998=""),"",F3998))</f>
        <v/>
      </c>
      <c r="J3998" s="350">
        <f>IF(G3998="Sim",0,IF(OR(F3998="",D3998="",L3998=""),"",IF(L3998="Sim",ROUND(F3998-D3998,2),0)))</f>
        <v/>
      </c>
      <c r="K3998" s="97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inlineStr">
        <is>
          <t>Nao</t>
        </is>
      </c>
      <c r="W3998" s="110" t="inlineStr">
        <is>
          <t>PC em analise</t>
        </is>
      </c>
      <c r="X3998" s="110" t="inlineStr">
        <is>
          <t>Pedido de Compra</t>
        </is>
      </c>
      <c r="Y3998" s="111" t="inlineStr">
        <is>
          <t>Impacto Potencial</t>
        </is>
      </c>
      <c r="Z3998" s="111" t="inlineStr">
        <is>
          <t>PC</t>
        </is>
      </c>
      <c r="AA3998" s="111" t="inlineStr">
        <is>
          <t>Nao</t>
        </is>
      </c>
      <c r="AB3998" s="111" t="inlineStr">
        <is>
          <t>NAO_COMPUTADO</t>
        </is>
      </c>
      <c r="AC3998" s="112" t="inlineStr">
        <is>
          <t>Estrutura Fase 1: sem impacto no VTA oficial</t>
        </is>
      </c>
    </row>
    <row r="3999" ht="25.5" customHeight="1" s="289">
      <c r="A3999" s="205" t="n"/>
      <c r="B3999" s="207" t="n"/>
      <c r="C3999" s="104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348" t="n"/>
      <c r="E3999" s="349">
        <f>IF(C3999="","",IFERROR(VLOOKUP(C3999,parametros!$A$11:$E$15,5,0),""))</f>
        <v/>
      </c>
      <c r="F3999" s="335">
        <f>IF(OR(D3999="",E3999=""),"",ROUND(D3999*E3999,2))</f>
        <v/>
      </c>
      <c r="G3999" s="106" t="n"/>
      <c r="H3999" s="350">
        <f>IF(G3999="Sim",IF(OR(F3999="",D3999="",L3999=""),"",IF(L3999="Sim",ROUND(F3999-D3999,2),0)),0)</f>
        <v/>
      </c>
      <c r="I3999" s="350">
        <f>IF(G3999="Sim",0,IF(OR(F3999="",L3999=""),"",F3999))</f>
        <v/>
      </c>
      <c r="J3999" s="350">
        <f>IF(G3999="Sim",0,IF(OR(F3999="",D3999="",L3999=""),"",IF(L3999="Sim",ROUND(F3999-D3999,2),0)))</f>
        <v/>
      </c>
      <c r="K3999" s="97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inlineStr">
        <is>
          <t>Nao</t>
        </is>
      </c>
      <c r="W3999" s="110" t="inlineStr">
        <is>
          <t>PC em analise</t>
        </is>
      </c>
      <c r="X3999" s="110" t="inlineStr">
        <is>
          <t>Pedido de Compra</t>
        </is>
      </c>
      <c r="Y3999" s="111" t="inlineStr">
        <is>
          <t>Impacto Potencial</t>
        </is>
      </c>
      <c r="Z3999" s="111" t="inlineStr">
        <is>
          <t>PC</t>
        </is>
      </c>
      <c r="AA3999" s="111" t="inlineStr">
        <is>
          <t>Nao</t>
        </is>
      </c>
      <c r="AB3999" s="111" t="inlineStr">
        <is>
          <t>NAO_COMPUTADO</t>
        </is>
      </c>
      <c r="AC3999" s="112" t="inlineStr">
        <is>
          <t>Estrutura Fase 1: sem impacto no VTA oficial</t>
        </is>
      </c>
    </row>
    <row r="4000" ht="25.5" customHeight="1" s="289">
      <c r="A4000" s="205" t="n"/>
      <c r="B4000" s="207" t="n"/>
      <c r="C4000" s="104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348" t="n"/>
      <c r="E4000" s="349">
        <f>IF(C4000="","",IFERROR(VLOOKUP(C4000,parametros!$A$11:$E$15,5,0),""))</f>
        <v/>
      </c>
      <c r="F4000" s="335">
        <f>IF(OR(D4000="",E4000=""),"",ROUND(D4000*E4000,2))</f>
        <v/>
      </c>
      <c r="G4000" s="106" t="n"/>
      <c r="H4000" s="350">
        <f>IF(G4000="Sim",IF(OR(F4000="",D4000="",L4000=""),"",IF(L4000="Sim",ROUND(F4000-D4000,2),0)),0)</f>
        <v/>
      </c>
      <c r="I4000" s="350">
        <f>IF(G4000="Sim",0,IF(OR(F4000="",L4000=""),"",F4000))</f>
        <v/>
      </c>
      <c r="J4000" s="350">
        <f>IF(G4000="Sim",0,IF(OR(F4000="",D4000="",L4000=""),"",IF(L4000="Sim",ROUND(F4000-D4000,2),0)))</f>
        <v/>
      </c>
      <c r="K4000" s="97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inlineStr">
        <is>
          <t>Nao</t>
        </is>
      </c>
      <c r="W4000" s="110" t="inlineStr">
        <is>
          <t>PC em analise</t>
        </is>
      </c>
      <c r="X4000" s="110" t="inlineStr">
        <is>
          <t>Pedido de Compra</t>
        </is>
      </c>
      <c r="Y4000" s="111" t="inlineStr">
        <is>
          <t>Impacto Potencial</t>
        </is>
      </c>
      <c r="Z4000" s="111" t="inlineStr">
        <is>
          <t>PC</t>
        </is>
      </c>
      <c r="AA4000" s="111" t="inlineStr">
        <is>
          <t>Nao</t>
        </is>
      </c>
      <c r="AB4000" s="111" t="inlineStr">
        <is>
          <t>NAO_COMPUTADO</t>
        </is>
      </c>
      <c r="AC4000" s="112" t="inlineStr">
        <is>
          <t>Estrutura Fase 1: sem impacto no VTA oficial</t>
        </is>
      </c>
    </row>
    <row r="4001" ht="25.5" customHeight="1" s="289">
      <c r="A4001" s="205" t="n"/>
      <c r="B4001" s="207" t="n"/>
      <c r="C4001" s="104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348" t="n"/>
      <c r="E4001" s="349">
        <f>IF(C4001="","",IFERROR(VLOOKUP(C4001,parametros!$A$11:$E$15,5,0),""))</f>
        <v/>
      </c>
      <c r="F4001" s="335">
        <f>IF(OR(D4001="",E4001=""),"",ROUND(D4001*E4001,2))</f>
        <v/>
      </c>
      <c r="G4001" s="106" t="n"/>
      <c r="H4001" s="350">
        <f>IF(G4001="Sim",IF(OR(F4001="",D4001="",L4001=""),"",IF(L4001="Sim",ROUND(F4001-D4001,2),0)),0)</f>
        <v/>
      </c>
      <c r="I4001" s="350">
        <f>IF(G4001="Sim",0,IF(OR(F4001="",L4001=""),"",F4001))</f>
        <v/>
      </c>
      <c r="J4001" s="350">
        <f>IF(G4001="Sim",0,IF(OR(F4001="",D4001="",L4001=""),"",IF(L4001="Sim",ROUND(F4001-D4001,2),0)))</f>
        <v/>
      </c>
      <c r="K4001" s="97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inlineStr">
        <is>
          <t>Nao</t>
        </is>
      </c>
      <c r="W4001" s="110" t="inlineStr">
        <is>
          <t>PC em analise</t>
        </is>
      </c>
      <c r="X4001" s="110" t="inlineStr">
        <is>
          <t>Pedido de Compra</t>
        </is>
      </c>
      <c r="Y4001" s="111" t="inlineStr">
        <is>
          <t>Impacto Potencial</t>
        </is>
      </c>
      <c r="Z4001" s="111" t="inlineStr">
        <is>
          <t>PC</t>
        </is>
      </c>
      <c r="AA4001" s="111" t="inlineStr">
        <is>
          <t>Nao</t>
        </is>
      </c>
      <c r="AB4001" s="111" t="inlineStr">
        <is>
          <t>NAO_COMPUTADO</t>
        </is>
      </c>
      <c r="AC4001" s="112" t="inlineStr">
        <is>
          <t>Estrutura Fase 1: sem impacto no VTA oficial</t>
        </is>
      </c>
    </row>
    <row r="4002" ht="25.5" customHeight="1" s="289">
      <c r="A4002" s="205" t="n"/>
      <c r="B4002" s="207" t="n"/>
      <c r="C4002" s="104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348" t="n"/>
      <c r="E4002" s="349">
        <f>IF(C4002="","",IFERROR(VLOOKUP(C4002,parametros!$A$11:$E$15,5,0),""))</f>
        <v/>
      </c>
      <c r="F4002" s="335">
        <f>IF(OR(D4002="",E4002=""),"",ROUND(D4002*E4002,2))</f>
        <v/>
      </c>
      <c r="G4002" s="106" t="n"/>
      <c r="H4002" s="350">
        <f>IF(G4002="Sim",IF(OR(F4002="",D4002="",L4002=""),"",IF(L4002="Sim",ROUND(F4002-D4002,2),0)),0)</f>
        <v/>
      </c>
      <c r="I4002" s="350">
        <f>IF(G4002="Sim",0,IF(OR(F4002="",L4002=""),"",F4002))</f>
        <v/>
      </c>
      <c r="J4002" s="350">
        <f>IF(G4002="Sim",0,IF(OR(F4002="",D4002="",L4002=""),"",IF(L4002="Sim",ROUND(F4002-D4002,2),0)))</f>
        <v/>
      </c>
      <c r="K4002" s="97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inlineStr">
        <is>
          <t>Nao</t>
        </is>
      </c>
      <c r="W4002" s="110" t="inlineStr">
        <is>
          <t>PC em analise</t>
        </is>
      </c>
      <c r="X4002" s="110" t="inlineStr">
        <is>
          <t>Pedido de Compra</t>
        </is>
      </c>
      <c r="Y4002" s="111" t="inlineStr">
        <is>
          <t>Impacto Potencial</t>
        </is>
      </c>
      <c r="Z4002" s="111" t="inlineStr">
        <is>
          <t>PC</t>
        </is>
      </c>
      <c r="AA4002" s="111" t="inlineStr">
        <is>
          <t>Nao</t>
        </is>
      </c>
      <c r="AB4002" s="111" t="inlineStr">
        <is>
          <t>NAO_COMPUTADO</t>
        </is>
      </c>
      <c r="AC4002" s="112" t="inlineStr">
        <is>
          <t>Estrutura Fase 1: sem impacto no VTA oficial</t>
        </is>
      </c>
    </row>
    <row r="4003" ht="25.5" customHeight="1" s="289">
      <c r="A4003" s="205" t="n"/>
      <c r="B4003" s="207" t="n"/>
      <c r="C4003" s="104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348" t="n"/>
      <c r="E4003" s="349">
        <f>IF(C4003="","",IFERROR(VLOOKUP(C4003,parametros!$A$11:$E$15,5,0),""))</f>
        <v/>
      </c>
      <c r="F4003" s="335">
        <f>IF(OR(D4003="",E4003=""),"",ROUND(D4003*E4003,2))</f>
        <v/>
      </c>
      <c r="G4003" s="106" t="n"/>
      <c r="H4003" s="350">
        <f>IF(G4003="Sim",IF(OR(F4003="",D4003="",L4003=""),"",IF(L4003="Sim",ROUND(F4003-D4003,2),0)),0)</f>
        <v/>
      </c>
      <c r="I4003" s="350">
        <f>IF(G4003="Sim",0,IF(OR(F4003="",L4003=""),"",F4003))</f>
        <v/>
      </c>
      <c r="J4003" s="350">
        <f>IF(G4003="Sim",0,IF(OR(F4003="",D4003="",L4003=""),"",IF(L4003="Sim",ROUND(F4003-D4003,2),0)))</f>
        <v/>
      </c>
      <c r="K4003" s="97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inlineStr">
        <is>
          <t>Nao</t>
        </is>
      </c>
      <c r="W4003" s="110" t="inlineStr">
        <is>
          <t>PC em analise</t>
        </is>
      </c>
      <c r="X4003" s="110" t="inlineStr">
        <is>
          <t>Pedido de Compra</t>
        </is>
      </c>
      <c r="Y4003" s="111" t="inlineStr">
        <is>
          <t>Impacto Potencial</t>
        </is>
      </c>
      <c r="Z4003" s="111" t="inlineStr">
        <is>
          <t>PC</t>
        </is>
      </c>
      <c r="AA4003" s="111" t="inlineStr">
        <is>
          <t>Nao</t>
        </is>
      </c>
      <c r="AB4003" s="111" t="inlineStr">
        <is>
          <t>NAO_COMPUTADO</t>
        </is>
      </c>
      <c r="AC4003" s="112" t="inlineStr">
        <is>
          <t>Estrutura Fase 1: sem impacto no VTA oficial</t>
        </is>
      </c>
    </row>
    <row r="4004" ht="25.5" customHeight="1" s="289">
      <c r="A4004" s="205" t="n"/>
      <c r="B4004" s="207" t="n"/>
      <c r="C4004" s="104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348" t="n"/>
      <c r="E4004" s="349">
        <f>IF(C4004="","",IFERROR(VLOOKUP(C4004,parametros!$A$11:$E$15,5,0),""))</f>
        <v/>
      </c>
      <c r="F4004" s="335">
        <f>IF(OR(D4004="",E4004=""),"",ROUND(D4004*E4004,2))</f>
        <v/>
      </c>
      <c r="G4004" s="106" t="n"/>
      <c r="H4004" s="350">
        <f>IF(G4004="Sim",IF(OR(F4004="",D4004="",L4004=""),"",IF(L4004="Sim",ROUND(F4004-D4004,2),0)),0)</f>
        <v/>
      </c>
      <c r="I4004" s="350">
        <f>IF(G4004="Sim",0,IF(OR(F4004="",L4004=""),"",F4004))</f>
        <v/>
      </c>
      <c r="J4004" s="350">
        <f>IF(G4004="Sim",0,IF(OR(F4004="",D4004="",L4004=""),"",IF(L4004="Sim",ROUND(F4004-D4004,2),0)))</f>
        <v/>
      </c>
      <c r="K4004" s="97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inlineStr">
        <is>
          <t>Nao</t>
        </is>
      </c>
      <c r="W4004" s="110" t="inlineStr">
        <is>
          <t>PC em analise</t>
        </is>
      </c>
      <c r="X4004" s="110" t="inlineStr">
        <is>
          <t>Pedido de Compra</t>
        </is>
      </c>
      <c r="Y4004" s="111" t="inlineStr">
        <is>
          <t>Impacto Potencial</t>
        </is>
      </c>
      <c r="Z4004" s="111" t="inlineStr">
        <is>
          <t>PC</t>
        </is>
      </c>
      <c r="AA4004" s="111" t="inlineStr">
        <is>
          <t>Nao</t>
        </is>
      </c>
      <c r="AB4004" s="111" t="inlineStr">
        <is>
          <t>NAO_COMPUTADO</t>
        </is>
      </c>
      <c r="AC4004" s="112" t="inlineStr">
        <is>
          <t>Estrutura Fase 1: sem impacto no VTA oficial</t>
        </is>
      </c>
    </row>
    <row r="4005" ht="25.5" customHeight="1" s="289">
      <c r="A4005" s="205" t="n"/>
      <c r="B4005" s="207" t="n"/>
      <c r="C4005" s="104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348" t="n"/>
      <c r="E4005" s="349">
        <f>IF(C4005="","",IFERROR(VLOOKUP(C4005,parametros!$A$11:$E$15,5,0),""))</f>
        <v/>
      </c>
      <c r="F4005" s="335">
        <f>IF(OR(D4005="",E4005=""),"",ROUND(D4005*E4005,2))</f>
        <v/>
      </c>
      <c r="G4005" s="106" t="n"/>
      <c r="H4005" s="350">
        <f>IF(G4005="Sim",IF(OR(F4005="",D4005="",L4005=""),"",IF(L4005="Sim",ROUND(F4005-D4005,2),0)),0)</f>
        <v/>
      </c>
      <c r="I4005" s="350">
        <f>IF(G4005="Sim",0,IF(OR(F4005="",L4005=""),"",F4005))</f>
        <v/>
      </c>
      <c r="J4005" s="350">
        <f>IF(G4005="Sim",0,IF(OR(F4005="",D4005="",L4005=""),"",IF(L4005="Sim",ROUND(F4005-D4005,2),0)))</f>
        <v/>
      </c>
      <c r="K4005" s="97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inlineStr">
        <is>
          <t>Nao</t>
        </is>
      </c>
      <c r="W4005" s="110" t="inlineStr">
        <is>
          <t>PC em analise</t>
        </is>
      </c>
      <c r="X4005" s="110" t="inlineStr">
        <is>
          <t>Pedido de Compra</t>
        </is>
      </c>
      <c r="Y4005" s="111" t="inlineStr">
        <is>
          <t>Impacto Potencial</t>
        </is>
      </c>
      <c r="Z4005" s="111" t="inlineStr">
        <is>
          <t>PC</t>
        </is>
      </c>
      <c r="AA4005" s="111" t="inlineStr">
        <is>
          <t>Nao</t>
        </is>
      </c>
      <c r="AB4005" s="111" t="inlineStr">
        <is>
          <t>NAO_COMPUTADO</t>
        </is>
      </c>
      <c r="AC4005" s="112" t="inlineStr">
        <is>
          <t>Estrutura Fase 1: sem impacto no VTA oficial</t>
        </is>
      </c>
    </row>
    <row r="4006" ht="25.5" customHeight="1" s="289">
      <c r="A4006" s="205" t="n"/>
      <c r="B4006" s="207" t="n"/>
      <c r="C4006" s="104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348" t="n"/>
      <c r="E4006" s="349">
        <f>IF(C4006="","",IFERROR(VLOOKUP(C4006,parametros!$A$11:$E$15,5,0),""))</f>
        <v/>
      </c>
      <c r="F4006" s="335">
        <f>IF(OR(D4006="",E4006=""),"",ROUND(D4006*E4006,2))</f>
        <v/>
      </c>
      <c r="G4006" s="106" t="n"/>
      <c r="H4006" s="350">
        <f>IF(G4006="Sim",IF(OR(F4006="",D4006="",L4006=""),"",IF(L4006="Sim",ROUND(F4006-D4006,2),0)),0)</f>
        <v/>
      </c>
      <c r="I4006" s="350">
        <f>IF(G4006="Sim",0,IF(OR(F4006="",L4006=""),"",F4006))</f>
        <v/>
      </c>
      <c r="J4006" s="350">
        <f>IF(G4006="Sim",0,IF(OR(F4006="",D4006="",L4006=""),"",IF(L4006="Sim",ROUND(F4006-D4006,2),0)))</f>
        <v/>
      </c>
      <c r="K4006" s="97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inlineStr">
        <is>
          <t>Nao</t>
        </is>
      </c>
      <c r="W4006" s="110" t="inlineStr">
        <is>
          <t>PC em analise</t>
        </is>
      </c>
      <c r="X4006" s="110" t="inlineStr">
        <is>
          <t>Pedido de Compra</t>
        </is>
      </c>
      <c r="Y4006" s="111" t="inlineStr">
        <is>
          <t>Impacto Potencial</t>
        </is>
      </c>
      <c r="Z4006" s="111" t="inlineStr">
        <is>
          <t>PC</t>
        </is>
      </c>
      <c r="AA4006" s="111" t="inlineStr">
        <is>
          <t>Nao</t>
        </is>
      </c>
      <c r="AB4006" s="111" t="inlineStr">
        <is>
          <t>NAO_COMPUTADO</t>
        </is>
      </c>
      <c r="AC4006" s="112" t="inlineStr">
        <is>
          <t>Estrutura Fase 1: sem impacto no VTA oficial</t>
        </is>
      </c>
    </row>
    <row r="4007" ht="25.5" customHeight="1" s="289">
      <c r="A4007" s="205" t="n"/>
      <c r="B4007" s="207" t="n"/>
      <c r="C4007" s="104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348" t="n"/>
      <c r="E4007" s="349">
        <f>IF(C4007="","",IFERROR(VLOOKUP(C4007,parametros!$A$11:$E$15,5,0),""))</f>
        <v/>
      </c>
      <c r="F4007" s="335">
        <f>IF(OR(D4007="",E4007=""),"",ROUND(D4007*E4007,2))</f>
        <v/>
      </c>
      <c r="G4007" s="106" t="n"/>
      <c r="H4007" s="350">
        <f>IF(G4007="Sim",IF(OR(F4007="",D4007="",L4007=""),"",IF(L4007="Sim",ROUND(F4007-D4007,2),0)),0)</f>
        <v/>
      </c>
      <c r="I4007" s="350">
        <f>IF(G4007="Sim",0,IF(OR(F4007="",L4007=""),"",F4007))</f>
        <v/>
      </c>
      <c r="J4007" s="350">
        <f>IF(G4007="Sim",0,IF(OR(F4007="",D4007="",L4007=""),"",IF(L4007="Sim",ROUND(F4007-D4007,2),0)))</f>
        <v/>
      </c>
      <c r="K4007" s="97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inlineStr">
        <is>
          <t>Nao</t>
        </is>
      </c>
      <c r="W4007" s="110" t="inlineStr">
        <is>
          <t>PC em analise</t>
        </is>
      </c>
      <c r="X4007" s="110" t="inlineStr">
        <is>
          <t>Pedido de Compra</t>
        </is>
      </c>
      <c r="Y4007" s="111" t="inlineStr">
        <is>
          <t>Impacto Potencial</t>
        </is>
      </c>
      <c r="Z4007" s="111" t="inlineStr">
        <is>
          <t>PC</t>
        </is>
      </c>
      <c r="AA4007" s="111" t="inlineStr">
        <is>
          <t>Nao</t>
        </is>
      </c>
      <c r="AB4007" s="111" t="inlineStr">
        <is>
          <t>NAO_COMPUTADO</t>
        </is>
      </c>
      <c r="AC4007" s="112" t="inlineStr">
        <is>
          <t>Estrutura Fase 1: sem impacto no VTA oficial</t>
        </is>
      </c>
    </row>
    <row r="4008" ht="25.5" customHeight="1" s="289">
      <c r="A4008" s="205" t="n"/>
      <c r="B4008" s="207" t="n"/>
      <c r="C4008" s="104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348" t="n"/>
      <c r="E4008" s="349">
        <f>IF(C4008="","",IFERROR(VLOOKUP(C4008,parametros!$A$11:$E$15,5,0),""))</f>
        <v/>
      </c>
      <c r="F4008" s="335">
        <f>IF(OR(D4008="",E4008=""),"",ROUND(D4008*E4008,2))</f>
        <v/>
      </c>
      <c r="G4008" s="106" t="n"/>
      <c r="H4008" s="350">
        <f>IF(G4008="Sim",IF(OR(F4008="",D4008="",L4008=""),"",IF(L4008="Sim",ROUND(F4008-D4008,2),0)),0)</f>
        <v/>
      </c>
      <c r="I4008" s="350">
        <f>IF(G4008="Sim",0,IF(OR(F4008="",L4008=""),"",F4008))</f>
        <v/>
      </c>
      <c r="J4008" s="350">
        <f>IF(G4008="Sim",0,IF(OR(F4008="",D4008="",L4008=""),"",IF(L4008="Sim",ROUND(F4008-D4008,2),0)))</f>
        <v/>
      </c>
      <c r="K4008" s="97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inlineStr">
        <is>
          <t>Nao</t>
        </is>
      </c>
      <c r="W4008" s="110" t="inlineStr">
        <is>
          <t>PC em analise</t>
        </is>
      </c>
      <c r="X4008" s="110" t="inlineStr">
        <is>
          <t>Pedido de Compra</t>
        </is>
      </c>
      <c r="Y4008" s="111" t="inlineStr">
        <is>
          <t>Impacto Potencial</t>
        </is>
      </c>
      <c r="Z4008" s="111" t="inlineStr">
        <is>
          <t>PC</t>
        </is>
      </c>
      <c r="AA4008" s="111" t="inlineStr">
        <is>
          <t>Nao</t>
        </is>
      </c>
      <c r="AB4008" s="111" t="inlineStr">
        <is>
          <t>NAO_COMPUTADO</t>
        </is>
      </c>
      <c r="AC4008" s="112" t="inlineStr">
        <is>
          <t>Estrutura Fase 1: sem impacto no VTA oficial</t>
        </is>
      </c>
    </row>
    <row r="4009" ht="25.5" customHeight="1" s="289">
      <c r="A4009" s="205" t="n"/>
      <c r="B4009" s="207" t="n"/>
      <c r="C4009" s="104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348" t="n"/>
      <c r="E4009" s="349">
        <f>IF(C4009="","",IFERROR(VLOOKUP(C4009,parametros!$A$11:$E$15,5,0),""))</f>
        <v/>
      </c>
      <c r="F4009" s="335">
        <f>IF(OR(D4009="",E4009=""),"",ROUND(D4009*E4009,2))</f>
        <v/>
      </c>
      <c r="G4009" s="106" t="n"/>
      <c r="H4009" s="350">
        <f>IF(G4009="Sim",IF(OR(F4009="",D4009="",L4009=""),"",IF(L4009="Sim",ROUND(F4009-D4009,2),0)),0)</f>
        <v/>
      </c>
      <c r="I4009" s="350">
        <f>IF(G4009="Sim",0,IF(OR(F4009="",L4009=""),"",F4009))</f>
        <v/>
      </c>
      <c r="J4009" s="350">
        <f>IF(G4009="Sim",0,IF(OR(F4009="",D4009="",L4009=""),"",IF(L4009="Sim",ROUND(F4009-D4009,2),0)))</f>
        <v/>
      </c>
      <c r="K4009" s="97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inlineStr">
        <is>
          <t>Nao</t>
        </is>
      </c>
      <c r="W4009" s="110" t="inlineStr">
        <is>
          <t>PC em analise</t>
        </is>
      </c>
      <c r="X4009" s="110" t="inlineStr">
        <is>
          <t>Pedido de Compra</t>
        </is>
      </c>
      <c r="Y4009" s="111" t="inlineStr">
        <is>
          <t>Impacto Potencial</t>
        </is>
      </c>
      <c r="Z4009" s="111" t="inlineStr">
        <is>
          <t>PC</t>
        </is>
      </c>
      <c r="AA4009" s="111" t="inlineStr">
        <is>
          <t>Nao</t>
        </is>
      </c>
      <c r="AB4009" s="111" t="inlineStr">
        <is>
          <t>NAO_COMPUTADO</t>
        </is>
      </c>
      <c r="AC4009" s="112" t="inlineStr">
        <is>
          <t>Estrutura Fase 1: sem impacto no VTA oficial</t>
        </is>
      </c>
    </row>
    <row r="4010" ht="25.5" customHeight="1" s="289">
      <c r="A4010" s="205" t="n"/>
      <c r="B4010" s="207" t="n"/>
      <c r="C4010" s="104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348" t="n"/>
      <c r="E4010" s="349">
        <f>IF(C4010="","",IFERROR(VLOOKUP(C4010,parametros!$A$11:$E$15,5,0),""))</f>
        <v/>
      </c>
      <c r="F4010" s="335">
        <f>IF(OR(D4010="",E4010=""),"",ROUND(D4010*E4010,2))</f>
        <v/>
      </c>
      <c r="G4010" s="106" t="n"/>
      <c r="H4010" s="350">
        <f>IF(G4010="Sim",IF(OR(F4010="",D4010="",L4010=""),"",IF(L4010="Sim",ROUND(F4010-D4010,2),0)),0)</f>
        <v/>
      </c>
      <c r="I4010" s="350">
        <f>IF(G4010="Sim",0,IF(OR(F4010="",L4010=""),"",F4010))</f>
        <v/>
      </c>
      <c r="J4010" s="350">
        <f>IF(G4010="Sim",0,IF(OR(F4010="",D4010="",L4010=""),"",IF(L4010="Sim",ROUND(F4010-D4010,2),0)))</f>
        <v/>
      </c>
      <c r="K4010" s="97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inlineStr">
        <is>
          <t>Nao</t>
        </is>
      </c>
      <c r="W4010" s="110" t="inlineStr">
        <is>
          <t>PC em analise</t>
        </is>
      </c>
      <c r="X4010" s="110" t="inlineStr">
        <is>
          <t>Pedido de Compra</t>
        </is>
      </c>
      <c r="Y4010" s="111" t="inlineStr">
        <is>
          <t>Impacto Potencial</t>
        </is>
      </c>
      <c r="Z4010" s="111" t="inlineStr">
        <is>
          <t>PC</t>
        </is>
      </c>
      <c r="AA4010" s="111" t="inlineStr">
        <is>
          <t>Nao</t>
        </is>
      </c>
      <c r="AB4010" s="111" t="inlineStr">
        <is>
          <t>NAO_COMPUTADO</t>
        </is>
      </c>
      <c r="AC4010" s="112" t="inlineStr">
        <is>
          <t>Estrutura Fase 1: sem impacto no VTA oficial</t>
        </is>
      </c>
    </row>
    <row r="4011" ht="25.5" customHeight="1" s="289">
      <c r="A4011" s="205" t="n"/>
      <c r="B4011" s="207" t="n"/>
      <c r="C4011" s="104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348" t="n"/>
      <c r="E4011" s="349">
        <f>IF(C4011="","",IFERROR(VLOOKUP(C4011,parametros!$A$11:$E$15,5,0),""))</f>
        <v/>
      </c>
      <c r="F4011" s="335">
        <f>IF(OR(D4011="",E4011=""),"",ROUND(D4011*E4011,2))</f>
        <v/>
      </c>
      <c r="G4011" s="106" t="n"/>
      <c r="H4011" s="350">
        <f>IF(G4011="Sim",IF(OR(F4011="",D4011="",L4011=""),"",IF(L4011="Sim",ROUND(F4011-D4011,2),0)),0)</f>
        <v/>
      </c>
      <c r="I4011" s="350">
        <f>IF(G4011="Sim",0,IF(OR(F4011="",L4011=""),"",F4011))</f>
        <v/>
      </c>
      <c r="J4011" s="350">
        <f>IF(G4011="Sim",0,IF(OR(F4011="",D4011="",L4011=""),"",IF(L4011="Sim",ROUND(F4011-D4011,2),0)))</f>
        <v/>
      </c>
      <c r="K4011" s="97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inlineStr">
        <is>
          <t>Nao</t>
        </is>
      </c>
      <c r="W4011" s="110" t="inlineStr">
        <is>
          <t>PC em analise</t>
        </is>
      </c>
      <c r="X4011" s="110" t="inlineStr">
        <is>
          <t>Pedido de Compra</t>
        </is>
      </c>
      <c r="Y4011" s="111" t="inlineStr">
        <is>
          <t>Impacto Potencial</t>
        </is>
      </c>
      <c r="Z4011" s="111" t="inlineStr">
        <is>
          <t>PC</t>
        </is>
      </c>
      <c r="AA4011" s="111" t="inlineStr">
        <is>
          <t>Nao</t>
        </is>
      </c>
      <c r="AB4011" s="111" t="inlineStr">
        <is>
          <t>NAO_COMPUTADO</t>
        </is>
      </c>
      <c r="AC4011" s="112" t="inlineStr">
        <is>
          <t>Estrutura Fase 1: sem impacto no VTA oficial</t>
        </is>
      </c>
    </row>
    <row r="4012" ht="25.5" customHeight="1" s="289">
      <c r="A4012" s="205" t="n"/>
      <c r="B4012" s="207" t="n"/>
      <c r="C4012" s="104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348" t="n"/>
      <c r="E4012" s="349">
        <f>IF(C4012="","",IFERROR(VLOOKUP(C4012,parametros!$A$11:$E$15,5,0),""))</f>
        <v/>
      </c>
      <c r="F4012" s="335">
        <f>IF(OR(D4012="",E4012=""),"",ROUND(D4012*E4012,2))</f>
        <v/>
      </c>
      <c r="G4012" s="106" t="n"/>
      <c r="H4012" s="350">
        <f>IF(G4012="Sim",IF(OR(F4012="",D4012="",L4012=""),"",IF(L4012="Sim",ROUND(F4012-D4012,2),0)),0)</f>
        <v/>
      </c>
      <c r="I4012" s="350">
        <f>IF(G4012="Sim",0,IF(OR(F4012="",L4012=""),"",F4012))</f>
        <v/>
      </c>
      <c r="J4012" s="350">
        <f>IF(G4012="Sim",0,IF(OR(F4012="",D4012="",L4012=""),"",IF(L4012="Sim",ROUND(F4012-D4012,2),0)))</f>
        <v/>
      </c>
      <c r="K4012" s="97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inlineStr">
        <is>
          <t>Nao</t>
        </is>
      </c>
      <c r="W4012" s="110" t="inlineStr">
        <is>
          <t>PC em analise</t>
        </is>
      </c>
      <c r="X4012" s="110" t="inlineStr">
        <is>
          <t>Pedido de Compra</t>
        </is>
      </c>
      <c r="Y4012" s="111" t="inlineStr">
        <is>
          <t>Impacto Potencial</t>
        </is>
      </c>
      <c r="Z4012" s="111" t="inlineStr">
        <is>
          <t>PC</t>
        </is>
      </c>
      <c r="AA4012" s="111" t="inlineStr">
        <is>
          <t>Nao</t>
        </is>
      </c>
      <c r="AB4012" s="111" t="inlineStr">
        <is>
          <t>NAO_COMPUTADO</t>
        </is>
      </c>
      <c r="AC4012" s="112" t="inlineStr">
        <is>
          <t>Estrutura Fase 1: sem impacto no VTA oficial</t>
        </is>
      </c>
    </row>
    <row r="4013" ht="25.5" customHeight="1" s="289">
      <c r="A4013" s="205" t="n"/>
      <c r="B4013" s="207" t="n"/>
      <c r="C4013" s="104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348" t="n"/>
      <c r="E4013" s="349">
        <f>IF(C4013="","",IFERROR(VLOOKUP(C4013,parametros!$A$11:$E$15,5,0),""))</f>
        <v/>
      </c>
      <c r="F4013" s="335">
        <f>IF(OR(D4013="",E4013=""),"",ROUND(D4013*E4013,2))</f>
        <v/>
      </c>
      <c r="G4013" s="106" t="n"/>
      <c r="H4013" s="350">
        <f>IF(G4013="Sim",IF(OR(F4013="",D4013="",L4013=""),"",IF(L4013="Sim",ROUND(F4013-D4013,2),0)),0)</f>
        <v/>
      </c>
      <c r="I4013" s="350">
        <f>IF(G4013="Sim",0,IF(OR(F4013="",L4013=""),"",F4013))</f>
        <v/>
      </c>
      <c r="J4013" s="350">
        <f>IF(G4013="Sim",0,IF(OR(F4013="",D4013="",L4013=""),"",IF(L4013="Sim",ROUND(F4013-D4013,2),0)))</f>
        <v/>
      </c>
      <c r="K4013" s="97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inlineStr">
        <is>
          <t>Nao</t>
        </is>
      </c>
      <c r="W4013" s="110" t="inlineStr">
        <is>
          <t>PC em analise</t>
        </is>
      </c>
      <c r="X4013" s="110" t="inlineStr">
        <is>
          <t>Pedido de Compra</t>
        </is>
      </c>
      <c r="Y4013" s="111" t="inlineStr">
        <is>
          <t>Impacto Potencial</t>
        </is>
      </c>
      <c r="Z4013" s="111" t="inlineStr">
        <is>
          <t>PC</t>
        </is>
      </c>
      <c r="AA4013" s="111" t="inlineStr">
        <is>
          <t>Nao</t>
        </is>
      </c>
      <c r="AB4013" s="111" t="inlineStr">
        <is>
          <t>NAO_COMPUTADO</t>
        </is>
      </c>
      <c r="AC4013" s="112" t="inlineStr">
        <is>
          <t>Estrutura Fase 1: sem impacto no VTA oficial</t>
        </is>
      </c>
    </row>
    <row r="4014" ht="25.5" customHeight="1" s="289">
      <c r="A4014" s="205" t="n"/>
      <c r="B4014" s="207" t="n"/>
      <c r="C4014" s="104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348" t="n"/>
      <c r="E4014" s="349">
        <f>IF(C4014="","",IFERROR(VLOOKUP(C4014,parametros!$A$11:$E$15,5,0),""))</f>
        <v/>
      </c>
      <c r="F4014" s="335">
        <f>IF(OR(D4014="",E4014=""),"",ROUND(D4014*E4014,2))</f>
        <v/>
      </c>
      <c r="G4014" s="106" t="n"/>
      <c r="H4014" s="350">
        <f>IF(G4014="Sim",IF(OR(F4014="",D4014="",L4014=""),"",IF(L4014="Sim",ROUND(F4014-D4014,2),0)),0)</f>
        <v/>
      </c>
      <c r="I4014" s="350">
        <f>IF(G4014="Sim",0,IF(OR(F4014="",L4014=""),"",F4014))</f>
        <v/>
      </c>
      <c r="J4014" s="350">
        <f>IF(G4014="Sim",0,IF(OR(F4014="",D4014="",L4014=""),"",IF(L4014="Sim",ROUND(F4014-D4014,2),0)))</f>
        <v/>
      </c>
      <c r="K4014" s="97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inlineStr">
        <is>
          <t>Nao</t>
        </is>
      </c>
      <c r="W4014" s="110" t="inlineStr">
        <is>
          <t>PC em analise</t>
        </is>
      </c>
      <c r="X4014" s="110" t="inlineStr">
        <is>
          <t>Pedido de Compra</t>
        </is>
      </c>
      <c r="Y4014" s="111" t="inlineStr">
        <is>
          <t>Impacto Potencial</t>
        </is>
      </c>
      <c r="Z4014" s="111" t="inlineStr">
        <is>
          <t>PC</t>
        </is>
      </c>
      <c r="AA4014" s="111" t="inlineStr">
        <is>
          <t>Nao</t>
        </is>
      </c>
      <c r="AB4014" s="111" t="inlineStr">
        <is>
          <t>NAO_COMPUTADO</t>
        </is>
      </c>
      <c r="AC4014" s="112" t="inlineStr">
        <is>
          <t>Estrutura Fase 1: sem impacto no VTA oficial</t>
        </is>
      </c>
    </row>
    <row r="4015" ht="25.5" customHeight="1" s="289">
      <c r="A4015" s="205" t="n"/>
      <c r="B4015" s="207" t="n"/>
      <c r="C4015" s="104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348" t="n"/>
      <c r="E4015" s="349">
        <f>IF(C4015="","",IFERROR(VLOOKUP(C4015,parametros!$A$11:$E$15,5,0),""))</f>
        <v/>
      </c>
      <c r="F4015" s="335">
        <f>IF(OR(D4015="",E4015=""),"",ROUND(D4015*E4015,2))</f>
        <v/>
      </c>
      <c r="G4015" s="106" t="n"/>
      <c r="H4015" s="350">
        <f>IF(G4015="Sim",IF(OR(F4015="",D4015="",L4015=""),"",IF(L4015="Sim",ROUND(F4015-D4015,2),0)),0)</f>
        <v/>
      </c>
      <c r="I4015" s="350">
        <f>IF(G4015="Sim",0,IF(OR(F4015="",L4015=""),"",F4015))</f>
        <v/>
      </c>
      <c r="J4015" s="350">
        <f>IF(G4015="Sim",0,IF(OR(F4015="",D4015="",L4015=""),"",IF(L4015="Sim",ROUND(F4015-D4015,2),0)))</f>
        <v/>
      </c>
      <c r="K4015" s="97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inlineStr">
        <is>
          <t>Nao</t>
        </is>
      </c>
      <c r="W4015" s="110" t="inlineStr">
        <is>
          <t>PC em analise</t>
        </is>
      </c>
      <c r="X4015" s="110" t="inlineStr">
        <is>
          <t>Pedido de Compra</t>
        </is>
      </c>
      <c r="Y4015" s="111" t="inlineStr">
        <is>
          <t>Impacto Potencial</t>
        </is>
      </c>
      <c r="Z4015" s="111" t="inlineStr">
        <is>
          <t>PC</t>
        </is>
      </c>
      <c r="AA4015" s="111" t="inlineStr">
        <is>
          <t>Nao</t>
        </is>
      </c>
      <c r="AB4015" s="111" t="inlineStr">
        <is>
          <t>NAO_COMPUTADO</t>
        </is>
      </c>
      <c r="AC4015" s="112" t="inlineStr">
        <is>
          <t>Estrutura Fase 1: sem impacto no VTA oficial</t>
        </is>
      </c>
    </row>
    <row r="4016" ht="25.5" customHeight="1" s="289">
      <c r="A4016" s="205" t="n"/>
      <c r="B4016" s="207" t="n"/>
      <c r="C4016" s="104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348" t="n"/>
      <c r="E4016" s="349">
        <f>IF(C4016="","",IFERROR(VLOOKUP(C4016,parametros!$A$11:$E$15,5,0),""))</f>
        <v/>
      </c>
      <c r="F4016" s="335">
        <f>IF(OR(D4016="",E4016=""),"",ROUND(D4016*E4016,2))</f>
        <v/>
      </c>
      <c r="G4016" s="106" t="n"/>
      <c r="H4016" s="350">
        <f>IF(G4016="Sim",IF(OR(F4016="",D4016="",L4016=""),"",IF(L4016="Sim",ROUND(F4016-D4016,2),0)),0)</f>
        <v/>
      </c>
      <c r="I4016" s="350">
        <f>IF(G4016="Sim",0,IF(OR(F4016="",L4016=""),"",F4016))</f>
        <v/>
      </c>
      <c r="J4016" s="350">
        <f>IF(G4016="Sim",0,IF(OR(F4016="",D4016="",L4016=""),"",IF(L4016="Sim",ROUND(F4016-D4016,2),0)))</f>
        <v/>
      </c>
      <c r="K4016" s="97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inlineStr">
        <is>
          <t>Nao</t>
        </is>
      </c>
      <c r="W4016" s="110" t="inlineStr">
        <is>
          <t>PC em analise</t>
        </is>
      </c>
      <c r="X4016" s="110" t="inlineStr">
        <is>
          <t>Pedido de Compra</t>
        </is>
      </c>
      <c r="Y4016" s="111" t="inlineStr">
        <is>
          <t>Impacto Potencial</t>
        </is>
      </c>
      <c r="Z4016" s="111" t="inlineStr">
        <is>
          <t>PC</t>
        </is>
      </c>
      <c r="AA4016" s="111" t="inlineStr">
        <is>
          <t>Nao</t>
        </is>
      </c>
      <c r="AB4016" s="111" t="inlineStr">
        <is>
          <t>NAO_COMPUTADO</t>
        </is>
      </c>
      <c r="AC4016" s="112" t="inlineStr">
        <is>
          <t>Estrutura Fase 1: sem impacto no VTA oficial</t>
        </is>
      </c>
    </row>
    <row r="4017" ht="25.5" customHeight="1" s="289">
      <c r="A4017" s="205" t="n"/>
      <c r="B4017" s="207" t="n"/>
      <c r="C4017" s="104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348" t="n"/>
      <c r="E4017" s="349">
        <f>IF(C4017="","",IFERROR(VLOOKUP(C4017,parametros!$A$11:$E$15,5,0),""))</f>
        <v/>
      </c>
      <c r="F4017" s="335">
        <f>IF(OR(D4017="",E4017=""),"",ROUND(D4017*E4017,2))</f>
        <v/>
      </c>
      <c r="G4017" s="106" t="n"/>
      <c r="H4017" s="350">
        <f>IF(G4017="Sim",IF(OR(F4017="",D4017="",L4017=""),"",IF(L4017="Sim",ROUND(F4017-D4017,2),0)),0)</f>
        <v/>
      </c>
      <c r="I4017" s="350">
        <f>IF(G4017="Sim",0,IF(OR(F4017="",L4017=""),"",F4017))</f>
        <v/>
      </c>
      <c r="J4017" s="350">
        <f>IF(G4017="Sim",0,IF(OR(F4017="",D4017="",L4017=""),"",IF(L4017="Sim",ROUND(F4017-D4017,2),0)))</f>
        <v/>
      </c>
      <c r="K4017" s="97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inlineStr">
        <is>
          <t>Nao</t>
        </is>
      </c>
      <c r="W4017" s="110" t="inlineStr">
        <is>
          <t>PC em analise</t>
        </is>
      </c>
      <c r="X4017" s="110" t="inlineStr">
        <is>
          <t>Pedido de Compra</t>
        </is>
      </c>
      <c r="Y4017" s="111" t="inlineStr">
        <is>
          <t>Impacto Potencial</t>
        </is>
      </c>
      <c r="Z4017" s="111" t="inlineStr">
        <is>
          <t>PC</t>
        </is>
      </c>
      <c r="AA4017" s="111" t="inlineStr">
        <is>
          <t>Nao</t>
        </is>
      </c>
      <c r="AB4017" s="111" t="inlineStr">
        <is>
          <t>NAO_COMPUTADO</t>
        </is>
      </c>
      <c r="AC4017" s="112" t="inlineStr">
        <is>
          <t>Estrutura Fase 1: sem impacto no VTA oficial</t>
        </is>
      </c>
    </row>
    <row r="4018" ht="25.5" customHeight="1" s="289">
      <c r="A4018" s="205" t="n"/>
      <c r="B4018" s="207" t="n"/>
      <c r="C4018" s="104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348" t="n"/>
      <c r="E4018" s="349">
        <f>IF(C4018="","",IFERROR(VLOOKUP(C4018,parametros!$A$11:$E$15,5,0),""))</f>
        <v/>
      </c>
      <c r="F4018" s="335">
        <f>IF(OR(D4018="",E4018=""),"",ROUND(D4018*E4018,2))</f>
        <v/>
      </c>
      <c r="G4018" s="106" t="n"/>
      <c r="H4018" s="350">
        <f>IF(G4018="Sim",IF(OR(F4018="",D4018="",L4018=""),"",IF(L4018="Sim",ROUND(F4018-D4018,2),0)),0)</f>
        <v/>
      </c>
      <c r="I4018" s="350">
        <f>IF(G4018="Sim",0,IF(OR(F4018="",L4018=""),"",F4018))</f>
        <v/>
      </c>
      <c r="J4018" s="350">
        <f>IF(G4018="Sim",0,IF(OR(F4018="",D4018="",L4018=""),"",IF(L4018="Sim",ROUND(F4018-D4018,2),0)))</f>
        <v/>
      </c>
      <c r="K4018" s="97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inlineStr">
        <is>
          <t>Nao</t>
        </is>
      </c>
      <c r="W4018" s="110" t="inlineStr">
        <is>
          <t>PC em analise</t>
        </is>
      </c>
      <c r="X4018" s="110" t="inlineStr">
        <is>
          <t>Pedido de Compra</t>
        </is>
      </c>
      <c r="Y4018" s="111" t="inlineStr">
        <is>
          <t>Impacto Potencial</t>
        </is>
      </c>
      <c r="Z4018" s="111" t="inlineStr">
        <is>
          <t>PC</t>
        </is>
      </c>
      <c r="AA4018" s="111" t="inlineStr">
        <is>
          <t>Nao</t>
        </is>
      </c>
      <c r="AB4018" s="111" t="inlineStr">
        <is>
          <t>NAO_COMPUTADO</t>
        </is>
      </c>
      <c r="AC4018" s="112" t="inlineStr">
        <is>
          <t>Estrutura Fase 1: sem impacto no VTA oficial</t>
        </is>
      </c>
    </row>
    <row r="4019" ht="25.5" customHeight="1" s="289">
      <c r="A4019" s="205" t="n"/>
      <c r="B4019" s="207" t="n"/>
      <c r="C4019" s="104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348" t="n"/>
      <c r="E4019" s="349">
        <f>IF(C4019="","",IFERROR(VLOOKUP(C4019,parametros!$A$11:$E$15,5,0),""))</f>
        <v/>
      </c>
      <c r="F4019" s="335">
        <f>IF(OR(D4019="",E4019=""),"",ROUND(D4019*E4019,2))</f>
        <v/>
      </c>
      <c r="G4019" s="106" t="n"/>
      <c r="H4019" s="350">
        <f>IF(G4019="Sim",IF(OR(F4019="",D4019="",L4019=""),"",IF(L4019="Sim",ROUND(F4019-D4019,2),0)),0)</f>
        <v/>
      </c>
      <c r="I4019" s="350">
        <f>IF(G4019="Sim",0,IF(OR(F4019="",L4019=""),"",F4019))</f>
        <v/>
      </c>
      <c r="J4019" s="350">
        <f>IF(G4019="Sim",0,IF(OR(F4019="",D4019="",L4019=""),"",IF(L4019="Sim",ROUND(F4019-D4019,2),0)))</f>
        <v/>
      </c>
      <c r="K4019" s="97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inlineStr">
        <is>
          <t>Nao</t>
        </is>
      </c>
      <c r="W4019" s="110" t="inlineStr">
        <is>
          <t>PC em analise</t>
        </is>
      </c>
      <c r="X4019" s="110" t="inlineStr">
        <is>
          <t>Pedido de Compra</t>
        </is>
      </c>
      <c r="Y4019" s="111" t="inlineStr">
        <is>
          <t>Impacto Potencial</t>
        </is>
      </c>
      <c r="Z4019" s="111" t="inlineStr">
        <is>
          <t>PC</t>
        </is>
      </c>
      <c r="AA4019" s="111" t="inlineStr">
        <is>
          <t>Nao</t>
        </is>
      </c>
      <c r="AB4019" s="111" t="inlineStr">
        <is>
          <t>NAO_COMPUTADO</t>
        </is>
      </c>
      <c r="AC4019" s="112" t="inlineStr">
        <is>
          <t>Estrutura Fase 1: sem impacto no VTA oficial</t>
        </is>
      </c>
    </row>
    <row r="4020" ht="25.5" customHeight="1" s="289">
      <c r="A4020" s="205" t="n"/>
      <c r="B4020" s="207" t="n"/>
      <c r="C4020" s="104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348" t="n"/>
      <c r="E4020" s="349">
        <f>IF(C4020="","",IFERROR(VLOOKUP(C4020,parametros!$A$11:$E$15,5,0),""))</f>
        <v/>
      </c>
      <c r="F4020" s="335">
        <f>IF(OR(D4020="",E4020=""),"",ROUND(D4020*E4020,2))</f>
        <v/>
      </c>
      <c r="G4020" s="106" t="n"/>
      <c r="H4020" s="350">
        <f>IF(G4020="Sim",IF(OR(F4020="",D4020="",L4020=""),"",IF(L4020="Sim",ROUND(F4020-D4020,2),0)),0)</f>
        <v/>
      </c>
      <c r="I4020" s="350">
        <f>IF(G4020="Sim",0,IF(OR(F4020="",L4020=""),"",F4020))</f>
        <v/>
      </c>
      <c r="J4020" s="350">
        <f>IF(G4020="Sim",0,IF(OR(F4020="",D4020="",L4020=""),"",IF(L4020="Sim",ROUND(F4020-D4020,2),0)))</f>
        <v/>
      </c>
      <c r="K4020" s="97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inlineStr">
        <is>
          <t>Nao</t>
        </is>
      </c>
      <c r="W4020" s="110" t="inlineStr">
        <is>
          <t>PC em analise</t>
        </is>
      </c>
      <c r="X4020" s="110" t="inlineStr">
        <is>
          <t>Pedido de Compra</t>
        </is>
      </c>
      <c r="Y4020" s="111" t="inlineStr">
        <is>
          <t>Impacto Potencial</t>
        </is>
      </c>
      <c r="Z4020" s="111" t="inlineStr">
        <is>
          <t>PC</t>
        </is>
      </c>
      <c r="AA4020" s="111" t="inlineStr">
        <is>
          <t>Nao</t>
        </is>
      </c>
      <c r="AB4020" s="111" t="inlineStr">
        <is>
          <t>NAO_COMPUTADO</t>
        </is>
      </c>
      <c r="AC4020" s="112" t="inlineStr">
        <is>
          <t>Estrutura Fase 1: sem impacto no VTA oficial</t>
        </is>
      </c>
    </row>
    <row r="4021" ht="25.5" customHeight="1" s="289">
      <c r="A4021" s="205" t="n"/>
      <c r="B4021" s="207" t="n"/>
      <c r="C4021" s="104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348" t="n"/>
      <c r="E4021" s="349">
        <f>IF(C4021="","",IFERROR(VLOOKUP(C4021,parametros!$A$11:$E$15,5,0),""))</f>
        <v/>
      </c>
      <c r="F4021" s="335">
        <f>IF(OR(D4021="",E4021=""),"",ROUND(D4021*E4021,2))</f>
        <v/>
      </c>
      <c r="G4021" s="106" t="n"/>
      <c r="H4021" s="350">
        <f>IF(G4021="Sim",IF(OR(F4021="",D4021="",L4021=""),"",IF(L4021="Sim",ROUND(F4021-D4021,2),0)),0)</f>
        <v/>
      </c>
      <c r="I4021" s="350">
        <f>IF(G4021="Sim",0,IF(OR(F4021="",L4021=""),"",F4021))</f>
        <v/>
      </c>
      <c r="J4021" s="350">
        <f>IF(G4021="Sim",0,IF(OR(F4021="",D4021="",L4021=""),"",IF(L4021="Sim",ROUND(F4021-D4021,2),0)))</f>
        <v/>
      </c>
      <c r="K4021" s="97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inlineStr">
        <is>
          <t>Nao</t>
        </is>
      </c>
      <c r="W4021" s="110" t="inlineStr">
        <is>
          <t>PC em analise</t>
        </is>
      </c>
      <c r="X4021" s="110" t="inlineStr">
        <is>
          <t>Pedido de Compra</t>
        </is>
      </c>
      <c r="Y4021" s="111" t="inlineStr">
        <is>
          <t>Impacto Potencial</t>
        </is>
      </c>
      <c r="Z4021" s="111" t="inlineStr">
        <is>
          <t>PC</t>
        </is>
      </c>
      <c r="AA4021" s="111" t="inlineStr">
        <is>
          <t>Nao</t>
        </is>
      </c>
      <c r="AB4021" s="111" t="inlineStr">
        <is>
          <t>NAO_COMPUTADO</t>
        </is>
      </c>
      <c r="AC4021" s="112" t="inlineStr">
        <is>
          <t>Estrutura Fase 1: sem impacto no VTA oficial</t>
        </is>
      </c>
    </row>
    <row r="4022" ht="25.5" customHeight="1" s="289">
      <c r="A4022" s="205" t="n"/>
      <c r="B4022" s="207" t="n"/>
      <c r="C4022" s="104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348" t="n"/>
      <c r="E4022" s="349">
        <f>IF(C4022="","",IFERROR(VLOOKUP(C4022,parametros!$A$11:$E$15,5,0),""))</f>
        <v/>
      </c>
      <c r="F4022" s="335">
        <f>IF(OR(D4022="",E4022=""),"",ROUND(D4022*E4022,2))</f>
        <v/>
      </c>
      <c r="G4022" s="106" t="n"/>
      <c r="H4022" s="350">
        <f>IF(G4022="Sim",IF(OR(F4022="",D4022="",L4022=""),"",IF(L4022="Sim",ROUND(F4022-D4022,2),0)),0)</f>
        <v/>
      </c>
      <c r="I4022" s="350">
        <f>IF(G4022="Sim",0,IF(OR(F4022="",L4022=""),"",F4022))</f>
        <v/>
      </c>
      <c r="J4022" s="350">
        <f>IF(G4022="Sim",0,IF(OR(F4022="",D4022="",L4022=""),"",IF(L4022="Sim",ROUND(F4022-D4022,2),0)))</f>
        <v/>
      </c>
      <c r="K4022" s="97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inlineStr">
        <is>
          <t>Nao</t>
        </is>
      </c>
      <c r="W4022" s="110" t="inlineStr">
        <is>
          <t>PC em analise</t>
        </is>
      </c>
      <c r="X4022" s="110" t="inlineStr">
        <is>
          <t>Pedido de Compra</t>
        </is>
      </c>
      <c r="Y4022" s="111" t="inlineStr">
        <is>
          <t>Impacto Potencial</t>
        </is>
      </c>
      <c r="Z4022" s="111" t="inlineStr">
        <is>
          <t>PC</t>
        </is>
      </c>
      <c r="AA4022" s="111" t="inlineStr">
        <is>
          <t>Nao</t>
        </is>
      </c>
      <c r="AB4022" s="111" t="inlineStr">
        <is>
          <t>NAO_COMPUTADO</t>
        </is>
      </c>
      <c r="AC4022" s="112" t="inlineStr">
        <is>
          <t>Estrutura Fase 1: sem impacto no VTA oficial</t>
        </is>
      </c>
    </row>
    <row r="4023" ht="25.5" customHeight="1" s="289">
      <c r="A4023" s="205" t="n"/>
      <c r="B4023" s="207" t="n"/>
      <c r="C4023" s="104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348" t="n"/>
      <c r="E4023" s="349">
        <f>IF(C4023="","",IFERROR(VLOOKUP(C4023,parametros!$A$11:$E$15,5,0),""))</f>
        <v/>
      </c>
      <c r="F4023" s="335">
        <f>IF(OR(D4023="",E4023=""),"",ROUND(D4023*E4023,2))</f>
        <v/>
      </c>
      <c r="G4023" s="106" t="n"/>
      <c r="H4023" s="350">
        <f>IF(G4023="Sim",IF(OR(F4023="",D4023="",L4023=""),"",IF(L4023="Sim",ROUND(F4023-D4023,2),0)),0)</f>
        <v/>
      </c>
      <c r="I4023" s="350">
        <f>IF(G4023="Sim",0,IF(OR(F4023="",L4023=""),"",F4023))</f>
        <v/>
      </c>
      <c r="J4023" s="350">
        <f>IF(G4023="Sim",0,IF(OR(F4023="",D4023="",L4023=""),"",IF(L4023="Sim",ROUND(F4023-D4023,2),0)))</f>
        <v/>
      </c>
      <c r="K4023" s="97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inlineStr">
        <is>
          <t>Nao</t>
        </is>
      </c>
      <c r="W4023" s="110" t="inlineStr">
        <is>
          <t>PC em analise</t>
        </is>
      </c>
      <c r="X4023" s="110" t="inlineStr">
        <is>
          <t>Pedido de Compra</t>
        </is>
      </c>
      <c r="Y4023" s="111" t="inlineStr">
        <is>
          <t>Impacto Potencial</t>
        </is>
      </c>
      <c r="Z4023" s="111" t="inlineStr">
        <is>
          <t>PC</t>
        </is>
      </c>
      <c r="AA4023" s="111" t="inlineStr">
        <is>
          <t>Nao</t>
        </is>
      </c>
      <c r="AB4023" s="111" t="inlineStr">
        <is>
          <t>NAO_COMPUTADO</t>
        </is>
      </c>
      <c r="AC4023" s="112" t="inlineStr">
        <is>
          <t>Estrutura Fase 1: sem impacto no VTA oficial</t>
        </is>
      </c>
    </row>
    <row r="4024" ht="25.5" customHeight="1" s="289">
      <c r="A4024" s="205" t="n"/>
      <c r="B4024" s="207" t="n"/>
      <c r="C4024" s="104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348" t="n"/>
      <c r="E4024" s="349">
        <f>IF(C4024="","",IFERROR(VLOOKUP(C4024,parametros!$A$11:$E$15,5,0),""))</f>
        <v/>
      </c>
      <c r="F4024" s="335">
        <f>IF(OR(D4024="",E4024=""),"",ROUND(D4024*E4024,2))</f>
        <v/>
      </c>
      <c r="G4024" s="106" t="n"/>
      <c r="H4024" s="350">
        <f>IF(G4024="Sim",IF(OR(F4024="",D4024="",L4024=""),"",IF(L4024="Sim",ROUND(F4024-D4024,2),0)),0)</f>
        <v/>
      </c>
      <c r="I4024" s="350">
        <f>IF(G4024="Sim",0,IF(OR(F4024="",L4024=""),"",F4024))</f>
        <v/>
      </c>
      <c r="J4024" s="350">
        <f>IF(G4024="Sim",0,IF(OR(F4024="",D4024="",L4024=""),"",IF(L4024="Sim",ROUND(F4024-D4024,2),0)))</f>
        <v/>
      </c>
      <c r="K4024" s="97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inlineStr">
        <is>
          <t>Nao</t>
        </is>
      </c>
      <c r="W4024" s="110" t="inlineStr">
        <is>
          <t>PC em analise</t>
        </is>
      </c>
      <c r="X4024" s="110" t="inlineStr">
        <is>
          <t>Pedido de Compra</t>
        </is>
      </c>
      <c r="Y4024" s="111" t="inlineStr">
        <is>
          <t>Impacto Potencial</t>
        </is>
      </c>
      <c r="Z4024" s="111" t="inlineStr">
        <is>
          <t>PC</t>
        </is>
      </c>
      <c r="AA4024" s="111" t="inlineStr">
        <is>
          <t>Nao</t>
        </is>
      </c>
      <c r="AB4024" s="111" t="inlineStr">
        <is>
          <t>NAO_COMPUTADO</t>
        </is>
      </c>
      <c r="AC4024" s="112" t="inlineStr">
        <is>
          <t>Estrutura Fase 1: sem impacto no VTA oficial</t>
        </is>
      </c>
    </row>
    <row r="4025" ht="25.5" customHeight="1" s="289">
      <c r="A4025" s="205" t="n"/>
      <c r="B4025" s="207" t="n"/>
      <c r="C4025" s="104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348" t="n"/>
      <c r="E4025" s="349">
        <f>IF(C4025="","",IFERROR(VLOOKUP(C4025,parametros!$A$11:$E$15,5,0),""))</f>
        <v/>
      </c>
      <c r="F4025" s="335">
        <f>IF(OR(D4025="",E4025=""),"",ROUND(D4025*E4025,2))</f>
        <v/>
      </c>
      <c r="G4025" s="106" t="n"/>
      <c r="H4025" s="350">
        <f>IF(G4025="Sim",IF(OR(F4025="",D4025="",L4025=""),"",IF(L4025="Sim",ROUND(F4025-D4025,2),0)),0)</f>
        <v/>
      </c>
      <c r="I4025" s="350">
        <f>IF(G4025="Sim",0,IF(OR(F4025="",L4025=""),"",F4025))</f>
        <v/>
      </c>
      <c r="J4025" s="350">
        <f>IF(G4025="Sim",0,IF(OR(F4025="",D4025="",L4025=""),"",IF(L4025="Sim",ROUND(F4025-D4025,2),0)))</f>
        <v/>
      </c>
      <c r="K4025" s="97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inlineStr">
        <is>
          <t>Nao</t>
        </is>
      </c>
      <c r="W4025" s="110" t="inlineStr">
        <is>
          <t>PC em analise</t>
        </is>
      </c>
      <c r="X4025" s="110" t="inlineStr">
        <is>
          <t>Pedido de Compra</t>
        </is>
      </c>
      <c r="Y4025" s="111" t="inlineStr">
        <is>
          <t>Impacto Potencial</t>
        </is>
      </c>
      <c r="Z4025" s="111" t="inlineStr">
        <is>
          <t>PC</t>
        </is>
      </c>
      <c r="AA4025" s="111" t="inlineStr">
        <is>
          <t>Nao</t>
        </is>
      </c>
      <c r="AB4025" s="111" t="inlineStr">
        <is>
          <t>NAO_COMPUTADO</t>
        </is>
      </c>
      <c r="AC4025" s="112" t="inlineStr">
        <is>
          <t>Estrutura Fase 1: sem impacto no VTA oficial</t>
        </is>
      </c>
    </row>
    <row r="4026" ht="25.5" customHeight="1" s="289">
      <c r="A4026" s="205" t="n"/>
      <c r="B4026" s="207" t="n"/>
      <c r="C4026" s="104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348" t="n"/>
      <c r="E4026" s="349">
        <f>IF(C4026="","",IFERROR(VLOOKUP(C4026,parametros!$A$11:$E$15,5,0),""))</f>
        <v/>
      </c>
      <c r="F4026" s="335">
        <f>IF(OR(D4026="",E4026=""),"",ROUND(D4026*E4026,2))</f>
        <v/>
      </c>
      <c r="G4026" s="106" t="n"/>
      <c r="H4026" s="350">
        <f>IF(G4026="Sim",IF(OR(F4026="",D4026="",L4026=""),"",IF(L4026="Sim",ROUND(F4026-D4026,2),0)),0)</f>
        <v/>
      </c>
      <c r="I4026" s="350">
        <f>IF(G4026="Sim",0,IF(OR(F4026="",L4026=""),"",F4026))</f>
        <v/>
      </c>
      <c r="J4026" s="350">
        <f>IF(G4026="Sim",0,IF(OR(F4026="",D4026="",L4026=""),"",IF(L4026="Sim",ROUND(F4026-D4026,2),0)))</f>
        <v/>
      </c>
      <c r="K4026" s="97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inlineStr">
        <is>
          <t>Nao</t>
        </is>
      </c>
      <c r="W4026" s="110" t="inlineStr">
        <is>
          <t>PC em analise</t>
        </is>
      </c>
      <c r="X4026" s="110" t="inlineStr">
        <is>
          <t>Pedido de Compra</t>
        </is>
      </c>
      <c r="Y4026" s="111" t="inlineStr">
        <is>
          <t>Impacto Potencial</t>
        </is>
      </c>
      <c r="Z4026" s="111" t="inlineStr">
        <is>
          <t>PC</t>
        </is>
      </c>
      <c r="AA4026" s="111" t="inlineStr">
        <is>
          <t>Nao</t>
        </is>
      </c>
      <c r="AB4026" s="111" t="inlineStr">
        <is>
          <t>NAO_COMPUTADO</t>
        </is>
      </c>
      <c r="AC4026" s="112" t="inlineStr">
        <is>
          <t>Estrutura Fase 1: sem impacto no VTA oficial</t>
        </is>
      </c>
    </row>
    <row r="4027" ht="25.5" customHeight="1" s="289">
      <c r="A4027" s="205" t="n"/>
      <c r="B4027" s="207" t="n"/>
      <c r="C4027" s="104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348" t="n"/>
      <c r="E4027" s="349">
        <f>IF(C4027="","",IFERROR(VLOOKUP(C4027,parametros!$A$11:$E$15,5,0),""))</f>
        <v/>
      </c>
      <c r="F4027" s="335">
        <f>IF(OR(D4027="",E4027=""),"",ROUND(D4027*E4027,2))</f>
        <v/>
      </c>
      <c r="G4027" s="106" t="n"/>
      <c r="H4027" s="350">
        <f>IF(G4027="Sim",IF(OR(F4027="",D4027="",L4027=""),"",IF(L4027="Sim",ROUND(F4027-D4027,2),0)),0)</f>
        <v/>
      </c>
      <c r="I4027" s="350">
        <f>IF(G4027="Sim",0,IF(OR(F4027="",L4027=""),"",F4027))</f>
        <v/>
      </c>
      <c r="J4027" s="350">
        <f>IF(G4027="Sim",0,IF(OR(F4027="",D4027="",L4027=""),"",IF(L4027="Sim",ROUND(F4027-D4027,2),0)))</f>
        <v/>
      </c>
      <c r="K4027" s="97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inlineStr">
        <is>
          <t>Nao</t>
        </is>
      </c>
      <c r="W4027" s="110" t="inlineStr">
        <is>
          <t>PC em analise</t>
        </is>
      </c>
      <c r="X4027" s="110" t="inlineStr">
        <is>
          <t>Pedido de Compra</t>
        </is>
      </c>
      <c r="Y4027" s="111" t="inlineStr">
        <is>
          <t>Impacto Potencial</t>
        </is>
      </c>
      <c r="Z4027" s="111" t="inlineStr">
        <is>
          <t>PC</t>
        </is>
      </c>
      <c r="AA4027" s="111" t="inlineStr">
        <is>
          <t>Nao</t>
        </is>
      </c>
      <c r="AB4027" s="111" t="inlineStr">
        <is>
          <t>NAO_COMPUTADO</t>
        </is>
      </c>
      <c r="AC4027" s="112" t="inlineStr">
        <is>
          <t>Estrutura Fase 1: sem impacto no VTA oficial</t>
        </is>
      </c>
    </row>
    <row r="4028" ht="25.5" customHeight="1" s="289">
      <c r="A4028" s="205" t="n"/>
      <c r="B4028" s="207" t="n"/>
      <c r="C4028" s="104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348" t="n"/>
      <c r="E4028" s="349">
        <f>IF(C4028="","",IFERROR(VLOOKUP(C4028,parametros!$A$11:$E$15,5,0),""))</f>
        <v/>
      </c>
      <c r="F4028" s="335">
        <f>IF(OR(D4028="",E4028=""),"",ROUND(D4028*E4028,2))</f>
        <v/>
      </c>
      <c r="G4028" s="106" t="n"/>
      <c r="H4028" s="350">
        <f>IF(G4028="Sim",IF(OR(F4028="",D4028="",L4028=""),"",IF(L4028="Sim",ROUND(F4028-D4028,2),0)),0)</f>
        <v/>
      </c>
      <c r="I4028" s="350">
        <f>IF(G4028="Sim",0,IF(OR(F4028="",L4028=""),"",F4028))</f>
        <v/>
      </c>
      <c r="J4028" s="350">
        <f>IF(G4028="Sim",0,IF(OR(F4028="",D4028="",L4028=""),"",IF(L4028="Sim",ROUND(F4028-D4028,2),0)))</f>
        <v/>
      </c>
      <c r="K4028" s="97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inlineStr">
        <is>
          <t>Nao</t>
        </is>
      </c>
      <c r="W4028" s="110" t="inlineStr">
        <is>
          <t>PC em analise</t>
        </is>
      </c>
      <c r="X4028" s="110" t="inlineStr">
        <is>
          <t>Pedido de Compra</t>
        </is>
      </c>
      <c r="Y4028" s="111" t="inlineStr">
        <is>
          <t>Impacto Potencial</t>
        </is>
      </c>
      <c r="Z4028" s="111" t="inlineStr">
        <is>
          <t>PC</t>
        </is>
      </c>
      <c r="AA4028" s="111" t="inlineStr">
        <is>
          <t>Nao</t>
        </is>
      </c>
      <c r="AB4028" s="111" t="inlineStr">
        <is>
          <t>NAO_COMPUTADO</t>
        </is>
      </c>
      <c r="AC4028" s="112" t="inlineStr">
        <is>
          <t>Estrutura Fase 1: sem impacto no VTA oficial</t>
        </is>
      </c>
    </row>
    <row r="4029" ht="25.5" customHeight="1" s="289">
      <c r="A4029" s="205" t="n"/>
      <c r="B4029" s="207" t="n"/>
      <c r="C4029" s="104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348" t="n"/>
      <c r="E4029" s="349">
        <f>IF(C4029="","",IFERROR(VLOOKUP(C4029,parametros!$A$11:$E$15,5,0),""))</f>
        <v/>
      </c>
      <c r="F4029" s="335">
        <f>IF(OR(D4029="",E4029=""),"",ROUND(D4029*E4029,2))</f>
        <v/>
      </c>
      <c r="G4029" s="106" t="n"/>
      <c r="H4029" s="350">
        <f>IF(G4029="Sim",IF(OR(F4029="",D4029="",L4029=""),"",IF(L4029="Sim",ROUND(F4029-D4029,2),0)),0)</f>
        <v/>
      </c>
      <c r="I4029" s="350">
        <f>IF(G4029="Sim",0,IF(OR(F4029="",L4029=""),"",F4029))</f>
        <v/>
      </c>
      <c r="J4029" s="350">
        <f>IF(G4029="Sim",0,IF(OR(F4029="",D4029="",L4029=""),"",IF(L4029="Sim",ROUND(F4029-D4029,2),0)))</f>
        <v/>
      </c>
      <c r="K4029" s="97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inlineStr">
        <is>
          <t>Nao</t>
        </is>
      </c>
      <c r="W4029" s="110" t="inlineStr">
        <is>
          <t>PC em analise</t>
        </is>
      </c>
      <c r="X4029" s="110" t="inlineStr">
        <is>
          <t>Pedido de Compra</t>
        </is>
      </c>
      <c r="Y4029" s="111" t="inlineStr">
        <is>
          <t>Impacto Potencial</t>
        </is>
      </c>
      <c r="Z4029" s="111" t="inlineStr">
        <is>
          <t>PC</t>
        </is>
      </c>
      <c r="AA4029" s="111" t="inlineStr">
        <is>
          <t>Nao</t>
        </is>
      </c>
      <c r="AB4029" s="111" t="inlineStr">
        <is>
          <t>NAO_COMPUTADO</t>
        </is>
      </c>
      <c r="AC4029" s="112" t="inlineStr">
        <is>
          <t>Estrutura Fase 1: sem impacto no VTA oficial</t>
        </is>
      </c>
    </row>
    <row r="4030" ht="25.5" customHeight="1" s="289">
      <c r="A4030" s="205" t="n"/>
      <c r="B4030" s="207" t="n"/>
      <c r="C4030" s="104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348" t="n"/>
      <c r="E4030" s="349">
        <f>IF(C4030="","",IFERROR(VLOOKUP(C4030,parametros!$A$11:$E$15,5,0),""))</f>
        <v/>
      </c>
      <c r="F4030" s="335">
        <f>IF(OR(D4030="",E4030=""),"",ROUND(D4030*E4030,2))</f>
        <v/>
      </c>
      <c r="G4030" s="106" t="n"/>
      <c r="H4030" s="350">
        <f>IF(G4030="Sim",IF(OR(F4030="",D4030="",L4030=""),"",IF(L4030="Sim",ROUND(F4030-D4030,2),0)),0)</f>
        <v/>
      </c>
      <c r="I4030" s="350">
        <f>IF(G4030="Sim",0,IF(OR(F4030="",L4030=""),"",F4030))</f>
        <v/>
      </c>
      <c r="J4030" s="350">
        <f>IF(G4030="Sim",0,IF(OR(F4030="",D4030="",L4030=""),"",IF(L4030="Sim",ROUND(F4030-D4030,2),0)))</f>
        <v/>
      </c>
      <c r="K4030" s="97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inlineStr">
        <is>
          <t>Nao</t>
        </is>
      </c>
      <c r="W4030" s="110" t="inlineStr">
        <is>
          <t>PC em analise</t>
        </is>
      </c>
      <c r="X4030" s="110" t="inlineStr">
        <is>
          <t>Pedido de Compra</t>
        </is>
      </c>
      <c r="Y4030" s="111" t="inlineStr">
        <is>
          <t>Impacto Potencial</t>
        </is>
      </c>
      <c r="Z4030" s="111" t="inlineStr">
        <is>
          <t>PC</t>
        </is>
      </c>
      <c r="AA4030" s="111" t="inlineStr">
        <is>
          <t>Nao</t>
        </is>
      </c>
      <c r="AB4030" s="111" t="inlineStr">
        <is>
          <t>NAO_COMPUTADO</t>
        </is>
      </c>
      <c r="AC4030" s="112" t="inlineStr">
        <is>
          <t>Estrutura Fase 1: sem impacto no VTA oficial</t>
        </is>
      </c>
    </row>
    <row r="4031" ht="25.5" customHeight="1" s="289">
      <c r="A4031" s="205" t="n"/>
      <c r="B4031" s="207" t="n"/>
      <c r="C4031" s="104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348" t="n"/>
      <c r="E4031" s="349">
        <f>IF(C4031="","",IFERROR(VLOOKUP(C4031,parametros!$A$11:$E$15,5,0),""))</f>
        <v/>
      </c>
      <c r="F4031" s="335">
        <f>IF(OR(D4031="",E4031=""),"",ROUND(D4031*E4031,2))</f>
        <v/>
      </c>
      <c r="G4031" s="106" t="n"/>
      <c r="H4031" s="350">
        <f>IF(G4031="Sim",IF(OR(F4031="",D4031="",L4031=""),"",IF(L4031="Sim",ROUND(F4031-D4031,2),0)),0)</f>
        <v/>
      </c>
      <c r="I4031" s="350">
        <f>IF(G4031="Sim",0,IF(OR(F4031="",L4031=""),"",F4031))</f>
        <v/>
      </c>
      <c r="J4031" s="350">
        <f>IF(G4031="Sim",0,IF(OR(F4031="",D4031="",L4031=""),"",IF(L4031="Sim",ROUND(F4031-D4031,2),0)))</f>
        <v/>
      </c>
      <c r="K4031" s="97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inlineStr">
        <is>
          <t>Nao</t>
        </is>
      </c>
      <c r="W4031" s="110" t="inlineStr">
        <is>
          <t>PC em analise</t>
        </is>
      </c>
      <c r="X4031" s="110" t="inlineStr">
        <is>
          <t>Pedido de Compra</t>
        </is>
      </c>
      <c r="Y4031" s="111" t="inlineStr">
        <is>
          <t>Impacto Potencial</t>
        </is>
      </c>
      <c r="Z4031" s="111" t="inlineStr">
        <is>
          <t>PC</t>
        </is>
      </c>
      <c r="AA4031" s="111" t="inlineStr">
        <is>
          <t>Nao</t>
        </is>
      </c>
      <c r="AB4031" s="111" t="inlineStr">
        <is>
          <t>NAO_COMPUTADO</t>
        </is>
      </c>
      <c r="AC4031" s="112" t="inlineStr">
        <is>
          <t>Estrutura Fase 1: sem impacto no VTA oficial</t>
        </is>
      </c>
    </row>
    <row r="4032" ht="25.5" customHeight="1" s="289">
      <c r="A4032" s="205" t="n"/>
      <c r="B4032" s="207" t="n"/>
      <c r="C4032" s="104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348" t="n"/>
      <c r="E4032" s="349">
        <f>IF(C4032="","",IFERROR(VLOOKUP(C4032,parametros!$A$11:$E$15,5,0),""))</f>
        <v/>
      </c>
      <c r="F4032" s="335">
        <f>IF(OR(D4032="",E4032=""),"",ROUND(D4032*E4032,2))</f>
        <v/>
      </c>
      <c r="G4032" s="106" t="n"/>
      <c r="H4032" s="350">
        <f>IF(G4032="Sim",IF(OR(F4032="",D4032="",L4032=""),"",IF(L4032="Sim",ROUND(F4032-D4032,2),0)),0)</f>
        <v/>
      </c>
      <c r="I4032" s="350">
        <f>IF(G4032="Sim",0,IF(OR(F4032="",L4032=""),"",F4032))</f>
        <v/>
      </c>
      <c r="J4032" s="350">
        <f>IF(G4032="Sim",0,IF(OR(F4032="",D4032="",L4032=""),"",IF(L4032="Sim",ROUND(F4032-D4032,2),0)))</f>
        <v/>
      </c>
      <c r="K4032" s="97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inlineStr">
        <is>
          <t>Nao</t>
        </is>
      </c>
      <c r="W4032" s="110" t="inlineStr">
        <is>
          <t>PC em analise</t>
        </is>
      </c>
      <c r="X4032" s="110" t="inlineStr">
        <is>
          <t>Pedido de Compra</t>
        </is>
      </c>
      <c r="Y4032" s="111" t="inlineStr">
        <is>
          <t>Impacto Potencial</t>
        </is>
      </c>
      <c r="Z4032" s="111" t="inlineStr">
        <is>
          <t>PC</t>
        </is>
      </c>
      <c r="AA4032" s="111" t="inlineStr">
        <is>
          <t>Nao</t>
        </is>
      </c>
      <c r="AB4032" s="111" t="inlineStr">
        <is>
          <t>NAO_COMPUTADO</t>
        </is>
      </c>
      <c r="AC4032" s="112" t="inlineStr">
        <is>
          <t>Estrutura Fase 1: sem impacto no VTA oficial</t>
        </is>
      </c>
    </row>
    <row r="4033" ht="25.5" customHeight="1" s="289">
      <c r="A4033" s="205" t="n"/>
      <c r="B4033" s="207" t="n"/>
      <c r="C4033" s="104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348" t="n"/>
      <c r="E4033" s="349">
        <f>IF(C4033="","",IFERROR(VLOOKUP(C4033,parametros!$A$11:$E$15,5,0),""))</f>
        <v/>
      </c>
      <c r="F4033" s="335">
        <f>IF(OR(D4033="",E4033=""),"",ROUND(D4033*E4033,2))</f>
        <v/>
      </c>
      <c r="G4033" s="106" t="n"/>
      <c r="H4033" s="350">
        <f>IF(G4033="Sim",IF(OR(F4033="",D4033="",L4033=""),"",IF(L4033="Sim",ROUND(F4033-D4033,2),0)),0)</f>
        <v/>
      </c>
      <c r="I4033" s="350">
        <f>IF(G4033="Sim",0,IF(OR(F4033="",L4033=""),"",F4033))</f>
        <v/>
      </c>
      <c r="J4033" s="350">
        <f>IF(G4033="Sim",0,IF(OR(F4033="",D4033="",L4033=""),"",IF(L4033="Sim",ROUND(F4033-D4033,2),0)))</f>
        <v/>
      </c>
      <c r="K4033" s="97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inlineStr">
        <is>
          <t>Nao</t>
        </is>
      </c>
      <c r="W4033" s="110" t="inlineStr">
        <is>
          <t>PC em analise</t>
        </is>
      </c>
      <c r="X4033" s="110" t="inlineStr">
        <is>
          <t>Pedido de Compra</t>
        </is>
      </c>
      <c r="Y4033" s="111" t="inlineStr">
        <is>
          <t>Impacto Potencial</t>
        </is>
      </c>
      <c r="Z4033" s="111" t="inlineStr">
        <is>
          <t>PC</t>
        </is>
      </c>
      <c r="AA4033" s="111" t="inlineStr">
        <is>
          <t>Nao</t>
        </is>
      </c>
      <c r="AB4033" s="111" t="inlineStr">
        <is>
          <t>NAO_COMPUTADO</t>
        </is>
      </c>
      <c r="AC4033" s="112" t="inlineStr">
        <is>
          <t>Estrutura Fase 1: sem impacto no VTA oficial</t>
        </is>
      </c>
    </row>
    <row r="4034" ht="25.5" customHeight="1" s="289">
      <c r="A4034" s="205" t="n"/>
      <c r="B4034" s="207" t="n"/>
      <c r="C4034" s="104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348" t="n"/>
      <c r="E4034" s="349">
        <f>IF(C4034="","",IFERROR(VLOOKUP(C4034,parametros!$A$11:$E$15,5,0),""))</f>
        <v/>
      </c>
      <c r="F4034" s="335">
        <f>IF(OR(D4034="",E4034=""),"",ROUND(D4034*E4034,2))</f>
        <v/>
      </c>
      <c r="G4034" s="106" t="n"/>
      <c r="H4034" s="350">
        <f>IF(G4034="Sim",IF(OR(F4034="",D4034="",L4034=""),"",IF(L4034="Sim",ROUND(F4034-D4034,2),0)),0)</f>
        <v/>
      </c>
      <c r="I4034" s="350">
        <f>IF(G4034="Sim",0,IF(OR(F4034="",L4034=""),"",F4034))</f>
        <v/>
      </c>
      <c r="J4034" s="350">
        <f>IF(G4034="Sim",0,IF(OR(F4034="",D4034="",L4034=""),"",IF(L4034="Sim",ROUND(F4034-D4034,2),0)))</f>
        <v/>
      </c>
      <c r="K4034" s="97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inlineStr">
        <is>
          <t>Nao</t>
        </is>
      </c>
      <c r="W4034" s="110" t="inlineStr">
        <is>
          <t>PC em analise</t>
        </is>
      </c>
      <c r="X4034" s="110" t="inlineStr">
        <is>
          <t>Pedido de Compra</t>
        </is>
      </c>
      <c r="Y4034" s="111" t="inlineStr">
        <is>
          <t>Impacto Potencial</t>
        </is>
      </c>
      <c r="Z4034" s="111" t="inlineStr">
        <is>
          <t>PC</t>
        </is>
      </c>
      <c r="AA4034" s="111" t="inlineStr">
        <is>
          <t>Nao</t>
        </is>
      </c>
      <c r="AB4034" s="111" t="inlineStr">
        <is>
          <t>NAO_COMPUTADO</t>
        </is>
      </c>
      <c r="AC4034" s="112" t="inlineStr">
        <is>
          <t>Estrutura Fase 1: sem impacto no VTA oficial</t>
        </is>
      </c>
    </row>
    <row r="4035" ht="25.5" customHeight="1" s="289">
      <c r="A4035" s="205" t="n"/>
      <c r="B4035" s="207" t="n"/>
      <c r="C4035" s="104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348" t="n"/>
      <c r="E4035" s="349">
        <f>IF(C4035="","",IFERROR(VLOOKUP(C4035,parametros!$A$11:$E$15,5,0),""))</f>
        <v/>
      </c>
      <c r="F4035" s="335">
        <f>IF(OR(D4035="",E4035=""),"",ROUND(D4035*E4035,2))</f>
        <v/>
      </c>
      <c r="G4035" s="106" t="n"/>
      <c r="H4035" s="350">
        <f>IF(G4035="Sim",IF(OR(F4035="",D4035="",L4035=""),"",IF(L4035="Sim",ROUND(F4035-D4035,2),0)),0)</f>
        <v/>
      </c>
      <c r="I4035" s="350">
        <f>IF(G4035="Sim",0,IF(OR(F4035="",L4035=""),"",F4035))</f>
        <v/>
      </c>
      <c r="J4035" s="350">
        <f>IF(G4035="Sim",0,IF(OR(F4035="",D4035="",L4035=""),"",IF(L4035="Sim",ROUND(F4035-D4035,2),0)))</f>
        <v/>
      </c>
      <c r="K4035" s="97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inlineStr">
        <is>
          <t>Nao</t>
        </is>
      </c>
      <c r="W4035" s="110" t="inlineStr">
        <is>
          <t>PC em analise</t>
        </is>
      </c>
      <c r="X4035" s="110" t="inlineStr">
        <is>
          <t>Pedido de Compra</t>
        </is>
      </c>
      <c r="Y4035" s="111" t="inlineStr">
        <is>
          <t>Impacto Potencial</t>
        </is>
      </c>
      <c r="Z4035" s="111" t="inlineStr">
        <is>
          <t>PC</t>
        </is>
      </c>
      <c r="AA4035" s="111" t="inlineStr">
        <is>
          <t>Nao</t>
        </is>
      </c>
      <c r="AB4035" s="111" t="inlineStr">
        <is>
          <t>NAO_COMPUTADO</t>
        </is>
      </c>
      <c r="AC4035" s="112" t="inlineStr">
        <is>
          <t>Estrutura Fase 1: sem impacto no VTA oficial</t>
        </is>
      </c>
    </row>
    <row r="4036" ht="25.5" customHeight="1" s="289">
      <c r="A4036" s="205" t="n"/>
      <c r="B4036" s="207" t="n"/>
      <c r="C4036" s="104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348" t="n"/>
      <c r="E4036" s="349">
        <f>IF(C4036="","",IFERROR(VLOOKUP(C4036,parametros!$A$11:$E$15,5,0),""))</f>
        <v/>
      </c>
      <c r="F4036" s="335">
        <f>IF(OR(D4036="",E4036=""),"",ROUND(D4036*E4036,2))</f>
        <v/>
      </c>
      <c r="G4036" s="106" t="n"/>
      <c r="H4036" s="350">
        <f>IF(G4036="Sim",IF(OR(F4036="",D4036="",L4036=""),"",IF(L4036="Sim",ROUND(F4036-D4036,2),0)),0)</f>
        <v/>
      </c>
      <c r="I4036" s="350">
        <f>IF(G4036="Sim",0,IF(OR(F4036="",L4036=""),"",F4036))</f>
        <v/>
      </c>
      <c r="J4036" s="350">
        <f>IF(G4036="Sim",0,IF(OR(F4036="",D4036="",L4036=""),"",IF(L4036="Sim",ROUND(F4036-D4036,2),0)))</f>
        <v/>
      </c>
      <c r="K4036" s="97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inlineStr">
        <is>
          <t>Nao</t>
        </is>
      </c>
      <c r="W4036" s="110" t="inlineStr">
        <is>
          <t>PC em analise</t>
        </is>
      </c>
      <c r="X4036" s="110" t="inlineStr">
        <is>
          <t>Pedido de Compra</t>
        </is>
      </c>
      <c r="Y4036" s="111" t="inlineStr">
        <is>
          <t>Impacto Potencial</t>
        </is>
      </c>
      <c r="Z4036" s="111" t="inlineStr">
        <is>
          <t>PC</t>
        </is>
      </c>
      <c r="AA4036" s="111" t="inlineStr">
        <is>
          <t>Nao</t>
        </is>
      </c>
      <c r="AB4036" s="111" t="inlineStr">
        <is>
          <t>NAO_COMPUTADO</t>
        </is>
      </c>
      <c r="AC4036" s="112" t="inlineStr">
        <is>
          <t>Estrutura Fase 1: sem impacto no VTA oficial</t>
        </is>
      </c>
    </row>
    <row r="4037" ht="25.5" customHeight="1" s="289">
      <c r="A4037" s="205" t="n"/>
      <c r="B4037" s="207" t="n"/>
      <c r="C4037" s="104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348" t="n"/>
      <c r="E4037" s="349">
        <f>IF(C4037="","",IFERROR(VLOOKUP(C4037,parametros!$A$11:$E$15,5,0),""))</f>
        <v/>
      </c>
      <c r="F4037" s="335">
        <f>IF(OR(D4037="",E4037=""),"",ROUND(D4037*E4037,2))</f>
        <v/>
      </c>
      <c r="G4037" s="106" t="n"/>
      <c r="H4037" s="350">
        <f>IF(G4037="Sim",IF(OR(F4037="",D4037="",L4037=""),"",IF(L4037="Sim",ROUND(F4037-D4037,2),0)),0)</f>
        <v/>
      </c>
      <c r="I4037" s="350">
        <f>IF(G4037="Sim",0,IF(OR(F4037="",L4037=""),"",F4037))</f>
        <v/>
      </c>
      <c r="J4037" s="350">
        <f>IF(G4037="Sim",0,IF(OR(F4037="",D4037="",L4037=""),"",IF(L4037="Sim",ROUND(F4037-D4037,2),0)))</f>
        <v/>
      </c>
      <c r="K4037" s="97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inlineStr">
        <is>
          <t>Nao</t>
        </is>
      </c>
      <c r="W4037" s="110" t="inlineStr">
        <is>
          <t>PC em analise</t>
        </is>
      </c>
      <c r="X4037" s="110" t="inlineStr">
        <is>
          <t>Pedido de Compra</t>
        </is>
      </c>
      <c r="Y4037" s="111" t="inlineStr">
        <is>
          <t>Impacto Potencial</t>
        </is>
      </c>
      <c r="Z4037" s="111" t="inlineStr">
        <is>
          <t>PC</t>
        </is>
      </c>
      <c r="AA4037" s="111" t="inlineStr">
        <is>
          <t>Nao</t>
        </is>
      </c>
      <c r="AB4037" s="111" t="inlineStr">
        <is>
          <t>NAO_COMPUTADO</t>
        </is>
      </c>
      <c r="AC4037" s="112" t="inlineStr">
        <is>
          <t>Estrutura Fase 1: sem impacto no VTA oficial</t>
        </is>
      </c>
    </row>
    <row r="4038" ht="25.5" customHeight="1" s="289">
      <c r="A4038" s="205" t="n"/>
      <c r="B4038" s="207" t="n"/>
      <c r="C4038" s="104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348" t="n"/>
      <c r="E4038" s="349">
        <f>IF(C4038="","",IFERROR(VLOOKUP(C4038,parametros!$A$11:$E$15,5,0),""))</f>
        <v/>
      </c>
      <c r="F4038" s="335">
        <f>IF(OR(D4038="",E4038=""),"",ROUND(D4038*E4038,2))</f>
        <v/>
      </c>
      <c r="G4038" s="106" t="n"/>
      <c r="H4038" s="350">
        <f>IF(G4038="Sim",IF(OR(F4038="",D4038="",L4038=""),"",IF(L4038="Sim",ROUND(F4038-D4038,2),0)),0)</f>
        <v/>
      </c>
      <c r="I4038" s="350">
        <f>IF(G4038="Sim",0,IF(OR(F4038="",L4038=""),"",F4038))</f>
        <v/>
      </c>
      <c r="J4038" s="350">
        <f>IF(G4038="Sim",0,IF(OR(F4038="",D4038="",L4038=""),"",IF(L4038="Sim",ROUND(F4038-D4038,2),0)))</f>
        <v/>
      </c>
      <c r="K4038" s="97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inlineStr">
        <is>
          <t>Nao</t>
        </is>
      </c>
      <c r="W4038" s="110" t="inlineStr">
        <is>
          <t>PC em analise</t>
        </is>
      </c>
      <c r="X4038" s="110" t="inlineStr">
        <is>
          <t>Pedido de Compra</t>
        </is>
      </c>
      <c r="Y4038" s="111" t="inlineStr">
        <is>
          <t>Impacto Potencial</t>
        </is>
      </c>
      <c r="Z4038" s="111" t="inlineStr">
        <is>
          <t>PC</t>
        </is>
      </c>
      <c r="AA4038" s="111" t="inlineStr">
        <is>
          <t>Nao</t>
        </is>
      </c>
      <c r="AB4038" s="111" t="inlineStr">
        <is>
          <t>NAO_COMPUTADO</t>
        </is>
      </c>
      <c r="AC4038" s="112" t="inlineStr">
        <is>
          <t>Estrutura Fase 1: sem impacto no VTA oficial</t>
        </is>
      </c>
    </row>
    <row r="4039" ht="25.5" customHeight="1" s="289">
      <c r="A4039" s="205" t="n"/>
      <c r="B4039" s="207" t="n"/>
      <c r="C4039" s="104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348" t="n"/>
      <c r="E4039" s="349">
        <f>IF(C4039="","",IFERROR(VLOOKUP(C4039,parametros!$A$11:$E$15,5,0),""))</f>
        <v/>
      </c>
      <c r="F4039" s="335">
        <f>IF(OR(D4039="",E4039=""),"",ROUND(D4039*E4039,2))</f>
        <v/>
      </c>
      <c r="G4039" s="106" t="n"/>
      <c r="H4039" s="350">
        <f>IF(G4039="Sim",IF(OR(F4039="",D4039="",L4039=""),"",IF(L4039="Sim",ROUND(F4039-D4039,2),0)),0)</f>
        <v/>
      </c>
      <c r="I4039" s="350">
        <f>IF(G4039="Sim",0,IF(OR(F4039="",L4039=""),"",F4039))</f>
        <v/>
      </c>
      <c r="J4039" s="350">
        <f>IF(G4039="Sim",0,IF(OR(F4039="",D4039="",L4039=""),"",IF(L4039="Sim",ROUND(F4039-D4039,2),0)))</f>
        <v/>
      </c>
      <c r="K4039" s="97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inlineStr">
        <is>
          <t>Nao</t>
        </is>
      </c>
      <c r="W4039" s="110" t="inlineStr">
        <is>
          <t>PC em analise</t>
        </is>
      </c>
      <c r="X4039" s="110" t="inlineStr">
        <is>
          <t>Pedido de Compra</t>
        </is>
      </c>
      <c r="Y4039" s="111" t="inlineStr">
        <is>
          <t>Impacto Potencial</t>
        </is>
      </c>
      <c r="Z4039" s="111" t="inlineStr">
        <is>
          <t>PC</t>
        </is>
      </c>
      <c r="AA4039" s="111" t="inlineStr">
        <is>
          <t>Nao</t>
        </is>
      </c>
      <c r="AB4039" s="111" t="inlineStr">
        <is>
          <t>NAO_COMPUTADO</t>
        </is>
      </c>
      <c r="AC4039" s="112" t="inlineStr">
        <is>
          <t>Estrutura Fase 1: sem impacto no VTA oficial</t>
        </is>
      </c>
    </row>
    <row r="4040" ht="25.5" customHeight="1" s="289">
      <c r="A4040" s="205" t="n"/>
      <c r="B4040" s="207" t="n"/>
      <c r="C4040" s="104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348" t="n"/>
      <c r="E4040" s="349">
        <f>IF(C4040="","",IFERROR(VLOOKUP(C4040,parametros!$A$11:$E$15,5,0),""))</f>
        <v/>
      </c>
      <c r="F4040" s="335">
        <f>IF(OR(D4040="",E4040=""),"",ROUND(D4040*E4040,2))</f>
        <v/>
      </c>
      <c r="G4040" s="106" t="n"/>
      <c r="H4040" s="350">
        <f>IF(G4040="Sim",IF(OR(F4040="",D4040="",L4040=""),"",IF(L4040="Sim",ROUND(F4040-D4040,2),0)),0)</f>
        <v/>
      </c>
      <c r="I4040" s="350">
        <f>IF(G4040="Sim",0,IF(OR(F4040="",L4040=""),"",F4040))</f>
        <v/>
      </c>
      <c r="J4040" s="350">
        <f>IF(G4040="Sim",0,IF(OR(F4040="",D4040="",L4040=""),"",IF(L4040="Sim",ROUND(F4040-D4040,2),0)))</f>
        <v/>
      </c>
      <c r="K4040" s="97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inlineStr">
        <is>
          <t>Nao</t>
        </is>
      </c>
      <c r="W4040" s="110" t="inlineStr">
        <is>
          <t>PC em analise</t>
        </is>
      </c>
      <c r="X4040" s="110" t="inlineStr">
        <is>
          <t>Pedido de Compra</t>
        </is>
      </c>
      <c r="Y4040" s="111" t="inlineStr">
        <is>
          <t>Impacto Potencial</t>
        </is>
      </c>
      <c r="Z4040" s="111" t="inlineStr">
        <is>
          <t>PC</t>
        </is>
      </c>
      <c r="AA4040" s="111" t="inlineStr">
        <is>
          <t>Nao</t>
        </is>
      </c>
      <c r="AB4040" s="111" t="inlineStr">
        <is>
          <t>NAO_COMPUTADO</t>
        </is>
      </c>
      <c r="AC4040" s="112" t="inlineStr">
        <is>
          <t>Estrutura Fase 1: sem impacto no VTA oficial</t>
        </is>
      </c>
    </row>
    <row r="4041" ht="25.5" customHeight="1" s="289">
      <c r="A4041" s="205" t="n"/>
      <c r="B4041" s="207" t="n"/>
      <c r="C4041" s="104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348" t="n"/>
      <c r="E4041" s="349">
        <f>IF(C4041="","",IFERROR(VLOOKUP(C4041,parametros!$A$11:$E$15,5,0),""))</f>
        <v/>
      </c>
      <c r="F4041" s="335">
        <f>IF(OR(D4041="",E4041=""),"",ROUND(D4041*E4041,2))</f>
        <v/>
      </c>
      <c r="G4041" s="106" t="n"/>
      <c r="H4041" s="350">
        <f>IF(G4041="Sim",IF(OR(F4041="",D4041="",L4041=""),"",IF(L4041="Sim",ROUND(F4041-D4041,2),0)),0)</f>
        <v/>
      </c>
      <c r="I4041" s="350">
        <f>IF(G4041="Sim",0,IF(OR(F4041="",L4041=""),"",F4041))</f>
        <v/>
      </c>
      <c r="J4041" s="350">
        <f>IF(G4041="Sim",0,IF(OR(F4041="",D4041="",L4041=""),"",IF(L4041="Sim",ROUND(F4041-D4041,2),0)))</f>
        <v/>
      </c>
      <c r="K4041" s="97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inlineStr">
        <is>
          <t>Nao</t>
        </is>
      </c>
      <c r="W4041" s="110" t="inlineStr">
        <is>
          <t>PC em analise</t>
        </is>
      </c>
      <c r="X4041" s="110" t="inlineStr">
        <is>
          <t>Pedido de Compra</t>
        </is>
      </c>
      <c r="Y4041" s="111" t="inlineStr">
        <is>
          <t>Impacto Potencial</t>
        </is>
      </c>
      <c r="Z4041" s="111" t="inlineStr">
        <is>
          <t>PC</t>
        </is>
      </c>
      <c r="AA4041" s="111" t="inlineStr">
        <is>
          <t>Nao</t>
        </is>
      </c>
      <c r="AB4041" s="111" t="inlineStr">
        <is>
          <t>NAO_COMPUTADO</t>
        </is>
      </c>
      <c r="AC4041" s="112" t="inlineStr">
        <is>
          <t>Estrutura Fase 1: sem impacto no VTA oficial</t>
        </is>
      </c>
    </row>
    <row r="4042" ht="25.5" customHeight="1" s="289">
      <c r="A4042" s="205" t="n"/>
      <c r="B4042" s="207" t="n"/>
      <c r="C4042" s="104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348" t="n"/>
      <c r="E4042" s="349">
        <f>IF(C4042="","",IFERROR(VLOOKUP(C4042,parametros!$A$11:$E$15,5,0),""))</f>
        <v/>
      </c>
      <c r="F4042" s="335">
        <f>IF(OR(D4042="",E4042=""),"",ROUND(D4042*E4042,2))</f>
        <v/>
      </c>
      <c r="G4042" s="106" t="n"/>
      <c r="H4042" s="350">
        <f>IF(G4042="Sim",IF(OR(F4042="",D4042="",L4042=""),"",IF(L4042="Sim",ROUND(F4042-D4042,2),0)),0)</f>
        <v/>
      </c>
      <c r="I4042" s="350">
        <f>IF(G4042="Sim",0,IF(OR(F4042="",L4042=""),"",F4042))</f>
        <v/>
      </c>
      <c r="J4042" s="350">
        <f>IF(G4042="Sim",0,IF(OR(F4042="",D4042="",L4042=""),"",IF(L4042="Sim",ROUND(F4042-D4042,2),0)))</f>
        <v/>
      </c>
      <c r="K4042" s="97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inlineStr">
        <is>
          <t>Nao</t>
        </is>
      </c>
      <c r="W4042" s="110" t="inlineStr">
        <is>
          <t>PC em analise</t>
        </is>
      </c>
      <c r="X4042" s="110" t="inlineStr">
        <is>
          <t>Pedido de Compra</t>
        </is>
      </c>
      <c r="Y4042" s="111" t="inlineStr">
        <is>
          <t>Impacto Potencial</t>
        </is>
      </c>
      <c r="Z4042" s="111" t="inlineStr">
        <is>
          <t>PC</t>
        </is>
      </c>
      <c r="AA4042" s="111" t="inlineStr">
        <is>
          <t>Nao</t>
        </is>
      </c>
      <c r="AB4042" s="111" t="inlineStr">
        <is>
          <t>NAO_COMPUTADO</t>
        </is>
      </c>
      <c r="AC4042" s="112" t="inlineStr">
        <is>
          <t>Estrutura Fase 1: sem impacto no VTA oficial</t>
        </is>
      </c>
    </row>
    <row r="4043" ht="25.5" customHeight="1" s="289">
      <c r="A4043" s="205" t="n"/>
      <c r="B4043" s="207" t="n"/>
      <c r="C4043" s="104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348" t="n"/>
      <c r="E4043" s="349">
        <f>IF(C4043="","",IFERROR(VLOOKUP(C4043,parametros!$A$11:$E$15,5,0),""))</f>
        <v/>
      </c>
      <c r="F4043" s="335">
        <f>IF(OR(D4043="",E4043=""),"",ROUND(D4043*E4043,2))</f>
        <v/>
      </c>
      <c r="G4043" s="106" t="n"/>
      <c r="H4043" s="350">
        <f>IF(G4043="Sim",IF(OR(F4043="",D4043="",L4043=""),"",IF(L4043="Sim",ROUND(F4043-D4043,2),0)),0)</f>
        <v/>
      </c>
      <c r="I4043" s="350">
        <f>IF(G4043="Sim",0,IF(OR(F4043="",L4043=""),"",F4043))</f>
        <v/>
      </c>
      <c r="J4043" s="350">
        <f>IF(G4043="Sim",0,IF(OR(F4043="",D4043="",L4043=""),"",IF(L4043="Sim",ROUND(F4043-D4043,2),0)))</f>
        <v/>
      </c>
      <c r="K4043" s="97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inlineStr">
        <is>
          <t>Nao</t>
        </is>
      </c>
      <c r="W4043" s="110" t="inlineStr">
        <is>
          <t>PC em analise</t>
        </is>
      </c>
      <c r="X4043" s="110" t="inlineStr">
        <is>
          <t>Pedido de Compra</t>
        </is>
      </c>
      <c r="Y4043" s="111" t="inlineStr">
        <is>
          <t>Impacto Potencial</t>
        </is>
      </c>
      <c r="Z4043" s="111" t="inlineStr">
        <is>
          <t>PC</t>
        </is>
      </c>
      <c r="AA4043" s="111" t="inlineStr">
        <is>
          <t>Nao</t>
        </is>
      </c>
      <c r="AB4043" s="111" t="inlineStr">
        <is>
          <t>NAO_COMPUTADO</t>
        </is>
      </c>
      <c r="AC4043" s="112" t="inlineStr">
        <is>
          <t>Estrutura Fase 1: sem impacto no VTA oficial</t>
        </is>
      </c>
    </row>
    <row r="4044" ht="25.5" customHeight="1" s="289">
      <c r="A4044" s="205" t="n"/>
      <c r="B4044" s="207" t="n"/>
      <c r="C4044" s="104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348" t="n"/>
      <c r="E4044" s="349">
        <f>IF(C4044="","",IFERROR(VLOOKUP(C4044,parametros!$A$11:$E$15,5,0),""))</f>
        <v/>
      </c>
      <c r="F4044" s="335">
        <f>IF(OR(D4044="",E4044=""),"",ROUND(D4044*E4044,2))</f>
        <v/>
      </c>
      <c r="G4044" s="106" t="n"/>
      <c r="H4044" s="350">
        <f>IF(G4044="Sim",IF(OR(F4044="",D4044="",L4044=""),"",IF(L4044="Sim",ROUND(F4044-D4044,2),0)),0)</f>
        <v/>
      </c>
      <c r="I4044" s="350">
        <f>IF(G4044="Sim",0,IF(OR(F4044="",L4044=""),"",F4044))</f>
        <v/>
      </c>
      <c r="J4044" s="350">
        <f>IF(G4044="Sim",0,IF(OR(F4044="",D4044="",L4044=""),"",IF(L4044="Sim",ROUND(F4044-D4044,2),0)))</f>
        <v/>
      </c>
      <c r="K4044" s="97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inlineStr">
        <is>
          <t>Nao</t>
        </is>
      </c>
      <c r="W4044" s="110" t="inlineStr">
        <is>
          <t>PC em analise</t>
        </is>
      </c>
      <c r="X4044" s="110" t="inlineStr">
        <is>
          <t>Pedido de Compra</t>
        </is>
      </c>
      <c r="Y4044" s="111" t="inlineStr">
        <is>
          <t>Impacto Potencial</t>
        </is>
      </c>
      <c r="Z4044" s="111" t="inlineStr">
        <is>
          <t>PC</t>
        </is>
      </c>
      <c r="AA4044" s="111" t="inlineStr">
        <is>
          <t>Nao</t>
        </is>
      </c>
      <c r="AB4044" s="111" t="inlineStr">
        <is>
          <t>NAO_COMPUTADO</t>
        </is>
      </c>
      <c r="AC4044" s="112" t="inlineStr">
        <is>
          <t>Estrutura Fase 1: sem impacto no VTA oficial</t>
        </is>
      </c>
    </row>
    <row r="4045" ht="25.5" customHeight="1" s="289">
      <c r="A4045" s="205" t="n"/>
      <c r="B4045" s="207" t="n"/>
      <c r="C4045" s="104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348" t="n"/>
      <c r="E4045" s="349">
        <f>IF(C4045="","",IFERROR(VLOOKUP(C4045,parametros!$A$11:$E$15,5,0),""))</f>
        <v/>
      </c>
      <c r="F4045" s="335">
        <f>IF(OR(D4045="",E4045=""),"",ROUND(D4045*E4045,2))</f>
        <v/>
      </c>
      <c r="G4045" s="106" t="n"/>
      <c r="H4045" s="350">
        <f>IF(G4045="Sim",IF(OR(F4045="",D4045="",L4045=""),"",IF(L4045="Sim",ROUND(F4045-D4045,2),0)),0)</f>
        <v/>
      </c>
      <c r="I4045" s="350">
        <f>IF(G4045="Sim",0,IF(OR(F4045="",L4045=""),"",F4045))</f>
        <v/>
      </c>
      <c r="J4045" s="350">
        <f>IF(G4045="Sim",0,IF(OR(F4045="",D4045="",L4045=""),"",IF(L4045="Sim",ROUND(F4045-D4045,2),0)))</f>
        <v/>
      </c>
      <c r="K4045" s="97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inlineStr">
        <is>
          <t>Nao</t>
        </is>
      </c>
      <c r="W4045" s="110" t="inlineStr">
        <is>
          <t>PC em analise</t>
        </is>
      </c>
      <c r="X4045" s="110" t="inlineStr">
        <is>
          <t>Pedido de Compra</t>
        </is>
      </c>
      <c r="Y4045" s="111" t="inlineStr">
        <is>
          <t>Impacto Potencial</t>
        </is>
      </c>
      <c r="Z4045" s="111" t="inlineStr">
        <is>
          <t>PC</t>
        </is>
      </c>
      <c r="AA4045" s="111" t="inlineStr">
        <is>
          <t>Nao</t>
        </is>
      </c>
      <c r="AB4045" s="111" t="inlineStr">
        <is>
          <t>NAO_COMPUTADO</t>
        </is>
      </c>
      <c r="AC4045" s="112" t="inlineStr">
        <is>
          <t>Estrutura Fase 1: sem impacto no VTA oficial</t>
        </is>
      </c>
    </row>
    <row r="4046" ht="25.5" customHeight="1" s="289">
      <c r="A4046" s="205" t="n"/>
      <c r="B4046" s="207" t="n"/>
      <c r="C4046" s="104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348" t="n"/>
      <c r="E4046" s="349">
        <f>IF(C4046="","",IFERROR(VLOOKUP(C4046,parametros!$A$11:$E$15,5,0),""))</f>
        <v/>
      </c>
      <c r="F4046" s="335">
        <f>IF(OR(D4046="",E4046=""),"",ROUND(D4046*E4046,2))</f>
        <v/>
      </c>
      <c r="G4046" s="106" t="n"/>
      <c r="H4046" s="350">
        <f>IF(G4046="Sim",IF(OR(F4046="",D4046="",L4046=""),"",IF(L4046="Sim",ROUND(F4046-D4046,2),0)),0)</f>
        <v/>
      </c>
      <c r="I4046" s="350">
        <f>IF(G4046="Sim",0,IF(OR(F4046="",L4046=""),"",F4046))</f>
        <v/>
      </c>
      <c r="J4046" s="350">
        <f>IF(G4046="Sim",0,IF(OR(F4046="",D4046="",L4046=""),"",IF(L4046="Sim",ROUND(F4046-D4046,2),0)))</f>
        <v/>
      </c>
      <c r="K4046" s="97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inlineStr">
        <is>
          <t>Nao</t>
        </is>
      </c>
      <c r="W4046" s="110" t="inlineStr">
        <is>
          <t>PC em analise</t>
        </is>
      </c>
      <c r="X4046" s="110" t="inlineStr">
        <is>
          <t>Pedido de Compra</t>
        </is>
      </c>
      <c r="Y4046" s="111" t="inlineStr">
        <is>
          <t>Impacto Potencial</t>
        </is>
      </c>
      <c r="Z4046" s="111" t="inlineStr">
        <is>
          <t>PC</t>
        </is>
      </c>
      <c r="AA4046" s="111" t="inlineStr">
        <is>
          <t>Nao</t>
        </is>
      </c>
      <c r="AB4046" s="111" t="inlineStr">
        <is>
          <t>NAO_COMPUTADO</t>
        </is>
      </c>
      <c r="AC4046" s="112" t="inlineStr">
        <is>
          <t>Estrutura Fase 1: sem impacto no VTA oficial</t>
        </is>
      </c>
    </row>
    <row r="4047" ht="25.5" customHeight="1" s="289">
      <c r="A4047" s="205" t="n"/>
      <c r="B4047" s="207" t="n"/>
      <c r="C4047" s="104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348" t="n"/>
      <c r="E4047" s="349">
        <f>IF(C4047="","",IFERROR(VLOOKUP(C4047,parametros!$A$11:$E$15,5,0),""))</f>
        <v/>
      </c>
      <c r="F4047" s="335">
        <f>IF(OR(D4047="",E4047=""),"",ROUND(D4047*E4047,2))</f>
        <v/>
      </c>
      <c r="G4047" s="106" t="n"/>
      <c r="H4047" s="350">
        <f>IF(G4047="Sim",IF(OR(F4047="",D4047="",L4047=""),"",IF(L4047="Sim",ROUND(F4047-D4047,2),0)),0)</f>
        <v/>
      </c>
      <c r="I4047" s="350">
        <f>IF(G4047="Sim",0,IF(OR(F4047="",L4047=""),"",F4047))</f>
        <v/>
      </c>
      <c r="J4047" s="350">
        <f>IF(G4047="Sim",0,IF(OR(F4047="",D4047="",L4047=""),"",IF(L4047="Sim",ROUND(F4047-D4047,2),0)))</f>
        <v/>
      </c>
      <c r="K4047" s="97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inlineStr">
        <is>
          <t>Nao</t>
        </is>
      </c>
      <c r="W4047" s="110" t="inlineStr">
        <is>
          <t>PC em analise</t>
        </is>
      </c>
      <c r="X4047" s="110" t="inlineStr">
        <is>
          <t>Pedido de Compra</t>
        </is>
      </c>
      <c r="Y4047" s="111" t="inlineStr">
        <is>
          <t>Impacto Potencial</t>
        </is>
      </c>
      <c r="Z4047" s="111" t="inlineStr">
        <is>
          <t>PC</t>
        </is>
      </c>
      <c r="AA4047" s="111" t="inlineStr">
        <is>
          <t>Nao</t>
        </is>
      </c>
      <c r="AB4047" s="111" t="inlineStr">
        <is>
          <t>NAO_COMPUTADO</t>
        </is>
      </c>
      <c r="AC4047" s="112" t="inlineStr">
        <is>
          <t>Estrutura Fase 1: sem impacto no VTA oficial</t>
        </is>
      </c>
    </row>
    <row r="4048" ht="25.5" customHeight="1" s="289">
      <c r="A4048" s="205" t="n"/>
      <c r="B4048" s="207" t="n"/>
      <c r="C4048" s="104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348" t="n"/>
      <c r="E4048" s="349">
        <f>IF(C4048="","",IFERROR(VLOOKUP(C4048,parametros!$A$11:$E$15,5,0),""))</f>
        <v/>
      </c>
      <c r="F4048" s="335">
        <f>IF(OR(D4048="",E4048=""),"",ROUND(D4048*E4048,2))</f>
        <v/>
      </c>
      <c r="G4048" s="106" t="n"/>
      <c r="H4048" s="350">
        <f>IF(G4048="Sim",IF(OR(F4048="",D4048="",L4048=""),"",IF(L4048="Sim",ROUND(F4048-D4048,2),0)),0)</f>
        <v/>
      </c>
      <c r="I4048" s="350">
        <f>IF(G4048="Sim",0,IF(OR(F4048="",L4048=""),"",F4048))</f>
        <v/>
      </c>
      <c r="J4048" s="350">
        <f>IF(G4048="Sim",0,IF(OR(F4048="",D4048="",L4048=""),"",IF(L4048="Sim",ROUND(F4048-D4048,2),0)))</f>
        <v/>
      </c>
      <c r="K4048" s="97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inlineStr">
        <is>
          <t>Nao</t>
        </is>
      </c>
      <c r="W4048" s="110" t="inlineStr">
        <is>
          <t>PC em analise</t>
        </is>
      </c>
      <c r="X4048" s="110" t="inlineStr">
        <is>
          <t>Pedido de Compra</t>
        </is>
      </c>
      <c r="Y4048" s="111" t="inlineStr">
        <is>
          <t>Impacto Potencial</t>
        </is>
      </c>
      <c r="Z4048" s="111" t="inlineStr">
        <is>
          <t>PC</t>
        </is>
      </c>
      <c r="AA4048" s="111" t="inlineStr">
        <is>
          <t>Nao</t>
        </is>
      </c>
      <c r="AB4048" s="111" t="inlineStr">
        <is>
          <t>NAO_COMPUTADO</t>
        </is>
      </c>
      <c r="AC4048" s="112" t="inlineStr">
        <is>
          <t>Estrutura Fase 1: sem impacto no VTA oficial</t>
        </is>
      </c>
    </row>
    <row r="4049" ht="25.5" customHeight="1" s="289">
      <c r="A4049" s="205" t="n"/>
      <c r="B4049" s="207" t="n"/>
      <c r="C4049" s="104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348" t="n"/>
      <c r="E4049" s="349">
        <f>IF(C4049="","",IFERROR(VLOOKUP(C4049,parametros!$A$11:$E$15,5,0),""))</f>
        <v/>
      </c>
      <c r="F4049" s="335">
        <f>IF(OR(D4049="",E4049=""),"",ROUND(D4049*E4049,2))</f>
        <v/>
      </c>
      <c r="G4049" s="106" t="n"/>
      <c r="H4049" s="350">
        <f>IF(G4049="Sim",IF(OR(F4049="",D4049="",L4049=""),"",IF(L4049="Sim",ROUND(F4049-D4049,2),0)),0)</f>
        <v/>
      </c>
      <c r="I4049" s="350">
        <f>IF(G4049="Sim",0,IF(OR(F4049="",L4049=""),"",F4049))</f>
        <v/>
      </c>
      <c r="J4049" s="350">
        <f>IF(G4049="Sim",0,IF(OR(F4049="",D4049="",L4049=""),"",IF(L4049="Sim",ROUND(F4049-D4049,2),0)))</f>
        <v/>
      </c>
      <c r="K4049" s="97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inlineStr">
        <is>
          <t>Nao</t>
        </is>
      </c>
      <c r="W4049" s="110" t="inlineStr">
        <is>
          <t>PC em analise</t>
        </is>
      </c>
      <c r="X4049" s="110" t="inlineStr">
        <is>
          <t>Pedido de Compra</t>
        </is>
      </c>
      <c r="Y4049" s="111" t="inlineStr">
        <is>
          <t>Impacto Potencial</t>
        </is>
      </c>
      <c r="Z4049" s="111" t="inlineStr">
        <is>
          <t>PC</t>
        </is>
      </c>
      <c r="AA4049" s="111" t="inlineStr">
        <is>
          <t>Nao</t>
        </is>
      </c>
      <c r="AB4049" s="111" t="inlineStr">
        <is>
          <t>NAO_COMPUTADO</t>
        </is>
      </c>
      <c r="AC4049" s="112" t="inlineStr">
        <is>
          <t>Estrutura Fase 1: sem impacto no VTA oficial</t>
        </is>
      </c>
    </row>
    <row r="4050" ht="25.5" customHeight="1" s="289">
      <c r="A4050" s="205" t="n"/>
      <c r="B4050" s="207" t="n"/>
      <c r="C4050" s="104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348" t="n"/>
      <c r="E4050" s="349">
        <f>IF(C4050="","",IFERROR(VLOOKUP(C4050,parametros!$A$11:$E$15,5,0),""))</f>
        <v/>
      </c>
      <c r="F4050" s="335">
        <f>IF(OR(D4050="",E4050=""),"",ROUND(D4050*E4050,2))</f>
        <v/>
      </c>
      <c r="G4050" s="106" t="n"/>
      <c r="H4050" s="350">
        <f>IF(G4050="Sim",IF(OR(F4050="",D4050="",L4050=""),"",IF(L4050="Sim",ROUND(F4050-D4050,2),0)),0)</f>
        <v/>
      </c>
      <c r="I4050" s="350">
        <f>IF(G4050="Sim",0,IF(OR(F4050="",L4050=""),"",F4050))</f>
        <v/>
      </c>
      <c r="J4050" s="350">
        <f>IF(G4050="Sim",0,IF(OR(F4050="",D4050="",L4050=""),"",IF(L4050="Sim",ROUND(F4050-D4050,2),0)))</f>
        <v/>
      </c>
      <c r="K4050" s="97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inlineStr">
        <is>
          <t>Nao</t>
        </is>
      </c>
      <c r="W4050" s="110" t="inlineStr">
        <is>
          <t>PC em analise</t>
        </is>
      </c>
      <c r="X4050" s="110" t="inlineStr">
        <is>
          <t>Pedido de Compra</t>
        </is>
      </c>
      <c r="Y4050" s="111" t="inlineStr">
        <is>
          <t>Impacto Potencial</t>
        </is>
      </c>
      <c r="Z4050" s="111" t="inlineStr">
        <is>
          <t>PC</t>
        </is>
      </c>
      <c r="AA4050" s="111" t="inlineStr">
        <is>
          <t>Nao</t>
        </is>
      </c>
      <c r="AB4050" s="111" t="inlineStr">
        <is>
          <t>NAO_COMPUTADO</t>
        </is>
      </c>
      <c r="AC4050" s="112" t="inlineStr">
        <is>
          <t>Estrutura Fase 1: sem impacto no VTA oficial</t>
        </is>
      </c>
    </row>
    <row r="4051" ht="25.5" customHeight="1" s="289">
      <c r="A4051" s="205" t="n"/>
      <c r="B4051" s="207" t="n"/>
      <c r="C4051" s="104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348" t="n"/>
      <c r="E4051" s="349">
        <f>IF(C4051="","",IFERROR(VLOOKUP(C4051,parametros!$A$11:$E$15,5,0),""))</f>
        <v/>
      </c>
      <c r="F4051" s="335">
        <f>IF(OR(D4051="",E4051=""),"",ROUND(D4051*E4051,2))</f>
        <v/>
      </c>
      <c r="G4051" s="106" t="n"/>
      <c r="H4051" s="350">
        <f>IF(G4051="Sim",IF(OR(F4051="",D4051="",L4051=""),"",IF(L4051="Sim",ROUND(F4051-D4051,2),0)),0)</f>
        <v/>
      </c>
      <c r="I4051" s="350">
        <f>IF(G4051="Sim",0,IF(OR(F4051="",L4051=""),"",F4051))</f>
        <v/>
      </c>
      <c r="J4051" s="350">
        <f>IF(G4051="Sim",0,IF(OR(F4051="",D4051="",L4051=""),"",IF(L4051="Sim",ROUND(F4051-D4051,2),0)))</f>
        <v/>
      </c>
      <c r="K4051" s="97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inlineStr">
        <is>
          <t>Nao</t>
        </is>
      </c>
      <c r="W4051" s="110" t="inlineStr">
        <is>
          <t>PC em analise</t>
        </is>
      </c>
      <c r="X4051" s="110" t="inlineStr">
        <is>
          <t>Pedido de Compra</t>
        </is>
      </c>
      <c r="Y4051" s="111" t="inlineStr">
        <is>
          <t>Impacto Potencial</t>
        </is>
      </c>
      <c r="Z4051" s="111" t="inlineStr">
        <is>
          <t>PC</t>
        </is>
      </c>
      <c r="AA4051" s="111" t="inlineStr">
        <is>
          <t>Nao</t>
        </is>
      </c>
      <c r="AB4051" s="111" t="inlineStr">
        <is>
          <t>NAO_COMPUTADO</t>
        </is>
      </c>
      <c r="AC4051" s="112" t="inlineStr">
        <is>
          <t>Estrutura Fase 1: sem impacto no VTA oficial</t>
        </is>
      </c>
    </row>
    <row r="4052" ht="25.5" customHeight="1" s="289">
      <c r="A4052" s="205" t="n"/>
      <c r="B4052" s="207" t="n"/>
      <c r="C4052" s="104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348" t="n"/>
      <c r="E4052" s="349">
        <f>IF(C4052="","",IFERROR(VLOOKUP(C4052,parametros!$A$11:$E$15,5,0),""))</f>
        <v/>
      </c>
      <c r="F4052" s="335">
        <f>IF(OR(D4052="",E4052=""),"",ROUND(D4052*E4052,2))</f>
        <v/>
      </c>
      <c r="G4052" s="106" t="n"/>
      <c r="H4052" s="350">
        <f>IF(G4052="Sim",IF(OR(F4052="",D4052="",L4052=""),"",IF(L4052="Sim",ROUND(F4052-D4052,2),0)),0)</f>
        <v/>
      </c>
      <c r="I4052" s="350">
        <f>IF(G4052="Sim",0,IF(OR(F4052="",L4052=""),"",F4052))</f>
        <v/>
      </c>
      <c r="J4052" s="350">
        <f>IF(G4052="Sim",0,IF(OR(F4052="",D4052="",L4052=""),"",IF(L4052="Sim",ROUND(F4052-D4052,2),0)))</f>
        <v/>
      </c>
      <c r="K4052" s="97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inlineStr">
        <is>
          <t>Nao</t>
        </is>
      </c>
      <c r="W4052" s="110" t="inlineStr">
        <is>
          <t>PC em analise</t>
        </is>
      </c>
      <c r="X4052" s="110" t="inlineStr">
        <is>
          <t>Pedido de Compra</t>
        </is>
      </c>
      <c r="Y4052" s="111" t="inlineStr">
        <is>
          <t>Impacto Potencial</t>
        </is>
      </c>
      <c r="Z4052" s="111" t="inlineStr">
        <is>
          <t>PC</t>
        </is>
      </c>
      <c r="AA4052" s="111" t="inlineStr">
        <is>
          <t>Nao</t>
        </is>
      </c>
      <c r="AB4052" s="111" t="inlineStr">
        <is>
          <t>NAO_COMPUTADO</t>
        </is>
      </c>
      <c r="AC4052" s="112" t="inlineStr">
        <is>
          <t>Estrutura Fase 1: sem impacto no VTA oficial</t>
        </is>
      </c>
    </row>
    <row r="4053" ht="25.5" customHeight="1" s="289">
      <c r="A4053" s="205" t="n"/>
      <c r="B4053" s="207" t="n"/>
      <c r="C4053" s="104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348" t="n"/>
      <c r="E4053" s="349">
        <f>IF(C4053="","",IFERROR(VLOOKUP(C4053,parametros!$A$11:$E$15,5,0),""))</f>
        <v/>
      </c>
      <c r="F4053" s="335">
        <f>IF(OR(D4053="",E4053=""),"",ROUND(D4053*E4053,2))</f>
        <v/>
      </c>
      <c r="G4053" s="106" t="n"/>
      <c r="H4053" s="350">
        <f>IF(G4053="Sim",IF(OR(F4053="",D4053="",L4053=""),"",IF(L4053="Sim",ROUND(F4053-D4053,2),0)),0)</f>
        <v/>
      </c>
      <c r="I4053" s="350">
        <f>IF(G4053="Sim",0,IF(OR(F4053="",L4053=""),"",F4053))</f>
        <v/>
      </c>
      <c r="J4053" s="350">
        <f>IF(G4053="Sim",0,IF(OR(F4053="",D4053="",L4053=""),"",IF(L4053="Sim",ROUND(F4053-D4053,2),0)))</f>
        <v/>
      </c>
      <c r="K4053" s="97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inlineStr">
        <is>
          <t>Nao</t>
        </is>
      </c>
      <c r="W4053" s="110" t="inlineStr">
        <is>
          <t>PC em analise</t>
        </is>
      </c>
      <c r="X4053" s="110" t="inlineStr">
        <is>
          <t>Pedido de Compra</t>
        </is>
      </c>
      <c r="Y4053" s="111" t="inlineStr">
        <is>
          <t>Impacto Potencial</t>
        </is>
      </c>
      <c r="Z4053" s="111" t="inlineStr">
        <is>
          <t>PC</t>
        </is>
      </c>
      <c r="AA4053" s="111" t="inlineStr">
        <is>
          <t>Nao</t>
        </is>
      </c>
      <c r="AB4053" s="111" t="inlineStr">
        <is>
          <t>NAO_COMPUTADO</t>
        </is>
      </c>
      <c r="AC4053" s="112" t="inlineStr">
        <is>
          <t>Estrutura Fase 1: sem impacto no VTA oficial</t>
        </is>
      </c>
    </row>
    <row r="4054" ht="25.5" customHeight="1" s="289">
      <c r="A4054" s="205" t="n"/>
      <c r="B4054" s="207" t="n"/>
      <c r="C4054" s="104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348" t="n"/>
      <c r="E4054" s="349">
        <f>IF(C4054="","",IFERROR(VLOOKUP(C4054,parametros!$A$11:$E$15,5,0),""))</f>
        <v/>
      </c>
      <c r="F4054" s="335">
        <f>IF(OR(D4054="",E4054=""),"",ROUND(D4054*E4054,2))</f>
        <v/>
      </c>
      <c r="G4054" s="106" t="n"/>
      <c r="H4054" s="350">
        <f>IF(G4054="Sim",IF(OR(F4054="",D4054="",L4054=""),"",IF(L4054="Sim",ROUND(F4054-D4054,2),0)),0)</f>
        <v/>
      </c>
      <c r="I4054" s="350">
        <f>IF(G4054="Sim",0,IF(OR(F4054="",L4054=""),"",F4054))</f>
        <v/>
      </c>
      <c r="J4054" s="350">
        <f>IF(G4054="Sim",0,IF(OR(F4054="",D4054="",L4054=""),"",IF(L4054="Sim",ROUND(F4054-D4054,2),0)))</f>
        <v/>
      </c>
      <c r="K4054" s="97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inlineStr">
        <is>
          <t>Nao</t>
        </is>
      </c>
      <c r="W4054" s="110" t="inlineStr">
        <is>
          <t>PC em analise</t>
        </is>
      </c>
      <c r="X4054" s="110" t="inlineStr">
        <is>
          <t>Pedido de Compra</t>
        </is>
      </c>
      <c r="Y4054" s="111" t="inlineStr">
        <is>
          <t>Impacto Potencial</t>
        </is>
      </c>
      <c r="Z4054" s="111" t="inlineStr">
        <is>
          <t>PC</t>
        </is>
      </c>
      <c r="AA4054" s="111" t="inlineStr">
        <is>
          <t>Nao</t>
        </is>
      </c>
      <c r="AB4054" s="111" t="inlineStr">
        <is>
          <t>NAO_COMPUTADO</t>
        </is>
      </c>
      <c r="AC4054" s="112" t="inlineStr">
        <is>
          <t>Estrutura Fase 1: sem impacto no VTA oficial</t>
        </is>
      </c>
    </row>
    <row r="4055" ht="25.5" customHeight="1" s="289">
      <c r="A4055" s="205" t="n"/>
      <c r="B4055" s="207" t="n"/>
      <c r="C4055" s="104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348" t="n"/>
      <c r="E4055" s="349">
        <f>IF(C4055="","",IFERROR(VLOOKUP(C4055,parametros!$A$11:$E$15,5,0),""))</f>
        <v/>
      </c>
      <c r="F4055" s="335">
        <f>IF(OR(D4055="",E4055=""),"",ROUND(D4055*E4055,2))</f>
        <v/>
      </c>
      <c r="G4055" s="106" t="n"/>
      <c r="H4055" s="350">
        <f>IF(G4055="Sim",IF(OR(F4055="",D4055="",L4055=""),"",IF(L4055="Sim",ROUND(F4055-D4055,2),0)),0)</f>
        <v/>
      </c>
      <c r="I4055" s="350">
        <f>IF(G4055="Sim",0,IF(OR(F4055="",L4055=""),"",F4055))</f>
        <v/>
      </c>
      <c r="J4055" s="350">
        <f>IF(G4055="Sim",0,IF(OR(F4055="",D4055="",L4055=""),"",IF(L4055="Sim",ROUND(F4055-D4055,2),0)))</f>
        <v/>
      </c>
      <c r="K4055" s="97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inlineStr">
        <is>
          <t>Nao</t>
        </is>
      </c>
      <c r="W4055" s="110" t="inlineStr">
        <is>
          <t>PC em analise</t>
        </is>
      </c>
      <c r="X4055" s="110" t="inlineStr">
        <is>
          <t>Pedido de Compra</t>
        </is>
      </c>
      <c r="Y4055" s="111" t="inlineStr">
        <is>
          <t>Impacto Potencial</t>
        </is>
      </c>
      <c r="Z4055" s="111" t="inlineStr">
        <is>
          <t>PC</t>
        </is>
      </c>
      <c r="AA4055" s="111" t="inlineStr">
        <is>
          <t>Nao</t>
        </is>
      </c>
      <c r="AB4055" s="111" t="inlineStr">
        <is>
          <t>NAO_COMPUTADO</t>
        </is>
      </c>
      <c r="AC4055" s="112" t="inlineStr">
        <is>
          <t>Estrutura Fase 1: sem impacto no VTA oficial</t>
        </is>
      </c>
    </row>
    <row r="4056" ht="25.5" customHeight="1" s="289">
      <c r="A4056" s="205" t="n"/>
      <c r="B4056" s="207" t="n"/>
      <c r="C4056" s="104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348" t="n"/>
      <c r="E4056" s="349">
        <f>IF(C4056="","",IFERROR(VLOOKUP(C4056,parametros!$A$11:$E$15,5,0),""))</f>
        <v/>
      </c>
      <c r="F4056" s="335">
        <f>IF(OR(D4056="",E4056=""),"",ROUND(D4056*E4056,2))</f>
        <v/>
      </c>
      <c r="G4056" s="106" t="n"/>
      <c r="H4056" s="350">
        <f>IF(G4056="Sim",IF(OR(F4056="",D4056="",L4056=""),"",IF(L4056="Sim",ROUND(F4056-D4056,2),0)),0)</f>
        <v/>
      </c>
      <c r="I4056" s="350">
        <f>IF(G4056="Sim",0,IF(OR(F4056="",L4056=""),"",F4056))</f>
        <v/>
      </c>
      <c r="J4056" s="350">
        <f>IF(G4056="Sim",0,IF(OR(F4056="",D4056="",L4056=""),"",IF(L4056="Sim",ROUND(F4056-D4056,2),0)))</f>
        <v/>
      </c>
      <c r="K4056" s="97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inlineStr">
        <is>
          <t>Nao</t>
        </is>
      </c>
      <c r="W4056" s="110" t="inlineStr">
        <is>
          <t>PC em analise</t>
        </is>
      </c>
      <c r="X4056" s="110" t="inlineStr">
        <is>
          <t>Pedido de Compra</t>
        </is>
      </c>
      <c r="Y4056" s="111" t="inlineStr">
        <is>
          <t>Impacto Potencial</t>
        </is>
      </c>
      <c r="Z4056" s="111" t="inlineStr">
        <is>
          <t>PC</t>
        </is>
      </c>
      <c r="AA4056" s="111" t="inlineStr">
        <is>
          <t>Nao</t>
        </is>
      </c>
      <c r="AB4056" s="111" t="inlineStr">
        <is>
          <t>NAO_COMPUTADO</t>
        </is>
      </c>
      <c r="AC4056" s="112" t="inlineStr">
        <is>
          <t>Estrutura Fase 1: sem impacto no VTA oficial</t>
        </is>
      </c>
    </row>
    <row r="4057" ht="25.5" customHeight="1" s="289">
      <c r="A4057" s="205" t="n"/>
      <c r="B4057" s="207" t="n"/>
      <c r="C4057" s="104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348" t="n"/>
      <c r="E4057" s="349">
        <f>IF(C4057="","",IFERROR(VLOOKUP(C4057,parametros!$A$11:$E$15,5,0),""))</f>
        <v/>
      </c>
      <c r="F4057" s="335">
        <f>IF(OR(D4057="",E4057=""),"",ROUND(D4057*E4057,2))</f>
        <v/>
      </c>
      <c r="G4057" s="106" t="n"/>
      <c r="H4057" s="350">
        <f>IF(G4057="Sim",IF(OR(F4057="",D4057="",L4057=""),"",IF(L4057="Sim",ROUND(F4057-D4057,2),0)),0)</f>
        <v/>
      </c>
      <c r="I4057" s="350">
        <f>IF(G4057="Sim",0,IF(OR(F4057="",L4057=""),"",F4057))</f>
        <v/>
      </c>
      <c r="J4057" s="350">
        <f>IF(G4057="Sim",0,IF(OR(F4057="",D4057="",L4057=""),"",IF(L4057="Sim",ROUND(F4057-D4057,2),0)))</f>
        <v/>
      </c>
      <c r="K4057" s="97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inlineStr">
        <is>
          <t>Nao</t>
        </is>
      </c>
      <c r="W4057" s="110" t="inlineStr">
        <is>
          <t>PC em analise</t>
        </is>
      </c>
      <c r="X4057" s="110" t="inlineStr">
        <is>
          <t>Pedido de Compra</t>
        </is>
      </c>
      <c r="Y4057" s="111" t="inlineStr">
        <is>
          <t>Impacto Potencial</t>
        </is>
      </c>
      <c r="Z4057" s="111" t="inlineStr">
        <is>
          <t>PC</t>
        </is>
      </c>
      <c r="AA4057" s="111" t="inlineStr">
        <is>
          <t>Nao</t>
        </is>
      </c>
      <c r="AB4057" s="111" t="inlineStr">
        <is>
          <t>NAO_COMPUTADO</t>
        </is>
      </c>
      <c r="AC4057" s="112" t="inlineStr">
        <is>
          <t>Estrutura Fase 1: sem impacto no VTA oficial</t>
        </is>
      </c>
    </row>
    <row r="4058" ht="25.5" customHeight="1" s="289">
      <c r="A4058" s="205" t="n"/>
      <c r="B4058" s="207" t="n"/>
      <c r="C4058" s="104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348" t="n"/>
      <c r="E4058" s="349">
        <f>IF(C4058="","",IFERROR(VLOOKUP(C4058,parametros!$A$11:$E$15,5,0),""))</f>
        <v/>
      </c>
      <c r="F4058" s="335">
        <f>IF(OR(D4058="",E4058=""),"",ROUND(D4058*E4058,2))</f>
        <v/>
      </c>
      <c r="G4058" s="106" t="n"/>
      <c r="H4058" s="350">
        <f>IF(G4058="Sim",IF(OR(F4058="",D4058="",L4058=""),"",IF(L4058="Sim",ROUND(F4058-D4058,2),0)),0)</f>
        <v/>
      </c>
      <c r="I4058" s="350">
        <f>IF(G4058="Sim",0,IF(OR(F4058="",L4058=""),"",F4058))</f>
        <v/>
      </c>
      <c r="J4058" s="350">
        <f>IF(G4058="Sim",0,IF(OR(F4058="",D4058="",L4058=""),"",IF(L4058="Sim",ROUND(F4058-D4058,2),0)))</f>
        <v/>
      </c>
      <c r="K4058" s="97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inlineStr">
        <is>
          <t>Nao</t>
        </is>
      </c>
      <c r="W4058" s="110" t="inlineStr">
        <is>
          <t>PC em analise</t>
        </is>
      </c>
      <c r="X4058" s="110" t="inlineStr">
        <is>
          <t>Pedido de Compra</t>
        </is>
      </c>
      <c r="Y4058" s="111" t="inlineStr">
        <is>
          <t>Impacto Potencial</t>
        </is>
      </c>
      <c r="Z4058" s="111" t="inlineStr">
        <is>
          <t>PC</t>
        </is>
      </c>
      <c r="AA4058" s="111" t="inlineStr">
        <is>
          <t>Nao</t>
        </is>
      </c>
      <c r="AB4058" s="111" t="inlineStr">
        <is>
          <t>NAO_COMPUTADO</t>
        </is>
      </c>
      <c r="AC4058" s="112" t="inlineStr">
        <is>
          <t>Estrutura Fase 1: sem impacto no VTA oficial</t>
        </is>
      </c>
    </row>
    <row r="4059" ht="25.5" customHeight="1" s="289">
      <c r="A4059" s="205" t="n"/>
      <c r="B4059" s="207" t="n"/>
      <c r="C4059" s="104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348" t="n"/>
      <c r="E4059" s="349">
        <f>IF(C4059="","",IFERROR(VLOOKUP(C4059,parametros!$A$11:$E$15,5,0),""))</f>
        <v/>
      </c>
      <c r="F4059" s="335">
        <f>IF(OR(D4059="",E4059=""),"",ROUND(D4059*E4059,2))</f>
        <v/>
      </c>
      <c r="G4059" s="106" t="n"/>
      <c r="H4059" s="350">
        <f>IF(G4059="Sim",IF(OR(F4059="",D4059="",L4059=""),"",IF(L4059="Sim",ROUND(F4059-D4059,2),0)),0)</f>
        <v/>
      </c>
      <c r="I4059" s="350">
        <f>IF(G4059="Sim",0,IF(OR(F4059="",L4059=""),"",F4059))</f>
        <v/>
      </c>
      <c r="J4059" s="350">
        <f>IF(G4059="Sim",0,IF(OR(F4059="",D4059="",L4059=""),"",IF(L4059="Sim",ROUND(F4059-D4059,2),0)))</f>
        <v/>
      </c>
      <c r="K4059" s="97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inlineStr">
        <is>
          <t>Nao</t>
        </is>
      </c>
      <c r="W4059" s="110" t="inlineStr">
        <is>
          <t>PC em analise</t>
        </is>
      </c>
      <c r="X4059" s="110" t="inlineStr">
        <is>
          <t>Pedido de Compra</t>
        </is>
      </c>
      <c r="Y4059" s="111" t="inlineStr">
        <is>
          <t>Impacto Potencial</t>
        </is>
      </c>
      <c r="Z4059" s="111" t="inlineStr">
        <is>
          <t>PC</t>
        </is>
      </c>
      <c r="AA4059" s="111" t="inlineStr">
        <is>
          <t>Nao</t>
        </is>
      </c>
      <c r="AB4059" s="111" t="inlineStr">
        <is>
          <t>NAO_COMPUTADO</t>
        </is>
      </c>
      <c r="AC4059" s="112" t="inlineStr">
        <is>
          <t>Estrutura Fase 1: sem impacto no VTA oficial</t>
        </is>
      </c>
    </row>
    <row r="4060" ht="25.5" customHeight="1" s="289">
      <c r="A4060" s="205" t="n"/>
      <c r="B4060" s="207" t="n"/>
      <c r="C4060" s="104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348" t="n"/>
      <c r="E4060" s="349">
        <f>IF(C4060="","",IFERROR(VLOOKUP(C4060,parametros!$A$11:$E$15,5,0),""))</f>
        <v/>
      </c>
      <c r="F4060" s="335">
        <f>IF(OR(D4060="",E4060=""),"",ROUND(D4060*E4060,2))</f>
        <v/>
      </c>
      <c r="G4060" s="106" t="n"/>
      <c r="H4060" s="350">
        <f>IF(G4060="Sim",IF(OR(F4060="",D4060="",L4060=""),"",IF(L4060="Sim",ROUND(F4060-D4060,2),0)),0)</f>
        <v/>
      </c>
      <c r="I4060" s="350">
        <f>IF(G4060="Sim",0,IF(OR(F4060="",L4060=""),"",F4060))</f>
        <v/>
      </c>
      <c r="J4060" s="350">
        <f>IF(G4060="Sim",0,IF(OR(F4060="",D4060="",L4060=""),"",IF(L4060="Sim",ROUND(F4060-D4060,2),0)))</f>
        <v/>
      </c>
      <c r="K4060" s="97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inlineStr">
        <is>
          <t>Nao</t>
        </is>
      </c>
      <c r="W4060" s="110" t="inlineStr">
        <is>
          <t>PC em analise</t>
        </is>
      </c>
      <c r="X4060" s="110" t="inlineStr">
        <is>
          <t>Pedido de Compra</t>
        </is>
      </c>
      <c r="Y4060" s="111" t="inlineStr">
        <is>
          <t>Impacto Potencial</t>
        </is>
      </c>
      <c r="Z4060" s="111" t="inlineStr">
        <is>
          <t>PC</t>
        </is>
      </c>
      <c r="AA4060" s="111" t="inlineStr">
        <is>
          <t>Nao</t>
        </is>
      </c>
      <c r="AB4060" s="111" t="inlineStr">
        <is>
          <t>NAO_COMPUTADO</t>
        </is>
      </c>
      <c r="AC4060" s="112" t="inlineStr">
        <is>
          <t>Estrutura Fase 1: sem impacto no VTA oficial</t>
        </is>
      </c>
    </row>
    <row r="4061" ht="25.5" customHeight="1" s="289">
      <c r="A4061" s="205" t="n"/>
      <c r="B4061" s="207" t="n"/>
      <c r="C4061" s="104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348" t="n"/>
      <c r="E4061" s="349">
        <f>IF(C4061="","",IFERROR(VLOOKUP(C4061,parametros!$A$11:$E$15,5,0),""))</f>
        <v/>
      </c>
      <c r="F4061" s="335">
        <f>IF(OR(D4061="",E4061=""),"",ROUND(D4061*E4061,2))</f>
        <v/>
      </c>
      <c r="G4061" s="106" t="n"/>
      <c r="H4061" s="350">
        <f>IF(G4061="Sim",IF(OR(F4061="",D4061="",L4061=""),"",IF(L4061="Sim",ROUND(F4061-D4061,2),0)),0)</f>
        <v/>
      </c>
      <c r="I4061" s="350">
        <f>IF(G4061="Sim",0,IF(OR(F4061="",L4061=""),"",F4061))</f>
        <v/>
      </c>
      <c r="J4061" s="350">
        <f>IF(G4061="Sim",0,IF(OR(F4061="",D4061="",L4061=""),"",IF(L4061="Sim",ROUND(F4061-D4061,2),0)))</f>
        <v/>
      </c>
      <c r="K4061" s="97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inlineStr">
        <is>
          <t>Nao</t>
        </is>
      </c>
      <c r="W4061" s="110" t="inlineStr">
        <is>
          <t>PC em analise</t>
        </is>
      </c>
      <c r="X4061" s="110" t="inlineStr">
        <is>
          <t>Pedido de Compra</t>
        </is>
      </c>
      <c r="Y4061" s="111" t="inlineStr">
        <is>
          <t>Impacto Potencial</t>
        </is>
      </c>
      <c r="Z4061" s="111" t="inlineStr">
        <is>
          <t>PC</t>
        </is>
      </c>
      <c r="AA4061" s="111" t="inlineStr">
        <is>
          <t>Nao</t>
        </is>
      </c>
      <c r="AB4061" s="111" t="inlineStr">
        <is>
          <t>NAO_COMPUTADO</t>
        </is>
      </c>
      <c r="AC4061" s="112" t="inlineStr">
        <is>
          <t>Estrutura Fase 1: sem impacto no VTA oficial</t>
        </is>
      </c>
    </row>
    <row r="4062" ht="25.5" customHeight="1" s="289">
      <c r="A4062" s="205" t="n"/>
      <c r="B4062" s="207" t="n"/>
      <c r="C4062" s="104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348" t="n"/>
      <c r="E4062" s="349">
        <f>IF(C4062="","",IFERROR(VLOOKUP(C4062,parametros!$A$11:$E$15,5,0),""))</f>
        <v/>
      </c>
      <c r="F4062" s="335">
        <f>IF(OR(D4062="",E4062=""),"",ROUND(D4062*E4062,2))</f>
        <v/>
      </c>
      <c r="G4062" s="106" t="n"/>
      <c r="H4062" s="350">
        <f>IF(G4062="Sim",IF(OR(F4062="",D4062="",L4062=""),"",IF(L4062="Sim",ROUND(F4062-D4062,2),0)),0)</f>
        <v/>
      </c>
      <c r="I4062" s="350">
        <f>IF(G4062="Sim",0,IF(OR(F4062="",L4062=""),"",F4062))</f>
        <v/>
      </c>
      <c r="J4062" s="350">
        <f>IF(G4062="Sim",0,IF(OR(F4062="",D4062="",L4062=""),"",IF(L4062="Sim",ROUND(F4062-D4062,2),0)))</f>
        <v/>
      </c>
      <c r="K4062" s="97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inlineStr">
        <is>
          <t>Nao</t>
        </is>
      </c>
      <c r="W4062" s="110" t="inlineStr">
        <is>
          <t>PC em analise</t>
        </is>
      </c>
      <c r="X4062" s="110" t="inlineStr">
        <is>
          <t>Pedido de Compra</t>
        </is>
      </c>
      <c r="Y4062" s="111" t="inlineStr">
        <is>
          <t>Impacto Potencial</t>
        </is>
      </c>
      <c r="Z4062" s="111" t="inlineStr">
        <is>
          <t>PC</t>
        </is>
      </c>
      <c r="AA4062" s="111" t="inlineStr">
        <is>
          <t>Nao</t>
        </is>
      </c>
      <c r="AB4062" s="111" t="inlineStr">
        <is>
          <t>NAO_COMPUTADO</t>
        </is>
      </c>
      <c r="AC4062" s="112" t="inlineStr">
        <is>
          <t>Estrutura Fase 1: sem impacto no VTA oficial</t>
        </is>
      </c>
    </row>
    <row r="4063" ht="25.5" customHeight="1" s="289">
      <c r="A4063" s="205" t="n"/>
      <c r="B4063" s="207" t="n"/>
      <c r="C4063" s="104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348" t="n"/>
      <c r="E4063" s="349">
        <f>IF(C4063="","",IFERROR(VLOOKUP(C4063,parametros!$A$11:$E$15,5,0),""))</f>
        <v/>
      </c>
      <c r="F4063" s="335">
        <f>IF(OR(D4063="",E4063=""),"",ROUND(D4063*E4063,2))</f>
        <v/>
      </c>
      <c r="G4063" s="106" t="n"/>
      <c r="H4063" s="350">
        <f>IF(G4063="Sim",IF(OR(F4063="",D4063="",L4063=""),"",IF(L4063="Sim",ROUND(F4063-D4063,2),0)),0)</f>
        <v/>
      </c>
      <c r="I4063" s="350">
        <f>IF(G4063="Sim",0,IF(OR(F4063="",L4063=""),"",F4063))</f>
        <v/>
      </c>
      <c r="J4063" s="350">
        <f>IF(G4063="Sim",0,IF(OR(F4063="",D4063="",L4063=""),"",IF(L4063="Sim",ROUND(F4063-D4063,2),0)))</f>
        <v/>
      </c>
      <c r="K4063" s="97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inlineStr">
        <is>
          <t>Nao</t>
        </is>
      </c>
      <c r="W4063" s="110" t="inlineStr">
        <is>
          <t>PC em analise</t>
        </is>
      </c>
      <c r="X4063" s="110" t="inlineStr">
        <is>
          <t>Pedido de Compra</t>
        </is>
      </c>
      <c r="Y4063" s="111" t="inlineStr">
        <is>
          <t>Impacto Potencial</t>
        </is>
      </c>
      <c r="Z4063" s="111" t="inlineStr">
        <is>
          <t>PC</t>
        </is>
      </c>
      <c r="AA4063" s="111" t="inlineStr">
        <is>
          <t>Nao</t>
        </is>
      </c>
      <c r="AB4063" s="111" t="inlineStr">
        <is>
          <t>NAO_COMPUTADO</t>
        </is>
      </c>
      <c r="AC4063" s="112" t="inlineStr">
        <is>
          <t>Estrutura Fase 1: sem impacto no VTA oficial</t>
        </is>
      </c>
    </row>
    <row r="4064" ht="25.5" customHeight="1" s="289">
      <c r="A4064" s="205" t="n"/>
      <c r="B4064" s="207" t="n"/>
      <c r="C4064" s="104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348" t="n"/>
      <c r="E4064" s="349">
        <f>IF(C4064="","",IFERROR(VLOOKUP(C4064,parametros!$A$11:$E$15,5,0),""))</f>
        <v/>
      </c>
      <c r="F4064" s="335">
        <f>IF(OR(D4064="",E4064=""),"",ROUND(D4064*E4064,2))</f>
        <v/>
      </c>
      <c r="G4064" s="106" t="n"/>
      <c r="H4064" s="350">
        <f>IF(G4064="Sim",IF(OR(F4064="",D4064="",L4064=""),"",IF(L4064="Sim",ROUND(F4064-D4064,2),0)),0)</f>
        <v/>
      </c>
      <c r="I4064" s="350">
        <f>IF(G4064="Sim",0,IF(OR(F4064="",L4064=""),"",F4064))</f>
        <v/>
      </c>
      <c r="J4064" s="350">
        <f>IF(G4064="Sim",0,IF(OR(F4064="",D4064="",L4064=""),"",IF(L4064="Sim",ROUND(F4064-D4064,2),0)))</f>
        <v/>
      </c>
      <c r="K4064" s="97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inlineStr">
        <is>
          <t>Nao</t>
        </is>
      </c>
      <c r="W4064" s="110" t="inlineStr">
        <is>
          <t>PC em analise</t>
        </is>
      </c>
      <c r="X4064" s="110" t="inlineStr">
        <is>
          <t>Pedido de Compra</t>
        </is>
      </c>
      <c r="Y4064" s="111" t="inlineStr">
        <is>
          <t>Impacto Potencial</t>
        </is>
      </c>
      <c r="Z4064" s="111" t="inlineStr">
        <is>
          <t>PC</t>
        </is>
      </c>
      <c r="AA4064" s="111" t="inlineStr">
        <is>
          <t>Nao</t>
        </is>
      </c>
      <c r="AB4064" s="111" t="inlineStr">
        <is>
          <t>NAO_COMPUTADO</t>
        </is>
      </c>
      <c r="AC4064" s="112" t="inlineStr">
        <is>
          <t>Estrutura Fase 1: sem impacto no VTA oficial</t>
        </is>
      </c>
    </row>
    <row r="4065" ht="25.5" customHeight="1" s="289">
      <c r="A4065" s="205" t="n"/>
      <c r="B4065" s="207" t="n"/>
      <c r="C4065" s="104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348" t="n"/>
      <c r="E4065" s="349">
        <f>IF(C4065="","",IFERROR(VLOOKUP(C4065,parametros!$A$11:$E$15,5,0),""))</f>
        <v/>
      </c>
      <c r="F4065" s="335">
        <f>IF(OR(D4065="",E4065=""),"",ROUND(D4065*E4065,2))</f>
        <v/>
      </c>
      <c r="G4065" s="106" t="n"/>
      <c r="H4065" s="350">
        <f>IF(G4065="Sim",IF(OR(F4065="",D4065="",L4065=""),"",IF(L4065="Sim",ROUND(F4065-D4065,2),0)),0)</f>
        <v/>
      </c>
      <c r="I4065" s="350">
        <f>IF(G4065="Sim",0,IF(OR(F4065="",L4065=""),"",F4065))</f>
        <v/>
      </c>
      <c r="J4065" s="350">
        <f>IF(G4065="Sim",0,IF(OR(F4065="",D4065="",L4065=""),"",IF(L4065="Sim",ROUND(F4065-D4065,2),0)))</f>
        <v/>
      </c>
      <c r="K4065" s="97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inlineStr">
        <is>
          <t>Nao</t>
        </is>
      </c>
      <c r="W4065" s="110" t="inlineStr">
        <is>
          <t>PC em analise</t>
        </is>
      </c>
      <c r="X4065" s="110" t="inlineStr">
        <is>
          <t>Pedido de Compra</t>
        </is>
      </c>
      <c r="Y4065" s="111" t="inlineStr">
        <is>
          <t>Impacto Potencial</t>
        </is>
      </c>
      <c r="Z4065" s="111" t="inlineStr">
        <is>
          <t>PC</t>
        </is>
      </c>
      <c r="AA4065" s="111" t="inlineStr">
        <is>
          <t>Nao</t>
        </is>
      </c>
      <c r="AB4065" s="111" t="inlineStr">
        <is>
          <t>NAO_COMPUTADO</t>
        </is>
      </c>
      <c r="AC4065" s="112" t="inlineStr">
        <is>
          <t>Estrutura Fase 1: sem impacto no VTA oficial</t>
        </is>
      </c>
    </row>
    <row r="4066" ht="25.5" customHeight="1" s="289">
      <c r="A4066" s="205" t="n"/>
      <c r="B4066" s="207" t="n"/>
      <c r="C4066" s="104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348" t="n"/>
      <c r="E4066" s="349">
        <f>IF(C4066="","",IFERROR(VLOOKUP(C4066,parametros!$A$11:$E$15,5,0),""))</f>
        <v/>
      </c>
      <c r="F4066" s="335">
        <f>IF(OR(D4066="",E4066=""),"",ROUND(D4066*E4066,2))</f>
        <v/>
      </c>
      <c r="G4066" s="106" t="n"/>
      <c r="H4066" s="350">
        <f>IF(G4066="Sim",IF(OR(F4066="",D4066="",L4066=""),"",IF(L4066="Sim",ROUND(F4066-D4066,2),0)),0)</f>
        <v/>
      </c>
      <c r="I4066" s="350">
        <f>IF(G4066="Sim",0,IF(OR(F4066="",L4066=""),"",F4066))</f>
        <v/>
      </c>
      <c r="J4066" s="350">
        <f>IF(G4066="Sim",0,IF(OR(F4066="",D4066="",L4066=""),"",IF(L4066="Sim",ROUND(F4066-D4066,2),0)))</f>
        <v/>
      </c>
      <c r="K4066" s="97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inlineStr">
        <is>
          <t>Nao</t>
        </is>
      </c>
      <c r="W4066" s="110" t="inlineStr">
        <is>
          <t>PC em analise</t>
        </is>
      </c>
      <c r="X4066" s="110" t="inlineStr">
        <is>
          <t>Pedido de Compra</t>
        </is>
      </c>
      <c r="Y4066" s="111" t="inlineStr">
        <is>
          <t>Impacto Potencial</t>
        </is>
      </c>
      <c r="Z4066" s="111" t="inlineStr">
        <is>
          <t>PC</t>
        </is>
      </c>
      <c r="AA4066" s="111" t="inlineStr">
        <is>
          <t>Nao</t>
        </is>
      </c>
      <c r="AB4066" s="111" t="inlineStr">
        <is>
          <t>NAO_COMPUTADO</t>
        </is>
      </c>
      <c r="AC4066" s="112" t="inlineStr">
        <is>
          <t>Estrutura Fase 1: sem impacto no VTA oficial</t>
        </is>
      </c>
    </row>
    <row r="4067" ht="25.5" customHeight="1" s="289">
      <c r="A4067" s="205" t="n"/>
      <c r="B4067" s="207" t="n"/>
      <c r="C4067" s="104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348" t="n"/>
      <c r="E4067" s="349">
        <f>IF(C4067="","",IFERROR(VLOOKUP(C4067,parametros!$A$11:$E$15,5,0),""))</f>
        <v/>
      </c>
      <c r="F4067" s="335">
        <f>IF(OR(D4067="",E4067=""),"",ROUND(D4067*E4067,2))</f>
        <v/>
      </c>
      <c r="G4067" s="106" t="n"/>
      <c r="H4067" s="350">
        <f>IF(G4067="Sim",IF(OR(F4067="",D4067="",L4067=""),"",IF(L4067="Sim",ROUND(F4067-D4067,2),0)),0)</f>
        <v/>
      </c>
      <c r="I4067" s="350">
        <f>IF(G4067="Sim",0,IF(OR(F4067="",L4067=""),"",F4067))</f>
        <v/>
      </c>
      <c r="J4067" s="350">
        <f>IF(G4067="Sim",0,IF(OR(F4067="",D4067="",L4067=""),"",IF(L4067="Sim",ROUND(F4067-D4067,2),0)))</f>
        <v/>
      </c>
      <c r="K4067" s="97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inlineStr">
        <is>
          <t>Nao</t>
        </is>
      </c>
      <c r="W4067" s="110" t="inlineStr">
        <is>
          <t>PC em analise</t>
        </is>
      </c>
      <c r="X4067" s="110" t="inlineStr">
        <is>
          <t>Pedido de Compra</t>
        </is>
      </c>
      <c r="Y4067" s="111" t="inlineStr">
        <is>
          <t>Impacto Potencial</t>
        </is>
      </c>
      <c r="Z4067" s="111" t="inlineStr">
        <is>
          <t>PC</t>
        </is>
      </c>
      <c r="AA4067" s="111" t="inlineStr">
        <is>
          <t>Nao</t>
        </is>
      </c>
      <c r="AB4067" s="111" t="inlineStr">
        <is>
          <t>NAO_COMPUTADO</t>
        </is>
      </c>
      <c r="AC4067" s="112" t="inlineStr">
        <is>
          <t>Estrutura Fase 1: sem impacto no VTA oficial</t>
        </is>
      </c>
    </row>
    <row r="4068" ht="25.5" customHeight="1" s="289">
      <c r="A4068" s="205" t="n"/>
      <c r="B4068" s="207" t="n"/>
      <c r="C4068" s="104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348" t="n"/>
      <c r="E4068" s="349">
        <f>IF(C4068="","",IFERROR(VLOOKUP(C4068,parametros!$A$11:$E$15,5,0),""))</f>
        <v/>
      </c>
      <c r="F4068" s="335">
        <f>IF(OR(D4068="",E4068=""),"",ROUND(D4068*E4068,2))</f>
        <v/>
      </c>
      <c r="G4068" s="106" t="n"/>
      <c r="H4068" s="350">
        <f>IF(G4068="Sim",IF(OR(F4068="",D4068="",L4068=""),"",IF(L4068="Sim",ROUND(F4068-D4068,2),0)),0)</f>
        <v/>
      </c>
      <c r="I4068" s="350">
        <f>IF(G4068="Sim",0,IF(OR(F4068="",L4068=""),"",F4068))</f>
        <v/>
      </c>
      <c r="J4068" s="350">
        <f>IF(G4068="Sim",0,IF(OR(F4068="",D4068="",L4068=""),"",IF(L4068="Sim",ROUND(F4068-D4068,2),0)))</f>
        <v/>
      </c>
      <c r="K4068" s="97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inlineStr">
        <is>
          <t>Nao</t>
        </is>
      </c>
      <c r="W4068" s="110" t="inlineStr">
        <is>
          <t>PC em analise</t>
        </is>
      </c>
      <c r="X4068" s="110" t="inlineStr">
        <is>
          <t>Pedido de Compra</t>
        </is>
      </c>
      <c r="Y4068" s="111" t="inlineStr">
        <is>
          <t>Impacto Potencial</t>
        </is>
      </c>
      <c r="Z4068" s="111" t="inlineStr">
        <is>
          <t>PC</t>
        </is>
      </c>
      <c r="AA4068" s="111" t="inlineStr">
        <is>
          <t>Nao</t>
        </is>
      </c>
      <c r="AB4068" s="111" t="inlineStr">
        <is>
          <t>NAO_COMPUTADO</t>
        </is>
      </c>
      <c r="AC4068" s="112" t="inlineStr">
        <is>
          <t>Estrutura Fase 1: sem impacto no VTA oficial</t>
        </is>
      </c>
    </row>
    <row r="4069" ht="25.5" customHeight="1" s="289">
      <c r="A4069" s="205" t="n"/>
      <c r="B4069" s="207" t="n"/>
      <c r="C4069" s="104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348" t="n"/>
      <c r="E4069" s="349">
        <f>IF(C4069="","",IFERROR(VLOOKUP(C4069,parametros!$A$11:$E$15,5,0),""))</f>
        <v/>
      </c>
      <c r="F4069" s="335">
        <f>IF(OR(D4069="",E4069=""),"",ROUND(D4069*E4069,2))</f>
        <v/>
      </c>
      <c r="G4069" s="106" t="n"/>
      <c r="H4069" s="350">
        <f>IF(G4069="Sim",IF(OR(F4069="",D4069="",L4069=""),"",IF(L4069="Sim",ROUND(F4069-D4069,2),0)),0)</f>
        <v/>
      </c>
      <c r="I4069" s="350">
        <f>IF(G4069="Sim",0,IF(OR(F4069="",L4069=""),"",F4069))</f>
        <v/>
      </c>
      <c r="J4069" s="350">
        <f>IF(G4069="Sim",0,IF(OR(F4069="",D4069="",L4069=""),"",IF(L4069="Sim",ROUND(F4069-D4069,2),0)))</f>
        <v/>
      </c>
      <c r="K4069" s="97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inlineStr">
        <is>
          <t>Nao</t>
        </is>
      </c>
      <c r="W4069" s="110" t="inlineStr">
        <is>
          <t>PC em analise</t>
        </is>
      </c>
      <c r="X4069" s="110" t="inlineStr">
        <is>
          <t>Pedido de Compra</t>
        </is>
      </c>
      <c r="Y4069" s="111" t="inlineStr">
        <is>
          <t>Impacto Potencial</t>
        </is>
      </c>
      <c r="Z4069" s="111" t="inlineStr">
        <is>
          <t>PC</t>
        </is>
      </c>
      <c r="AA4069" s="111" t="inlineStr">
        <is>
          <t>Nao</t>
        </is>
      </c>
      <c r="AB4069" s="111" t="inlineStr">
        <is>
          <t>NAO_COMPUTADO</t>
        </is>
      </c>
      <c r="AC4069" s="112" t="inlineStr">
        <is>
          <t>Estrutura Fase 1: sem impacto no VTA oficial</t>
        </is>
      </c>
    </row>
    <row r="4070" ht="25.5" customHeight="1" s="289">
      <c r="A4070" s="205" t="n"/>
      <c r="B4070" s="207" t="n"/>
      <c r="C4070" s="104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348" t="n"/>
      <c r="E4070" s="349">
        <f>IF(C4070="","",IFERROR(VLOOKUP(C4070,parametros!$A$11:$E$15,5,0),""))</f>
        <v/>
      </c>
      <c r="F4070" s="335">
        <f>IF(OR(D4070="",E4070=""),"",ROUND(D4070*E4070,2))</f>
        <v/>
      </c>
      <c r="G4070" s="106" t="n"/>
      <c r="H4070" s="350">
        <f>IF(G4070="Sim",IF(OR(F4070="",D4070="",L4070=""),"",IF(L4070="Sim",ROUND(F4070-D4070,2),0)),0)</f>
        <v/>
      </c>
      <c r="I4070" s="350">
        <f>IF(G4070="Sim",0,IF(OR(F4070="",L4070=""),"",F4070))</f>
        <v/>
      </c>
      <c r="J4070" s="350">
        <f>IF(G4070="Sim",0,IF(OR(F4070="",D4070="",L4070=""),"",IF(L4070="Sim",ROUND(F4070-D4070,2),0)))</f>
        <v/>
      </c>
      <c r="K4070" s="97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inlineStr">
        <is>
          <t>Nao</t>
        </is>
      </c>
      <c r="W4070" s="110" t="inlineStr">
        <is>
          <t>PC em analise</t>
        </is>
      </c>
      <c r="X4070" s="110" t="inlineStr">
        <is>
          <t>Pedido de Compra</t>
        </is>
      </c>
      <c r="Y4070" s="111" t="inlineStr">
        <is>
          <t>Impacto Potencial</t>
        </is>
      </c>
      <c r="Z4070" s="111" t="inlineStr">
        <is>
          <t>PC</t>
        </is>
      </c>
      <c r="AA4070" s="111" t="inlineStr">
        <is>
          <t>Nao</t>
        </is>
      </c>
      <c r="AB4070" s="111" t="inlineStr">
        <is>
          <t>NAO_COMPUTADO</t>
        </is>
      </c>
      <c r="AC4070" s="112" t="inlineStr">
        <is>
          <t>Estrutura Fase 1: sem impacto no VTA oficial</t>
        </is>
      </c>
    </row>
    <row r="4071" ht="25.5" customHeight="1" s="289">
      <c r="A4071" s="205" t="n"/>
      <c r="B4071" s="207" t="n"/>
      <c r="C4071" s="104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348" t="n"/>
      <c r="E4071" s="349">
        <f>IF(C4071="","",IFERROR(VLOOKUP(C4071,parametros!$A$11:$E$15,5,0),""))</f>
        <v/>
      </c>
      <c r="F4071" s="335">
        <f>IF(OR(D4071="",E4071=""),"",ROUND(D4071*E4071,2))</f>
        <v/>
      </c>
      <c r="G4071" s="106" t="n"/>
      <c r="H4071" s="350">
        <f>IF(G4071="Sim",IF(OR(F4071="",D4071="",L4071=""),"",IF(L4071="Sim",ROUND(F4071-D4071,2),0)),0)</f>
        <v/>
      </c>
      <c r="I4071" s="350">
        <f>IF(G4071="Sim",0,IF(OR(F4071="",L4071=""),"",F4071))</f>
        <v/>
      </c>
      <c r="J4071" s="350">
        <f>IF(G4071="Sim",0,IF(OR(F4071="",D4071="",L4071=""),"",IF(L4071="Sim",ROUND(F4071-D4071,2),0)))</f>
        <v/>
      </c>
      <c r="K4071" s="97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inlineStr">
        <is>
          <t>Nao</t>
        </is>
      </c>
      <c r="W4071" s="110" t="inlineStr">
        <is>
          <t>PC em analise</t>
        </is>
      </c>
      <c r="X4071" s="110" t="inlineStr">
        <is>
          <t>Pedido de Compra</t>
        </is>
      </c>
      <c r="Y4071" s="111" t="inlineStr">
        <is>
          <t>Impacto Potencial</t>
        </is>
      </c>
      <c r="Z4071" s="111" t="inlineStr">
        <is>
          <t>PC</t>
        </is>
      </c>
      <c r="AA4071" s="111" t="inlineStr">
        <is>
          <t>Nao</t>
        </is>
      </c>
      <c r="AB4071" s="111" t="inlineStr">
        <is>
          <t>NAO_COMPUTADO</t>
        </is>
      </c>
      <c r="AC4071" s="112" t="inlineStr">
        <is>
          <t>Estrutura Fase 1: sem impacto no VTA oficial</t>
        </is>
      </c>
    </row>
    <row r="4072" ht="25.5" customHeight="1" s="289">
      <c r="A4072" s="205" t="n"/>
      <c r="B4072" s="207" t="n"/>
      <c r="C4072" s="104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348" t="n"/>
      <c r="E4072" s="349">
        <f>IF(C4072="","",IFERROR(VLOOKUP(C4072,parametros!$A$11:$E$15,5,0),""))</f>
        <v/>
      </c>
      <c r="F4072" s="335">
        <f>IF(OR(D4072="",E4072=""),"",ROUND(D4072*E4072,2))</f>
        <v/>
      </c>
      <c r="G4072" s="106" t="n"/>
      <c r="H4072" s="350">
        <f>IF(G4072="Sim",IF(OR(F4072="",D4072="",L4072=""),"",IF(L4072="Sim",ROUND(F4072-D4072,2),0)),0)</f>
        <v/>
      </c>
      <c r="I4072" s="350">
        <f>IF(G4072="Sim",0,IF(OR(F4072="",L4072=""),"",F4072))</f>
        <v/>
      </c>
      <c r="J4072" s="350">
        <f>IF(G4072="Sim",0,IF(OR(F4072="",D4072="",L4072=""),"",IF(L4072="Sim",ROUND(F4072-D4072,2),0)))</f>
        <v/>
      </c>
      <c r="K4072" s="97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inlineStr">
        <is>
          <t>Nao</t>
        </is>
      </c>
      <c r="W4072" s="110" t="inlineStr">
        <is>
          <t>PC em analise</t>
        </is>
      </c>
      <c r="X4072" s="110" t="inlineStr">
        <is>
          <t>Pedido de Compra</t>
        </is>
      </c>
      <c r="Y4072" s="111" t="inlineStr">
        <is>
          <t>Impacto Potencial</t>
        </is>
      </c>
      <c r="Z4072" s="111" t="inlineStr">
        <is>
          <t>PC</t>
        </is>
      </c>
      <c r="AA4072" s="111" t="inlineStr">
        <is>
          <t>Nao</t>
        </is>
      </c>
      <c r="AB4072" s="111" t="inlineStr">
        <is>
          <t>NAO_COMPUTADO</t>
        </is>
      </c>
      <c r="AC4072" s="112" t="inlineStr">
        <is>
          <t>Estrutura Fase 1: sem impacto no VTA oficial</t>
        </is>
      </c>
    </row>
    <row r="4073" ht="25.5" customHeight="1" s="289">
      <c r="A4073" s="205" t="n"/>
      <c r="B4073" s="207" t="n"/>
      <c r="C4073" s="104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348" t="n"/>
      <c r="E4073" s="349">
        <f>IF(C4073="","",IFERROR(VLOOKUP(C4073,parametros!$A$11:$E$15,5,0),""))</f>
        <v/>
      </c>
      <c r="F4073" s="335">
        <f>IF(OR(D4073="",E4073=""),"",ROUND(D4073*E4073,2))</f>
        <v/>
      </c>
      <c r="G4073" s="106" t="n"/>
      <c r="H4073" s="350">
        <f>IF(G4073="Sim",IF(OR(F4073="",D4073="",L4073=""),"",IF(L4073="Sim",ROUND(F4073-D4073,2),0)),0)</f>
        <v/>
      </c>
      <c r="I4073" s="350">
        <f>IF(G4073="Sim",0,IF(OR(F4073="",L4073=""),"",F4073))</f>
        <v/>
      </c>
      <c r="J4073" s="350">
        <f>IF(G4073="Sim",0,IF(OR(F4073="",D4073="",L4073=""),"",IF(L4073="Sim",ROUND(F4073-D4073,2),0)))</f>
        <v/>
      </c>
      <c r="K4073" s="97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inlineStr">
        <is>
          <t>Nao</t>
        </is>
      </c>
      <c r="W4073" s="110" t="inlineStr">
        <is>
          <t>PC em analise</t>
        </is>
      </c>
      <c r="X4073" s="110" t="inlineStr">
        <is>
          <t>Pedido de Compra</t>
        </is>
      </c>
      <c r="Y4073" s="111" t="inlineStr">
        <is>
          <t>Impacto Potencial</t>
        </is>
      </c>
      <c r="Z4073" s="111" t="inlineStr">
        <is>
          <t>PC</t>
        </is>
      </c>
      <c r="AA4073" s="111" t="inlineStr">
        <is>
          <t>Nao</t>
        </is>
      </c>
      <c r="AB4073" s="111" t="inlineStr">
        <is>
          <t>NAO_COMPUTADO</t>
        </is>
      </c>
      <c r="AC4073" s="112" t="inlineStr">
        <is>
          <t>Estrutura Fase 1: sem impacto no VTA oficial</t>
        </is>
      </c>
    </row>
    <row r="4074" ht="25.5" customHeight="1" s="289">
      <c r="A4074" s="205" t="n"/>
      <c r="B4074" s="207" t="n"/>
      <c r="C4074" s="104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348" t="n"/>
      <c r="E4074" s="349">
        <f>IF(C4074="","",IFERROR(VLOOKUP(C4074,parametros!$A$11:$E$15,5,0),""))</f>
        <v/>
      </c>
      <c r="F4074" s="335">
        <f>IF(OR(D4074="",E4074=""),"",ROUND(D4074*E4074,2))</f>
        <v/>
      </c>
      <c r="G4074" s="106" t="n"/>
      <c r="H4074" s="350">
        <f>IF(G4074="Sim",IF(OR(F4074="",D4074="",L4074=""),"",IF(L4074="Sim",ROUND(F4074-D4074,2),0)),0)</f>
        <v/>
      </c>
      <c r="I4074" s="350">
        <f>IF(G4074="Sim",0,IF(OR(F4074="",L4074=""),"",F4074))</f>
        <v/>
      </c>
      <c r="J4074" s="350">
        <f>IF(G4074="Sim",0,IF(OR(F4074="",D4074="",L4074=""),"",IF(L4074="Sim",ROUND(F4074-D4074,2),0)))</f>
        <v/>
      </c>
      <c r="K4074" s="97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inlineStr">
        <is>
          <t>Nao</t>
        </is>
      </c>
      <c r="W4074" s="110" t="inlineStr">
        <is>
          <t>PC em analise</t>
        </is>
      </c>
      <c r="X4074" s="110" t="inlineStr">
        <is>
          <t>Pedido de Compra</t>
        </is>
      </c>
      <c r="Y4074" s="111" t="inlineStr">
        <is>
          <t>Impacto Potencial</t>
        </is>
      </c>
      <c r="Z4074" s="111" t="inlineStr">
        <is>
          <t>PC</t>
        </is>
      </c>
      <c r="AA4074" s="111" t="inlineStr">
        <is>
          <t>Nao</t>
        </is>
      </c>
      <c r="AB4074" s="111" t="inlineStr">
        <is>
          <t>NAO_COMPUTADO</t>
        </is>
      </c>
      <c r="AC4074" s="112" t="inlineStr">
        <is>
          <t>Estrutura Fase 1: sem impacto no VTA oficial</t>
        </is>
      </c>
    </row>
    <row r="4075" ht="25.5" customHeight="1" s="289">
      <c r="A4075" s="205" t="n"/>
      <c r="B4075" s="207" t="n"/>
      <c r="C4075" s="104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348" t="n"/>
      <c r="E4075" s="349">
        <f>IF(C4075="","",IFERROR(VLOOKUP(C4075,parametros!$A$11:$E$15,5,0),""))</f>
        <v/>
      </c>
      <c r="F4075" s="335">
        <f>IF(OR(D4075="",E4075=""),"",ROUND(D4075*E4075,2))</f>
        <v/>
      </c>
      <c r="G4075" s="106" t="n"/>
      <c r="H4075" s="350">
        <f>IF(G4075="Sim",IF(OR(F4075="",D4075="",L4075=""),"",IF(L4075="Sim",ROUND(F4075-D4075,2),0)),0)</f>
        <v/>
      </c>
      <c r="I4075" s="350">
        <f>IF(G4075="Sim",0,IF(OR(F4075="",L4075=""),"",F4075))</f>
        <v/>
      </c>
      <c r="J4075" s="350">
        <f>IF(G4075="Sim",0,IF(OR(F4075="",D4075="",L4075=""),"",IF(L4075="Sim",ROUND(F4075-D4075,2),0)))</f>
        <v/>
      </c>
      <c r="K4075" s="97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inlineStr">
        <is>
          <t>Nao</t>
        </is>
      </c>
      <c r="W4075" s="110" t="inlineStr">
        <is>
          <t>PC em analise</t>
        </is>
      </c>
      <c r="X4075" s="110" t="inlineStr">
        <is>
          <t>Pedido de Compra</t>
        </is>
      </c>
      <c r="Y4075" s="111" t="inlineStr">
        <is>
          <t>Impacto Potencial</t>
        </is>
      </c>
      <c r="Z4075" s="111" t="inlineStr">
        <is>
          <t>PC</t>
        </is>
      </c>
      <c r="AA4075" s="111" t="inlineStr">
        <is>
          <t>Nao</t>
        </is>
      </c>
      <c r="AB4075" s="111" t="inlineStr">
        <is>
          <t>NAO_COMPUTADO</t>
        </is>
      </c>
      <c r="AC4075" s="112" t="inlineStr">
        <is>
          <t>Estrutura Fase 1: sem impacto no VTA oficial</t>
        </is>
      </c>
    </row>
    <row r="4076" ht="25.5" customHeight="1" s="289">
      <c r="A4076" s="205" t="n"/>
      <c r="B4076" s="207" t="n"/>
      <c r="C4076" s="104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348" t="n"/>
      <c r="E4076" s="349">
        <f>IF(C4076="","",IFERROR(VLOOKUP(C4076,parametros!$A$11:$E$15,5,0),""))</f>
        <v/>
      </c>
      <c r="F4076" s="335">
        <f>IF(OR(D4076="",E4076=""),"",ROUND(D4076*E4076,2))</f>
        <v/>
      </c>
      <c r="G4076" s="106" t="n"/>
      <c r="H4076" s="350">
        <f>IF(G4076="Sim",IF(OR(F4076="",D4076="",L4076=""),"",IF(L4076="Sim",ROUND(F4076-D4076,2),0)),0)</f>
        <v/>
      </c>
      <c r="I4076" s="350">
        <f>IF(G4076="Sim",0,IF(OR(F4076="",L4076=""),"",F4076))</f>
        <v/>
      </c>
      <c r="J4076" s="350">
        <f>IF(G4076="Sim",0,IF(OR(F4076="",D4076="",L4076=""),"",IF(L4076="Sim",ROUND(F4076-D4076,2),0)))</f>
        <v/>
      </c>
      <c r="K4076" s="97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inlineStr">
        <is>
          <t>Nao</t>
        </is>
      </c>
      <c r="W4076" s="110" t="inlineStr">
        <is>
          <t>PC em analise</t>
        </is>
      </c>
      <c r="X4076" s="110" t="inlineStr">
        <is>
          <t>Pedido de Compra</t>
        </is>
      </c>
      <c r="Y4076" s="111" t="inlineStr">
        <is>
          <t>Impacto Potencial</t>
        </is>
      </c>
      <c r="Z4076" s="111" t="inlineStr">
        <is>
          <t>PC</t>
        </is>
      </c>
      <c r="AA4076" s="111" t="inlineStr">
        <is>
          <t>Nao</t>
        </is>
      </c>
      <c r="AB4076" s="111" t="inlineStr">
        <is>
          <t>NAO_COMPUTADO</t>
        </is>
      </c>
      <c r="AC4076" s="112" t="inlineStr">
        <is>
          <t>Estrutura Fase 1: sem impacto no VTA oficial</t>
        </is>
      </c>
    </row>
    <row r="4077" ht="25.5" customHeight="1" s="289">
      <c r="A4077" s="205" t="n"/>
      <c r="B4077" s="207" t="n"/>
      <c r="C4077" s="104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348" t="n"/>
      <c r="E4077" s="349">
        <f>IF(C4077="","",IFERROR(VLOOKUP(C4077,parametros!$A$11:$E$15,5,0),""))</f>
        <v/>
      </c>
      <c r="F4077" s="335">
        <f>IF(OR(D4077="",E4077=""),"",ROUND(D4077*E4077,2))</f>
        <v/>
      </c>
      <c r="G4077" s="106" t="n"/>
      <c r="H4077" s="350">
        <f>IF(G4077="Sim",IF(OR(F4077="",D4077="",L4077=""),"",IF(L4077="Sim",ROUND(F4077-D4077,2),0)),0)</f>
        <v/>
      </c>
      <c r="I4077" s="350">
        <f>IF(G4077="Sim",0,IF(OR(F4077="",L4077=""),"",F4077))</f>
        <v/>
      </c>
      <c r="J4077" s="350">
        <f>IF(G4077="Sim",0,IF(OR(F4077="",D4077="",L4077=""),"",IF(L4077="Sim",ROUND(F4077-D4077,2),0)))</f>
        <v/>
      </c>
      <c r="K4077" s="97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inlineStr">
        <is>
          <t>Nao</t>
        </is>
      </c>
      <c r="W4077" s="110" t="inlineStr">
        <is>
          <t>PC em analise</t>
        </is>
      </c>
      <c r="X4077" s="110" t="inlineStr">
        <is>
          <t>Pedido de Compra</t>
        </is>
      </c>
      <c r="Y4077" s="111" t="inlineStr">
        <is>
          <t>Impacto Potencial</t>
        </is>
      </c>
      <c r="Z4077" s="111" t="inlineStr">
        <is>
          <t>PC</t>
        </is>
      </c>
      <c r="AA4077" s="111" t="inlineStr">
        <is>
          <t>Nao</t>
        </is>
      </c>
      <c r="AB4077" s="111" t="inlineStr">
        <is>
          <t>NAO_COMPUTADO</t>
        </is>
      </c>
      <c r="AC4077" s="112" t="inlineStr">
        <is>
          <t>Estrutura Fase 1: sem impacto no VTA oficial</t>
        </is>
      </c>
    </row>
    <row r="4078" ht="25.5" customHeight="1" s="289">
      <c r="A4078" s="205" t="n"/>
      <c r="B4078" s="207" t="n"/>
      <c r="C4078" s="104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348" t="n"/>
      <c r="E4078" s="349">
        <f>IF(C4078="","",IFERROR(VLOOKUP(C4078,parametros!$A$11:$E$15,5,0),""))</f>
        <v/>
      </c>
      <c r="F4078" s="335">
        <f>IF(OR(D4078="",E4078=""),"",ROUND(D4078*E4078,2))</f>
        <v/>
      </c>
      <c r="G4078" s="106" t="n"/>
      <c r="H4078" s="350">
        <f>IF(G4078="Sim",IF(OR(F4078="",D4078="",L4078=""),"",IF(L4078="Sim",ROUND(F4078-D4078,2),0)),0)</f>
        <v/>
      </c>
      <c r="I4078" s="350">
        <f>IF(G4078="Sim",0,IF(OR(F4078="",L4078=""),"",F4078))</f>
        <v/>
      </c>
      <c r="J4078" s="350">
        <f>IF(G4078="Sim",0,IF(OR(F4078="",D4078="",L4078=""),"",IF(L4078="Sim",ROUND(F4078-D4078,2),0)))</f>
        <v/>
      </c>
      <c r="K4078" s="97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inlineStr">
        <is>
          <t>Nao</t>
        </is>
      </c>
      <c r="W4078" s="110" t="inlineStr">
        <is>
          <t>PC em analise</t>
        </is>
      </c>
      <c r="X4078" s="110" t="inlineStr">
        <is>
          <t>Pedido de Compra</t>
        </is>
      </c>
      <c r="Y4078" s="111" t="inlineStr">
        <is>
          <t>Impacto Potencial</t>
        </is>
      </c>
      <c r="Z4078" s="111" t="inlineStr">
        <is>
          <t>PC</t>
        </is>
      </c>
      <c r="AA4078" s="111" t="inlineStr">
        <is>
          <t>Nao</t>
        </is>
      </c>
      <c r="AB4078" s="111" t="inlineStr">
        <is>
          <t>NAO_COMPUTADO</t>
        </is>
      </c>
      <c r="AC4078" s="112" t="inlineStr">
        <is>
          <t>Estrutura Fase 1: sem impacto no VTA oficial</t>
        </is>
      </c>
    </row>
    <row r="4079" ht="25.5" customHeight="1" s="289">
      <c r="A4079" s="205" t="n"/>
      <c r="B4079" s="207" t="n"/>
      <c r="C4079" s="104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348" t="n"/>
      <c r="E4079" s="349">
        <f>IF(C4079="","",IFERROR(VLOOKUP(C4079,parametros!$A$11:$E$15,5,0),""))</f>
        <v/>
      </c>
      <c r="F4079" s="335">
        <f>IF(OR(D4079="",E4079=""),"",ROUND(D4079*E4079,2))</f>
        <v/>
      </c>
      <c r="G4079" s="106" t="n"/>
      <c r="H4079" s="350">
        <f>IF(G4079="Sim",IF(OR(F4079="",D4079="",L4079=""),"",IF(L4079="Sim",ROUND(F4079-D4079,2),0)),0)</f>
        <v/>
      </c>
      <c r="I4079" s="350">
        <f>IF(G4079="Sim",0,IF(OR(F4079="",L4079=""),"",F4079))</f>
        <v/>
      </c>
      <c r="J4079" s="350">
        <f>IF(G4079="Sim",0,IF(OR(F4079="",D4079="",L4079=""),"",IF(L4079="Sim",ROUND(F4079-D4079,2),0)))</f>
        <v/>
      </c>
      <c r="K4079" s="97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inlineStr">
        <is>
          <t>Nao</t>
        </is>
      </c>
      <c r="W4079" s="110" t="inlineStr">
        <is>
          <t>PC em analise</t>
        </is>
      </c>
      <c r="X4079" s="110" t="inlineStr">
        <is>
          <t>Pedido de Compra</t>
        </is>
      </c>
      <c r="Y4079" s="111" t="inlineStr">
        <is>
          <t>Impacto Potencial</t>
        </is>
      </c>
      <c r="Z4079" s="111" t="inlineStr">
        <is>
          <t>PC</t>
        </is>
      </c>
      <c r="AA4079" s="111" t="inlineStr">
        <is>
          <t>Nao</t>
        </is>
      </c>
      <c r="AB4079" s="111" t="inlineStr">
        <is>
          <t>NAO_COMPUTADO</t>
        </is>
      </c>
      <c r="AC4079" s="112" t="inlineStr">
        <is>
          <t>Estrutura Fase 1: sem impacto no VTA oficial</t>
        </is>
      </c>
    </row>
    <row r="4080" ht="25.5" customHeight="1" s="289">
      <c r="A4080" s="205" t="n"/>
      <c r="B4080" s="207" t="n"/>
      <c r="C4080" s="104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348" t="n"/>
      <c r="E4080" s="349">
        <f>IF(C4080="","",IFERROR(VLOOKUP(C4080,parametros!$A$11:$E$15,5,0),""))</f>
        <v/>
      </c>
      <c r="F4080" s="335">
        <f>IF(OR(D4080="",E4080=""),"",ROUND(D4080*E4080,2))</f>
        <v/>
      </c>
      <c r="G4080" s="106" t="n"/>
      <c r="H4080" s="350">
        <f>IF(G4080="Sim",IF(OR(F4080="",D4080="",L4080=""),"",IF(L4080="Sim",ROUND(F4080-D4080,2),0)),0)</f>
        <v/>
      </c>
      <c r="I4080" s="350">
        <f>IF(G4080="Sim",0,IF(OR(F4080="",L4080=""),"",F4080))</f>
        <v/>
      </c>
      <c r="J4080" s="350">
        <f>IF(G4080="Sim",0,IF(OR(F4080="",D4080="",L4080=""),"",IF(L4080="Sim",ROUND(F4080-D4080,2),0)))</f>
        <v/>
      </c>
      <c r="K4080" s="97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inlineStr">
        <is>
          <t>Nao</t>
        </is>
      </c>
      <c r="W4080" s="110" t="inlineStr">
        <is>
          <t>PC em analise</t>
        </is>
      </c>
      <c r="X4080" s="110" t="inlineStr">
        <is>
          <t>Pedido de Compra</t>
        </is>
      </c>
      <c r="Y4080" s="111" t="inlineStr">
        <is>
          <t>Impacto Potencial</t>
        </is>
      </c>
      <c r="Z4080" s="111" t="inlineStr">
        <is>
          <t>PC</t>
        </is>
      </c>
      <c r="AA4080" s="111" t="inlineStr">
        <is>
          <t>Nao</t>
        </is>
      </c>
      <c r="AB4080" s="111" t="inlineStr">
        <is>
          <t>NAO_COMPUTADO</t>
        </is>
      </c>
      <c r="AC4080" s="112" t="inlineStr">
        <is>
          <t>Estrutura Fase 1: sem impacto no VTA oficial</t>
        </is>
      </c>
    </row>
    <row r="4081" ht="25.5" customHeight="1" s="289">
      <c r="A4081" s="205" t="n"/>
      <c r="B4081" s="207" t="n"/>
      <c r="C4081" s="104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348" t="n"/>
      <c r="E4081" s="349">
        <f>IF(C4081="","",IFERROR(VLOOKUP(C4081,parametros!$A$11:$E$15,5,0),""))</f>
        <v/>
      </c>
      <c r="F4081" s="335">
        <f>IF(OR(D4081="",E4081=""),"",ROUND(D4081*E4081,2))</f>
        <v/>
      </c>
      <c r="G4081" s="106" t="n"/>
      <c r="H4081" s="350">
        <f>IF(G4081="Sim",IF(OR(F4081="",D4081="",L4081=""),"",IF(L4081="Sim",ROUND(F4081-D4081,2),0)),0)</f>
        <v/>
      </c>
      <c r="I4081" s="350">
        <f>IF(G4081="Sim",0,IF(OR(F4081="",L4081=""),"",F4081))</f>
        <v/>
      </c>
      <c r="J4081" s="350">
        <f>IF(G4081="Sim",0,IF(OR(F4081="",D4081="",L4081=""),"",IF(L4081="Sim",ROUND(F4081-D4081,2),0)))</f>
        <v/>
      </c>
      <c r="K4081" s="97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inlineStr">
        <is>
          <t>Nao</t>
        </is>
      </c>
      <c r="W4081" s="110" t="inlineStr">
        <is>
          <t>PC em analise</t>
        </is>
      </c>
      <c r="X4081" s="110" t="inlineStr">
        <is>
          <t>Pedido de Compra</t>
        </is>
      </c>
      <c r="Y4081" s="111" t="inlineStr">
        <is>
          <t>Impacto Potencial</t>
        </is>
      </c>
      <c r="Z4081" s="111" t="inlineStr">
        <is>
          <t>PC</t>
        </is>
      </c>
      <c r="AA4081" s="111" t="inlineStr">
        <is>
          <t>Nao</t>
        </is>
      </c>
      <c r="AB4081" s="111" t="inlineStr">
        <is>
          <t>NAO_COMPUTADO</t>
        </is>
      </c>
      <c r="AC4081" s="112" t="inlineStr">
        <is>
          <t>Estrutura Fase 1: sem impacto no VTA oficial</t>
        </is>
      </c>
    </row>
    <row r="4082" ht="25.5" customHeight="1" s="289">
      <c r="A4082" s="205" t="n"/>
      <c r="B4082" s="207" t="n"/>
      <c r="C4082" s="104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348" t="n"/>
      <c r="E4082" s="349">
        <f>IF(C4082="","",IFERROR(VLOOKUP(C4082,parametros!$A$11:$E$15,5,0),""))</f>
        <v/>
      </c>
      <c r="F4082" s="335">
        <f>IF(OR(D4082="",E4082=""),"",ROUND(D4082*E4082,2))</f>
        <v/>
      </c>
      <c r="G4082" s="106" t="n"/>
      <c r="H4082" s="350">
        <f>IF(G4082="Sim",IF(OR(F4082="",D4082="",L4082=""),"",IF(L4082="Sim",ROUND(F4082-D4082,2),0)),0)</f>
        <v/>
      </c>
      <c r="I4082" s="350">
        <f>IF(G4082="Sim",0,IF(OR(F4082="",L4082=""),"",F4082))</f>
        <v/>
      </c>
      <c r="J4082" s="350">
        <f>IF(G4082="Sim",0,IF(OR(F4082="",D4082="",L4082=""),"",IF(L4082="Sim",ROUND(F4082-D4082,2),0)))</f>
        <v/>
      </c>
      <c r="K4082" s="97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inlineStr">
        <is>
          <t>Nao</t>
        </is>
      </c>
      <c r="W4082" s="110" t="inlineStr">
        <is>
          <t>PC em analise</t>
        </is>
      </c>
      <c r="X4082" s="110" t="inlineStr">
        <is>
          <t>Pedido de Compra</t>
        </is>
      </c>
      <c r="Y4082" s="111" t="inlineStr">
        <is>
          <t>Impacto Potencial</t>
        </is>
      </c>
      <c r="Z4082" s="111" t="inlineStr">
        <is>
          <t>PC</t>
        </is>
      </c>
      <c r="AA4082" s="111" t="inlineStr">
        <is>
          <t>Nao</t>
        </is>
      </c>
      <c r="AB4082" s="111" t="inlineStr">
        <is>
          <t>NAO_COMPUTADO</t>
        </is>
      </c>
      <c r="AC4082" s="112" t="inlineStr">
        <is>
          <t>Estrutura Fase 1: sem impacto no VTA oficial</t>
        </is>
      </c>
    </row>
    <row r="4083" ht="25.5" customHeight="1" s="289">
      <c r="A4083" s="205" t="n"/>
      <c r="B4083" s="207" t="n"/>
      <c r="C4083" s="104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348" t="n"/>
      <c r="E4083" s="349">
        <f>IF(C4083="","",IFERROR(VLOOKUP(C4083,parametros!$A$11:$E$15,5,0),""))</f>
        <v/>
      </c>
      <c r="F4083" s="335">
        <f>IF(OR(D4083="",E4083=""),"",ROUND(D4083*E4083,2))</f>
        <v/>
      </c>
      <c r="G4083" s="106" t="n"/>
      <c r="H4083" s="350">
        <f>IF(G4083="Sim",IF(OR(F4083="",D4083="",L4083=""),"",IF(L4083="Sim",ROUND(F4083-D4083,2),0)),0)</f>
        <v/>
      </c>
      <c r="I4083" s="350">
        <f>IF(G4083="Sim",0,IF(OR(F4083="",L4083=""),"",F4083))</f>
        <v/>
      </c>
      <c r="J4083" s="350">
        <f>IF(G4083="Sim",0,IF(OR(F4083="",D4083="",L4083=""),"",IF(L4083="Sim",ROUND(F4083-D4083,2),0)))</f>
        <v/>
      </c>
      <c r="K4083" s="97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inlineStr">
        <is>
          <t>Nao</t>
        </is>
      </c>
      <c r="W4083" s="110" t="inlineStr">
        <is>
          <t>PC em analise</t>
        </is>
      </c>
      <c r="X4083" s="110" t="inlineStr">
        <is>
          <t>Pedido de Compra</t>
        </is>
      </c>
      <c r="Y4083" s="111" t="inlineStr">
        <is>
          <t>Impacto Potencial</t>
        </is>
      </c>
      <c r="Z4083" s="111" t="inlineStr">
        <is>
          <t>PC</t>
        </is>
      </c>
      <c r="AA4083" s="111" t="inlineStr">
        <is>
          <t>Nao</t>
        </is>
      </c>
      <c r="AB4083" s="111" t="inlineStr">
        <is>
          <t>NAO_COMPUTADO</t>
        </is>
      </c>
      <c r="AC4083" s="112" t="inlineStr">
        <is>
          <t>Estrutura Fase 1: sem impacto no VTA oficial</t>
        </is>
      </c>
    </row>
    <row r="4084" ht="25.5" customHeight="1" s="289">
      <c r="A4084" s="205" t="n"/>
      <c r="B4084" s="207" t="n"/>
      <c r="C4084" s="104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348" t="n"/>
      <c r="E4084" s="349">
        <f>IF(C4084="","",IFERROR(VLOOKUP(C4084,parametros!$A$11:$E$15,5,0),""))</f>
        <v/>
      </c>
      <c r="F4084" s="335">
        <f>IF(OR(D4084="",E4084=""),"",ROUND(D4084*E4084,2))</f>
        <v/>
      </c>
      <c r="G4084" s="106" t="n"/>
      <c r="H4084" s="350">
        <f>IF(G4084="Sim",IF(OR(F4084="",D4084="",L4084=""),"",IF(L4084="Sim",ROUND(F4084-D4084,2),0)),0)</f>
        <v/>
      </c>
      <c r="I4084" s="350">
        <f>IF(G4084="Sim",0,IF(OR(F4084="",L4084=""),"",F4084))</f>
        <v/>
      </c>
      <c r="J4084" s="350">
        <f>IF(G4084="Sim",0,IF(OR(F4084="",D4084="",L4084=""),"",IF(L4084="Sim",ROUND(F4084-D4084,2),0)))</f>
        <v/>
      </c>
      <c r="K4084" s="97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inlineStr">
        <is>
          <t>Nao</t>
        </is>
      </c>
      <c r="W4084" s="110" t="inlineStr">
        <is>
          <t>PC em analise</t>
        </is>
      </c>
      <c r="X4084" s="110" t="inlineStr">
        <is>
          <t>Pedido de Compra</t>
        </is>
      </c>
      <c r="Y4084" s="111" t="inlineStr">
        <is>
          <t>Impacto Potencial</t>
        </is>
      </c>
      <c r="Z4084" s="111" t="inlineStr">
        <is>
          <t>PC</t>
        </is>
      </c>
      <c r="AA4084" s="111" t="inlineStr">
        <is>
          <t>Nao</t>
        </is>
      </c>
      <c r="AB4084" s="111" t="inlineStr">
        <is>
          <t>NAO_COMPUTADO</t>
        </is>
      </c>
      <c r="AC4084" s="112" t="inlineStr">
        <is>
          <t>Estrutura Fase 1: sem impacto no VTA oficial</t>
        </is>
      </c>
    </row>
    <row r="4085" ht="25.5" customHeight="1" s="289">
      <c r="A4085" s="205" t="n"/>
      <c r="B4085" s="207" t="n"/>
      <c r="C4085" s="104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348" t="n"/>
      <c r="E4085" s="349">
        <f>IF(C4085="","",IFERROR(VLOOKUP(C4085,parametros!$A$11:$E$15,5,0),""))</f>
        <v/>
      </c>
      <c r="F4085" s="335">
        <f>IF(OR(D4085="",E4085=""),"",ROUND(D4085*E4085,2))</f>
        <v/>
      </c>
      <c r="G4085" s="106" t="n"/>
      <c r="H4085" s="350">
        <f>IF(G4085="Sim",IF(OR(F4085="",D4085="",L4085=""),"",IF(L4085="Sim",ROUND(F4085-D4085,2),0)),0)</f>
        <v/>
      </c>
      <c r="I4085" s="350">
        <f>IF(G4085="Sim",0,IF(OR(F4085="",L4085=""),"",F4085))</f>
        <v/>
      </c>
      <c r="J4085" s="350">
        <f>IF(G4085="Sim",0,IF(OR(F4085="",D4085="",L4085=""),"",IF(L4085="Sim",ROUND(F4085-D4085,2),0)))</f>
        <v/>
      </c>
      <c r="K4085" s="97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inlineStr">
        <is>
          <t>Nao</t>
        </is>
      </c>
      <c r="W4085" s="110" t="inlineStr">
        <is>
          <t>PC em analise</t>
        </is>
      </c>
      <c r="X4085" s="110" t="inlineStr">
        <is>
          <t>Pedido de Compra</t>
        </is>
      </c>
      <c r="Y4085" s="111" t="inlineStr">
        <is>
          <t>Impacto Potencial</t>
        </is>
      </c>
      <c r="Z4085" s="111" t="inlineStr">
        <is>
          <t>PC</t>
        </is>
      </c>
      <c r="AA4085" s="111" t="inlineStr">
        <is>
          <t>Nao</t>
        </is>
      </c>
      <c r="AB4085" s="111" t="inlineStr">
        <is>
          <t>NAO_COMPUTADO</t>
        </is>
      </c>
      <c r="AC4085" s="112" t="inlineStr">
        <is>
          <t>Estrutura Fase 1: sem impacto no VTA oficial</t>
        </is>
      </c>
    </row>
    <row r="4086" ht="25.5" customHeight="1" s="289">
      <c r="A4086" s="205" t="n"/>
      <c r="B4086" s="207" t="n"/>
      <c r="C4086" s="104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348" t="n"/>
      <c r="E4086" s="349">
        <f>IF(C4086="","",IFERROR(VLOOKUP(C4086,parametros!$A$11:$E$15,5,0),""))</f>
        <v/>
      </c>
      <c r="F4086" s="335">
        <f>IF(OR(D4086="",E4086=""),"",ROUND(D4086*E4086,2))</f>
        <v/>
      </c>
      <c r="G4086" s="106" t="n"/>
      <c r="H4086" s="350">
        <f>IF(G4086="Sim",IF(OR(F4086="",D4086="",L4086=""),"",IF(L4086="Sim",ROUND(F4086-D4086,2),0)),0)</f>
        <v/>
      </c>
      <c r="I4086" s="350">
        <f>IF(G4086="Sim",0,IF(OR(F4086="",L4086=""),"",F4086))</f>
        <v/>
      </c>
      <c r="J4086" s="350">
        <f>IF(G4086="Sim",0,IF(OR(F4086="",D4086="",L4086=""),"",IF(L4086="Sim",ROUND(F4086-D4086,2),0)))</f>
        <v/>
      </c>
      <c r="K4086" s="97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inlineStr">
        <is>
          <t>Nao</t>
        </is>
      </c>
      <c r="W4086" s="110" t="inlineStr">
        <is>
          <t>PC em analise</t>
        </is>
      </c>
      <c r="X4086" s="110" t="inlineStr">
        <is>
          <t>Pedido de Compra</t>
        </is>
      </c>
      <c r="Y4086" s="111" t="inlineStr">
        <is>
          <t>Impacto Potencial</t>
        </is>
      </c>
      <c r="Z4086" s="111" t="inlineStr">
        <is>
          <t>PC</t>
        </is>
      </c>
      <c r="AA4086" s="111" t="inlineStr">
        <is>
          <t>Nao</t>
        </is>
      </c>
      <c r="AB4086" s="111" t="inlineStr">
        <is>
          <t>NAO_COMPUTADO</t>
        </is>
      </c>
      <c r="AC4086" s="112" t="inlineStr">
        <is>
          <t>Estrutura Fase 1: sem impacto no VTA oficial</t>
        </is>
      </c>
    </row>
    <row r="4087" ht="25.5" customHeight="1" s="289">
      <c r="A4087" s="205" t="n"/>
      <c r="B4087" s="207" t="n"/>
      <c r="C4087" s="104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348" t="n"/>
      <c r="E4087" s="349">
        <f>IF(C4087="","",IFERROR(VLOOKUP(C4087,parametros!$A$11:$E$15,5,0),""))</f>
        <v/>
      </c>
      <c r="F4087" s="335">
        <f>IF(OR(D4087="",E4087=""),"",ROUND(D4087*E4087,2))</f>
        <v/>
      </c>
      <c r="G4087" s="106" t="n"/>
      <c r="H4087" s="350">
        <f>IF(G4087="Sim",IF(OR(F4087="",D4087="",L4087=""),"",IF(L4087="Sim",ROUND(F4087-D4087,2),0)),0)</f>
        <v/>
      </c>
      <c r="I4087" s="350">
        <f>IF(G4087="Sim",0,IF(OR(F4087="",L4087=""),"",F4087))</f>
        <v/>
      </c>
      <c r="J4087" s="350">
        <f>IF(G4087="Sim",0,IF(OR(F4087="",D4087="",L4087=""),"",IF(L4087="Sim",ROUND(F4087-D4087,2),0)))</f>
        <v/>
      </c>
      <c r="K4087" s="97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inlineStr">
        <is>
          <t>Nao</t>
        </is>
      </c>
      <c r="W4087" s="110" t="inlineStr">
        <is>
          <t>PC em analise</t>
        </is>
      </c>
      <c r="X4087" s="110" t="inlineStr">
        <is>
          <t>Pedido de Compra</t>
        </is>
      </c>
      <c r="Y4087" s="111" t="inlineStr">
        <is>
          <t>Impacto Potencial</t>
        </is>
      </c>
      <c r="Z4087" s="111" t="inlineStr">
        <is>
          <t>PC</t>
        </is>
      </c>
      <c r="AA4087" s="111" t="inlineStr">
        <is>
          <t>Nao</t>
        </is>
      </c>
      <c r="AB4087" s="111" t="inlineStr">
        <is>
          <t>NAO_COMPUTADO</t>
        </is>
      </c>
      <c r="AC4087" s="112" t="inlineStr">
        <is>
          <t>Estrutura Fase 1: sem impacto no VTA oficial</t>
        </is>
      </c>
    </row>
    <row r="4088" ht="25.5" customHeight="1" s="289">
      <c r="A4088" s="205" t="n"/>
      <c r="B4088" s="207" t="n"/>
      <c r="C4088" s="104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348" t="n"/>
      <c r="E4088" s="349">
        <f>IF(C4088="","",IFERROR(VLOOKUP(C4088,parametros!$A$11:$E$15,5,0),""))</f>
        <v/>
      </c>
      <c r="F4088" s="335">
        <f>IF(OR(D4088="",E4088=""),"",ROUND(D4088*E4088,2))</f>
        <v/>
      </c>
      <c r="G4088" s="106" t="n"/>
      <c r="H4088" s="350">
        <f>IF(G4088="Sim",IF(OR(F4088="",D4088="",L4088=""),"",IF(L4088="Sim",ROUND(F4088-D4088,2),0)),0)</f>
        <v/>
      </c>
      <c r="I4088" s="350">
        <f>IF(G4088="Sim",0,IF(OR(F4088="",L4088=""),"",F4088))</f>
        <v/>
      </c>
      <c r="J4088" s="350">
        <f>IF(G4088="Sim",0,IF(OR(F4088="",D4088="",L4088=""),"",IF(L4088="Sim",ROUND(F4088-D4088,2),0)))</f>
        <v/>
      </c>
      <c r="K4088" s="97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inlineStr">
        <is>
          <t>Nao</t>
        </is>
      </c>
      <c r="W4088" s="110" t="inlineStr">
        <is>
          <t>PC em analise</t>
        </is>
      </c>
      <c r="X4088" s="110" t="inlineStr">
        <is>
          <t>Pedido de Compra</t>
        </is>
      </c>
      <c r="Y4088" s="111" t="inlineStr">
        <is>
          <t>Impacto Potencial</t>
        </is>
      </c>
      <c r="Z4088" s="111" t="inlineStr">
        <is>
          <t>PC</t>
        </is>
      </c>
      <c r="AA4088" s="111" t="inlineStr">
        <is>
          <t>Nao</t>
        </is>
      </c>
      <c r="AB4088" s="111" t="inlineStr">
        <is>
          <t>NAO_COMPUTADO</t>
        </is>
      </c>
      <c r="AC4088" s="112" t="inlineStr">
        <is>
          <t>Estrutura Fase 1: sem impacto no VTA oficial</t>
        </is>
      </c>
    </row>
    <row r="4089" ht="25.5" customHeight="1" s="289">
      <c r="A4089" s="205" t="n"/>
      <c r="B4089" s="207" t="n"/>
      <c r="C4089" s="104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348" t="n"/>
      <c r="E4089" s="349">
        <f>IF(C4089="","",IFERROR(VLOOKUP(C4089,parametros!$A$11:$E$15,5,0),""))</f>
        <v/>
      </c>
      <c r="F4089" s="335">
        <f>IF(OR(D4089="",E4089=""),"",ROUND(D4089*E4089,2))</f>
        <v/>
      </c>
      <c r="G4089" s="106" t="n"/>
      <c r="H4089" s="350">
        <f>IF(G4089="Sim",IF(OR(F4089="",D4089="",L4089=""),"",IF(L4089="Sim",ROUND(F4089-D4089,2),0)),0)</f>
        <v/>
      </c>
      <c r="I4089" s="350">
        <f>IF(G4089="Sim",0,IF(OR(F4089="",L4089=""),"",F4089))</f>
        <v/>
      </c>
      <c r="J4089" s="350">
        <f>IF(G4089="Sim",0,IF(OR(F4089="",D4089="",L4089=""),"",IF(L4089="Sim",ROUND(F4089-D4089,2),0)))</f>
        <v/>
      </c>
      <c r="K4089" s="97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inlineStr">
        <is>
          <t>Nao</t>
        </is>
      </c>
      <c r="W4089" s="110" t="inlineStr">
        <is>
          <t>PC em analise</t>
        </is>
      </c>
      <c r="X4089" s="110" t="inlineStr">
        <is>
          <t>Pedido de Compra</t>
        </is>
      </c>
      <c r="Y4089" s="111" t="inlineStr">
        <is>
          <t>Impacto Potencial</t>
        </is>
      </c>
      <c r="Z4089" s="111" t="inlineStr">
        <is>
          <t>PC</t>
        </is>
      </c>
      <c r="AA4089" s="111" t="inlineStr">
        <is>
          <t>Nao</t>
        </is>
      </c>
      <c r="AB4089" s="111" t="inlineStr">
        <is>
          <t>NAO_COMPUTADO</t>
        </is>
      </c>
      <c r="AC4089" s="112" t="inlineStr">
        <is>
          <t>Estrutura Fase 1: sem impacto no VTA oficial</t>
        </is>
      </c>
    </row>
    <row r="4090" ht="25.5" customHeight="1" s="289">
      <c r="A4090" s="205" t="n"/>
      <c r="B4090" s="207" t="n"/>
      <c r="C4090" s="104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348" t="n"/>
      <c r="E4090" s="349">
        <f>IF(C4090="","",IFERROR(VLOOKUP(C4090,parametros!$A$11:$E$15,5,0),""))</f>
        <v/>
      </c>
      <c r="F4090" s="335">
        <f>IF(OR(D4090="",E4090=""),"",ROUND(D4090*E4090,2))</f>
        <v/>
      </c>
      <c r="G4090" s="106" t="n"/>
      <c r="H4090" s="350">
        <f>IF(G4090="Sim",IF(OR(F4090="",D4090="",L4090=""),"",IF(L4090="Sim",ROUND(F4090-D4090,2),0)),0)</f>
        <v/>
      </c>
      <c r="I4090" s="350">
        <f>IF(G4090="Sim",0,IF(OR(F4090="",L4090=""),"",F4090))</f>
        <v/>
      </c>
      <c r="J4090" s="350">
        <f>IF(G4090="Sim",0,IF(OR(F4090="",D4090="",L4090=""),"",IF(L4090="Sim",ROUND(F4090-D4090,2),0)))</f>
        <v/>
      </c>
      <c r="K4090" s="97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inlineStr">
        <is>
          <t>Nao</t>
        </is>
      </c>
      <c r="W4090" s="110" t="inlineStr">
        <is>
          <t>PC em analise</t>
        </is>
      </c>
      <c r="X4090" s="110" t="inlineStr">
        <is>
          <t>Pedido de Compra</t>
        </is>
      </c>
      <c r="Y4090" s="111" t="inlineStr">
        <is>
          <t>Impacto Potencial</t>
        </is>
      </c>
      <c r="Z4090" s="111" t="inlineStr">
        <is>
          <t>PC</t>
        </is>
      </c>
      <c r="AA4090" s="111" t="inlineStr">
        <is>
          <t>Nao</t>
        </is>
      </c>
      <c r="AB4090" s="111" t="inlineStr">
        <is>
          <t>NAO_COMPUTADO</t>
        </is>
      </c>
      <c r="AC4090" s="112" t="inlineStr">
        <is>
          <t>Estrutura Fase 1: sem impacto no VTA oficial</t>
        </is>
      </c>
    </row>
    <row r="4091" ht="25.5" customHeight="1" s="289">
      <c r="A4091" s="205" t="n"/>
      <c r="B4091" s="207" t="n"/>
      <c r="C4091" s="104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348" t="n"/>
      <c r="E4091" s="349">
        <f>IF(C4091="","",IFERROR(VLOOKUP(C4091,parametros!$A$11:$E$15,5,0),""))</f>
        <v/>
      </c>
      <c r="F4091" s="335">
        <f>IF(OR(D4091="",E4091=""),"",ROUND(D4091*E4091,2))</f>
        <v/>
      </c>
      <c r="G4091" s="106" t="n"/>
      <c r="H4091" s="350">
        <f>IF(G4091="Sim",IF(OR(F4091="",D4091="",L4091=""),"",IF(L4091="Sim",ROUND(F4091-D4091,2),0)),0)</f>
        <v/>
      </c>
      <c r="I4091" s="350">
        <f>IF(G4091="Sim",0,IF(OR(F4091="",L4091=""),"",F4091))</f>
        <v/>
      </c>
      <c r="J4091" s="350">
        <f>IF(G4091="Sim",0,IF(OR(F4091="",D4091="",L4091=""),"",IF(L4091="Sim",ROUND(F4091-D4091,2),0)))</f>
        <v/>
      </c>
      <c r="K4091" s="97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inlineStr">
        <is>
          <t>Nao</t>
        </is>
      </c>
      <c r="W4091" s="110" t="inlineStr">
        <is>
          <t>PC em analise</t>
        </is>
      </c>
      <c r="X4091" s="110" t="inlineStr">
        <is>
          <t>Pedido de Compra</t>
        </is>
      </c>
      <c r="Y4091" s="111" t="inlineStr">
        <is>
          <t>Impacto Potencial</t>
        </is>
      </c>
      <c r="Z4091" s="111" t="inlineStr">
        <is>
          <t>PC</t>
        </is>
      </c>
      <c r="AA4091" s="111" t="inlineStr">
        <is>
          <t>Nao</t>
        </is>
      </c>
      <c r="AB4091" s="111" t="inlineStr">
        <is>
          <t>NAO_COMPUTADO</t>
        </is>
      </c>
      <c r="AC4091" s="112" t="inlineStr">
        <is>
          <t>Estrutura Fase 1: sem impacto no VTA oficial</t>
        </is>
      </c>
    </row>
    <row r="4092" ht="25.5" customHeight="1" s="289">
      <c r="A4092" s="205" t="n"/>
      <c r="B4092" s="207" t="n"/>
      <c r="C4092" s="104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348" t="n"/>
      <c r="E4092" s="349">
        <f>IF(C4092="","",IFERROR(VLOOKUP(C4092,parametros!$A$11:$E$15,5,0),""))</f>
        <v/>
      </c>
      <c r="F4092" s="335">
        <f>IF(OR(D4092="",E4092=""),"",ROUND(D4092*E4092,2))</f>
        <v/>
      </c>
      <c r="G4092" s="106" t="n"/>
      <c r="H4092" s="350">
        <f>IF(G4092="Sim",IF(OR(F4092="",D4092="",L4092=""),"",IF(L4092="Sim",ROUND(F4092-D4092,2),0)),0)</f>
        <v/>
      </c>
      <c r="I4092" s="350">
        <f>IF(G4092="Sim",0,IF(OR(F4092="",L4092=""),"",F4092))</f>
        <v/>
      </c>
      <c r="J4092" s="350">
        <f>IF(G4092="Sim",0,IF(OR(F4092="",D4092="",L4092=""),"",IF(L4092="Sim",ROUND(F4092-D4092,2),0)))</f>
        <v/>
      </c>
      <c r="K4092" s="97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inlineStr">
        <is>
          <t>Nao</t>
        </is>
      </c>
      <c r="W4092" s="110" t="inlineStr">
        <is>
          <t>PC em analise</t>
        </is>
      </c>
      <c r="X4092" s="110" t="inlineStr">
        <is>
          <t>Pedido de Compra</t>
        </is>
      </c>
      <c r="Y4092" s="111" t="inlineStr">
        <is>
          <t>Impacto Potencial</t>
        </is>
      </c>
      <c r="Z4092" s="111" t="inlineStr">
        <is>
          <t>PC</t>
        </is>
      </c>
      <c r="AA4092" s="111" t="inlineStr">
        <is>
          <t>Nao</t>
        </is>
      </c>
      <c r="AB4092" s="111" t="inlineStr">
        <is>
          <t>NAO_COMPUTADO</t>
        </is>
      </c>
      <c r="AC4092" s="112" t="inlineStr">
        <is>
          <t>Estrutura Fase 1: sem impacto no VTA oficial</t>
        </is>
      </c>
    </row>
    <row r="4093" ht="25.5" customHeight="1" s="289">
      <c r="A4093" s="205" t="n"/>
      <c r="B4093" s="207" t="n"/>
      <c r="C4093" s="104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348" t="n"/>
      <c r="E4093" s="349">
        <f>IF(C4093="","",IFERROR(VLOOKUP(C4093,parametros!$A$11:$E$15,5,0),""))</f>
        <v/>
      </c>
      <c r="F4093" s="335">
        <f>IF(OR(D4093="",E4093=""),"",ROUND(D4093*E4093,2))</f>
        <v/>
      </c>
      <c r="G4093" s="106" t="n"/>
      <c r="H4093" s="350">
        <f>IF(G4093="Sim",IF(OR(F4093="",D4093="",L4093=""),"",IF(L4093="Sim",ROUND(F4093-D4093,2),0)),0)</f>
        <v/>
      </c>
      <c r="I4093" s="350">
        <f>IF(G4093="Sim",0,IF(OR(F4093="",L4093=""),"",F4093))</f>
        <v/>
      </c>
      <c r="J4093" s="350">
        <f>IF(G4093="Sim",0,IF(OR(F4093="",D4093="",L4093=""),"",IF(L4093="Sim",ROUND(F4093-D4093,2),0)))</f>
        <v/>
      </c>
      <c r="K4093" s="97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inlineStr">
        <is>
          <t>Nao</t>
        </is>
      </c>
      <c r="W4093" s="110" t="inlineStr">
        <is>
          <t>PC em analise</t>
        </is>
      </c>
      <c r="X4093" s="110" t="inlineStr">
        <is>
          <t>Pedido de Compra</t>
        </is>
      </c>
      <c r="Y4093" s="111" t="inlineStr">
        <is>
          <t>Impacto Potencial</t>
        </is>
      </c>
      <c r="Z4093" s="111" t="inlineStr">
        <is>
          <t>PC</t>
        </is>
      </c>
      <c r="AA4093" s="111" t="inlineStr">
        <is>
          <t>Nao</t>
        </is>
      </c>
      <c r="AB4093" s="111" t="inlineStr">
        <is>
          <t>NAO_COMPUTADO</t>
        </is>
      </c>
      <c r="AC4093" s="112" t="inlineStr">
        <is>
          <t>Estrutura Fase 1: sem impacto no VTA oficial</t>
        </is>
      </c>
    </row>
    <row r="4094" ht="25.5" customHeight="1" s="289">
      <c r="A4094" s="205" t="n"/>
      <c r="B4094" s="207" t="n"/>
      <c r="C4094" s="104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348" t="n"/>
      <c r="E4094" s="349">
        <f>IF(C4094="","",IFERROR(VLOOKUP(C4094,parametros!$A$11:$E$15,5,0),""))</f>
        <v/>
      </c>
      <c r="F4094" s="335">
        <f>IF(OR(D4094="",E4094=""),"",ROUND(D4094*E4094,2))</f>
        <v/>
      </c>
      <c r="G4094" s="106" t="n"/>
      <c r="H4094" s="350">
        <f>IF(G4094="Sim",IF(OR(F4094="",D4094="",L4094=""),"",IF(L4094="Sim",ROUND(F4094-D4094,2),0)),0)</f>
        <v/>
      </c>
      <c r="I4094" s="350">
        <f>IF(G4094="Sim",0,IF(OR(F4094="",L4094=""),"",F4094))</f>
        <v/>
      </c>
      <c r="J4094" s="350">
        <f>IF(G4094="Sim",0,IF(OR(F4094="",D4094="",L4094=""),"",IF(L4094="Sim",ROUND(F4094-D4094,2),0)))</f>
        <v/>
      </c>
      <c r="K4094" s="97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inlineStr">
        <is>
          <t>Nao</t>
        </is>
      </c>
      <c r="W4094" s="110" t="inlineStr">
        <is>
          <t>PC em analise</t>
        </is>
      </c>
      <c r="X4094" s="110" t="inlineStr">
        <is>
          <t>Pedido de Compra</t>
        </is>
      </c>
      <c r="Y4094" s="111" t="inlineStr">
        <is>
          <t>Impacto Potencial</t>
        </is>
      </c>
      <c r="Z4094" s="111" t="inlineStr">
        <is>
          <t>PC</t>
        </is>
      </c>
      <c r="AA4094" s="111" t="inlineStr">
        <is>
          <t>Nao</t>
        </is>
      </c>
      <c r="AB4094" s="111" t="inlineStr">
        <is>
          <t>NAO_COMPUTADO</t>
        </is>
      </c>
      <c r="AC4094" s="112" t="inlineStr">
        <is>
          <t>Estrutura Fase 1: sem impacto no VTA oficial</t>
        </is>
      </c>
    </row>
    <row r="4095" ht="25.5" customHeight="1" s="289">
      <c r="A4095" s="205" t="n"/>
      <c r="B4095" s="207" t="n"/>
      <c r="C4095" s="104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348" t="n"/>
      <c r="E4095" s="349">
        <f>IF(C4095="","",IFERROR(VLOOKUP(C4095,parametros!$A$11:$E$15,5,0),""))</f>
        <v/>
      </c>
      <c r="F4095" s="335">
        <f>IF(OR(D4095="",E4095=""),"",ROUND(D4095*E4095,2))</f>
        <v/>
      </c>
      <c r="G4095" s="106" t="n"/>
      <c r="H4095" s="350">
        <f>IF(G4095="Sim",IF(OR(F4095="",D4095="",L4095=""),"",IF(L4095="Sim",ROUND(F4095-D4095,2),0)),0)</f>
        <v/>
      </c>
      <c r="I4095" s="350">
        <f>IF(G4095="Sim",0,IF(OR(F4095="",L4095=""),"",F4095))</f>
        <v/>
      </c>
      <c r="J4095" s="350">
        <f>IF(G4095="Sim",0,IF(OR(F4095="",D4095="",L4095=""),"",IF(L4095="Sim",ROUND(F4095-D4095,2),0)))</f>
        <v/>
      </c>
      <c r="K4095" s="97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inlineStr">
        <is>
          <t>Nao</t>
        </is>
      </c>
      <c r="W4095" s="110" t="inlineStr">
        <is>
          <t>PC em analise</t>
        </is>
      </c>
      <c r="X4095" s="110" t="inlineStr">
        <is>
          <t>Pedido de Compra</t>
        </is>
      </c>
      <c r="Y4095" s="111" t="inlineStr">
        <is>
          <t>Impacto Potencial</t>
        </is>
      </c>
      <c r="Z4095" s="111" t="inlineStr">
        <is>
          <t>PC</t>
        </is>
      </c>
      <c r="AA4095" s="111" t="inlineStr">
        <is>
          <t>Nao</t>
        </is>
      </c>
      <c r="AB4095" s="111" t="inlineStr">
        <is>
          <t>NAO_COMPUTADO</t>
        </is>
      </c>
      <c r="AC4095" s="112" t="inlineStr">
        <is>
          <t>Estrutura Fase 1: sem impacto no VTA oficial</t>
        </is>
      </c>
    </row>
    <row r="4096" ht="25.5" customHeight="1" s="289">
      <c r="A4096" s="205" t="n"/>
      <c r="B4096" s="207" t="n"/>
      <c r="C4096" s="104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348" t="n"/>
      <c r="E4096" s="349">
        <f>IF(C4096="","",IFERROR(VLOOKUP(C4096,parametros!$A$11:$E$15,5,0),""))</f>
        <v/>
      </c>
      <c r="F4096" s="335">
        <f>IF(OR(D4096="",E4096=""),"",ROUND(D4096*E4096,2))</f>
        <v/>
      </c>
      <c r="G4096" s="106" t="n"/>
      <c r="H4096" s="350">
        <f>IF(G4096="Sim",IF(OR(F4096="",D4096="",L4096=""),"",IF(L4096="Sim",ROUND(F4096-D4096,2),0)),0)</f>
        <v/>
      </c>
      <c r="I4096" s="350">
        <f>IF(G4096="Sim",0,IF(OR(F4096="",L4096=""),"",F4096))</f>
        <v/>
      </c>
      <c r="J4096" s="350">
        <f>IF(G4096="Sim",0,IF(OR(F4096="",D4096="",L4096=""),"",IF(L4096="Sim",ROUND(F4096-D4096,2),0)))</f>
        <v/>
      </c>
      <c r="K4096" s="97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inlineStr">
        <is>
          <t>Nao</t>
        </is>
      </c>
      <c r="W4096" s="110" t="inlineStr">
        <is>
          <t>PC em analise</t>
        </is>
      </c>
      <c r="X4096" s="110" t="inlineStr">
        <is>
          <t>Pedido de Compra</t>
        </is>
      </c>
      <c r="Y4096" s="111" t="inlineStr">
        <is>
          <t>Impacto Potencial</t>
        </is>
      </c>
      <c r="Z4096" s="111" t="inlineStr">
        <is>
          <t>PC</t>
        </is>
      </c>
      <c r="AA4096" s="111" t="inlineStr">
        <is>
          <t>Nao</t>
        </is>
      </c>
      <c r="AB4096" s="111" t="inlineStr">
        <is>
          <t>NAO_COMPUTADO</t>
        </is>
      </c>
      <c r="AC4096" s="112" t="inlineStr">
        <is>
          <t>Estrutura Fase 1: sem impacto no VTA oficial</t>
        </is>
      </c>
    </row>
    <row r="4097" ht="25.5" customHeight="1" s="289">
      <c r="A4097" s="205" t="n"/>
      <c r="B4097" s="207" t="n"/>
      <c r="C4097" s="104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348" t="n"/>
      <c r="E4097" s="349">
        <f>IF(C4097="","",IFERROR(VLOOKUP(C4097,parametros!$A$11:$E$15,5,0),""))</f>
        <v/>
      </c>
      <c r="F4097" s="335">
        <f>IF(OR(D4097="",E4097=""),"",ROUND(D4097*E4097,2))</f>
        <v/>
      </c>
      <c r="G4097" s="106" t="n"/>
      <c r="H4097" s="350">
        <f>IF(G4097="Sim",IF(OR(F4097="",D4097="",L4097=""),"",IF(L4097="Sim",ROUND(F4097-D4097,2),0)),0)</f>
        <v/>
      </c>
      <c r="I4097" s="350">
        <f>IF(G4097="Sim",0,IF(OR(F4097="",L4097=""),"",F4097))</f>
        <v/>
      </c>
      <c r="J4097" s="350">
        <f>IF(G4097="Sim",0,IF(OR(F4097="",D4097="",L4097=""),"",IF(L4097="Sim",ROUND(F4097-D4097,2),0)))</f>
        <v/>
      </c>
      <c r="K4097" s="97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inlineStr">
        <is>
          <t>Nao</t>
        </is>
      </c>
      <c r="W4097" s="110" t="inlineStr">
        <is>
          <t>PC em analise</t>
        </is>
      </c>
      <c r="X4097" s="110" t="inlineStr">
        <is>
          <t>Pedido de Compra</t>
        </is>
      </c>
      <c r="Y4097" s="111" t="inlineStr">
        <is>
          <t>Impacto Potencial</t>
        </is>
      </c>
      <c r="Z4097" s="111" t="inlineStr">
        <is>
          <t>PC</t>
        </is>
      </c>
      <c r="AA4097" s="111" t="inlineStr">
        <is>
          <t>Nao</t>
        </is>
      </c>
      <c r="AB4097" s="111" t="inlineStr">
        <is>
          <t>NAO_COMPUTADO</t>
        </is>
      </c>
      <c r="AC4097" s="112" t="inlineStr">
        <is>
          <t>Estrutura Fase 1: sem impacto no VTA oficial</t>
        </is>
      </c>
    </row>
    <row r="4098" ht="25.5" customHeight="1" s="289">
      <c r="A4098" s="205" t="n"/>
      <c r="B4098" s="207" t="n"/>
      <c r="C4098" s="104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348" t="n"/>
      <c r="E4098" s="349">
        <f>IF(C4098="","",IFERROR(VLOOKUP(C4098,parametros!$A$11:$E$15,5,0),""))</f>
        <v/>
      </c>
      <c r="F4098" s="335">
        <f>IF(OR(D4098="",E4098=""),"",ROUND(D4098*E4098,2))</f>
        <v/>
      </c>
      <c r="G4098" s="106" t="n"/>
      <c r="H4098" s="350">
        <f>IF(G4098="Sim",IF(OR(F4098="",D4098="",L4098=""),"",IF(L4098="Sim",ROUND(F4098-D4098,2),0)),0)</f>
        <v/>
      </c>
      <c r="I4098" s="350">
        <f>IF(G4098="Sim",0,IF(OR(F4098="",L4098=""),"",F4098))</f>
        <v/>
      </c>
      <c r="J4098" s="350">
        <f>IF(G4098="Sim",0,IF(OR(F4098="",D4098="",L4098=""),"",IF(L4098="Sim",ROUND(F4098-D4098,2),0)))</f>
        <v/>
      </c>
      <c r="K4098" s="97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inlineStr">
        <is>
          <t>Nao</t>
        </is>
      </c>
      <c r="W4098" s="110" t="inlineStr">
        <is>
          <t>PC em analise</t>
        </is>
      </c>
      <c r="X4098" s="110" t="inlineStr">
        <is>
          <t>Pedido de Compra</t>
        </is>
      </c>
      <c r="Y4098" s="111" t="inlineStr">
        <is>
          <t>Impacto Potencial</t>
        </is>
      </c>
      <c r="Z4098" s="111" t="inlineStr">
        <is>
          <t>PC</t>
        </is>
      </c>
      <c r="AA4098" s="111" t="inlineStr">
        <is>
          <t>Nao</t>
        </is>
      </c>
      <c r="AB4098" s="111" t="inlineStr">
        <is>
          <t>NAO_COMPUTADO</t>
        </is>
      </c>
      <c r="AC4098" s="112" t="inlineStr">
        <is>
          <t>Estrutura Fase 1: sem impacto no VTA oficial</t>
        </is>
      </c>
    </row>
    <row r="4099" ht="25.5" customHeight="1" s="289">
      <c r="A4099" s="205" t="n"/>
      <c r="B4099" s="207" t="n"/>
      <c r="C4099" s="104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348" t="n"/>
      <c r="E4099" s="349">
        <f>IF(C4099="","",IFERROR(VLOOKUP(C4099,parametros!$A$11:$E$15,5,0),""))</f>
        <v/>
      </c>
      <c r="F4099" s="335">
        <f>IF(OR(D4099="",E4099=""),"",ROUND(D4099*E4099,2))</f>
        <v/>
      </c>
      <c r="G4099" s="106" t="n"/>
      <c r="H4099" s="350">
        <f>IF(G4099="Sim",IF(OR(F4099="",D4099="",L4099=""),"",IF(L4099="Sim",ROUND(F4099-D4099,2),0)),0)</f>
        <v/>
      </c>
      <c r="I4099" s="350">
        <f>IF(G4099="Sim",0,IF(OR(F4099="",L4099=""),"",F4099))</f>
        <v/>
      </c>
      <c r="J4099" s="350">
        <f>IF(G4099="Sim",0,IF(OR(F4099="",D4099="",L4099=""),"",IF(L4099="Sim",ROUND(F4099-D4099,2),0)))</f>
        <v/>
      </c>
      <c r="K4099" s="97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inlineStr">
        <is>
          <t>Nao</t>
        </is>
      </c>
      <c r="W4099" s="110" t="inlineStr">
        <is>
          <t>PC em analise</t>
        </is>
      </c>
      <c r="X4099" s="110" t="inlineStr">
        <is>
          <t>Pedido de Compra</t>
        </is>
      </c>
      <c r="Y4099" s="111" t="inlineStr">
        <is>
          <t>Impacto Potencial</t>
        </is>
      </c>
      <c r="Z4099" s="111" t="inlineStr">
        <is>
          <t>PC</t>
        </is>
      </c>
      <c r="AA4099" s="111" t="inlineStr">
        <is>
          <t>Nao</t>
        </is>
      </c>
      <c r="AB4099" s="111" t="inlineStr">
        <is>
          <t>NAO_COMPUTADO</t>
        </is>
      </c>
      <c r="AC4099" s="112" t="inlineStr">
        <is>
          <t>Estrutura Fase 1: sem impacto no VTA oficial</t>
        </is>
      </c>
    </row>
    <row r="4100" ht="25.5" customHeight="1" s="289">
      <c r="A4100" s="205" t="n"/>
      <c r="B4100" s="207" t="n"/>
      <c r="C4100" s="104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348" t="n"/>
      <c r="E4100" s="349">
        <f>IF(C4100="","",IFERROR(VLOOKUP(C4100,parametros!$A$11:$E$15,5,0),""))</f>
        <v/>
      </c>
      <c r="F4100" s="335">
        <f>IF(OR(D4100="",E4100=""),"",ROUND(D4100*E4100,2))</f>
        <v/>
      </c>
      <c r="G4100" s="106" t="n"/>
      <c r="H4100" s="350">
        <f>IF(G4100="Sim",IF(OR(F4100="",D4100="",L4100=""),"",IF(L4100="Sim",ROUND(F4100-D4100,2),0)),0)</f>
        <v/>
      </c>
      <c r="I4100" s="350">
        <f>IF(G4100="Sim",0,IF(OR(F4100="",L4100=""),"",F4100))</f>
        <v/>
      </c>
      <c r="J4100" s="350">
        <f>IF(G4100="Sim",0,IF(OR(F4100="",D4100="",L4100=""),"",IF(L4100="Sim",ROUND(F4100-D4100,2),0)))</f>
        <v/>
      </c>
      <c r="K4100" s="97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inlineStr">
        <is>
          <t>Nao</t>
        </is>
      </c>
      <c r="W4100" s="110" t="inlineStr">
        <is>
          <t>PC em analise</t>
        </is>
      </c>
      <c r="X4100" s="110" t="inlineStr">
        <is>
          <t>Pedido de Compra</t>
        </is>
      </c>
      <c r="Y4100" s="111" t="inlineStr">
        <is>
          <t>Impacto Potencial</t>
        </is>
      </c>
      <c r="Z4100" s="111" t="inlineStr">
        <is>
          <t>PC</t>
        </is>
      </c>
      <c r="AA4100" s="111" t="inlineStr">
        <is>
          <t>Nao</t>
        </is>
      </c>
      <c r="AB4100" s="111" t="inlineStr">
        <is>
          <t>NAO_COMPUTADO</t>
        </is>
      </c>
      <c r="AC4100" s="112" t="inlineStr">
        <is>
          <t>Estrutura Fase 1: sem impacto no VTA oficial</t>
        </is>
      </c>
    </row>
    <row r="4101" ht="25.5" customHeight="1" s="289">
      <c r="A4101" s="205" t="n"/>
      <c r="B4101" s="207" t="n"/>
      <c r="C4101" s="104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348" t="n"/>
      <c r="E4101" s="349">
        <f>IF(C4101="","",IFERROR(VLOOKUP(C4101,parametros!$A$11:$E$15,5,0),""))</f>
        <v/>
      </c>
      <c r="F4101" s="335">
        <f>IF(OR(D4101="",E4101=""),"",ROUND(D4101*E4101,2))</f>
        <v/>
      </c>
      <c r="G4101" s="106" t="n"/>
      <c r="H4101" s="350">
        <f>IF(G4101="Sim",IF(OR(F4101="",D4101="",L4101=""),"",IF(L4101="Sim",ROUND(F4101-D4101,2),0)),0)</f>
        <v/>
      </c>
      <c r="I4101" s="350">
        <f>IF(G4101="Sim",0,IF(OR(F4101="",L4101=""),"",F4101))</f>
        <v/>
      </c>
      <c r="J4101" s="350">
        <f>IF(G4101="Sim",0,IF(OR(F4101="",D4101="",L4101=""),"",IF(L4101="Sim",ROUND(F4101-D4101,2),0)))</f>
        <v/>
      </c>
      <c r="K4101" s="97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inlineStr">
        <is>
          <t>Nao</t>
        </is>
      </c>
      <c r="W4101" s="110" t="inlineStr">
        <is>
          <t>PC em analise</t>
        </is>
      </c>
      <c r="X4101" s="110" t="inlineStr">
        <is>
          <t>Pedido de Compra</t>
        </is>
      </c>
      <c r="Y4101" s="111" t="inlineStr">
        <is>
          <t>Impacto Potencial</t>
        </is>
      </c>
      <c r="Z4101" s="111" t="inlineStr">
        <is>
          <t>PC</t>
        </is>
      </c>
      <c r="AA4101" s="111" t="inlineStr">
        <is>
          <t>Nao</t>
        </is>
      </c>
      <c r="AB4101" s="111" t="inlineStr">
        <is>
          <t>NAO_COMPUTADO</t>
        </is>
      </c>
      <c r="AC4101" s="112" t="inlineStr">
        <is>
          <t>Estrutura Fase 1: sem impacto no VTA oficial</t>
        </is>
      </c>
    </row>
    <row r="4102" ht="25.5" customHeight="1" s="289">
      <c r="A4102" s="205" t="n"/>
      <c r="B4102" s="207" t="n"/>
      <c r="C4102" s="104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348" t="n"/>
      <c r="E4102" s="349">
        <f>IF(C4102="","",IFERROR(VLOOKUP(C4102,parametros!$A$11:$E$15,5,0),""))</f>
        <v/>
      </c>
      <c r="F4102" s="335">
        <f>IF(OR(D4102="",E4102=""),"",ROUND(D4102*E4102,2))</f>
        <v/>
      </c>
      <c r="G4102" s="106" t="n"/>
      <c r="H4102" s="350">
        <f>IF(G4102="Sim",IF(OR(F4102="",D4102="",L4102=""),"",IF(L4102="Sim",ROUND(F4102-D4102,2),0)),0)</f>
        <v/>
      </c>
      <c r="I4102" s="350">
        <f>IF(G4102="Sim",0,IF(OR(F4102="",L4102=""),"",F4102))</f>
        <v/>
      </c>
      <c r="J4102" s="350">
        <f>IF(G4102="Sim",0,IF(OR(F4102="",D4102="",L4102=""),"",IF(L4102="Sim",ROUND(F4102-D4102,2),0)))</f>
        <v/>
      </c>
      <c r="K4102" s="97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inlineStr">
        <is>
          <t>Nao</t>
        </is>
      </c>
      <c r="W4102" s="110" t="inlineStr">
        <is>
          <t>PC em analise</t>
        </is>
      </c>
      <c r="X4102" s="110" t="inlineStr">
        <is>
          <t>Pedido de Compra</t>
        </is>
      </c>
      <c r="Y4102" s="111" t="inlineStr">
        <is>
          <t>Impacto Potencial</t>
        </is>
      </c>
      <c r="Z4102" s="111" t="inlineStr">
        <is>
          <t>PC</t>
        </is>
      </c>
      <c r="AA4102" s="111" t="inlineStr">
        <is>
          <t>Nao</t>
        </is>
      </c>
      <c r="AB4102" s="111" t="inlineStr">
        <is>
          <t>NAO_COMPUTADO</t>
        </is>
      </c>
      <c r="AC4102" s="112" t="inlineStr">
        <is>
          <t>Estrutura Fase 1: sem impacto no VTA oficial</t>
        </is>
      </c>
    </row>
    <row r="4103" ht="25.5" customHeight="1" s="289">
      <c r="A4103" s="205" t="n"/>
      <c r="B4103" s="207" t="n"/>
      <c r="C4103" s="104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348" t="n"/>
      <c r="E4103" s="349">
        <f>IF(C4103="","",IFERROR(VLOOKUP(C4103,parametros!$A$11:$E$15,5,0),""))</f>
        <v/>
      </c>
      <c r="F4103" s="335">
        <f>IF(OR(D4103="",E4103=""),"",ROUND(D4103*E4103,2))</f>
        <v/>
      </c>
      <c r="G4103" s="106" t="n"/>
      <c r="H4103" s="350">
        <f>IF(G4103="Sim",IF(OR(F4103="",D4103="",L4103=""),"",IF(L4103="Sim",ROUND(F4103-D4103,2),0)),0)</f>
        <v/>
      </c>
      <c r="I4103" s="350">
        <f>IF(G4103="Sim",0,IF(OR(F4103="",L4103=""),"",F4103))</f>
        <v/>
      </c>
      <c r="J4103" s="350">
        <f>IF(G4103="Sim",0,IF(OR(F4103="",D4103="",L4103=""),"",IF(L4103="Sim",ROUND(F4103-D4103,2),0)))</f>
        <v/>
      </c>
      <c r="K4103" s="97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inlineStr">
        <is>
          <t>Nao</t>
        </is>
      </c>
      <c r="W4103" s="110" t="inlineStr">
        <is>
          <t>PC em analise</t>
        </is>
      </c>
      <c r="X4103" s="110" t="inlineStr">
        <is>
          <t>Pedido de Compra</t>
        </is>
      </c>
      <c r="Y4103" s="111" t="inlineStr">
        <is>
          <t>Impacto Potencial</t>
        </is>
      </c>
      <c r="Z4103" s="111" t="inlineStr">
        <is>
          <t>PC</t>
        </is>
      </c>
      <c r="AA4103" s="111" t="inlineStr">
        <is>
          <t>Nao</t>
        </is>
      </c>
      <c r="AB4103" s="111" t="inlineStr">
        <is>
          <t>NAO_COMPUTADO</t>
        </is>
      </c>
      <c r="AC4103" s="112" t="inlineStr">
        <is>
          <t>Estrutura Fase 1: sem impacto no VTA oficial</t>
        </is>
      </c>
    </row>
    <row r="4104" ht="25.5" customHeight="1" s="289">
      <c r="A4104" s="205" t="n"/>
      <c r="B4104" s="207" t="n"/>
      <c r="C4104" s="104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348" t="n"/>
      <c r="E4104" s="349">
        <f>IF(C4104="","",IFERROR(VLOOKUP(C4104,parametros!$A$11:$E$15,5,0),""))</f>
        <v/>
      </c>
      <c r="F4104" s="335">
        <f>IF(OR(D4104="",E4104=""),"",ROUND(D4104*E4104,2))</f>
        <v/>
      </c>
      <c r="G4104" s="106" t="n"/>
      <c r="H4104" s="350">
        <f>IF(G4104="Sim",IF(OR(F4104="",D4104="",L4104=""),"",IF(L4104="Sim",ROUND(F4104-D4104,2),0)),0)</f>
        <v/>
      </c>
      <c r="I4104" s="350">
        <f>IF(G4104="Sim",0,IF(OR(F4104="",L4104=""),"",F4104))</f>
        <v/>
      </c>
      <c r="J4104" s="350">
        <f>IF(G4104="Sim",0,IF(OR(F4104="",D4104="",L4104=""),"",IF(L4104="Sim",ROUND(F4104-D4104,2),0)))</f>
        <v/>
      </c>
      <c r="K4104" s="97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inlineStr">
        <is>
          <t>Nao</t>
        </is>
      </c>
      <c r="W4104" s="110" t="inlineStr">
        <is>
          <t>PC em analise</t>
        </is>
      </c>
      <c r="X4104" s="110" t="inlineStr">
        <is>
          <t>Pedido de Compra</t>
        </is>
      </c>
      <c r="Y4104" s="111" t="inlineStr">
        <is>
          <t>Impacto Potencial</t>
        </is>
      </c>
      <c r="Z4104" s="111" t="inlineStr">
        <is>
          <t>PC</t>
        </is>
      </c>
      <c r="AA4104" s="111" t="inlineStr">
        <is>
          <t>Nao</t>
        </is>
      </c>
      <c r="AB4104" s="111" t="inlineStr">
        <is>
          <t>NAO_COMPUTADO</t>
        </is>
      </c>
      <c r="AC4104" s="112" t="inlineStr">
        <is>
          <t>Estrutura Fase 1: sem impacto no VTA oficial</t>
        </is>
      </c>
    </row>
    <row r="4105" ht="25.5" customHeight="1" s="289">
      <c r="A4105" s="205" t="n"/>
      <c r="B4105" s="207" t="n"/>
      <c r="C4105" s="104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348" t="n"/>
      <c r="E4105" s="349">
        <f>IF(C4105="","",IFERROR(VLOOKUP(C4105,parametros!$A$11:$E$15,5,0),""))</f>
        <v/>
      </c>
      <c r="F4105" s="335">
        <f>IF(OR(D4105="",E4105=""),"",ROUND(D4105*E4105,2))</f>
        <v/>
      </c>
      <c r="G4105" s="106" t="n"/>
      <c r="H4105" s="350">
        <f>IF(G4105="Sim",IF(OR(F4105="",D4105="",L4105=""),"",IF(L4105="Sim",ROUND(F4105-D4105,2),0)),0)</f>
        <v/>
      </c>
      <c r="I4105" s="350">
        <f>IF(G4105="Sim",0,IF(OR(F4105="",L4105=""),"",F4105))</f>
        <v/>
      </c>
      <c r="J4105" s="350">
        <f>IF(G4105="Sim",0,IF(OR(F4105="",D4105="",L4105=""),"",IF(L4105="Sim",ROUND(F4105-D4105,2),0)))</f>
        <v/>
      </c>
      <c r="K4105" s="97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inlineStr">
        <is>
          <t>Nao</t>
        </is>
      </c>
      <c r="W4105" s="110" t="inlineStr">
        <is>
          <t>PC em analise</t>
        </is>
      </c>
      <c r="X4105" s="110" t="inlineStr">
        <is>
          <t>Pedido de Compra</t>
        </is>
      </c>
      <c r="Y4105" s="111" t="inlineStr">
        <is>
          <t>Impacto Potencial</t>
        </is>
      </c>
      <c r="Z4105" s="111" t="inlineStr">
        <is>
          <t>PC</t>
        </is>
      </c>
      <c r="AA4105" s="111" t="inlineStr">
        <is>
          <t>Nao</t>
        </is>
      </c>
      <c r="AB4105" s="111" t="inlineStr">
        <is>
          <t>NAO_COMPUTADO</t>
        </is>
      </c>
      <c r="AC4105" s="112" t="inlineStr">
        <is>
          <t>Estrutura Fase 1: sem impacto no VTA oficial</t>
        </is>
      </c>
    </row>
    <row r="4106" ht="25.5" customHeight="1" s="289">
      <c r="A4106" s="205" t="n"/>
      <c r="B4106" s="207" t="n"/>
      <c r="C4106" s="104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348" t="n"/>
      <c r="E4106" s="349">
        <f>IF(C4106="","",IFERROR(VLOOKUP(C4106,parametros!$A$11:$E$15,5,0),""))</f>
        <v/>
      </c>
      <c r="F4106" s="335">
        <f>IF(OR(D4106="",E4106=""),"",ROUND(D4106*E4106,2))</f>
        <v/>
      </c>
      <c r="G4106" s="106" t="n"/>
      <c r="H4106" s="350">
        <f>IF(G4106="Sim",IF(OR(F4106="",D4106="",L4106=""),"",IF(L4106="Sim",ROUND(F4106-D4106,2),0)),0)</f>
        <v/>
      </c>
      <c r="I4106" s="350">
        <f>IF(G4106="Sim",0,IF(OR(F4106="",L4106=""),"",F4106))</f>
        <v/>
      </c>
      <c r="J4106" s="350">
        <f>IF(G4106="Sim",0,IF(OR(F4106="",D4106="",L4106=""),"",IF(L4106="Sim",ROUND(F4106-D4106,2),0)))</f>
        <v/>
      </c>
      <c r="K4106" s="97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inlineStr">
        <is>
          <t>Nao</t>
        </is>
      </c>
      <c r="W4106" s="110" t="inlineStr">
        <is>
          <t>PC em analise</t>
        </is>
      </c>
      <c r="X4106" s="110" t="inlineStr">
        <is>
          <t>Pedido de Compra</t>
        </is>
      </c>
      <c r="Y4106" s="111" t="inlineStr">
        <is>
          <t>Impacto Potencial</t>
        </is>
      </c>
      <c r="Z4106" s="111" t="inlineStr">
        <is>
          <t>PC</t>
        </is>
      </c>
      <c r="AA4106" s="111" t="inlineStr">
        <is>
          <t>Nao</t>
        </is>
      </c>
      <c r="AB4106" s="111" t="inlineStr">
        <is>
          <t>NAO_COMPUTADO</t>
        </is>
      </c>
      <c r="AC4106" s="112" t="inlineStr">
        <is>
          <t>Estrutura Fase 1: sem impacto no VTA oficial</t>
        </is>
      </c>
    </row>
    <row r="4107" ht="25.5" customHeight="1" s="289">
      <c r="A4107" s="205" t="n"/>
      <c r="B4107" s="207" t="n"/>
      <c r="C4107" s="104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348" t="n"/>
      <c r="E4107" s="349">
        <f>IF(C4107="","",IFERROR(VLOOKUP(C4107,parametros!$A$11:$E$15,5,0),""))</f>
        <v/>
      </c>
      <c r="F4107" s="335">
        <f>IF(OR(D4107="",E4107=""),"",ROUND(D4107*E4107,2))</f>
        <v/>
      </c>
      <c r="G4107" s="106" t="n"/>
      <c r="H4107" s="350">
        <f>IF(G4107="Sim",IF(OR(F4107="",D4107="",L4107=""),"",IF(L4107="Sim",ROUND(F4107-D4107,2),0)),0)</f>
        <v/>
      </c>
      <c r="I4107" s="350">
        <f>IF(G4107="Sim",0,IF(OR(F4107="",L4107=""),"",F4107))</f>
        <v/>
      </c>
      <c r="J4107" s="350">
        <f>IF(G4107="Sim",0,IF(OR(F4107="",D4107="",L4107=""),"",IF(L4107="Sim",ROUND(F4107-D4107,2),0)))</f>
        <v/>
      </c>
      <c r="K4107" s="97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inlineStr">
        <is>
          <t>Nao</t>
        </is>
      </c>
      <c r="W4107" s="110" t="inlineStr">
        <is>
          <t>PC em analise</t>
        </is>
      </c>
      <c r="X4107" s="110" t="inlineStr">
        <is>
          <t>Pedido de Compra</t>
        </is>
      </c>
      <c r="Y4107" s="111" t="inlineStr">
        <is>
          <t>Impacto Potencial</t>
        </is>
      </c>
      <c r="Z4107" s="111" t="inlineStr">
        <is>
          <t>PC</t>
        </is>
      </c>
      <c r="AA4107" s="111" t="inlineStr">
        <is>
          <t>Nao</t>
        </is>
      </c>
      <c r="AB4107" s="111" t="inlineStr">
        <is>
          <t>NAO_COMPUTADO</t>
        </is>
      </c>
      <c r="AC4107" s="112" t="inlineStr">
        <is>
          <t>Estrutura Fase 1: sem impacto no VTA oficial</t>
        </is>
      </c>
    </row>
    <row r="4108" ht="25.5" customHeight="1" s="289">
      <c r="A4108" s="205" t="n"/>
      <c r="B4108" s="207" t="n"/>
      <c r="C4108" s="104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348" t="n"/>
      <c r="E4108" s="349">
        <f>IF(C4108="","",IFERROR(VLOOKUP(C4108,parametros!$A$11:$E$15,5,0),""))</f>
        <v/>
      </c>
      <c r="F4108" s="335">
        <f>IF(OR(D4108="",E4108=""),"",ROUND(D4108*E4108,2))</f>
        <v/>
      </c>
      <c r="G4108" s="106" t="n"/>
      <c r="H4108" s="350">
        <f>IF(G4108="Sim",IF(OR(F4108="",D4108="",L4108=""),"",IF(L4108="Sim",ROUND(F4108-D4108,2),0)),0)</f>
        <v/>
      </c>
      <c r="I4108" s="350">
        <f>IF(G4108="Sim",0,IF(OR(F4108="",L4108=""),"",F4108))</f>
        <v/>
      </c>
      <c r="J4108" s="350">
        <f>IF(G4108="Sim",0,IF(OR(F4108="",D4108="",L4108=""),"",IF(L4108="Sim",ROUND(F4108-D4108,2),0)))</f>
        <v/>
      </c>
      <c r="K4108" s="97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inlineStr">
        <is>
          <t>Nao</t>
        </is>
      </c>
      <c r="W4108" s="110" t="inlineStr">
        <is>
          <t>PC em analise</t>
        </is>
      </c>
      <c r="X4108" s="110" t="inlineStr">
        <is>
          <t>Pedido de Compra</t>
        </is>
      </c>
      <c r="Y4108" s="111" t="inlineStr">
        <is>
          <t>Impacto Potencial</t>
        </is>
      </c>
      <c r="Z4108" s="111" t="inlineStr">
        <is>
          <t>PC</t>
        </is>
      </c>
      <c r="AA4108" s="111" t="inlineStr">
        <is>
          <t>Nao</t>
        </is>
      </c>
      <c r="AB4108" s="111" t="inlineStr">
        <is>
          <t>NAO_COMPUTADO</t>
        </is>
      </c>
      <c r="AC4108" s="112" t="inlineStr">
        <is>
          <t>Estrutura Fase 1: sem impacto no VTA oficial</t>
        </is>
      </c>
    </row>
    <row r="4109" ht="25.5" customHeight="1" s="289">
      <c r="A4109" s="205" t="n"/>
      <c r="B4109" s="207" t="n"/>
      <c r="C4109" s="104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348" t="n"/>
      <c r="E4109" s="349">
        <f>IF(C4109="","",IFERROR(VLOOKUP(C4109,parametros!$A$11:$E$15,5,0),""))</f>
        <v/>
      </c>
      <c r="F4109" s="335">
        <f>IF(OR(D4109="",E4109=""),"",ROUND(D4109*E4109,2))</f>
        <v/>
      </c>
      <c r="G4109" s="106" t="n"/>
      <c r="H4109" s="350">
        <f>IF(G4109="Sim",IF(OR(F4109="",D4109="",L4109=""),"",IF(L4109="Sim",ROUND(F4109-D4109,2),0)),0)</f>
        <v/>
      </c>
      <c r="I4109" s="350">
        <f>IF(G4109="Sim",0,IF(OR(F4109="",L4109=""),"",F4109))</f>
        <v/>
      </c>
      <c r="J4109" s="350">
        <f>IF(G4109="Sim",0,IF(OR(F4109="",D4109="",L4109=""),"",IF(L4109="Sim",ROUND(F4109-D4109,2),0)))</f>
        <v/>
      </c>
      <c r="K4109" s="97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inlineStr">
        <is>
          <t>Nao</t>
        </is>
      </c>
      <c r="W4109" s="110" t="inlineStr">
        <is>
          <t>PC em analise</t>
        </is>
      </c>
      <c r="X4109" s="110" t="inlineStr">
        <is>
          <t>Pedido de Compra</t>
        </is>
      </c>
      <c r="Y4109" s="111" t="inlineStr">
        <is>
          <t>Impacto Potencial</t>
        </is>
      </c>
      <c r="Z4109" s="111" t="inlineStr">
        <is>
          <t>PC</t>
        </is>
      </c>
      <c r="AA4109" s="111" t="inlineStr">
        <is>
          <t>Nao</t>
        </is>
      </c>
      <c r="AB4109" s="111" t="inlineStr">
        <is>
          <t>NAO_COMPUTADO</t>
        </is>
      </c>
      <c r="AC4109" s="112" t="inlineStr">
        <is>
          <t>Estrutura Fase 1: sem impacto no VTA oficial</t>
        </is>
      </c>
    </row>
    <row r="4110" ht="25.5" customHeight="1" s="289">
      <c r="A4110" s="205" t="n"/>
      <c r="B4110" s="207" t="n"/>
      <c r="C4110" s="104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348" t="n"/>
      <c r="E4110" s="349">
        <f>IF(C4110="","",IFERROR(VLOOKUP(C4110,parametros!$A$11:$E$15,5,0),""))</f>
        <v/>
      </c>
      <c r="F4110" s="335">
        <f>IF(OR(D4110="",E4110=""),"",ROUND(D4110*E4110,2))</f>
        <v/>
      </c>
      <c r="G4110" s="106" t="n"/>
      <c r="H4110" s="350">
        <f>IF(G4110="Sim",IF(OR(F4110="",D4110="",L4110=""),"",IF(L4110="Sim",ROUND(F4110-D4110,2),0)),0)</f>
        <v/>
      </c>
      <c r="I4110" s="350">
        <f>IF(G4110="Sim",0,IF(OR(F4110="",L4110=""),"",F4110))</f>
        <v/>
      </c>
      <c r="J4110" s="350">
        <f>IF(G4110="Sim",0,IF(OR(F4110="",D4110="",L4110=""),"",IF(L4110="Sim",ROUND(F4110-D4110,2),0)))</f>
        <v/>
      </c>
      <c r="K4110" s="97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inlineStr">
        <is>
          <t>Nao</t>
        </is>
      </c>
      <c r="W4110" s="110" t="inlineStr">
        <is>
          <t>PC em analise</t>
        </is>
      </c>
      <c r="X4110" s="110" t="inlineStr">
        <is>
          <t>Pedido de Compra</t>
        </is>
      </c>
      <c r="Y4110" s="111" t="inlineStr">
        <is>
          <t>Impacto Potencial</t>
        </is>
      </c>
      <c r="Z4110" s="111" t="inlineStr">
        <is>
          <t>PC</t>
        </is>
      </c>
      <c r="AA4110" s="111" t="inlineStr">
        <is>
          <t>Nao</t>
        </is>
      </c>
      <c r="AB4110" s="111" t="inlineStr">
        <is>
          <t>NAO_COMPUTADO</t>
        </is>
      </c>
      <c r="AC4110" s="112" t="inlineStr">
        <is>
          <t>Estrutura Fase 1: sem impacto no VTA oficial</t>
        </is>
      </c>
    </row>
    <row r="4111" ht="25.5" customHeight="1" s="289">
      <c r="A4111" s="205" t="n"/>
      <c r="B4111" s="207" t="n"/>
      <c r="C4111" s="104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348" t="n"/>
      <c r="E4111" s="349">
        <f>IF(C4111="","",IFERROR(VLOOKUP(C4111,parametros!$A$11:$E$15,5,0),""))</f>
        <v/>
      </c>
      <c r="F4111" s="335">
        <f>IF(OR(D4111="",E4111=""),"",ROUND(D4111*E4111,2))</f>
        <v/>
      </c>
      <c r="G4111" s="106" t="n"/>
      <c r="H4111" s="350">
        <f>IF(G4111="Sim",IF(OR(F4111="",D4111="",L4111=""),"",IF(L4111="Sim",ROUND(F4111-D4111,2),0)),0)</f>
        <v/>
      </c>
      <c r="I4111" s="350">
        <f>IF(G4111="Sim",0,IF(OR(F4111="",L4111=""),"",F4111))</f>
        <v/>
      </c>
      <c r="J4111" s="350">
        <f>IF(G4111="Sim",0,IF(OR(F4111="",D4111="",L4111=""),"",IF(L4111="Sim",ROUND(F4111-D4111,2),0)))</f>
        <v/>
      </c>
      <c r="K4111" s="97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inlineStr">
        <is>
          <t>Nao</t>
        </is>
      </c>
      <c r="W4111" s="110" t="inlineStr">
        <is>
          <t>PC em analise</t>
        </is>
      </c>
      <c r="X4111" s="110" t="inlineStr">
        <is>
          <t>Pedido de Compra</t>
        </is>
      </c>
      <c r="Y4111" s="111" t="inlineStr">
        <is>
          <t>Impacto Potencial</t>
        </is>
      </c>
      <c r="Z4111" s="111" t="inlineStr">
        <is>
          <t>PC</t>
        </is>
      </c>
      <c r="AA4111" s="111" t="inlineStr">
        <is>
          <t>Nao</t>
        </is>
      </c>
      <c r="AB4111" s="111" t="inlineStr">
        <is>
          <t>NAO_COMPUTADO</t>
        </is>
      </c>
      <c r="AC4111" s="112" t="inlineStr">
        <is>
          <t>Estrutura Fase 1: sem impacto no VTA oficial</t>
        </is>
      </c>
    </row>
    <row r="4112" ht="25.5" customHeight="1" s="289">
      <c r="A4112" s="205" t="n"/>
      <c r="B4112" s="207" t="n"/>
      <c r="C4112" s="104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348" t="n"/>
      <c r="E4112" s="349">
        <f>IF(C4112="","",IFERROR(VLOOKUP(C4112,parametros!$A$11:$E$15,5,0),""))</f>
        <v/>
      </c>
      <c r="F4112" s="335">
        <f>IF(OR(D4112="",E4112=""),"",ROUND(D4112*E4112,2))</f>
        <v/>
      </c>
      <c r="G4112" s="106" t="n"/>
      <c r="H4112" s="350">
        <f>IF(G4112="Sim",IF(OR(F4112="",D4112="",L4112=""),"",IF(L4112="Sim",ROUND(F4112-D4112,2),0)),0)</f>
        <v/>
      </c>
      <c r="I4112" s="350">
        <f>IF(G4112="Sim",0,IF(OR(F4112="",L4112=""),"",F4112))</f>
        <v/>
      </c>
      <c r="J4112" s="350">
        <f>IF(G4112="Sim",0,IF(OR(F4112="",D4112="",L4112=""),"",IF(L4112="Sim",ROUND(F4112-D4112,2),0)))</f>
        <v/>
      </c>
      <c r="K4112" s="97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inlineStr">
        <is>
          <t>Nao</t>
        </is>
      </c>
      <c r="W4112" s="110" t="inlineStr">
        <is>
          <t>PC em analise</t>
        </is>
      </c>
      <c r="X4112" s="110" t="inlineStr">
        <is>
          <t>Pedido de Compra</t>
        </is>
      </c>
      <c r="Y4112" s="111" t="inlineStr">
        <is>
          <t>Impacto Potencial</t>
        </is>
      </c>
      <c r="Z4112" s="111" t="inlineStr">
        <is>
          <t>PC</t>
        </is>
      </c>
      <c r="AA4112" s="111" t="inlineStr">
        <is>
          <t>Nao</t>
        </is>
      </c>
      <c r="AB4112" s="111" t="inlineStr">
        <is>
          <t>NAO_COMPUTADO</t>
        </is>
      </c>
      <c r="AC4112" s="112" t="inlineStr">
        <is>
          <t>Estrutura Fase 1: sem impacto no VTA oficial</t>
        </is>
      </c>
    </row>
    <row r="4113" ht="25.5" customHeight="1" s="289">
      <c r="A4113" s="205" t="n"/>
      <c r="B4113" s="207" t="n"/>
      <c r="C4113" s="104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348" t="n"/>
      <c r="E4113" s="349">
        <f>IF(C4113="","",IFERROR(VLOOKUP(C4113,parametros!$A$11:$E$15,5,0),""))</f>
        <v/>
      </c>
      <c r="F4113" s="335">
        <f>IF(OR(D4113="",E4113=""),"",ROUND(D4113*E4113,2))</f>
        <v/>
      </c>
      <c r="G4113" s="106" t="n"/>
      <c r="H4113" s="350">
        <f>IF(G4113="Sim",IF(OR(F4113="",D4113="",L4113=""),"",IF(L4113="Sim",ROUND(F4113-D4113,2),0)),0)</f>
        <v/>
      </c>
      <c r="I4113" s="350">
        <f>IF(G4113="Sim",0,IF(OR(F4113="",L4113=""),"",F4113))</f>
        <v/>
      </c>
      <c r="J4113" s="350">
        <f>IF(G4113="Sim",0,IF(OR(F4113="",D4113="",L4113=""),"",IF(L4113="Sim",ROUND(F4113-D4113,2),0)))</f>
        <v/>
      </c>
      <c r="K4113" s="97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inlineStr">
        <is>
          <t>Nao</t>
        </is>
      </c>
      <c r="W4113" s="110" t="inlineStr">
        <is>
          <t>PC em analise</t>
        </is>
      </c>
      <c r="X4113" s="110" t="inlineStr">
        <is>
          <t>Pedido de Compra</t>
        </is>
      </c>
      <c r="Y4113" s="111" t="inlineStr">
        <is>
          <t>Impacto Potencial</t>
        </is>
      </c>
      <c r="Z4113" s="111" t="inlineStr">
        <is>
          <t>PC</t>
        </is>
      </c>
      <c r="AA4113" s="111" t="inlineStr">
        <is>
          <t>Nao</t>
        </is>
      </c>
      <c r="AB4113" s="111" t="inlineStr">
        <is>
          <t>NAO_COMPUTADO</t>
        </is>
      </c>
      <c r="AC4113" s="112" t="inlineStr">
        <is>
          <t>Estrutura Fase 1: sem impacto no VTA oficial</t>
        </is>
      </c>
    </row>
    <row r="4114" ht="25.5" customHeight="1" s="289">
      <c r="A4114" s="205" t="n"/>
      <c r="B4114" s="207" t="n"/>
      <c r="C4114" s="104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348" t="n"/>
      <c r="E4114" s="349">
        <f>IF(C4114="","",IFERROR(VLOOKUP(C4114,parametros!$A$11:$E$15,5,0),""))</f>
        <v/>
      </c>
      <c r="F4114" s="335">
        <f>IF(OR(D4114="",E4114=""),"",ROUND(D4114*E4114,2))</f>
        <v/>
      </c>
      <c r="G4114" s="106" t="n"/>
      <c r="H4114" s="350">
        <f>IF(G4114="Sim",IF(OR(F4114="",D4114="",L4114=""),"",IF(L4114="Sim",ROUND(F4114-D4114,2),0)),0)</f>
        <v/>
      </c>
      <c r="I4114" s="350">
        <f>IF(G4114="Sim",0,IF(OR(F4114="",L4114=""),"",F4114))</f>
        <v/>
      </c>
      <c r="J4114" s="350">
        <f>IF(G4114="Sim",0,IF(OR(F4114="",D4114="",L4114=""),"",IF(L4114="Sim",ROUND(F4114-D4114,2),0)))</f>
        <v/>
      </c>
      <c r="K4114" s="97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inlineStr">
        <is>
          <t>Nao</t>
        </is>
      </c>
      <c r="W4114" s="110" t="inlineStr">
        <is>
          <t>PC em analise</t>
        </is>
      </c>
      <c r="X4114" s="110" t="inlineStr">
        <is>
          <t>Pedido de Compra</t>
        </is>
      </c>
      <c r="Y4114" s="111" t="inlineStr">
        <is>
          <t>Impacto Potencial</t>
        </is>
      </c>
      <c r="Z4114" s="111" t="inlineStr">
        <is>
          <t>PC</t>
        </is>
      </c>
      <c r="AA4114" s="111" t="inlineStr">
        <is>
          <t>Nao</t>
        </is>
      </c>
      <c r="AB4114" s="111" t="inlineStr">
        <is>
          <t>NAO_COMPUTADO</t>
        </is>
      </c>
      <c r="AC4114" s="112" t="inlineStr">
        <is>
          <t>Estrutura Fase 1: sem impacto no VTA oficial</t>
        </is>
      </c>
    </row>
    <row r="4115" ht="25.5" customHeight="1" s="289">
      <c r="A4115" s="205" t="n"/>
      <c r="B4115" s="207" t="n"/>
      <c r="C4115" s="104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348" t="n"/>
      <c r="E4115" s="349">
        <f>IF(C4115="","",IFERROR(VLOOKUP(C4115,parametros!$A$11:$E$15,5,0),""))</f>
        <v/>
      </c>
      <c r="F4115" s="335">
        <f>IF(OR(D4115="",E4115=""),"",ROUND(D4115*E4115,2))</f>
        <v/>
      </c>
      <c r="G4115" s="106" t="n"/>
      <c r="H4115" s="350">
        <f>IF(G4115="Sim",IF(OR(F4115="",D4115="",L4115=""),"",IF(L4115="Sim",ROUND(F4115-D4115,2),0)),0)</f>
        <v/>
      </c>
      <c r="I4115" s="350">
        <f>IF(G4115="Sim",0,IF(OR(F4115="",L4115=""),"",F4115))</f>
        <v/>
      </c>
      <c r="J4115" s="350">
        <f>IF(G4115="Sim",0,IF(OR(F4115="",D4115="",L4115=""),"",IF(L4115="Sim",ROUND(F4115-D4115,2),0)))</f>
        <v/>
      </c>
      <c r="K4115" s="97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inlineStr">
        <is>
          <t>Nao</t>
        </is>
      </c>
      <c r="W4115" s="110" t="inlineStr">
        <is>
          <t>PC em analise</t>
        </is>
      </c>
      <c r="X4115" s="110" t="inlineStr">
        <is>
          <t>Pedido de Compra</t>
        </is>
      </c>
      <c r="Y4115" s="111" t="inlineStr">
        <is>
          <t>Impacto Potencial</t>
        </is>
      </c>
      <c r="Z4115" s="111" t="inlineStr">
        <is>
          <t>PC</t>
        </is>
      </c>
      <c r="AA4115" s="111" t="inlineStr">
        <is>
          <t>Nao</t>
        </is>
      </c>
      <c r="AB4115" s="111" t="inlineStr">
        <is>
          <t>NAO_COMPUTADO</t>
        </is>
      </c>
      <c r="AC4115" s="112" t="inlineStr">
        <is>
          <t>Estrutura Fase 1: sem impacto no VTA oficial</t>
        </is>
      </c>
    </row>
    <row r="4116" ht="25.5" customHeight="1" s="289">
      <c r="A4116" s="205" t="n"/>
      <c r="B4116" s="207" t="n"/>
      <c r="C4116" s="104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348" t="n"/>
      <c r="E4116" s="349">
        <f>IF(C4116="","",IFERROR(VLOOKUP(C4116,parametros!$A$11:$E$15,5,0),""))</f>
        <v/>
      </c>
      <c r="F4116" s="335">
        <f>IF(OR(D4116="",E4116=""),"",ROUND(D4116*E4116,2))</f>
        <v/>
      </c>
      <c r="G4116" s="106" t="n"/>
      <c r="H4116" s="350">
        <f>IF(G4116="Sim",IF(OR(F4116="",D4116="",L4116=""),"",IF(L4116="Sim",ROUND(F4116-D4116,2),0)),0)</f>
        <v/>
      </c>
      <c r="I4116" s="350">
        <f>IF(G4116="Sim",0,IF(OR(F4116="",L4116=""),"",F4116))</f>
        <v/>
      </c>
      <c r="J4116" s="350">
        <f>IF(G4116="Sim",0,IF(OR(F4116="",D4116="",L4116=""),"",IF(L4116="Sim",ROUND(F4116-D4116,2),0)))</f>
        <v/>
      </c>
      <c r="K4116" s="97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inlineStr">
        <is>
          <t>Nao</t>
        </is>
      </c>
      <c r="W4116" s="110" t="inlineStr">
        <is>
          <t>PC em analise</t>
        </is>
      </c>
      <c r="X4116" s="110" t="inlineStr">
        <is>
          <t>Pedido de Compra</t>
        </is>
      </c>
      <c r="Y4116" s="111" t="inlineStr">
        <is>
          <t>Impacto Potencial</t>
        </is>
      </c>
      <c r="Z4116" s="111" t="inlineStr">
        <is>
          <t>PC</t>
        </is>
      </c>
      <c r="AA4116" s="111" t="inlineStr">
        <is>
          <t>Nao</t>
        </is>
      </c>
      <c r="AB4116" s="111" t="inlineStr">
        <is>
          <t>NAO_COMPUTADO</t>
        </is>
      </c>
      <c r="AC4116" s="112" t="inlineStr">
        <is>
          <t>Estrutura Fase 1: sem impacto no VTA oficial</t>
        </is>
      </c>
    </row>
    <row r="4117" ht="25.5" customHeight="1" s="289">
      <c r="A4117" s="205" t="n"/>
      <c r="B4117" s="207" t="n"/>
      <c r="C4117" s="104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348" t="n"/>
      <c r="E4117" s="349">
        <f>IF(C4117="","",IFERROR(VLOOKUP(C4117,parametros!$A$11:$E$15,5,0),""))</f>
        <v/>
      </c>
      <c r="F4117" s="335">
        <f>IF(OR(D4117="",E4117=""),"",ROUND(D4117*E4117,2))</f>
        <v/>
      </c>
      <c r="G4117" s="106" t="n"/>
      <c r="H4117" s="350">
        <f>IF(G4117="Sim",IF(OR(F4117="",D4117="",L4117=""),"",IF(L4117="Sim",ROUND(F4117-D4117,2),0)),0)</f>
        <v/>
      </c>
      <c r="I4117" s="350">
        <f>IF(G4117="Sim",0,IF(OR(F4117="",L4117=""),"",F4117))</f>
        <v/>
      </c>
      <c r="J4117" s="350">
        <f>IF(G4117="Sim",0,IF(OR(F4117="",D4117="",L4117=""),"",IF(L4117="Sim",ROUND(F4117-D4117,2),0)))</f>
        <v/>
      </c>
      <c r="K4117" s="97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inlineStr">
        <is>
          <t>Nao</t>
        </is>
      </c>
      <c r="W4117" s="110" t="inlineStr">
        <is>
          <t>PC em analise</t>
        </is>
      </c>
      <c r="X4117" s="110" t="inlineStr">
        <is>
          <t>Pedido de Compra</t>
        </is>
      </c>
      <c r="Y4117" s="111" t="inlineStr">
        <is>
          <t>Impacto Potencial</t>
        </is>
      </c>
      <c r="Z4117" s="111" t="inlineStr">
        <is>
          <t>PC</t>
        </is>
      </c>
      <c r="AA4117" s="111" t="inlineStr">
        <is>
          <t>Nao</t>
        </is>
      </c>
      <c r="AB4117" s="111" t="inlineStr">
        <is>
          <t>NAO_COMPUTADO</t>
        </is>
      </c>
      <c r="AC4117" s="112" t="inlineStr">
        <is>
          <t>Estrutura Fase 1: sem impacto no VTA oficial</t>
        </is>
      </c>
    </row>
    <row r="4118" ht="25.5" customHeight="1" s="289">
      <c r="A4118" s="205" t="n"/>
      <c r="B4118" s="207" t="n"/>
      <c r="C4118" s="104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348" t="n"/>
      <c r="E4118" s="349">
        <f>IF(C4118="","",IFERROR(VLOOKUP(C4118,parametros!$A$11:$E$15,5,0),""))</f>
        <v/>
      </c>
      <c r="F4118" s="335">
        <f>IF(OR(D4118="",E4118=""),"",ROUND(D4118*E4118,2))</f>
        <v/>
      </c>
      <c r="G4118" s="106" t="n"/>
      <c r="H4118" s="350">
        <f>IF(G4118="Sim",IF(OR(F4118="",D4118="",L4118=""),"",IF(L4118="Sim",ROUND(F4118-D4118,2),0)),0)</f>
        <v/>
      </c>
      <c r="I4118" s="350">
        <f>IF(G4118="Sim",0,IF(OR(F4118="",L4118=""),"",F4118))</f>
        <v/>
      </c>
      <c r="J4118" s="350">
        <f>IF(G4118="Sim",0,IF(OR(F4118="",D4118="",L4118=""),"",IF(L4118="Sim",ROUND(F4118-D4118,2),0)))</f>
        <v/>
      </c>
      <c r="K4118" s="97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inlineStr">
        <is>
          <t>Nao</t>
        </is>
      </c>
      <c r="W4118" s="110" t="inlineStr">
        <is>
          <t>PC em analise</t>
        </is>
      </c>
      <c r="X4118" s="110" t="inlineStr">
        <is>
          <t>Pedido de Compra</t>
        </is>
      </c>
      <c r="Y4118" s="111" t="inlineStr">
        <is>
          <t>Impacto Potencial</t>
        </is>
      </c>
      <c r="Z4118" s="111" t="inlineStr">
        <is>
          <t>PC</t>
        </is>
      </c>
      <c r="AA4118" s="111" t="inlineStr">
        <is>
          <t>Nao</t>
        </is>
      </c>
      <c r="AB4118" s="111" t="inlineStr">
        <is>
          <t>NAO_COMPUTADO</t>
        </is>
      </c>
      <c r="AC4118" s="112" t="inlineStr">
        <is>
          <t>Estrutura Fase 1: sem impacto no VTA oficial</t>
        </is>
      </c>
    </row>
    <row r="4119" ht="25.5" customHeight="1" s="289">
      <c r="A4119" s="205" t="n"/>
      <c r="B4119" s="207" t="n"/>
      <c r="C4119" s="104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348" t="n"/>
      <c r="E4119" s="349">
        <f>IF(C4119="","",IFERROR(VLOOKUP(C4119,parametros!$A$11:$E$15,5,0),""))</f>
        <v/>
      </c>
      <c r="F4119" s="335">
        <f>IF(OR(D4119="",E4119=""),"",ROUND(D4119*E4119,2))</f>
        <v/>
      </c>
      <c r="G4119" s="106" t="n"/>
      <c r="H4119" s="350">
        <f>IF(G4119="Sim",IF(OR(F4119="",D4119="",L4119=""),"",IF(L4119="Sim",ROUND(F4119-D4119,2),0)),0)</f>
        <v/>
      </c>
      <c r="I4119" s="350">
        <f>IF(G4119="Sim",0,IF(OR(F4119="",L4119=""),"",F4119))</f>
        <v/>
      </c>
      <c r="J4119" s="350">
        <f>IF(G4119="Sim",0,IF(OR(F4119="",D4119="",L4119=""),"",IF(L4119="Sim",ROUND(F4119-D4119,2),0)))</f>
        <v/>
      </c>
      <c r="K4119" s="97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inlineStr">
        <is>
          <t>Nao</t>
        </is>
      </c>
      <c r="W4119" s="110" t="inlineStr">
        <is>
          <t>PC em analise</t>
        </is>
      </c>
      <c r="X4119" s="110" t="inlineStr">
        <is>
          <t>Pedido de Compra</t>
        </is>
      </c>
      <c r="Y4119" s="111" t="inlineStr">
        <is>
          <t>Impacto Potencial</t>
        </is>
      </c>
      <c r="Z4119" s="111" t="inlineStr">
        <is>
          <t>PC</t>
        </is>
      </c>
      <c r="AA4119" s="111" t="inlineStr">
        <is>
          <t>Nao</t>
        </is>
      </c>
      <c r="AB4119" s="111" t="inlineStr">
        <is>
          <t>NAO_COMPUTADO</t>
        </is>
      </c>
      <c r="AC4119" s="112" t="inlineStr">
        <is>
          <t>Estrutura Fase 1: sem impacto no VTA oficial</t>
        </is>
      </c>
    </row>
    <row r="4120" ht="25.5" customHeight="1" s="289">
      <c r="A4120" s="205" t="n"/>
      <c r="B4120" s="207" t="n"/>
      <c r="C4120" s="104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348" t="n"/>
      <c r="E4120" s="349">
        <f>IF(C4120="","",IFERROR(VLOOKUP(C4120,parametros!$A$11:$E$15,5,0),""))</f>
        <v/>
      </c>
      <c r="F4120" s="335">
        <f>IF(OR(D4120="",E4120=""),"",ROUND(D4120*E4120,2))</f>
        <v/>
      </c>
      <c r="G4120" s="106" t="n"/>
      <c r="H4120" s="350">
        <f>IF(G4120="Sim",IF(OR(F4120="",D4120="",L4120=""),"",IF(L4120="Sim",ROUND(F4120-D4120,2),0)),0)</f>
        <v/>
      </c>
      <c r="I4120" s="350">
        <f>IF(G4120="Sim",0,IF(OR(F4120="",L4120=""),"",F4120))</f>
        <v/>
      </c>
      <c r="J4120" s="350">
        <f>IF(G4120="Sim",0,IF(OR(F4120="",D4120="",L4120=""),"",IF(L4120="Sim",ROUND(F4120-D4120,2),0)))</f>
        <v/>
      </c>
      <c r="K4120" s="97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inlineStr">
        <is>
          <t>Nao</t>
        </is>
      </c>
      <c r="W4120" s="110" t="inlineStr">
        <is>
          <t>PC em analise</t>
        </is>
      </c>
      <c r="X4120" s="110" t="inlineStr">
        <is>
          <t>Pedido de Compra</t>
        </is>
      </c>
      <c r="Y4120" s="111" t="inlineStr">
        <is>
          <t>Impacto Potencial</t>
        </is>
      </c>
      <c r="Z4120" s="111" t="inlineStr">
        <is>
          <t>PC</t>
        </is>
      </c>
      <c r="AA4120" s="111" t="inlineStr">
        <is>
          <t>Nao</t>
        </is>
      </c>
      <c r="AB4120" s="111" t="inlineStr">
        <is>
          <t>NAO_COMPUTADO</t>
        </is>
      </c>
      <c r="AC4120" s="112" t="inlineStr">
        <is>
          <t>Estrutura Fase 1: sem impacto no VTA oficial</t>
        </is>
      </c>
    </row>
    <row r="4121" ht="25.5" customHeight="1" s="289">
      <c r="A4121" s="205" t="n"/>
      <c r="B4121" s="207" t="n"/>
      <c r="C4121" s="104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348" t="n"/>
      <c r="E4121" s="349">
        <f>IF(C4121="","",IFERROR(VLOOKUP(C4121,parametros!$A$11:$E$15,5,0),""))</f>
        <v/>
      </c>
      <c r="F4121" s="335">
        <f>IF(OR(D4121="",E4121=""),"",ROUND(D4121*E4121,2))</f>
        <v/>
      </c>
      <c r="G4121" s="106" t="n"/>
      <c r="H4121" s="350">
        <f>IF(G4121="Sim",IF(OR(F4121="",D4121="",L4121=""),"",IF(L4121="Sim",ROUND(F4121-D4121,2),0)),0)</f>
        <v/>
      </c>
      <c r="I4121" s="350">
        <f>IF(G4121="Sim",0,IF(OR(F4121="",L4121=""),"",F4121))</f>
        <v/>
      </c>
      <c r="J4121" s="350">
        <f>IF(G4121="Sim",0,IF(OR(F4121="",D4121="",L4121=""),"",IF(L4121="Sim",ROUND(F4121-D4121,2),0)))</f>
        <v/>
      </c>
      <c r="K4121" s="97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inlineStr">
        <is>
          <t>Nao</t>
        </is>
      </c>
      <c r="W4121" s="110" t="inlineStr">
        <is>
          <t>PC em analise</t>
        </is>
      </c>
      <c r="X4121" s="110" t="inlineStr">
        <is>
          <t>Pedido de Compra</t>
        </is>
      </c>
      <c r="Y4121" s="111" t="inlineStr">
        <is>
          <t>Impacto Potencial</t>
        </is>
      </c>
      <c r="Z4121" s="111" t="inlineStr">
        <is>
          <t>PC</t>
        </is>
      </c>
      <c r="AA4121" s="111" t="inlineStr">
        <is>
          <t>Nao</t>
        </is>
      </c>
      <c r="AB4121" s="111" t="inlineStr">
        <is>
          <t>NAO_COMPUTADO</t>
        </is>
      </c>
      <c r="AC4121" s="112" t="inlineStr">
        <is>
          <t>Estrutura Fase 1: sem impacto no VTA oficial</t>
        </is>
      </c>
    </row>
    <row r="4122" ht="25.5" customHeight="1" s="289">
      <c r="A4122" s="205" t="n"/>
      <c r="B4122" s="207" t="n"/>
      <c r="C4122" s="104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348" t="n"/>
      <c r="E4122" s="349">
        <f>IF(C4122="","",IFERROR(VLOOKUP(C4122,parametros!$A$11:$E$15,5,0),""))</f>
        <v/>
      </c>
      <c r="F4122" s="335">
        <f>IF(OR(D4122="",E4122=""),"",ROUND(D4122*E4122,2))</f>
        <v/>
      </c>
      <c r="G4122" s="106" t="n"/>
      <c r="H4122" s="350">
        <f>IF(G4122="Sim",IF(OR(F4122="",D4122="",L4122=""),"",IF(L4122="Sim",ROUND(F4122-D4122,2),0)),0)</f>
        <v/>
      </c>
      <c r="I4122" s="350">
        <f>IF(G4122="Sim",0,IF(OR(F4122="",L4122=""),"",F4122))</f>
        <v/>
      </c>
      <c r="J4122" s="350">
        <f>IF(G4122="Sim",0,IF(OR(F4122="",D4122="",L4122=""),"",IF(L4122="Sim",ROUND(F4122-D4122,2),0)))</f>
        <v/>
      </c>
      <c r="K4122" s="97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inlineStr">
        <is>
          <t>Nao</t>
        </is>
      </c>
      <c r="W4122" s="110" t="inlineStr">
        <is>
          <t>PC em analise</t>
        </is>
      </c>
      <c r="X4122" s="110" t="inlineStr">
        <is>
          <t>Pedido de Compra</t>
        </is>
      </c>
      <c r="Y4122" s="111" t="inlineStr">
        <is>
          <t>Impacto Potencial</t>
        </is>
      </c>
      <c r="Z4122" s="111" t="inlineStr">
        <is>
          <t>PC</t>
        </is>
      </c>
      <c r="AA4122" s="111" t="inlineStr">
        <is>
          <t>Nao</t>
        </is>
      </c>
      <c r="AB4122" s="111" t="inlineStr">
        <is>
          <t>NAO_COMPUTADO</t>
        </is>
      </c>
      <c r="AC4122" s="112" t="inlineStr">
        <is>
          <t>Estrutura Fase 1: sem impacto no VTA oficial</t>
        </is>
      </c>
    </row>
    <row r="4123" ht="25.5" customHeight="1" s="289">
      <c r="A4123" s="205" t="n"/>
      <c r="B4123" s="207" t="n"/>
      <c r="C4123" s="104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348" t="n"/>
      <c r="E4123" s="349">
        <f>IF(C4123="","",IFERROR(VLOOKUP(C4123,parametros!$A$11:$E$15,5,0),""))</f>
        <v/>
      </c>
      <c r="F4123" s="335">
        <f>IF(OR(D4123="",E4123=""),"",ROUND(D4123*E4123,2))</f>
        <v/>
      </c>
      <c r="G4123" s="106" t="n"/>
      <c r="H4123" s="350">
        <f>IF(G4123="Sim",IF(OR(F4123="",D4123="",L4123=""),"",IF(L4123="Sim",ROUND(F4123-D4123,2),0)),0)</f>
        <v/>
      </c>
      <c r="I4123" s="350">
        <f>IF(G4123="Sim",0,IF(OR(F4123="",L4123=""),"",F4123))</f>
        <v/>
      </c>
      <c r="J4123" s="350">
        <f>IF(G4123="Sim",0,IF(OR(F4123="",D4123="",L4123=""),"",IF(L4123="Sim",ROUND(F4123-D4123,2),0)))</f>
        <v/>
      </c>
      <c r="K4123" s="97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inlineStr">
        <is>
          <t>Nao</t>
        </is>
      </c>
      <c r="W4123" s="110" t="inlineStr">
        <is>
          <t>PC em analise</t>
        </is>
      </c>
      <c r="X4123" s="110" t="inlineStr">
        <is>
          <t>Pedido de Compra</t>
        </is>
      </c>
      <c r="Y4123" s="111" t="inlineStr">
        <is>
          <t>Impacto Potencial</t>
        </is>
      </c>
      <c r="Z4123" s="111" t="inlineStr">
        <is>
          <t>PC</t>
        </is>
      </c>
      <c r="AA4123" s="111" t="inlineStr">
        <is>
          <t>Nao</t>
        </is>
      </c>
      <c r="AB4123" s="111" t="inlineStr">
        <is>
          <t>NAO_COMPUTADO</t>
        </is>
      </c>
      <c r="AC4123" s="112" t="inlineStr">
        <is>
          <t>Estrutura Fase 1: sem impacto no VTA oficial</t>
        </is>
      </c>
    </row>
    <row r="4124" ht="25.5" customHeight="1" s="289">
      <c r="A4124" s="205" t="n"/>
      <c r="B4124" s="207" t="n"/>
      <c r="C4124" s="104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348" t="n"/>
      <c r="E4124" s="349">
        <f>IF(C4124="","",IFERROR(VLOOKUP(C4124,parametros!$A$11:$E$15,5,0),""))</f>
        <v/>
      </c>
      <c r="F4124" s="335">
        <f>IF(OR(D4124="",E4124=""),"",ROUND(D4124*E4124,2))</f>
        <v/>
      </c>
      <c r="G4124" s="106" t="n"/>
      <c r="H4124" s="350">
        <f>IF(G4124="Sim",IF(OR(F4124="",D4124="",L4124=""),"",IF(L4124="Sim",ROUND(F4124-D4124,2),0)),0)</f>
        <v/>
      </c>
      <c r="I4124" s="350">
        <f>IF(G4124="Sim",0,IF(OR(F4124="",L4124=""),"",F4124))</f>
        <v/>
      </c>
      <c r="J4124" s="350">
        <f>IF(G4124="Sim",0,IF(OR(F4124="",D4124="",L4124=""),"",IF(L4124="Sim",ROUND(F4124-D4124,2),0)))</f>
        <v/>
      </c>
      <c r="K4124" s="97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inlineStr">
        <is>
          <t>Nao</t>
        </is>
      </c>
      <c r="W4124" s="110" t="inlineStr">
        <is>
          <t>PC em analise</t>
        </is>
      </c>
      <c r="X4124" s="110" t="inlineStr">
        <is>
          <t>Pedido de Compra</t>
        </is>
      </c>
      <c r="Y4124" s="111" t="inlineStr">
        <is>
          <t>Impacto Potencial</t>
        </is>
      </c>
      <c r="Z4124" s="111" t="inlineStr">
        <is>
          <t>PC</t>
        </is>
      </c>
      <c r="AA4124" s="111" t="inlineStr">
        <is>
          <t>Nao</t>
        </is>
      </c>
      <c r="AB4124" s="111" t="inlineStr">
        <is>
          <t>NAO_COMPUTADO</t>
        </is>
      </c>
      <c r="AC4124" s="112" t="inlineStr">
        <is>
          <t>Estrutura Fase 1: sem impacto no VTA oficial</t>
        </is>
      </c>
    </row>
    <row r="4125" ht="25.5" customHeight="1" s="289">
      <c r="A4125" s="205" t="n"/>
      <c r="B4125" s="207" t="n"/>
      <c r="C4125" s="104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348" t="n"/>
      <c r="E4125" s="349">
        <f>IF(C4125="","",IFERROR(VLOOKUP(C4125,parametros!$A$11:$E$15,5,0),""))</f>
        <v/>
      </c>
      <c r="F4125" s="335">
        <f>IF(OR(D4125="",E4125=""),"",ROUND(D4125*E4125,2))</f>
        <v/>
      </c>
      <c r="G4125" s="106" t="n"/>
      <c r="H4125" s="350">
        <f>IF(G4125="Sim",IF(OR(F4125="",D4125="",L4125=""),"",IF(L4125="Sim",ROUND(F4125-D4125,2),0)),0)</f>
        <v/>
      </c>
      <c r="I4125" s="350">
        <f>IF(G4125="Sim",0,IF(OR(F4125="",L4125=""),"",F4125))</f>
        <v/>
      </c>
      <c r="J4125" s="350">
        <f>IF(G4125="Sim",0,IF(OR(F4125="",D4125="",L4125=""),"",IF(L4125="Sim",ROUND(F4125-D4125,2),0)))</f>
        <v/>
      </c>
      <c r="K4125" s="97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inlineStr">
        <is>
          <t>Nao</t>
        </is>
      </c>
      <c r="W4125" s="110" t="inlineStr">
        <is>
          <t>PC em analise</t>
        </is>
      </c>
      <c r="X4125" s="110" t="inlineStr">
        <is>
          <t>Pedido de Compra</t>
        </is>
      </c>
      <c r="Y4125" s="111" t="inlineStr">
        <is>
          <t>Impacto Potencial</t>
        </is>
      </c>
      <c r="Z4125" s="111" t="inlineStr">
        <is>
          <t>PC</t>
        </is>
      </c>
      <c r="AA4125" s="111" t="inlineStr">
        <is>
          <t>Nao</t>
        </is>
      </c>
      <c r="AB4125" s="111" t="inlineStr">
        <is>
          <t>NAO_COMPUTADO</t>
        </is>
      </c>
      <c r="AC4125" s="112" t="inlineStr">
        <is>
          <t>Estrutura Fase 1: sem impacto no VTA oficial</t>
        </is>
      </c>
    </row>
    <row r="4126" ht="25.5" customHeight="1" s="289">
      <c r="A4126" s="205" t="n"/>
      <c r="B4126" s="207" t="n"/>
      <c r="C4126" s="104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348" t="n"/>
      <c r="E4126" s="349">
        <f>IF(C4126="","",IFERROR(VLOOKUP(C4126,parametros!$A$11:$E$15,5,0),""))</f>
        <v/>
      </c>
      <c r="F4126" s="335">
        <f>IF(OR(D4126="",E4126=""),"",ROUND(D4126*E4126,2))</f>
        <v/>
      </c>
      <c r="G4126" s="106" t="n"/>
      <c r="H4126" s="350">
        <f>IF(G4126="Sim",IF(OR(F4126="",D4126="",L4126=""),"",IF(L4126="Sim",ROUND(F4126-D4126,2),0)),0)</f>
        <v/>
      </c>
      <c r="I4126" s="350">
        <f>IF(G4126="Sim",0,IF(OR(F4126="",L4126=""),"",F4126))</f>
        <v/>
      </c>
      <c r="J4126" s="350">
        <f>IF(G4126="Sim",0,IF(OR(F4126="",D4126="",L4126=""),"",IF(L4126="Sim",ROUND(F4126-D4126,2),0)))</f>
        <v/>
      </c>
      <c r="K4126" s="97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inlineStr">
        <is>
          <t>Nao</t>
        </is>
      </c>
      <c r="W4126" s="110" t="inlineStr">
        <is>
          <t>PC em analise</t>
        </is>
      </c>
      <c r="X4126" s="110" t="inlineStr">
        <is>
          <t>Pedido de Compra</t>
        </is>
      </c>
      <c r="Y4126" s="111" t="inlineStr">
        <is>
          <t>Impacto Potencial</t>
        </is>
      </c>
      <c r="Z4126" s="111" t="inlineStr">
        <is>
          <t>PC</t>
        </is>
      </c>
      <c r="AA4126" s="111" t="inlineStr">
        <is>
          <t>Nao</t>
        </is>
      </c>
      <c r="AB4126" s="111" t="inlineStr">
        <is>
          <t>NAO_COMPUTADO</t>
        </is>
      </c>
      <c r="AC4126" s="112" t="inlineStr">
        <is>
          <t>Estrutura Fase 1: sem impacto no VTA oficial</t>
        </is>
      </c>
    </row>
    <row r="4127" ht="25.5" customHeight="1" s="289">
      <c r="A4127" s="205" t="n"/>
      <c r="B4127" s="207" t="n"/>
      <c r="C4127" s="104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348" t="n"/>
      <c r="E4127" s="349">
        <f>IF(C4127="","",IFERROR(VLOOKUP(C4127,parametros!$A$11:$E$15,5,0),""))</f>
        <v/>
      </c>
      <c r="F4127" s="335">
        <f>IF(OR(D4127="",E4127=""),"",ROUND(D4127*E4127,2))</f>
        <v/>
      </c>
      <c r="G4127" s="106" t="n"/>
      <c r="H4127" s="350">
        <f>IF(G4127="Sim",IF(OR(F4127="",D4127="",L4127=""),"",IF(L4127="Sim",ROUND(F4127-D4127,2),0)),0)</f>
        <v/>
      </c>
      <c r="I4127" s="350">
        <f>IF(G4127="Sim",0,IF(OR(F4127="",L4127=""),"",F4127))</f>
        <v/>
      </c>
      <c r="J4127" s="350">
        <f>IF(G4127="Sim",0,IF(OR(F4127="",D4127="",L4127=""),"",IF(L4127="Sim",ROUND(F4127-D4127,2),0)))</f>
        <v/>
      </c>
      <c r="K4127" s="97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inlineStr">
        <is>
          <t>Nao</t>
        </is>
      </c>
      <c r="W4127" s="110" t="inlineStr">
        <is>
          <t>PC em analise</t>
        </is>
      </c>
      <c r="X4127" s="110" t="inlineStr">
        <is>
          <t>Pedido de Compra</t>
        </is>
      </c>
      <c r="Y4127" s="111" t="inlineStr">
        <is>
          <t>Impacto Potencial</t>
        </is>
      </c>
      <c r="Z4127" s="111" t="inlineStr">
        <is>
          <t>PC</t>
        </is>
      </c>
      <c r="AA4127" s="111" t="inlineStr">
        <is>
          <t>Nao</t>
        </is>
      </c>
      <c r="AB4127" s="111" t="inlineStr">
        <is>
          <t>NAO_COMPUTADO</t>
        </is>
      </c>
      <c r="AC4127" s="112" t="inlineStr">
        <is>
          <t>Estrutura Fase 1: sem impacto no VTA oficial</t>
        </is>
      </c>
    </row>
    <row r="4128" ht="25.5" customHeight="1" s="289">
      <c r="A4128" s="205" t="n"/>
      <c r="B4128" s="207" t="n"/>
      <c r="C4128" s="104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348" t="n"/>
      <c r="E4128" s="349">
        <f>IF(C4128="","",IFERROR(VLOOKUP(C4128,parametros!$A$11:$E$15,5,0),""))</f>
        <v/>
      </c>
      <c r="F4128" s="335">
        <f>IF(OR(D4128="",E4128=""),"",ROUND(D4128*E4128,2))</f>
        <v/>
      </c>
      <c r="G4128" s="106" t="n"/>
      <c r="H4128" s="350">
        <f>IF(G4128="Sim",IF(OR(F4128="",D4128="",L4128=""),"",IF(L4128="Sim",ROUND(F4128-D4128,2),0)),0)</f>
        <v/>
      </c>
      <c r="I4128" s="350">
        <f>IF(G4128="Sim",0,IF(OR(F4128="",L4128=""),"",F4128))</f>
        <v/>
      </c>
      <c r="J4128" s="350">
        <f>IF(G4128="Sim",0,IF(OR(F4128="",D4128="",L4128=""),"",IF(L4128="Sim",ROUND(F4128-D4128,2),0)))</f>
        <v/>
      </c>
      <c r="K4128" s="97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inlineStr">
        <is>
          <t>Nao</t>
        </is>
      </c>
      <c r="W4128" s="110" t="inlineStr">
        <is>
          <t>PC em analise</t>
        </is>
      </c>
      <c r="X4128" s="110" t="inlineStr">
        <is>
          <t>Pedido de Compra</t>
        </is>
      </c>
      <c r="Y4128" s="111" t="inlineStr">
        <is>
          <t>Impacto Potencial</t>
        </is>
      </c>
      <c r="Z4128" s="111" t="inlineStr">
        <is>
          <t>PC</t>
        </is>
      </c>
      <c r="AA4128" s="111" t="inlineStr">
        <is>
          <t>Nao</t>
        </is>
      </c>
      <c r="AB4128" s="111" t="inlineStr">
        <is>
          <t>NAO_COMPUTADO</t>
        </is>
      </c>
      <c r="AC4128" s="112" t="inlineStr">
        <is>
          <t>Estrutura Fase 1: sem impacto no VTA oficial</t>
        </is>
      </c>
    </row>
    <row r="4129" ht="25.5" customHeight="1" s="289">
      <c r="A4129" s="205" t="n"/>
      <c r="B4129" s="207" t="n"/>
      <c r="C4129" s="104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348" t="n"/>
      <c r="E4129" s="349">
        <f>IF(C4129="","",IFERROR(VLOOKUP(C4129,parametros!$A$11:$E$15,5,0),""))</f>
        <v/>
      </c>
      <c r="F4129" s="335">
        <f>IF(OR(D4129="",E4129=""),"",ROUND(D4129*E4129,2))</f>
        <v/>
      </c>
      <c r="G4129" s="106" t="n"/>
      <c r="H4129" s="350">
        <f>IF(G4129="Sim",IF(OR(F4129="",D4129="",L4129=""),"",IF(L4129="Sim",ROUND(F4129-D4129,2),0)),0)</f>
        <v/>
      </c>
      <c r="I4129" s="350">
        <f>IF(G4129="Sim",0,IF(OR(F4129="",L4129=""),"",F4129))</f>
        <v/>
      </c>
      <c r="J4129" s="350">
        <f>IF(G4129="Sim",0,IF(OR(F4129="",D4129="",L4129=""),"",IF(L4129="Sim",ROUND(F4129-D4129,2),0)))</f>
        <v/>
      </c>
      <c r="K4129" s="97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inlineStr">
        <is>
          <t>Nao</t>
        </is>
      </c>
      <c r="W4129" s="110" t="inlineStr">
        <is>
          <t>PC em analise</t>
        </is>
      </c>
      <c r="X4129" s="110" t="inlineStr">
        <is>
          <t>Pedido de Compra</t>
        </is>
      </c>
      <c r="Y4129" s="111" t="inlineStr">
        <is>
          <t>Impacto Potencial</t>
        </is>
      </c>
      <c r="Z4129" s="111" t="inlineStr">
        <is>
          <t>PC</t>
        </is>
      </c>
      <c r="AA4129" s="111" t="inlineStr">
        <is>
          <t>Nao</t>
        </is>
      </c>
      <c r="AB4129" s="111" t="inlineStr">
        <is>
          <t>NAO_COMPUTADO</t>
        </is>
      </c>
      <c r="AC4129" s="112" t="inlineStr">
        <is>
          <t>Estrutura Fase 1: sem impacto no VTA oficial</t>
        </is>
      </c>
    </row>
    <row r="4130" ht="25.5" customHeight="1" s="289">
      <c r="A4130" s="205" t="n"/>
      <c r="B4130" s="207" t="n"/>
      <c r="C4130" s="104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348" t="n"/>
      <c r="E4130" s="349">
        <f>IF(C4130="","",IFERROR(VLOOKUP(C4130,parametros!$A$11:$E$15,5,0),""))</f>
        <v/>
      </c>
      <c r="F4130" s="335">
        <f>IF(OR(D4130="",E4130=""),"",ROUND(D4130*E4130,2))</f>
        <v/>
      </c>
      <c r="G4130" s="106" t="n"/>
      <c r="H4130" s="350">
        <f>IF(G4130="Sim",IF(OR(F4130="",D4130="",L4130=""),"",IF(L4130="Sim",ROUND(F4130-D4130,2),0)),0)</f>
        <v/>
      </c>
      <c r="I4130" s="350">
        <f>IF(G4130="Sim",0,IF(OR(F4130="",L4130=""),"",F4130))</f>
        <v/>
      </c>
      <c r="J4130" s="350">
        <f>IF(G4130="Sim",0,IF(OR(F4130="",D4130="",L4130=""),"",IF(L4130="Sim",ROUND(F4130-D4130,2),0)))</f>
        <v/>
      </c>
      <c r="K4130" s="97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inlineStr">
        <is>
          <t>Nao</t>
        </is>
      </c>
      <c r="W4130" s="110" t="inlineStr">
        <is>
          <t>PC em analise</t>
        </is>
      </c>
      <c r="X4130" s="110" t="inlineStr">
        <is>
          <t>Pedido de Compra</t>
        </is>
      </c>
      <c r="Y4130" s="111" t="inlineStr">
        <is>
          <t>Impacto Potencial</t>
        </is>
      </c>
      <c r="Z4130" s="111" t="inlineStr">
        <is>
          <t>PC</t>
        </is>
      </c>
      <c r="AA4130" s="111" t="inlineStr">
        <is>
          <t>Nao</t>
        </is>
      </c>
      <c r="AB4130" s="111" t="inlineStr">
        <is>
          <t>NAO_COMPUTADO</t>
        </is>
      </c>
      <c r="AC4130" s="112" t="inlineStr">
        <is>
          <t>Estrutura Fase 1: sem impacto no VTA oficial</t>
        </is>
      </c>
    </row>
    <row r="4131" ht="25.5" customHeight="1" s="289">
      <c r="A4131" s="205" t="n"/>
      <c r="B4131" s="207" t="n"/>
      <c r="C4131" s="104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348" t="n"/>
      <c r="E4131" s="349">
        <f>IF(C4131="","",IFERROR(VLOOKUP(C4131,parametros!$A$11:$E$15,5,0),""))</f>
        <v/>
      </c>
      <c r="F4131" s="335">
        <f>IF(OR(D4131="",E4131=""),"",ROUND(D4131*E4131,2))</f>
        <v/>
      </c>
      <c r="G4131" s="106" t="n"/>
      <c r="H4131" s="350">
        <f>IF(G4131="Sim",IF(OR(F4131="",D4131="",L4131=""),"",IF(L4131="Sim",ROUND(F4131-D4131,2),0)),0)</f>
        <v/>
      </c>
      <c r="I4131" s="350">
        <f>IF(G4131="Sim",0,IF(OR(F4131="",L4131=""),"",F4131))</f>
        <v/>
      </c>
      <c r="J4131" s="350">
        <f>IF(G4131="Sim",0,IF(OR(F4131="",D4131="",L4131=""),"",IF(L4131="Sim",ROUND(F4131-D4131,2),0)))</f>
        <v/>
      </c>
      <c r="K4131" s="97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inlineStr">
        <is>
          <t>Nao</t>
        </is>
      </c>
      <c r="W4131" s="110" t="inlineStr">
        <is>
          <t>PC em analise</t>
        </is>
      </c>
      <c r="X4131" s="110" t="inlineStr">
        <is>
          <t>Pedido de Compra</t>
        </is>
      </c>
      <c r="Y4131" s="111" t="inlineStr">
        <is>
          <t>Impacto Potencial</t>
        </is>
      </c>
      <c r="Z4131" s="111" t="inlineStr">
        <is>
          <t>PC</t>
        </is>
      </c>
      <c r="AA4131" s="111" t="inlineStr">
        <is>
          <t>Nao</t>
        </is>
      </c>
      <c r="AB4131" s="111" t="inlineStr">
        <is>
          <t>NAO_COMPUTADO</t>
        </is>
      </c>
      <c r="AC4131" s="112" t="inlineStr">
        <is>
          <t>Estrutura Fase 1: sem impacto no VTA oficial</t>
        </is>
      </c>
    </row>
    <row r="4132" ht="25.5" customHeight="1" s="289">
      <c r="A4132" s="205" t="n"/>
      <c r="B4132" s="207" t="n"/>
      <c r="C4132" s="104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348" t="n"/>
      <c r="E4132" s="349">
        <f>IF(C4132="","",IFERROR(VLOOKUP(C4132,parametros!$A$11:$E$15,5,0),""))</f>
        <v/>
      </c>
      <c r="F4132" s="335">
        <f>IF(OR(D4132="",E4132=""),"",ROUND(D4132*E4132,2))</f>
        <v/>
      </c>
      <c r="G4132" s="106" t="n"/>
      <c r="H4132" s="350">
        <f>IF(G4132="Sim",IF(OR(F4132="",D4132="",L4132=""),"",IF(L4132="Sim",ROUND(F4132-D4132,2),0)),0)</f>
        <v/>
      </c>
      <c r="I4132" s="350">
        <f>IF(G4132="Sim",0,IF(OR(F4132="",L4132=""),"",F4132))</f>
        <v/>
      </c>
      <c r="J4132" s="350">
        <f>IF(G4132="Sim",0,IF(OR(F4132="",D4132="",L4132=""),"",IF(L4132="Sim",ROUND(F4132-D4132,2),0)))</f>
        <v/>
      </c>
      <c r="K4132" s="97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inlineStr">
        <is>
          <t>Nao</t>
        </is>
      </c>
      <c r="W4132" s="110" t="inlineStr">
        <is>
          <t>PC em analise</t>
        </is>
      </c>
      <c r="X4132" s="110" t="inlineStr">
        <is>
          <t>Pedido de Compra</t>
        </is>
      </c>
      <c r="Y4132" s="111" t="inlineStr">
        <is>
          <t>Impacto Potencial</t>
        </is>
      </c>
      <c r="Z4132" s="111" t="inlineStr">
        <is>
          <t>PC</t>
        </is>
      </c>
      <c r="AA4132" s="111" t="inlineStr">
        <is>
          <t>Nao</t>
        </is>
      </c>
      <c r="AB4132" s="111" t="inlineStr">
        <is>
          <t>NAO_COMPUTADO</t>
        </is>
      </c>
      <c r="AC4132" s="112" t="inlineStr">
        <is>
          <t>Estrutura Fase 1: sem impacto no VTA oficial</t>
        </is>
      </c>
    </row>
    <row r="4133" ht="25.5" customHeight="1" s="289">
      <c r="A4133" s="205" t="n"/>
      <c r="B4133" s="207" t="n"/>
      <c r="C4133" s="104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348" t="n"/>
      <c r="E4133" s="349">
        <f>IF(C4133="","",IFERROR(VLOOKUP(C4133,parametros!$A$11:$E$15,5,0),""))</f>
        <v/>
      </c>
      <c r="F4133" s="335">
        <f>IF(OR(D4133="",E4133=""),"",ROUND(D4133*E4133,2))</f>
        <v/>
      </c>
      <c r="G4133" s="106" t="n"/>
      <c r="H4133" s="350">
        <f>IF(G4133="Sim",IF(OR(F4133="",D4133="",L4133=""),"",IF(L4133="Sim",ROUND(F4133-D4133,2),0)),0)</f>
        <v/>
      </c>
      <c r="I4133" s="350">
        <f>IF(G4133="Sim",0,IF(OR(F4133="",L4133=""),"",F4133))</f>
        <v/>
      </c>
      <c r="J4133" s="350">
        <f>IF(G4133="Sim",0,IF(OR(F4133="",D4133="",L4133=""),"",IF(L4133="Sim",ROUND(F4133-D4133,2),0)))</f>
        <v/>
      </c>
      <c r="K4133" s="97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inlineStr">
        <is>
          <t>Nao</t>
        </is>
      </c>
      <c r="W4133" s="110" t="inlineStr">
        <is>
          <t>PC em analise</t>
        </is>
      </c>
      <c r="X4133" s="110" t="inlineStr">
        <is>
          <t>Pedido de Compra</t>
        </is>
      </c>
      <c r="Y4133" s="111" t="inlineStr">
        <is>
          <t>Impacto Potencial</t>
        </is>
      </c>
      <c r="Z4133" s="111" t="inlineStr">
        <is>
          <t>PC</t>
        </is>
      </c>
      <c r="AA4133" s="111" t="inlineStr">
        <is>
          <t>Nao</t>
        </is>
      </c>
      <c r="AB4133" s="111" t="inlineStr">
        <is>
          <t>NAO_COMPUTADO</t>
        </is>
      </c>
      <c r="AC4133" s="112" t="inlineStr">
        <is>
          <t>Estrutura Fase 1: sem impacto no VTA oficial</t>
        </is>
      </c>
    </row>
    <row r="4134" ht="25.5" customHeight="1" s="289">
      <c r="A4134" s="205" t="n"/>
      <c r="B4134" s="207" t="n"/>
      <c r="C4134" s="104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348" t="n"/>
      <c r="E4134" s="349">
        <f>IF(C4134="","",IFERROR(VLOOKUP(C4134,parametros!$A$11:$E$15,5,0),""))</f>
        <v/>
      </c>
      <c r="F4134" s="335">
        <f>IF(OR(D4134="",E4134=""),"",ROUND(D4134*E4134,2))</f>
        <v/>
      </c>
      <c r="G4134" s="106" t="n"/>
      <c r="H4134" s="350">
        <f>IF(G4134="Sim",IF(OR(F4134="",D4134="",L4134=""),"",IF(L4134="Sim",ROUND(F4134-D4134,2),0)),0)</f>
        <v/>
      </c>
      <c r="I4134" s="350">
        <f>IF(G4134="Sim",0,IF(OR(F4134="",L4134=""),"",F4134))</f>
        <v/>
      </c>
      <c r="J4134" s="350">
        <f>IF(G4134="Sim",0,IF(OR(F4134="",D4134="",L4134=""),"",IF(L4134="Sim",ROUND(F4134-D4134,2),0)))</f>
        <v/>
      </c>
      <c r="K4134" s="97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inlineStr">
        <is>
          <t>Nao</t>
        </is>
      </c>
      <c r="W4134" s="110" t="inlineStr">
        <is>
          <t>PC em analise</t>
        </is>
      </c>
      <c r="X4134" s="110" t="inlineStr">
        <is>
          <t>Pedido de Compra</t>
        </is>
      </c>
      <c r="Y4134" s="111" t="inlineStr">
        <is>
          <t>Impacto Potencial</t>
        </is>
      </c>
      <c r="Z4134" s="111" t="inlineStr">
        <is>
          <t>PC</t>
        </is>
      </c>
      <c r="AA4134" s="111" t="inlineStr">
        <is>
          <t>Nao</t>
        </is>
      </c>
      <c r="AB4134" s="111" t="inlineStr">
        <is>
          <t>NAO_COMPUTADO</t>
        </is>
      </c>
      <c r="AC4134" s="112" t="inlineStr">
        <is>
          <t>Estrutura Fase 1: sem impacto no VTA oficial</t>
        </is>
      </c>
    </row>
    <row r="4135" ht="25.5" customHeight="1" s="289">
      <c r="A4135" s="205" t="n"/>
      <c r="B4135" s="207" t="n"/>
      <c r="C4135" s="104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348" t="n"/>
      <c r="E4135" s="349">
        <f>IF(C4135="","",IFERROR(VLOOKUP(C4135,parametros!$A$11:$E$15,5,0),""))</f>
        <v/>
      </c>
      <c r="F4135" s="335">
        <f>IF(OR(D4135="",E4135=""),"",ROUND(D4135*E4135,2))</f>
        <v/>
      </c>
      <c r="G4135" s="106" t="n"/>
      <c r="H4135" s="350">
        <f>IF(G4135="Sim",IF(OR(F4135="",D4135="",L4135=""),"",IF(L4135="Sim",ROUND(F4135-D4135,2),0)),0)</f>
        <v/>
      </c>
      <c r="I4135" s="350">
        <f>IF(G4135="Sim",0,IF(OR(F4135="",L4135=""),"",F4135))</f>
        <v/>
      </c>
      <c r="J4135" s="350">
        <f>IF(G4135="Sim",0,IF(OR(F4135="",D4135="",L4135=""),"",IF(L4135="Sim",ROUND(F4135-D4135,2),0)))</f>
        <v/>
      </c>
      <c r="K4135" s="97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inlineStr">
        <is>
          <t>Nao</t>
        </is>
      </c>
      <c r="W4135" s="110" t="inlineStr">
        <is>
          <t>PC em analise</t>
        </is>
      </c>
      <c r="X4135" s="110" t="inlineStr">
        <is>
          <t>Pedido de Compra</t>
        </is>
      </c>
      <c r="Y4135" s="111" t="inlineStr">
        <is>
          <t>Impacto Potencial</t>
        </is>
      </c>
      <c r="Z4135" s="111" t="inlineStr">
        <is>
          <t>PC</t>
        </is>
      </c>
      <c r="AA4135" s="111" t="inlineStr">
        <is>
          <t>Nao</t>
        </is>
      </c>
      <c r="AB4135" s="111" t="inlineStr">
        <is>
          <t>NAO_COMPUTADO</t>
        </is>
      </c>
      <c r="AC4135" s="112" t="inlineStr">
        <is>
          <t>Estrutura Fase 1: sem impacto no VTA oficial</t>
        </is>
      </c>
    </row>
    <row r="4136" ht="25.5" customHeight="1" s="289">
      <c r="A4136" s="205" t="n"/>
      <c r="B4136" s="207" t="n"/>
      <c r="C4136" s="104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348" t="n"/>
      <c r="E4136" s="349">
        <f>IF(C4136="","",IFERROR(VLOOKUP(C4136,parametros!$A$11:$E$15,5,0),""))</f>
        <v/>
      </c>
      <c r="F4136" s="335">
        <f>IF(OR(D4136="",E4136=""),"",ROUND(D4136*E4136,2))</f>
        <v/>
      </c>
      <c r="G4136" s="106" t="n"/>
      <c r="H4136" s="350">
        <f>IF(G4136="Sim",IF(OR(F4136="",D4136="",L4136=""),"",IF(L4136="Sim",ROUND(F4136-D4136,2),0)),0)</f>
        <v/>
      </c>
      <c r="I4136" s="350">
        <f>IF(G4136="Sim",0,IF(OR(F4136="",L4136=""),"",F4136))</f>
        <v/>
      </c>
      <c r="J4136" s="350">
        <f>IF(G4136="Sim",0,IF(OR(F4136="",D4136="",L4136=""),"",IF(L4136="Sim",ROUND(F4136-D4136,2),0)))</f>
        <v/>
      </c>
      <c r="K4136" s="97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inlineStr">
        <is>
          <t>Nao</t>
        </is>
      </c>
      <c r="W4136" s="110" t="inlineStr">
        <is>
          <t>PC em analise</t>
        </is>
      </c>
      <c r="X4136" s="110" t="inlineStr">
        <is>
          <t>Pedido de Compra</t>
        </is>
      </c>
      <c r="Y4136" s="111" t="inlineStr">
        <is>
          <t>Impacto Potencial</t>
        </is>
      </c>
      <c r="Z4136" s="111" t="inlineStr">
        <is>
          <t>PC</t>
        </is>
      </c>
      <c r="AA4136" s="111" t="inlineStr">
        <is>
          <t>Nao</t>
        </is>
      </c>
      <c r="AB4136" s="111" t="inlineStr">
        <is>
          <t>NAO_COMPUTADO</t>
        </is>
      </c>
      <c r="AC4136" s="112" t="inlineStr">
        <is>
          <t>Estrutura Fase 1: sem impacto no VTA oficial</t>
        </is>
      </c>
    </row>
    <row r="4137" ht="25.5" customHeight="1" s="289">
      <c r="A4137" s="205" t="n"/>
      <c r="B4137" s="207" t="n"/>
      <c r="C4137" s="104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348" t="n"/>
      <c r="E4137" s="349">
        <f>IF(C4137="","",IFERROR(VLOOKUP(C4137,parametros!$A$11:$E$15,5,0),""))</f>
        <v/>
      </c>
      <c r="F4137" s="335">
        <f>IF(OR(D4137="",E4137=""),"",ROUND(D4137*E4137,2))</f>
        <v/>
      </c>
      <c r="G4137" s="106" t="n"/>
      <c r="H4137" s="350">
        <f>IF(G4137="Sim",IF(OR(F4137="",D4137="",L4137=""),"",IF(L4137="Sim",ROUND(F4137-D4137,2),0)),0)</f>
        <v/>
      </c>
      <c r="I4137" s="350">
        <f>IF(G4137="Sim",0,IF(OR(F4137="",L4137=""),"",F4137))</f>
        <v/>
      </c>
      <c r="J4137" s="350">
        <f>IF(G4137="Sim",0,IF(OR(F4137="",D4137="",L4137=""),"",IF(L4137="Sim",ROUND(F4137-D4137,2),0)))</f>
        <v/>
      </c>
      <c r="K4137" s="97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inlineStr">
        <is>
          <t>Nao</t>
        </is>
      </c>
      <c r="W4137" s="110" t="inlineStr">
        <is>
          <t>PC em analise</t>
        </is>
      </c>
      <c r="X4137" s="110" t="inlineStr">
        <is>
          <t>Pedido de Compra</t>
        </is>
      </c>
      <c r="Y4137" s="111" t="inlineStr">
        <is>
          <t>Impacto Potencial</t>
        </is>
      </c>
      <c r="Z4137" s="111" t="inlineStr">
        <is>
          <t>PC</t>
        </is>
      </c>
      <c r="AA4137" s="111" t="inlineStr">
        <is>
          <t>Nao</t>
        </is>
      </c>
      <c r="AB4137" s="111" t="inlineStr">
        <is>
          <t>NAO_COMPUTADO</t>
        </is>
      </c>
      <c r="AC4137" s="112" t="inlineStr">
        <is>
          <t>Estrutura Fase 1: sem impacto no VTA oficial</t>
        </is>
      </c>
    </row>
    <row r="4138" ht="25.5" customHeight="1" s="289">
      <c r="A4138" s="205" t="n"/>
      <c r="B4138" s="207" t="n"/>
      <c r="C4138" s="104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348" t="n"/>
      <c r="E4138" s="349">
        <f>IF(C4138="","",IFERROR(VLOOKUP(C4138,parametros!$A$11:$E$15,5,0),""))</f>
        <v/>
      </c>
      <c r="F4138" s="335">
        <f>IF(OR(D4138="",E4138=""),"",ROUND(D4138*E4138,2))</f>
        <v/>
      </c>
      <c r="G4138" s="106" t="n"/>
      <c r="H4138" s="350">
        <f>IF(G4138="Sim",IF(OR(F4138="",D4138="",L4138=""),"",IF(L4138="Sim",ROUND(F4138-D4138,2),0)),0)</f>
        <v/>
      </c>
      <c r="I4138" s="350">
        <f>IF(G4138="Sim",0,IF(OR(F4138="",L4138=""),"",F4138))</f>
        <v/>
      </c>
      <c r="J4138" s="350">
        <f>IF(G4138="Sim",0,IF(OR(F4138="",D4138="",L4138=""),"",IF(L4138="Sim",ROUND(F4138-D4138,2),0)))</f>
        <v/>
      </c>
      <c r="K4138" s="97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inlineStr">
        <is>
          <t>Nao</t>
        </is>
      </c>
      <c r="W4138" s="110" t="inlineStr">
        <is>
          <t>PC em analise</t>
        </is>
      </c>
      <c r="X4138" s="110" t="inlineStr">
        <is>
          <t>Pedido de Compra</t>
        </is>
      </c>
      <c r="Y4138" s="111" t="inlineStr">
        <is>
          <t>Impacto Potencial</t>
        </is>
      </c>
      <c r="Z4138" s="111" t="inlineStr">
        <is>
          <t>PC</t>
        </is>
      </c>
      <c r="AA4138" s="111" t="inlineStr">
        <is>
          <t>Nao</t>
        </is>
      </c>
      <c r="AB4138" s="111" t="inlineStr">
        <is>
          <t>NAO_COMPUTADO</t>
        </is>
      </c>
      <c r="AC4138" s="112" t="inlineStr">
        <is>
          <t>Estrutura Fase 1: sem impacto no VTA oficial</t>
        </is>
      </c>
    </row>
    <row r="4139" ht="25.5" customHeight="1" s="289">
      <c r="A4139" s="205" t="n"/>
      <c r="B4139" s="207" t="n"/>
      <c r="C4139" s="104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348" t="n"/>
      <c r="E4139" s="349">
        <f>IF(C4139="","",IFERROR(VLOOKUP(C4139,parametros!$A$11:$E$15,5,0),""))</f>
        <v/>
      </c>
      <c r="F4139" s="335">
        <f>IF(OR(D4139="",E4139=""),"",ROUND(D4139*E4139,2))</f>
        <v/>
      </c>
      <c r="G4139" s="106" t="n"/>
      <c r="H4139" s="350">
        <f>IF(G4139="Sim",IF(OR(F4139="",D4139="",L4139=""),"",IF(L4139="Sim",ROUND(F4139-D4139,2),0)),0)</f>
        <v/>
      </c>
      <c r="I4139" s="350">
        <f>IF(G4139="Sim",0,IF(OR(F4139="",L4139=""),"",F4139))</f>
        <v/>
      </c>
      <c r="J4139" s="350">
        <f>IF(G4139="Sim",0,IF(OR(F4139="",D4139="",L4139=""),"",IF(L4139="Sim",ROUND(F4139-D4139,2),0)))</f>
        <v/>
      </c>
      <c r="K4139" s="97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inlineStr">
        <is>
          <t>Nao</t>
        </is>
      </c>
      <c r="W4139" s="110" t="inlineStr">
        <is>
          <t>PC em analise</t>
        </is>
      </c>
      <c r="X4139" s="110" t="inlineStr">
        <is>
          <t>Pedido de Compra</t>
        </is>
      </c>
      <c r="Y4139" s="111" t="inlineStr">
        <is>
          <t>Impacto Potencial</t>
        </is>
      </c>
      <c r="Z4139" s="111" t="inlineStr">
        <is>
          <t>PC</t>
        </is>
      </c>
      <c r="AA4139" s="111" t="inlineStr">
        <is>
          <t>Nao</t>
        </is>
      </c>
      <c r="AB4139" s="111" t="inlineStr">
        <is>
          <t>NAO_COMPUTADO</t>
        </is>
      </c>
      <c r="AC4139" s="112" t="inlineStr">
        <is>
          <t>Estrutura Fase 1: sem impacto no VTA oficial</t>
        </is>
      </c>
    </row>
    <row r="4140" ht="25.5" customHeight="1" s="289">
      <c r="A4140" s="205" t="n"/>
      <c r="B4140" s="207" t="n"/>
      <c r="C4140" s="104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348" t="n"/>
      <c r="E4140" s="349">
        <f>IF(C4140="","",IFERROR(VLOOKUP(C4140,parametros!$A$11:$E$15,5,0),""))</f>
        <v/>
      </c>
      <c r="F4140" s="335">
        <f>IF(OR(D4140="",E4140=""),"",ROUND(D4140*E4140,2))</f>
        <v/>
      </c>
      <c r="G4140" s="106" t="n"/>
      <c r="H4140" s="350">
        <f>IF(G4140="Sim",IF(OR(F4140="",D4140="",L4140=""),"",IF(L4140="Sim",ROUND(F4140-D4140,2),0)),0)</f>
        <v/>
      </c>
      <c r="I4140" s="350">
        <f>IF(G4140="Sim",0,IF(OR(F4140="",L4140=""),"",F4140))</f>
        <v/>
      </c>
      <c r="J4140" s="350">
        <f>IF(G4140="Sim",0,IF(OR(F4140="",D4140="",L4140=""),"",IF(L4140="Sim",ROUND(F4140-D4140,2),0)))</f>
        <v/>
      </c>
      <c r="K4140" s="97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inlineStr">
        <is>
          <t>Nao</t>
        </is>
      </c>
      <c r="W4140" s="110" t="inlineStr">
        <is>
          <t>PC em analise</t>
        </is>
      </c>
      <c r="X4140" s="110" t="inlineStr">
        <is>
          <t>Pedido de Compra</t>
        </is>
      </c>
      <c r="Y4140" s="111" t="inlineStr">
        <is>
          <t>Impacto Potencial</t>
        </is>
      </c>
      <c r="Z4140" s="111" t="inlineStr">
        <is>
          <t>PC</t>
        </is>
      </c>
      <c r="AA4140" s="111" t="inlineStr">
        <is>
          <t>Nao</t>
        </is>
      </c>
      <c r="AB4140" s="111" t="inlineStr">
        <is>
          <t>NAO_COMPUTADO</t>
        </is>
      </c>
      <c r="AC4140" s="112" t="inlineStr">
        <is>
          <t>Estrutura Fase 1: sem impacto no VTA oficial</t>
        </is>
      </c>
    </row>
    <row r="4141" ht="25.5" customHeight="1" s="289">
      <c r="A4141" s="205" t="n"/>
      <c r="B4141" s="207" t="n"/>
      <c r="C4141" s="104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348" t="n"/>
      <c r="E4141" s="349">
        <f>IF(C4141="","",IFERROR(VLOOKUP(C4141,parametros!$A$11:$E$15,5,0),""))</f>
        <v/>
      </c>
      <c r="F4141" s="335">
        <f>IF(OR(D4141="",E4141=""),"",ROUND(D4141*E4141,2))</f>
        <v/>
      </c>
      <c r="G4141" s="106" t="n"/>
      <c r="H4141" s="350">
        <f>IF(G4141="Sim",IF(OR(F4141="",D4141="",L4141=""),"",IF(L4141="Sim",ROUND(F4141-D4141,2),0)),0)</f>
        <v/>
      </c>
      <c r="I4141" s="350">
        <f>IF(G4141="Sim",0,IF(OR(F4141="",L4141=""),"",F4141))</f>
        <v/>
      </c>
      <c r="J4141" s="350">
        <f>IF(G4141="Sim",0,IF(OR(F4141="",D4141="",L4141=""),"",IF(L4141="Sim",ROUND(F4141-D4141,2),0)))</f>
        <v/>
      </c>
      <c r="K4141" s="97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inlineStr">
        <is>
          <t>Nao</t>
        </is>
      </c>
      <c r="W4141" s="110" t="inlineStr">
        <is>
          <t>PC em analise</t>
        </is>
      </c>
      <c r="X4141" s="110" t="inlineStr">
        <is>
          <t>Pedido de Compra</t>
        </is>
      </c>
      <c r="Y4141" s="111" t="inlineStr">
        <is>
          <t>Impacto Potencial</t>
        </is>
      </c>
      <c r="Z4141" s="111" t="inlineStr">
        <is>
          <t>PC</t>
        </is>
      </c>
      <c r="AA4141" s="111" t="inlineStr">
        <is>
          <t>Nao</t>
        </is>
      </c>
      <c r="AB4141" s="111" t="inlineStr">
        <is>
          <t>NAO_COMPUTADO</t>
        </is>
      </c>
      <c r="AC4141" s="112" t="inlineStr">
        <is>
          <t>Estrutura Fase 1: sem impacto no VTA oficial</t>
        </is>
      </c>
    </row>
    <row r="4142" ht="25.5" customHeight="1" s="289">
      <c r="A4142" s="205" t="n"/>
      <c r="B4142" s="207" t="n"/>
      <c r="C4142" s="104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348" t="n"/>
      <c r="E4142" s="349">
        <f>IF(C4142="","",IFERROR(VLOOKUP(C4142,parametros!$A$11:$E$15,5,0),""))</f>
        <v/>
      </c>
      <c r="F4142" s="335">
        <f>IF(OR(D4142="",E4142=""),"",ROUND(D4142*E4142,2))</f>
        <v/>
      </c>
      <c r="G4142" s="106" t="n"/>
      <c r="H4142" s="350">
        <f>IF(G4142="Sim",IF(OR(F4142="",D4142="",L4142=""),"",IF(L4142="Sim",ROUND(F4142-D4142,2),0)),0)</f>
        <v/>
      </c>
      <c r="I4142" s="350">
        <f>IF(G4142="Sim",0,IF(OR(F4142="",L4142=""),"",F4142))</f>
        <v/>
      </c>
      <c r="J4142" s="350">
        <f>IF(G4142="Sim",0,IF(OR(F4142="",D4142="",L4142=""),"",IF(L4142="Sim",ROUND(F4142-D4142,2),0)))</f>
        <v/>
      </c>
      <c r="K4142" s="97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inlineStr">
        <is>
          <t>Nao</t>
        </is>
      </c>
      <c r="W4142" s="110" t="inlineStr">
        <is>
          <t>PC em analise</t>
        </is>
      </c>
      <c r="X4142" s="110" t="inlineStr">
        <is>
          <t>Pedido de Compra</t>
        </is>
      </c>
      <c r="Y4142" s="111" t="inlineStr">
        <is>
          <t>Impacto Potencial</t>
        </is>
      </c>
      <c r="Z4142" s="111" t="inlineStr">
        <is>
          <t>PC</t>
        </is>
      </c>
      <c r="AA4142" s="111" t="inlineStr">
        <is>
          <t>Nao</t>
        </is>
      </c>
      <c r="AB4142" s="111" t="inlineStr">
        <is>
          <t>NAO_COMPUTADO</t>
        </is>
      </c>
      <c r="AC4142" s="112" t="inlineStr">
        <is>
          <t>Estrutura Fase 1: sem impacto no VTA oficial</t>
        </is>
      </c>
    </row>
    <row r="4143" ht="25.5" customHeight="1" s="289">
      <c r="A4143" s="205" t="n"/>
      <c r="B4143" s="207" t="n"/>
      <c r="C4143" s="104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348" t="n"/>
      <c r="E4143" s="349">
        <f>IF(C4143="","",IFERROR(VLOOKUP(C4143,parametros!$A$11:$E$15,5,0),""))</f>
        <v/>
      </c>
      <c r="F4143" s="335">
        <f>IF(OR(D4143="",E4143=""),"",ROUND(D4143*E4143,2))</f>
        <v/>
      </c>
      <c r="G4143" s="106" t="n"/>
      <c r="H4143" s="350">
        <f>IF(G4143="Sim",IF(OR(F4143="",D4143="",L4143=""),"",IF(L4143="Sim",ROUND(F4143-D4143,2),0)),0)</f>
        <v/>
      </c>
      <c r="I4143" s="350">
        <f>IF(G4143="Sim",0,IF(OR(F4143="",L4143=""),"",F4143))</f>
        <v/>
      </c>
      <c r="J4143" s="350">
        <f>IF(G4143="Sim",0,IF(OR(F4143="",D4143="",L4143=""),"",IF(L4143="Sim",ROUND(F4143-D4143,2),0)))</f>
        <v/>
      </c>
      <c r="K4143" s="97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inlineStr">
        <is>
          <t>Nao</t>
        </is>
      </c>
      <c r="W4143" s="110" t="inlineStr">
        <is>
          <t>PC em analise</t>
        </is>
      </c>
      <c r="X4143" s="110" t="inlineStr">
        <is>
          <t>Pedido de Compra</t>
        </is>
      </c>
      <c r="Y4143" s="111" t="inlineStr">
        <is>
          <t>Impacto Potencial</t>
        </is>
      </c>
      <c r="Z4143" s="111" t="inlineStr">
        <is>
          <t>PC</t>
        </is>
      </c>
      <c r="AA4143" s="111" t="inlineStr">
        <is>
          <t>Nao</t>
        </is>
      </c>
      <c r="AB4143" s="111" t="inlineStr">
        <is>
          <t>NAO_COMPUTADO</t>
        </is>
      </c>
      <c r="AC4143" s="112" t="inlineStr">
        <is>
          <t>Estrutura Fase 1: sem impacto no VTA oficial</t>
        </is>
      </c>
    </row>
    <row r="4144" ht="25.5" customHeight="1" s="289">
      <c r="A4144" s="205" t="n"/>
      <c r="B4144" s="207" t="n"/>
      <c r="C4144" s="104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348" t="n"/>
      <c r="E4144" s="349">
        <f>IF(C4144="","",IFERROR(VLOOKUP(C4144,parametros!$A$11:$E$15,5,0),""))</f>
        <v/>
      </c>
      <c r="F4144" s="335">
        <f>IF(OR(D4144="",E4144=""),"",ROUND(D4144*E4144,2))</f>
        <v/>
      </c>
      <c r="G4144" s="106" t="n"/>
      <c r="H4144" s="350">
        <f>IF(G4144="Sim",IF(OR(F4144="",D4144="",L4144=""),"",IF(L4144="Sim",ROUND(F4144-D4144,2),0)),0)</f>
        <v/>
      </c>
      <c r="I4144" s="350">
        <f>IF(G4144="Sim",0,IF(OR(F4144="",L4144=""),"",F4144))</f>
        <v/>
      </c>
      <c r="J4144" s="350">
        <f>IF(G4144="Sim",0,IF(OR(F4144="",D4144="",L4144=""),"",IF(L4144="Sim",ROUND(F4144-D4144,2),0)))</f>
        <v/>
      </c>
      <c r="K4144" s="97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inlineStr">
        <is>
          <t>Nao</t>
        </is>
      </c>
      <c r="W4144" s="110" t="inlineStr">
        <is>
          <t>PC em analise</t>
        </is>
      </c>
      <c r="X4144" s="110" t="inlineStr">
        <is>
          <t>Pedido de Compra</t>
        </is>
      </c>
      <c r="Y4144" s="111" t="inlineStr">
        <is>
          <t>Impacto Potencial</t>
        </is>
      </c>
      <c r="Z4144" s="111" t="inlineStr">
        <is>
          <t>PC</t>
        </is>
      </c>
      <c r="AA4144" s="111" t="inlineStr">
        <is>
          <t>Nao</t>
        </is>
      </c>
      <c r="AB4144" s="111" t="inlineStr">
        <is>
          <t>NAO_COMPUTADO</t>
        </is>
      </c>
      <c r="AC4144" s="112" t="inlineStr">
        <is>
          <t>Estrutura Fase 1: sem impacto no VTA oficial</t>
        </is>
      </c>
    </row>
    <row r="4145" ht="25.5" customHeight="1" s="289">
      <c r="A4145" s="205" t="n"/>
      <c r="B4145" s="207" t="n"/>
      <c r="C4145" s="104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348" t="n"/>
      <c r="E4145" s="349">
        <f>IF(C4145="","",IFERROR(VLOOKUP(C4145,parametros!$A$11:$E$15,5,0),""))</f>
        <v/>
      </c>
      <c r="F4145" s="335">
        <f>IF(OR(D4145="",E4145=""),"",ROUND(D4145*E4145,2))</f>
        <v/>
      </c>
      <c r="G4145" s="106" t="n"/>
      <c r="H4145" s="350">
        <f>IF(G4145="Sim",IF(OR(F4145="",D4145="",L4145=""),"",IF(L4145="Sim",ROUND(F4145-D4145,2),0)),0)</f>
        <v/>
      </c>
      <c r="I4145" s="350">
        <f>IF(G4145="Sim",0,IF(OR(F4145="",L4145=""),"",F4145))</f>
        <v/>
      </c>
      <c r="J4145" s="350">
        <f>IF(G4145="Sim",0,IF(OR(F4145="",D4145="",L4145=""),"",IF(L4145="Sim",ROUND(F4145-D4145,2),0)))</f>
        <v/>
      </c>
      <c r="K4145" s="97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inlineStr">
        <is>
          <t>Nao</t>
        </is>
      </c>
      <c r="W4145" s="110" t="inlineStr">
        <is>
          <t>PC em analise</t>
        </is>
      </c>
      <c r="X4145" s="110" t="inlineStr">
        <is>
          <t>Pedido de Compra</t>
        </is>
      </c>
      <c r="Y4145" s="111" t="inlineStr">
        <is>
          <t>Impacto Potencial</t>
        </is>
      </c>
      <c r="Z4145" s="111" t="inlineStr">
        <is>
          <t>PC</t>
        </is>
      </c>
      <c r="AA4145" s="111" t="inlineStr">
        <is>
          <t>Nao</t>
        </is>
      </c>
      <c r="AB4145" s="111" t="inlineStr">
        <is>
          <t>NAO_COMPUTADO</t>
        </is>
      </c>
      <c r="AC4145" s="112" t="inlineStr">
        <is>
          <t>Estrutura Fase 1: sem impacto no VTA oficial</t>
        </is>
      </c>
    </row>
    <row r="4146" ht="25.5" customHeight="1" s="289">
      <c r="A4146" s="205" t="n"/>
      <c r="B4146" s="207" t="n"/>
      <c r="C4146" s="104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348" t="n"/>
      <c r="E4146" s="349">
        <f>IF(C4146="","",IFERROR(VLOOKUP(C4146,parametros!$A$11:$E$15,5,0),""))</f>
        <v/>
      </c>
      <c r="F4146" s="335">
        <f>IF(OR(D4146="",E4146=""),"",ROUND(D4146*E4146,2))</f>
        <v/>
      </c>
      <c r="G4146" s="106" t="n"/>
      <c r="H4146" s="350">
        <f>IF(G4146="Sim",IF(OR(F4146="",D4146="",L4146=""),"",IF(L4146="Sim",ROUND(F4146-D4146,2),0)),0)</f>
        <v/>
      </c>
      <c r="I4146" s="350">
        <f>IF(G4146="Sim",0,IF(OR(F4146="",L4146=""),"",F4146))</f>
        <v/>
      </c>
      <c r="J4146" s="350">
        <f>IF(G4146="Sim",0,IF(OR(F4146="",D4146="",L4146=""),"",IF(L4146="Sim",ROUND(F4146-D4146,2),0)))</f>
        <v/>
      </c>
      <c r="K4146" s="97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inlineStr">
        <is>
          <t>Nao</t>
        </is>
      </c>
      <c r="W4146" s="110" t="inlineStr">
        <is>
          <t>PC em analise</t>
        </is>
      </c>
      <c r="X4146" s="110" t="inlineStr">
        <is>
          <t>Pedido de Compra</t>
        </is>
      </c>
      <c r="Y4146" s="111" t="inlineStr">
        <is>
          <t>Impacto Potencial</t>
        </is>
      </c>
      <c r="Z4146" s="111" t="inlineStr">
        <is>
          <t>PC</t>
        </is>
      </c>
      <c r="AA4146" s="111" t="inlineStr">
        <is>
          <t>Nao</t>
        </is>
      </c>
      <c r="AB4146" s="111" t="inlineStr">
        <is>
          <t>NAO_COMPUTADO</t>
        </is>
      </c>
      <c r="AC4146" s="112" t="inlineStr">
        <is>
          <t>Estrutura Fase 1: sem impacto no VTA oficial</t>
        </is>
      </c>
    </row>
    <row r="4147" ht="25.5" customHeight="1" s="289">
      <c r="A4147" s="205" t="n"/>
      <c r="B4147" s="207" t="n"/>
      <c r="C4147" s="104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348" t="n"/>
      <c r="E4147" s="349">
        <f>IF(C4147="","",IFERROR(VLOOKUP(C4147,parametros!$A$11:$E$15,5,0),""))</f>
        <v/>
      </c>
      <c r="F4147" s="335">
        <f>IF(OR(D4147="",E4147=""),"",ROUND(D4147*E4147,2))</f>
        <v/>
      </c>
      <c r="G4147" s="106" t="n"/>
      <c r="H4147" s="350">
        <f>IF(G4147="Sim",IF(OR(F4147="",D4147="",L4147=""),"",IF(L4147="Sim",ROUND(F4147-D4147,2),0)),0)</f>
        <v/>
      </c>
      <c r="I4147" s="350">
        <f>IF(G4147="Sim",0,IF(OR(F4147="",L4147=""),"",F4147))</f>
        <v/>
      </c>
      <c r="J4147" s="350">
        <f>IF(G4147="Sim",0,IF(OR(F4147="",D4147="",L4147=""),"",IF(L4147="Sim",ROUND(F4147-D4147,2),0)))</f>
        <v/>
      </c>
      <c r="K4147" s="97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inlineStr">
        <is>
          <t>Nao</t>
        </is>
      </c>
      <c r="W4147" s="110" t="inlineStr">
        <is>
          <t>PC em analise</t>
        </is>
      </c>
      <c r="X4147" s="110" t="inlineStr">
        <is>
          <t>Pedido de Compra</t>
        </is>
      </c>
      <c r="Y4147" s="111" t="inlineStr">
        <is>
          <t>Impacto Potencial</t>
        </is>
      </c>
      <c r="Z4147" s="111" t="inlineStr">
        <is>
          <t>PC</t>
        </is>
      </c>
      <c r="AA4147" s="111" t="inlineStr">
        <is>
          <t>Nao</t>
        </is>
      </c>
      <c r="AB4147" s="111" t="inlineStr">
        <is>
          <t>NAO_COMPUTADO</t>
        </is>
      </c>
      <c r="AC4147" s="112" t="inlineStr">
        <is>
          <t>Estrutura Fase 1: sem impacto no VTA oficial</t>
        </is>
      </c>
    </row>
    <row r="4148" ht="25.5" customHeight="1" s="289">
      <c r="A4148" s="205" t="n"/>
      <c r="B4148" s="207" t="n"/>
      <c r="C4148" s="104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348" t="n"/>
      <c r="E4148" s="349">
        <f>IF(C4148="","",IFERROR(VLOOKUP(C4148,parametros!$A$11:$E$15,5,0),""))</f>
        <v/>
      </c>
      <c r="F4148" s="335">
        <f>IF(OR(D4148="",E4148=""),"",ROUND(D4148*E4148,2))</f>
        <v/>
      </c>
      <c r="G4148" s="106" t="n"/>
      <c r="H4148" s="350">
        <f>IF(G4148="Sim",IF(OR(F4148="",D4148="",L4148=""),"",IF(L4148="Sim",ROUND(F4148-D4148,2),0)),0)</f>
        <v/>
      </c>
      <c r="I4148" s="350">
        <f>IF(G4148="Sim",0,IF(OR(F4148="",L4148=""),"",F4148))</f>
        <v/>
      </c>
      <c r="J4148" s="350">
        <f>IF(G4148="Sim",0,IF(OR(F4148="",D4148="",L4148=""),"",IF(L4148="Sim",ROUND(F4148-D4148,2),0)))</f>
        <v/>
      </c>
      <c r="K4148" s="97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inlineStr">
        <is>
          <t>Nao</t>
        </is>
      </c>
      <c r="W4148" s="110" t="inlineStr">
        <is>
          <t>PC em analise</t>
        </is>
      </c>
      <c r="X4148" s="110" t="inlineStr">
        <is>
          <t>Pedido de Compra</t>
        </is>
      </c>
      <c r="Y4148" s="111" t="inlineStr">
        <is>
          <t>Impacto Potencial</t>
        </is>
      </c>
      <c r="Z4148" s="111" t="inlineStr">
        <is>
          <t>PC</t>
        </is>
      </c>
      <c r="AA4148" s="111" t="inlineStr">
        <is>
          <t>Nao</t>
        </is>
      </c>
      <c r="AB4148" s="111" t="inlineStr">
        <is>
          <t>NAO_COMPUTADO</t>
        </is>
      </c>
      <c r="AC4148" s="112" t="inlineStr">
        <is>
          <t>Estrutura Fase 1: sem impacto no VTA oficial</t>
        </is>
      </c>
    </row>
    <row r="4149" ht="25.5" customHeight="1" s="289">
      <c r="A4149" s="205" t="n"/>
      <c r="B4149" s="207" t="n"/>
      <c r="C4149" s="104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348" t="n"/>
      <c r="E4149" s="349">
        <f>IF(C4149="","",IFERROR(VLOOKUP(C4149,parametros!$A$11:$E$15,5,0),""))</f>
        <v/>
      </c>
      <c r="F4149" s="335">
        <f>IF(OR(D4149="",E4149=""),"",ROUND(D4149*E4149,2))</f>
        <v/>
      </c>
      <c r="G4149" s="106" t="n"/>
      <c r="H4149" s="350">
        <f>IF(G4149="Sim",IF(OR(F4149="",D4149="",L4149=""),"",IF(L4149="Sim",ROUND(F4149-D4149,2),0)),0)</f>
        <v/>
      </c>
      <c r="I4149" s="350">
        <f>IF(G4149="Sim",0,IF(OR(F4149="",L4149=""),"",F4149))</f>
        <v/>
      </c>
      <c r="J4149" s="350">
        <f>IF(G4149="Sim",0,IF(OR(F4149="",D4149="",L4149=""),"",IF(L4149="Sim",ROUND(F4149-D4149,2),0)))</f>
        <v/>
      </c>
      <c r="K4149" s="97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inlineStr">
        <is>
          <t>Nao</t>
        </is>
      </c>
      <c r="W4149" s="110" t="inlineStr">
        <is>
          <t>PC em analise</t>
        </is>
      </c>
      <c r="X4149" s="110" t="inlineStr">
        <is>
          <t>Pedido de Compra</t>
        </is>
      </c>
      <c r="Y4149" s="111" t="inlineStr">
        <is>
          <t>Impacto Potencial</t>
        </is>
      </c>
      <c r="Z4149" s="111" t="inlineStr">
        <is>
          <t>PC</t>
        </is>
      </c>
      <c r="AA4149" s="111" t="inlineStr">
        <is>
          <t>Nao</t>
        </is>
      </c>
      <c r="AB4149" s="111" t="inlineStr">
        <is>
          <t>NAO_COMPUTADO</t>
        </is>
      </c>
      <c r="AC4149" s="112" t="inlineStr">
        <is>
          <t>Estrutura Fase 1: sem impacto no VTA oficial</t>
        </is>
      </c>
    </row>
    <row r="4150" ht="25.5" customHeight="1" s="289">
      <c r="A4150" s="205" t="n"/>
      <c r="B4150" s="207" t="n"/>
      <c r="C4150" s="104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348" t="n"/>
      <c r="E4150" s="349">
        <f>IF(C4150="","",IFERROR(VLOOKUP(C4150,parametros!$A$11:$E$15,5,0),""))</f>
        <v/>
      </c>
      <c r="F4150" s="335">
        <f>IF(OR(D4150="",E4150=""),"",ROUND(D4150*E4150,2))</f>
        <v/>
      </c>
      <c r="G4150" s="106" t="n"/>
      <c r="H4150" s="350">
        <f>IF(G4150="Sim",IF(OR(F4150="",D4150="",L4150=""),"",IF(L4150="Sim",ROUND(F4150-D4150,2),0)),0)</f>
        <v/>
      </c>
      <c r="I4150" s="350">
        <f>IF(G4150="Sim",0,IF(OR(F4150="",L4150=""),"",F4150))</f>
        <v/>
      </c>
      <c r="J4150" s="350">
        <f>IF(G4150="Sim",0,IF(OR(F4150="",D4150="",L4150=""),"",IF(L4150="Sim",ROUND(F4150-D4150,2),0)))</f>
        <v/>
      </c>
      <c r="K4150" s="97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inlineStr">
        <is>
          <t>Nao</t>
        </is>
      </c>
      <c r="W4150" s="110" t="inlineStr">
        <is>
          <t>PC em analise</t>
        </is>
      </c>
      <c r="X4150" s="110" t="inlineStr">
        <is>
          <t>Pedido de Compra</t>
        </is>
      </c>
      <c r="Y4150" s="111" t="inlineStr">
        <is>
          <t>Impacto Potencial</t>
        </is>
      </c>
      <c r="Z4150" s="111" t="inlineStr">
        <is>
          <t>PC</t>
        </is>
      </c>
      <c r="AA4150" s="111" t="inlineStr">
        <is>
          <t>Nao</t>
        </is>
      </c>
      <c r="AB4150" s="111" t="inlineStr">
        <is>
          <t>NAO_COMPUTADO</t>
        </is>
      </c>
      <c r="AC4150" s="112" t="inlineStr">
        <is>
          <t>Estrutura Fase 1: sem impacto no VTA oficial</t>
        </is>
      </c>
    </row>
    <row r="4151" ht="25.5" customHeight="1" s="289">
      <c r="A4151" s="205" t="n"/>
      <c r="B4151" s="207" t="n"/>
      <c r="C4151" s="104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348" t="n"/>
      <c r="E4151" s="349">
        <f>IF(C4151="","",IFERROR(VLOOKUP(C4151,parametros!$A$11:$E$15,5,0),""))</f>
        <v/>
      </c>
      <c r="F4151" s="335">
        <f>IF(OR(D4151="",E4151=""),"",ROUND(D4151*E4151,2))</f>
        <v/>
      </c>
      <c r="G4151" s="106" t="n"/>
      <c r="H4151" s="350">
        <f>IF(G4151="Sim",IF(OR(F4151="",D4151="",L4151=""),"",IF(L4151="Sim",ROUND(F4151-D4151,2),0)),0)</f>
        <v/>
      </c>
      <c r="I4151" s="350">
        <f>IF(G4151="Sim",0,IF(OR(F4151="",L4151=""),"",F4151))</f>
        <v/>
      </c>
      <c r="J4151" s="350">
        <f>IF(G4151="Sim",0,IF(OR(F4151="",D4151="",L4151=""),"",IF(L4151="Sim",ROUND(F4151-D4151,2),0)))</f>
        <v/>
      </c>
      <c r="K4151" s="97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inlineStr">
        <is>
          <t>Nao</t>
        </is>
      </c>
      <c r="W4151" s="110" t="inlineStr">
        <is>
          <t>PC em analise</t>
        </is>
      </c>
      <c r="X4151" s="110" t="inlineStr">
        <is>
          <t>Pedido de Compra</t>
        </is>
      </c>
      <c r="Y4151" s="111" t="inlineStr">
        <is>
          <t>Impacto Potencial</t>
        </is>
      </c>
      <c r="Z4151" s="111" t="inlineStr">
        <is>
          <t>PC</t>
        </is>
      </c>
      <c r="AA4151" s="111" t="inlineStr">
        <is>
          <t>Nao</t>
        </is>
      </c>
      <c r="AB4151" s="111" t="inlineStr">
        <is>
          <t>NAO_COMPUTADO</t>
        </is>
      </c>
      <c r="AC4151" s="112" t="inlineStr">
        <is>
          <t>Estrutura Fase 1: sem impacto no VTA oficial</t>
        </is>
      </c>
    </row>
    <row r="4152" ht="25.5" customHeight="1" s="289">
      <c r="A4152" s="205" t="n"/>
      <c r="B4152" s="207" t="n"/>
      <c r="C4152" s="104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348" t="n"/>
      <c r="E4152" s="349">
        <f>IF(C4152="","",IFERROR(VLOOKUP(C4152,parametros!$A$11:$E$15,5,0),""))</f>
        <v/>
      </c>
      <c r="F4152" s="335">
        <f>IF(OR(D4152="",E4152=""),"",ROUND(D4152*E4152,2))</f>
        <v/>
      </c>
      <c r="G4152" s="106" t="n"/>
      <c r="H4152" s="350">
        <f>IF(G4152="Sim",IF(OR(F4152="",D4152="",L4152=""),"",IF(L4152="Sim",ROUND(F4152-D4152,2),0)),0)</f>
        <v/>
      </c>
      <c r="I4152" s="350">
        <f>IF(G4152="Sim",0,IF(OR(F4152="",L4152=""),"",F4152))</f>
        <v/>
      </c>
      <c r="J4152" s="350">
        <f>IF(G4152="Sim",0,IF(OR(F4152="",D4152="",L4152=""),"",IF(L4152="Sim",ROUND(F4152-D4152,2),0)))</f>
        <v/>
      </c>
      <c r="K4152" s="97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inlineStr">
        <is>
          <t>Nao</t>
        </is>
      </c>
      <c r="W4152" s="110" t="inlineStr">
        <is>
          <t>PC em analise</t>
        </is>
      </c>
      <c r="X4152" s="110" t="inlineStr">
        <is>
          <t>Pedido de Compra</t>
        </is>
      </c>
      <c r="Y4152" s="111" t="inlineStr">
        <is>
          <t>Impacto Potencial</t>
        </is>
      </c>
      <c r="Z4152" s="111" t="inlineStr">
        <is>
          <t>PC</t>
        </is>
      </c>
      <c r="AA4152" s="111" t="inlineStr">
        <is>
          <t>Nao</t>
        </is>
      </c>
      <c r="AB4152" s="111" t="inlineStr">
        <is>
          <t>NAO_COMPUTADO</t>
        </is>
      </c>
      <c r="AC4152" s="112" t="inlineStr">
        <is>
          <t>Estrutura Fase 1: sem impacto no VTA oficial</t>
        </is>
      </c>
    </row>
    <row r="4153" ht="25.5" customHeight="1" s="289">
      <c r="A4153" s="205" t="n"/>
      <c r="B4153" s="207" t="n"/>
      <c r="C4153" s="104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348" t="n"/>
      <c r="E4153" s="349">
        <f>IF(C4153="","",IFERROR(VLOOKUP(C4153,parametros!$A$11:$E$15,5,0),""))</f>
        <v/>
      </c>
      <c r="F4153" s="335">
        <f>IF(OR(D4153="",E4153=""),"",ROUND(D4153*E4153,2))</f>
        <v/>
      </c>
      <c r="G4153" s="106" t="n"/>
      <c r="H4153" s="350">
        <f>IF(G4153="Sim",IF(OR(F4153="",D4153="",L4153=""),"",IF(L4153="Sim",ROUND(F4153-D4153,2),0)),0)</f>
        <v/>
      </c>
      <c r="I4153" s="350">
        <f>IF(G4153="Sim",0,IF(OR(F4153="",L4153=""),"",F4153))</f>
        <v/>
      </c>
      <c r="J4153" s="350">
        <f>IF(G4153="Sim",0,IF(OR(F4153="",D4153="",L4153=""),"",IF(L4153="Sim",ROUND(F4153-D4153,2),0)))</f>
        <v/>
      </c>
      <c r="K4153" s="97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inlineStr">
        <is>
          <t>Nao</t>
        </is>
      </c>
      <c r="W4153" s="110" t="inlineStr">
        <is>
          <t>PC em analise</t>
        </is>
      </c>
      <c r="X4153" s="110" t="inlineStr">
        <is>
          <t>Pedido de Compra</t>
        </is>
      </c>
      <c r="Y4153" s="111" t="inlineStr">
        <is>
          <t>Impacto Potencial</t>
        </is>
      </c>
      <c r="Z4153" s="111" t="inlineStr">
        <is>
          <t>PC</t>
        </is>
      </c>
      <c r="AA4153" s="111" t="inlineStr">
        <is>
          <t>Nao</t>
        </is>
      </c>
      <c r="AB4153" s="111" t="inlineStr">
        <is>
          <t>NAO_COMPUTADO</t>
        </is>
      </c>
      <c r="AC4153" s="112" t="inlineStr">
        <is>
          <t>Estrutura Fase 1: sem impacto no VTA oficial</t>
        </is>
      </c>
    </row>
    <row r="4154" ht="25.5" customHeight="1" s="289">
      <c r="A4154" s="205" t="n"/>
      <c r="B4154" s="207" t="n"/>
      <c r="C4154" s="104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348" t="n"/>
      <c r="E4154" s="349">
        <f>IF(C4154="","",IFERROR(VLOOKUP(C4154,parametros!$A$11:$E$15,5,0),""))</f>
        <v/>
      </c>
      <c r="F4154" s="335">
        <f>IF(OR(D4154="",E4154=""),"",ROUND(D4154*E4154,2))</f>
        <v/>
      </c>
      <c r="G4154" s="106" t="n"/>
      <c r="H4154" s="350">
        <f>IF(G4154="Sim",IF(OR(F4154="",D4154="",L4154=""),"",IF(L4154="Sim",ROUND(F4154-D4154,2),0)),0)</f>
        <v/>
      </c>
      <c r="I4154" s="350">
        <f>IF(G4154="Sim",0,IF(OR(F4154="",L4154=""),"",F4154))</f>
        <v/>
      </c>
      <c r="J4154" s="350">
        <f>IF(G4154="Sim",0,IF(OR(F4154="",D4154="",L4154=""),"",IF(L4154="Sim",ROUND(F4154-D4154,2),0)))</f>
        <v/>
      </c>
      <c r="K4154" s="97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inlineStr">
        <is>
          <t>Nao</t>
        </is>
      </c>
      <c r="W4154" s="110" t="inlineStr">
        <is>
          <t>PC em analise</t>
        </is>
      </c>
      <c r="X4154" s="110" t="inlineStr">
        <is>
          <t>Pedido de Compra</t>
        </is>
      </c>
      <c r="Y4154" s="111" t="inlineStr">
        <is>
          <t>Impacto Potencial</t>
        </is>
      </c>
      <c r="Z4154" s="111" t="inlineStr">
        <is>
          <t>PC</t>
        </is>
      </c>
      <c r="AA4154" s="111" t="inlineStr">
        <is>
          <t>Nao</t>
        </is>
      </c>
      <c r="AB4154" s="111" t="inlineStr">
        <is>
          <t>NAO_COMPUTADO</t>
        </is>
      </c>
      <c r="AC4154" s="112" t="inlineStr">
        <is>
          <t>Estrutura Fase 1: sem impacto no VTA oficial</t>
        </is>
      </c>
    </row>
    <row r="4155" ht="25.5" customHeight="1" s="289">
      <c r="A4155" s="205" t="n"/>
      <c r="B4155" s="207" t="n"/>
      <c r="C4155" s="104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348" t="n"/>
      <c r="E4155" s="349">
        <f>IF(C4155="","",IFERROR(VLOOKUP(C4155,parametros!$A$11:$E$15,5,0),""))</f>
        <v/>
      </c>
      <c r="F4155" s="335">
        <f>IF(OR(D4155="",E4155=""),"",ROUND(D4155*E4155,2))</f>
        <v/>
      </c>
      <c r="G4155" s="106" t="n"/>
      <c r="H4155" s="350">
        <f>IF(G4155="Sim",IF(OR(F4155="",D4155="",L4155=""),"",IF(L4155="Sim",ROUND(F4155-D4155,2),0)),0)</f>
        <v/>
      </c>
      <c r="I4155" s="350">
        <f>IF(G4155="Sim",0,IF(OR(F4155="",L4155=""),"",F4155))</f>
        <v/>
      </c>
      <c r="J4155" s="350">
        <f>IF(G4155="Sim",0,IF(OR(F4155="",D4155="",L4155=""),"",IF(L4155="Sim",ROUND(F4155-D4155,2),0)))</f>
        <v/>
      </c>
      <c r="K4155" s="97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inlineStr">
        <is>
          <t>Nao</t>
        </is>
      </c>
      <c r="W4155" s="110" t="inlineStr">
        <is>
          <t>PC em analise</t>
        </is>
      </c>
      <c r="X4155" s="110" t="inlineStr">
        <is>
          <t>Pedido de Compra</t>
        </is>
      </c>
      <c r="Y4155" s="111" t="inlineStr">
        <is>
          <t>Impacto Potencial</t>
        </is>
      </c>
      <c r="Z4155" s="111" t="inlineStr">
        <is>
          <t>PC</t>
        </is>
      </c>
      <c r="AA4155" s="111" t="inlineStr">
        <is>
          <t>Nao</t>
        </is>
      </c>
      <c r="AB4155" s="111" t="inlineStr">
        <is>
          <t>NAO_COMPUTADO</t>
        </is>
      </c>
      <c r="AC4155" s="112" t="inlineStr">
        <is>
          <t>Estrutura Fase 1: sem impacto no VTA oficial</t>
        </is>
      </c>
    </row>
    <row r="4156" ht="25.5" customHeight="1" s="289">
      <c r="A4156" s="205" t="n"/>
      <c r="B4156" s="207" t="n"/>
      <c r="C4156" s="104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348" t="n"/>
      <c r="E4156" s="349">
        <f>IF(C4156="","",IFERROR(VLOOKUP(C4156,parametros!$A$11:$E$15,5,0),""))</f>
        <v/>
      </c>
      <c r="F4156" s="335">
        <f>IF(OR(D4156="",E4156=""),"",ROUND(D4156*E4156,2))</f>
        <v/>
      </c>
      <c r="G4156" s="106" t="n"/>
      <c r="H4156" s="350">
        <f>IF(G4156="Sim",IF(OR(F4156="",D4156="",L4156=""),"",IF(L4156="Sim",ROUND(F4156-D4156,2),0)),0)</f>
        <v/>
      </c>
      <c r="I4156" s="350">
        <f>IF(G4156="Sim",0,IF(OR(F4156="",L4156=""),"",F4156))</f>
        <v/>
      </c>
      <c r="J4156" s="350">
        <f>IF(G4156="Sim",0,IF(OR(F4156="",D4156="",L4156=""),"",IF(L4156="Sim",ROUND(F4156-D4156,2),0)))</f>
        <v/>
      </c>
      <c r="K4156" s="97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inlineStr">
        <is>
          <t>Nao</t>
        </is>
      </c>
      <c r="W4156" s="110" t="inlineStr">
        <is>
          <t>PC em analise</t>
        </is>
      </c>
      <c r="X4156" s="110" t="inlineStr">
        <is>
          <t>Pedido de Compra</t>
        </is>
      </c>
      <c r="Y4156" s="111" t="inlineStr">
        <is>
          <t>Impacto Potencial</t>
        </is>
      </c>
      <c r="Z4156" s="111" t="inlineStr">
        <is>
          <t>PC</t>
        </is>
      </c>
      <c r="AA4156" s="111" t="inlineStr">
        <is>
          <t>Nao</t>
        </is>
      </c>
      <c r="AB4156" s="111" t="inlineStr">
        <is>
          <t>NAO_COMPUTADO</t>
        </is>
      </c>
      <c r="AC4156" s="112" t="inlineStr">
        <is>
          <t>Estrutura Fase 1: sem impacto no VTA oficial</t>
        </is>
      </c>
    </row>
    <row r="4157" ht="25.5" customHeight="1" s="289">
      <c r="A4157" s="205" t="n"/>
      <c r="B4157" s="207" t="n"/>
      <c r="C4157" s="104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348" t="n"/>
      <c r="E4157" s="349">
        <f>IF(C4157="","",IFERROR(VLOOKUP(C4157,parametros!$A$11:$E$15,5,0),""))</f>
        <v/>
      </c>
      <c r="F4157" s="335">
        <f>IF(OR(D4157="",E4157=""),"",ROUND(D4157*E4157,2))</f>
        <v/>
      </c>
      <c r="G4157" s="106" t="n"/>
      <c r="H4157" s="350">
        <f>IF(G4157="Sim",IF(OR(F4157="",D4157="",L4157=""),"",IF(L4157="Sim",ROUND(F4157-D4157,2),0)),0)</f>
        <v/>
      </c>
      <c r="I4157" s="350">
        <f>IF(G4157="Sim",0,IF(OR(F4157="",L4157=""),"",F4157))</f>
        <v/>
      </c>
      <c r="J4157" s="350">
        <f>IF(G4157="Sim",0,IF(OR(F4157="",D4157="",L4157=""),"",IF(L4157="Sim",ROUND(F4157-D4157,2),0)))</f>
        <v/>
      </c>
      <c r="K4157" s="97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inlineStr">
        <is>
          <t>Nao</t>
        </is>
      </c>
      <c r="W4157" s="110" t="inlineStr">
        <is>
          <t>PC em analise</t>
        </is>
      </c>
      <c r="X4157" s="110" t="inlineStr">
        <is>
          <t>Pedido de Compra</t>
        </is>
      </c>
      <c r="Y4157" s="111" t="inlineStr">
        <is>
          <t>Impacto Potencial</t>
        </is>
      </c>
      <c r="Z4157" s="111" t="inlineStr">
        <is>
          <t>PC</t>
        </is>
      </c>
      <c r="AA4157" s="111" t="inlineStr">
        <is>
          <t>Nao</t>
        </is>
      </c>
      <c r="AB4157" s="111" t="inlineStr">
        <is>
          <t>NAO_COMPUTADO</t>
        </is>
      </c>
      <c r="AC4157" s="112" t="inlineStr">
        <is>
          <t>Estrutura Fase 1: sem impacto no VTA oficial</t>
        </is>
      </c>
    </row>
    <row r="4158" ht="25.5" customHeight="1" s="289">
      <c r="A4158" s="205" t="n"/>
      <c r="B4158" s="207" t="n"/>
      <c r="C4158" s="104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348" t="n"/>
      <c r="E4158" s="349">
        <f>IF(C4158="","",IFERROR(VLOOKUP(C4158,parametros!$A$11:$E$15,5,0),""))</f>
        <v/>
      </c>
      <c r="F4158" s="335">
        <f>IF(OR(D4158="",E4158=""),"",ROUND(D4158*E4158,2))</f>
        <v/>
      </c>
      <c r="G4158" s="106" t="n"/>
      <c r="H4158" s="350">
        <f>IF(G4158="Sim",IF(OR(F4158="",D4158="",L4158=""),"",IF(L4158="Sim",ROUND(F4158-D4158,2),0)),0)</f>
        <v/>
      </c>
      <c r="I4158" s="350">
        <f>IF(G4158="Sim",0,IF(OR(F4158="",L4158=""),"",F4158))</f>
        <v/>
      </c>
      <c r="J4158" s="350">
        <f>IF(G4158="Sim",0,IF(OR(F4158="",D4158="",L4158=""),"",IF(L4158="Sim",ROUND(F4158-D4158,2),0)))</f>
        <v/>
      </c>
      <c r="K4158" s="97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inlineStr">
        <is>
          <t>Nao</t>
        </is>
      </c>
      <c r="W4158" s="110" t="inlineStr">
        <is>
          <t>PC em analise</t>
        </is>
      </c>
      <c r="X4158" s="110" t="inlineStr">
        <is>
          <t>Pedido de Compra</t>
        </is>
      </c>
      <c r="Y4158" s="111" t="inlineStr">
        <is>
          <t>Impacto Potencial</t>
        </is>
      </c>
      <c r="Z4158" s="111" t="inlineStr">
        <is>
          <t>PC</t>
        </is>
      </c>
      <c r="AA4158" s="111" t="inlineStr">
        <is>
          <t>Nao</t>
        </is>
      </c>
      <c r="AB4158" s="111" t="inlineStr">
        <is>
          <t>NAO_COMPUTADO</t>
        </is>
      </c>
      <c r="AC4158" s="112" t="inlineStr">
        <is>
          <t>Estrutura Fase 1: sem impacto no VTA oficial</t>
        </is>
      </c>
    </row>
    <row r="4159" ht="25.5" customHeight="1" s="289">
      <c r="A4159" s="205" t="n"/>
      <c r="B4159" s="207" t="n"/>
      <c r="C4159" s="104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348" t="n"/>
      <c r="E4159" s="349">
        <f>IF(C4159="","",IFERROR(VLOOKUP(C4159,parametros!$A$11:$E$15,5,0),""))</f>
        <v/>
      </c>
      <c r="F4159" s="335">
        <f>IF(OR(D4159="",E4159=""),"",ROUND(D4159*E4159,2))</f>
        <v/>
      </c>
      <c r="G4159" s="106" t="n"/>
      <c r="H4159" s="350">
        <f>IF(G4159="Sim",IF(OR(F4159="",D4159="",L4159=""),"",IF(L4159="Sim",ROUND(F4159-D4159,2),0)),0)</f>
        <v/>
      </c>
      <c r="I4159" s="350">
        <f>IF(G4159="Sim",0,IF(OR(F4159="",L4159=""),"",F4159))</f>
        <v/>
      </c>
      <c r="J4159" s="350">
        <f>IF(G4159="Sim",0,IF(OR(F4159="",D4159="",L4159=""),"",IF(L4159="Sim",ROUND(F4159-D4159,2),0)))</f>
        <v/>
      </c>
      <c r="K4159" s="97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inlineStr">
        <is>
          <t>Nao</t>
        </is>
      </c>
      <c r="W4159" s="110" t="inlineStr">
        <is>
          <t>PC em analise</t>
        </is>
      </c>
      <c r="X4159" s="110" t="inlineStr">
        <is>
          <t>Pedido de Compra</t>
        </is>
      </c>
      <c r="Y4159" s="111" t="inlineStr">
        <is>
          <t>Impacto Potencial</t>
        </is>
      </c>
      <c r="Z4159" s="111" t="inlineStr">
        <is>
          <t>PC</t>
        </is>
      </c>
      <c r="AA4159" s="111" t="inlineStr">
        <is>
          <t>Nao</t>
        </is>
      </c>
      <c r="AB4159" s="111" t="inlineStr">
        <is>
          <t>NAO_COMPUTADO</t>
        </is>
      </c>
      <c r="AC4159" s="112" t="inlineStr">
        <is>
          <t>Estrutura Fase 1: sem impacto no VTA oficial</t>
        </is>
      </c>
    </row>
    <row r="4160" ht="25.5" customHeight="1" s="289">
      <c r="A4160" s="205" t="n"/>
      <c r="B4160" s="207" t="n"/>
      <c r="C4160" s="104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348" t="n"/>
      <c r="E4160" s="349">
        <f>IF(C4160="","",IFERROR(VLOOKUP(C4160,parametros!$A$11:$E$15,5,0),""))</f>
        <v/>
      </c>
      <c r="F4160" s="335">
        <f>IF(OR(D4160="",E4160=""),"",ROUND(D4160*E4160,2))</f>
        <v/>
      </c>
      <c r="G4160" s="106" t="n"/>
      <c r="H4160" s="350">
        <f>IF(G4160="Sim",IF(OR(F4160="",D4160="",L4160=""),"",IF(L4160="Sim",ROUND(F4160-D4160,2),0)),0)</f>
        <v/>
      </c>
      <c r="I4160" s="350">
        <f>IF(G4160="Sim",0,IF(OR(F4160="",L4160=""),"",F4160))</f>
        <v/>
      </c>
      <c r="J4160" s="350">
        <f>IF(G4160="Sim",0,IF(OR(F4160="",D4160="",L4160=""),"",IF(L4160="Sim",ROUND(F4160-D4160,2),0)))</f>
        <v/>
      </c>
      <c r="K4160" s="97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inlineStr">
        <is>
          <t>Nao</t>
        </is>
      </c>
      <c r="W4160" s="110" t="inlineStr">
        <is>
          <t>PC em analise</t>
        </is>
      </c>
      <c r="X4160" s="110" t="inlineStr">
        <is>
          <t>Pedido de Compra</t>
        </is>
      </c>
      <c r="Y4160" s="111" t="inlineStr">
        <is>
          <t>Impacto Potencial</t>
        </is>
      </c>
      <c r="Z4160" s="111" t="inlineStr">
        <is>
          <t>PC</t>
        </is>
      </c>
      <c r="AA4160" s="111" t="inlineStr">
        <is>
          <t>Nao</t>
        </is>
      </c>
      <c r="AB4160" s="111" t="inlineStr">
        <is>
          <t>NAO_COMPUTADO</t>
        </is>
      </c>
      <c r="AC4160" s="112" t="inlineStr">
        <is>
          <t>Estrutura Fase 1: sem impacto no VTA oficial</t>
        </is>
      </c>
    </row>
    <row r="4161" ht="25.5" customHeight="1" s="289">
      <c r="A4161" s="205" t="n"/>
      <c r="B4161" s="207" t="n"/>
      <c r="C4161" s="104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348" t="n"/>
      <c r="E4161" s="349">
        <f>IF(C4161="","",IFERROR(VLOOKUP(C4161,parametros!$A$11:$E$15,5,0),""))</f>
        <v/>
      </c>
      <c r="F4161" s="335">
        <f>IF(OR(D4161="",E4161=""),"",ROUND(D4161*E4161,2))</f>
        <v/>
      </c>
      <c r="G4161" s="106" t="n"/>
      <c r="H4161" s="350">
        <f>IF(G4161="Sim",IF(OR(F4161="",D4161="",L4161=""),"",IF(L4161="Sim",ROUND(F4161-D4161,2),0)),0)</f>
        <v/>
      </c>
      <c r="I4161" s="350">
        <f>IF(G4161="Sim",0,IF(OR(F4161="",L4161=""),"",F4161))</f>
        <v/>
      </c>
      <c r="J4161" s="350">
        <f>IF(G4161="Sim",0,IF(OR(F4161="",D4161="",L4161=""),"",IF(L4161="Sim",ROUND(F4161-D4161,2),0)))</f>
        <v/>
      </c>
      <c r="K4161" s="97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inlineStr">
        <is>
          <t>Nao</t>
        </is>
      </c>
      <c r="W4161" s="110" t="inlineStr">
        <is>
          <t>PC em analise</t>
        </is>
      </c>
      <c r="X4161" s="110" t="inlineStr">
        <is>
          <t>Pedido de Compra</t>
        </is>
      </c>
      <c r="Y4161" s="111" t="inlineStr">
        <is>
          <t>Impacto Potencial</t>
        </is>
      </c>
      <c r="Z4161" s="111" t="inlineStr">
        <is>
          <t>PC</t>
        </is>
      </c>
      <c r="AA4161" s="111" t="inlineStr">
        <is>
          <t>Nao</t>
        </is>
      </c>
      <c r="AB4161" s="111" t="inlineStr">
        <is>
          <t>NAO_COMPUTADO</t>
        </is>
      </c>
      <c r="AC4161" s="112" t="inlineStr">
        <is>
          <t>Estrutura Fase 1: sem impacto no VTA oficial</t>
        </is>
      </c>
    </row>
    <row r="4162" ht="25.5" customHeight="1" s="289">
      <c r="A4162" s="205" t="n"/>
      <c r="B4162" s="207" t="n"/>
      <c r="C4162" s="104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348" t="n"/>
      <c r="E4162" s="349">
        <f>IF(C4162="","",IFERROR(VLOOKUP(C4162,parametros!$A$11:$E$15,5,0),""))</f>
        <v/>
      </c>
      <c r="F4162" s="335">
        <f>IF(OR(D4162="",E4162=""),"",ROUND(D4162*E4162,2))</f>
        <v/>
      </c>
      <c r="G4162" s="106" t="n"/>
      <c r="H4162" s="350">
        <f>IF(G4162="Sim",IF(OR(F4162="",D4162="",L4162=""),"",IF(L4162="Sim",ROUND(F4162-D4162,2),0)),0)</f>
        <v/>
      </c>
      <c r="I4162" s="350">
        <f>IF(G4162="Sim",0,IF(OR(F4162="",L4162=""),"",F4162))</f>
        <v/>
      </c>
      <c r="J4162" s="350">
        <f>IF(G4162="Sim",0,IF(OR(F4162="",D4162="",L4162=""),"",IF(L4162="Sim",ROUND(F4162-D4162,2),0)))</f>
        <v/>
      </c>
      <c r="K4162" s="97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inlineStr">
        <is>
          <t>Nao</t>
        </is>
      </c>
      <c r="W4162" s="110" t="inlineStr">
        <is>
          <t>PC em analise</t>
        </is>
      </c>
      <c r="X4162" s="110" t="inlineStr">
        <is>
          <t>Pedido de Compra</t>
        </is>
      </c>
      <c r="Y4162" s="111" t="inlineStr">
        <is>
          <t>Impacto Potencial</t>
        </is>
      </c>
      <c r="Z4162" s="111" t="inlineStr">
        <is>
          <t>PC</t>
        </is>
      </c>
      <c r="AA4162" s="111" t="inlineStr">
        <is>
          <t>Nao</t>
        </is>
      </c>
      <c r="AB4162" s="111" t="inlineStr">
        <is>
          <t>NAO_COMPUTADO</t>
        </is>
      </c>
      <c r="AC4162" s="112" t="inlineStr">
        <is>
          <t>Estrutura Fase 1: sem impacto no VTA oficial</t>
        </is>
      </c>
    </row>
    <row r="4163" ht="25.5" customHeight="1" s="289">
      <c r="A4163" s="205" t="n"/>
      <c r="B4163" s="207" t="n"/>
      <c r="C4163" s="104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348" t="n"/>
      <c r="E4163" s="349">
        <f>IF(C4163="","",IFERROR(VLOOKUP(C4163,parametros!$A$11:$E$15,5,0),""))</f>
        <v/>
      </c>
      <c r="F4163" s="335">
        <f>IF(OR(D4163="",E4163=""),"",ROUND(D4163*E4163,2))</f>
        <v/>
      </c>
      <c r="G4163" s="106" t="n"/>
      <c r="H4163" s="350">
        <f>IF(G4163="Sim",IF(OR(F4163="",D4163="",L4163=""),"",IF(L4163="Sim",ROUND(F4163-D4163,2),0)),0)</f>
        <v/>
      </c>
      <c r="I4163" s="350">
        <f>IF(G4163="Sim",0,IF(OR(F4163="",L4163=""),"",F4163))</f>
        <v/>
      </c>
      <c r="J4163" s="350">
        <f>IF(G4163="Sim",0,IF(OR(F4163="",D4163="",L4163=""),"",IF(L4163="Sim",ROUND(F4163-D4163,2),0)))</f>
        <v/>
      </c>
      <c r="K4163" s="97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inlineStr">
        <is>
          <t>Nao</t>
        </is>
      </c>
      <c r="W4163" s="110" t="inlineStr">
        <is>
          <t>PC em analise</t>
        </is>
      </c>
      <c r="X4163" s="110" t="inlineStr">
        <is>
          <t>Pedido de Compra</t>
        </is>
      </c>
      <c r="Y4163" s="111" t="inlineStr">
        <is>
          <t>Impacto Potencial</t>
        </is>
      </c>
      <c r="Z4163" s="111" t="inlineStr">
        <is>
          <t>PC</t>
        </is>
      </c>
      <c r="AA4163" s="111" t="inlineStr">
        <is>
          <t>Nao</t>
        </is>
      </c>
      <c r="AB4163" s="111" t="inlineStr">
        <is>
          <t>NAO_COMPUTADO</t>
        </is>
      </c>
      <c r="AC4163" s="112" t="inlineStr">
        <is>
          <t>Estrutura Fase 1: sem impacto no VTA oficial</t>
        </is>
      </c>
    </row>
    <row r="4164" ht="25.5" customHeight="1" s="289">
      <c r="A4164" s="205" t="n"/>
      <c r="B4164" s="207" t="n"/>
      <c r="C4164" s="104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348" t="n"/>
      <c r="E4164" s="349">
        <f>IF(C4164="","",IFERROR(VLOOKUP(C4164,parametros!$A$11:$E$15,5,0),""))</f>
        <v/>
      </c>
      <c r="F4164" s="335">
        <f>IF(OR(D4164="",E4164=""),"",ROUND(D4164*E4164,2))</f>
        <v/>
      </c>
      <c r="G4164" s="106" t="n"/>
      <c r="H4164" s="350">
        <f>IF(G4164="Sim",IF(OR(F4164="",D4164="",L4164=""),"",IF(L4164="Sim",ROUND(F4164-D4164,2),0)),0)</f>
        <v/>
      </c>
      <c r="I4164" s="350">
        <f>IF(G4164="Sim",0,IF(OR(F4164="",L4164=""),"",F4164))</f>
        <v/>
      </c>
      <c r="J4164" s="350">
        <f>IF(G4164="Sim",0,IF(OR(F4164="",D4164="",L4164=""),"",IF(L4164="Sim",ROUND(F4164-D4164,2),0)))</f>
        <v/>
      </c>
      <c r="K4164" s="97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inlineStr">
        <is>
          <t>Nao</t>
        </is>
      </c>
      <c r="W4164" s="110" t="inlineStr">
        <is>
          <t>PC em analise</t>
        </is>
      </c>
      <c r="X4164" s="110" t="inlineStr">
        <is>
          <t>Pedido de Compra</t>
        </is>
      </c>
      <c r="Y4164" s="111" t="inlineStr">
        <is>
          <t>Impacto Potencial</t>
        </is>
      </c>
      <c r="Z4164" s="111" t="inlineStr">
        <is>
          <t>PC</t>
        </is>
      </c>
      <c r="AA4164" s="111" t="inlineStr">
        <is>
          <t>Nao</t>
        </is>
      </c>
      <c r="AB4164" s="111" t="inlineStr">
        <is>
          <t>NAO_COMPUTADO</t>
        </is>
      </c>
      <c r="AC4164" s="112" t="inlineStr">
        <is>
          <t>Estrutura Fase 1: sem impacto no VTA oficial</t>
        </is>
      </c>
    </row>
    <row r="4165" ht="25.5" customHeight="1" s="289">
      <c r="A4165" s="205" t="n"/>
      <c r="B4165" s="207" t="n"/>
      <c r="C4165" s="104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348" t="n"/>
      <c r="E4165" s="349">
        <f>IF(C4165="","",IFERROR(VLOOKUP(C4165,parametros!$A$11:$E$15,5,0),""))</f>
        <v/>
      </c>
      <c r="F4165" s="335">
        <f>IF(OR(D4165="",E4165=""),"",ROUND(D4165*E4165,2))</f>
        <v/>
      </c>
      <c r="G4165" s="106" t="n"/>
      <c r="H4165" s="350">
        <f>IF(G4165="Sim",IF(OR(F4165="",D4165="",L4165=""),"",IF(L4165="Sim",ROUND(F4165-D4165,2),0)),0)</f>
        <v/>
      </c>
      <c r="I4165" s="350">
        <f>IF(G4165="Sim",0,IF(OR(F4165="",L4165=""),"",F4165))</f>
        <v/>
      </c>
      <c r="J4165" s="350">
        <f>IF(G4165="Sim",0,IF(OR(F4165="",D4165="",L4165=""),"",IF(L4165="Sim",ROUND(F4165-D4165,2),0)))</f>
        <v/>
      </c>
      <c r="K4165" s="97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inlineStr">
        <is>
          <t>Nao</t>
        </is>
      </c>
      <c r="W4165" s="110" t="inlineStr">
        <is>
          <t>PC em analise</t>
        </is>
      </c>
      <c r="X4165" s="110" t="inlineStr">
        <is>
          <t>Pedido de Compra</t>
        </is>
      </c>
      <c r="Y4165" s="111" t="inlineStr">
        <is>
          <t>Impacto Potencial</t>
        </is>
      </c>
      <c r="Z4165" s="111" t="inlineStr">
        <is>
          <t>PC</t>
        </is>
      </c>
      <c r="AA4165" s="111" t="inlineStr">
        <is>
          <t>Nao</t>
        </is>
      </c>
      <c r="AB4165" s="111" t="inlineStr">
        <is>
          <t>NAO_COMPUTADO</t>
        </is>
      </c>
      <c r="AC4165" s="112" t="inlineStr">
        <is>
          <t>Estrutura Fase 1: sem impacto no VTA oficial</t>
        </is>
      </c>
    </row>
    <row r="4166" ht="25.5" customHeight="1" s="289">
      <c r="A4166" s="205" t="n"/>
      <c r="B4166" s="207" t="n"/>
      <c r="C4166" s="104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348" t="n"/>
      <c r="E4166" s="349">
        <f>IF(C4166="","",IFERROR(VLOOKUP(C4166,parametros!$A$11:$E$15,5,0),""))</f>
        <v/>
      </c>
      <c r="F4166" s="335">
        <f>IF(OR(D4166="",E4166=""),"",ROUND(D4166*E4166,2))</f>
        <v/>
      </c>
      <c r="G4166" s="106" t="n"/>
      <c r="H4166" s="350">
        <f>IF(G4166="Sim",IF(OR(F4166="",D4166="",L4166=""),"",IF(L4166="Sim",ROUND(F4166-D4166,2),0)),0)</f>
        <v/>
      </c>
      <c r="I4166" s="350">
        <f>IF(G4166="Sim",0,IF(OR(F4166="",L4166=""),"",F4166))</f>
        <v/>
      </c>
      <c r="J4166" s="350">
        <f>IF(G4166="Sim",0,IF(OR(F4166="",D4166="",L4166=""),"",IF(L4166="Sim",ROUND(F4166-D4166,2),0)))</f>
        <v/>
      </c>
      <c r="K4166" s="97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inlineStr">
        <is>
          <t>Nao</t>
        </is>
      </c>
      <c r="W4166" s="110" t="inlineStr">
        <is>
          <t>PC em analise</t>
        </is>
      </c>
      <c r="X4166" s="110" t="inlineStr">
        <is>
          <t>Pedido de Compra</t>
        </is>
      </c>
      <c r="Y4166" s="111" t="inlineStr">
        <is>
          <t>Impacto Potencial</t>
        </is>
      </c>
      <c r="Z4166" s="111" t="inlineStr">
        <is>
          <t>PC</t>
        </is>
      </c>
      <c r="AA4166" s="111" t="inlineStr">
        <is>
          <t>Nao</t>
        </is>
      </c>
      <c r="AB4166" s="111" t="inlineStr">
        <is>
          <t>NAO_COMPUTADO</t>
        </is>
      </c>
      <c r="AC4166" s="112" t="inlineStr">
        <is>
          <t>Estrutura Fase 1: sem impacto no VTA oficial</t>
        </is>
      </c>
    </row>
    <row r="4167" ht="25.5" customHeight="1" s="289">
      <c r="A4167" s="205" t="n"/>
      <c r="B4167" s="207" t="n"/>
      <c r="C4167" s="104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348" t="n"/>
      <c r="E4167" s="349">
        <f>IF(C4167="","",IFERROR(VLOOKUP(C4167,parametros!$A$11:$E$15,5,0),""))</f>
        <v/>
      </c>
      <c r="F4167" s="335">
        <f>IF(OR(D4167="",E4167=""),"",ROUND(D4167*E4167,2))</f>
        <v/>
      </c>
      <c r="G4167" s="106" t="n"/>
      <c r="H4167" s="350">
        <f>IF(G4167="Sim",IF(OR(F4167="",D4167="",L4167=""),"",IF(L4167="Sim",ROUND(F4167-D4167,2),0)),0)</f>
        <v/>
      </c>
      <c r="I4167" s="350">
        <f>IF(G4167="Sim",0,IF(OR(F4167="",L4167=""),"",F4167))</f>
        <v/>
      </c>
      <c r="J4167" s="350">
        <f>IF(G4167="Sim",0,IF(OR(F4167="",D4167="",L4167=""),"",IF(L4167="Sim",ROUND(F4167-D4167,2),0)))</f>
        <v/>
      </c>
      <c r="K4167" s="97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inlineStr">
        <is>
          <t>Nao</t>
        </is>
      </c>
      <c r="W4167" s="110" t="inlineStr">
        <is>
          <t>PC em analise</t>
        </is>
      </c>
      <c r="X4167" s="110" t="inlineStr">
        <is>
          <t>Pedido de Compra</t>
        </is>
      </c>
      <c r="Y4167" s="111" t="inlineStr">
        <is>
          <t>Impacto Potencial</t>
        </is>
      </c>
      <c r="Z4167" s="111" t="inlineStr">
        <is>
          <t>PC</t>
        </is>
      </c>
      <c r="AA4167" s="111" t="inlineStr">
        <is>
          <t>Nao</t>
        </is>
      </c>
      <c r="AB4167" s="111" t="inlineStr">
        <is>
          <t>NAO_COMPUTADO</t>
        </is>
      </c>
      <c r="AC4167" s="112" t="inlineStr">
        <is>
          <t>Estrutura Fase 1: sem impacto no VTA oficial</t>
        </is>
      </c>
    </row>
    <row r="4168" ht="25.5" customHeight="1" s="289">
      <c r="A4168" s="205" t="n"/>
      <c r="B4168" s="207" t="n"/>
      <c r="C4168" s="104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348" t="n"/>
      <c r="E4168" s="349">
        <f>IF(C4168="","",IFERROR(VLOOKUP(C4168,parametros!$A$11:$E$15,5,0),""))</f>
        <v/>
      </c>
      <c r="F4168" s="335">
        <f>IF(OR(D4168="",E4168=""),"",ROUND(D4168*E4168,2))</f>
        <v/>
      </c>
      <c r="G4168" s="106" t="n"/>
      <c r="H4168" s="350">
        <f>IF(G4168="Sim",IF(OR(F4168="",D4168="",L4168=""),"",IF(L4168="Sim",ROUND(F4168-D4168,2),0)),0)</f>
        <v/>
      </c>
      <c r="I4168" s="350">
        <f>IF(G4168="Sim",0,IF(OR(F4168="",L4168=""),"",F4168))</f>
        <v/>
      </c>
      <c r="J4168" s="350">
        <f>IF(G4168="Sim",0,IF(OR(F4168="",D4168="",L4168=""),"",IF(L4168="Sim",ROUND(F4168-D4168,2),0)))</f>
        <v/>
      </c>
      <c r="K4168" s="97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inlineStr">
        <is>
          <t>Nao</t>
        </is>
      </c>
      <c r="W4168" s="110" t="inlineStr">
        <is>
          <t>PC em analise</t>
        </is>
      </c>
      <c r="X4168" s="110" t="inlineStr">
        <is>
          <t>Pedido de Compra</t>
        </is>
      </c>
      <c r="Y4168" s="111" t="inlineStr">
        <is>
          <t>Impacto Potencial</t>
        </is>
      </c>
      <c r="Z4168" s="111" t="inlineStr">
        <is>
          <t>PC</t>
        </is>
      </c>
      <c r="AA4168" s="111" t="inlineStr">
        <is>
          <t>Nao</t>
        </is>
      </c>
      <c r="AB4168" s="111" t="inlineStr">
        <is>
          <t>NAO_COMPUTADO</t>
        </is>
      </c>
      <c r="AC4168" s="112" t="inlineStr">
        <is>
          <t>Estrutura Fase 1: sem impacto no VTA oficial</t>
        </is>
      </c>
    </row>
    <row r="4169" ht="25.5" customHeight="1" s="289">
      <c r="A4169" s="205" t="n"/>
      <c r="B4169" s="207" t="n"/>
      <c r="C4169" s="104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348" t="n"/>
      <c r="E4169" s="349">
        <f>IF(C4169="","",IFERROR(VLOOKUP(C4169,parametros!$A$11:$E$15,5,0),""))</f>
        <v/>
      </c>
      <c r="F4169" s="335">
        <f>IF(OR(D4169="",E4169=""),"",ROUND(D4169*E4169,2))</f>
        <v/>
      </c>
      <c r="G4169" s="106" t="n"/>
      <c r="H4169" s="350">
        <f>IF(G4169="Sim",IF(OR(F4169="",D4169="",L4169=""),"",IF(L4169="Sim",ROUND(F4169-D4169,2),0)),0)</f>
        <v/>
      </c>
      <c r="I4169" s="350">
        <f>IF(G4169="Sim",0,IF(OR(F4169="",L4169=""),"",F4169))</f>
        <v/>
      </c>
      <c r="J4169" s="350">
        <f>IF(G4169="Sim",0,IF(OR(F4169="",D4169="",L4169=""),"",IF(L4169="Sim",ROUND(F4169-D4169,2),0)))</f>
        <v/>
      </c>
      <c r="K4169" s="97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inlineStr">
        <is>
          <t>Nao</t>
        </is>
      </c>
      <c r="W4169" s="110" t="inlineStr">
        <is>
          <t>PC em analise</t>
        </is>
      </c>
      <c r="X4169" s="110" t="inlineStr">
        <is>
          <t>Pedido de Compra</t>
        </is>
      </c>
      <c r="Y4169" s="111" t="inlineStr">
        <is>
          <t>Impacto Potencial</t>
        </is>
      </c>
      <c r="Z4169" s="111" t="inlineStr">
        <is>
          <t>PC</t>
        </is>
      </c>
      <c r="AA4169" s="111" t="inlineStr">
        <is>
          <t>Nao</t>
        </is>
      </c>
      <c r="AB4169" s="111" t="inlineStr">
        <is>
          <t>NAO_COMPUTADO</t>
        </is>
      </c>
      <c r="AC4169" s="112" t="inlineStr">
        <is>
          <t>Estrutura Fase 1: sem impacto no VTA oficial</t>
        </is>
      </c>
    </row>
    <row r="4170" ht="25.5" customHeight="1" s="289">
      <c r="A4170" s="205" t="n"/>
      <c r="B4170" s="207" t="n"/>
      <c r="C4170" s="104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348" t="n"/>
      <c r="E4170" s="349">
        <f>IF(C4170="","",IFERROR(VLOOKUP(C4170,parametros!$A$11:$E$15,5,0),""))</f>
        <v/>
      </c>
      <c r="F4170" s="335">
        <f>IF(OR(D4170="",E4170=""),"",ROUND(D4170*E4170,2))</f>
        <v/>
      </c>
      <c r="G4170" s="106" t="n"/>
      <c r="H4170" s="350">
        <f>IF(G4170="Sim",IF(OR(F4170="",D4170="",L4170=""),"",IF(L4170="Sim",ROUND(F4170-D4170,2),0)),0)</f>
        <v/>
      </c>
      <c r="I4170" s="350">
        <f>IF(G4170="Sim",0,IF(OR(F4170="",L4170=""),"",F4170))</f>
        <v/>
      </c>
      <c r="J4170" s="350">
        <f>IF(G4170="Sim",0,IF(OR(F4170="",D4170="",L4170=""),"",IF(L4170="Sim",ROUND(F4170-D4170,2),0)))</f>
        <v/>
      </c>
      <c r="K4170" s="97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inlineStr">
        <is>
          <t>Nao</t>
        </is>
      </c>
      <c r="W4170" s="110" t="inlineStr">
        <is>
          <t>PC em analise</t>
        </is>
      </c>
      <c r="X4170" s="110" t="inlineStr">
        <is>
          <t>Pedido de Compra</t>
        </is>
      </c>
      <c r="Y4170" s="111" t="inlineStr">
        <is>
          <t>Impacto Potencial</t>
        </is>
      </c>
      <c r="Z4170" s="111" t="inlineStr">
        <is>
          <t>PC</t>
        </is>
      </c>
      <c r="AA4170" s="111" t="inlineStr">
        <is>
          <t>Nao</t>
        </is>
      </c>
      <c r="AB4170" s="111" t="inlineStr">
        <is>
          <t>NAO_COMPUTADO</t>
        </is>
      </c>
      <c r="AC4170" s="112" t="inlineStr">
        <is>
          <t>Estrutura Fase 1: sem impacto no VTA oficial</t>
        </is>
      </c>
    </row>
    <row r="4171" ht="25.5" customHeight="1" s="289">
      <c r="A4171" s="205" t="n"/>
      <c r="B4171" s="207" t="n"/>
      <c r="C4171" s="104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348" t="n"/>
      <c r="E4171" s="349">
        <f>IF(C4171="","",IFERROR(VLOOKUP(C4171,parametros!$A$11:$E$15,5,0),""))</f>
        <v/>
      </c>
      <c r="F4171" s="335">
        <f>IF(OR(D4171="",E4171=""),"",ROUND(D4171*E4171,2))</f>
        <v/>
      </c>
      <c r="G4171" s="106" t="n"/>
      <c r="H4171" s="350">
        <f>IF(G4171="Sim",IF(OR(F4171="",D4171="",L4171=""),"",IF(L4171="Sim",ROUND(F4171-D4171,2),0)),0)</f>
        <v/>
      </c>
      <c r="I4171" s="350">
        <f>IF(G4171="Sim",0,IF(OR(F4171="",L4171=""),"",F4171))</f>
        <v/>
      </c>
      <c r="J4171" s="350">
        <f>IF(G4171="Sim",0,IF(OR(F4171="",D4171="",L4171=""),"",IF(L4171="Sim",ROUND(F4171-D4171,2),0)))</f>
        <v/>
      </c>
      <c r="K4171" s="97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inlineStr">
        <is>
          <t>Nao</t>
        </is>
      </c>
      <c r="W4171" s="110" t="inlineStr">
        <is>
          <t>PC em analise</t>
        </is>
      </c>
      <c r="X4171" s="110" t="inlineStr">
        <is>
          <t>Pedido de Compra</t>
        </is>
      </c>
      <c r="Y4171" s="111" t="inlineStr">
        <is>
          <t>Impacto Potencial</t>
        </is>
      </c>
      <c r="Z4171" s="111" t="inlineStr">
        <is>
          <t>PC</t>
        </is>
      </c>
      <c r="AA4171" s="111" t="inlineStr">
        <is>
          <t>Nao</t>
        </is>
      </c>
      <c r="AB4171" s="111" t="inlineStr">
        <is>
          <t>NAO_COMPUTADO</t>
        </is>
      </c>
      <c r="AC4171" s="112" t="inlineStr">
        <is>
          <t>Estrutura Fase 1: sem impacto no VTA oficial</t>
        </is>
      </c>
    </row>
    <row r="4172" ht="25.5" customHeight="1" s="289">
      <c r="A4172" s="205" t="n"/>
      <c r="B4172" s="207" t="n"/>
      <c r="C4172" s="104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348" t="n"/>
      <c r="E4172" s="349">
        <f>IF(C4172="","",IFERROR(VLOOKUP(C4172,parametros!$A$11:$E$15,5,0),""))</f>
        <v/>
      </c>
      <c r="F4172" s="335">
        <f>IF(OR(D4172="",E4172=""),"",ROUND(D4172*E4172,2))</f>
        <v/>
      </c>
      <c r="G4172" s="106" t="n"/>
      <c r="H4172" s="350">
        <f>IF(G4172="Sim",IF(OR(F4172="",D4172="",L4172=""),"",IF(L4172="Sim",ROUND(F4172-D4172,2),0)),0)</f>
        <v/>
      </c>
      <c r="I4172" s="350">
        <f>IF(G4172="Sim",0,IF(OR(F4172="",L4172=""),"",F4172))</f>
        <v/>
      </c>
      <c r="J4172" s="350">
        <f>IF(G4172="Sim",0,IF(OR(F4172="",D4172="",L4172=""),"",IF(L4172="Sim",ROUND(F4172-D4172,2),0)))</f>
        <v/>
      </c>
      <c r="K4172" s="97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inlineStr">
        <is>
          <t>Nao</t>
        </is>
      </c>
      <c r="W4172" s="110" t="inlineStr">
        <is>
          <t>PC em analise</t>
        </is>
      </c>
      <c r="X4172" s="110" t="inlineStr">
        <is>
          <t>Pedido de Compra</t>
        </is>
      </c>
      <c r="Y4172" s="111" t="inlineStr">
        <is>
          <t>Impacto Potencial</t>
        </is>
      </c>
      <c r="Z4172" s="111" t="inlineStr">
        <is>
          <t>PC</t>
        </is>
      </c>
      <c r="AA4172" s="111" t="inlineStr">
        <is>
          <t>Nao</t>
        </is>
      </c>
      <c r="AB4172" s="111" t="inlineStr">
        <is>
          <t>NAO_COMPUTADO</t>
        </is>
      </c>
      <c r="AC4172" s="112" t="inlineStr">
        <is>
          <t>Estrutura Fase 1: sem impacto no VTA oficial</t>
        </is>
      </c>
    </row>
    <row r="4173" ht="25.5" customHeight="1" s="289">
      <c r="A4173" s="205" t="n"/>
      <c r="B4173" s="207" t="n"/>
      <c r="C4173" s="104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348" t="n"/>
      <c r="E4173" s="349">
        <f>IF(C4173="","",IFERROR(VLOOKUP(C4173,parametros!$A$11:$E$15,5,0),""))</f>
        <v/>
      </c>
      <c r="F4173" s="335">
        <f>IF(OR(D4173="",E4173=""),"",ROUND(D4173*E4173,2))</f>
        <v/>
      </c>
      <c r="G4173" s="106" t="n"/>
      <c r="H4173" s="350">
        <f>IF(G4173="Sim",IF(OR(F4173="",D4173="",L4173=""),"",IF(L4173="Sim",ROUND(F4173-D4173,2),0)),0)</f>
        <v/>
      </c>
      <c r="I4173" s="350">
        <f>IF(G4173="Sim",0,IF(OR(F4173="",L4173=""),"",F4173))</f>
        <v/>
      </c>
      <c r="J4173" s="350">
        <f>IF(G4173="Sim",0,IF(OR(F4173="",D4173="",L4173=""),"",IF(L4173="Sim",ROUND(F4173-D4173,2),0)))</f>
        <v/>
      </c>
      <c r="K4173" s="97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inlineStr">
        <is>
          <t>Nao</t>
        </is>
      </c>
      <c r="W4173" s="110" t="inlineStr">
        <is>
          <t>PC em analise</t>
        </is>
      </c>
      <c r="X4173" s="110" t="inlineStr">
        <is>
          <t>Pedido de Compra</t>
        </is>
      </c>
      <c r="Y4173" s="111" t="inlineStr">
        <is>
          <t>Impacto Potencial</t>
        </is>
      </c>
      <c r="Z4173" s="111" t="inlineStr">
        <is>
          <t>PC</t>
        </is>
      </c>
      <c r="AA4173" s="111" t="inlineStr">
        <is>
          <t>Nao</t>
        </is>
      </c>
      <c r="AB4173" s="111" t="inlineStr">
        <is>
          <t>NAO_COMPUTADO</t>
        </is>
      </c>
      <c r="AC4173" s="112" t="inlineStr">
        <is>
          <t>Estrutura Fase 1: sem impacto no VTA oficial</t>
        </is>
      </c>
    </row>
    <row r="4174" ht="25.5" customHeight="1" s="289">
      <c r="A4174" s="205" t="n"/>
      <c r="B4174" s="207" t="n"/>
      <c r="C4174" s="104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348" t="n"/>
      <c r="E4174" s="349">
        <f>IF(C4174="","",IFERROR(VLOOKUP(C4174,parametros!$A$11:$E$15,5,0),""))</f>
        <v/>
      </c>
      <c r="F4174" s="335">
        <f>IF(OR(D4174="",E4174=""),"",ROUND(D4174*E4174,2))</f>
        <v/>
      </c>
      <c r="G4174" s="106" t="n"/>
      <c r="H4174" s="350">
        <f>IF(G4174="Sim",IF(OR(F4174="",D4174="",L4174=""),"",IF(L4174="Sim",ROUND(F4174-D4174,2),0)),0)</f>
        <v/>
      </c>
      <c r="I4174" s="350">
        <f>IF(G4174="Sim",0,IF(OR(F4174="",L4174=""),"",F4174))</f>
        <v/>
      </c>
      <c r="J4174" s="350">
        <f>IF(G4174="Sim",0,IF(OR(F4174="",D4174="",L4174=""),"",IF(L4174="Sim",ROUND(F4174-D4174,2),0)))</f>
        <v/>
      </c>
      <c r="K4174" s="97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inlineStr">
        <is>
          <t>Nao</t>
        </is>
      </c>
      <c r="W4174" s="110" t="inlineStr">
        <is>
          <t>PC em analise</t>
        </is>
      </c>
      <c r="X4174" s="110" t="inlineStr">
        <is>
          <t>Pedido de Compra</t>
        </is>
      </c>
      <c r="Y4174" s="111" t="inlineStr">
        <is>
          <t>Impacto Potencial</t>
        </is>
      </c>
      <c r="Z4174" s="111" t="inlineStr">
        <is>
          <t>PC</t>
        </is>
      </c>
      <c r="AA4174" s="111" t="inlineStr">
        <is>
          <t>Nao</t>
        </is>
      </c>
      <c r="AB4174" s="111" t="inlineStr">
        <is>
          <t>NAO_COMPUTADO</t>
        </is>
      </c>
      <c r="AC4174" s="112" t="inlineStr">
        <is>
          <t>Estrutura Fase 1: sem impacto no VTA oficial</t>
        </is>
      </c>
    </row>
    <row r="4175" ht="25.5" customHeight="1" s="289">
      <c r="A4175" s="205" t="n"/>
      <c r="B4175" s="207" t="n"/>
      <c r="C4175" s="104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348" t="n"/>
      <c r="E4175" s="349">
        <f>IF(C4175="","",IFERROR(VLOOKUP(C4175,parametros!$A$11:$E$15,5,0),""))</f>
        <v/>
      </c>
      <c r="F4175" s="335">
        <f>IF(OR(D4175="",E4175=""),"",ROUND(D4175*E4175,2))</f>
        <v/>
      </c>
      <c r="G4175" s="106" t="n"/>
      <c r="H4175" s="350">
        <f>IF(G4175="Sim",IF(OR(F4175="",D4175="",L4175=""),"",IF(L4175="Sim",ROUND(F4175-D4175,2),0)),0)</f>
        <v/>
      </c>
      <c r="I4175" s="350">
        <f>IF(G4175="Sim",0,IF(OR(F4175="",L4175=""),"",F4175))</f>
        <v/>
      </c>
      <c r="J4175" s="350">
        <f>IF(G4175="Sim",0,IF(OR(F4175="",D4175="",L4175=""),"",IF(L4175="Sim",ROUND(F4175-D4175,2),0)))</f>
        <v/>
      </c>
      <c r="K4175" s="97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inlineStr">
        <is>
          <t>Nao</t>
        </is>
      </c>
      <c r="W4175" s="110" t="inlineStr">
        <is>
          <t>PC em analise</t>
        </is>
      </c>
      <c r="X4175" s="110" t="inlineStr">
        <is>
          <t>Pedido de Compra</t>
        </is>
      </c>
      <c r="Y4175" s="111" t="inlineStr">
        <is>
          <t>Impacto Potencial</t>
        </is>
      </c>
      <c r="Z4175" s="111" t="inlineStr">
        <is>
          <t>PC</t>
        </is>
      </c>
      <c r="AA4175" s="111" t="inlineStr">
        <is>
          <t>Nao</t>
        </is>
      </c>
      <c r="AB4175" s="111" t="inlineStr">
        <is>
          <t>NAO_COMPUTADO</t>
        </is>
      </c>
      <c r="AC4175" s="112" t="inlineStr">
        <is>
          <t>Estrutura Fase 1: sem impacto no VTA oficial</t>
        </is>
      </c>
    </row>
    <row r="4176" ht="25.5" customHeight="1" s="289">
      <c r="A4176" s="205" t="n"/>
      <c r="B4176" s="207" t="n"/>
      <c r="C4176" s="104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348" t="n"/>
      <c r="E4176" s="349">
        <f>IF(C4176="","",IFERROR(VLOOKUP(C4176,parametros!$A$11:$E$15,5,0),""))</f>
        <v/>
      </c>
      <c r="F4176" s="335">
        <f>IF(OR(D4176="",E4176=""),"",ROUND(D4176*E4176,2))</f>
        <v/>
      </c>
      <c r="G4176" s="106" t="n"/>
      <c r="H4176" s="350">
        <f>IF(G4176="Sim",IF(OR(F4176="",D4176="",L4176=""),"",IF(L4176="Sim",ROUND(F4176-D4176,2),0)),0)</f>
        <v/>
      </c>
      <c r="I4176" s="350">
        <f>IF(G4176="Sim",0,IF(OR(F4176="",L4176=""),"",F4176))</f>
        <v/>
      </c>
      <c r="J4176" s="350">
        <f>IF(G4176="Sim",0,IF(OR(F4176="",D4176="",L4176=""),"",IF(L4176="Sim",ROUND(F4176-D4176,2),0)))</f>
        <v/>
      </c>
      <c r="K4176" s="97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inlineStr">
        <is>
          <t>Nao</t>
        </is>
      </c>
      <c r="W4176" s="110" t="inlineStr">
        <is>
          <t>PC em analise</t>
        </is>
      </c>
      <c r="X4176" s="110" t="inlineStr">
        <is>
          <t>Pedido de Compra</t>
        </is>
      </c>
      <c r="Y4176" s="111" t="inlineStr">
        <is>
          <t>Impacto Potencial</t>
        </is>
      </c>
      <c r="Z4176" s="111" t="inlineStr">
        <is>
          <t>PC</t>
        </is>
      </c>
      <c r="AA4176" s="111" t="inlineStr">
        <is>
          <t>Nao</t>
        </is>
      </c>
      <c r="AB4176" s="111" t="inlineStr">
        <is>
          <t>NAO_COMPUTADO</t>
        </is>
      </c>
      <c r="AC4176" s="112" t="inlineStr">
        <is>
          <t>Estrutura Fase 1: sem impacto no VTA oficial</t>
        </is>
      </c>
    </row>
    <row r="4177" ht="25.5" customHeight="1" s="289">
      <c r="A4177" s="205" t="n"/>
      <c r="B4177" s="207" t="n"/>
      <c r="C4177" s="104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348" t="n"/>
      <c r="E4177" s="349">
        <f>IF(C4177="","",IFERROR(VLOOKUP(C4177,parametros!$A$11:$E$15,5,0),""))</f>
        <v/>
      </c>
      <c r="F4177" s="335">
        <f>IF(OR(D4177="",E4177=""),"",ROUND(D4177*E4177,2))</f>
        <v/>
      </c>
      <c r="G4177" s="106" t="n"/>
      <c r="H4177" s="350">
        <f>IF(G4177="Sim",IF(OR(F4177="",D4177="",L4177=""),"",IF(L4177="Sim",ROUND(F4177-D4177,2),0)),0)</f>
        <v/>
      </c>
      <c r="I4177" s="350">
        <f>IF(G4177="Sim",0,IF(OR(F4177="",L4177=""),"",F4177))</f>
        <v/>
      </c>
      <c r="J4177" s="350">
        <f>IF(G4177="Sim",0,IF(OR(F4177="",D4177="",L4177=""),"",IF(L4177="Sim",ROUND(F4177-D4177,2),0)))</f>
        <v/>
      </c>
      <c r="K4177" s="97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inlineStr">
        <is>
          <t>Nao</t>
        </is>
      </c>
      <c r="W4177" s="110" t="inlineStr">
        <is>
          <t>PC em analise</t>
        </is>
      </c>
      <c r="X4177" s="110" t="inlineStr">
        <is>
          <t>Pedido de Compra</t>
        </is>
      </c>
      <c r="Y4177" s="111" t="inlineStr">
        <is>
          <t>Impacto Potencial</t>
        </is>
      </c>
      <c r="Z4177" s="111" t="inlineStr">
        <is>
          <t>PC</t>
        </is>
      </c>
      <c r="AA4177" s="111" t="inlineStr">
        <is>
          <t>Nao</t>
        </is>
      </c>
      <c r="AB4177" s="111" t="inlineStr">
        <is>
          <t>NAO_COMPUTADO</t>
        </is>
      </c>
      <c r="AC4177" s="112" t="inlineStr">
        <is>
          <t>Estrutura Fase 1: sem impacto no VTA oficial</t>
        </is>
      </c>
    </row>
    <row r="4178" ht="25.5" customHeight="1" s="289">
      <c r="A4178" s="205" t="n"/>
      <c r="B4178" s="207" t="n"/>
      <c r="C4178" s="104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348" t="n"/>
      <c r="E4178" s="349">
        <f>IF(C4178="","",IFERROR(VLOOKUP(C4178,parametros!$A$11:$E$15,5,0),""))</f>
        <v/>
      </c>
      <c r="F4178" s="335">
        <f>IF(OR(D4178="",E4178=""),"",ROUND(D4178*E4178,2))</f>
        <v/>
      </c>
      <c r="G4178" s="106" t="n"/>
      <c r="H4178" s="350">
        <f>IF(G4178="Sim",IF(OR(F4178="",D4178="",L4178=""),"",IF(L4178="Sim",ROUND(F4178-D4178,2),0)),0)</f>
        <v/>
      </c>
      <c r="I4178" s="350">
        <f>IF(G4178="Sim",0,IF(OR(F4178="",L4178=""),"",F4178))</f>
        <v/>
      </c>
      <c r="J4178" s="350">
        <f>IF(G4178="Sim",0,IF(OR(F4178="",D4178="",L4178=""),"",IF(L4178="Sim",ROUND(F4178-D4178,2),0)))</f>
        <v/>
      </c>
      <c r="K4178" s="97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inlineStr">
        <is>
          <t>Nao</t>
        </is>
      </c>
      <c r="W4178" s="110" t="inlineStr">
        <is>
          <t>PC em analise</t>
        </is>
      </c>
      <c r="X4178" s="110" t="inlineStr">
        <is>
          <t>Pedido de Compra</t>
        </is>
      </c>
      <c r="Y4178" s="111" t="inlineStr">
        <is>
          <t>Impacto Potencial</t>
        </is>
      </c>
      <c r="Z4178" s="111" t="inlineStr">
        <is>
          <t>PC</t>
        </is>
      </c>
      <c r="AA4178" s="111" t="inlineStr">
        <is>
          <t>Nao</t>
        </is>
      </c>
      <c r="AB4178" s="111" t="inlineStr">
        <is>
          <t>NAO_COMPUTADO</t>
        </is>
      </c>
      <c r="AC4178" s="112" t="inlineStr">
        <is>
          <t>Estrutura Fase 1: sem impacto no VTA oficial</t>
        </is>
      </c>
    </row>
    <row r="4179" ht="25.5" customHeight="1" s="289">
      <c r="A4179" s="205" t="n"/>
      <c r="B4179" s="207" t="n"/>
      <c r="C4179" s="104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348" t="n"/>
      <c r="E4179" s="349">
        <f>IF(C4179="","",IFERROR(VLOOKUP(C4179,parametros!$A$11:$E$15,5,0),""))</f>
        <v/>
      </c>
      <c r="F4179" s="335">
        <f>IF(OR(D4179="",E4179=""),"",ROUND(D4179*E4179,2))</f>
        <v/>
      </c>
      <c r="G4179" s="106" t="n"/>
      <c r="H4179" s="350">
        <f>IF(G4179="Sim",IF(OR(F4179="",D4179="",L4179=""),"",IF(L4179="Sim",ROUND(F4179-D4179,2),0)),0)</f>
        <v/>
      </c>
      <c r="I4179" s="350">
        <f>IF(G4179="Sim",0,IF(OR(F4179="",L4179=""),"",F4179))</f>
        <v/>
      </c>
      <c r="J4179" s="350">
        <f>IF(G4179="Sim",0,IF(OR(F4179="",D4179="",L4179=""),"",IF(L4179="Sim",ROUND(F4179-D4179,2),0)))</f>
        <v/>
      </c>
      <c r="K4179" s="97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inlineStr">
        <is>
          <t>Nao</t>
        </is>
      </c>
      <c r="W4179" s="110" t="inlineStr">
        <is>
          <t>PC em analise</t>
        </is>
      </c>
      <c r="X4179" s="110" t="inlineStr">
        <is>
          <t>Pedido de Compra</t>
        </is>
      </c>
      <c r="Y4179" s="111" t="inlineStr">
        <is>
          <t>Impacto Potencial</t>
        </is>
      </c>
      <c r="Z4179" s="111" t="inlineStr">
        <is>
          <t>PC</t>
        </is>
      </c>
      <c r="AA4179" s="111" t="inlineStr">
        <is>
          <t>Nao</t>
        </is>
      </c>
      <c r="AB4179" s="111" t="inlineStr">
        <is>
          <t>NAO_COMPUTADO</t>
        </is>
      </c>
      <c r="AC4179" s="112" t="inlineStr">
        <is>
          <t>Estrutura Fase 1: sem impacto no VTA oficial</t>
        </is>
      </c>
    </row>
    <row r="4180" ht="25.5" customHeight="1" s="289">
      <c r="A4180" s="205" t="n"/>
      <c r="B4180" s="207" t="n"/>
      <c r="C4180" s="104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348" t="n"/>
      <c r="E4180" s="349">
        <f>IF(C4180="","",IFERROR(VLOOKUP(C4180,parametros!$A$11:$E$15,5,0),""))</f>
        <v/>
      </c>
      <c r="F4180" s="335">
        <f>IF(OR(D4180="",E4180=""),"",ROUND(D4180*E4180,2))</f>
        <v/>
      </c>
      <c r="G4180" s="106" t="n"/>
      <c r="H4180" s="350">
        <f>IF(G4180="Sim",IF(OR(F4180="",D4180="",L4180=""),"",IF(L4180="Sim",ROUND(F4180-D4180,2),0)),0)</f>
        <v/>
      </c>
      <c r="I4180" s="350">
        <f>IF(G4180="Sim",0,IF(OR(F4180="",L4180=""),"",F4180))</f>
        <v/>
      </c>
      <c r="J4180" s="350">
        <f>IF(G4180="Sim",0,IF(OR(F4180="",D4180="",L4180=""),"",IF(L4180="Sim",ROUND(F4180-D4180,2),0)))</f>
        <v/>
      </c>
      <c r="K4180" s="97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inlineStr">
        <is>
          <t>Nao</t>
        </is>
      </c>
      <c r="W4180" s="110" t="inlineStr">
        <is>
          <t>PC em analise</t>
        </is>
      </c>
      <c r="X4180" s="110" t="inlineStr">
        <is>
          <t>Pedido de Compra</t>
        </is>
      </c>
      <c r="Y4180" s="111" t="inlineStr">
        <is>
          <t>Impacto Potencial</t>
        </is>
      </c>
      <c r="Z4180" s="111" t="inlineStr">
        <is>
          <t>PC</t>
        </is>
      </c>
      <c r="AA4180" s="111" t="inlineStr">
        <is>
          <t>Nao</t>
        </is>
      </c>
      <c r="AB4180" s="111" t="inlineStr">
        <is>
          <t>NAO_COMPUTADO</t>
        </is>
      </c>
      <c r="AC4180" s="112" t="inlineStr">
        <is>
          <t>Estrutura Fase 1: sem impacto no VTA oficial</t>
        </is>
      </c>
    </row>
    <row r="4181" ht="25.5" customHeight="1" s="289">
      <c r="A4181" s="205" t="n"/>
      <c r="B4181" s="207" t="n"/>
      <c r="C4181" s="104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348" t="n"/>
      <c r="E4181" s="349">
        <f>IF(C4181="","",IFERROR(VLOOKUP(C4181,parametros!$A$11:$E$15,5,0),""))</f>
        <v/>
      </c>
      <c r="F4181" s="335">
        <f>IF(OR(D4181="",E4181=""),"",ROUND(D4181*E4181,2))</f>
        <v/>
      </c>
      <c r="G4181" s="106" t="n"/>
      <c r="H4181" s="350">
        <f>IF(G4181="Sim",IF(OR(F4181="",D4181="",L4181=""),"",IF(L4181="Sim",ROUND(F4181-D4181,2),0)),0)</f>
        <v/>
      </c>
      <c r="I4181" s="350">
        <f>IF(G4181="Sim",0,IF(OR(F4181="",L4181=""),"",F4181))</f>
        <v/>
      </c>
      <c r="J4181" s="350">
        <f>IF(G4181="Sim",0,IF(OR(F4181="",D4181="",L4181=""),"",IF(L4181="Sim",ROUND(F4181-D4181,2),0)))</f>
        <v/>
      </c>
      <c r="K4181" s="97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inlineStr">
        <is>
          <t>Nao</t>
        </is>
      </c>
      <c r="W4181" s="110" t="inlineStr">
        <is>
          <t>PC em analise</t>
        </is>
      </c>
      <c r="X4181" s="110" t="inlineStr">
        <is>
          <t>Pedido de Compra</t>
        </is>
      </c>
      <c r="Y4181" s="111" t="inlineStr">
        <is>
          <t>Impacto Potencial</t>
        </is>
      </c>
      <c r="Z4181" s="111" t="inlineStr">
        <is>
          <t>PC</t>
        </is>
      </c>
      <c r="AA4181" s="111" t="inlineStr">
        <is>
          <t>Nao</t>
        </is>
      </c>
      <c r="AB4181" s="111" t="inlineStr">
        <is>
          <t>NAO_COMPUTADO</t>
        </is>
      </c>
      <c r="AC4181" s="112" t="inlineStr">
        <is>
          <t>Estrutura Fase 1: sem impacto no VTA oficial</t>
        </is>
      </c>
    </row>
    <row r="4182" ht="25.5" customHeight="1" s="289">
      <c r="A4182" s="205" t="n"/>
      <c r="B4182" s="207" t="n"/>
      <c r="C4182" s="104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348" t="n"/>
      <c r="E4182" s="349">
        <f>IF(C4182="","",IFERROR(VLOOKUP(C4182,parametros!$A$11:$E$15,5,0),""))</f>
        <v/>
      </c>
      <c r="F4182" s="335">
        <f>IF(OR(D4182="",E4182=""),"",ROUND(D4182*E4182,2))</f>
        <v/>
      </c>
      <c r="G4182" s="106" t="n"/>
      <c r="H4182" s="350">
        <f>IF(G4182="Sim",IF(OR(F4182="",D4182="",L4182=""),"",IF(L4182="Sim",ROUND(F4182-D4182,2),0)),0)</f>
        <v/>
      </c>
      <c r="I4182" s="350">
        <f>IF(G4182="Sim",0,IF(OR(F4182="",L4182=""),"",F4182))</f>
        <v/>
      </c>
      <c r="J4182" s="350">
        <f>IF(G4182="Sim",0,IF(OR(F4182="",D4182="",L4182=""),"",IF(L4182="Sim",ROUND(F4182-D4182,2),0)))</f>
        <v/>
      </c>
      <c r="K4182" s="97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inlineStr">
        <is>
          <t>Nao</t>
        </is>
      </c>
      <c r="W4182" s="110" t="inlineStr">
        <is>
          <t>PC em analise</t>
        </is>
      </c>
      <c r="X4182" s="110" t="inlineStr">
        <is>
          <t>Pedido de Compra</t>
        </is>
      </c>
      <c r="Y4182" s="111" t="inlineStr">
        <is>
          <t>Impacto Potencial</t>
        </is>
      </c>
      <c r="Z4182" s="111" t="inlineStr">
        <is>
          <t>PC</t>
        </is>
      </c>
      <c r="AA4182" s="111" t="inlineStr">
        <is>
          <t>Nao</t>
        </is>
      </c>
      <c r="AB4182" s="111" t="inlineStr">
        <is>
          <t>NAO_COMPUTADO</t>
        </is>
      </c>
      <c r="AC4182" s="112" t="inlineStr">
        <is>
          <t>Estrutura Fase 1: sem impacto no VTA oficial</t>
        </is>
      </c>
    </row>
    <row r="4183" ht="25.5" customHeight="1" s="289">
      <c r="A4183" s="205" t="n"/>
      <c r="B4183" s="207" t="n"/>
      <c r="C4183" s="104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348" t="n"/>
      <c r="E4183" s="349">
        <f>IF(C4183="","",IFERROR(VLOOKUP(C4183,parametros!$A$11:$E$15,5,0),""))</f>
        <v/>
      </c>
      <c r="F4183" s="335">
        <f>IF(OR(D4183="",E4183=""),"",ROUND(D4183*E4183,2))</f>
        <v/>
      </c>
      <c r="G4183" s="106" t="n"/>
      <c r="H4183" s="350">
        <f>IF(G4183="Sim",IF(OR(F4183="",D4183="",L4183=""),"",IF(L4183="Sim",ROUND(F4183-D4183,2),0)),0)</f>
        <v/>
      </c>
      <c r="I4183" s="350">
        <f>IF(G4183="Sim",0,IF(OR(F4183="",L4183=""),"",F4183))</f>
        <v/>
      </c>
      <c r="J4183" s="350">
        <f>IF(G4183="Sim",0,IF(OR(F4183="",D4183="",L4183=""),"",IF(L4183="Sim",ROUND(F4183-D4183,2),0)))</f>
        <v/>
      </c>
      <c r="K4183" s="97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inlineStr">
        <is>
          <t>Nao</t>
        </is>
      </c>
      <c r="W4183" s="110" t="inlineStr">
        <is>
          <t>PC em analise</t>
        </is>
      </c>
      <c r="X4183" s="110" t="inlineStr">
        <is>
          <t>Pedido de Compra</t>
        </is>
      </c>
      <c r="Y4183" s="111" t="inlineStr">
        <is>
          <t>Impacto Potencial</t>
        </is>
      </c>
      <c r="Z4183" s="111" t="inlineStr">
        <is>
          <t>PC</t>
        </is>
      </c>
      <c r="AA4183" s="111" t="inlineStr">
        <is>
          <t>Nao</t>
        </is>
      </c>
      <c r="AB4183" s="111" t="inlineStr">
        <is>
          <t>NAO_COMPUTADO</t>
        </is>
      </c>
      <c r="AC4183" s="112" t="inlineStr">
        <is>
          <t>Estrutura Fase 1: sem impacto no VTA oficial</t>
        </is>
      </c>
    </row>
    <row r="4184" ht="25.5" customHeight="1" s="289">
      <c r="A4184" s="205" t="n"/>
      <c r="B4184" s="207" t="n"/>
      <c r="C4184" s="104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348" t="n"/>
      <c r="E4184" s="349">
        <f>IF(C4184="","",IFERROR(VLOOKUP(C4184,parametros!$A$11:$E$15,5,0),""))</f>
        <v/>
      </c>
      <c r="F4184" s="335">
        <f>IF(OR(D4184="",E4184=""),"",ROUND(D4184*E4184,2))</f>
        <v/>
      </c>
      <c r="G4184" s="106" t="n"/>
      <c r="H4184" s="350">
        <f>IF(G4184="Sim",IF(OR(F4184="",D4184="",L4184=""),"",IF(L4184="Sim",ROUND(F4184-D4184,2),0)),0)</f>
        <v/>
      </c>
      <c r="I4184" s="350">
        <f>IF(G4184="Sim",0,IF(OR(F4184="",L4184=""),"",F4184))</f>
        <v/>
      </c>
      <c r="J4184" s="350">
        <f>IF(G4184="Sim",0,IF(OR(F4184="",D4184="",L4184=""),"",IF(L4184="Sim",ROUND(F4184-D4184,2),0)))</f>
        <v/>
      </c>
      <c r="K4184" s="97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inlineStr">
        <is>
          <t>Nao</t>
        </is>
      </c>
      <c r="W4184" s="110" t="inlineStr">
        <is>
          <t>PC em analise</t>
        </is>
      </c>
      <c r="X4184" s="110" t="inlineStr">
        <is>
          <t>Pedido de Compra</t>
        </is>
      </c>
      <c r="Y4184" s="111" t="inlineStr">
        <is>
          <t>Impacto Potencial</t>
        </is>
      </c>
      <c r="Z4184" s="111" t="inlineStr">
        <is>
          <t>PC</t>
        </is>
      </c>
      <c r="AA4184" s="111" t="inlineStr">
        <is>
          <t>Nao</t>
        </is>
      </c>
      <c r="AB4184" s="111" t="inlineStr">
        <is>
          <t>NAO_COMPUTADO</t>
        </is>
      </c>
      <c r="AC4184" s="112" t="inlineStr">
        <is>
          <t>Estrutura Fase 1: sem impacto no VTA oficial</t>
        </is>
      </c>
    </row>
    <row r="4185" ht="25.5" customHeight="1" s="289">
      <c r="A4185" s="205" t="n"/>
      <c r="B4185" s="207" t="n"/>
      <c r="C4185" s="104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348" t="n"/>
      <c r="E4185" s="349">
        <f>IF(C4185="","",IFERROR(VLOOKUP(C4185,parametros!$A$11:$E$15,5,0),""))</f>
        <v/>
      </c>
      <c r="F4185" s="335">
        <f>IF(OR(D4185="",E4185=""),"",ROUND(D4185*E4185,2))</f>
        <v/>
      </c>
      <c r="G4185" s="106" t="n"/>
      <c r="H4185" s="350">
        <f>IF(G4185="Sim",IF(OR(F4185="",D4185="",L4185=""),"",IF(L4185="Sim",ROUND(F4185-D4185,2),0)),0)</f>
        <v/>
      </c>
      <c r="I4185" s="350">
        <f>IF(G4185="Sim",0,IF(OR(F4185="",L4185=""),"",F4185))</f>
        <v/>
      </c>
      <c r="J4185" s="350">
        <f>IF(G4185="Sim",0,IF(OR(F4185="",D4185="",L4185=""),"",IF(L4185="Sim",ROUND(F4185-D4185,2),0)))</f>
        <v/>
      </c>
      <c r="K4185" s="97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inlineStr">
        <is>
          <t>Nao</t>
        </is>
      </c>
      <c r="W4185" s="110" t="inlineStr">
        <is>
          <t>PC em analise</t>
        </is>
      </c>
      <c r="X4185" s="110" t="inlineStr">
        <is>
          <t>Pedido de Compra</t>
        </is>
      </c>
      <c r="Y4185" s="111" t="inlineStr">
        <is>
          <t>Impacto Potencial</t>
        </is>
      </c>
      <c r="Z4185" s="111" t="inlineStr">
        <is>
          <t>PC</t>
        </is>
      </c>
      <c r="AA4185" s="111" t="inlineStr">
        <is>
          <t>Nao</t>
        </is>
      </c>
      <c r="AB4185" s="111" t="inlineStr">
        <is>
          <t>NAO_COMPUTADO</t>
        </is>
      </c>
      <c r="AC4185" s="112" t="inlineStr">
        <is>
          <t>Estrutura Fase 1: sem impacto no VTA oficial</t>
        </is>
      </c>
    </row>
    <row r="4186" ht="25.5" customHeight="1" s="289">
      <c r="A4186" s="205" t="n"/>
      <c r="B4186" s="207" t="n"/>
      <c r="C4186" s="104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348" t="n"/>
      <c r="E4186" s="349">
        <f>IF(C4186="","",IFERROR(VLOOKUP(C4186,parametros!$A$11:$E$15,5,0),""))</f>
        <v/>
      </c>
      <c r="F4186" s="335">
        <f>IF(OR(D4186="",E4186=""),"",ROUND(D4186*E4186,2))</f>
        <v/>
      </c>
      <c r="G4186" s="106" t="n"/>
      <c r="H4186" s="350">
        <f>IF(G4186="Sim",IF(OR(F4186="",D4186="",L4186=""),"",IF(L4186="Sim",ROUND(F4186-D4186,2),0)),0)</f>
        <v/>
      </c>
      <c r="I4186" s="350">
        <f>IF(G4186="Sim",0,IF(OR(F4186="",L4186=""),"",F4186))</f>
        <v/>
      </c>
      <c r="J4186" s="350">
        <f>IF(G4186="Sim",0,IF(OR(F4186="",D4186="",L4186=""),"",IF(L4186="Sim",ROUND(F4186-D4186,2),0)))</f>
        <v/>
      </c>
      <c r="K4186" s="97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inlineStr">
        <is>
          <t>Nao</t>
        </is>
      </c>
      <c r="W4186" s="110" t="inlineStr">
        <is>
          <t>PC em analise</t>
        </is>
      </c>
      <c r="X4186" s="110" t="inlineStr">
        <is>
          <t>Pedido de Compra</t>
        </is>
      </c>
      <c r="Y4186" s="111" t="inlineStr">
        <is>
          <t>Impacto Potencial</t>
        </is>
      </c>
      <c r="Z4186" s="111" t="inlineStr">
        <is>
          <t>PC</t>
        </is>
      </c>
      <c r="AA4186" s="111" t="inlineStr">
        <is>
          <t>Nao</t>
        </is>
      </c>
      <c r="AB4186" s="111" t="inlineStr">
        <is>
          <t>NAO_COMPUTADO</t>
        </is>
      </c>
      <c r="AC4186" s="112" t="inlineStr">
        <is>
          <t>Estrutura Fase 1: sem impacto no VTA oficial</t>
        </is>
      </c>
    </row>
    <row r="4187" ht="25.5" customHeight="1" s="289">
      <c r="A4187" s="205" t="n"/>
      <c r="B4187" s="207" t="n"/>
      <c r="C4187" s="104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348" t="n"/>
      <c r="E4187" s="349">
        <f>IF(C4187="","",IFERROR(VLOOKUP(C4187,parametros!$A$11:$E$15,5,0),""))</f>
        <v/>
      </c>
      <c r="F4187" s="335">
        <f>IF(OR(D4187="",E4187=""),"",ROUND(D4187*E4187,2))</f>
        <v/>
      </c>
      <c r="G4187" s="106" t="n"/>
      <c r="H4187" s="350">
        <f>IF(G4187="Sim",IF(OR(F4187="",D4187="",L4187=""),"",IF(L4187="Sim",ROUND(F4187-D4187,2),0)),0)</f>
        <v/>
      </c>
      <c r="I4187" s="350">
        <f>IF(G4187="Sim",0,IF(OR(F4187="",L4187=""),"",F4187))</f>
        <v/>
      </c>
      <c r="J4187" s="350">
        <f>IF(G4187="Sim",0,IF(OR(F4187="",D4187="",L4187=""),"",IF(L4187="Sim",ROUND(F4187-D4187,2),0)))</f>
        <v/>
      </c>
      <c r="K4187" s="97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inlineStr">
        <is>
          <t>Nao</t>
        </is>
      </c>
      <c r="W4187" s="110" t="inlineStr">
        <is>
          <t>PC em analise</t>
        </is>
      </c>
      <c r="X4187" s="110" t="inlineStr">
        <is>
          <t>Pedido de Compra</t>
        </is>
      </c>
      <c r="Y4187" s="111" t="inlineStr">
        <is>
          <t>Impacto Potencial</t>
        </is>
      </c>
      <c r="Z4187" s="111" t="inlineStr">
        <is>
          <t>PC</t>
        </is>
      </c>
      <c r="AA4187" s="111" t="inlineStr">
        <is>
          <t>Nao</t>
        </is>
      </c>
      <c r="AB4187" s="111" t="inlineStr">
        <is>
          <t>NAO_COMPUTADO</t>
        </is>
      </c>
      <c r="AC4187" s="112" t="inlineStr">
        <is>
          <t>Estrutura Fase 1: sem impacto no VTA oficial</t>
        </is>
      </c>
    </row>
    <row r="4188" ht="25.5" customHeight="1" s="289">
      <c r="A4188" s="205" t="n"/>
      <c r="B4188" s="207" t="n"/>
      <c r="C4188" s="104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348" t="n"/>
      <c r="E4188" s="349">
        <f>IF(C4188="","",IFERROR(VLOOKUP(C4188,parametros!$A$11:$E$15,5,0),""))</f>
        <v/>
      </c>
      <c r="F4188" s="335">
        <f>IF(OR(D4188="",E4188=""),"",ROUND(D4188*E4188,2))</f>
        <v/>
      </c>
      <c r="G4188" s="106" t="n"/>
      <c r="H4188" s="350">
        <f>IF(G4188="Sim",IF(OR(F4188="",D4188="",L4188=""),"",IF(L4188="Sim",ROUND(F4188-D4188,2),0)),0)</f>
        <v/>
      </c>
      <c r="I4188" s="350">
        <f>IF(G4188="Sim",0,IF(OR(F4188="",L4188=""),"",F4188))</f>
        <v/>
      </c>
      <c r="J4188" s="350">
        <f>IF(G4188="Sim",0,IF(OR(F4188="",D4188="",L4188=""),"",IF(L4188="Sim",ROUND(F4188-D4188,2),0)))</f>
        <v/>
      </c>
      <c r="K4188" s="97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inlineStr">
        <is>
          <t>Nao</t>
        </is>
      </c>
      <c r="W4188" s="110" t="inlineStr">
        <is>
          <t>PC em analise</t>
        </is>
      </c>
      <c r="X4188" s="110" t="inlineStr">
        <is>
          <t>Pedido de Compra</t>
        </is>
      </c>
      <c r="Y4188" s="111" t="inlineStr">
        <is>
          <t>Impacto Potencial</t>
        </is>
      </c>
      <c r="Z4188" s="111" t="inlineStr">
        <is>
          <t>PC</t>
        </is>
      </c>
      <c r="AA4188" s="111" t="inlineStr">
        <is>
          <t>Nao</t>
        </is>
      </c>
      <c r="AB4188" s="111" t="inlineStr">
        <is>
          <t>NAO_COMPUTADO</t>
        </is>
      </c>
      <c r="AC4188" s="112" t="inlineStr">
        <is>
          <t>Estrutura Fase 1: sem impacto no VTA oficial</t>
        </is>
      </c>
    </row>
    <row r="4189" ht="25.5" customHeight="1" s="289">
      <c r="A4189" s="205" t="n"/>
      <c r="B4189" s="207" t="n"/>
      <c r="C4189" s="104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348" t="n"/>
      <c r="E4189" s="349">
        <f>IF(C4189="","",IFERROR(VLOOKUP(C4189,parametros!$A$11:$E$15,5,0),""))</f>
        <v/>
      </c>
      <c r="F4189" s="335">
        <f>IF(OR(D4189="",E4189=""),"",ROUND(D4189*E4189,2))</f>
        <v/>
      </c>
      <c r="G4189" s="106" t="n"/>
      <c r="H4189" s="350">
        <f>IF(G4189="Sim",IF(OR(F4189="",D4189="",L4189=""),"",IF(L4189="Sim",ROUND(F4189-D4189,2),0)),0)</f>
        <v/>
      </c>
      <c r="I4189" s="350">
        <f>IF(G4189="Sim",0,IF(OR(F4189="",L4189=""),"",F4189))</f>
        <v/>
      </c>
      <c r="J4189" s="350">
        <f>IF(G4189="Sim",0,IF(OR(F4189="",D4189="",L4189=""),"",IF(L4189="Sim",ROUND(F4189-D4189,2),0)))</f>
        <v/>
      </c>
      <c r="K4189" s="97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inlineStr">
        <is>
          <t>Nao</t>
        </is>
      </c>
      <c r="W4189" s="110" t="inlineStr">
        <is>
          <t>PC em analise</t>
        </is>
      </c>
      <c r="X4189" s="110" t="inlineStr">
        <is>
          <t>Pedido de Compra</t>
        </is>
      </c>
      <c r="Y4189" s="111" t="inlineStr">
        <is>
          <t>Impacto Potencial</t>
        </is>
      </c>
      <c r="Z4189" s="111" t="inlineStr">
        <is>
          <t>PC</t>
        </is>
      </c>
      <c r="AA4189" s="111" t="inlineStr">
        <is>
          <t>Nao</t>
        </is>
      </c>
      <c r="AB4189" s="111" t="inlineStr">
        <is>
          <t>NAO_COMPUTADO</t>
        </is>
      </c>
      <c r="AC4189" s="112" t="inlineStr">
        <is>
          <t>Estrutura Fase 1: sem impacto no VTA oficial</t>
        </is>
      </c>
    </row>
    <row r="4190" ht="25.5" customHeight="1" s="289">
      <c r="A4190" s="205" t="n"/>
      <c r="B4190" s="207" t="n"/>
      <c r="C4190" s="104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348" t="n"/>
      <c r="E4190" s="349">
        <f>IF(C4190="","",IFERROR(VLOOKUP(C4190,parametros!$A$11:$E$15,5,0),""))</f>
        <v/>
      </c>
      <c r="F4190" s="335">
        <f>IF(OR(D4190="",E4190=""),"",ROUND(D4190*E4190,2))</f>
        <v/>
      </c>
      <c r="G4190" s="106" t="n"/>
      <c r="H4190" s="350">
        <f>IF(G4190="Sim",IF(OR(F4190="",D4190="",L4190=""),"",IF(L4190="Sim",ROUND(F4190-D4190,2),0)),0)</f>
        <v/>
      </c>
      <c r="I4190" s="350">
        <f>IF(G4190="Sim",0,IF(OR(F4190="",L4190=""),"",F4190))</f>
        <v/>
      </c>
      <c r="J4190" s="350">
        <f>IF(G4190="Sim",0,IF(OR(F4190="",D4190="",L4190=""),"",IF(L4190="Sim",ROUND(F4190-D4190,2),0)))</f>
        <v/>
      </c>
      <c r="K4190" s="97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inlineStr">
        <is>
          <t>Nao</t>
        </is>
      </c>
      <c r="W4190" s="110" t="inlineStr">
        <is>
          <t>PC em analise</t>
        </is>
      </c>
      <c r="X4190" s="110" t="inlineStr">
        <is>
          <t>Pedido de Compra</t>
        </is>
      </c>
      <c r="Y4190" s="111" t="inlineStr">
        <is>
          <t>Impacto Potencial</t>
        </is>
      </c>
      <c r="Z4190" s="111" t="inlineStr">
        <is>
          <t>PC</t>
        </is>
      </c>
      <c r="AA4190" s="111" t="inlineStr">
        <is>
          <t>Nao</t>
        </is>
      </c>
      <c r="AB4190" s="111" t="inlineStr">
        <is>
          <t>NAO_COMPUTADO</t>
        </is>
      </c>
      <c r="AC4190" s="112" t="inlineStr">
        <is>
          <t>Estrutura Fase 1: sem impacto no VTA oficial</t>
        </is>
      </c>
    </row>
    <row r="4191" ht="25.5" customHeight="1" s="289">
      <c r="A4191" s="205" t="n"/>
      <c r="B4191" s="207" t="n"/>
      <c r="C4191" s="104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348" t="n"/>
      <c r="E4191" s="349">
        <f>IF(C4191="","",IFERROR(VLOOKUP(C4191,parametros!$A$11:$E$15,5,0),""))</f>
        <v/>
      </c>
      <c r="F4191" s="335">
        <f>IF(OR(D4191="",E4191=""),"",ROUND(D4191*E4191,2))</f>
        <v/>
      </c>
      <c r="G4191" s="106" t="n"/>
      <c r="H4191" s="350">
        <f>IF(G4191="Sim",IF(OR(F4191="",D4191="",L4191=""),"",IF(L4191="Sim",ROUND(F4191-D4191,2),0)),0)</f>
        <v/>
      </c>
      <c r="I4191" s="350">
        <f>IF(G4191="Sim",0,IF(OR(F4191="",L4191=""),"",F4191))</f>
        <v/>
      </c>
      <c r="J4191" s="350">
        <f>IF(G4191="Sim",0,IF(OR(F4191="",D4191="",L4191=""),"",IF(L4191="Sim",ROUND(F4191-D4191,2),0)))</f>
        <v/>
      </c>
      <c r="K4191" s="97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inlineStr">
        <is>
          <t>Nao</t>
        </is>
      </c>
      <c r="W4191" s="110" t="inlineStr">
        <is>
          <t>PC em analise</t>
        </is>
      </c>
      <c r="X4191" s="110" t="inlineStr">
        <is>
          <t>Pedido de Compra</t>
        </is>
      </c>
      <c r="Y4191" s="111" t="inlineStr">
        <is>
          <t>Impacto Potencial</t>
        </is>
      </c>
      <c r="Z4191" s="111" t="inlineStr">
        <is>
          <t>PC</t>
        </is>
      </c>
      <c r="AA4191" s="111" t="inlineStr">
        <is>
          <t>Nao</t>
        </is>
      </c>
      <c r="AB4191" s="111" t="inlineStr">
        <is>
          <t>NAO_COMPUTADO</t>
        </is>
      </c>
      <c r="AC4191" s="112" t="inlineStr">
        <is>
          <t>Estrutura Fase 1: sem impacto no VTA oficial</t>
        </is>
      </c>
    </row>
    <row r="4192" ht="25.5" customHeight="1" s="289">
      <c r="A4192" s="205" t="n"/>
      <c r="B4192" s="207" t="n"/>
      <c r="C4192" s="104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348" t="n"/>
      <c r="E4192" s="349">
        <f>IF(C4192="","",IFERROR(VLOOKUP(C4192,parametros!$A$11:$E$15,5,0),""))</f>
        <v/>
      </c>
      <c r="F4192" s="335">
        <f>IF(OR(D4192="",E4192=""),"",ROUND(D4192*E4192,2))</f>
        <v/>
      </c>
      <c r="G4192" s="106" t="n"/>
      <c r="H4192" s="350">
        <f>IF(G4192="Sim",IF(OR(F4192="",D4192="",L4192=""),"",IF(L4192="Sim",ROUND(F4192-D4192,2),0)),0)</f>
        <v/>
      </c>
      <c r="I4192" s="350">
        <f>IF(G4192="Sim",0,IF(OR(F4192="",L4192=""),"",F4192))</f>
        <v/>
      </c>
      <c r="J4192" s="350">
        <f>IF(G4192="Sim",0,IF(OR(F4192="",D4192="",L4192=""),"",IF(L4192="Sim",ROUND(F4192-D4192,2),0)))</f>
        <v/>
      </c>
      <c r="K4192" s="97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inlineStr">
        <is>
          <t>Nao</t>
        </is>
      </c>
      <c r="W4192" s="110" t="inlineStr">
        <is>
          <t>PC em analise</t>
        </is>
      </c>
      <c r="X4192" s="110" t="inlineStr">
        <is>
          <t>Pedido de Compra</t>
        </is>
      </c>
      <c r="Y4192" s="111" t="inlineStr">
        <is>
          <t>Impacto Potencial</t>
        </is>
      </c>
      <c r="Z4192" s="111" t="inlineStr">
        <is>
          <t>PC</t>
        </is>
      </c>
      <c r="AA4192" s="111" t="inlineStr">
        <is>
          <t>Nao</t>
        </is>
      </c>
      <c r="AB4192" s="111" t="inlineStr">
        <is>
          <t>NAO_COMPUTADO</t>
        </is>
      </c>
      <c r="AC4192" s="112" t="inlineStr">
        <is>
          <t>Estrutura Fase 1: sem impacto no VTA oficial</t>
        </is>
      </c>
    </row>
    <row r="4193" ht="25.5" customHeight="1" s="289">
      <c r="A4193" s="205" t="n"/>
      <c r="B4193" s="207" t="n"/>
      <c r="C4193" s="104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348" t="n"/>
      <c r="E4193" s="349">
        <f>IF(C4193="","",IFERROR(VLOOKUP(C4193,parametros!$A$11:$E$15,5,0),""))</f>
        <v/>
      </c>
      <c r="F4193" s="335">
        <f>IF(OR(D4193="",E4193=""),"",ROUND(D4193*E4193,2))</f>
        <v/>
      </c>
      <c r="G4193" s="106" t="n"/>
      <c r="H4193" s="350">
        <f>IF(G4193="Sim",IF(OR(F4193="",D4193="",L4193=""),"",IF(L4193="Sim",ROUND(F4193-D4193,2),0)),0)</f>
        <v/>
      </c>
      <c r="I4193" s="350">
        <f>IF(G4193="Sim",0,IF(OR(F4193="",L4193=""),"",F4193))</f>
        <v/>
      </c>
      <c r="J4193" s="350">
        <f>IF(G4193="Sim",0,IF(OR(F4193="",D4193="",L4193=""),"",IF(L4193="Sim",ROUND(F4193-D4193,2),0)))</f>
        <v/>
      </c>
      <c r="K4193" s="97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inlineStr">
        <is>
          <t>Nao</t>
        </is>
      </c>
      <c r="W4193" s="110" t="inlineStr">
        <is>
          <t>PC em analise</t>
        </is>
      </c>
      <c r="X4193" s="110" t="inlineStr">
        <is>
          <t>Pedido de Compra</t>
        </is>
      </c>
      <c r="Y4193" s="111" t="inlineStr">
        <is>
          <t>Impacto Potencial</t>
        </is>
      </c>
      <c r="Z4193" s="111" t="inlineStr">
        <is>
          <t>PC</t>
        </is>
      </c>
      <c r="AA4193" s="111" t="inlineStr">
        <is>
          <t>Nao</t>
        </is>
      </c>
      <c r="AB4193" s="111" t="inlineStr">
        <is>
          <t>NAO_COMPUTADO</t>
        </is>
      </c>
      <c r="AC4193" s="112" t="inlineStr">
        <is>
          <t>Estrutura Fase 1: sem impacto no VTA oficial</t>
        </is>
      </c>
    </row>
    <row r="4194" ht="25.5" customHeight="1" s="289">
      <c r="A4194" s="205" t="n"/>
      <c r="B4194" s="207" t="n"/>
      <c r="C4194" s="104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348" t="n"/>
      <c r="E4194" s="349">
        <f>IF(C4194="","",IFERROR(VLOOKUP(C4194,parametros!$A$11:$E$15,5,0),""))</f>
        <v/>
      </c>
      <c r="F4194" s="335">
        <f>IF(OR(D4194="",E4194=""),"",ROUND(D4194*E4194,2))</f>
        <v/>
      </c>
      <c r="G4194" s="106" t="n"/>
      <c r="H4194" s="350">
        <f>IF(G4194="Sim",IF(OR(F4194="",D4194="",L4194=""),"",IF(L4194="Sim",ROUND(F4194-D4194,2),0)),0)</f>
        <v/>
      </c>
      <c r="I4194" s="350">
        <f>IF(G4194="Sim",0,IF(OR(F4194="",L4194=""),"",F4194))</f>
        <v/>
      </c>
      <c r="J4194" s="350">
        <f>IF(G4194="Sim",0,IF(OR(F4194="",D4194="",L4194=""),"",IF(L4194="Sim",ROUND(F4194-D4194,2),0)))</f>
        <v/>
      </c>
      <c r="K4194" s="97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inlineStr">
        <is>
          <t>Nao</t>
        </is>
      </c>
      <c r="W4194" s="110" t="inlineStr">
        <is>
          <t>PC em analise</t>
        </is>
      </c>
      <c r="X4194" s="110" t="inlineStr">
        <is>
          <t>Pedido de Compra</t>
        </is>
      </c>
      <c r="Y4194" s="111" t="inlineStr">
        <is>
          <t>Impacto Potencial</t>
        </is>
      </c>
      <c r="Z4194" s="111" t="inlineStr">
        <is>
          <t>PC</t>
        </is>
      </c>
      <c r="AA4194" s="111" t="inlineStr">
        <is>
          <t>Nao</t>
        </is>
      </c>
      <c r="AB4194" s="111" t="inlineStr">
        <is>
          <t>NAO_COMPUTADO</t>
        </is>
      </c>
      <c r="AC4194" s="112" t="inlineStr">
        <is>
          <t>Estrutura Fase 1: sem impacto no VTA oficial</t>
        </is>
      </c>
    </row>
    <row r="4195" ht="25.5" customHeight="1" s="289">
      <c r="A4195" s="205" t="n"/>
      <c r="B4195" s="207" t="n"/>
      <c r="C4195" s="104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348" t="n"/>
      <c r="E4195" s="349">
        <f>IF(C4195="","",IFERROR(VLOOKUP(C4195,parametros!$A$11:$E$15,5,0),""))</f>
        <v/>
      </c>
      <c r="F4195" s="335">
        <f>IF(OR(D4195="",E4195=""),"",ROUND(D4195*E4195,2))</f>
        <v/>
      </c>
      <c r="G4195" s="106" t="n"/>
      <c r="H4195" s="350">
        <f>IF(G4195="Sim",IF(OR(F4195="",D4195="",L4195=""),"",IF(L4195="Sim",ROUND(F4195-D4195,2),0)),0)</f>
        <v/>
      </c>
      <c r="I4195" s="350">
        <f>IF(G4195="Sim",0,IF(OR(F4195="",L4195=""),"",F4195))</f>
        <v/>
      </c>
      <c r="J4195" s="350">
        <f>IF(G4195="Sim",0,IF(OR(F4195="",D4195="",L4195=""),"",IF(L4195="Sim",ROUND(F4195-D4195,2),0)))</f>
        <v/>
      </c>
      <c r="K4195" s="97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inlineStr">
        <is>
          <t>Nao</t>
        </is>
      </c>
      <c r="W4195" s="110" t="inlineStr">
        <is>
          <t>PC em analise</t>
        </is>
      </c>
      <c r="X4195" s="110" t="inlineStr">
        <is>
          <t>Pedido de Compra</t>
        </is>
      </c>
      <c r="Y4195" s="111" t="inlineStr">
        <is>
          <t>Impacto Potencial</t>
        </is>
      </c>
      <c r="Z4195" s="111" t="inlineStr">
        <is>
          <t>PC</t>
        </is>
      </c>
      <c r="AA4195" s="111" t="inlineStr">
        <is>
          <t>Nao</t>
        </is>
      </c>
      <c r="AB4195" s="111" t="inlineStr">
        <is>
          <t>NAO_COMPUTADO</t>
        </is>
      </c>
      <c r="AC4195" s="112" t="inlineStr">
        <is>
          <t>Estrutura Fase 1: sem impacto no VTA oficial</t>
        </is>
      </c>
    </row>
    <row r="4196" ht="25.5" customHeight="1" s="289">
      <c r="A4196" s="205" t="n"/>
      <c r="B4196" s="207" t="n"/>
      <c r="C4196" s="104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348" t="n"/>
      <c r="E4196" s="349">
        <f>IF(C4196="","",IFERROR(VLOOKUP(C4196,parametros!$A$11:$E$15,5,0),""))</f>
        <v/>
      </c>
      <c r="F4196" s="335">
        <f>IF(OR(D4196="",E4196=""),"",ROUND(D4196*E4196,2))</f>
        <v/>
      </c>
      <c r="G4196" s="106" t="n"/>
      <c r="H4196" s="350">
        <f>IF(G4196="Sim",IF(OR(F4196="",D4196="",L4196=""),"",IF(L4196="Sim",ROUND(F4196-D4196,2),0)),0)</f>
        <v/>
      </c>
      <c r="I4196" s="350">
        <f>IF(G4196="Sim",0,IF(OR(F4196="",L4196=""),"",F4196))</f>
        <v/>
      </c>
      <c r="J4196" s="350">
        <f>IF(G4196="Sim",0,IF(OR(F4196="",D4196="",L4196=""),"",IF(L4196="Sim",ROUND(F4196-D4196,2),0)))</f>
        <v/>
      </c>
      <c r="K4196" s="97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inlineStr">
        <is>
          <t>Nao</t>
        </is>
      </c>
      <c r="W4196" s="110" t="inlineStr">
        <is>
          <t>PC em analise</t>
        </is>
      </c>
      <c r="X4196" s="110" t="inlineStr">
        <is>
          <t>Pedido de Compra</t>
        </is>
      </c>
      <c r="Y4196" s="111" t="inlineStr">
        <is>
          <t>Impacto Potencial</t>
        </is>
      </c>
      <c r="Z4196" s="111" t="inlineStr">
        <is>
          <t>PC</t>
        </is>
      </c>
      <c r="AA4196" s="111" t="inlineStr">
        <is>
          <t>Nao</t>
        </is>
      </c>
      <c r="AB4196" s="111" t="inlineStr">
        <is>
          <t>NAO_COMPUTADO</t>
        </is>
      </c>
      <c r="AC4196" s="112" t="inlineStr">
        <is>
          <t>Estrutura Fase 1: sem impacto no VTA oficial</t>
        </is>
      </c>
    </row>
    <row r="4197" ht="25.5" customHeight="1" s="289">
      <c r="A4197" s="205" t="n"/>
      <c r="B4197" s="207" t="n"/>
      <c r="C4197" s="104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348" t="n"/>
      <c r="E4197" s="349">
        <f>IF(C4197="","",IFERROR(VLOOKUP(C4197,parametros!$A$11:$E$15,5,0),""))</f>
        <v/>
      </c>
      <c r="F4197" s="335">
        <f>IF(OR(D4197="",E4197=""),"",ROUND(D4197*E4197,2))</f>
        <v/>
      </c>
      <c r="G4197" s="106" t="n"/>
      <c r="H4197" s="350">
        <f>IF(G4197="Sim",IF(OR(F4197="",D4197="",L4197=""),"",IF(L4197="Sim",ROUND(F4197-D4197,2),0)),0)</f>
        <v/>
      </c>
      <c r="I4197" s="350">
        <f>IF(G4197="Sim",0,IF(OR(F4197="",L4197=""),"",F4197))</f>
        <v/>
      </c>
      <c r="J4197" s="350">
        <f>IF(G4197="Sim",0,IF(OR(F4197="",D4197="",L4197=""),"",IF(L4197="Sim",ROUND(F4197-D4197,2),0)))</f>
        <v/>
      </c>
      <c r="K4197" s="97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inlineStr">
        <is>
          <t>Nao</t>
        </is>
      </c>
      <c r="W4197" s="110" t="inlineStr">
        <is>
          <t>PC em analise</t>
        </is>
      </c>
      <c r="X4197" s="110" t="inlineStr">
        <is>
          <t>Pedido de Compra</t>
        </is>
      </c>
      <c r="Y4197" s="111" t="inlineStr">
        <is>
          <t>Impacto Potencial</t>
        </is>
      </c>
      <c r="Z4197" s="111" t="inlineStr">
        <is>
          <t>PC</t>
        </is>
      </c>
      <c r="AA4197" s="111" t="inlineStr">
        <is>
          <t>Nao</t>
        </is>
      </c>
      <c r="AB4197" s="111" t="inlineStr">
        <is>
          <t>NAO_COMPUTADO</t>
        </is>
      </c>
      <c r="AC4197" s="112" t="inlineStr">
        <is>
          <t>Estrutura Fase 1: sem impacto no VTA oficial</t>
        </is>
      </c>
    </row>
    <row r="4198" ht="25.5" customHeight="1" s="289">
      <c r="A4198" s="205" t="n"/>
      <c r="B4198" s="207" t="n"/>
      <c r="C4198" s="104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348" t="n"/>
      <c r="E4198" s="349">
        <f>IF(C4198="","",IFERROR(VLOOKUP(C4198,parametros!$A$11:$E$15,5,0),""))</f>
        <v/>
      </c>
      <c r="F4198" s="335">
        <f>IF(OR(D4198="",E4198=""),"",ROUND(D4198*E4198,2))</f>
        <v/>
      </c>
      <c r="G4198" s="106" t="n"/>
      <c r="H4198" s="350">
        <f>IF(G4198="Sim",IF(OR(F4198="",D4198="",L4198=""),"",IF(L4198="Sim",ROUND(F4198-D4198,2),0)),0)</f>
        <v/>
      </c>
      <c r="I4198" s="350">
        <f>IF(G4198="Sim",0,IF(OR(F4198="",L4198=""),"",F4198))</f>
        <v/>
      </c>
      <c r="J4198" s="350">
        <f>IF(G4198="Sim",0,IF(OR(F4198="",D4198="",L4198=""),"",IF(L4198="Sim",ROUND(F4198-D4198,2),0)))</f>
        <v/>
      </c>
      <c r="K4198" s="97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inlineStr">
        <is>
          <t>Nao</t>
        </is>
      </c>
      <c r="W4198" s="110" t="inlineStr">
        <is>
          <t>PC em analise</t>
        </is>
      </c>
      <c r="X4198" s="110" t="inlineStr">
        <is>
          <t>Pedido de Compra</t>
        </is>
      </c>
      <c r="Y4198" s="111" t="inlineStr">
        <is>
          <t>Impacto Potencial</t>
        </is>
      </c>
      <c r="Z4198" s="111" t="inlineStr">
        <is>
          <t>PC</t>
        </is>
      </c>
      <c r="AA4198" s="111" t="inlineStr">
        <is>
          <t>Nao</t>
        </is>
      </c>
      <c r="AB4198" s="111" t="inlineStr">
        <is>
          <t>NAO_COMPUTADO</t>
        </is>
      </c>
      <c r="AC4198" s="112" t="inlineStr">
        <is>
          <t>Estrutura Fase 1: sem impacto no VTA oficial</t>
        </is>
      </c>
    </row>
    <row r="4199" ht="25.5" customHeight="1" s="289">
      <c r="A4199" s="205" t="n"/>
      <c r="B4199" s="207" t="n"/>
      <c r="C4199" s="104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348" t="n"/>
      <c r="E4199" s="349">
        <f>IF(C4199="","",IFERROR(VLOOKUP(C4199,parametros!$A$11:$E$15,5,0),""))</f>
        <v/>
      </c>
      <c r="F4199" s="335">
        <f>IF(OR(D4199="",E4199=""),"",ROUND(D4199*E4199,2))</f>
        <v/>
      </c>
      <c r="G4199" s="106" t="n"/>
      <c r="H4199" s="350">
        <f>IF(G4199="Sim",IF(OR(F4199="",D4199="",L4199=""),"",IF(L4199="Sim",ROUND(F4199-D4199,2),0)),0)</f>
        <v/>
      </c>
      <c r="I4199" s="350">
        <f>IF(G4199="Sim",0,IF(OR(F4199="",L4199=""),"",F4199))</f>
        <v/>
      </c>
      <c r="J4199" s="350">
        <f>IF(G4199="Sim",0,IF(OR(F4199="",D4199="",L4199=""),"",IF(L4199="Sim",ROUND(F4199-D4199,2),0)))</f>
        <v/>
      </c>
      <c r="K4199" s="97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inlineStr">
        <is>
          <t>Nao</t>
        </is>
      </c>
      <c r="W4199" s="110" t="inlineStr">
        <is>
          <t>PC em analise</t>
        </is>
      </c>
      <c r="X4199" s="110" t="inlineStr">
        <is>
          <t>Pedido de Compra</t>
        </is>
      </c>
      <c r="Y4199" s="111" t="inlineStr">
        <is>
          <t>Impacto Potencial</t>
        </is>
      </c>
      <c r="Z4199" s="111" t="inlineStr">
        <is>
          <t>PC</t>
        </is>
      </c>
      <c r="AA4199" s="111" t="inlineStr">
        <is>
          <t>Nao</t>
        </is>
      </c>
      <c r="AB4199" s="111" t="inlineStr">
        <is>
          <t>NAO_COMPUTADO</t>
        </is>
      </c>
      <c r="AC4199" s="112" t="inlineStr">
        <is>
          <t>Estrutura Fase 1: sem impacto no VTA oficial</t>
        </is>
      </c>
    </row>
    <row r="4200" ht="25.5" customHeight="1" s="289">
      <c r="A4200" s="205" t="n"/>
      <c r="B4200" s="207" t="n"/>
      <c r="C4200" s="104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348" t="n"/>
      <c r="E4200" s="349">
        <f>IF(C4200="","",IFERROR(VLOOKUP(C4200,parametros!$A$11:$E$15,5,0),""))</f>
        <v/>
      </c>
      <c r="F4200" s="335">
        <f>IF(OR(D4200="",E4200=""),"",ROUND(D4200*E4200,2))</f>
        <v/>
      </c>
      <c r="G4200" s="106" t="n"/>
      <c r="H4200" s="350">
        <f>IF(G4200="Sim",IF(OR(F4200="",D4200="",L4200=""),"",IF(L4200="Sim",ROUND(F4200-D4200,2),0)),0)</f>
        <v/>
      </c>
      <c r="I4200" s="350">
        <f>IF(G4200="Sim",0,IF(OR(F4200="",L4200=""),"",F4200))</f>
        <v/>
      </c>
      <c r="J4200" s="350">
        <f>IF(G4200="Sim",0,IF(OR(F4200="",D4200="",L4200=""),"",IF(L4200="Sim",ROUND(F4200-D4200,2),0)))</f>
        <v/>
      </c>
      <c r="K4200" s="97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inlineStr">
        <is>
          <t>Nao</t>
        </is>
      </c>
      <c r="W4200" s="110" t="inlineStr">
        <is>
          <t>PC em analise</t>
        </is>
      </c>
      <c r="X4200" s="110" t="inlineStr">
        <is>
          <t>Pedido de Compra</t>
        </is>
      </c>
      <c r="Y4200" s="111" t="inlineStr">
        <is>
          <t>Impacto Potencial</t>
        </is>
      </c>
      <c r="Z4200" s="111" t="inlineStr">
        <is>
          <t>PC</t>
        </is>
      </c>
      <c r="AA4200" s="111" t="inlineStr">
        <is>
          <t>Nao</t>
        </is>
      </c>
      <c r="AB4200" s="111" t="inlineStr">
        <is>
          <t>NAO_COMPUTADO</t>
        </is>
      </c>
      <c r="AC4200" s="112" t="inlineStr">
        <is>
          <t>Estrutura Fase 1: sem impacto no VTA oficial</t>
        </is>
      </c>
    </row>
    <row r="4201" ht="25.5" customHeight="1" s="289">
      <c r="A4201" s="205" t="n"/>
      <c r="B4201" s="207" t="n"/>
      <c r="C4201" s="104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348" t="n"/>
      <c r="E4201" s="349">
        <f>IF(C4201="","",IFERROR(VLOOKUP(C4201,parametros!$A$11:$E$15,5,0),""))</f>
        <v/>
      </c>
      <c r="F4201" s="335">
        <f>IF(OR(D4201="",E4201=""),"",ROUND(D4201*E4201,2))</f>
        <v/>
      </c>
      <c r="G4201" s="106" t="n"/>
      <c r="H4201" s="350">
        <f>IF(G4201="Sim",IF(OR(F4201="",D4201="",L4201=""),"",IF(L4201="Sim",ROUND(F4201-D4201,2),0)),0)</f>
        <v/>
      </c>
      <c r="I4201" s="350">
        <f>IF(G4201="Sim",0,IF(OR(F4201="",L4201=""),"",F4201))</f>
        <v/>
      </c>
      <c r="J4201" s="350">
        <f>IF(G4201="Sim",0,IF(OR(F4201="",D4201="",L4201=""),"",IF(L4201="Sim",ROUND(F4201-D4201,2),0)))</f>
        <v/>
      </c>
      <c r="K4201" s="97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inlineStr">
        <is>
          <t>Nao</t>
        </is>
      </c>
      <c r="W4201" s="110" t="inlineStr">
        <is>
          <t>PC em analise</t>
        </is>
      </c>
      <c r="X4201" s="110" t="inlineStr">
        <is>
          <t>Pedido de Compra</t>
        </is>
      </c>
      <c r="Y4201" s="111" t="inlineStr">
        <is>
          <t>Impacto Potencial</t>
        </is>
      </c>
      <c r="Z4201" s="111" t="inlineStr">
        <is>
          <t>PC</t>
        </is>
      </c>
      <c r="AA4201" s="111" t="inlineStr">
        <is>
          <t>Nao</t>
        </is>
      </c>
      <c r="AB4201" s="111" t="inlineStr">
        <is>
          <t>NAO_COMPUTADO</t>
        </is>
      </c>
      <c r="AC4201" s="112" t="inlineStr">
        <is>
          <t>Estrutura Fase 1: sem impacto no VTA oficial</t>
        </is>
      </c>
    </row>
    <row r="4202" ht="25.5" customHeight="1" s="289">
      <c r="A4202" s="205" t="n"/>
      <c r="B4202" s="207" t="n"/>
      <c r="C4202" s="104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348" t="n"/>
      <c r="E4202" s="349">
        <f>IF(C4202="","",IFERROR(VLOOKUP(C4202,parametros!$A$11:$E$15,5,0),""))</f>
        <v/>
      </c>
      <c r="F4202" s="335">
        <f>IF(OR(D4202="",E4202=""),"",ROUND(D4202*E4202,2))</f>
        <v/>
      </c>
      <c r="G4202" s="106" t="n"/>
      <c r="H4202" s="350">
        <f>IF(G4202="Sim",IF(OR(F4202="",D4202="",L4202=""),"",IF(L4202="Sim",ROUND(F4202-D4202,2),0)),0)</f>
        <v/>
      </c>
      <c r="I4202" s="350">
        <f>IF(G4202="Sim",0,IF(OR(F4202="",L4202=""),"",F4202))</f>
        <v/>
      </c>
      <c r="J4202" s="350">
        <f>IF(G4202="Sim",0,IF(OR(F4202="",D4202="",L4202=""),"",IF(L4202="Sim",ROUND(F4202-D4202,2),0)))</f>
        <v/>
      </c>
      <c r="K4202" s="97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inlineStr">
        <is>
          <t>Nao</t>
        </is>
      </c>
      <c r="W4202" s="110" t="inlineStr">
        <is>
          <t>PC em analise</t>
        </is>
      </c>
      <c r="X4202" s="110" t="inlineStr">
        <is>
          <t>Pedido de Compra</t>
        </is>
      </c>
      <c r="Y4202" s="111" t="inlineStr">
        <is>
          <t>Impacto Potencial</t>
        </is>
      </c>
      <c r="Z4202" s="111" t="inlineStr">
        <is>
          <t>PC</t>
        </is>
      </c>
      <c r="AA4202" s="111" t="inlineStr">
        <is>
          <t>Nao</t>
        </is>
      </c>
      <c r="AB4202" s="111" t="inlineStr">
        <is>
          <t>NAO_COMPUTADO</t>
        </is>
      </c>
      <c r="AC4202" s="112" t="inlineStr">
        <is>
          <t>Estrutura Fase 1: sem impacto no VTA oficial</t>
        </is>
      </c>
    </row>
    <row r="4203" ht="25.5" customHeight="1" s="289">
      <c r="A4203" s="205" t="n"/>
      <c r="B4203" s="207" t="n"/>
      <c r="C4203" s="104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348" t="n"/>
      <c r="E4203" s="349">
        <f>IF(C4203="","",IFERROR(VLOOKUP(C4203,parametros!$A$11:$E$15,5,0),""))</f>
        <v/>
      </c>
      <c r="F4203" s="335">
        <f>IF(OR(D4203="",E4203=""),"",ROUND(D4203*E4203,2))</f>
        <v/>
      </c>
      <c r="G4203" s="106" t="n"/>
      <c r="H4203" s="350">
        <f>IF(G4203="Sim",IF(OR(F4203="",D4203="",L4203=""),"",IF(L4203="Sim",ROUND(F4203-D4203,2),0)),0)</f>
        <v/>
      </c>
      <c r="I4203" s="350">
        <f>IF(G4203="Sim",0,IF(OR(F4203="",L4203=""),"",F4203))</f>
        <v/>
      </c>
      <c r="J4203" s="350">
        <f>IF(G4203="Sim",0,IF(OR(F4203="",D4203="",L4203=""),"",IF(L4203="Sim",ROUND(F4203-D4203,2),0)))</f>
        <v/>
      </c>
      <c r="K4203" s="97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inlineStr">
        <is>
          <t>Nao</t>
        </is>
      </c>
      <c r="W4203" s="110" t="inlineStr">
        <is>
          <t>PC em analise</t>
        </is>
      </c>
      <c r="X4203" s="110" t="inlineStr">
        <is>
          <t>Pedido de Compra</t>
        </is>
      </c>
      <c r="Y4203" s="111" t="inlineStr">
        <is>
          <t>Impacto Potencial</t>
        </is>
      </c>
      <c r="Z4203" s="111" t="inlineStr">
        <is>
          <t>PC</t>
        </is>
      </c>
      <c r="AA4203" s="111" t="inlineStr">
        <is>
          <t>Nao</t>
        </is>
      </c>
      <c r="AB4203" s="111" t="inlineStr">
        <is>
          <t>NAO_COMPUTADO</t>
        </is>
      </c>
      <c r="AC4203" s="112" t="inlineStr">
        <is>
          <t>Estrutura Fase 1: sem impacto no VTA oficial</t>
        </is>
      </c>
    </row>
    <row r="4204" ht="25.5" customHeight="1" s="289">
      <c r="A4204" s="205" t="n"/>
      <c r="B4204" s="207" t="n"/>
      <c r="C4204" s="104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348" t="n"/>
      <c r="E4204" s="349">
        <f>IF(C4204="","",IFERROR(VLOOKUP(C4204,parametros!$A$11:$E$15,5,0),""))</f>
        <v/>
      </c>
      <c r="F4204" s="335">
        <f>IF(OR(D4204="",E4204=""),"",ROUND(D4204*E4204,2))</f>
        <v/>
      </c>
      <c r="G4204" s="106" t="n"/>
      <c r="H4204" s="350">
        <f>IF(G4204="Sim",IF(OR(F4204="",D4204="",L4204=""),"",IF(L4204="Sim",ROUND(F4204-D4204,2),0)),0)</f>
        <v/>
      </c>
      <c r="I4204" s="350">
        <f>IF(G4204="Sim",0,IF(OR(F4204="",L4204=""),"",F4204))</f>
        <v/>
      </c>
      <c r="J4204" s="350">
        <f>IF(G4204="Sim",0,IF(OR(F4204="",D4204="",L4204=""),"",IF(L4204="Sim",ROUND(F4204-D4204,2),0)))</f>
        <v/>
      </c>
      <c r="K4204" s="97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inlineStr">
        <is>
          <t>Nao</t>
        </is>
      </c>
      <c r="W4204" s="110" t="inlineStr">
        <is>
          <t>PC em analise</t>
        </is>
      </c>
      <c r="X4204" s="110" t="inlineStr">
        <is>
          <t>Pedido de Compra</t>
        </is>
      </c>
      <c r="Y4204" s="111" t="inlineStr">
        <is>
          <t>Impacto Potencial</t>
        </is>
      </c>
      <c r="Z4204" s="111" t="inlineStr">
        <is>
          <t>PC</t>
        </is>
      </c>
      <c r="AA4204" s="111" t="inlineStr">
        <is>
          <t>Nao</t>
        </is>
      </c>
      <c r="AB4204" s="111" t="inlineStr">
        <is>
          <t>NAO_COMPUTADO</t>
        </is>
      </c>
      <c r="AC4204" s="112" t="inlineStr">
        <is>
          <t>Estrutura Fase 1: sem impacto no VTA oficial</t>
        </is>
      </c>
    </row>
    <row r="4205" ht="25.5" customHeight="1" s="289">
      <c r="A4205" s="205" t="n"/>
      <c r="B4205" s="207" t="n"/>
      <c r="C4205" s="104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348" t="n"/>
      <c r="E4205" s="349">
        <f>IF(C4205="","",IFERROR(VLOOKUP(C4205,parametros!$A$11:$E$15,5,0),""))</f>
        <v/>
      </c>
      <c r="F4205" s="335">
        <f>IF(OR(D4205="",E4205=""),"",ROUND(D4205*E4205,2))</f>
        <v/>
      </c>
      <c r="G4205" s="106" t="n"/>
      <c r="H4205" s="350">
        <f>IF(G4205="Sim",IF(OR(F4205="",D4205="",L4205=""),"",IF(L4205="Sim",ROUND(F4205-D4205,2),0)),0)</f>
        <v/>
      </c>
      <c r="I4205" s="350">
        <f>IF(G4205="Sim",0,IF(OR(F4205="",L4205=""),"",F4205))</f>
        <v/>
      </c>
      <c r="J4205" s="350">
        <f>IF(G4205="Sim",0,IF(OR(F4205="",D4205="",L4205=""),"",IF(L4205="Sim",ROUND(F4205-D4205,2),0)))</f>
        <v/>
      </c>
      <c r="K4205" s="97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inlineStr">
        <is>
          <t>Nao</t>
        </is>
      </c>
      <c r="W4205" s="110" t="inlineStr">
        <is>
          <t>PC em analise</t>
        </is>
      </c>
      <c r="X4205" s="110" t="inlineStr">
        <is>
          <t>Pedido de Compra</t>
        </is>
      </c>
      <c r="Y4205" s="111" t="inlineStr">
        <is>
          <t>Impacto Potencial</t>
        </is>
      </c>
      <c r="Z4205" s="111" t="inlineStr">
        <is>
          <t>PC</t>
        </is>
      </c>
      <c r="AA4205" s="111" t="inlineStr">
        <is>
          <t>Nao</t>
        </is>
      </c>
      <c r="AB4205" s="111" t="inlineStr">
        <is>
          <t>NAO_COMPUTADO</t>
        </is>
      </c>
      <c r="AC4205" s="112" t="inlineStr">
        <is>
          <t>Estrutura Fase 1: sem impacto no VTA oficial</t>
        </is>
      </c>
    </row>
    <row r="4206" ht="25.5" customHeight="1" s="289">
      <c r="A4206" s="205" t="n"/>
      <c r="B4206" s="207" t="n"/>
      <c r="C4206" s="104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348" t="n"/>
      <c r="E4206" s="349">
        <f>IF(C4206="","",IFERROR(VLOOKUP(C4206,parametros!$A$11:$E$15,5,0),""))</f>
        <v/>
      </c>
      <c r="F4206" s="335">
        <f>IF(OR(D4206="",E4206=""),"",ROUND(D4206*E4206,2))</f>
        <v/>
      </c>
      <c r="G4206" s="106" t="n"/>
      <c r="H4206" s="350">
        <f>IF(G4206="Sim",IF(OR(F4206="",D4206="",L4206=""),"",IF(L4206="Sim",ROUND(F4206-D4206,2),0)),0)</f>
        <v/>
      </c>
      <c r="I4206" s="350">
        <f>IF(G4206="Sim",0,IF(OR(F4206="",L4206=""),"",F4206))</f>
        <v/>
      </c>
      <c r="J4206" s="350">
        <f>IF(G4206="Sim",0,IF(OR(F4206="",D4206="",L4206=""),"",IF(L4206="Sim",ROUND(F4206-D4206,2),0)))</f>
        <v/>
      </c>
      <c r="K4206" s="97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inlineStr">
        <is>
          <t>Nao</t>
        </is>
      </c>
      <c r="W4206" s="110" t="inlineStr">
        <is>
          <t>PC em analise</t>
        </is>
      </c>
      <c r="X4206" s="110" t="inlineStr">
        <is>
          <t>Pedido de Compra</t>
        </is>
      </c>
      <c r="Y4206" s="111" t="inlineStr">
        <is>
          <t>Impacto Potencial</t>
        </is>
      </c>
      <c r="Z4206" s="111" t="inlineStr">
        <is>
          <t>PC</t>
        </is>
      </c>
      <c r="AA4206" s="111" t="inlineStr">
        <is>
          <t>Nao</t>
        </is>
      </c>
      <c r="AB4206" s="111" t="inlineStr">
        <is>
          <t>NAO_COMPUTADO</t>
        </is>
      </c>
      <c r="AC4206" s="112" t="inlineStr">
        <is>
          <t>Estrutura Fase 1: sem impacto no VTA oficial</t>
        </is>
      </c>
    </row>
    <row r="4207" ht="25.5" customHeight="1" s="289">
      <c r="A4207" s="205" t="n"/>
      <c r="B4207" s="207" t="n"/>
      <c r="C4207" s="104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348" t="n"/>
      <c r="E4207" s="349">
        <f>IF(C4207="","",IFERROR(VLOOKUP(C4207,parametros!$A$11:$E$15,5,0),""))</f>
        <v/>
      </c>
      <c r="F4207" s="335">
        <f>IF(OR(D4207="",E4207=""),"",ROUND(D4207*E4207,2))</f>
        <v/>
      </c>
      <c r="G4207" s="106" t="n"/>
      <c r="H4207" s="350">
        <f>IF(G4207="Sim",IF(OR(F4207="",D4207="",L4207=""),"",IF(L4207="Sim",ROUND(F4207-D4207,2),0)),0)</f>
        <v/>
      </c>
      <c r="I4207" s="350">
        <f>IF(G4207="Sim",0,IF(OR(F4207="",L4207=""),"",F4207))</f>
        <v/>
      </c>
      <c r="J4207" s="350">
        <f>IF(G4207="Sim",0,IF(OR(F4207="",D4207="",L4207=""),"",IF(L4207="Sim",ROUND(F4207-D4207,2),0)))</f>
        <v/>
      </c>
      <c r="K4207" s="97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inlineStr">
        <is>
          <t>Nao</t>
        </is>
      </c>
      <c r="W4207" s="110" t="inlineStr">
        <is>
          <t>PC em analise</t>
        </is>
      </c>
      <c r="X4207" s="110" t="inlineStr">
        <is>
          <t>Pedido de Compra</t>
        </is>
      </c>
      <c r="Y4207" s="111" t="inlineStr">
        <is>
          <t>Impacto Potencial</t>
        </is>
      </c>
      <c r="Z4207" s="111" t="inlineStr">
        <is>
          <t>PC</t>
        </is>
      </c>
      <c r="AA4207" s="111" t="inlineStr">
        <is>
          <t>Nao</t>
        </is>
      </c>
      <c r="AB4207" s="111" t="inlineStr">
        <is>
          <t>NAO_COMPUTADO</t>
        </is>
      </c>
      <c r="AC4207" s="112" t="inlineStr">
        <is>
          <t>Estrutura Fase 1: sem impacto no VTA oficial</t>
        </is>
      </c>
    </row>
    <row r="4208" ht="25.5" customHeight="1" s="289">
      <c r="A4208" s="205" t="n"/>
      <c r="B4208" s="207" t="n"/>
      <c r="C4208" s="104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348" t="n"/>
      <c r="E4208" s="349">
        <f>IF(C4208="","",IFERROR(VLOOKUP(C4208,parametros!$A$11:$E$15,5,0),""))</f>
        <v/>
      </c>
      <c r="F4208" s="335">
        <f>IF(OR(D4208="",E4208=""),"",ROUND(D4208*E4208,2))</f>
        <v/>
      </c>
      <c r="G4208" s="106" t="n"/>
      <c r="H4208" s="350">
        <f>IF(G4208="Sim",IF(OR(F4208="",D4208="",L4208=""),"",IF(L4208="Sim",ROUND(F4208-D4208,2),0)),0)</f>
        <v/>
      </c>
      <c r="I4208" s="350">
        <f>IF(G4208="Sim",0,IF(OR(F4208="",L4208=""),"",F4208))</f>
        <v/>
      </c>
      <c r="J4208" s="350">
        <f>IF(G4208="Sim",0,IF(OR(F4208="",D4208="",L4208=""),"",IF(L4208="Sim",ROUND(F4208-D4208,2),0)))</f>
        <v/>
      </c>
      <c r="K4208" s="97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inlineStr">
        <is>
          <t>Nao</t>
        </is>
      </c>
      <c r="W4208" s="110" t="inlineStr">
        <is>
          <t>PC em analise</t>
        </is>
      </c>
      <c r="X4208" s="110" t="inlineStr">
        <is>
          <t>Pedido de Compra</t>
        </is>
      </c>
      <c r="Y4208" s="111" t="inlineStr">
        <is>
          <t>Impacto Potencial</t>
        </is>
      </c>
      <c r="Z4208" s="111" t="inlineStr">
        <is>
          <t>PC</t>
        </is>
      </c>
      <c r="AA4208" s="111" t="inlineStr">
        <is>
          <t>Nao</t>
        </is>
      </c>
      <c r="AB4208" s="111" t="inlineStr">
        <is>
          <t>NAO_COMPUTADO</t>
        </is>
      </c>
      <c r="AC4208" s="112" t="inlineStr">
        <is>
          <t>Estrutura Fase 1: sem impacto no VTA oficial</t>
        </is>
      </c>
    </row>
    <row r="4209" ht="25.5" customHeight="1" s="289">
      <c r="A4209" s="205" t="n"/>
      <c r="B4209" s="207" t="n"/>
      <c r="C4209" s="104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348" t="n"/>
      <c r="E4209" s="349">
        <f>IF(C4209="","",IFERROR(VLOOKUP(C4209,parametros!$A$11:$E$15,5,0),""))</f>
        <v/>
      </c>
      <c r="F4209" s="335">
        <f>IF(OR(D4209="",E4209=""),"",ROUND(D4209*E4209,2))</f>
        <v/>
      </c>
      <c r="G4209" s="106" t="n"/>
      <c r="H4209" s="350">
        <f>IF(G4209="Sim",IF(OR(F4209="",D4209="",L4209=""),"",IF(L4209="Sim",ROUND(F4209-D4209,2),0)),0)</f>
        <v/>
      </c>
      <c r="I4209" s="350">
        <f>IF(G4209="Sim",0,IF(OR(F4209="",L4209=""),"",F4209))</f>
        <v/>
      </c>
      <c r="J4209" s="350">
        <f>IF(G4209="Sim",0,IF(OR(F4209="",D4209="",L4209=""),"",IF(L4209="Sim",ROUND(F4209-D4209,2),0)))</f>
        <v/>
      </c>
      <c r="K4209" s="97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inlineStr">
        <is>
          <t>Nao</t>
        </is>
      </c>
      <c r="W4209" s="110" t="inlineStr">
        <is>
          <t>PC em analise</t>
        </is>
      </c>
      <c r="X4209" s="110" t="inlineStr">
        <is>
          <t>Pedido de Compra</t>
        </is>
      </c>
      <c r="Y4209" s="111" t="inlineStr">
        <is>
          <t>Impacto Potencial</t>
        </is>
      </c>
      <c r="Z4209" s="111" t="inlineStr">
        <is>
          <t>PC</t>
        </is>
      </c>
      <c r="AA4209" s="111" t="inlineStr">
        <is>
          <t>Nao</t>
        </is>
      </c>
      <c r="AB4209" s="111" t="inlineStr">
        <is>
          <t>NAO_COMPUTADO</t>
        </is>
      </c>
      <c r="AC4209" s="112" t="inlineStr">
        <is>
          <t>Estrutura Fase 1: sem impacto no VTA oficial</t>
        </is>
      </c>
    </row>
    <row r="4210" ht="25.5" customHeight="1" s="289">
      <c r="A4210" s="205" t="n"/>
      <c r="B4210" s="207" t="n"/>
      <c r="C4210" s="104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348" t="n"/>
      <c r="E4210" s="349">
        <f>IF(C4210="","",IFERROR(VLOOKUP(C4210,parametros!$A$11:$E$15,5,0),""))</f>
        <v/>
      </c>
      <c r="F4210" s="335">
        <f>IF(OR(D4210="",E4210=""),"",ROUND(D4210*E4210,2))</f>
        <v/>
      </c>
      <c r="G4210" s="106" t="n"/>
      <c r="H4210" s="350">
        <f>IF(G4210="Sim",IF(OR(F4210="",D4210="",L4210=""),"",IF(L4210="Sim",ROUND(F4210-D4210,2),0)),0)</f>
        <v/>
      </c>
      <c r="I4210" s="350">
        <f>IF(G4210="Sim",0,IF(OR(F4210="",L4210=""),"",F4210))</f>
        <v/>
      </c>
      <c r="J4210" s="350">
        <f>IF(G4210="Sim",0,IF(OR(F4210="",D4210="",L4210=""),"",IF(L4210="Sim",ROUND(F4210-D4210,2),0)))</f>
        <v/>
      </c>
      <c r="K4210" s="97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inlineStr">
        <is>
          <t>Nao</t>
        </is>
      </c>
      <c r="W4210" s="110" t="inlineStr">
        <is>
          <t>PC em analise</t>
        </is>
      </c>
      <c r="X4210" s="110" t="inlineStr">
        <is>
          <t>Pedido de Compra</t>
        </is>
      </c>
      <c r="Y4210" s="111" t="inlineStr">
        <is>
          <t>Impacto Potencial</t>
        </is>
      </c>
      <c r="Z4210" s="111" t="inlineStr">
        <is>
          <t>PC</t>
        </is>
      </c>
      <c r="AA4210" s="111" t="inlineStr">
        <is>
          <t>Nao</t>
        </is>
      </c>
      <c r="AB4210" s="111" t="inlineStr">
        <is>
          <t>NAO_COMPUTADO</t>
        </is>
      </c>
      <c r="AC4210" s="112" t="inlineStr">
        <is>
          <t>Estrutura Fase 1: sem impacto no VTA oficial</t>
        </is>
      </c>
    </row>
    <row r="4211" ht="25.5" customHeight="1" s="289">
      <c r="A4211" s="205" t="n"/>
      <c r="B4211" s="207" t="n"/>
      <c r="C4211" s="104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348" t="n"/>
      <c r="E4211" s="349">
        <f>IF(C4211="","",IFERROR(VLOOKUP(C4211,parametros!$A$11:$E$15,5,0),""))</f>
        <v/>
      </c>
      <c r="F4211" s="335">
        <f>IF(OR(D4211="",E4211=""),"",ROUND(D4211*E4211,2))</f>
        <v/>
      </c>
      <c r="G4211" s="106" t="n"/>
      <c r="H4211" s="350">
        <f>IF(G4211="Sim",IF(OR(F4211="",D4211="",L4211=""),"",IF(L4211="Sim",ROUND(F4211-D4211,2),0)),0)</f>
        <v/>
      </c>
      <c r="I4211" s="350">
        <f>IF(G4211="Sim",0,IF(OR(F4211="",L4211=""),"",F4211))</f>
        <v/>
      </c>
      <c r="J4211" s="350">
        <f>IF(G4211="Sim",0,IF(OR(F4211="",D4211="",L4211=""),"",IF(L4211="Sim",ROUND(F4211-D4211,2),0)))</f>
        <v/>
      </c>
      <c r="K4211" s="97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inlineStr">
        <is>
          <t>Nao</t>
        </is>
      </c>
      <c r="W4211" s="110" t="inlineStr">
        <is>
          <t>PC em analise</t>
        </is>
      </c>
      <c r="X4211" s="110" t="inlineStr">
        <is>
          <t>Pedido de Compra</t>
        </is>
      </c>
      <c r="Y4211" s="111" t="inlineStr">
        <is>
          <t>Impacto Potencial</t>
        </is>
      </c>
      <c r="Z4211" s="111" t="inlineStr">
        <is>
          <t>PC</t>
        </is>
      </c>
      <c r="AA4211" s="111" t="inlineStr">
        <is>
          <t>Nao</t>
        </is>
      </c>
      <c r="AB4211" s="111" t="inlineStr">
        <is>
          <t>NAO_COMPUTADO</t>
        </is>
      </c>
      <c r="AC4211" s="112" t="inlineStr">
        <is>
          <t>Estrutura Fase 1: sem impacto no VTA oficial</t>
        </is>
      </c>
    </row>
    <row r="4212" ht="25.5" customHeight="1" s="289">
      <c r="A4212" s="205" t="n"/>
      <c r="B4212" s="207" t="n"/>
      <c r="C4212" s="104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348" t="n"/>
      <c r="E4212" s="349">
        <f>IF(C4212="","",IFERROR(VLOOKUP(C4212,parametros!$A$11:$E$15,5,0),""))</f>
        <v/>
      </c>
      <c r="F4212" s="335">
        <f>IF(OR(D4212="",E4212=""),"",ROUND(D4212*E4212,2))</f>
        <v/>
      </c>
      <c r="G4212" s="106" t="n"/>
      <c r="H4212" s="350">
        <f>IF(G4212="Sim",IF(OR(F4212="",D4212="",L4212=""),"",IF(L4212="Sim",ROUND(F4212-D4212,2),0)),0)</f>
        <v/>
      </c>
      <c r="I4212" s="350">
        <f>IF(G4212="Sim",0,IF(OR(F4212="",L4212=""),"",F4212))</f>
        <v/>
      </c>
      <c r="J4212" s="350">
        <f>IF(G4212="Sim",0,IF(OR(F4212="",D4212="",L4212=""),"",IF(L4212="Sim",ROUND(F4212-D4212,2),0)))</f>
        <v/>
      </c>
      <c r="K4212" s="97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inlineStr">
        <is>
          <t>Nao</t>
        </is>
      </c>
      <c r="W4212" s="110" t="inlineStr">
        <is>
          <t>PC em analise</t>
        </is>
      </c>
      <c r="X4212" s="110" t="inlineStr">
        <is>
          <t>Pedido de Compra</t>
        </is>
      </c>
      <c r="Y4212" s="111" t="inlineStr">
        <is>
          <t>Impacto Potencial</t>
        </is>
      </c>
      <c r="Z4212" s="111" t="inlineStr">
        <is>
          <t>PC</t>
        </is>
      </c>
      <c r="AA4212" s="111" t="inlineStr">
        <is>
          <t>Nao</t>
        </is>
      </c>
      <c r="AB4212" s="111" t="inlineStr">
        <is>
          <t>NAO_COMPUTADO</t>
        </is>
      </c>
      <c r="AC4212" s="112" t="inlineStr">
        <is>
          <t>Estrutura Fase 1: sem impacto no VTA oficial</t>
        </is>
      </c>
    </row>
    <row r="4213" ht="25.5" customHeight="1" s="289">
      <c r="A4213" s="205" t="n"/>
      <c r="B4213" s="207" t="n"/>
      <c r="C4213" s="104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348" t="n"/>
      <c r="E4213" s="349">
        <f>IF(C4213="","",IFERROR(VLOOKUP(C4213,parametros!$A$11:$E$15,5,0),""))</f>
        <v/>
      </c>
      <c r="F4213" s="335">
        <f>IF(OR(D4213="",E4213=""),"",ROUND(D4213*E4213,2))</f>
        <v/>
      </c>
      <c r="G4213" s="106" t="n"/>
      <c r="H4213" s="350">
        <f>IF(G4213="Sim",IF(OR(F4213="",D4213="",L4213=""),"",IF(L4213="Sim",ROUND(F4213-D4213,2),0)),0)</f>
        <v/>
      </c>
      <c r="I4213" s="350">
        <f>IF(G4213="Sim",0,IF(OR(F4213="",L4213=""),"",F4213))</f>
        <v/>
      </c>
      <c r="J4213" s="350">
        <f>IF(G4213="Sim",0,IF(OR(F4213="",D4213="",L4213=""),"",IF(L4213="Sim",ROUND(F4213-D4213,2),0)))</f>
        <v/>
      </c>
      <c r="K4213" s="97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inlineStr">
        <is>
          <t>Nao</t>
        </is>
      </c>
      <c r="W4213" s="110" t="inlineStr">
        <is>
          <t>PC em analise</t>
        </is>
      </c>
      <c r="X4213" s="110" t="inlineStr">
        <is>
          <t>Pedido de Compra</t>
        </is>
      </c>
      <c r="Y4213" s="111" t="inlineStr">
        <is>
          <t>Impacto Potencial</t>
        </is>
      </c>
      <c r="Z4213" s="111" t="inlineStr">
        <is>
          <t>PC</t>
        </is>
      </c>
      <c r="AA4213" s="111" t="inlineStr">
        <is>
          <t>Nao</t>
        </is>
      </c>
      <c r="AB4213" s="111" t="inlineStr">
        <is>
          <t>NAO_COMPUTADO</t>
        </is>
      </c>
      <c r="AC4213" s="112" t="inlineStr">
        <is>
          <t>Estrutura Fase 1: sem impacto no VTA oficial</t>
        </is>
      </c>
    </row>
    <row r="4214" ht="25.5" customHeight="1" s="289">
      <c r="A4214" s="205" t="n"/>
      <c r="B4214" s="207" t="n"/>
      <c r="C4214" s="104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348" t="n"/>
      <c r="E4214" s="349">
        <f>IF(C4214="","",IFERROR(VLOOKUP(C4214,parametros!$A$11:$E$15,5,0),""))</f>
        <v/>
      </c>
      <c r="F4214" s="335">
        <f>IF(OR(D4214="",E4214=""),"",ROUND(D4214*E4214,2))</f>
        <v/>
      </c>
      <c r="G4214" s="106" t="n"/>
      <c r="H4214" s="350">
        <f>IF(G4214="Sim",IF(OR(F4214="",D4214="",L4214=""),"",IF(L4214="Sim",ROUND(F4214-D4214,2),0)),0)</f>
        <v/>
      </c>
      <c r="I4214" s="350">
        <f>IF(G4214="Sim",0,IF(OR(F4214="",L4214=""),"",F4214))</f>
        <v/>
      </c>
      <c r="J4214" s="350">
        <f>IF(G4214="Sim",0,IF(OR(F4214="",D4214="",L4214=""),"",IF(L4214="Sim",ROUND(F4214-D4214,2),0)))</f>
        <v/>
      </c>
      <c r="K4214" s="97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inlineStr">
        <is>
          <t>Nao</t>
        </is>
      </c>
      <c r="W4214" s="110" t="inlineStr">
        <is>
          <t>PC em analise</t>
        </is>
      </c>
      <c r="X4214" s="110" t="inlineStr">
        <is>
          <t>Pedido de Compra</t>
        </is>
      </c>
      <c r="Y4214" s="111" t="inlineStr">
        <is>
          <t>Impacto Potencial</t>
        </is>
      </c>
      <c r="Z4214" s="111" t="inlineStr">
        <is>
          <t>PC</t>
        </is>
      </c>
      <c r="AA4214" s="111" t="inlineStr">
        <is>
          <t>Nao</t>
        </is>
      </c>
      <c r="AB4214" s="111" t="inlineStr">
        <is>
          <t>NAO_COMPUTADO</t>
        </is>
      </c>
      <c r="AC4214" s="112" t="inlineStr">
        <is>
          <t>Estrutura Fase 1: sem impacto no VTA oficial</t>
        </is>
      </c>
    </row>
    <row r="4215" ht="25.5" customHeight="1" s="289">
      <c r="A4215" s="205" t="n"/>
      <c r="B4215" s="207" t="n"/>
      <c r="C4215" s="104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348" t="n"/>
      <c r="E4215" s="349">
        <f>IF(C4215="","",IFERROR(VLOOKUP(C4215,parametros!$A$11:$E$15,5,0),""))</f>
        <v/>
      </c>
      <c r="F4215" s="335">
        <f>IF(OR(D4215="",E4215=""),"",ROUND(D4215*E4215,2))</f>
        <v/>
      </c>
      <c r="G4215" s="106" t="n"/>
      <c r="H4215" s="350">
        <f>IF(G4215="Sim",IF(OR(F4215="",D4215="",L4215=""),"",IF(L4215="Sim",ROUND(F4215-D4215,2),0)),0)</f>
        <v/>
      </c>
      <c r="I4215" s="350">
        <f>IF(G4215="Sim",0,IF(OR(F4215="",L4215=""),"",F4215))</f>
        <v/>
      </c>
      <c r="J4215" s="350">
        <f>IF(G4215="Sim",0,IF(OR(F4215="",D4215="",L4215=""),"",IF(L4215="Sim",ROUND(F4215-D4215,2),0)))</f>
        <v/>
      </c>
      <c r="K4215" s="97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inlineStr">
        <is>
          <t>Nao</t>
        </is>
      </c>
      <c r="W4215" s="110" t="inlineStr">
        <is>
          <t>PC em analise</t>
        </is>
      </c>
      <c r="X4215" s="110" t="inlineStr">
        <is>
          <t>Pedido de Compra</t>
        </is>
      </c>
      <c r="Y4215" s="111" t="inlineStr">
        <is>
          <t>Impacto Potencial</t>
        </is>
      </c>
      <c r="Z4215" s="111" t="inlineStr">
        <is>
          <t>PC</t>
        </is>
      </c>
      <c r="AA4215" s="111" t="inlineStr">
        <is>
          <t>Nao</t>
        </is>
      </c>
      <c r="AB4215" s="111" t="inlineStr">
        <is>
          <t>NAO_COMPUTADO</t>
        </is>
      </c>
      <c r="AC4215" s="112" t="inlineStr">
        <is>
          <t>Estrutura Fase 1: sem impacto no VTA oficial</t>
        </is>
      </c>
    </row>
    <row r="4216" ht="25.5" customHeight="1" s="289">
      <c r="A4216" s="205" t="n"/>
      <c r="B4216" s="207" t="n"/>
      <c r="C4216" s="104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348" t="n"/>
      <c r="E4216" s="349">
        <f>IF(C4216="","",IFERROR(VLOOKUP(C4216,parametros!$A$11:$E$15,5,0),""))</f>
        <v/>
      </c>
      <c r="F4216" s="335">
        <f>IF(OR(D4216="",E4216=""),"",ROUND(D4216*E4216,2))</f>
        <v/>
      </c>
      <c r="G4216" s="106" t="n"/>
      <c r="H4216" s="350">
        <f>IF(G4216="Sim",IF(OR(F4216="",D4216="",L4216=""),"",IF(L4216="Sim",ROUND(F4216-D4216,2),0)),0)</f>
        <v/>
      </c>
      <c r="I4216" s="350">
        <f>IF(G4216="Sim",0,IF(OR(F4216="",L4216=""),"",F4216))</f>
        <v/>
      </c>
      <c r="J4216" s="350">
        <f>IF(G4216="Sim",0,IF(OR(F4216="",D4216="",L4216=""),"",IF(L4216="Sim",ROUND(F4216-D4216,2),0)))</f>
        <v/>
      </c>
      <c r="K4216" s="97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inlineStr">
        <is>
          <t>Nao</t>
        </is>
      </c>
      <c r="W4216" s="110" t="inlineStr">
        <is>
          <t>PC em analise</t>
        </is>
      </c>
      <c r="X4216" s="110" t="inlineStr">
        <is>
          <t>Pedido de Compra</t>
        </is>
      </c>
      <c r="Y4216" s="111" t="inlineStr">
        <is>
          <t>Impacto Potencial</t>
        </is>
      </c>
      <c r="Z4216" s="111" t="inlineStr">
        <is>
          <t>PC</t>
        </is>
      </c>
      <c r="AA4216" s="111" t="inlineStr">
        <is>
          <t>Nao</t>
        </is>
      </c>
      <c r="AB4216" s="111" t="inlineStr">
        <is>
          <t>NAO_COMPUTADO</t>
        </is>
      </c>
      <c r="AC4216" s="112" t="inlineStr">
        <is>
          <t>Estrutura Fase 1: sem impacto no VTA oficial</t>
        </is>
      </c>
    </row>
    <row r="4217" ht="25.5" customHeight="1" s="289">
      <c r="A4217" s="205" t="n"/>
      <c r="B4217" s="207" t="n"/>
      <c r="C4217" s="104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348" t="n"/>
      <c r="E4217" s="349">
        <f>IF(C4217="","",IFERROR(VLOOKUP(C4217,parametros!$A$11:$E$15,5,0),""))</f>
        <v/>
      </c>
      <c r="F4217" s="335">
        <f>IF(OR(D4217="",E4217=""),"",ROUND(D4217*E4217,2))</f>
        <v/>
      </c>
      <c r="G4217" s="106" t="n"/>
      <c r="H4217" s="350">
        <f>IF(G4217="Sim",IF(OR(F4217="",D4217="",L4217=""),"",IF(L4217="Sim",ROUND(F4217-D4217,2),0)),0)</f>
        <v/>
      </c>
      <c r="I4217" s="350">
        <f>IF(G4217="Sim",0,IF(OR(F4217="",L4217=""),"",F4217))</f>
        <v/>
      </c>
      <c r="J4217" s="350">
        <f>IF(G4217="Sim",0,IF(OR(F4217="",D4217="",L4217=""),"",IF(L4217="Sim",ROUND(F4217-D4217,2),0)))</f>
        <v/>
      </c>
      <c r="K4217" s="97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inlineStr">
        <is>
          <t>Nao</t>
        </is>
      </c>
      <c r="W4217" s="110" t="inlineStr">
        <is>
          <t>PC em analise</t>
        </is>
      </c>
      <c r="X4217" s="110" t="inlineStr">
        <is>
          <t>Pedido de Compra</t>
        </is>
      </c>
      <c r="Y4217" s="111" t="inlineStr">
        <is>
          <t>Impacto Potencial</t>
        </is>
      </c>
      <c r="Z4217" s="111" t="inlineStr">
        <is>
          <t>PC</t>
        </is>
      </c>
      <c r="AA4217" s="111" t="inlineStr">
        <is>
          <t>Nao</t>
        </is>
      </c>
      <c r="AB4217" s="111" t="inlineStr">
        <is>
          <t>NAO_COMPUTADO</t>
        </is>
      </c>
      <c r="AC4217" s="112" t="inlineStr">
        <is>
          <t>Estrutura Fase 1: sem impacto no VTA oficial</t>
        </is>
      </c>
    </row>
    <row r="4218" ht="25.5" customHeight="1" s="289">
      <c r="A4218" s="205" t="n"/>
      <c r="B4218" s="207" t="n"/>
      <c r="C4218" s="104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348" t="n"/>
      <c r="E4218" s="349">
        <f>IF(C4218="","",IFERROR(VLOOKUP(C4218,parametros!$A$11:$E$15,5,0),""))</f>
        <v/>
      </c>
      <c r="F4218" s="335">
        <f>IF(OR(D4218="",E4218=""),"",ROUND(D4218*E4218,2))</f>
        <v/>
      </c>
      <c r="G4218" s="106" t="n"/>
      <c r="H4218" s="350">
        <f>IF(G4218="Sim",IF(OR(F4218="",D4218="",L4218=""),"",IF(L4218="Sim",ROUND(F4218-D4218,2),0)),0)</f>
        <v/>
      </c>
      <c r="I4218" s="350">
        <f>IF(G4218="Sim",0,IF(OR(F4218="",L4218=""),"",F4218))</f>
        <v/>
      </c>
      <c r="J4218" s="350">
        <f>IF(G4218="Sim",0,IF(OR(F4218="",D4218="",L4218=""),"",IF(L4218="Sim",ROUND(F4218-D4218,2),0)))</f>
        <v/>
      </c>
      <c r="K4218" s="97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inlineStr">
        <is>
          <t>Nao</t>
        </is>
      </c>
      <c r="W4218" s="110" t="inlineStr">
        <is>
          <t>PC em analise</t>
        </is>
      </c>
      <c r="X4218" s="110" t="inlineStr">
        <is>
          <t>Pedido de Compra</t>
        </is>
      </c>
      <c r="Y4218" s="111" t="inlineStr">
        <is>
          <t>Impacto Potencial</t>
        </is>
      </c>
      <c r="Z4218" s="111" t="inlineStr">
        <is>
          <t>PC</t>
        </is>
      </c>
      <c r="AA4218" s="111" t="inlineStr">
        <is>
          <t>Nao</t>
        </is>
      </c>
      <c r="AB4218" s="111" t="inlineStr">
        <is>
          <t>NAO_COMPUTADO</t>
        </is>
      </c>
      <c r="AC4218" s="112" t="inlineStr">
        <is>
          <t>Estrutura Fase 1: sem impacto no VTA oficial</t>
        </is>
      </c>
    </row>
    <row r="4219" ht="25.5" customHeight="1" s="289">
      <c r="A4219" s="205" t="n"/>
      <c r="B4219" s="207" t="n"/>
      <c r="C4219" s="104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348" t="n"/>
      <c r="E4219" s="349">
        <f>IF(C4219="","",IFERROR(VLOOKUP(C4219,parametros!$A$11:$E$15,5,0),""))</f>
        <v/>
      </c>
      <c r="F4219" s="335">
        <f>IF(OR(D4219="",E4219=""),"",ROUND(D4219*E4219,2))</f>
        <v/>
      </c>
      <c r="G4219" s="106" t="n"/>
      <c r="H4219" s="350">
        <f>IF(G4219="Sim",IF(OR(F4219="",D4219="",L4219=""),"",IF(L4219="Sim",ROUND(F4219-D4219,2),0)),0)</f>
        <v/>
      </c>
      <c r="I4219" s="350">
        <f>IF(G4219="Sim",0,IF(OR(F4219="",L4219=""),"",F4219))</f>
        <v/>
      </c>
      <c r="J4219" s="350">
        <f>IF(G4219="Sim",0,IF(OR(F4219="",D4219="",L4219=""),"",IF(L4219="Sim",ROUND(F4219-D4219,2),0)))</f>
        <v/>
      </c>
      <c r="K4219" s="97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inlineStr">
        <is>
          <t>Nao</t>
        </is>
      </c>
      <c r="W4219" s="110" t="inlineStr">
        <is>
          <t>PC em analise</t>
        </is>
      </c>
      <c r="X4219" s="110" t="inlineStr">
        <is>
          <t>Pedido de Compra</t>
        </is>
      </c>
      <c r="Y4219" s="111" t="inlineStr">
        <is>
          <t>Impacto Potencial</t>
        </is>
      </c>
      <c r="Z4219" s="111" t="inlineStr">
        <is>
          <t>PC</t>
        </is>
      </c>
      <c r="AA4219" s="111" t="inlineStr">
        <is>
          <t>Nao</t>
        </is>
      </c>
      <c r="AB4219" s="111" t="inlineStr">
        <is>
          <t>NAO_COMPUTADO</t>
        </is>
      </c>
      <c r="AC4219" s="112" t="inlineStr">
        <is>
          <t>Estrutura Fase 1: sem impacto no VTA oficial</t>
        </is>
      </c>
    </row>
    <row r="4220" ht="25.5" customHeight="1" s="289">
      <c r="A4220" s="205" t="n"/>
      <c r="B4220" s="207" t="n"/>
      <c r="C4220" s="104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348" t="n"/>
      <c r="E4220" s="349">
        <f>IF(C4220="","",IFERROR(VLOOKUP(C4220,parametros!$A$11:$E$15,5,0),""))</f>
        <v/>
      </c>
      <c r="F4220" s="335">
        <f>IF(OR(D4220="",E4220=""),"",ROUND(D4220*E4220,2))</f>
        <v/>
      </c>
      <c r="G4220" s="106" t="n"/>
      <c r="H4220" s="350">
        <f>IF(G4220="Sim",IF(OR(F4220="",D4220="",L4220=""),"",IF(L4220="Sim",ROUND(F4220-D4220,2),0)),0)</f>
        <v/>
      </c>
      <c r="I4220" s="350">
        <f>IF(G4220="Sim",0,IF(OR(F4220="",L4220=""),"",F4220))</f>
        <v/>
      </c>
      <c r="J4220" s="350">
        <f>IF(G4220="Sim",0,IF(OR(F4220="",D4220="",L4220=""),"",IF(L4220="Sim",ROUND(F4220-D4220,2),0)))</f>
        <v/>
      </c>
      <c r="K4220" s="97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inlineStr">
        <is>
          <t>Nao</t>
        </is>
      </c>
      <c r="W4220" s="110" t="inlineStr">
        <is>
          <t>PC em analise</t>
        </is>
      </c>
      <c r="X4220" s="110" t="inlineStr">
        <is>
          <t>Pedido de Compra</t>
        </is>
      </c>
      <c r="Y4220" s="111" t="inlineStr">
        <is>
          <t>Impacto Potencial</t>
        </is>
      </c>
      <c r="Z4220" s="111" t="inlineStr">
        <is>
          <t>PC</t>
        </is>
      </c>
      <c r="AA4220" s="111" t="inlineStr">
        <is>
          <t>Nao</t>
        </is>
      </c>
      <c r="AB4220" s="111" t="inlineStr">
        <is>
          <t>NAO_COMPUTADO</t>
        </is>
      </c>
      <c r="AC4220" s="112" t="inlineStr">
        <is>
          <t>Estrutura Fase 1: sem impacto no VTA oficial</t>
        </is>
      </c>
    </row>
    <row r="4221" ht="25.5" customHeight="1" s="289">
      <c r="A4221" s="205" t="n"/>
      <c r="B4221" s="207" t="n"/>
      <c r="C4221" s="104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348" t="n"/>
      <c r="E4221" s="349">
        <f>IF(C4221="","",IFERROR(VLOOKUP(C4221,parametros!$A$11:$E$15,5,0),""))</f>
        <v/>
      </c>
      <c r="F4221" s="335">
        <f>IF(OR(D4221="",E4221=""),"",ROUND(D4221*E4221,2))</f>
        <v/>
      </c>
      <c r="G4221" s="106" t="n"/>
      <c r="H4221" s="350">
        <f>IF(G4221="Sim",IF(OR(F4221="",D4221="",L4221=""),"",IF(L4221="Sim",ROUND(F4221-D4221,2),0)),0)</f>
        <v/>
      </c>
      <c r="I4221" s="350">
        <f>IF(G4221="Sim",0,IF(OR(F4221="",L4221=""),"",F4221))</f>
        <v/>
      </c>
      <c r="J4221" s="350">
        <f>IF(G4221="Sim",0,IF(OR(F4221="",D4221="",L4221=""),"",IF(L4221="Sim",ROUND(F4221-D4221,2),0)))</f>
        <v/>
      </c>
      <c r="K4221" s="97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inlineStr">
        <is>
          <t>Nao</t>
        </is>
      </c>
      <c r="W4221" s="110" t="inlineStr">
        <is>
          <t>PC em analise</t>
        </is>
      </c>
      <c r="X4221" s="110" t="inlineStr">
        <is>
          <t>Pedido de Compra</t>
        </is>
      </c>
      <c r="Y4221" s="111" t="inlineStr">
        <is>
          <t>Impacto Potencial</t>
        </is>
      </c>
      <c r="Z4221" s="111" t="inlineStr">
        <is>
          <t>PC</t>
        </is>
      </c>
      <c r="AA4221" s="111" t="inlineStr">
        <is>
          <t>Nao</t>
        </is>
      </c>
      <c r="AB4221" s="111" t="inlineStr">
        <is>
          <t>NAO_COMPUTADO</t>
        </is>
      </c>
      <c r="AC4221" s="112" t="inlineStr">
        <is>
          <t>Estrutura Fase 1: sem impacto no VTA oficial</t>
        </is>
      </c>
    </row>
    <row r="4222" ht="25.5" customHeight="1" s="289">
      <c r="A4222" s="205" t="n"/>
      <c r="B4222" s="207" t="n"/>
      <c r="C4222" s="104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348" t="n"/>
      <c r="E4222" s="349">
        <f>IF(C4222="","",IFERROR(VLOOKUP(C4222,parametros!$A$11:$E$15,5,0),""))</f>
        <v/>
      </c>
      <c r="F4222" s="335">
        <f>IF(OR(D4222="",E4222=""),"",ROUND(D4222*E4222,2))</f>
        <v/>
      </c>
      <c r="G4222" s="106" t="n"/>
      <c r="H4222" s="350">
        <f>IF(G4222="Sim",IF(OR(F4222="",D4222="",L4222=""),"",IF(L4222="Sim",ROUND(F4222-D4222,2),0)),0)</f>
        <v/>
      </c>
      <c r="I4222" s="350">
        <f>IF(G4222="Sim",0,IF(OR(F4222="",L4222=""),"",F4222))</f>
        <v/>
      </c>
      <c r="J4222" s="350">
        <f>IF(G4222="Sim",0,IF(OR(F4222="",D4222="",L4222=""),"",IF(L4222="Sim",ROUND(F4222-D4222,2),0)))</f>
        <v/>
      </c>
      <c r="K4222" s="97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inlineStr">
        <is>
          <t>Nao</t>
        </is>
      </c>
      <c r="W4222" s="110" t="inlineStr">
        <is>
          <t>PC em analise</t>
        </is>
      </c>
      <c r="X4222" s="110" t="inlineStr">
        <is>
          <t>Pedido de Compra</t>
        </is>
      </c>
      <c r="Y4222" s="111" t="inlineStr">
        <is>
          <t>Impacto Potencial</t>
        </is>
      </c>
      <c r="Z4222" s="111" t="inlineStr">
        <is>
          <t>PC</t>
        </is>
      </c>
      <c r="AA4222" s="111" t="inlineStr">
        <is>
          <t>Nao</t>
        </is>
      </c>
      <c r="AB4222" s="111" t="inlineStr">
        <is>
          <t>NAO_COMPUTADO</t>
        </is>
      </c>
      <c r="AC4222" s="112" t="inlineStr">
        <is>
          <t>Estrutura Fase 1: sem impacto no VTA oficial</t>
        </is>
      </c>
    </row>
    <row r="4223" ht="25.5" customHeight="1" s="289">
      <c r="A4223" s="205" t="n"/>
      <c r="B4223" s="207" t="n"/>
      <c r="C4223" s="104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348" t="n"/>
      <c r="E4223" s="349">
        <f>IF(C4223="","",IFERROR(VLOOKUP(C4223,parametros!$A$11:$E$15,5,0),""))</f>
        <v/>
      </c>
      <c r="F4223" s="335">
        <f>IF(OR(D4223="",E4223=""),"",ROUND(D4223*E4223,2))</f>
        <v/>
      </c>
      <c r="G4223" s="106" t="n"/>
      <c r="H4223" s="350">
        <f>IF(G4223="Sim",IF(OR(F4223="",D4223="",L4223=""),"",IF(L4223="Sim",ROUND(F4223-D4223,2),0)),0)</f>
        <v/>
      </c>
      <c r="I4223" s="350">
        <f>IF(G4223="Sim",0,IF(OR(F4223="",L4223=""),"",F4223))</f>
        <v/>
      </c>
      <c r="J4223" s="350">
        <f>IF(G4223="Sim",0,IF(OR(F4223="",D4223="",L4223=""),"",IF(L4223="Sim",ROUND(F4223-D4223,2),0)))</f>
        <v/>
      </c>
      <c r="K4223" s="97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inlineStr">
        <is>
          <t>Nao</t>
        </is>
      </c>
      <c r="W4223" s="110" t="inlineStr">
        <is>
          <t>PC em analise</t>
        </is>
      </c>
      <c r="X4223" s="110" t="inlineStr">
        <is>
          <t>Pedido de Compra</t>
        </is>
      </c>
      <c r="Y4223" s="111" t="inlineStr">
        <is>
          <t>Impacto Potencial</t>
        </is>
      </c>
      <c r="Z4223" s="111" t="inlineStr">
        <is>
          <t>PC</t>
        </is>
      </c>
      <c r="AA4223" s="111" t="inlineStr">
        <is>
          <t>Nao</t>
        </is>
      </c>
      <c r="AB4223" s="111" t="inlineStr">
        <is>
          <t>NAO_COMPUTADO</t>
        </is>
      </c>
      <c r="AC4223" s="112" t="inlineStr">
        <is>
          <t>Estrutura Fase 1: sem impacto no VTA oficial</t>
        </is>
      </c>
    </row>
    <row r="4224" ht="25.5" customHeight="1" s="289">
      <c r="A4224" s="205" t="n"/>
      <c r="B4224" s="207" t="n"/>
      <c r="C4224" s="104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348" t="n"/>
      <c r="E4224" s="349">
        <f>IF(C4224="","",IFERROR(VLOOKUP(C4224,parametros!$A$11:$E$15,5,0),""))</f>
        <v/>
      </c>
      <c r="F4224" s="335">
        <f>IF(OR(D4224="",E4224=""),"",ROUND(D4224*E4224,2))</f>
        <v/>
      </c>
      <c r="G4224" s="106" t="n"/>
      <c r="H4224" s="350">
        <f>IF(G4224="Sim",IF(OR(F4224="",D4224="",L4224=""),"",IF(L4224="Sim",ROUND(F4224-D4224,2),0)),0)</f>
        <v/>
      </c>
      <c r="I4224" s="350">
        <f>IF(G4224="Sim",0,IF(OR(F4224="",L4224=""),"",F4224))</f>
        <v/>
      </c>
      <c r="J4224" s="350">
        <f>IF(G4224="Sim",0,IF(OR(F4224="",D4224="",L4224=""),"",IF(L4224="Sim",ROUND(F4224-D4224,2),0)))</f>
        <v/>
      </c>
      <c r="K4224" s="97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inlineStr">
        <is>
          <t>Nao</t>
        </is>
      </c>
      <c r="W4224" s="110" t="inlineStr">
        <is>
          <t>PC em analise</t>
        </is>
      </c>
      <c r="X4224" s="110" t="inlineStr">
        <is>
          <t>Pedido de Compra</t>
        </is>
      </c>
      <c r="Y4224" s="111" t="inlineStr">
        <is>
          <t>Impacto Potencial</t>
        </is>
      </c>
      <c r="Z4224" s="111" t="inlineStr">
        <is>
          <t>PC</t>
        </is>
      </c>
      <c r="AA4224" s="111" t="inlineStr">
        <is>
          <t>Nao</t>
        </is>
      </c>
      <c r="AB4224" s="111" t="inlineStr">
        <is>
          <t>NAO_COMPUTADO</t>
        </is>
      </c>
      <c r="AC4224" s="112" t="inlineStr">
        <is>
          <t>Estrutura Fase 1: sem impacto no VTA oficial</t>
        </is>
      </c>
    </row>
    <row r="4225" ht="25.5" customHeight="1" s="289">
      <c r="A4225" s="205" t="n"/>
      <c r="B4225" s="207" t="n"/>
      <c r="C4225" s="104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348" t="n"/>
      <c r="E4225" s="349">
        <f>IF(C4225="","",IFERROR(VLOOKUP(C4225,parametros!$A$11:$E$15,5,0),""))</f>
        <v/>
      </c>
      <c r="F4225" s="335">
        <f>IF(OR(D4225="",E4225=""),"",ROUND(D4225*E4225,2))</f>
        <v/>
      </c>
      <c r="G4225" s="106" t="n"/>
      <c r="H4225" s="350">
        <f>IF(G4225="Sim",IF(OR(F4225="",D4225="",L4225=""),"",IF(L4225="Sim",ROUND(F4225-D4225,2),0)),0)</f>
        <v/>
      </c>
      <c r="I4225" s="350">
        <f>IF(G4225="Sim",0,IF(OR(F4225="",L4225=""),"",F4225))</f>
        <v/>
      </c>
      <c r="J4225" s="350">
        <f>IF(G4225="Sim",0,IF(OR(F4225="",D4225="",L4225=""),"",IF(L4225="Sim",ROUND(F4225-D4225,2),0)))</f>
        <v/>
      </c>
      <c r="K4225" s="97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inlineStr">
        <is>
          <t>Nao</t>
        </is>
      </c>
      <c r="W4225" s="110" t="inlineStr">
        <is>
          <t>PC em analise</t>
        </is>
      </c>
      <c r="X4225" s="110" t="inlineStr">
        <is>
          <t>Pedido de Compra</t>
        </is>
      </c>
      <c r="Y4225" s="111" t="inlineStr">
        <is>
          <t>Impacto Potencial</t>
        </is>
      </c>
      <c r="Z4225" s="111" t="inlineStr">
        <is>
          <t>PC</t>
        </is>
      </c>
      <c r="AA4225" s="111" t="inlineStr">
        <is>
          <t>Nao</t>
        </is>
      </c>
      <c r="AB4225" s="111" t="inlineStr">
        <is>
          <t>NAO_COMPUTADO</t>
        </is>
      </c>
      <c r="AC4225" s="112" t="inlineStr">
        <is>
          <t>Estrutura Fase 1: sem impacto no VTA oficial</t>
        </is>
      </c>
    </row>
    <row r="4226" ht="25.5" customHeight="1" s="289">
      <c r="A4226" s="205" t="n"/>
      <c r="B4226" s="207" t="n"/>
      <c r="C4226" s="104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348" t="n"/>
      <c r="E4226" s="349">
        <f>IF(C4226="","",IFERROR(VLOOKUP(C4226,parametros!$A$11:$E$15,5,0),""))</f>
        <v/>
      </c>
      <c r="F4226" s="335">
        <f>IF(OR(D4226="",E4226=""),"",ROUND(D4226*E4226,2))</f>
        <v/>
      </c>
      <c r="G4226" s="106" t="n"/>
      <c r="H4226" s="350">
        <f>IF(G4226="Sim",IF(OR(F4226="",D4226="",L4226=""),"",IF(L4226="Sim",ROUND(F4226-D4226,2),0)),0)</f>
        <v/>
      </c>
      <c r="I4226" s="350">
        <f>IF(G4226="Sim",0,IF(OR(F4226="",L4226=""),"",F4226))</f>
        <v/>
      </c>
      <c r="J4226" s="350">
        <f>IF(G4226="Sim",0,IF(OR(F4226="",D4226="",L4226=""),"",IF(L4226="Sim",ROUND(F4226-D4226,2),0)))</f>
        <v/>
      </c>
      <c r="K4226" s="97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inlineStr">
        <is>
          <t>Nao</t>
        </is>
      </c>
      <c r="W4226" s="110" t="inlineStr">
        <is>
          <t>PC em analise</t>
        </is>
      </c>
      <c r="X4226" s="110" t="inlineStr">
        <is>
          <t>Pedido de Compra</t>
        </is>
      </c>
      <c r="Y4226" s="111" t="inlineStr">
        <is>
          <t>Impacto Potencial</t>
        </is>
      </c>
      <c r="Z4226" s="111" t="inlineStr">
        <is>
          <t>PC</t>
        </is>
      </c>
      <c r="AA4226" s="111" t="inlineStr">
        <is>
          <t>Nao</t>
        </is>
      </c>
      <c r="AB4226" s="111" t="inlineStr">
        <is>
          <t>NAO_COMPUTADO</t>
        </is>
      </c>
      <c r="AC4226" s="112" t="inlineStr">
        <is>
          <t>Estrutura Fase 1: sem impacto no VTA oficial</t>
        </is>
      </c>
    </row>
    <row r="4227" ht="25.5" customHeight="1" s="289">
      <c r="A4227" s="205" t="n"/>
      <c r="B4227" s="207" t="n"/>
      <c r="C4227" s="104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348" t="n"/>
      <c r="E4227" s="349">
        <f>IF(C4227="","",IFERROR(VLOOKUP(C4227,parametros!$A$11:$E$15,5,0),""))</f>
        <v/>
      </c>
      <c r="F4227" s="335">
        <f>IF(OR(D4227="",E4227=""),"",ROUND(D4227*E4227,2))</f>
        <v/>
      </c>
      <c r="G4227" s="106" t="n"/>
      <c r="H4227" s="350">
        <f>IF(G4227="Sim",IF(OR(F4227="",D4227="",L4227=""),"",IF(L4227="Sim",ROUND(F4227-D4227,2),0)),0)</f>
        <v/>
      </c>
      <c r="I4227" s="350">
        <f>IF(G4227="Sim",0,IF(OR(F4227="",L4227=""),"",F4227))</f>
        <v/>
      </c>
      <c r="J4227" s="350">
        <f>IF(G4227="Sim",0,IF(OR(F4227="",D4227="",L4227=""),"",IF(L4227="Sim",ROUND(F4227-D4227,2),0)))</f>
        <v/>
      </c>
      <c r="K4227" s="97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inlineStr">
        <is>
          <t>Nao</t>
        </is>
      </c>
      <c r="W4227" s="110" t="inlineStr">
        <is>
          <t>PC em analise</t>
        </is>
      </c>
      <c r="X4227" s="110" t="inlineStr">
        <is>
          <t>Pedido de Compra</t>
        </is>
      </c>
      <c r="Y4227" s="111" t="inlineStr">
        <is>
          <t>Impacto Potencial</t>
        </is>
      </c>
      <c r="Z4227" s="111" t="inlineStr">
        <is>
          <t>PC</t>
        </is>
      </c>
      <c r="AA4227" s="111" t="inlineStr">
        <is>
          <t>Nao</t>
        </is>
      </c>
      <c r="AB4227" s="111" t="inlineStr">
        <is>
          <t>NAO_COMPUTADO</t>
        </is>
      </c>
      <c r="AC4227" s="112" t="inlineStr">
        <is>
          <t>Estrutura Fase 1: sem impacto no VTA oficial</t>
        </is>
      </c>
    </row>
    <row r="4228" ht="25.5" customHeight="1" s="289">
      <c r="A4228" s="205" t="n"/>
      <c r="B4228" s="207" t="n"/>
      <c r="C4228" s="104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348" t="n"/>
      <c r="E4228" s="349">
        <f>IF(C4228="","",IFERROR(VLOOKUP(C4228,parametros!$A$11:$E$15,5,0),""))</f>
        <v/>
      </c>
      <c r="F4228" s="335">
        <f>IF(OR(D4228="",E4228=""),"",ROUND(D4228*E4228,2))</f>
        <v/>
      </c>
      <c r="G4228" s="106" t="n"/>
      <c r="H4228" s="350">
        <f>IF(G4228="Sim",IF(OR(F4228="",D4228="",L4228=""),"",IF(L4228="Sim",ROUND(F4228-D4228,2),0)),0)</f>
        <v/>
      </c>
      <c r="I4228" s="350">
        <f>IF(G4228="Sim",0,IF(OR(F4228="",L4228=""),"",F4228))</f>
        <v/>
      </c>
      <c r="J4228" s="350">
        <f>IF(G4228="Sim",0,IF(OR(F4228="",D4228="",L4228=""),"",IF(L4228="Sim",ROUND(F4228-D4228,2),0)))</f>
        <v/>
      </c>
      <c r="K4228" s="97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inlineStr">
        <is>
          <t>Nao</t>
        </is>
      </c>
      <c r="W4228" s="110" t="inlineStr">
        <is>
          <t>PC em analise</t>
        </is>
      </c>
      <c r="X4228" s="110" t="inlineStr">
        <is>
          <t>Pedido de Compra</t>
        </is>
      </c>
      <c r="Y4228" s="111" t="inlineStr">
        <is>
          <t>Impacto Potencial</t>
        </is>
      </c>
      <c r="Z4228" s="111" t="inlineStr">
        <is>
          <t>PC</t>
        </is>
      </c>
      <c r="AA4228" s="111" t="inlineStr">
        <is>
          <t>Nao</t>
        </is>
      </c>
      <c r="AB4228" s="111" t="inlineStr">
        <is>
          <t>NAO_COMPUTADO</t>
        </is>
      </c>
      <c r="AC4228" s="112" t="inlineStr">
        <is>
          <t>Estrutura Fase 1: sem impacto no VTA oficial</t>
        </is>
      </c>
    </row>
    <row r="4229" ht="25.5" customHeight="1" s="289">
      <c r="A4229" s="205" t="n"/>
      <c r="B4229" s="207" t="n"/>
      <c r="C4229" s="104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348" t="n"/>
      <c r="E4229" s="349">
        <f>IF(C4229="","",IFERROR(VLOOKUP(C4229,parametros!$A$11:$E$15,5,0),""))</f>
        <v/>
      </c>
      <c r="F4229" s="335">
        <f>IF(OR(D4229="",E4229=""),"",ROUND(D4229*E4229,2))</f>
        <v/>
      </c>
      <c r="G4229" s="106" t="n"/>
      <c r="H4229" s="350">
        <f>IF(G4229="Sim",IF(OR(F4229="",D4229="",L4229=""),"",IF(L4229="Sim",ROUND(F4229-D4229,2),0)),0)</f>
        <v/>
      </c>
      <c r="I4229" s="350">
        <f>IF(G4229="Sim",0,IF(OR(F4229="",L4229=""),"",F4229))</f>
        <v/>
      </c>
      <c r="J4229" s="350">
        <f>IF(G4229="Sim",0,IF(OR(F4229="",D4229="",L4229=""),"",IF(L4229="Sim",ROUND(F4229-D4229,2),0)))</f>
        <v/>
      </c>
      <c r="K4229" s="97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inlineStr">
        <is>
          <t>Nao</t>
        </is>
      </c>
      <c r="W4229" s="110" t="inlineStr">
        <is>
          <t>PC em analise</t>
        </is>
      </c>
      <c r="X4229" s="110" t="inlineStr">
        <is>
          <t>Pedido de Compra</t>
        </is>
      </c>
      <c r="Y4229" s="111" t="inlineStr">
        <is>
          <t>Impacto Potencial</t>
        </is>
      </c>
      <c r="Z4229" s="111" t="inlineStr">
        <is>
          <t>PC</t>
        </is>
      </c>
      <c r="AA4229" s="111" t="inlineStr">
        <is>
          <t>Nao</t>
        </is>
      </c>
      <c r="AB4229" s="111" t="inlineStr">
        <is>
          <t>NAO_COMPUTADO</t>
        </is>
      </c>
      <c r="AC4229" s="112" t="inlineStr">
        <is>
          <t>Estrutura Fase 1: sem impacto no VTA oficial</t>
        </is>
      </c>
    </row>
    <row r="4230" ht="25.5" customHeight="1" s="289">
      <c r="A4230" s="205" t="n"/>
      <c r="B4230" s="207" t="n"/>
      <c r="C4230" s="104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348" t="n"/>
      <c r="E4230" s="349">
        <f>IF(C4230="","",IFERROR(VLOOKUP(C4230,parametros!$A$11:$E$15,5,0),""))</f>
        <v/>
      </c>
      <c r="F4230" s="335">
        <f>IF(OR(D4230="",E4230=""),"",ROUND(D4230*E4230,2))</f>
        <v/>
      </c>
      <c r="G4230" s="106" t="n"/>
      <c r="H4230" s="350">
        <f>IF(G4230="Sim",IF(OR(F4230="",D4230="",L4230=""),"",IF(L4230="Sim",ROUND(F4230-D4230,2),0)),0)</f>
        <v/>
      </c>
      <c r="I4230" s="350">
        <f>IF(G4230="Sim",0,IF(OR(F4230="",L4230=""),"",F4230))</f>
        <v/>
      </c>
      <c r="J4230" s="350">
        <f>IF(G4230="Sim",0,IF(OR(F4230="",D4230="",L4230=""),"",IF(L4230="Sim",ROUND(F4230-D4230,2),0)))</f>
        <v/>
      </c>
      <c r="K4230" s="97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inlineStr">
        <is>
          <t>Nao</t>
        </is>
      </c>
      <c r="W4230" s="110" t="inlineStr">
        <is>
          <t>PC em analise</t>
        </is>
      </c>
      <c r="X4230" s="110" t="inlineStr">
        <is>
          <t>Pedido de Compra</t>
        </is>
      </c>
      <c r="Y4230" s="111" t="inlineStr">
        <is>
          <t>Impacto Potencial</t>
        </is>
      </c>
      <c r="Z4230" s="111" t="inlineStr">
        <is>
          <t>PC</t>
        </is>
      </c>
      <c r="AA4230" s="111" t="inlineStr">
        <is>
          <t>Nao</t>
        </is>
      </c>
      <c r="AB4230" s="111" t="inlineStr">
        <is>
          <t>NAO_COMPUTADO</t>
        </is>
      </c>
      <c r="AC4230" s="112" t="inlineStr">
        <is>
          <t>Estrutura Fase 1: sem impacto no VTA oficial</t>
        </is>
      </c>
    </row>
    <row r="4231" ht="25.5" customHeight="1" s="289">
      <c r="A4231" s="205" t="n"/>
      <c r="B4231" s="207" t="n"/>
      <c r="C4231" s="104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348" t="n"/>
      <c r="E4231" s="349">
        <f>IF(C4231="","",IFERROR(VLOOKUP(C4231,parametros!$A$11:$E$15,5,0),""))</f>
        <v/>
      </c>
      <c r="F4231" s="335">
        <f>IF(OR(D4231="",E4231=""),"",ROUND(D4231*E4231,2))</f>
        <v/>
      </c>
      <c r="G4231" s="106" t="n"/>
      <c r="H4231" s="350">
        <f>IF(G4231="Sim",IF(OR(F4231="",D4231="",L4231=""),"",IF(L4231="Sim",ROUND(F4231-D4231,2),0)),0)</f>
        <v/>
      </c>
      <c r="I4231" s="350">
        <f>IF(G4231="Sim",0,IF(OR(F4231="",L4231=""),"",F4231))</f>
        <v/>
      </c>
      <c r="J4231" s="350">
        <f>IF(G4231="Sim",0,IF(OR(F4231="",D4231="",L4231=""),"",IF(L4231="Sim",ROUND(F4231-D4231,2),0)))</f>
        <v/>
      </c>
      <c r="K4231" s="97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inlineStr">
        <is>
          <t>Nao</t>
        </is>
      </c>
      <c r="W4231" s="110" t="inlineStr">
        <is>
          <t>PC em analise</t>
        </is>
      </c>
      <c r="X4231" s="110" t="inlineStr">
        <is>
          <t>Pedido de Compra</t>
        </is>
      </c>
      <c r="Y4231" s="111" t="inlineStr">
        <is>
          <t>Impacto Potencial</t>
        </is>
      </c>
      <c r="Z4231" s="111" t="inlineStr">
        <is>
          <t>PC</t>
        </is>
      </c>
      <c r="AA4231" s="111" t="inlineStr">
        <is>
          <t>Nao</t>
        </is>
      </c>
      <c r="AB4231" s="111" t="inlineStr">
        <is>
          <t>NAO_COMPUTADO</t>
        </is>
      </c>
      <c r="AC4231" s="112" t="inlineStr">
        <is>
          <t>Estrutura Fase 1: sem impacto no VTA oficial</t>
        </is>
      </c>
    </row>
    <row r="4232" ht="25.5" customHeight="1" s="289">
      <c r="A4232" s="205" t="n"/>
      <c r="B4232" s="207" t="n"/>
      <c r="C4232" s="104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348" t="n"/>
      <c r="E4232" s="349">
        <f>IF(C4232="","",IFERROR(VLOOKUP(C4232,parametros!$A$11:$E$15,5,0),""))</f>
        <v/>
      </c>
      <c r="F4232" s="335">
        <f>IF(OR(D4232="",E4232=""),"",ROUND(D4232*E4232,2))</f>
        <v/>
      </c>
      <c r="G4232" s="106" t="n"/>
      <c r="H4232" s="350">
        <f>IF(G4232="Sim",IF(OR(F4232="",D4232="",L4232=""),"",IF(L4232="Sim",ROUND(F4232-D4232,2),0)),0)</f>
        <v/>
      </c>
      <c r="I4232" s="350">
        <f>IF(G4232="Sim",0,IF(OR(F4232="",L4232=""),"",F4232))</f>
        <v/>
      </c>
      <c r="J4232" s="350">
        <f>IF(G4232="Sim",0,IF(OR(F4232="",D4232="",L4232=""),"",IF(L4232="Sim",ROUND(F4232-D4232,2),0)))</f>
        <v/>
      </c>
      <c r="K4232" s="97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inlineStr">
        <is>
          <t>Nao</t>
        </is>
      </c>
      <c r="W4232" s="110" t="inlineStr">
        <is>
          <t>PC em analise</t>
        </is>
      </c>
      <c r="X4232" s="110" t="inlineStr">
        <is>
          <t>Pedido de Compra</t>
        </is>
      </c>
      <c r="Y4232" s="111" t="inlineStr">
        <is>
          <t>Impacto Potencial</t>
        </is>
      </c>
      <c r="Z4232" s="111" t="inlineStr">
        <is>
          <t>PC</t>
        </is>
      </c>
      <c r="AA4232" s="111" t="inlineStr">
        <is>
          <t>Nao</t>
        </is>
      </c>
      <c r="AB4232" s="111" t="inlineStr">
        <is>
          <t>NAO_COMPUTADO</t>
        </is>
      </c>
      <c r="AC4232" s="112" t="inlineStr">
        <is>
          <t>Estrutura Fase 1: sem impacto no VTA oficial</t>
        </is>
      </c>
    </row>
    <row r="4233" ht="25.5" customHeight="1" s="289">
      <c r="A4233" s="205" t="n"/>
      <c r="B4233" s="207" t="n"/>
      <c r="C4233" s="104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348" t="n"/>
      <c r="E4233" s="349">
        <f>IF(C4233="","",IFERROR(VLOOKUP(C4233,parametros!$A$11:$E$15,5,0),""))</f>
        <v/>
      </c>
      <c r="F4233" s="335">
        <f>IF(OR(D4233="",E4233=""),"",ROUND(D4233*E4233,2))</f>
        <v/>
      </c>
      <c r="G4233" s="106" t="n"/>
      <c r="H4233" s="350">
        <f>IF(G4233="Sim",IF(OR(F4233="",D4233="",L4233=""),"",IF(L4233="Sim",ROUND(F4233-D4233,2),0)),0)</f>
        <v/>
      </c>
      <c r="I4233" s="350">
        <f>IF(G4233="Sim",0,IF(OR(F4233="",L4233=""),"",F4233))</f>
        <v/>
      </c>
      <c r="J4233" s="350">
        <f>IF(G4233="Sim",0,IF(OR(F4233="",D4233="",L4233=""),"",IF(L4233="Sim",ROUND(F4233-D4233,2),0)))</f>
        <v/>
      </c>
      <c r="K4233" s="97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inlineStr">
        <is>
          <t>Nao</t>
        </is>
      </c>
      <c r="W4233" s="110" t="inlineStr">
        <is>
          <t>PC em analise</t>
        </is>
      </c>
      <c r="X4233" s="110" t="inlineStr">
        <is>
          <t>Pedido de Compra</t>
        </is>
      </c>
      <c r="Y4233" s="111" t="inlineStr">
        <is>
          <t>Impacto Potencial</t>
        </is>
      </c>
      <c r="Z4233" s="111" t="inlineStr">
        <is>
          <t>PC</t>
        </is>
      </c>
      <c r="AA4233" s="111" t="inlineStr">
        <is>
          <t>Nao</t>
        </is>
      </c>
      <c r="AB4233" s="111" t="inlineStr">
        <is>
          <t>NAO_COMPUTADO</t>
        </is>
      </c>
      <c r="AC4233" s="112" t="inlineStr">
        <is>
          <t>Estrutura Fase 1: sem impacto no VTA oficial</t>
        </is>
      </c>
    </row>
    <row r="4234" ht="25.5" customHeight="1" s="289">
      <c r="A4234" s="205" t="n"/>
      <c r="B4234" s="207" t="n"/>
      <c r="C4234" s="104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348" t="n"/>
      <c r="E4234" s="349">
        <f>IF(C4234="","",IFERROR(VLOOKUP(C4234,parametros!$A$11:$E$15,5,0),""))</f>
        <v/>
      </c>
      <c r="F4234" s="335">
        <f>IF(OR(D4234="",E4234=""),"",ROUND(D4234*E4234,2))</f>
        <v/>
      </c>
      <c r="G4234" s="106" t="n"/>
      <c r="H4234" s="350">
        <f>IF(G4234="Sim",IF(OR(F4234="",D4234="",L4234=""),"",IF(L4234="Sim",ROUND(F4234-D4234,2),0)),0)</f>
        <v/>
      </c>
      <c r="I4234" s="350">
        <f>IF(G4234="Sim",0,IF(OR(F4234="",L4234=""),"",F4234))</f>
        <v/>
      </c>
      <c r="J4234" s="350">
        <f>IF(G4234="Sim",0,IF(OR(F4234="",D4234="",L4234=""),"",IF(L4234="Sim",ROUND(F4234-D4234,2),0)))</f>
        <v/>
      </c>
      <c r="K4234" s="97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inlineStr">
        <is>
          <t>Nao</t>
        </is>
      </c>
      <c r="W4234" s="110" t="inlineStr">
        <is>
          <t>PC em analise</t>
        </is>
      </c>
      <c r="X4234" s="110" t="inlineStr">
        <is>
          <t>Pedido de Compra</t>
        </is>
      </c>
      <c r="Y4234" s="111" t="inlineStr">
        <is>
          <t>Impacto Potencial</t>
        </is>
      </c>
      <c r="Z4234" s="111" t="inlineStr">
        <is>
          <t>PC</t>
        </is>
      </c>
      <c r="AA4234" s="111" t="inlineStr">
        <is>
          <t>Nao</t>
        </is>
      </c>
      <c r="AB4234" s="111" t="inlineStr">
        <is>
          <t>NAO_COMPUTADO</t>
        </is>
      </c>
      <c r="AC4234" s="112" t="inlineStr">
        <is>
          <t>Estrutura Fase 1: sem impacto no VTA oficial</t>
        </is>
      </c>
    </row>
    <row r="4235" ht="25.5" customHeight="1" s="289">
      <c r="A4235" s="205" t="n"/>
      <c r="B4235" s="207" t="n"/>
      <c r="C4235" s="104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348" t="n"/>
      <c r="E4235" s="349">
        <f>IF(C4235="","",IFERROR(VLOOKUP(C4235,parametros!$A$11:$E$15,5,0),""))</f>
        <v/>
      </c>
      <c r="F4235" s="335">
        <f>IF(OR(D4235="",E4235=""),"",ROUND(D4235*E4235,2))</f>
        <v/>
      </c>
      <c r="G4235" s="106" t="n"/>
      <c r="H4235" s="350">
        <f>IF(G4235="Sim",IF(OR(F4235="",D4235="",L4235=""),"",IF(L4235="Sim",ROUND(F4235-D4235,2),0)),0)</f>
        <v/>
      </c>
      <c r="I4235" s="350">
        <f>IF(G4235="Sim",0,IF(OR(F4235="",L4235=""),"",F4235))</f>
        <v/>
      </c>
      <c r="J4235" s="350">
        <f>IF(G4235="Sim",0,IF(OR(F4235="",D4235="",L4235=""),"",IF(L4235="Sim",ROUND(F4235-D4235,2),0)))</f>
        <v/>
      </c>
      <c r="K4235" s="97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inlineStr">
        <is>
          <t>Nao</t>
        </is>
      </c>
      <c r="W4235" s="110" t="inlineStr">
        <is>
          <t>PC em analise</t>
        </is>
      </c>
      <c r="X4235" s="110" t="inlineStr">
        <is>
          <t>Pedido de Compra</t>
        </is>
      </c>
      <c r="Y4235" s="111" t="inlineStr">
        <is>
          <t>Impacto Potencial</t>
        </is>
      </c>
      <c r="Z4235" s="111" t="inlineStr">
        <is>
          <t>PC</t>
        </is>
      </c>
      <c r="AA4235" s="111" t="inlineStr">
        <is>
          <t>Nao</t>
        </is>
      </c>
      <c r="AB4235" s="111" t="inlineStr">
        <is>
          <t>NAO_COMPUTADO</t>
        </is>
      </c>
      <c r="AC4235" s="112" t="inlineStr">
        <is>
          <t>Estrutura Fase 1: sem impacto no VTA oficial</t>
        </is>
      </c>
    </row>
    <row r="4236" ht="25.5" customHeight="1" s="289">
      <c r="A4236" s="205" t="n"/>
      <c r="B4236" s="207" t="n"/>
      <c r="C4236" s="104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348" t="n"/>
      <c r="E4236" s="349">
        <f>IF(C4236="","",IFERROR(VLOOKUP(C4236,parametros!$A$11:$E$15,5,0),""))</f>
        <v/>
      </c>
      <c r="F4236" s="335">
        <f>IF(OR(D4236="",E4236=""),"",ROUND(D4236*E4236,2))</f>
        <v/>
      </c>
      <c r="G4236" s="106" t="n"/>
      <c r="H4236" s="350">
        <f>IF(G4236="Sim",IF(OR(F4236="",D4236="",L4236=""),"",IF(L4236="Sim",ROUND(F4236-D4236,2),0)),0)</f>
        <v/>
      </c>
      <c r="I4236" s="350">
        <f>IF(G4236="Sim",0,IF(OR(F4236="",L4236=""),"",F4236))</f>
        <v/>
      </c>
      <c r="J4236" s="350">
        <f>IF(G4236="Sim",0,IF(OR(F4236="",D4236="",L4236=""),"",IF(L4236="Sim",ROUND(F4236-D4236,2),0)))</f>
        <v/>
      </c>
      <c r="K4236" s="97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inlineStr">
        <is>
          <t>Nao</t>
        </is>
      </c>
      <c r="W4236" s="110" t="inlineStr">
        <is>
          <t>PC em analise</t>
        </is>
      </c>
      <c r="X4236" s="110" t="inlineStr">
        <is>
          <t>Pedido de Compra</t>
        </is>
      </c>
      <c r="Y4236" s="111" t="inlineStr">
        <is>
          <t>Impacto Potencial</t>
        </is>
      </c>
      <c r="Z4236" s="111" t="inlineStr">
        <is>
          <t>PC</t>
        </is>
      </c>
      <c r="AA4236" s="111" t="inlineStr">
        <is>
          <t>Nao</t>
        </is>
      </c>
      <c r="AB4236" s="111" t="inlineStr">
        <is>
          <t>NAO_COMPUTADO</t>
        </is>
      </c>
      <c r="AC4236" s="112" t="inlineStr">
        <is>
          <t>Estrutura Fase 1: sem impacto no VTA oficial</t>
        </is>
      </c>
    </row>
    <row r="4237" ht="25.5" customHeight="1" s="289">
      <c r="A4237" s="205" t="n"/>
      <c r="B4237" s="207" t="n"/>
      <c r="C4237" s="104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348" t="n"/>
      <c r="E4237" s="349">
        <f>IF(C4237="","",IFERROR(VLOOKUP(C4237,parametros!$A$11:$E$15,5,0),""))</f>
        <v/>
      </c>
      <c r="F4237" s="335">
        <f>IF(OR(D4237="",E4237=""),"",ROUND(D4237*E4237,2))</f>
        <v/>
      </c>
      <c r="G4237" s="106" t="n"/>
      <c r="H4237" s="350">
        <f>IF(G4237="Sim",IF(OR(F4237="",D4237="",L4237=""),"",IF(L4237="Sim",ROUND(F4237-D4237,2),0)),0)</f>
        <v/>
      </c>
      <c r="I4237" s="350">
        <f>IF(G4237="Sim",0,IF(OR(F4237="",L4237=""),"",F4237))</f>
        <v/>
      </c>
      <c r="J4237" s="350">
        <f>IF(G4237="Sim",0,IF(OR(F4237="",D4237="",L4237=""),"",IF(L4237="Sim",ROUND(F4237-D4237,2),0)))</f>
        <v/>
      </c>
      <c r="K4237" s="97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inlineStr">
        <is>
          <t>Nao</t>
        </is>
      </c>
      <c r="W4237" s="110" t="inlineStr">
        <is>
          <t>PC em analise</t>
        </is>
      </c>
      <c r="X4237" s="110" t="inlineStr">
        <is>
          <t>Pedido de Compra</t>
        </is>
      </c>
      <c r="Y4237" s="111" t="inlineStr">
        <is>
          <t>Impacto Potencial</t>
        </is>
      </c>
      <c r="Z4237" s="111" t="inlineStr">
        <is>
          <t>PC</t>
        </is>
      </c>
      <c r="AA4237" s="111" t="inlineStr">
        <is>
          <t>Nao</t>
        </is>
      </c>
      <c r="AB4237" s="111" t="inlineStr">
        <is>
          <t>NAO_COMPUTADO</t>
        </is>
      </c>
      <c r="AC4237" s="112" t="inlineStr">
        <is>
          <t>Estrutura Fase 1: sem impacto no VTA oficial</t>
        </is>
      </c>
    </row>
    <row r="4238" ht="25.5" customHeight="1" s="289">
      <c r="A4238" s="205" t="n"/>
      <c r="B4238" s="207" t="n"/>
      <c r="C4238" s="104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348" t="n"/>
      <c r="E4238" s="349">
        <f>IF(C4238="","",IFERROR(VLOOKUP(C4238,parametros!$A$11:$E$15,5,0),""))</f>
        <v/>
      </c>
      <c r="F4238" s="335">
        <f>IF(OR(D4238="",E4238=""),"",ROUND(D4238*E4238,2))</f>
        <v/>
      </c>
      <c r="G4238" s="106" t="n"/>
      <c r="H4238" s="350">
        <f>IF(G4238="Sim",IF(OR(F4238="",D4238="",L4238=""),"",IF(L4238="Sim",ROUND(F4238-D4238,2),0)),0)</f>
        <v/>
      </c>
      <c r="I4238" s="350">
        <f>IF(G4238="Sim",0,IF(OR(F4238="",L4238=""),"",F4238))</f>
        <v/>
      </c>
      <c r="J4238" s="350">
        <f>IF(G4238="Sim",0,IF(OR(F4238="",D4238="",L4238=""),"",IF(L4238="Sim",ROUND(F4238-D4238,2),0)))</f>
        <v/>
      </c>
      <c r="K4238" s="97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inlineStr">
        <is>
          <t>Nao</t>
        </is>
      </c>
      <c r="W4238" s="110" t="inlineStr">
        <is>
          <t>PC em analise</t>
        </is>
      </c>
      <c r="X4238" s="110" t="inlineStr">
        <is>
          <t>Pedido de Compra</t>
        </is>
      </c>
      <c r="Y4238" s="111" t="inlineStr">
        <is>
          <t>Impacto Potencial</t>
        </is>
      </c>
      <c r="Z4238" s="111" t="inlineStr">
        <is>
          <t>PC</t>
        </is>
      </c>
      <c r="AA4238" s="111" t="inlineStr">
        <is>
          <t>Nao</t>
        </is>
      </c>
      <c r="AB4238" s="111" t="inlineStr">
        <is>
          <t>NAO_COMPUTADO</t>
        </is>
      </c>
      <c r="AC4238" s="112" t="inlineStr">
        <is>
          <t>Estrutura Fase 1: sem impacto no VTA oficial</t>
        </is>
      </c>
    </row>
    <row r="4239" ht="25.5" customHeight="1" s="289">
      <c r="A4239" s="205" t="n"/>
      <c r="B4239" s="207" t="n"/>
      <c r="C4239" s="104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348" t="n"/>
      <c r="E4239" s="349">
        <f>IF(C4239="","",IFERROR(VLOOKUP(C4239,parametros!$A$11:$E$15,5,0),""))</f>
        <v/>
      </c>
      <c r="F4239" s="335">
        <f>IF(OR(D4239="",E4239=""),"",ROUND(D4239*E4239,2))</f>
        <v/>
      </c>
      <c r="G4239" s="106" t="n"/>
      <c r="H4239" s="350">
        <f>IF(G4239="Sim",IF(OR(F4239="",D4239="",L4239=""),"",IF(L4239="Sim",ROUND(F4239-D4239,2),0)),0)</f>
        <v/>
      </c>
      <c r="I4239" s="350">
        <f>IF(G4239="Sim",0,IF(OR(F4239="",L4239=""),"",F4239))</f>
        <v/>
      </c>
      <c r="J4239" s="350">
        <f>IF(G4239="Sim",0,IF(OR(F4239="",D4239="",L4239=""),"",IF(L4239="Sim",ROUND(F4239-D4239,2),0)))</f>
        <v/>
      </c>
      <c r="K4239" s="97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inlineStr">
        <is>
          <t>Nao</t>
        </is>
      </c>
      <c r="W4239" s="110" t="inlineStr">
        <is>
          <t>PC em analise</t>
        </is>
      </c>
      <c r="X4239" s="110" t="inlineStr">
        <is>
          <t>Pedido de Compra</t>
        </is>
      </c>
      <c r="Y4239" s="111" t="inlineStr">
        <is>
          <t>Impacto Potencial</t>
        </is>
      </c>
      <c r="Z4239" s="111" t="inlineStr">
        <is>
          <t>PC</t>
        </is>
      </c>
      <c r="AA4239" s="111" t="inlineStr">
        <is>
          <t>Nao</t>
        </is>
      </c>
      <c r="AB4239" s="111" t="inlineStr">
        <is>
          <t>NAO_COMPUTADO</t>
        </is>
      </c>
      <c r="AC4239" s="112" t="inlineStr">
        <is>
          <t>Estrutura Fase 1: sem impacto no VTA oficial</t>
        </is>
      </c>
    </row>
    <row r="4240" ht="25.5" customHeight="1" s="289">
      <c r="A4240" s="205" t="n"/>
      <c r="B4240" s="207" t="n"/>
      <c r="C4240" s="104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348" t="n"/>
      <c r="E4240" s="349">
        <f>IF(C4240="","",IFERROR(VLOOKUP(C4240,parametros!$A$11:$E$15,5,0),""))</f>
        <v/>
      </c>
      <c r="F4240" s="335">
        <f>IF(OR(D4240="",E4240=""),"",ROUND(D4240*E4240,2))</f>
        <v/>
      </c>
      <c r="G4240" s="106" t="n"/>
      <c r="H4240" s="350">
        <f>IF(G4240="Sim",IF(OR(F4240="",D4240="",L4240=""),"",IF(L4240="Sim",ROUND(F4240-D4240,2),0)),0)</f>
        <v/>
      </c>
      <c r="I4240" s="350">
        <f>IF(G4240="Sim",0,IF(OR(F4240="",L4240=""),"",F4240))</f>
        <v/>
      </c>
      <c r="J4240" s="350">
        <f>IF(G4240="Sim",0,IF(OR(F4240="",D4240="",L4240=""),"",IF(L4240="Sim",ROUND(F4240-D4240,2),0)))</f>
        <v/>
      </c>
      <c r="K4240" s="97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inlineStr">
        <is>
          <t>Nao</t>
        </is>
      </c>
      <c r="W4240" s="110" t="inlineStr">
        <is>
          <t>PC em analise</t>
        </is>
      </c>
      <c r="X4240" s="110" t="inlineStr">
        <is>
          <t>Pedido de Compra</t>
        </is>
      </c>
      <c r="Y4240" s="111" t="inlineStr">
        <is>
          <t>Impacto Potencial</t>
        </is>
      </c>
      <c r="Z4240" s="111" t="inlineStr">
        <is>
          <t>PC</t>
        </is>
      </c>
      <c r="AA4240" s="111" t="inlineStr">
        <is>
          <t>Nao</t>
        </is>
      </c>
      <c r="AB4240" s="111" t="inlineStr">
        <is>
          <t>NAO_COMPUTADO</t>
        </is>
      </c>
      <c r="AC4240" s="112" t="inlineStr">
        <is>
          <t>Estrutura Fase 1: sem impacto no VTA oficial</t>
        </is>
      </c>
    </row>
    <row r="4241" ht="25.5" customHeight="1" s="289">
      <c r="A4241" s="205" t="n"/>
      <c r="B4241" s="207" t="n"/>
      <c r="C4241" s="104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348" t="n"/>
      <c r="E4241" s="349">
        <f>IF(C4241="","",IFERROR(VLOOKUP(C4241,parametros!$A$11:$E$15,5,0),""))</f>
        <v/>
      </c>
      <c r="F4241" s="335">
        <f>IF(OR(D4241="",E4241=""),"",ROUND(D4241*E4241,2))</f>
        <v/>
      </c>
      <c r="G4241" s="106" t="n"/>
      <c r="H4241" s="350">
        <f>IF(G4241="Sim",IF(OR(F4241="",D4241="",L4241=""),"",IF(L4241="Sim",ROUND(F4241-D4241,2),0)),0)</f>
        <v/>
      </c>
      <c r="I4241" s="350">
        <f>IF(G4241="Sim",0,IF(OR(F4241="",L4241=""),"",F4241))</f>
        <v/>
      </c>
      <c r="J4241" s="350">
        <f>IF(G4241="Sim",0,IF(OR(F4241="",D4241="",L4241=""),"",IF(L4241="Sim",ROUND(F4241-D4241,2),0)))</f>
        <v/>
      </c>
      <c r="K4241" s="97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inlineStr">
        <is>
          <t>Nao</t>
        </is>
      </c>
      <c r="W4241" s="110" t="inlineStr">
        <is>
          <t>PC em analise</t>
        </is>
      </c>
      <c r="X4241" s="110" t="inlineStr">
        <is>
          <t>Pedido de Compra</t>
        </is>
      </c>
      <c r="Y4241" s="111" t="inlineStr">
        <is>
          <t>Impacto Potencial</t>
        </is>
      </c>
      <c r="Z4241" s="111" t="inlineStr">
        <is>
          <t>PC</t>
        </is>
      </c>
      <c r="AA4241" s="111" t="inlineStr">
        <is>
          <t>Nao</t>
        </is>
      </c>
      <c r="AB4241" s="111" t="inlineStr">
        <is>
          <t>NAO_COMPUTADO</t>
        </is>
      </c>
      <c r="AC4241" s="112" t="inlineStr">
        <is>
          <t>Estrutura Fase 1: sem impacto no VTA oficial</t>
        </is>
      </c>
    </row>
    <row r="4242" ht="25.5" customHeight="1" s="289">
      <c r="A4242" s="205" t="n"/>
      <c r="B4242" s="207" t="n"/>
      <c r="C4242" s="104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348" t="n"/>
      <c r="E4242" s="349">
        <f>IF(C4242="","",IFERROR(VLOOKUP(C4242,parametros!$A$11:$E$15,5,0),""))</f>
        <v/>
      </c>
      <c r="F4242" s="335">
        <f>IF(OR(D4242="",E4242=""),"",ROUND(D4242*E4242,2))</f>
        <v/>
      </c>
      <c r="G4242" s="106" t="n"/>
      <c r="H4242" s="350">
        <f>IF(G4242="Sim",IF(OR(F4242="",D4242="",L4242=""),"",IF(L4242="Sim",ROUND(F4242-D4242,2),0)),0)</f>
        <v/>
      </c>
      <c r="I4242" s="350">
        <f>IF(G4242="Sim",0,IF(OR(F4242="",L4242=""),"",F4242))</f>
        <v/>
      </c>
      <c r="J4242" s="350">
        <f>IF(G4242="Sim",0,IF(OR(F4242="",D4242="",L4242=""),"",IF(L4242="Sim",ROUND(F4242-D4242,2),0)))</f>
        <v/>
      </c>
      <c r="K4242" s="97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inlineStr">
        <is>
          <t>Nao</t>
        </is>
      </c>
      <c r="W4242" s="110" t="inlineStr">
        <is>
          <t>PC em analise</t>
        </is>
      </c>
      <c r="X4242" s="110" t="inlineStr">
        <is>
          <t>Pedido de Compra</t>
        </is>
      </c>
      <c r="Y4242" s="111" t="inlineStr">
        <is>
          <t>Impacto Potencial</t>
        </is>
      </c>
      <c r="Z4242" s="111" t="inlineStr">
        <is>
          <t>PC</t>
        </is>
      </c>
      <c r="AA4242" s="111" t="inlineStr">
        <is>
          <t>Nao</t>
        </is>
      </c>
      <c r="AB4242" s="111" t="inlineStr">
        <is>
          <t>NAO_COMPUTADO</t>
        </is>
      </c>
      <c r="AC4242" s="112" t="inlineStr">
        <is>
          <t>Estrutura Fase 1: sem impacto no VTA oficial</t>
        </is>
      </c>
    </row>
    <row r="4243" ht="25.5" customHeight="1" s="289">
      <c r="A4243" s="205" t="n"/>
      <c r="B4243" s="207" t="n"/>
      <c r="C4243" s="104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348" t="n"/>
      <c r="E4243" s="349">
        <f>IF(C4243="","",IFERROR(VLOOKUP(C4243,parametros!$A$11:$E$15,5,0),""))</f>
        <v/>
      </c>
      <c r="F4243" s="335">
        <f>IF(OR(D4243="",E4243=""),"",ROUND(D4243*E4243,2))</f>
        <v/>
      </c>
      <c r="G4243" s="106" t="n"/>
      <c r="H4243" s="350">
        <f>IF(G4243="Sim",IF(OR(F4243="",D4243="",L4243=""),"",IF(L4243="Sim",ROUND(F4243-D4243,2),0)),0)</f>
        <v/>
      </c>
      <c r="I4243" s="350">
        <f>IF(G4243="Sim",0,IF(OR(F4243="",L4243=""),"",F4243))</f>
        <v/>
      </c>
      <c r="J4243" s="350">
        <f>IF(G4243="Sim",0,IF(OR(F4243="",D4243="",L4243=""),"",IF(L4243="Sim",ROUND(F4243-D4243,2),0)))</f>
        <v/>
      </c>
      <c r="K4243" s="97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inlineStr">
        <is>
          <t>Nao</t>
        </is>
      </c>
      <c r="W4243" s="110" t="inlineStr">
        <is>
          <t>PC em analise</t>
        </is>
      </c>
      <c r="X4243" s="110" t="inlineStr">
        <is>
          <t>Pedido de Compra</t>
        </is>
      </c>
      <c r="Y4243" s="111" t="inlineStr">
        <is>
          <t>Impacto Potencial</t>
        </is>
      </c>
      <c r="Z4243" s="111" t="inlineStr">
        <is>
          <t>PC</t>
        </is>
      </c>
      <c r="AA4243" s="111" t="inlineStr">
        <is>
          <t>Nao</t>
        </is>
      </c>
      <c r="AB4243" s="111" t="inlineStr">
        <is>
          <t>NAO_COMPUTADO</t>
        </is>
      </c>
      <c r="AC4243" s="112" t="inlineStr">
        <is>
          <t>Estrutura Fase 1: sem impacto no VTA oficial</t>
        </is>
      </c>
    </row>
    <row r="4244" ht="25.5" customHeight="1" s="289">
      <c r="A4244" s="205" t="n"/>
      <c r="B4244" s="207" t="n"/>
      <c r="C4244" s="104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348" t="n"/>
      <c r="E4244" s="349">
        <f>IF(C4244="","",IFERROR(VLOOKUP(C4244,parametros!$A$11:$E$15,5,0),""))</f>
        <v/>
      </c>
      <c r="F4244" s="335">
        <f>IF(OR(D4244="",E4244=""),"",ROUND(D4244*E4244,2))</f>
        <v/>
      </c>
      <c r="G4244" s="106" t="n"/>
      <c r="H4244" s="350">
        <f>IF(G4244="Sim",IF(OR(F4244="",D4244="",L4244=""),"",IF(L4244="Sim",ROUND(F4244-D4244,2),0)),0)</f>
        <v/>
      </c>
      <c r="I4244" s="350">
        <f>IF(G4244="Sim",0,IF(OR(F4244="",L4244=""),"",F4244))</f>
        <v/>
      </c>
      <c r="J4244" s="350">
        <f>IF(G4244="Sim",0,IF(OR(F4244="",D4244="",L4244=""),"",IF(L4244="Sim",ROUND(F4244-D4244,2),0)))</f>
        <v/>
      </c>
      <c r="K4244" s="97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inlineStr">
        <is>
          <t>Nao</t>
        </is>
      </c>
      <c r="W4244" s="110" t="inlineStr">
        <is>
          <t>PC em analise</t>
        </is>
      </c>
      <c r="X4244" s="110" t="inlineStr">
        <is>
          <t>Pedido de Compra</t>
        </is>
      </c>
      <c r="Y4244" s="111" t="inlineStr">
        <is>
          <t>Impacto Potencial</t>
        </is>
      </c>
      <c r="Z4244" s="111" t="inlineStr">
        <is>
          <t>PC</t>
        </is>
      </c>
      <c r="AA4244" s="111" t="inlineStr">
        <is>
          <t>Nao</t>
        </is>
      </c>
      <c r="AB4244" s="111" t="inlineStr">
        <is>
          <t>NAO_COMPUTADO</t>
        </is>
      </c>
      <c r="AC4244" s="112" t="inlineStr">
        <is>
          <t>Estrutura Fase 1: sem impacto no VTA oficial</t>
        </is>
      </c>
    </row>
    <row r="4245" ht="25.5" customHeight="1" s="289">
      <c r="A4245" s="205" t="n"/>
      <c r="B4245" s="207" t="n"/>
      <c r="C4245" s="104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348" t="n"/>
      <c r="E4245" s="349">
        <f>IF(C4245="","",IFERROR(VLOOKUP(C4245,parametros!$A$11:$E$15,5,0),""))</f>
        <v/>
      </c>
      <c r="F4245" s="335">
        <f>IF(OR(D4245="",E4245=""),"",ROUND(D4245*E4245,2))</f>
        <v/>
      </c>
      <c r="G4245" s="106" t="n"/>
      <c r="H4245" s="350">
        <f>IF(G4245="Sim",IF(OR(F4245="",D4245="",L4245=""),"",IF(L4245="Sim",ROUND(F4245-D4245,2),0)),0)</f>
        <v/>
      </c>
      <c r="I4245" s="350">
        <f>IF(G4245="Sim",0,IF(OR(F4245="",L4245=""),"",F4245))</f>
        <v/>
      </c>
      <c r="J4245" s="350">
        <f>IF(G4245="Sim",0,IF(OR(F4245="",D4245="",L4245=""),"",IF(L4245="Sim",ROUND(F4245-D4245,2),0)))</f>
        <v/>
      </c>
      <c r="K4245" s="97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inlineStr">
        <is>
          <t>Nao</t>
        </is>
      </c>
      <c r="W4245" s="110" t="inlineStr">
        <is>
          <t>PC em analise</t>
        </is>
      </c>
      <c r="X4245" s="110" t="inlineStr">
        <is>
          <t>Pedido de Compra</t>
        </is>
      </c>
      <c r="Y4245" s="111" t="inlineStr">
        <is>
          <t>Impacto Potencial</t>
        </is>
      </c>
      <c r="Z4245" s="111" t="inlineStr">
        <is>
          <t>PC</t>
        </is>
      </c>
      <c r="AA4245" s="111" t="inlineStr">
        <is>
          <t>Nao</t>
        </is>
      </c>
      <c r="AB4245" s="111" t="inlineStr">
        <is>
          <t>NAO_COMPUTADO</t>
        </is>
      </c>
      <c r="AC4245" s="112" t="inlineStr">
        <is>
          <t>Estrutura Fase 1: sem impacto no VTA oficial</t>
        </is>
      </c>
    </row>
    <row r="4246" ht="25.5" customHeight="1" s="289">
      <c r="A4246" s="205" t="n"/>
      <c r="B4246" s="207" t="n"/>
      <c r="C4246" s="104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348" t="n"/>
      <c r="E4246" s="349">
        <f>IF(C4246="","",IFERROR(VLOOKUP(C4246,parametros!$A$11:$E$15,5,0),""))</f>
        <v/>
      </c>
      <c r="F4246" s="335">
        <f>IF(OR(D4246="",E4246=""),"",ROUND(D4246*E4246,2))</f>
        <v/>
      </c>
      <c r="G4246" s="106" t="n"/>
      <c r="H4246" s="350">
        <f>IF(G4246="Sim",IF(OR(F4246="",D4246="",L4246=""),"",IF(L4246="Sim",ROUND(F4246-D4246,2),0)),0)</f>
        <v/>
      </c>
      <c r="I4246" s="350">
        <f>IF(G4246="Sim",0,IF(OR(F4246="",L4246=""),"",F4246))</f>
        <v/>
      </c>
      <c r="J4246" s="350">
        <f>IF(G4246="Sim",0,IF(OR(F4246="",D4246="",L4246=""),"",IF(L4246="Sim",ROUND(F4246-D4246,2),0)))</f>
        <v/>
      </c>
      <c r="K4246" s="97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inlineStr">
        <is>
          <t>Nao</t>
        </is>
      </c>
      <c r="W4246" s="110" t="inlineStr">
        <is>
          <t>PC em analise</t>
        </is>
      </c>
      <c r="X4246" s="110" t="inlineStr">
        <is>
          <t>Pedido de Compra</t>
        </is>
      </c>
      <c r="Y4246" s="111" t="inlineStr">
        <is>
          <t>Impacto Potencial</t>
        </is>
      </c>
      <c r="Z4246" s="111" t="inlineStr">
        <is>
          <t>PC</t>
        </is>
      </c>
      <c r="AA4246" s="111" t="inlineStr">
        <is>
          <t>Nao</t>
        </is>
      </c>
      <c r="AB4246" s="111" t="inlineStr">
        <is>
          <t>NAO_COMPUTADO</t>
        </is>
      </c>
      <c r="AC4246" s="112" t="inlineStr">
        <is>
          <t>Estrutura Fase 1: sem impacto no VTA oficial</t>
        </is>
      </c>
    </row>
    <row r="4247" ht="25.5" customHeight="1" s="289">
      <c r="A4247" s="205" t="n"/>
      <c r="B4247" s="207" t="n"/>
      <c r="C4247" s="104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348" t="n"/>
      <c r="E4247" s="349">
        <f>IF(C4247="","",IFERROR(VLOOKUP(C4247,parametros!$A$11:$E$15,5,0),""))</f>
        <v/>
      </c>
      <c r="F4247" s="335">
        <f>IF(OR(D4247="",E4247=""),"",ROUND(D4247*E4247,2))</f>
        <v/>
      </c>
      <c r="G4247" s="106" t="n"/>
      <c r="H4247" s="350">
        <f>IF(G4247="Sim",IF(OR(F4247="",D4247="",L4247=""),"",IF(L4247="Sim",ROUND(F4247-D4247,2),0)),0)</f>
        <v/>
      </c>
      <c r="I4247" s="350">
        <f>IF(G4247="Sim",0,IF(OR(F4247="",L4247=""),"",F4247))</f>
        <v/>
      </c>
      <c r="J4247" s="350">
        <f>IF(G4247="Sim",0,IF(OR(F4247="",D4247="",L4247=""),"",IF(L4247="Sim",ROUND(F4247-D4247,2),0)))</f>
        <v/>
      </c>
      <c r="K4247" s="97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inlineStr">
        <is>
          <t>Nao</t>
        </is>
      </c>
      <c r="W4247" s="110" t="inlineStr">
        <is>
          <t>PC em analise</t>
        </is>
      </c>
      <c r="X4247" s="110" t="inlineStr">
        <is>
          <t>Pedido de Compra</t>
        </is>
      </c>
      <c r="Y4247" s="111" t="inlineStr">
        <is>
          <t>Impacto Potencial</t>
        </is>
      </c>
      <c r="Z4247" s="111" t="inlineStr">
        <is>
          <t>PC</t>
        </is>
      </c>
      <c r="AA4247" s="111" t="inlineStr">
        <is>
          <t>Nao</t>
        </is>
      </c>
      <c r="AB4247" s="111" t="inlineStr">
        <is>
          <t>NAO_COMPUTADO</t>
        </is>
      </c>
      <c r="AC4247" s="112" t="inlineStr">
        <is>
          <t>Estrutura Fase 1: sem impacto no VTA oficial</t>
        </is>
      </c>
    </row>
    <row r="4248" ht="25.5" customHeight="1" s="289">
      <c r="A4248" s="205" t="n"/>
      <c r="B4248" s="207" t="n"/>
      <c r="C4248" s="104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348" t="n"/>
      <c r="E4248" s="349">
        <f>IF(C4248="","",IFERROR(VLOOKUP(C4248,parametros!$A$11:$E$15,5,0),""))</f>
        <v/>
      </c>
      <c r="F4248" s="335">
        <f>IF(OR(D4248="",E4248=""),"",ROUND(D4248*E4248,2))</f>
        <v/>
      </c>
      <c r="G4248" s="106" t="n"/>
      <c r="H4248" s="350">
        <f>IF(G4248="Sim",IF(OR(F4248="",D4248="",L4248=""),"",IF(L4248="Sim",ROUND(F4248-D4248,2),0)),0)</f>
        <v/>
      </c>
      <c r="I4248" s="350">
        <f>IF(G4248="Sim",0,IF(OR(F4248="",L4248=""),"",F4248))</f>
        <v/>
      </c>
      <c r="J4248" s="350">
        <f>IF(G4248="Sim",0,IF(OR(F4248="",D4248="",L4248=""),"",IF(L4248="Sim",ROUND(F4248-D4248,2),0)))</f>
        <v/>
      </c>
      <c r="K4248" s="97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inlineStr">
        <is>
          <t>Nao</t>
        </is>
      </c>
      <c r="W4248" s="110" t="inlineStr">
        <is>
          <t>PC em analise</t>
        </is>
      </c>
      <c r="X4248" s="110" t="inlineStr">
        <is>
          <t>Pedido de Compra</t>
        </is>
      </c>
      <c r="Y4248" s="111" t="inlineStr">
        <is>
          <t>Impacto Potencial</t>
        </is>
      </c>
      <c r="Z4248" s="111" t="inlineStr">
        <is>
          <t>PC</t>
        </is>
      </c>
      <c r="AA4248" s="111" t="inlineStr">
        <is>
          <t>Nao</t>
        </is>
      </c>
      <c r="AB4248" s="111" t="inlineStr">
        <is>
          <t>NAO_COMPUTADO</t>
        </is>
      </c>
      <c r="AC4248" s="112" t="inlineStr">
        <is>
          <t>Estrutura Fase 1: sem impacto no VTA oficial</t>
        </is>
      </c>
    </row>
    <row r="4249" ht="25.5" customHeight="1" s="289">
      <c r="A4249" s="205" t="n"/>
      <c r="B4249" s="207" t="n"/>
      <c r="C4249" s="104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348" t="n"/>
      <c r="E4249" s="349">
        <f>IF(C4249="","",IFERROR(VLOOKUP(C4249,parametros!$A$11:$E$15,5,0),""))</f>
        <v/>
      </c>
      <c r="F4249" s="335">
        <f>IF(OR(D4249="",E4249=""),"",ROUND(D4249*E4249,2))</f>
        <v/>
      </c>
      <c r="G4249" s="106" t="n"/>
      <c r="H4249" s="350">
        <f>IF(G4249="Sim",IF(OR(F4249="",D4249="",L4249=""),"",IF(L4249="Sim",ROUND(F4249-D4249,2),0)),0)</f>
        <v/>
      </c>
      <c r="I4249" s="350">
        <f>IF(G4249="Sim",0,IF(OR(F4249="",L4249=""),"",F4249))</f>
        <v/>
      </c>
      <c r="J4249" s="350">
        <f>IF(G4249="Sim",0,IF(OR(F4249="",D4249="",L4249=""),"",IF(L4249="Sim",ROUND(F4249-D4249,2),0)))</f>
        <v/>
      </c>
      <c r="K4249" s="97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inlineStr">
        <is>
          <t>Nao</t>
        </is>
      </c>
      <c r="W4249" s="110" t="inlineStr">
        <is>
          <t>PC em analise</t>
        </is>
      </c>
      <c r="X4249" s="110" t="inlineStr">
        <is>
          <t>Pedido de Compra</t>
        </is>
      </c>
      <c r="Y4249" s="111" t="inlineStr">
        <is>
          <t>Impacto Potencial</t>
        </is>
      </c>
      <c r="Z4249" s="111" t="inlineStr">
        <is>
          <t>PC</t>
        </is>
      </c>
      <c r="AA4249" s="111" t="inlineStr">
        <is>
          <t>Nao</t>
        </is>
      </c>
      <c r="AB4249" s="111" t="inlineStr">
        <is>
          <t>NAO_COMPUTADO</t>
        </is>
      </c>
      <c r="AC4249" s="112" t="inlineStr">
        <is>
          <t>Estrutura Fase 1: sem impacto no VTA oficial</t>
        </is>
      </c>
    </row>
    <row r="4250" ht="25.5" customHeight="1" s="289">
      <c r="A4250" s="205" t="n"/>
      <c r="B4250" s="207" t="n"/>
      <c r="C4250" s="104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348" t="n"/>
      <c r="E4250" s="349">
        <f>IF(C4250="","",IFERROR(VLOOKUP(C4250,parametros!$A$11:$E$15,5,0),""))</f>
        <v/>
      </c>
      <c r="F4250" s="335">
        <f>IF(OR(D4250="",E4250=""),"",ROUND(D4250*E4250,2))</f>
        <v/>
      </c>
      <c r="G4250" s="106" t="n"/>
      <c r="H4250" s="350">
        <f>IF(G4250="Sim",IF(OR(F4250="",D4250="",L4250=""),"",IF(L4250="Sim",ROUND(F4250-D4250,2),0)),0)</f>
        <v/>
      </c>
      <c r="I4250" s="350">
        <f>IF(G4250="Sim",0,IF(OR(F4250="",L4250=""),"",F4250))</f>
        <v/>
      </c>
      <c r="J4250" s="350">
        <f>IF(G4250="Sim",0,IF(OR(F4250="",D4250="",L4250=""),"",IF(L4250="Sim",ROUND(F4250-D4250,2),0)))</f>
        <v/>
      </c>
      <c r="K4250" s="97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inlineStr">
        <is>
          <t>Nao</t>
        </is>
      </c>
      <c r="W4250" s="110" t="inlineStr">
        <is>
          <t>PC em analise</t>
        </is>
      </c>
      <c r="X4250" s="110" t="inlineStr">
        <is>
          <t>Pedido de Compra</t>
        </is>
      </c>
      <c r="Y4250" s="111" t="inlineStr">
        <is>
          <t>Impacto Potencial</t>
        </is>
      </c>
      <c r="Z4250" s="111" t="inlineStr">
        <is>
          <t>PC</t>
        </is>
      </c>
      <c r="AA4250" s="111" t="inlineStr">
        <is>
          <t>Nao</t>
        </is>
      </c>
      <c r="AB4250" s="111" t="inlineStr">
        <is>
          <t>NAO_COMPUTADO</t>
        </is>
      </c>
      <c r="AC4250" s="112" t="inlineStr">
        <is>
          <t>Estrutura Fase 1: sem impacto no VTA oficial</t>
        </is>
      </c>
    </row>
    <row r="4251" ht="25.5" customHeight="1" s="289">
      <c r="A4251" s="205" t="n"/>
      <c r="B4251" s="207" t="n"/>
      <c r="C4251" s="104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348" t="n"/>
      <c r="E4251" s="349">
        <f>IF(C4251="","",IFERROR(VLOOKUP(C4251,parametros!$A$11:$E$15,5,0),""))</f>
        <v/>
      </c>
      <c r="F4251" s="335">
        <f>IF(OR(D4251="",E4251=""),"",ROUND(D4251*E4251,2))</f>
        <v/>
      </c>
      <c r="G4251" s="106" t="n"/>
      <c r="H4251" s="350">
        <f>IF(G4251="Sim",IF(OR(F4251="",D4251="",L4251=""),"",IF(L4251="Sim",ROUND(F4251-D4251,2),0)),0)</f>
        <v/>
      </c>
      <c r="I4251" s="350">
        <f>IF(G4251="Sim",0,IF(OR(F4251="",L4251=""),"",F4251))</f>
        <v/>
      </c>
      <c r="J4251" s="350">
        <f>IF(G4251="Sim",0,IF(OR(F4251="",D4251="",L4251=""),"",IF(L4251="Sim",ROUND(F4251-D4251,2),0)))</f>
        <v/>
      </c>
      <c r="K4251" s="97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inlineStr">
        <is>
          <t>Nao</t>
        </is>
      </c>
      <c r="W4251" s="110" t="inlineStr">
        <is>
          <t>PC em analise</t>
        </is>
      </c>
      <c r="X4251" s="110" t="inlineStr">
        <is>
          <t>Pedido de Compra</t>
        </is>
      </c>
      <c r="Y4251" s="111" t="inlineStr">
        <is>
          <t>Impacto Potencial</t>
        </is>
      </c>
      <c r="Z4251" s="111" t="inlineStr">
        <is>
          <t>PC</t>
        </is>
      </c>
      <c r="AA4251" s="111" t="inlineStr">
        <is>
          <t>Nao</t>
        </is>
      </c>
      <c r="AB4251" s="111" t="inlineStr">
        <is>
          <t>NAO_COMPUTADO</t>
        </is>
      </c>
      <c r="AC4251" s="112" t="inlineStr">
        <is>
          <t>Estrutura Fase 1: sem impacto no VTA oficial</t>
        </is>
      </c>
    </row>
    <row r="4252" ht="25.5" customHeight="1" s="289">
      <c r="A4252" s="205" t="n"/>
      <c r="B4252" s="207" t="n"/>
      <c r="C4252" s="104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348" t="n"/>
      <c r="E4252" s="349">
        <f>IF(C4252="","",IFERROR(VLOOKUP(C4252,parametros!$A$11:$E$15,5,0),""))</f>
        <v/>
      </c>
      <c r="F4252" s="335">
        <f>IF(OR(D4252="",E4252=""),"",ROUND(D4252*E4252,2))</f>
        <v/>
      </c>
      <c r="G4252" s="106" t="n"/>
      <c r="H4252" s="350">
        <f>IF(G4252="Sim",IF(OR(F4252="",D4252="",L4252=""),"",IF(L4252="Sim",ROUND(F4252-D4252,2),0)),0)</f>
        <v/>
      </c>
      <c r="I4252" s="350">
        <f>IF(G4252="Sim",0,IF(OR(F4252="",L4252=""),"",F4252))</f>
        <v/>
      </c>
      <c r="J4252" s="350">
        <f>IF(G4252="Sim",0,IF(OR(F4252="",D4252="",L4252=""),"",IF(L4252="Sim",ROUND(F4252-D4252,2),0)))</f>
        <v/>
      </c>
      <c r="K4252" s="97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inlineStr">
        <is>
          <t>Nao</t>
        </is>
      </c>
      <c r="W4252" s="110" t="inlineStr">
        <is>
          <t>PC em analise</t>
        </is>
      </c>
      <c r="X4252" s="110" t="inlineStr">
        <is>
          <t>Pedido de Compra</t>
        </is>
      </c>
      <c r="Y4252" s="111" t="inlineStr">
        <is>
          <t>Impacto Potencial</t>
        </is>
      </c>
      <c r="Z4252" s="111" t="inlineStr">
        <is>
          <t>PC</t>
        </is>
      </c>
      <c r="AA4252" s="111" t="inlineStr">
        <is>
          <t>Nao</t>
        </is>
      </c>
      <c r="AB4252" s="111" t="inlineStr">
        <is>
          <t>NAO_COMPUTADO</t>
        </is>
      </c>
      <c r="AC4252" s="112" t="inlineStr">
        <is>
          <t>Estrutura Fase 1: sem impacto no VTA oficial</t>
        </is>
      </c>
    </row>
    <row r="4253" ht="25.5" customHeight="1" s="289">
      <c r="A4253" s="205" t="n"/>
      <c r="B4253" s="207" t="n"/>
      <c r="C4253" s="104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348" t="n"/>
      <c r="E4253" s="349">
        <f>IF(C4253="","",IFERROR(VLOOKUP(C4253,parametros!$A$11:$E$15,5,0),""))</f>
        <v/>
      </c>
      <c r="F4253" s="335">
        <f>IF(OR(D4253="",E4253=""),"",ROUND(D4253*E4253,2))</f>
        <v/>
      </c>
      <c r="G4253" s="106" t="n"/>
      <c r="H4253" s="350">
        <f>IF(G4253="Sim",IF(OR(F4253="",D4253="",L4253=""),"",IF(L4253="Sim",ROUND(F4253-D4253,2),0)),0)</f>
        <v/>
      </c>
      <c r="I4253" s="350">
        <f>IF(G4253="Sim",0,IF(OR(F4253="",L4253=""),"",F4253))</f>
        <v/>
      </c>
      <c r="J4253" s="350">
        <f>IF(G4253="Sim",0,IF(OR(F4253="",D4253="",L4253=""),"",IF(L4253="Sim",ROUND(F4253-D4253,2),0)))</f>
        <v/>
      </c>
      <c r="K4253" s="97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inlineStr">
        <is>
          <t>Nao</t>
        </is>
      </c>
      <c r="W4253" s="110" t="inlineStr">
        <is>
          <t>PC em analise</t>
        </is>
      </c>
      <c r="X4253" s="110" t="inlineStr">
        <is>
          <t>Pedido de Compra</t>
        </is>
      </c>
      <c r="Y4253" s="111" t="inlineStr">
        <is>
          <t>Impacto Potencial</t>
        </is>
      </c>
      <c r="Z4253" s="111" t="inlineStr">
        <is>
          <t>PC</t>
        </is>
      </c>
      <c r="AA4253" s="111" t="inlineStr">
        <is>
          <t>Nao</t>
        </is>
      </c>
      <c r="AB4253" s="111" t="inlineStr">
        <is>
          <t>NAO_COMPUTADO</t>
        </is>
      </c>
      <c r="AC4253" s="112" t="inlineStr">
        <is>
          <t>Estrutura Fase 1: sem impacto no VTA oficial</t>
        </is>
      </c>
    </row>
    <row r="4254" ht="25.5" customHeight="1" s="289">
      <c r="A4254" s="205" t="n"/>
      <c r="B4254" s="207" t="n"/>
      <c r="C4254" s="104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348" t="n"/>
      <c r="E4254" s="349">
        <f>IF(C4254="","",IFERROR(VLOOKUP(C4254,parametros!$A$11:$E$15,5,0),""))</f>
        <v/>
      </c>
      <c r="F4254" s="335">
        <f>IF(OR(D4254="",E4254=""),"",ROUND(D4254*E4254,2))</f>
        <v/>
      </c>
      <c r="G4254" s="106" t="n"/>
      <c r="H4254" s="350">
        <f>IF(G4254="Sim",IF(OR(F4254="",D4254="",L4254=""),"",IF(L4254="Sim",ROUND(F4254-D4254,2),0)),0)</f>
        <v/>
      </c>
      <c r="I4254" s="350">
        <f>IF(G4254="Sim",0,IF(OR(F4254="",L4254=""),"",F4254))</f>
        <v/>
      </c>
      <c r="J4254" s="350">
        <f>IF(G4254="Sim",0,IF(OR(F4254="",D4254="",L4254=""),"",IF(L4254="Sim",ROUND(F4254-D4254,2),0)))</f>
        <v/>
      </c>
      <c r="K4254" s="97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inlineStr">
        <is>
          <t>Nao</t>
        </is>
      </c>
      <c r="W4254" s="110" t="inlineStr">
        <is>
          <t>PC em analise</t>
        </is>
      </c>
      <c r="X4254" s="110" t="inlineStr">
        <is>
          <t>Pedido de Compra</t>
        </is>
      </c>
      <c r="Y4254" s="111" t="inlineStr">
        <is>
          <t>Impacto Potencial</t>
        </is>
      </c>
      <c r="Z4254" s="111" t="inlineStr">
        <is>
          <t>PC</t>
        </is>
      </c>
      <c r="AA4254" s="111" t="inlineStr">
        <is>
          <t>Nao</t>
        </is>
      </c>
      <c r="AB4254" s="111" t="inlineStr">
        <is>
          <t>NAO_COMPUTADO</t>
        </is>
      </c>
      <c r="AC4254" s="112" t="inlineStr">
        <is>
          <t>Estrutura Fase 1: sem impacto no VTA oficial</t>
        </is>
      </c>
    </row>
    <row r="4255" ht="25.5" customHeight="1" s="289">
      <c r="A4255" s="205" t="n"/>
      <c r="B4255" s="207" t="n"/>
      <c r="C4255" s="104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348" t="n"/>
      <c r="E4255" s="349">
        <f>IF(C4255="","",IFERROR(VLOOKUP(C4255,parametros!$A$11:$E$15,5,0),""))</f>
        <v/>
      </c>
      <c r="F4255" s="335">
        <f>IF(OR(D4255="",E4255=""),"",ROUND(D4255*E4255,2))</f>
        <v/>
      </c>
      <c r="G4255" s="106" t="n"/>
      <c r="H4255" s="350">
        <f>IF(G4255="Sim",IF(OR(F4255="",D4255="",L4255=""),"",IF(L4255="Sim",ROUND(F4255-D4255,2),0)),0)</f>
        <v/>
      </c>
      <c r="I4255" s="350">
        <f>IF(G4255="Sim",0,IF(OR(F4255="",L4255=""),"",F4255))</f>
        <v/>
      </c>
      <c r="J4255" s="350">
        <f>IF(G4255="Sim",0,IF(OR(F4255="",D4255="",L4255=""),"",IF(L4255="Sim",ROUND(F4255-D4255,2),0)))</f>
        <v/>
      </c>
      <c r="K4255" s="97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inlineStr">
        <is>
          <t>Nao</t>
        </is>
      </c>
      <c r="W4255" s="110" t="inlineStr">
        <is>
          <t>PC em analise</t>
        </is>
      </c>
      <c r="X4255" s="110" t="inlineStr">
        <is>
          <t>Pedido de Compra</t>
        </is>
      </c>
      <c r="Y4255" s="111" t="inlineStr">
        <is>
          <t>Impacto Potencial</t>
        </is>
      </c>
      <c r="Z4255" s="111" t="inlineStr">
        <is>
          <t>PC</t>
        </is>
      </c>
      <c r="AA4255" s="111" t="inlineStr">
        <is>
          <t>Nao</t>
        </is>
      </c>
      <c r="AB4255" s="111" t="inlineStr">
        <is>
          <t>NAO_COMPUTADO</t>
        </is>
      </c>
      <c r="AC4255" s="112" t="inlineStr">
        <is>
          <t>Estrutura Fase 1: sem impacto no VTA oficial</t>
        </is>
      </c>
    </row>
    <row r="4256" ht="25.5" customHeight="1" s="289">
      <c r="A4256" s="205" t="n"/>
      <c r="B4256" s="207" t="n"/>
      <c r="C4256" s="104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348" t="n"/>
      <c r="E4256" s="349">
        <f>IF(C4256="","",IFERROR(VLOOKUP(C4256,parametros!$A$11:$E$15,5,0),""))</f>
        <v/>
      </c>
      <c r="F4256" s="335">
        <f>IF(OR(D4256="",E4256=""),"",ROUND(D4256*E4256,2))</f>
        <v/>
      </c>
      <c r="G4256" s="106" t="n"/>
      <c r="H4256" s="350">
        <f>IF(G4256="Sim",IF(OR(F4256="",D4256="",L4256=""),"",IF(L4256="Sim",ROUND(F4256-D4256,2),0)),0)</f>
        <v/>
      </c>
      <c r="I4256" s="350">
        <f>IF(G4256="Sim",0,IF(OR(F4256="",L4256=""),"",F4256))</f>
        <v/>
      </c>
      <c r="J4256" s="350">
        <f>IF(G4256="Sim",0,IF(OR(F4256="",D4256="",L4256=""),"",IF(L4256="Sim",ROUND(F4256-D4256,2),0)))</f>
        <v/>
      </c>
      <c r="K4256" s="97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inlineStr">
        <is>
          <t>Nao</t>
        </is>
      </c>
      <c r="W4256" s="110" t="inlineStr">
        <is>
          <t>PC em analise</t>
        </is>
      </c>
      <c r="X4256" s="110" t="inlineStr">
        <is>
          <t>Pedido de Compra</t>
        </is>
      </c>
      <c r="Y4256" s="111" t="inlineStr">
        <is>
          <t>Impacto Potencial</t>
        </is>
      </c>
      <c r="Z4256" s="111" t="inlineStr">
        <is>
          <t>PC</t>
        </is>
      </c>
      <c r="AA4256" s="111" t="inlineStr">
        <is>
          <t>Nao</t>
        </is>
      </c>
      <c r="AB4256" s="111" t="inlineStr">
        <is>
          <t>NAO_COMPUTADO</t>
        </is>
      </c>
      <c r="AC4256" s="112" t="inlineStr">
        <is>
          <t>Estrutura Fase 1: sem impacto no VTA oficial</t>
        </is>
      </c>
    </row>
    <row r="4257" ht="25.5" customHeight="1" s="289">
      <c r="A4257" s="205" t="n"/>
      <c r="B4257" s="207" t="n"/>
      <c r="C4257" s="104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348" t="n"/>
      <c r="E4257" s="349">
        <f>IF(C4257="","",IFERROR(VLOOKUP(C4257,parametros!$A$11:$E$15,5,0),""))</f>
        <v/>
      </c>
      <c r="F4257" s="335">
        <f>IF(OR(D4257="",E4257=""),"",ROUND(D4257*E4257,2))</f>
        <v/>
      </c>
      <c r="G4257" s="106" t="n"/>
      <c r="H4257" s="350">
        <f>IF(G4257="Sim",IF(OR(F4257="",D4257="",L4257=""),"",IF(L4257="Sim",ROUND(F4257-D4257,2),0)),0)</f>
        <v/>
      </c>
      <c r="I4257" s="350">
        <f>IF(G4257="Sim",0,IF(OR(F4257="",L4257=""),"",F4257))</f>
        <v/>
      </c>
      <c r="J4257" s="350">
        <f>IF(G4257="Sim",0,IF(OR(F4257="",D4257="",L4257=""),"",IF(L4257="Sim",ROUND(F4257-D4257,2),0)))</f>
        <v/>
      </c>
      <c r="K4257" s="97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inlineStr">
        <is>
          <t>Nao</t>
        </is>
      </c>
      <c r="W4257" s="110" t="inlineStr">
        <is>
          <t>PC em analise</t>
        </is>
      </c>
      <c r="X4257" s="110" t="inlineStr">
        <is>
          <t>Pedido de Compra</t>
        </is>
      </c>
      <c r="Y4257" s="111" t="inlineStr">
        <is>
          <t>Impacto Potencial</t>
        </is>
      </c>
      <c r="Z4257" s="111" t="inlineStr">
        <is>
          <t>PC</t>
        </is>
      </c>
      <c r="AA4257" s="111" t="inlineStr">
        <is>
          <t>Nao</t>
        </is>
      </c>
      <c r="AB4257" s="111" t="inlineStr">
        <is>
          <t>NAO_COMPUTADO</t>
        </is>
      </c>
      <c r="AC4257" s="112" t="inlineStr">
        <is>
          <t>Estrutura Fase 1: sem impacto no VTA oficial</t>
        </is>
      </c>
    </row>
    <row r="4258" ht="25.5" customHeight="1" s="289">
      <c r="A4258" s="205" t="n"/>
      <c r="B4258" s="207" t="n"/>
      <c r="C4258" s="104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348" t="n"/>
      <c r="E4258" s="349">
        <f>IF(C4258="","",IFERROR(VLOOKUP(C4258,parametros!$A$11:$E$15,5,0),""))</f>
        <v/>
      </c>
      <c r="F4258" s="335">
        <f>IF(OR(D4258="",E4258=""),"",ROUND(D4258*E4258,2))</f>
        <v/>
      </c>
      <c r="G4258" s="106" t="n"/>
      <c r="H4258" s="350">
        <f>IF(G4258="Sim",IF(OR(F4258="",D4258="",L4258=""),"",IF(L4258="Sim",ROUND(F4258-D4258,2),0)),0)</f>
        <v/>
      </c>
      <c r="I4258" s="350">
        <f>IF(G4258="Sim",0,IF(OR(F4258="",L4258=""),"",F4258))</f>
        <v/>
      </c>
      <c r="J4258" s="350">
        <f>IF(G4258="Sim",0,IF(OR(F4258="",D4258="",L4258=""),"",IF(L4258="Sim",ROUND(F4258-D4258,2),0)))</f>
        <v/>
      </c>
      <c r="K4258" s="97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inlineStr">
        <is>
          <t>Nao</t>
        </is>
      </c>
      <c r="W4258" s="110" t="inlineStr">
        <is>
          <t>PC em analise</t>
        </is>
      </c>
      <c r="X4258" s="110" t="inlineStr">
        <is>
          <t>Pedido de Compra</t>
        </is>
      </c>
      <c r="Y4258" s="111" t="inlineStr">
        <is>
          <t>Impacto Potencial</t>
        </is>
      </c>
      <c r="Z4258" s="111" t="inlineStr">
        <is>
          <t>PC</t>
        </is>
      </c>
      <c r="AA4258" s="111" t="inlineStr">
        <is>
          <t>Nao</t>
        </is>
      </c>
      <c r="AB4258" s="111" t="inlineStr">
        <is>
          <t>NAO_COMPUTADO</t>
        </is>
      </c>
      <c r="AC4258" s="112" t="inlineStr">
        <is>
          <t>Estrutura Fase 1: sem impacto no VTA oficial</t>
        </is>
      </c>
    </row>
    <row r="4259" ht="25.5" customHeight="1" s="289">
      <c r="A4259" s="205" t="n"/>
      <c r="B4259" s="207" t="n"/>
      <c r="C4259" s="104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348" t="n"/>
      <c r="E4259" s="349">
        <f>IF(C4259="","",IFERROR(VLOOKUP(C4259,parametros!$A$11:$E$15,5,0),""))</f>
        <v/>
      </c>
      <c r="F4259" s="335">
        <f>IF(OR(D4259="",E4259=""),"",ROUND(D4259*E4259,2))</f>
        <v/>
      </c>
      <c r="G4259" s="106" t="n"/>
      <c r="H4259" s="350">
        <f>IF(G4259="Sim",IF(OR(F4259="",D4259="",L4259=""),"",IF(L4259="Sim",ROUND(F4259-D4259,2),0)),0)</f>
        <v/>
      </c>
      <c r="I4259" s="350">
        <f>IF(G4259="Sim",0,IF(OR(F4259="",L4259=""),"",F4259))</f>
        <v/>
      </c>
      <c r="J4259" s="350">
        <f>IF(G4259="Sim",0,IF(OR(F4259="",D4259="",L4259=""),"",IF(L4259="Sim",ROUND(F4259-D4259,2),0)))</f>
        <v/>
      </c>
      <c r="K4259" s="97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inlineStr">
        <is>
          <t>Nao</t>
        </is>
      </c>
      <c r="W4259" s="110" t="inlineStr">
        <is>
          <t>PC em analise</t>
        </is>
      </c>
      <c r="X4259" s="110" t="inlineStr">
        <is>
          <t>Pedido de Compra</t>
        </is>
      </c>
      <c r="Y4259" s="111" t="inlineStr">
        <is>
          <t>Impacto Potencial</t>
        </is>
      </c>
      <c r="Z4259" s="111" t="inlineStr">
        <is>
          <t>PC</t>
        </is>
      </c>
      <c r="AA4259" s="111" t="inlineStr">
        <is>
          <t>Nao</t>
        </is>
      </c>
      <c r="AB4259" s="111" t="inlineStr">
        <is>
          <t>NAO_COMPUTADO</t>
        </is>
      </c>
      <c r="AC4259" s="112" t="inlineStr">
        <is>
          <t>Estrutura Fase 1: sem impacto no VTA oficial</t>
        </is>
      </c>
    </row>
    <row r="4260" ht="25.5" customHeight="1" s="289">
      <c r="A4260" s="205" t="n"/>
      <c r="B4260" s="207" t="n"/>
      <c r="C4260" s="104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348" t="n"/>
      <c r="E4260" s="349">
        <f>IF(C4260="","",IFERROR(VLOOKUP(C4260,parametros!$A$11:$E$15,5,0),""))</f>
        <v/>
      </c>
      <c r="F4260" s="335">
        <f>IF(OR(D4260="",E4260=""),"",ROUND(D4260*E4260,2))</f>
        <v/>
      </c>
      <c r="G4260" s="106" t="n"/>
      <c r="H4260" s="350">
        <f>IF(G4260="Sim",IF(OR(F4260="",D4260="",L4260=""),"",IF(L4260="Sim",ROUND(F4260-D4260,2),0)),0)</f>
        <v/>
      </c>
      <c r="I4260" s="350">
        <f>IF(G4260="Sim",0,IF(OR(F4260="",L4260=""),"",F4260))</f>
        <v/>
      </c>
      <c r="J4260" s="350">
        <f>IF(G4260="Sim",0,IF(OR(F4260="",D4260="",L4260=""),"",IF(L4260="Sim",ROUND(F4260-D4260,2),0)))</f>
        <v/>
      </c>
      <c r="K4260" s="97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inlineStr">
        <is>
          <t>Nao</t>
        </is>
      </c>
      <c r="W4260" s="110" t="inlineStr">
        <is>
          <t>PC em analise</t>
        </is>
      </c>
      <c r="X4260" s="110" t="inlineStr">
        <is>
          <t>Pedido de Compra</t>
        </is>
      </c>
      <c r="Y4260" s="111" t="inlineStr">
        <is>
          <t>Impacto Potencial</t>
        </is>
      </c>
      <c r="Z4260" s="111" t="inlineStr">
        <is>
          <t>PC</t>
        </is>
      </c>
      <c r="AA4260" s="111" t="inlineStr">
        <is>
          <t>Nao</t>
        </is>
      </c>
      <c r="AB4260" s="111" t="inlineStr">
        <is>
          <t>NAO_COMPUTADO</t>
        </is>
      </c>
      <c r="AC4260" s="112" t="inlineStr">
        <is>
          <t>Estrutura Fase 1: sem impacto no VTA oficial</t>
        </is>
      </c>
    </row>
    <row r="4261" ht="25.5" customHeight="1" s="289">
      <c r="A4261" s="205" t="n"/>
      <c r="B4261" s="207" t="n"/>
      <c r="C4261" s="104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348" t="n"/>
      <c r="E4261" s="349">
        <f>IF(C4261="","",IFERROR(VLOOKUP(C4261,parametros!$A$11:$E$15,5,0),""))</f>
        <v/>
      </c>
      <c r="F4261" s="335">
        <f>IF(OR(D4261="",E4261=""),"",ROUND(D4261*E4261,2))</f>
        <v/>
      </c>
      <c r="G4261" s="106" t="n"/>
      <c r="H4261" s="350">
        <f>IF(G4261="Sim",IF(OR(F4261="",D4261="",L4261=""),"",IF(L4261="Sim",ROUND(F4261-D4261,2),0)),0)</f>
        <v/>
      </c>
      <c r="I4261" s="350">
        <f>IF(G4261="Sim",0,IF(OR(F4261="",L4261=""),"",F4261))</f>
        <v/>
      </c>
      <c r="J4261" s="350">
        <f>IF(G4261="Sim",0,IF(OR(F4261="",D4261="",L4261=""),"",IF(L4261="Sim",ROUND(F4261-D4261,2),0)))</f>
        <v/>
      </c>
      <c r="K4261" s="97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inlineStr">
        <is>
          <t>Nao</t>
        </is>
      </c>
      <c r="W4261" s="110" t="inlineStr">
        <is>
          <t>PC em analise</t>
        </is>
      </c>
      <c r="X4261" s="110" t="inlineStr">
        <is>
          <t>Pedido de Compra</t>
        </is>
      </c>
      <c r="Y4261" s="111" t="inlineStr">
        <is>
          <t>Impacto Potencial</t>
        </is>
      </c>
      <c r="Z4261" s="111" t="inlineStr">
        <is>
          <t>PC</t>
        </is>
      </c>
      <c r="AA4261" s="111" t="inlineStr">
        <is>
          <t>Nao</t>
        </is>
      </c>
      <c r="AB4261" s="111" t="inlineStr">
        <is>
          <t>NAO_COMPUTADO</t>
        </is>
      </c>
      <c r="AC4261" s="112" t="inlineStr">
        <is>
          <t>Estrutura Fase 1: sem impacto no VTA oficial</t>
        </is>
      </c>
    </row>
    <row r="4262" ht="25.5" customHeight="1" s="289">
      <c r="A4262" s="205" t="n"/>
      <c r="B4262" s="207" t="n"/>
      <c r="C4262" s="104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348" t="n"/>
      <c r="E4262" s="349">
        <f>IF(C4262="","",IFERROR(VLOOKUP(C4262,parametros!$A$11:$E$15,5,0),""))</f>
        <v/>
      </c>
      <c r="F4262" s="335">
        <f>IF(OR(D4262="",E4262=""),"",ROUND(D4262*E4262,2))</f>
        <v/>
      </c>
      <c r="G4262" s="106" t="n"/>
      <c r="H4262" s="350">
        <f>IF(G4262="Sim",IF(OR(F4262="",D4262="",L4262=""),"",IF(L4262="Sim",ROUND(F4262-D4262,2),0)),0)</f>
        <v/>
      </c>
      <c r="I4262" s="350">
        <f>IF(G4262="Sim",0,IF(OR(F4262="",L4262=""),"",F4262))</f>
        <v/>
      </c>
      <c r="J4262" s="350">
        <f>IF(G4262="Sim",0,IF(OR(F4262="",D4262="",L4262=""),"",IF(L4262="Sim",ROUND(F4262-D4262,2),0)))</f>
        <v/>
      </c>
      <c r="K4262" s="97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inlineStr">
        <is>
          <t>Nao</t>
        </is>
      </c>
      <c r="W4262" s="110" t="inlineStr">
        <is>
          <t>PC em analise</t>
        </is>
      </c>
      <c r="X4262" s="110" t="inlineStr">
        <is>
          <t>Pedido de Compra</t>
        </is>
      </c>
      <c r="Y4262" s="111" t="inlineStr">
        <is>
          <t>Impacto Potencial</t>
        </is>
      </c>
      <c r="Z4262" s="111" t="inlineStr">
        <is>
          <t>PC</t>
        </is>
      </c>
      <c r="AA4262" s="111" t="inlineStr">
        <is>
          <t>Nao</t>
        </is>
      </c>
      <c r="AB4262" s="111" t="inlineStr">
        <is>
          <t>NAO_COMPUTADO</t>
        </is>
      </c>
      <c r="AC4262" s="112" t="inlineStr">
        <is>
          <t>Estrutura Fase 1: sem impacto no VTA oficial</t>
        </is>
      </c>
    </row>
    <row r="4263" ht="25.5" customHeight="1" s="289">
      <c r="A4263" s="205" t="n"/>
      <c r="B4263" s="207" t="n"/>
      <c r="C4263" s="104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348" t="n"/>
      <c r="E4263" s="349">
        <f>IF(C4263="","",IFERROR(VLOOKUP(C4263,parametros!$A$11:$E$15,5,0),""))</f>
        <v/>
      </c>
      <c r="F4263" s="335">
        <f>IF(OR(D4263="",E4263=""),"",ROUND(D4263*E4263,2))</f>
        <v/>
      </c>
      <c r="G4263" s="106" t="n"/>
      <c r="H4263" s="350">
        <f>IF(G4263="Sim",IF(OR(F4263="",D4263="",L4263=""),"",IF(L4263="Sim",ROUND(F4263-D4263,2),0)),0)</f>
        <v/>
      </c>
      <c r="I4263" s="350">
        <f>IF(G4263="Sim",0,IF(OR(F4263="",L4263=""),"",F4263))</f>
        <v/>
      </c>
      <c r="J4263" s="350">
        <f>IF(G4263="Sim",0,IF(OR(F4263="",D4263="",L4263=""),"",IF(L4263="Sim",ROUND(F4263-D4263,2),0)))</f>
        <v/>
      </c>
      <c r="K4263" s="97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inlineStr">
        <is>
          <t>Nao</t>
        </is>
      </c>
      <c r="W4263" s="110" t="inlineStr">
        <is>
          <t>PC em analise</t>
        </is>
      </c>
      <c r="X4263" s="110" t="inlineStr">
        <is>
          <t>Pedido de Compra</t>
        </is>
      </c>
      <c r="Y4263" s="111" t="inlineStr">
        <is>
          <t>Impacto Potencial</t>
        </is>
      </c>
      <c r="Z4263" s="111" t="inlineStr">
        <is>
          <t>PC</t>
        </is>
      </c>
      <c r="AA4263" s="111" t="inlineStr">
        <is>
          <t>Nao</t>
        </is>
      </c>
      <c r="AB4263" s="111" t="inlineStr">
        <is>
          <t>NAO_COMPUTADO</t>
        </is>
      </c>
      <c r="AC4263" s="112" t="inlineStr">
        <is>
          <t>Estrutura Fase 1: sem impacto no VTA oficial</t>
        </is>
      </c>
    </row>
    <row r="4264" ht="25.5" customHeight="1" s="289">
      <c r="A4264" s="205" t="n"/>
      <c r="B4264" s="207" t="n"/>
      <c r="C4264" s="104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348" t="n"/>
      <c r="E4264" s="349">
        <f>IF(C4264="","",IFERROR(VLOOKUP(C4264,parametros!$A$11:$E$15,5,0),""))</f>
        <v/>
      </c>
      <c r="F4264" s="335">
        <f>IF(OR(D4264="",E4264=""),"",ROUND(D4264*E4264,2))</f>
        <v/>
      </c>
      <c r="G4264" s="106" t="n"/>
      <c r="H4264" s="350">
        <f>IF(G4264="Sim",IF(OR(F4264="",D4264="",L4264=""),"",IF(L4264="Sim",ROUND(F4264-D4264,2),0)),0)</f>
        <v/>
      </c>
      <c r="I4264" s="350">
        <f>IF(G4264="Sim",0,IF(OR(F4264="",L4264=""),"",F4264))</f>
        <v/>
      </c>
      <c r="J4264" s="350">
        <f>IF(G4264="Sim",0,IF(OR(F4264="",D4264="",L4264=""),"",IF(L4264="Sim",ROUND(F4264-D4264,2),0)))</f>
        <v/>
      </c>
      <c r="K4264" s="97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inlineStr">
        <is>
          <t>Nao</t>
        </is>
      </c>
      <c r="W4264" s="110" t="inlineStr">
        <is>
          <t>PC em analise</t>
        </is>
      </c>
      <c r="X4264" s="110" t="inlineStr">
        <is>
          <t>Pedido de Compra</t>
        </is>
      </c>
      <c r="Y4264" s="111" t="inlineStr">
        <is>
          <t>Impacto Potencial</t>
        </is>
      </c>
      <c r="Z4264" s="111" t="inlineStr">
        <is>
          <t>PC</t>
        </is>
      </c>
      <c r="AA4264" s="111" t="inlineStr">
        <is>
          <t>Nao</t>
        </is>
      </c>
      <c r="AB4264" s="111" t="inlineStr">
        <is>
          <t>NAO_COMPUTADO</t>
        </is>
      </c>
      <c r="AC4264" s="112" t="inlineStr">
        <is>
          <t>Estrutura Fase 1: sem impacto no VTA oficial</t>
        </is>
      </c>
    </row>
    <row r="4265" ht="25.5" customHeight="1" s="289">
      <c r="A4265" s="205" t="n"/>
      <c r="B4265" s="207" t="n"/>
      <c r="C4265" s="104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348" t="n"/>
      <c r="E4265" s="349">
        <f>IF(C4265="","",IFERROR(VLOOKUP(C4265,parametros!$A$11:$E$15,5,0),""))</f>
        <v/>
      </c>
      <c r="F4265" s="335">
        <f>IF(OR(D4265="",E4265=""),"",ROUND(D4265*E4265,2))</f>
        <v/>
      </c>
      <c r="G4265" s="106" t="n"/>
      <c r="H4265" s="350">
        <f>IF(G4265="Sim",IF(OR(F4265="",D4265="",L4265=""),"",IF(L4265="Sim",ROUND(F4265-D4265,2),0)),0)</f>
        <v/>
      </c>
      <c r="I4265" s="350">
        <f>IF(G4265="Sim",0,IF(OR(F4265="",L4265=""),"",F4265))</f>
        <v/>
      </c>
      <c r="J4265" s="350">
        <f>IF(G4265="Sim",0,IF(OR(F4265="",D4265="",L4265=""),"",IF(L4265="Sim",ROUND(F4265-D4265,2),0)))</f>
        <v/>
      </c>
      <c r="K4265" s="97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inlineStr">
        <is>
          <t>Nao</t>
        </is>
      </c>
      <c r="W4265" s="110" t="inlineStr">
        <is>
          <t>PC em analise</t>
        </is>
      </c>
      <c r="X4265" s="110" t="inlineStr">
        <is>
          <t>Pedido de Compra</t>
        </is>
      </c>
      <c r="Y4265" s="111" t="inlineStr">
        <is>
          <t>Impacto Potencial</t>
        </is>
      </c>
      <c r="Z4265" s="111" t="inlineStr">
        <is>
          <t>PC</t>
        </is>
      </c>
      <c r="AA4265" s="111" t="inlineStr">
        <is>
          <t>Nao</t>
        </is>
      </c>
      <c r="AB4265" s="111" t="inlineStr">
        <is>
          <t>NAO_COMPUTADO</t>
        </is>
      </c>
      <c r="AC4265" s="112" t="inlineStr">
        <is>
          <t>Estrutura Fase 1: sem impacto no VTA oficial</t>
        </is>
      </c>
    </row>
    <row r="4266" ht="25.5" customHeight="1" s="289">
      <c r="A4266" s="205" t="n"/>
      <c r="B4266" s="207" t="n"/>
      <c r="C4266" s="104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348" t="n"/>
      <c r="E4266" s="349">
        <f>IF(C4266="","",IFERROR(VLOOKUP(C4266,parametros!$A$11:$E$15,5,0),""))</f>
        <v/>
      </c>
      <c r="F4266" s="335">
        <f>IF(OR(D4266="",E4266=""),"",ROUND(D4266*E4266,2))</f>
        <v/>
      </c>
      <c r="G4266" s="106" t="n"/>
      <c r="H4266" s="350">
        <f>IF(G4266="Sim",IF(OR(F4266="",D4266="",L4266=""),"",IF(L4266="Sim",ROUND(F4266-D4266,2),0)),0)</f>
        <v/>
      </c>
      <c r="I4266" s="350">
        <f>IF(G4266="Sim",0,IF(OR(F4266="",L4266=""),"",F4266))</f>
        <v/>
      </c>
      <c r="J4266" s="350">
        <f>IF(G4266="Sim",0,IF(OR(F4266="",D4266="",L4266=""),"",IF(L4266="Sim",ROUND(F4266-D4266,2),0)))</f>
        <v/>
      </c>
      <c r="K4266" s="97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inlineStr">
        <is>
          <t>Nao</t>
        </is>
      </c>
      <c r="W4266" s="110" t="inlineStr">
        <is>
          <t>PC em analise</t>
        </is>
      </c>
      <c r="X4266" s="110" t="inlineStr">
        <is>
          <t>Pedido de Compra</t>
        </is>
      </c>
      <c r="Y4266" s="111" t="inlineStr">
        <is>
          <t>Impacto Potencial</t>
        </is>
      </c>
      <c r="Z4266" s="111" t="inlineStr">
        <is>
          <t>PC</t>
        </is>
      </c>
      <c r="AA4266" s="111" t="inlineStr">
        <is>
          <t>Nao</t>
        </is>
      </c>
      <c r="AB4266" s="111" t="inlineStr">
        <is>
          <t>NAO_COMPUTADO</t>
        </is>
      </c>
      <c r="AC4266" s="112" t="inlineStr">
        <is>
          <t>Estrutura Fase 1: sem impacto no VTA oficial</t>
        </is>
      </c>
    </row>
    <row r="4267" ht="25.5" customHeight="1" s="289">
      <c r="A4267" s="205" t="n"/>
      <c r="B4267" s="207" t="n"/>
      <c r="C4267" s="104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348" t="n"/>
      <c r="E4267" s="349">
        <f>IF(C4267="","",IFERROR(VLOOKUP(C4267,parametros!$A$11:$E$15,5,0),""))</f>
        <v/>
      </c>
      <c r="F4267" s="335">
        <f>IF(OR(D4267="",E4267=""),"",ROUND(D4267*E4267,2))</f>
        <v/>
      </c>
      <c r="G4267" s="106" t="n"/>
      <c r="H4267" s="350">
        <f>IF(G4267="Sim",IF(OR(F4267="",D4267="",L4267=""),"",IF(L4267="Sim",ROUND(F4267-D4267,2),0)),0)</f>
        <v/>
      </c>
      <c r="I4267" s="350">
        <f>IF(G4267="Sim",0,IF(OR(F4267="",L4267=""),"",F4267))</f>
        <v/>
      </c>
      <c r="J4267" s="350">
        <f>IF(G4267="Sim",0,IF(OR(F4267="",D4267="",L4267=""),"",IF(L4267="Sim",ROUND(F4267-D4267,2),0)))</f>
        <v/>
      </c>
      <c r="K4267" s="97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inlineStr">
        <is>
          <t>Nao</t>
        </is>
      </c>
      <c r="W4267" s="110" t="inlineStr">
        <is>
          <t>PC em analise</t>
        </is>
      </c>
      <c r="X4267" s="110" t="inlineStr">
        <is>
          <t>Pedido de Compra</t>
        </is>
      </c>
      <c r="Y4267" s="111" t="inlineStr">
        <is>
          <t>Impacto Potencial</t>
        </is>
      </c>
      <c r="Z4267" s="111" t="inlineStr">
        <is>
          <t>PC</t>
        </is>
      </c>
      <c r="AA4267" s="111" t="inlineStr">
        <is>
          <t>Nao</t>
        </is>
      </c>
      <c r="AB4267" s="111" t="inlineStr">
        <is>
          <t>NAO_COMPUTADO</t>
        </is>
      </c>
      <c r="AC4267" s="112" t="inlineStr">
        <is>
          <t>Estrutura Fase 1: sem impacto no VTA oficial</t>
        </is>
      </c>
    </row>
    <row r="4268" ht="25.5" customHeight="1" s="289">
      <c r="A4268" s="205" t="n"/>
      <c r="B4268" s="207" t="n"/>
      <c r="C4268" s="104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348" t="n"/>
      <c r="E4268" s="349">
        <f>IF(C4268="","",IFERROR(VLOOKUP(C4268,parametros!$A$11:$E$15,5,0),""))</f>
        <v/>
      </c>
      <c r="F4268" s="335">
        <f>IF(OR(D4268="",E4268=""),"",ROUND(D4268*E4268,2))</f>
        <v/>
      </c>
      <c r="G4268" s="106" t="n"/>
      <c r="H4268" s="350">
        <f>IF(G4268="Sim",IF(OR(F4268="",D4268="",L4268=""),"",IF(L4268="Sim",ROUND(F4268-D4268,2),0)),0)</f>
        <v/>
      </c>
      <c r="I4268" s="350">
        <f>IF(G4268="Sim",0,IF(OR(F4268="",L4268=""),"",F4268))</f>
        <v/>
      </c>
      <c r="J4268" s="350">
        <f>IF(G4268="Sim",0,IF(OR(F4268="",D4268="",L4268=""),"",IF(L4268="Sim",ROUND(F4268-D4268,2),0)))</f>
        <v/>
      </c>
      <c r="K4268" s="97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inlineStr">
        <is>
          <t>Nao</t>
        </is>
      </c>
      <c r="W4268" s="110" t="inlineStr">
        <is>
          <t>PC em analise</t>
        </is>
      </c>
      <c r="X4268" s="110" t="inlineStr">
        <is>
          <t>Pedido de Compra</t>
        </is>
      </c>
      <c r="Y4268" s="111" t="inlineStr">
        <is>
          <t>Impacto Potencial</t>
        </is>
      </c>
      <c r="Z4268" s="111" t="inlineStr">
        <is>
          <t>PC</t>
        </is>
      </c>
      <c r="AA4268" s="111" t="inlineStr">
        <is>
          <t>Nao</t>
        </is>
      </c>
      <c r="AB4268" s="111" t="inlineStr">
        <is>
          <t>NAO_COMPUTADO</t>
        </is>
      </c>
      <c r="AC4268" s="112" t="inlineStr">
        <is>
          <t>Estrutura Fase 1: sem impacto no VTA oficial</t>
        </is>
      </c>
    </row>
    <row r="4269" ht="25.5" customHeight="1" s="289">
      <c r="A4269" s="205" t="n"/>
      <c r="B4269" s="207" t="n"/>
      <c r="C4269" s="104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348" t="n"/>
      <c r="E4269" s="349">
        <f>IF(C4269="","",IFERROR(VLOOKUP(C4269,parametros!$A$11:$E$15,5,0),""))</f>
        <v/>
      </c>
      <c r="F4269" s="335">
        <f>IF(OR(D4269="",E4269=""),"",ROUND(D4269*E4269,2))</f>
        <v/>
      </c>
      <c r="G4269" s="106" t="n"/>
      <c r="H4269" s="350">
        <f>IF(G4269="Sim",IF(OR(F4269="",D4269="",L4269=""),"",IF(L4269="Sim",ROUND(F4269-D4269,2),0)),0)</f>
        <v/>
      </c>
      <c r="I4269" s="350">
        <f>IF(G4269="Sim",0,IF(OR(F4269="",L4269=""),"",F4269))</f>
        <v/>
      </c>
      <c r="J4269" s="350">
        <f>IF(G4269="Sim",0,IF(OR(F4269="",D4269="",L4269=""),"",IF(L4269="Sim",ROUND(F4269-D4269,2),0)))</f>
        <v/>
      </c>
      <c r="K4269" s="97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inlineStr">
        <is>
          <t>Nao</t>
        </is>
      </c>
      <c r="W4269" s="110" t="inlineStr">
        <is>
          <t>PC em analise</t>
        </is>
      </c>
      <c r="X4269" s="110" t="inlineStr">
        <is>
          <t>Pedido de Compra</t>
        </is>
      </c>
      <c r="Y4269" s="111" t="inlineStr">
        <is>
          <t>Impacto Potencial</t>
        </is>
      </c>
      <c r="Z4269" s="111" t="inlineStr">
        <is>
          <t>PC</t>
        </is>
      </c>
      <c r="AA4269" s="111" t="inlineStr">
        <is>
          <t>Nao</t>
        </is>
      </c>
      <c r="AB4269" s="111" t="inlineStr">
        <is>
          <t>NAO_COMPUTADO</t>
        </is>
      </c>
      <c r="AC4269" s="112" t="inlineStr">
        <is>
          <t>Estrutura Fase 1: sem impacto no VTA oficial</t>
        </is>
      </c>
    </row>
    <row r="4270" ht="25.5" customHeight="1" s="289">
      <c r="A4270" s="205" t="n"/>
      <c r="B4270" s="207" t="n"/>
      <c r="C4270" s="104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348" t="n"/>
      <c r="E4270" s="349">
        <f>IF(C4270="","",IFERROR(VLOOKUP(C4270,parametros!$A$11:$E$15,5,0),""))</f>
        <v/>
      </c>
      <c r="F4270" s="335">
        <f>IF(OR(D4270="",E4270=""),"",ROUND(D4270*E4270,2))</f>
        <v/>
      </c>
      <c r="G4270" s="106" t="n"/>
      <c r="H4270" s="350">
        <f>IF(G4270="Sim",IF(OR(F4270="",D4270="",L4270=""),"",IF(L4270="Sim",ROUND(F4270-D4270,2),0)),0)</f>
        <v/>
      </c>
      <c r="I4270" s="350">
        <f>IF(G4270="Sim",0,IF(OR(F4270="",L4270=""),"",F4270))</f>
        <v/>
      </c>
      <c r="J4270" s="350">
        <f>IF(G4270="Sim",0,IF(OR(F4270="",D4270="",L4270=""),"",IF(L4270="Sim",ROUND(F4270-D4270,2),0)))</f>
        <v/>
      </c>
      <c r="K4270" s="97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inlineStr">
        <is>
          <t>Nao</t>
        </is>
      </c>
      <c r="W4270" s="110" t="inlineStr">
        <is>
          <t>PC em analise</t>
        </is>
      </c>
      <c r="X4270" s="110" t="inlineStr">
        <is>
          <t>Pedido de Compra</t>
        </is>
      </c>
      <c r="Y4270" s="111" t="inlineStr">
        <is>
          <t>Impacto Potencial</t>
        </is>
      </c>
      <c r="Z4270" s="111" t="inlineStr">
        <is>
          <t>PC</t>
        </is>
      </c>
      <c r="AA4270" s="111" t="inlineStr">
        <is>
          <t>Nao</t>
        </is>
      </c>
      <c r="AB4270" s="111" t="inlineStr">
        <is>
          <t>NAO_COMPUTADO</t>
        </is>
      </c>
      <c r="AC4270" s="112" t="inlineStr">
        <is>
          <t>Estrutura Fase 1: sem impacto no VTA oficial</t>
        </is>
      </c>
    </row>
    <row r="4271" ht="25.5" customHeight="1" s="289">
      <c r="A4271" s="205" t="n"/>
      <c r="B4271" s="207" t="n"/>
      <c r="C4271" s="104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348" t="n"/>
      <c r="E4271" s="349">
        <f>IF(C4271="","",IFERROR(VLOOKUP(C4271,parametros!$A$11:$E$15,5,0),""))</f>
        <v/>
      </c>
      <c r="F4271" s="335">
        <f>IF(OR(D4271="",E4271=""),"",ROUND(D4271*E4271,2))</f>
        <v/>
      </c>
      <c r="G4271" s="106" t="n"/>
      <c r="H4271" s="350">
        <f>IF(G4271="Sim",IF(OR(F4271="",D4271="",L4271=""),"",IF(L4271="Sim",ROUND(F4271-D4271,2),0)),0)</f>
        <v/>
      </c>
      <c r="I4271" s="350">
        <f>IF(G4271="Sim",0,IF(OR(F4271="",L4271=""),"",F4271))</f>
        <v/>
      </c>
      <c r="J4271" s="350">
        <f>IF(G4271="Sim",0,IF(OR(F4271="",D4271="",L4271=""),"",IF(L4271="Sim",ROUND(F4271-D4271,2),0)))</f>
        <v/>
      </c>
      <c r="K4271" s="97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inlineStr">
        <is>
          <t>Nao</t>
        </is>
      </c>
      <c r="W4271" s="110" t="inlineStr">
        <is>
          <t>PC em analise</t>
        </is>
      </c>
      <c r="X4271" s="110" t="inlineStr">
        <is>
          <t>Pedido de Compra</t>
        </is>
      </c>
      <c r="Y4271" s="111" t="inlineStr">
        <is>
          <t>Impacto Potencial</t>
        </is>
      </c>
      <c r="Z4271" s="111" t="inlineStr">
        <is>
          <t>PC</t>
        </is>
      </c>
      <c r="AA4271" s="111" t="inlineStr">
        <is>
          <t>Nao</t>
        </is>
      </c>
      <c r="AB4271" s="111" t="inlineStr">
        <is>
          <t>NAO_COMPUTADO</t>
        </is>
      </c>
      <c r="AC4271" s="112" t="inlineStr">
        <is>
          <t>Estrutura Fase 1: sem impacto no VTA oficial</t>
        </is>
      </c>
    </row>
    <row r="4272" ht="25.5" customHeight="1" s="289">
      <c r="A4272" s="205" t="n"/>
      <c r="B4272" s="207" t="n"/>
      <c r="C4272" s="104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348" t="n"/>
      <c r="E4272" s="349">
        <f>IF(C4272="","",IFERROR(VLOOKUP(C4272,parametros!$A$11:$E$15,5,0),""))</f>
        <v/>
      </c>
      <c r="F4272" s="335">
        <f>IF(OR(D4272="",E4272=""),"",ROUND(D4272*E4272,2))</f>
        <v/>
      </c>
      <c r="G4272" s="106" t="n"/>
      <c r="H4272" s="350">
        <f>IF(G4272="Sim",IF(OR(F4272="",D4272="",L4272=""),"",IF(L4272="Sim",ROUND(F4272-D4272,2),0)),0)</f>
        <v/>
      </c>
      <c r="I4272" s="350">
        <f>IF(G4272="Sim",0,IF(OR(F4272="",L4272=""),"",F4272))</f>
        <v/>
      </c>
      <c r="J4272" s="350">
        <f>IF(G4272="Sim",0,IF(OR(F4272="",D4272="",L4272=""),"",IF(L4272="Sim",ROUND(F4272-D4272,2),0)))</f>
        <v/>
      </c>
      <c r="K4272" s="97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inlineStr">
        <is>
          <t>Nao</t>
        </is>
      </c>
      <c r="W4272" s="110" t="inlineStr">
        <is>
          <t>PC em analise</t>
        </is>
      </c>
      <c r="X4272" s="110" t="inlineStr">
        <is>
          <t>Pedido de Compra</t>
        </is>
      </c>
      <c r="Y4272" s="111" t="inlineStr">
        <is>
          <t>Impacto Potencial</t>
        </is>
      </c>
      <c r="Z4272" s="111" t="inlineStr">
        <is>
          <t>PC</t>
        </is>
      </c>
      <c r="AA4272" s="111" t="inlineStr">
        <is>
          <t>Nao</t>
        </is>
      </c>
      <c r="AB4272" s="111" t="inlineStr">
        <is>
          <t>NAO_COMPUTADO</t>
        </is>
      </c>
      <c r="AC4272" s="112" t="inlineStr">
        <is>
          <t>Estrutura Fase 1: sem impacto no VTA oficial</t>
        </is>
      </c>
    </row>
    <row r="4273" ht="25.5" customHeight="1" s="289">
      <c r="A4273" s="205" t="n"/>
      <c r="B4273" s="207" t="n"/>
      <c r="C4273" s="104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348" t="n"/>
      <c r="E4273" s="349">
        <f>IF(C4273="","",IFERROR(VLOOKUP(C4273,parametros!$A$11:$E$15,5,0),""))</f>
        <v/>
      </c>
      <c r="F4273" s="335">
        <f>IF(OR(D4273="",E4273=""),"",ROUND(D4273*E4273,2))</f>
        <v/>
      </c>
      <c r="G4273" s="106" t="n"/>
      <c r="H4273" s="350">
        <f>IF(G4273="Sim",IF(OR(F4273="",D4273="",L4273=""),"",IF(L4273="Sim",ROUND(F4273-D4273,2),0)),0)</f>
        <v/>
      </c>
      <c r="I4273" s="350">
        <f>IF(G4273="Sim",0,IF(OR(F4273="",L4273=""),"",F4273))</f>
        <v/>
      </c>
      <c r="J4273" s="350">
        <f>IF(G4273="Sim",0,IF(OR(F4273="",D4273="",L4273=""),"",IF(L4273="Sim",ROUND(F4273-D4273,2),0)))</f>
        <v/>
      </c>
      <c r="K4273" s="97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inlineStr">
        <is>
          <t>Nao</t>
        </is>
      </c>
      <c r="W4273" s="110" t="inlineStr">
        <is>
          <t>PC em analise</t>
        </is>
      </c>
      <c r="X4273" s="110" t="inlineStr">
        <is>
          <t>Pedido de Compra</t>
        </is>
      </c>
      <c r="Y4273" s="111" t="inlineStr">
        <is>
          <t>Impacto Potencial</t>
        </is>
      </c>
      <c r="Z4273" s="111" t="inlineStr">
        <is>
          <t>PC</t>
        </is>
      </c>
      <c r="AA4273" s="111" t="inlineStr">
        <is>
          <t>Nao</t>
        </is>
      </c>
      <c r="AB4273" s="111" t="inlineStr">
        <is>
          <t>NAO_COMPUTADO</t>
        </is>
      </c>
      <c r="AC4273" s="112" t="inlineStr">
        <is>
          <t>Estrutura Fase 1: sem impacto no VTA oficial</t>
        </is>
      </c>
    </row>
    <row r="4274" ht="25.5" customHeight="1" s="289">
      <c r="A4274" s="205" t="n"/>
      <c r="B4274" s="207" t="n"/>
      <c r="C4274" s="104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348" t="n"/>
      <c r="E4274" s="349">
        <f>IF(C4274="","",IFERROR(VLOOKUP(C4274,parametros!$A$11:$E$15,5,0),""))</f>
        <v/>
      </c>
      <c r="F4274" s="335">
        <f>IF(OR(D4274="",E4274=""),"",ROUND(D4274*E4274,2))</f>
        <v/>
      </c>
      <c r="G4274" s="106" t="n"/>
      <c r="H4274" s="350">
        <f>IF(G4274="Sim",IF(OR(F4274="",D4274="",L4274=""),"",IF(L4274="Sim",ROUND(F4274-D4274,2),0)),0)</f>
        <v/>
      </c>
      <c r="I4274" s="350">
        <f>IF(G4274="Sim",0,IF(OR(F4274="",L4274=""),"",F4274))</f>
        <v/>
      </c>
      <c r="J4274" s="350">
        <f>IF(G4274="Sim",0,IF(OR(F4274="",D4274="",L4274=""),"",IF(L4274="Sim",ROUND(F4274-D4274,2),0)))</f>
        <v/>
      </c>
      <c r="K4274" s="97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inlineStr">
        <is>
          <t>Nao</t>
        </is>
      </c>
      <c r="W4274" s="110" t="inlineStr">
        <is>
          <t>PC em analise</t>
        </is>
      </c>
      <c r="X4274" s="110" t="inlineStr">
        <is>
          <t>Pedido de Compra</t>
        </is>
      </c>
      <c r="Y4274" s="111" t="inlineStr">
        <is>
          <t>Impacto Potencial</t>
        </is>
      </c>
      <c r="Z4274" s="111" t="inlineStr">
        <is>
          <t>PC</t>
        </is>
      </c>
      <c r="AA4274" s="111" t="inlineStr">
        <is>
          <t>Nao</t>
        </is>
      </c>
      <c r="AB4274" s="111" t="inlineStr">
        <is>
          <t>NAO_COMPUTADO</t>
        </is>
      </c>
      <c r="AC4274" s="112" t="inlineStr">
        <is>
          <t>Estrutura Fase 1: sem impacto no VTA oficial</t>
        </is>
      </c>
    </row>
    <row r="4275" ht="25.5" customHeight="1" s="289">
      <c r="A4275" s="205" t="n"/>
      <c r="B4275" s="207" t="n"/>
      <c r="C4275" s="104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348" t="n"/>
      <c r="E4275" s="349">
        <f>IF(C4275="","",IFERROR(VLOOKUP(C4275,parametros!$A$11:$E$15,5,0),""))</f>
        <v/>
      </c>
      <c r="F4275" s="335">
        <f>IF(OR(D4275="",E4275=""),"",ROUND(D4275*E4275,2))</f>
        <v/>
      </c>
      <c r="G4275" s="106" t="n"/>
      <c r="H4275" s="350">
        <f>IF(G4275="Sim",IF(OR(F4275="",D4275="",L4275=""),"",IF(L4275="Sim",ROUND(F4275-D4275,2),0)),0)</f>
        <v/>
      </c>
      <c r="I4275" s="350">
        <f>IF(G4275="Sim",0,IF(OR(F4275="",L4275=""),"",F4275))</f>
        <v/>
      </c>
      <c r="J4275" s="350">
        <f>IF(G4275="Sim",0,IF(OR(F4275="",D4275="",L4275=""),"",IF(L4275="Sim",ROUND(F4275-D4275,2),0)))</f>
        <v/>
      </c>
      <c r="K4275" s="97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inlineStr">
        <is>
          <t>Nao</t>
        </is>
      </c>
      <c r="W4275" s="110" t="inlineStr">
        <is>
          <t>PC em analise</t>
        </is>
      </c>
      <c r="X4275" s="110" t="inlineStr">
        <is>
          <t>Pedido de Compra</t>
        </is>
      </c>
      <c r="Y4275" s="111" t="inlineStr">
        <is>
          <t>Impacto Potencial</t>
        </is>
      </c>
      <c r="Z4275" s="111" t="inlineStr">
        <is>
          <t>PC</t>
        </is>
      </c>
      <c r="AA4275" s="111" t="inlineStr">
        <is>
          <t>Nao</t>
        </is>
      </c>
      <c r="AB4275" s="111" t="inlineStr">
        <is>
          <t>NAO_COMPUTADO</t>
        </is>
      </c>
      <c r="AC4275" s="112" t="inlineStr">
        <is>
          <t>Estrutura Fase 1: sem impacto no VTA oficial</t>
        </is>
      </c>
    </row>
    <row r="4276" ht="25.5" customHeight="1" s="289">
      <c r="A4276" s="205" t="n"/>
      <c r="B4276" s="207" t="n"/>
      <c r="C4276" s="104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348" t="n"/>
      <c r="E4276" s="349">
        <f>IF(C4276="","",IFERROR(VLOOKUP(C4276,parametros!$A$11:$E$15,5,0),""))</f>
        <v/>
      </c>
      <c r="F4276" s="335">
        <f>IF(OR(D4276="",E4276=""),"",ROUND(D4276*E4276,2))</f>
        <v/>
      </c>
      <c r="G4276" s="106" t="n"/>
      <c r="H4276" s="350">
        <f>IF(G4276="Sim",IF(OR(F4276="",D4276="",L4276=""),"",IF(L4276="Sim",ROUND(F4276-D4276,2),0)),0)</f>
        <v/>
      </c>
      <c r="I4276" s="350">
        <f>IF(G4276="Sim",0,IF(OR(F4276="",L4276=""),"",F4276))</f>
        <v/>
      </c>
      <c r="J4276" s="350">
        <f>IF(G4276="Sim",0,IF(OR(F4276="",D4276="",L4276=""),"",IF(L4276="Sim",ROUND(F4276-D4276,2),0)))</f>
        <v/>
      </c>
      <c r="K4276" s="97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inlineStr">
        <is>
          <t>Nao</t>
        </is>
      </c>
      <c r="W4276" s="110" t="inlineStr">
        <is>
          <t>PC em analise</t>
        </is>
      </c>
      <c r="X4276" s="110" t="inlineStr">
        <is>
          <t>Pedido de Compra</t>
        </is>
      </c>
      <c r="Y4276" s="111" t="inlineStr">
        <is>
          <t>Impacto Potencial</t>
        </is>
      </c>
      <c r="Z4276" s="111" t="inlineStr">
        <is>
          <t>PC</t>
        </is>
      </c>
      <c r="AA4276" s="111" t="inlineStr">
        <is>
          <t>Nao</t>
        </is>
      </c>
      <c r="AB4276" s="111" t="inlineStr">
        <is>
          <t>NAO_COMPUTADO</t>
        </is>
      </c>
      <c r="AC4276" s="112" t="inlineStr">
        <is>
          <t>Estrutura Fase 1: sem impacto no VTA oficial</t>
        </is>
      </c>
    </row>
    <row r="4277" ht="25.5" customHeight="1" s="289">
      <c r="A4277" s="205" t="n"/>
      <c r="B4277" s="207" t="n"/>
      <c r="C4277" s="104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348" t="n"/>
      <c r="E4277" s="349">
        <f>IF(C4277="","",IFERROR(VLOOKUP(C4277,parametros!$A$11:$E$15,5,0),""))</f>
        <v/>
      </c>
      <c r="F4277" s="335">
        <f>IF(OR(D4277="",E4277=""),"",ROUND(D4277*E4277,2))</f>
        <v/>
      </c>
      <c r="G4277" s="106" t="n"/>
      <c r="H4277" s="350">
        <f>IF(G4277="Sim",IF(OR(F4277="",D4277="",L4277=""),"",IF(L4277="Sim",ROUND(F4277-D4277,2),0)),0)</f>
        <v/>
      </c>
      <c r="I4277" s="350">
        <f>IF(G4277="Sim",0,IF(OR(F4277="",L4277=""),"",F4277))</f>
        <v/>
      </c>
      <c r="J4277" s="350">
        <f>IF(G4277="Sim",0,IF(OR(F4277="",D4277="",L4277=""),"",IF(L4277="Sim",ROUND(F4277-D4277,2),0)))</f>
        <v/>
      </c>
      <c r="K4277" s="97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inlineStr">
        <is>
          <t>Nao</t>
        </is>
      </c>
      <c r="W4277" s="110" t="inlineStr">
        <is>
          <t>PC em analise</t>
        </is>
      </c>
      <c r="X4277" s="110" t="inlineStr">
        <is>
          <t>Pedido de Compra</t>
        </is>
      </c>
      <c r="Y4277" s="111" t="inlineStr">
        <is>
          <t>Impacto Potencial</t>
        </is>
      </c>
      <c r="Z4277" s="111" t="inlineStr">
        <is>
          <t>PC</t>
        </is>
      </c>
      <c r="AA4277" s="111" t="inlineStr">
        <is>
          <t>Nao</t>
        </is>
      </c>
      <c r="AB4277" s="111" t="inlineStr">
        <is>
          <t>NAO_COMPUTADO</t>
        </is>
      </c>
      <c r="AC4277" s="112" t="inlineStr">
        <is>
          <t>Estrutura Fase 1: sem impacto no VTA oficial</t>
        </is>
      </c>
    </row>
    <row r="4278" ht="25.5" customHeight="1" s="289">
      <c r="A4278" s="205" t="n"/>
      <c r="B4278" s="207" t="n"/>
      <c r="C4278" s="104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348" t="n"/>
      <c r="E4278" s="349">
        <f>IF(C4278="","",IFERROR(VLOOKUP(C4278,parametros!$A$11:$E$15,5,0),""))</f>
        <v/>
      </c>
      <c r="F4278" s="335">
        <f>IF(OR(D4278="",E4278=""),"",ROUND(D4278*E4278,2))</f>
        <v/>
      </c>
      <c r="G4278" s="106" t="n"/>
      <c r="H4278" s="350">
        <f>IF(G4278="Sim",IF(OR(F4278="",D4278="",L4278=""),"",IF(L4278="Sim",ROUND(F4278-D4278,2),0)),0)</f>
        <v/>
      </c>
      <c r="I4278" s="350">
        <f>IF(G4278="Sim",0,IF(OR(F4278="",L4278=""),"",F4278))</f>
        <v/>
      </c>
      <c r="J4278" s="350">
        <f>IF(G4278="Sim",0,IF(OR(F4278="",D4278="",L4278=""),"",IF(L4278="Sim",ROUND(F4278-D4278,2),0)))</f>
        <v/>
      </c>
      <c r="K4278" s="97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inlineStr">
        <is>
          <t>Nao</t>
        </is>
      </c>
      <c r="W4278" s="110" t="inlineStr">
        <is>
          <t>PC em analise</t>
        </is>
      </c>
      <c r="X4278" s="110" t="inlineStr">
        <is>
          <t>Pedido de Compra</t>
        </is>
      </c>
      <c r="Y4278" s="111" t="inlineStr">
        <is>
          <t>Impacto Potencial</t>
        </is>
      </c>
      <c r="Z4278" s="111" t="inlineStr">
        <is>
          <t>PC</t>
        </is>
      </c>
      <c r="AA4278" s="111" t="inlineStr">
        <is>
          <t>Nao</t>
        </is>
      </c>
      <c r="AB4278" s="111" t="inlineStr">
        <is>
          <t>NAO_COMPUTADO</t>
        </is>
      </c>
      <c r="AC4278" s="112" t="inlineStr">
        <is>
          <t>Estrutura Fase 1: sem impacto no VTA oficial</t>
        </is>
      </c>
    </row>
    <row r="4279" ht="25.5" customHeight="1" s="289">
      <c r="A4279" s="205" t="n"/>
      <c r="B4279" s="207" t="n"/>
      <c r="C4279" s="104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348" t="n"/>
      <c r="E4279" s="349">
        <f>IF(C4279="","",IFERROR(VLOOKUP(C4279,parametros!$A$11:$E$15,5,0),""))</f>
        <v/>
      </c>
      <c r="F4279" s="335">
        <f>IF(OR(D4279="",E4279=""),"",ROUND(D4279*E4279,2))</f>
        <v/>
      </c>
      <c r="G4279" s="106" t="n"/>
      <c r="H4279" s="350">
        <f>IF(G4279="Sim",IF(OR(F4279="",D4279="",L4279=""),"",IF(L4279="Sim",ROUND(F4279-D4279,2),0)),0)</f>
        <v/>
      </c>
      <c r="I4279" s="350">
        <f>IF(G4279="Sim",0,IF(OR(F4279="",L4279=""),"",F4279))</f>
        <v/>
      </c>
      <c r="J4279" s="350">
        <f>IF(G4279="Sim",0,IF(OR(F4279="",D4279="",L4279=""),"",IF(L4279="Sim",ROUND(F4279-D4279,2),0)))</f>
        <v/>
      </c>
      <c r="K4279" s="97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inlineStr">
        <is>
          <t>Nao</t>
        </is>
      </c>
      <c r="W4279" s="110" t="inlineStr">
        <is>
          <t>PC em analise</t>
        </is>
      </c>
      <c r="X4279" s="110" t="inlineStr">
        <is>
          <t>Pedido de Compra</t>
        </is>
      </c>
      <c r="Y4279" s="111" t="inlineStr">
        <is>
          <t>Impacto Potencial</t>
        </is>
      </c>
      <c r="Z4279" s="111" t="inlineStr">
        <is>
          <t>PC</t>
        </is>
      </c>
      <c r="AA4279" s="111" t="inlineStr">
        <is>
          <t>Nao</t>
        </is>
      </c>
      <c r="AB4279" s="111" t="inlineStr">
        <is>
          <t>NAO_COMPUTADO</t>
        </is>
      </c>
      <c r="AC4279" s="112" t="inlineStr">
        <is>
          <t>Estrutura Fase 1: sem impacto no VTA oficial</t>
        </is>
      </c>
    </row>
    <row r="4280" ht="25.5" customHeight="1" s="289">
      <c r="A4280" s="205" t="n"/>
      <c r="B4280" s="207" t="n"/>
      <c r="C4280" s="104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348" t="n"/>
      <c r="E4280" s="349">
        <f>IF(C4280="","",IFERROR(VLOOKUP(C4280,parametros!$A$11:$E$15,5,0),""))</f>
        <v/>
      </c>
      <c r="F4280" s="335">
        <f>IF(OR(D4280="",E4280=""),"",ROUND(D4280*E4280,2))</f>
        <v/>
      </c>
      <c r="G4280" s="106" t="n"/>
      <c r="H4280" s="350">
        <f>IF(G4280="Sim",IF(OR(F4280="",D4280="",L4280=""),"",IF(L4280="Sim",ROUND(F4280-D4280,2),0)),0)</f>
        <v/>
      </c>
      <c r="I4280" s="350">
        <f>IF(G4280="Sim",0,IF(OR(F4280="",L4280=""),"",F4280))</f>
        <v/>
      </c>
      <c r="J4280" s="350">
        <f>IF(G4280="Sim",0,IF(OR(F4280="",D4280="",L4280=""),"",IF(L4280="Sim",ROUND(F4280-D4280,2),0)))</f>
        <v/>
      </c>
      <c r="K4280" s="97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inlineStr">
        <is>
          <t>Nao</t>
        </is>
      </c>
      <c r="W4280" s="110" t="inlineStr">
        <is>
          <t>PC em analise</t>
        </is>
      </c>
      <c r="X4280" s="110" t="inlineStr">
        <is>
          <t>Pedido de Compra</t>
        </is>
      </c>
      <c r="Y4280" s="111" t="inlineStr">
        <is>
          <t>Impacto Potencial</t>
        </is>
      </c>
      <c r="Z4280" s="111" t="inlineStr">
        <is>
          <t>PC</t>
        </is>
      </c>
      <c r="AA4280" s="111" t="inlineStr">
        <is>
          <t>Nao</t>
        </is>
      </c>
      <c r="AB4280" s="111" t="inlineStr">
        <is>
          <t>NAO_COMPUTADO</t>
        </is>
      </c>
      <c r="AC4280" s="112" t="inlineStr">
        <is>
          <t>Estrutura Fase 1: sem impacto no VTA oficial</t>
        </is>
      </c>
    </row>
    <row r="4281" ht="25.5" customHeight="1" s="289">
      <c r="A4281" s="205" t="n"/>
      <c r="B4281" s="207" t="n"/>
      <c r="C4281" s="104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348" t="n"/>
      <c r="E4281" s="349">
        <f>IF(C4281="","",IFERROR(VLOOKUP(C4281,parametros!$A$11:$E$15,5,0),""))</f>
        <v/>
      </c>
      <c r="F4281" s="335">
        <f>IF(OR(D4281="",E4281=""),"",ROUND(D4281*E4281,2))</f>
        <v/>
      </c>
      <c r="G4281" s="106" t="n"/>
      <c r="H4281" s="350">
        <f>IF(G4281="Sim",IF(OR(F4281="",D4281="",L4281=""),"",IF(L4281="Sim",ROUND(F4281-D4281,2),0)),0)</f>
        <v/>
      </c>
      <c r="I4281" s="350">
        <f>IF(G4281="Sim",0,IF(OR(F4281="",L4281=""),"",F4281))</f>
        <v/>
      </c>
      <c r="J4281" s="350">
        <f>IF(G4281="Sim",0,IF(OR(F4281="",D4281="",L4281=""),"",IF(L4281="Sim",ROUND(F4281-D4281,2),0)))</f>
        <v/>
      </c>
      <c r="K4281" s="97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inlineStr">
        <is>
          <t>Nao</t>
        </is>
      </c>
      <c r="W4281" s="110" t="inlineStr">
        <is>
          <t>PC em analise</t>
        </is>
      </c>
      <c r="X4281" s="110" t="inlineStr">
        <is>
          <t>Pedido de Compra</t>
        </is>
      </c>
      <c r="Y4281" s="111" t="inlineStr">
        <is>
          <t>Impacto Potencial</t>
        </is>
      </c>
      <c r="Z4281" s="111" t="inlineStr">
        <is>
          <t>PC</t>
        </is>
      </c>
      <c r="AA4281" s="111" t="inlineStr">
        <is>
          <t>Nao</t>
        </is>
      </c>
      <c r="AB4281" s="111" t="inlineStr">
        <is>
          <t>NAO_COMPUTADO</t>
        </is>
      </c>
      <c r="AC4281" s="112" t="inlineStr">
        <is>
          <t>Estrutura Fase 1: sem impacto no VTA oficial</t>
        </is>
      </c>
    </row>
    <row r="4282" ht="25.5" customHeight="1" s="289">
      <c r="A4282" s="205" t="n"/>
      <c r="B4282" s="207" t="n"/>
      <c r="C4282" s="104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348" t="n"/>
      <c r="E4282" s="349">
        <f>IF(C4282="","",IFERROR(VLOOKUP(C4282,parametros!$A$11:$E$15,5,0),""))</f>
        <v/>
      </c>
      <c r="F4282" s="335">
        <f>IF(OR(D4282="",E4282=""),"",ROUND(D4282*E4282,2))</f>
        <v/>
      </c>
      <c r="G4282" s="106" t="n"/>
      <c r="H4282" s="350">
        <f>IF(G4282="Sim",IF(OR(F4282="",D4282="",L4282=""),"",IF(L4282="Sim",ROUND(F4282-D4282,2),0)),0)</f>
        <v/>
      </c>
      <c r="I4282" s="350">
        <f>IF(G4282="Sim",0,IF(OR(F4282="",L4282=""),"",F4282))</f>
        <v/>
      </c>
      <c r="J4282" s="350">
        <f>IF(G4282="Sim",0,IF(OR(F4282="",D4282="",L4282=""),"",IF(L4282="Sim",ROUND(F4282-D4282,2),0)))</f>
        <v/>
      </c>
      <c r="K4282" s="97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inlineStr">
        <is>
          <t>Nao</t>
        </is>
      </c>
      <c r="W4282" s="110" t="inlineStr">
        <is>
          <t>PC em analise</t>
        </is>
      </c>
      <c r="X4282" s="110" t="inlineStr">
        <is>
          <t>Pedido de Compra</t>
        </is>
      </c>
      <c r="Y4282" s="111" t="inlineStr">
        <is>
          <t>Impacto Potencial</t>
        </is>
      </c>
      <c r="Z4282" s="111" t="inlineStr">
        <is>
          <t>PC</t>
        </is>
      </c>
      <c r="AA4282" s="111" t="inlineStr">
        <is>
          <t>Nao</t>
        </is>
      </c>
      <c r="AB4282" s="111" t="inlineStr">
        <is>
          <t>NAO_COMPUTADO</t>
        </is>
      </c>
      <c r="AC4282" s="112" t="inlineStr">
        <is>
          <t>Estrutura Fase 1: sem impacto no VTA oficial</t>
        </is>
      </c>
    </row>
    <row r="4283" ht="25.5" customHeight="1" s="289">
      <c r="A4283" s="205" t="n"/>
      <c r="B4283" s="207" t="n"/>
      <c r="C4283" s="104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348" t="n"/>
      <c r="E4283" s="349">
        <f>IF(C4283="","",IFERROR(VLOOKUP(C4283,parametros!$A$11:$E$15,5,0),""))</f>
        <v/>
      </c>
      <c r="F4283" s="335">
        <f>IF(OR(D4283="",E4283=""),"",ROUND(D4283*E4283,2))</f>
        <v/>
      </c>
      <c r="G4283" s="106" t="n"/>
      <c r="H4283" s="350">
        <f>IF(G4283="Sim",IF(OR(F4283="",D4283="",L4283=""),"",IF(L4283="Sim",ROUND(F4283-D4283,2),0)),0)</f>
        <v/>
      </c>
      <c r="I4283" s="350">
        <f>IF(G4283="Sim",0,IF(OR(F4283="",L4283=""),"",F4283))</f>
        <v/>
      </c>
      <c r="J4283" s="350">
        <f>IF(G4283="Sim",0,IF(OR(F4283="",D4283="",L4283=""),"",IF(L4283="Sim",ROUND(F4283-D4283,2),0)))</f>
        <v/>
      </c>
      <c r="K4283" s="97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inlineStr">
        <is>
          <t>Nao</t>
        </is>
      </c>
      <c r="W4283" s="110" t="inlineStr">
        <is>
          <t>PC em analise</t>
        </is>
      </c>
      <c r="X4283" s="110" t="inlineStr">
        <is>
          <t>Pedido de Compra</t>
        </is>
      </c>
      <c r="Y4283" s="111" t="inlineStr">
        <is>
          <t>Impacto Potencial</t>
        </is>
      </c>
      <c r="Z4283" s="111" t="inlineStr">
        <is>
          <t>PC</t>
        </is>
      </c>
      <c r="AA4283" s="111" t="inlineStr">
        <is>
          <t>Nao</t>
        </is>
      </c>
      <c r="AB4283" s="111" t="inlineStr">
        <is>
          <t>NAO_COMPUTADO</t>
        </is>
      </c>
      <c r="AC4283" s="112" t="inlineStr">
        <is>
          <t>Estrutura Fase 1: sem impacto no VTA oficial</t>
        </is>
      </c>
    </row>
    <row r="4284" ht="25.5" customHeight="1" s="289">
      <c r="A4284" s="205" t="n"/>
      <c r="B4284" s="207" t="n"/>
      <c r="C4284" s="104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348" t="n"/>
      <c r="E4284" s="349">
        <f>IF(C4284="","",IFERROR(VLOOKUP(C4284,parametros!$A$11:$E$15,5,0),""))</f>
        <v/>
      </c>
      <c r="F4284" s="335">
        <f>IF(OR(D4284="",E4284=""),"",ROUND(D4284*E4284,2))</f>
        <v/>
      </c>
      <c r="G4284" s="106" t="n"/>
      <c r="H4284" s="350">
        <f>IF(G4284="Sim",IF(OR(F4284="",D4284="",L4284=""),"",IF(L4284="Sim",ROUND(F4284-D4284,2),0)),0)</f>
        <v/>
      </c>
      <c r="I4284" s="350">
        <f>IF(G4284="Sim",0,IF(OR(F4284="",L4284=""),"",F4284))</f>
        <v/>
      </c>
      <c r="J4284" s="350">
        <f>IF(G4284="Sim",0,IF(OR(F4284="",D4284="",L4284=""),"",IF(L4284="Sim",ROUND(F4284-D4284,2),0)))</f>
        <v/>
      </c>
      <c r="K4284" s="97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inlineStr">
        <is>
          <t>Nao</t>
        </is>
      </c>
      <c r="W4284" s="110" t="inlineStr">
        <is>
          <t>PC em analise</t>
        </is>
      </c>
      <c r="X4284" s="110" t="inlineStr">
        <is>
          <t>Pedido de Compra</t>
        </is>
      </c>
      <c r="Y4284" s="111" t="inlineStr">
        <is>
          <t>Impacto Potencial</t>
        </is>
      </c>
      <c r="Z4284" s="111" t="inlineStr">
        <is>
          <t>PC</t>
        </is>
      </c>
      <c r="AA4284" s="111" t="inlineStr">
        <is>
          <t>Nao</t>
        </is>
      </c>
      <c r="AB4284" s="111" t="inlineStr">
        <is>
          <t>NAO_COMPUTADO</t>
        </is>
      </c>
      <c r="AC4284" s="112" t="inlineStr">
        <is>
          <t>Estrutura Fase 1: sem impacto no VTA oficial</t>
        </is>
      </c>
    </row>
    <row r="4285" ht="25.5" customHeight="1" s="289">
      <c r="A4285" s="205" t="n"/>
      <c r="B4285" s="207" t="n"/>
      <c r="C4285" s="104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348" t="n"/>
      <c r="E4285" s="349">
        <f>IF(C4285="","",IFERROR(VLOOKUP(C4285,parametros!$A$11:$E$15,5,0),""))</f>
        <v/>
      </c>
      <c r="F4285" s="335">
        <f>IF(OR(D4285="",E4285=""),"",ROUND(D4285*E4285,2))</f>
        <v/>
      </c>
      <c r="G4285" s="106" t="n"/>
      <c r="H4285" s="350">
        <f>IF(G4285="Sim",IF(OR(F4285="",D4285="",L4285=""),"",IF(L4285="Sim",ROUND(F4285-D4285,2),0)),0)</f>
        <v/>
      </c>
      <c r="I4285" s="350">
        <f>IF(G4285="Sim",0,IF(OR(F4285="",L4285=""),"",F4285))</f>
        <v/>
      </c>
      <c r="J4285" s="350">
        <f>IF(G4285="Sim",0,IF(OR(F4285="",D4285="",L4285=""),"",IF(L4285="Sim",ROUND(F4285-D4285,2),0)))</f>
        <v/>
      </c>
      <c r="K4285" s="97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inlineStr">
        <is>
          <t>Nao</t>
        </is>
      </c>
      <c r="W4285" s="110" t="inlineStr">
        <is>
          <t>PC em analise</t>
        </is>
      </c>
      <c r="X4285" s="110" t="inlineStr">
        <is>
          <t>Pedido de Compra</t>
        </is>
      </c>
      <c r="Y4285" s="111" t="inlineStr">
        <is>
          <t>Impacto Potencial</t>
        </is>
      </c>
      <c r="Z4285" s="111" t="inlineStr">
        <is>
          <t>PC</t>
        </is>
      </c>
      <c r="AA4285" s="111" t="inlineStr">
        <is>
          <t>Nao</t>
        </is>
      </c>
      <c r="AB4285" s="111" t="inlineStr">
        <is>
          <t>NAO_COMPUTADO</t>
        </is>
      </c>
      <c r="AC4285" s="112" t="inlineStr">
        <is>
          <t>Estrutura Fase 1: sem impacto no VTA oficial</t>
        </is>
      </c>
    </row>
    <row r="4286" ht="25.5" customHeight="1" s="289">
      <c r="A4286" s="205" t="n"/>
      <c r="B4286" s="207" t="n"/>
      <c r="C4286" s="104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348" t="n"/>
      <c r="E4286" s="349">
        <f>IF(C4286="","",IFERROR(VLOOKUP(C4286,parametros!$A$11:$E$15,5,0),""))</f>
        <v/>
      </c>
      <c r="F4286" s="335">
        <f>IF(OR(D4286="",E4286=""),"",ROUND(D4286*E4286,2))</f>
        <v/>
      </c>
      <c r="G4286" s="106" t="n"/>
      <c r="H4286" s="350">
        <f>IF(G4286="Sim",IF(OR(F4286="",D4286="",L4286=""),"",IF(L4286="Sim",ROUND(F4286-D4286,2),0)),0)</f>
        <v/>
      </c>
      <c r="I4286" s="350">
        <f>IF(G4286="Sim",0,IF(OR(F4286="",L4286=""),"",F4286))</f>
        <v/>
      </c>
      <c r="J4286" s="350">
        <f>IF(G4286="Sim",0,IF(OR(F4286="",D4286="",L4286=""),"",IF(L4286="Sim",ROUND(F4286-D4286,2),0)))</f>
        <v/>
      </c>
      <c r="K4286" s="97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inlineStr">
        <is>
          <t>Nao</t>
        </is>
      </c>
      <c r="W4286" s="110" t="inlineStr">
        <is>
          <t>PC em analise</t>
        </is>
      </c>
      <c r="X4286" s="110" t="inlineStr">
        <is>
          <t>Pedido de Compra</t>
        </is>
      </c>
      <c r="Y4286" s="111" t="inlineStr">
        <is>
          <t>Impacto Potencial</t>
        </is>
      </c>
      <c r="Z4286" s="111" t="inlineStr">
        <is>
          <t>PC</t>
        </is>
      </c>
      <c r="AA4286" s="111" t="inlineStr">
        <is>
          <t>Nao</t>
        </is>
      </c>
      <c r="AB4286" s="111" t="inlineStr">
        <is>
          <t>NAO_COMPUTADO</t>
        </is>
      </c>
      <c r="AC4286" s="112" t="inlineStr">
        <is>
          <t>Estrutura Fase 1: sem impacto no VTA oficial</t>
        </is>
      </c>
    </row>
    <row r="4287" ht="25.5" customHeight="1" s="289">
      <c r="A4287" s="205" t="n"/>
      <c r="B4287" s="207" t="n"/>
      <c r="C4287" s="104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348" t="n"/>
      <c r="E4287" s="349">
        <f>IF(C4287="","",IFERROR(VLOOKUP(C4287,parametros!$A$11:$E$15,5,0),""))</f>
        <v/>
      </c>
      <c r="F4287" s="335">
        <f>IF(OR(D4287="",E4287=""),"",ROUND(D4287*E4287,2))</f>
        <v/>
      </c>
      <c r="G4287" s="106" t="n"/>
      <c r="H4287" s="350">
        <f>IF(G4287="Sim",IF(OR(F4287="",D4287="",L4287=""),"",IF(L4287="Sim",ROUND(F4287-D4287,2),0)),0)</f>
        <v/>
      </c>
      <c r="I4287" s="350">
        <f>IF(G4287="Sim",0,IF(OR(F4287="",L4287=""),"",F4287))</f>
        <v/>
      </c>
      <c r="J4287" s="350">
        <f>IF(G4287="Sim",0,IF(OR(F4287="",D4287="",L4287=""),"",IF(L4287="Sim",ROUND(F4287-D4287,2),0)))</f>
        <v/>
      </c>
      <c r="K4287" s="97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inlineStr">
        <is>
          <t>Nao</t>
        </is>
      </c>
      <c r="W4287" s="110" t="inlineStr">
        <is>
          <t>PC em analise</t>
        </is>
      </c>
      <c r="X4287" s="110" t="inlineStr">
        <is>
          <t>Pedido de Compra</t>
        </is>
      </c>
      <c r="Y4287" s="111" t="inlineStr">
        <is>
          <t>Impacto Potencial</t>
        </is>
      </c>
      <c r="Z4287" s="111" t="inlineStr">
        <is>
          <t>PC</t>
        </is>
      </c>
      <c r="AA4287" s="111" t="inlineStr">
        <is>
          <t>Nao</t>
        </is>
      </c>
      <c r="AB4287" s="111" t="inlineStr">
        <is>
          <t>NAO_COMPUTADO</t>
        </is>
      </c>
      <c r="AC4287" s="112" t="inlineStr">
        <is>
          <t>Estrutura Fase 1: sem impacto no VTA oficial</t>
        </is>
      </c>
    </row>
    <row r="4288" ht="25.5" customHeight="1" s="289">
      <c r="A4288" s="205" t="n"/>
      <c r="B4288" s="207" t="n"/>
      <c r="C4288" s="104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348" t="n"/>
      <c r="E4288" s="349">
        <f>IF(C4288="","",IFERROR(VLOOKUP(C4288,parametros!$A$11:$E$15,5,0),""))</f>
        <v/>
      </c>
      <c r="F4288" s="335">
        <f>IF(OR(D4288="",E4288=""),"",ROUND(D4288*E4288,2))</f>
        <v/>
      </c>
      <c r="G4288" s="106" t="n"/>
      <c r="H4288" s="350">
        <f>IF(G4288="Sim",IF(OR(F4288="",D4288="",L4288=""),"",IF(L4288="Sim",ROUND(F4288-D4288,2),0)),0)</f>
        <v/>
      </c>
      <c r="I4288" s="350">
        <f>IF(G4288="Sim",0,IF(OR(F4288="",L4288=""),"",F4288))</f>
        <v/>
      </c>
      <c r="J4288" s="350">
        <f>IF(G4288="Sim",0,IF(OR(F4288="",D4288="",L4288=""),"",IF(L4288="Sim",ROUND(F4288-D4288,2),0)))</f>
        <v/>
      </c>
      <c r="K4288" s="97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inlineStr">
        <is>
          <t>Nao</t>
        </is>
      </c>
      <c r="W4288" s="110" t="inlineStr">
        <is>
          <t>PC em analise</t>
        </is>
      </c>
      <c r="X4288" s="110" t="inlineStr">
        <is>
          <t>Pedido de Compra</t>
        </is>
      </c>
      <c r="Y4288" s="111" t="inlineStr">
        <is>
          <t>Impacto Potencial</t>
        </is>
      </c>
      <c r="Z4288" s="111" t="inlineStr">
        <is>
          <t>PC</t>
        </is>
      </c>
      <c r="AA4288" s="111" t="inlineStr">
        <is>
          <t>Nao</t>
        </is>
      </c>
      <c r="AB4288" s="111" t="inlineStr">
        <is>
          <t>NAO_COMPUTADO</t>
        </is>
      </c>
      <c r="AC4288" s="112" t="inlineStr">
        <is>
          <t>Estrutura Fase 1: sem impacto no VTA oficial</t>
        </is>
      </c>
    </row>
    <row r="4289" ht="25.5" customHeight="1" s="289">
      <c r="A4289" s="205" t="n"/>
      <c r="B4289" s="207" t="n"/>
      <c r="C4289" s="104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348" t="n"/>
      <c r="E4289" s="349">
        <f>IF(C4289="","",IFERROR(VLOOKUP(C4289,parametros!$A$11:$E$15,5,0),""))</f>
        <v/>
      </c>
      <c r="F4289" s="335">
        <f>IF(OR(D4289="",E4289=""),"",ROUND(D4289*E4289,2))</f>
        <v/>
      </c>
      <c r="G4289" s="106" t="n"/>
      <c r="H4289" s="350">
        <f>IF(G4289="Sim",IF(OR(F4289="",D4289="",L4289=""),"",IF(L4289="Sim",ROUND(F4289-D4289,2),0)),0)</f>
        <v/>
      </c>
      <c r="I4289" s="350">
        <f>IF(G4289="Sim",0,IF(OR(F4289="",L4289=""),"",F4289))</f>
        <v/>
      </c>
      <c r="J4289" s="350">
        <f>IF(G4289="Sim",0,IF(OR(F4289="",D4289="",L4289=""),"",IF(L4289="Sim",ROUND(F4289-D4289,2),0)))</f>
        <v/>
      </c>
      <c r="K4289" s="97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inlineStr">
        <is>
          <t>Nao</t>
        </is>
      </c>
      <c r="W4289" s="110" t="inlineStr">
        <is>
          <t>PC em analise</t>
        </is>
      </c>
      <c r="X4289" s="110" t="inlineStr">
        <is>
          <t>Pedido de Compra</t>
        </is>
      </c>
      <c r="Y4289" s="111" t="inlineStr">
        <is>
          <t>Impacto Potencial</t>
        </is>
      </c>
      <c r="Z4289" s="111" t="inlineStr">
        <is>
          <t>PC</t>
        </is>
      </c>
      <c r="AA4289" s="111" t="inlineStr">
        <is>
          <t>Nao</t>
        </is>
      </c>
      <c r="AB4289" s="111" t="inlineStr">
        <is>
          <t>NAO_COMPUTADO</t>
        </is>
      </c>
      <c r="AC4289" s="112" t="inlineStr">
        <is>
          <t>Estrutura Fase 1: sem impacto no VTA oficial</t>
        </is>
      </c>
    </row>
    <row r="4290" ht="25.5" customHeight="1" s="289">
      <c r="A4290" s="205" t="n"/>
      <c r="B4290" s="207" t="n"/>
      <c r="C4290" s="104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348" t="n"/>
      <c r="E4290" s="349">
        <f>IF(C4290="","",IFERROR(VLOOKUP(C4290,parametros!$A$11:$E$15,5,0),""))</f>
        <v/>
      </c>
      <c r="F4290" s="335">
        <f>IF(OR(D4290="",E4290=""),"",ROUND(D4290*E4290,2))</f>
        <v/>
      </c>
      <c r="G4290" s="106" t="n"/>
      <c r="H4290" s="350">
        <f>IF(G4290="Sim",IF(OR(F4290="",D4290="",L4290=""),"",IF(L4290="Sim",ROUND(F4290-D4290,2),0)),0)</f>
        <v/>
      </c>
      <c r="I4290" s="350">
        <f>IF(G4290="Sim",0,IF(OR(F4290="",L4290=""),"",F4290))</f>
        <v/>
      </c>
      <c r="J4290" s="350">
        <f>IF(G4290="Sim",0,IF(OR(F4290="",D4290="",L4290=""),"",IF(L4290="Sim",ROUND(F4290-D4290,2),0)))</f>
        <v/>
      </c>
      <c r="K4290" s="97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inlineStr">
        <is>
          <t>Nao</t>
        </is>
      </c>
      <c r="W4290" s="110" t="inlineStr">
        <is>
          <t>PC em analise</t>
        </is>
      </c>
      <c r="X4290" s="110" t="inlineStr">
        <is>
          <t>Pedido de Compra</t>
        </is>
      </c>
      <c r="Y4290" s="111" t="inlineStr">
        <is>
          <t>Impacto Potencial</t>
        </is>
      </c>
      <c r="Z4290" s="111" t="inlineStr">
        <is>
          <t>PC</t>
        </is>
      </c>
      <c r="AA4290" s="111" t="inlineStr">
        <is>
          <t>Nao</t>
        </is>
      </c>
      <c r="AB4290" s="111" t="inlineStr">
        <is>
          <t>NAO_COMPUTADO</t>
        </is>
      </c>
      <c r="AC4290" s="112" t="inlineStr">
        <is>
          <t>Estrutura Fase 1: sem impacto no VTA oficial</t>
        </is>
      </c>
    </row>
    <row r="4291" ht="25.5" customHeight="1" s="289">
      <c r="A4291" s="205" t="n"/>
      <c r="B4291" s="207" t="n"/>
      <c r="C4291" s="104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348" t="n"/>
      <c r="E4291" s="349">
        <f>IF(C4291="","",IFERROR(VLOOKUP(C4291,parametros!$A$11:$E$15,5,0),""))</f>
        <v/>
      </c>
      <c r="F4291" s="335">
        <f>IF(OR(D4291="",E4291=""),"",ROUND(D4291*E4291,2))</f>
        <v/>
      </c>
      <c r="G4291" s="106" t="n"/>
      <c r="H4291" s="350">
        <f>IF(G4291="Sim",IF(OR(F4291="",D4291="",L4291=""),"",IF(L4291="Sim",ROUND(F4291-D4291,2),0)),0)</f>
        <v/>
      </c>
      <c r="I4291" s="350">
        <f>IF(G4291="Sim",0,IF(OR(F4291="",L4291=""),"",F4291))</f>
        <v/>
      </c>
      <c r="J4291" s="350">
        <f>IF(G4291="Sim",0,IF(OR(F4291="",D4291="",L4291=""),"",IF(L4291="Sim",ROUND(F4291-D4291,2),0)))</f>
        <v/>
      </c>
      <c r="K4291" s="97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inlineStr">
        <is>
          <t>Nao</t>
        </is>
      </c>
      <c r="W4291" s="110" t="inlineStr">
        <is>
          <t>PC em analise</t>
        </is>
      </c>
      <c r="X4291" s="110" t="inlineStr">
        <is>
          <t>Pedido de Compra</t>
        </is>
      </c>
      <c r="Y4291" s="111" t="inlineStr">
        <is>
          <t>Impacto Potencial</t>
        </is>
      </c>
      <c r="Z4291" s="111" t="inlineStr">
        <is>
          <t>PC</t>
        </is>
      </c>
      <c r="AA4291" s="111" t="inlineStr">
        <is>
          <t>Nao</t>
        </is>
      </c>
      <c r="AB4291" s="111" t="inlineStr">
        <is>
          <t>NAO_COMPUTADO</t>
        </is>
      </c>
      <c r="AC4291" s="112" t="inlineStr">
        <is>
          <t>Estrutura Fase 1: sem impacto no VTA oficial</t>
        </is>
      </c>
    </row>
    <row r="4292" ht="25.5" customHeight="1" s="289">
      <c r="A4292" s="205" t="n"/>
      <c r="B4292" s="207" t="n"/>
      <c r="C4292" s="104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348" t="n"/>
      <c r="E4292" s="349">
        <f>IF(C4292="","",IFERROR(VLOOKUP(C4292,parametros!$A$11:$E$15,5,0),""))</f>
        <v/>
      </c>
      <c r="F4292" s="335">
        <f>IF(OR(D4292="",E4292=""),"",ROUND(D4292*E4292,2))</f>
        <v/>
      </c>
      <c r="G4292" s="106" t="n"/>
      <c r="H4292" s="350">
        <f>IF(G4292="Sim",IF(OR(F4292="",D4292="",L4292=""),"",IF(L4292="Sim",ROUND(F4292-D4292,2),0)),0)</f>
        <v/>
      </c>
      <c r="I4292" s="350">
        <f>IF(G4292="Sim",0,IF(OR(F4292="",L4292=""),"",F4292))</f>
        <v/>
      </c>
      <c r="J4292" s="350">
        <f>IF(G4292="Sim",0,IF(OR(F4292="",D4292="",L4292=""),"",IF(L4292="Sim",ROUND(F4292-D4292,2),0)))</f>
        <v/>
      </c>
      <c r="K4292" s="97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inlineStr">
        <is>
          <t>Nao</t>
        </is>
      </c>
      <c r="W4292" s="110" t="inlineStr">
        <is>
          <t>PC em analise</t>
        </is>
      </c>
      <c r="X4292" s="110" t="inlineStr">
        <is>
          <t>Pedido de Compra</t>
        </is>
      </c>
      <c r="Y4292" s="111" t="inlineStr">
        <is>
          <t>Impacto Potencial</t>
        </is>
      </c>
      <c r="Z4292" s="111" t="inlineStr">
        <is>
          <t>PC</t>
        </is>
      </c>
      <c r="AA4292" s="111" t="inlineStr">
        <is>
          <t>Nao</t>
        </is>
      </c>
      <c r="AB4292" s="111" t="inlineStr">
        <is>
          <t>NAO_COMPUTADO</t>
        </is>
      </c>
      <c r="AC4292" s="112" t="inlineStr">
        <is>
          <t>Estrutura Fase 1: sem impacto no VTA oficial</t>
        </is>
      </c>
    </row>
    <row r="4293" ht="25.5" customHeight="1" s="289">
      <c r="A4293" s="205" t="n"/>
      <c r="B4293" s="207" t="n"/>
      <c r="C4293" s="104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348" t="n"/>
      <c r="E4293" s="349">
        <f>IF(C4293="","",IFERROR(VLOOKUP(C4293,parametros!$A$11:$E$15,5,0),""))</f>
        <v/>
      </c>
      <c r="F4293" s="335">
        <f>IF(OR(D4293="",E4293=""),"",ROUND(D4293*E4293,2))</f>
        <v/>
      </c>
      <c r="G4293" s="106" t="n"/>
      <c r="H4293" s="350">
        <f>IF(G4293="Sim",IF(OR(F4293="",D4293="",L4293=""),"",IF(L4293="Sim",ROUND(F4293-D4293,2),0)),0)</f>
        <v/>
      </c>
      <c r="I4293" s="350">
        <f>IF(G4293="Sim",0,IF(OR(F4293="",L4293=""),"",F4293))</f>
        <v/>
      </c>
      <c r="J4293" s="350">
        <f>IF(G4293="Sim",0,IF(OR(F4293="",D4293="",L4293=""),"",IF(L4293="Sim",ROUND(F4293-D4293,2),0)))</f>
        <v/>
      </c>
      <c r="K4293" s="97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inlineStr">
        <is>
          <t>Nao</t>
        </is>
      </c>
      <c r="W4293" s="110" t="inlineStr">
        <is>
          <t>PC em analise</t>
        </is>
      </c>
      <c r="X4293" s="110" t="inlineStr">
        <is>
          <t>Pedido de Compra</t>
        </is>
      </c>
      <c r="Y4293" s="111" t="inlineStr">
        <is>
          <t>Impacto Potencial</t>
        </is>
      </c>
      <c r="Z4293" s="111" t="inlineStr">
        <is>
          <t>PC</t>
        </is>
      </c>
      <c r="AA4293" s="111" t="inlineStr">
        <is>
          <t>Nao</t>
        </is>
      </c>
      <c r="AB4293" s="111" t="inlineStr">
        <is>
          <t>NAO_COMPUTADO</t>
        </is>
      </c>
      <c r="AC4293" s="112" t="inlineStr">
        <is>
          <t>Estrutura Fase 1: sem impacto no VTA oficial</t>
        </is>
      </c>
    </row>
    <row r="4294" ht="25.5" customHeight="1" s="289">
      <c r="A4294" s="205" t="n"/>
      <c r="B4294" s="207" t="n"/>
      <c r="C4294" s="104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348" t="n"/>
      <c r="E4294" s="349">
        <f>IF(C4294="","",IFERROR(VLOOKUP(C4294,parametros!$A$11:$E$15,5,0),""))</f>
        <v/>
      </c>
      <c r="F4294" s="335">
        <f>IF(OR(D4294="",E4294=""),"",ROUND(D4294*E4294,2))</f>
        <v/>
      </c>
      <c r="G4294" s="106" t="n"/>
      <c r="H4294" s="350">
        <f>IF(G4294="Sim",IF(OR(F4294="",D4294="",L4294=""),"",IF(L4294="Sim",ROUND(F4294-D4294,2),0)),0)</f>
        <v/>
      </c>
      <c r="I4294" s="350">
        <f>IF(G4294="Sim",0,IF(OR(F4294="",L4294=""),"",F4294))</f>
        <v/>
      </c>
      <c r="J4294" s="350">
        <f>IF(G4294="Sim",0,IF(OR(F4294="",D4294="",L4294=""),"",IF(L4294="Sim",ROUND(F4294-D4294,2),0)))</f>
        <v/>
      </c>
      <c r="K4294" s="97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inlineStr">
        <is>
          <t>Nao</t>
        </is>
      </c>
      <c r="W4294" s="110" t="inlineStr">
        <is>
          <t>PC em analise</t>
        </is>
      </c>
      <c r="X4294" s="110" t="inlineStr">
        <is>
          <t>Pedido de Compra</t>
        </is>
      </c>
      <c r="Y4294" s="111" t="inlineStr">
        <is>
          <t>Impacto Potencial</t>
        </is>
      </c>
      <c r="Z4294" s="111" t="inlineStr">
        <is>
          <t>PC</t>
        </is>
      </c>
      <c r="AA4294" s="111" t="inlineStr">
        <is>
          <t>Nao</t>
        </is>
      </c>
      <c r="AB4294" s="111" t="inlineStr">
        <is>
          <t>NAO_COMPUTADO</t>
        </is>
      </c>
      <c r="AC4294" s="112" t="inlineStr">
        <is>
          <t>Estrutura Fase 1: sem impacto no VTA oficial</t>
        </is>
      </c>
    </row>
    <row r="4295" ht="25.5" customHeight="1" s="289">
      <c r="A4295" s="205" t="n"/>
      <c r="B4295" s="207" t="n"/>
      <c r="C4295" s="104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348" t="n"/>
      <c r="E4295" s="349">
        <f>IF(C4295="","",IFERROR(VLOOKUP(C4295,parametros!$A$11:$E$15,5,0),""))</f>
        <v/>
      </c>
      <c r="F4295" s="335">
        <f>IF(OR(D4295="",E4295=""),"",ROUND(D4295*E4295,2))</f>
        <v/>
      </c>
      <c r="G4295" s="106" t="n"/>
      <c r="H4295" s="350">
        <f>IF(G4295="Sim",IF(OR(F4295="",D4295="",L4295=""),"",IF(L4295="Sim",ROUND(F4295-D4295,2),0)),0)</f>
        <v/>
      </c>
      <c r="I4295" s="350">
        <f>IF(G4295="Sim",0,IF(OR(F4295="",L4295=""),"",F4295))</f>
        <v/>
      </c>
      <c r="J4295" s="350">
        <f>IF(G4295="Sim",0,IF(OR(F4295="",D4295="",L4295=""),"",IF(L4295="Sim",ROUND(F4295-D4295,2),0)))</f>
        <v/>
      </c>
      <c r="K4295" s="97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inlineStr">
        <is>
          <t>Nao</t>
        </is>
      </c>
      <c r="W4295" s="110" t="inlineStr">
        <is>
          <t>PC em analise</t>
        </is>
      </c>
      <c r="X4295" s="110" t="inlineStr">
        <is>
          <t>Pedido de Compra</t>
        </is>
      </c>
      <c r="Y4295" s="111" t="inlineStr">
        <is>
          <t>Impacto Potencial</t>
        </is>
      </c>
      <c r="Z4295" s="111" t="inlineStr">
        <is>
          <t>PC</t>
        </is>
      </c>
      <c r="AA4295" s="111" t="inlineStr">
        <is>
          <t>Nao</t>
        </is>
      </c>
      <c r="AB4295" s="111" t="inlineStr">
        <is>
          <t>NAO_COMPUTADO</t>
        </is>
      </c>
      <c r="AC4295" s="112" t="inlineStr">
        <is>
          <t>Estrutura Fase 1: sem impacto no VTA oficial</t>
        </is>
      </c>
    </row>
    <row r="4296" ht="25.5" customHeight="1" s="289">
      <c r="A4296" s="205" t="n"/>
      <c r="B4296" s="207" t="n"/>
      <c r="C4296" s="104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348" t="n"/>
      <c r="E4296" s="349">
        <f>IF(C4296="","",IFERROR(VLOOKUP(C4296,parametros!$A$11:$E$15,5,0),""))</f>
        <v/>
      </c>
      <c r="F4296" s="335">
        <f>IF(OR(D4296="",E4296=""),"",ROUND(D4296*E4296,2))</f>
        <v/>
      </c>
      <c r="G4296" s="106" t="n"/>
      <c r="H4296" s="350">
        <f>IF(G4296="Sim",IF(OR(F4296="",D4296="",L4296=""),"",IF(L4296="Sim",ROUND(F4296-D4296,2),0)),0)</f>
        <v/>
      </c>
      <c r="I4296" s="350">
        <f>IF(G4296="Sim",0,IF(OR(F4296="",L4296=""),"",F4296))</f>
        <v/>
      </c>
      <c r="J4296" s="350">
        <f>IF(G4296="Sim",0,IF(OR(F4296="",D4296="",L4296=""),"",IF(L4296="Sim",ROUND(F4296-D4296,2),0)))</f>
        <v/>
      </c>
      <c r="K4296" s="97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inlineStr">
        <is>
          <t>Nao</t>
        </is>
      </c>
      <c r="W4296" s="110" t="inlineStr">
        <is>
          <t>PC em analise</t>
        </is>
      </c>
      <c r="X4296" s="110" t="inlineStr">
        <is>
          <t>Pedido de Compra</t>
        </is>
      </c>
      <c r="Y4296" s="111" t="inlineStr">
        <is>
          <t>Impacto Potencial</t>
        </is>
      </c>
      <c r="Z4296" s="111" t="inlineStr">
        <is>
          <t>PC</t>
        </is>
      </c>
      <c r="AA4296" s="111" t="inlineStr">
        <is>
          <t>Nao</t>
        </is>
      </c>
      <c r="AB4296" s="111" t="inlineStr">
        <is>
          <t>NAO_COMPUTADO</t>
        </is>
      </c>
      <c r="AC4296" s="112" t="inlineStr">
        <is>
          <t>Estrutura Fase 1: sem impacto no VTA oficial</t>
        </is>
      </c>
    </row>
    <row r="4297" ht="25.5" customHeight="1" s="289">
      <c r="A4297" s="205" t="n"/>
      <c r="B4297" s="207" t="n"/>
      <c r="C4297" s="104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348" t="n"/>
      <c r="E4297" s="349">
        <f>IF(C4297="","",IFERROR(VLOOKUP(C4297,parametros!$A$11:$E$15,5,0),""))</f>
        <v/>
      </c>
      <c r="F4297" s="335">
        <f>IF(OR(D4297="",E4297=""),"",ROUND(D4297*E4297,2))</f>
        <v/>
      </c>
      <c r="G4297" s="106" t="n"/>
      <c r="H4297" s="350">
        <f>IF(G4297="Sim",IF(OR(F4297="",D4297="",L4297=""),"",IF(L4297="Sim",ROUND(F4297-D4297,2),0)),0)</f>
        <v/>
      </c>
      <c r="I4297" s="350">
        <f>IF(G4297="Sim",0,IF(OR(F4297="",L4297=""),"",F4297))</f>
        <v/>
      </c>
      <c r="J4297" s="350">
        <f>IF(G4297="Sim",0,IF(OR(F4297="",D4297="",L4297=""),"",IF(L4297="Sim",ROUND(F4297-D4297,2),0)))</f>
        <v/>
      </c>
      <c r="K4297" s="97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inlineStr">
        <is>
          <t>Nao</t>
        </is>
      </c>
      <c r="W4297" s="110" t="inlineStr">
        <is>
          <t>PC em analise</t>
        </is>
      </c>
      <c r="X4297" s="110" t="inlineStr">
        <is>
          <t>Pedido de Compra</t>
        </is>
      </c>
      <c r="Y4297" s="111" t="inlineStr">
        <is>
          <t>Impacto Potencial</t>
        </is>
      </c>
      <c r="Z4297" s="111" t="inlineStr">
        <is>
          <t>PC</t>
        </is>
      </c>
      <c r="AA4297" s="111" t="inlineStr">
        <is>
          <t>Nao</t>
        </is>
      </c>
      <c r="AB4297" s="111" t="inlineStr">
        <is>
          <t>NAO_COMPUTADO</t>
        </is>
      </c>
      <c r="AC4297" s="112" t="inlineStr">
        <is>
          <t>Estrutura Fase 1: sem impacto no VTA oficial</t>
        </is>
      </c>
    </row>
    <row r="4298" ht="25.5" customHeight="1" s="289">
      <c r="A4298" s="205" t="n"/>
      <c r="B4298" s="207" t="n"/>
      <c r="C4298" s="104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348" t="n"/>
      <c r="E4298" s="349">
        <f>IF(C4298="","",IFERROR(VLOOKUP(C4298,parametros!$A$11:$E$15,5,0),""))</f>
        <v/>
      </c>
      <c r="F4298" s="335">
        <f>IF(OR(D4298="",E4298=""),"",ROUND(D4298*E4298,2))</f>
        <v/>
      </c>
      <c r="G4298" s="106" t="n"/>
      <c r="H4298" s="350">
        <f>IF(G4298="Sim",IF(OR(F4298="",D4298="",L4298=""),"",IF(L4298="Sim",ROUND(F4298-D4298,2),0)),0)</f>
        <v/>
      </c>
      <c r="I4298" s="350">
        <f>IF(G4298="Sim",0,IF(OR(F4298="",L4298=""),"",F4298))</f>
        <v/>
      </c>
      <c r="J4298" s="350">
        <f>IF(G4298="Sim",0,IF(OR(F4298="",D4298="",L4298=""),"",IF(L4298="Sim",ROUND(F4298-D4298,2),0)))</f>
        <v/>
      </c>
      <c r="K4298" s="97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inlineStr">
        <is>
          <t>Nao</t>
        </is>
      </c>
      <c r="W4298" s="110" t="inlineStr">
        <is>
          <t>PC em analise</t>
        </is>
      </c>
      <c r="X4298" s="110" t="inlineStr">
        <is>
          <t>Pedido de Compra</t>
        </is>
      </c>
      <c r="Y4298" s="111" t="inlineStr">
        <is>
          <t>Impacto Potencial</t>
        </is>
      </c>
      <c r="Z4298" s="111" t="inlineStr">
        <is>
          <t>PC</t>
        </is>
      </c>
      <c r="AA4298" s="111" t="inlineStr">
        <is>
          <t>Nao</t>
        </is>
      </c>
      <c r="AB4298" s="111" t="inlineStr">
        <is>
          <t>NAO_COMPUTADO</t>
        </is>
      </c>
      <c r="AC4298" s="112" t="inlineStr">
        <is>
          <t>Estrutura Fase 1: sem impacto no VTA oficial</t>
        </is>
      </c>
    </row>
    <row r="4299" ht="25.5" customHeight="1" s="289">
      <c r="A4299" s="205" t="n"/>
      <c r="B4299" s="207" t="n"/>
      <c r="C4299" s="104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348" t="n"/>
      <c r="E4299" s="349">
        <f>IF(C4299="","",IFERROR(VLOOKUP(C4299,parametros!$A$11:$E$15,5,0),""))</f>
        <v/>
      </c>
      <c r="F4299" s="335">
        <f>IF(OR(D4299="",E4299=""),"",ROUND(D4299*E4299,2))</f>
        <v/>
      </c>
      <c r="G4299" s="106" t="n"/>
      <c r="H4299" s="350">
        <f>IF(G4299="Sim",IF(OR(F4299="",D4299="",L4299=""),"",IF(L4299="Sim",ROUND(F4299-D4299,2),0)),0)</f>
        <v/>
      </c>
      <c r="I4299" s="350">
        <f>IF(G4299="Sim",0,IF(OR(F4299="",L4299=""),"",F4299))</f>
        <v/>
      </c>
      <c r="J4299" s="350">
        <f>IF(G4299="Sim",0,IF(OR(F4299="",D4299="",L4299=""),"",IF(L4299="Sim",ROUND(F4299-D4299,2),0)))</f>
        <v/>
      </c>
      <c r="K4299" s="97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inlineStr">
        <is>
          <t>Nao</t>
        </is>
      </c>
      <c r="W4299" s="110" t="inlineStr">
        <is>
          <t>PC em analise</t>
        </is>
      </c>
      <c r="X4299" s="110" t="inlineStr">
        <is>
          <t>Pedido de Compra</t>
        </is>
      </c>
      <c r="Y4299" s="111" t="inlineStr">
        <is>
          <t>Impacto Potencial</t>
        </is>
      </c>
      <c r="Z4299" s="111" t="inlineStr">
        <is>
          <t>PC</t>
        </is>
      </c>
      <c r="AA4299" s="111" t="inlineStr">
        <is>
          <t>Nao</t>
        </is>
      </c>
      <c r="AB4299" s="111" t="inlineStr">
        <is>
          <t>NAO_COMPUTADO</t>
        </is>
      </c>
      <c r="AC4299" s="112" t="inlineStr">
        <is>
          <t>Estrutura Fase 1: sem impacto no VTA oficial</t>
        </is>
      </c>
    </row>
    <row r="4300" ht="25.5" customHeight="1" s="289">
      <c r="A4300" s="205" t="n"/>
      <c r="B4300" s="207" t="n"/>
      <c r="C4300" s="104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348" t="n"/>
      <c r="E4300" s="349">
        <f>IF(C4300="","",IFERROR(VLOOKUP(C4300,parametros!$A$11:$E$15,5,0),""))</f>
        <v/>
      </c>
      <c r="F4300" s="335">
        <f>IF(OR(D4300="",E4300=""),"",ROUND(D4300*E4300,2))</f>
        <v/>
      </c>
      <c r="G4300" s="106" t="n"/>
      <c r="H4300" s="350">
        <f>IF(G4300="Sim",IF(OR(F4300="",D4300="",L4300=""),"",IF(L4300="Sim",ROUND(F4300-D4300,2),0)),0)</f>
        <v/>
      </c>
      <c r="I4300" s="350">
        <f>IF(G4300="Sim",0,IF(OR(F4300="",L4300=""),"",F4300))</f>
        <v/>
      </c>
      <c r="J4300" s="350">
        <f>IF(G4300="Sim",0,IF(OR(F4300="",D4300="",L4300=""),"",IF(L4300="Sim",ROUND(F4300-D4300,2),0)))</f>
        <v/>
      </c>
      <c r="K4300" s="97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inlineStr">
        <is>
          <t>Nao</t>
        </is>
      </c>
      <c r="W4300" s="110" t="inlineStr">
        <is>
          <t>PC em analise</t>
        </is>
      </c>
      <c r="X4300" s="110" t="inlineStr">
        <is>
          <t>Pedido de Compra</t>
        </is>
      </c>
      <c r="Y4300" s="111" t="inlineStr">
        <is>
          <t>Impacto Potencial</t>
        </is>
      </c>
      <c r="Z4300" s="111" t="inlineStr">
        <is>
          <t>PC</t>
        </is>
      </c>
      <c r="AA4300" s="111" t="inlineStr">
        <is>
          <t>Nao</t>
        </is>
      </c>
      <c r="AB4300" s="111" t="inlineStr">
        <is>
          <t>NAO_COMPUTADO</t>
        </is>
      </c>
      <c r="AC4300" s="112" t="inlineStr">
        <is>
          <t>Estrutura Fase 1: sem impacto no VTA oficial</t>
        </is>
      </c>
    </row>
    <row r="4301" ht="25.5" customHeight="1" s="289">
      <c r="A4301" s="205" t="n"/>
      <c r="B4301" s="207" t="n"/>
      <c r="C4301" s="104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348" t="n"/>
      <c r="E4301" s="349">
        <f>IF(C4301="","",IFERROR(VLOOKUP(C4301,parametros!$A$11:$E$15,5,0),""))</f>
        <v/>
      </c>
      <c r="F4301" s="335">
        <f>IF(OR(D4301="",E4301=""),"",ROUND(D4301*E4301,2))</f>
        <v/>
      </c>
      <c r="G4301" s="106" t="n"/>
      <c r="H4301" s="350">
        <f>IF(G4301="Sim",IF(OR(F4301="",D4301="",L4301=""),"",IF(L4301="Sim",ROUND(F4301-D4301,2),0)),0)</f>
        <v/>
      </c>
      <c r="I4301" s="350">
        <f>IF(G4301="Sim",0,IF(OR(F4301="",L4301=""),"",F4301))</f>
        <v/>
      </c>
      <c r="J4301" s="350">
        <f>IF(G4301="Sim",0,IF(OR(F4301="",D4301="",L4301=""),"",IF(L4301="Sim",ROUND(F4301-D4301,2),0)))</f>
        <v/>
      </c>
      <c r="K4301" s="97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inlineStr">
        <is>
          <t>Nao</t>
        </is>
      </c>
      <c r="W4301" s="110" t="inlineStr">
        <is>
          <t>PC em analise</t>
        </is>
      </c>
      <c r="X4301" s="110" t="inlineStr">
        <is>
          <t>Pedido de Compra</t>
        </is>
      </c>
      <c r="Y4301" s="111" t="inlineStr">
        <is>
          <t>Impacto Potencial</t>
        </is>
      </c>
      <c r="Z4301" s="111" t="inlineStr">
        <is>
          <t>PC</t>
        </is>
      </c>
      <c r="AA4301" s="111" t="inlineStr">
        <is>
          <t>Nao</t>
        </is>
      </c>
      <c r="AB4301" s="111" t="inlineStr">
        <is>
          <t>NAO_COMPUTADO</t>
        </is>
      </c>
      <c r="AC4301" s="112" t="inlineStr">
        <is>
          <t>Estrutura Fase 1: sem impacto no VTA oficial</t>
        </is>
      </c>
    </row>
    <row r="4302" ht="25.5" customHeight="1" s="289">
      <c r="A4302" s="205" t="n"/>
      <c r="B4302" s="207" t="n"/>
      <c r="C4302" s="104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348" t="n"/>
      <c r="E4302" s="349">
        <f>IF(C4302="","",IFERROR(VLOOKUP(C4302,parametros!$A$11:$E$15,5,0),""))</f>
        <v/>
      </c>
      <c r="F4302" s="335">
        <f>IF(OR(D4302="",E4302=""),"",ROUND(D4302*E4302,2))</f>
        <v/>
      </c>
      <c r="G4302" s="106" t="n"/>
      <c r="H4302" s="350">
        <f>IF(G4302="Sim",IF(OR(F4302="",D4302="",L4302=""),"",IF(L4302="Sim",ROUND(F4302-D4302,2),0)),0)</f>
        <v/>
      </c>
      <c r="I4302" s="350">
        <f>IF(G4302="Sim",0,IF(OR(F4302="",L4302=""),"",F4302))</f>
        <v/>
      </c>
      <c r="J4302" s="350">
        <f>IF(G4302="Sim",0,IF(OR(F4302="",D4302="",L4302=""),"",IF(L4302="Sim",ROUND(F4302-D4302,2),0)))</f>
        <v/>
      </c>
      <c r="K4302" s="97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inlineStr">
        <is>
          <t>Nao</t>
        </is>
      </c>
      <c r="W4302" s="110" t="inlineStr">
        <is>
          <t>PC em analise</t>
        </is>
      </c>
      <c r="X4302" s="110" t="inlineStr">
        <is>
          <t>Pedido de Compra</t>
        </is>
      </c>
      <c r="Y4302" s="111" t="inlineStr">
        <is>
          <t>Impacto Potencial</t>
        </is>
      </c>
      <c r="Z4302" s="111" t="inlineStr">
        <is>
          <t>PC</t>
        </is>
      </c>
      <c r="AA4302" s="111" t="inlineStr">
        <is>
          <t>Nao</t>
        </is>
      </c>
      <c r="AB4302" s="111" t="inlineStr">
        <is>
          <t>NAO_COMPUTADO</t>
        </is>
      </c>
      <c r="AC4302" s="112" t="inlineStr">
        <is>
          <t>Estrutura Fase 1: sem impacto no VTA oficial</t>
        </is>
      </c>
    </row>
    <row r="4303" ht="25.5" customHeight="1" s="289">
      <c r="A4303" s="205" t="n"/>
      <c r="B4303" s="207" t="n"/>
      <c r="C4303" s="104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348" t="n"/>
      <c r="E4303" s="349">
        <f>IF(C4303="","",IFERROR(VLOOKUP(C4303,parametros!$A$11:$E$15,5,0),""))</f>
        <v/>
      </c>
      <c r="F4303" s="335">
        <f>IF(OR(D4303="",E4303=""),"",ROUND(D4303*E4303,2))</f>
        <v/>
      </c>
      <c r="G4303" s="106" t="n"/>
      <c r="H4303" s="350">
        <f>IF(G4303="Sim",IF(OR(F4303="",D4303="",L4303=""),"",IF(L4303="Sim",ROUND(F4303-D4303,2),0)),0)</f>
        <v/>
      </c>
      <c r="I4303" s="350">
        <f>IF(G4303="Sim",0,IF(OR(F4303="",L4303=""),"",F4303))</f>
        <v/>
      </c>
      <c r="J4303" s="350">
        <f>IF(G4303="Sim",0,IF(OR(F4303="",D4303="",L4303=""),"",IF(L4303="Sim",ROUND(F4303-D4303,2),0)))</f>
        <v/>
      </c>
      <c r="K4303" s="97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inlineStr">
        <is>
          <t>Nao</t>
        </is>
      </c>
      <c r="W4303" s="110" t="inlineStr">
        <is>
          <t>PC em analise</t>
        </is>
      </c>
      <c r="X4303" s="110" t="inlineStr">
        <is>
          <t>Pedido de Compra</t>
        </is>
      </c>
      <c r="Y4303" s="111" t="inlineStr">
        <is>
          <t>Impacto Potencial</t>
        </is>
      </c>
      <c r="Z4303" s="111" t="inlineStr">
        <is>
          <t>PC</t>
        </is>
      </c>
      <c r="AA4303" s="111" t="inlineStr">
        <is>
          <t>Nao</t>
        </is>
      </c>
      <c r="AB4303" s="111" t="inlineStr">
        <is>
          <t>NAO_COMPUTADO</t>
        </is>
      </c>
      <c r="AC4303" s="112" t="inlineStr">
        <is>
          <t>Estrutura Fase 1: sem impacto no VTA oficial</t>
        </is>
      </c>
    </row>
    <row r="4304" ht="25.5" customHeight="1" s="289">
      <c r="A4304" s="205" t="n"/>
      <c r="B4304" s="207" t="n"/>
      <c r="C4304" s="104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348" t="n"/>
      <c r="E4304" s="349">
        <f>IF(C4304="","",IFERROR(VLOOKUP(C4304,parametros!$A$11:$E$15,5,0),""))</f>
        <v/>
      </c>
      <c r="F4304" s="335">
        <f>IF(OR(D4304="",E4304=""),"",ROUND(D4304*E4304,2))</f>
        <v/>
      </c>
      <c r="G4304" s="106" t="n"/>
      <c r="H4304" s="350">
        <f>IF(G4304="Sim",IF(OR(F4304="",D4304="",L4304=""),"",IF(L4304="Sim",ROUND(F4304-D4304,2),0)),0)</f>
        <v/>
      </c>
      <c r="I4304" s="350">
        <f>IF(G4304="Sim",0,IF(OR(F4304="",L4304=""),"",F4304))</f>
        <v/>
      </c>
      <c r="J4304" s="350">
        <f>IF(G4304="Sim",0,IF(OR(F4304="",D4304="",L4304=""),"",IF(L4304="Sim",ROUND(F4304-D4304,2),0)))</f>
        <v/>
      </c>
      <c r="K4304" s="97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inlineStr">
        <is>
          <t>Nao</t>
        </is>
      </c>
      <c r="W4304" s="110" t="inlineStr">
        <is>
          <t>PC em analise</t>
        </is>
      </c>
      <c r="X4304" s="110" t="inlineStr">
        <is>
          <t>Pedido de Compra</t>
        </is>
      </c>
      <c r="Y4304" s="111" t="inlineStr">
        <is>
          <t>Impacto Potencial</t>
        </is>
      </c>
      <c r="Z4304" s="111" t="inlineStr">
        <is>
          <t>PC</t>
        </is>
      </c>
      <c r="AA4304" s="111" t="inlineStr">
        <is>
          <t>Nao</t>
        </is>
      </c>
      <c r="AB4304" s="111" t="inlineStr">
        <is>
          <t>NAO_COMPUTADO</t>
        </is>
      </c>
      <c r="AC4304" s="112" t="inlineStr">
        <is>
          <t>Estrutura Fase 1: sem impacto no VTA oficial</t>
        </is>
      </c>
    </row>
    <row r="4305" ht="25.5" customHeight="1" s="289">
      <c r="A4305" s="205" t="n"/>
      <c r="B4305" s="207" t="n"/>
      <c r="C4305" s="104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348" t="n"/>
      <c r="E4305" s="349">
        <f>IF(C4305="","",IFERROR(VLOOKUP(C4305,parametros!$A$11:$E$15,5,0),""))</f>
        <v/>
      </c>
      <c r="F4305" s="335">
        <f>IF(OR(D4305="",E4305=""),"",ROUND(D4305*E4305,2))</f>
        <v/>
      </c>
      <c r="G4305" s="106" t="n"/>
      <c r="H4305" s="350">
        <f>IF(G4305="Sim",IF(OR(F4305="",D4305="",L4305=""),"",IF(L4305="Sim",ROUND(F4305-D4305,2),0)),0)</f>
        <v/>
      </c>
      <c r="I4305" s="350">
        <f>IF(G4305="Sim",0,IF(OR(F4305="",L4305=""),"",F4305))</f>
        <v/>
      </c>
      <c r="J4305" s="350">
        <f>IF(G4305="Sim",0,IF(OR(F4305="",D4305="",L4305=""),"",IF(L4305="Sim",ROUND(F4305-D4305,2),0)))</f>
        <v/>
      </c>
      <c r="K4305" s="97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inlineStr">
        <is>
          <t>Nao</t>
        </is>
      </c>
      <c r="W4305" s="110" t="inlineStr">
        <is>
          <t>PC em analise</t>
        </is>
      </c>
      <c r="X4305" s="110" t="inlineStr">
        <is>
          <t>Pedido de Compra</t>
        </is>
      </c>
      <c r="Y4305" s="111" t="inlineStr">
        <is>
          <t>Impacto Potencial</t>
        </is>
      </c>
      <c r="Z4305" s="111" t="inlineStr">
        <is>
          <t>PC</t>
        </is>
      </c>
      <c r="AA4305" s="111" t="inlineStr">
        <is>
          <t>Nao</t>
        </is>
      </c>
      <c r="AB4305" s="111" t="inlineStr">
        <is>
          <t>NAO_COMPUTADO</t>
        </is>
      </c>
      <c r="AC4305" s="112" t="inlineStr">
        <is>
          <t>Estrutura Fase 1: sem impacto no VTA oficial</t>
        </is>
      </c>
    </row>
    <row r="4306" ht="25.5" customHeight="1" s="289">
      <c r="A4306" s="205" t="n"/>
      <c r="B4306" s="207" t="n"/>
      <c r="C4306" s="104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348" t="n"/>
      <c r="E4306" s="349">
        <f>IF(C4306="","",IFERROR(VLOOKUP(C4306,parametros!$A$11:$E$15,5,0),""))</f>
        <v/>
      </c>
      <c r="F4306" s="335">
        <f>IF(OR(D4306="",E4306=""),"",ROUND(D4306*E4306,2))</f>
        <v/>
      </c>
      <c r="G4306" s="106" t="n"/>
      <c r="H4306" s="350">
        <f>IF(G4306="Sim",IF(OR(F4306="",D4306="",L4306=""),"",IF(L4306="Sim",ROUND(F4306-D4306,2),0)),0)</f>
        <v/>
      </c>
      <c r="I4306" s="350">
        <f>IF(G4306="Sim",0,IF(OR(F4306="",L4306=""),"",F4306))</f>
        <v/>
      </c>
      <c r="J4306" s="350">
        <f>IF(G4306="Sim",0,IF(OR(F4306="",D4306="",L4306=""),"",IF(L4306="Sim",ROUND(F4306-D4306,2),0)))</f>
        <v/>
      </c>
      <c r="K4306" s="97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inlineStr">
        <is>
          <t>Nao</t>
        </is>
      </c>
      <c r="W4306" s="110" t="inlineStr">
        <is>
          <t>PC em analise</t>
        </is>
      </c>
      <c r="X4306" s="110" t="inlineStr">
        <is>
          <t>Pedido de Compra</t>
        </is>
      </c>
      <c r="Y4306" s="111" t="inlineStr">
        <is>
          <t>Impacto Potencial</t>
        </is>
      </c>
      <c r="Z4306" s="111" t="inlineStr">
        <is>
          <t>PC</t>
        </is>
      </c>
      <c r="AA4306" s="111" t="inlineStr">
        <is>
          <t>Nao</t>
        </is>
      </c>
      <c r="AB4306" s="111" t="inlineStr">
        <is>
          <t>NAO_COMPUTADO</t>
        </is>
      </c>
      <c r="AC4306" s="112" t="inlineStr">
        <is>
          <t>Estrutura Fase 1: sem impacto no VTA oficial</t>
        </is>
      </c>
    </row>
    <row r="4307" ht="25.5" customHeight="1" s="289">
      <c r="A4307" s="205" t="n"/>
      <c r="B4307" s="207" t="n"/>
      <c r="C4307" s="104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348" t="n"/>
      <c r="E4307" s="349">
        <f>IF(C4307="","",IFERROR(VLOOKUP(C4307,parametros!$A$11:$E$15,5,0),""))</f>
        <v/>
      </c>
      <c r="F4307" s="335">
        <f>IF(OR(D4307="",E4307=""),"",ROUND(D4307*E4307,2))</f>
        <v/>
      </c>
      <c r="G4307" s="106" t="n"/>
      <c r="H4307" s="350">
        <f>IF(G4307="Sim",IF(OR(F4307="",D4307="",L4307=""),"",IF(L4307="Sim",ROUND(F4307-D4307,2),0)),0)</f>
        <v/>
      </c>
      <c r="I4307" s="350">
        <f>IF(G4307="Sim",0,IF(OR(F4307="",L4307=""),"",F4307))</f>
        <v/>
      </c>
      <c r="J4307" s="350">
        <f>IF(G4307="Sim",0,IF(OR(F4307="",D4307="",L4307=""),"",IF(L4307="Sim",ROUND(F4307-D4307,2),0)))</f>
        <v/>
      </c>
      <c r="K4307" s="97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inlineStr">
        <is>
          <t>Nao</t>
        </is>
      </c>
      <c r="W4307" s="110" t="inlineStr">
        <is>
          <t>PC em analise</t>
        </is>
      </c>
      <c r="X4307" s="110" t="inlineStr">
        <is>
          <t>Pedido de Compra</t>
        </is>
      </c>
      <c r="Y4307" s="111" t="inlineStr">
        <is>
          <t>Impacto Potencial</t>
        </is>
      </c>
      <c r="Z4307" s="111" t="inlineStr">
        <is>
          <t>PC</t>
        </is>
      </c>
      <c r="AA4307" s="111" t="inlineStr">
        <is>
          <t>Nao</t>
        </is>
      </c>
      <c r="AB4307" s="111" t="inlineStr">
        <is>
          <t>NAO_COMPUTADO</t>
        </is>
      </c>
      <c r="AC4307" s="112" t="inlineStr">
        <is>
          <t>Estrutura Fase 1: sem impacto no VTA oficial</t>
        </is>
      </c>
    </row>
    <row r="4308" ht="25.5" customHeight="1" s="289">
      <c r="A4308" s="205" t="n"/>
      <c r="B4308" s="207" t="n"/>
      <c r="C4308" s="104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348" t="n"/>
      <c r="E4308" s="349">
        <f>IF(C4308="","",IFERROR(VLOOKUP(C4308,parametros!$A$11:$E$15,5,0),""))</f>
        <v/>
      </c>
      <c r="F4308" s="335">
        <f>IF(OR(D4308="",E4308=""),"",ROUND(D4308*E4308,2))</f>
        <v/>
      </c>
      <c r="G4308" s="106" t="n"/>
      <c r="H4308" s="350">
        <f>IF(G4308="Sim",IF(OR(F4308="",D4308="",L4308=""),"",IF(L4308="Sim",ROUND(F4308-D4308,2),0)),0)</f>
        <v/>
      </c>
      <c r="I4308" s="350">
        <f>IF(G4308="Sim",0,IF(OR(F4308="",L4308=""),"",F4308))</f>
        <v/>
      </c>
      <c r="J4308" s="350">
        <f>IF(G4308="Sim",0,IF(OR(F4308="",D4308="",L4308=""),"",IF(L4308="Sim",ROUND(F4308-D4308,2),0)))</f>
        <v/>
      </c>
      <c r="K4308" s="97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inlineStr">
        <is>
          <t>Nao</t>
        </is>
      </c>
      <c r="W4308" s="110" t="inlineStr">
        <is>
          <t>PC em analise</t>
        </is>
      </c>
      <c r="X4308" s="110" t="inlineStr">
        <is>
          <t>Pedido de Compra</t>
        </is>
      </c>
      <c r="Y4308" s="111" t="inlineStr">
        <is>
          <t>Impacto Potencial</t>
        </is>
      </c>
      <c r="Z4308" s="111" t="inlineStr">
        <is>
          <t>PC</t>
        </is>
      </c>
      <c r="AA4308" s="111" t="inlineStr">
        <is>
          <t>Nao</t>
        </is>
      </c>
      <c r="AB4308" s="111" t="inlineStr">
        <is>
          <t>NAO_COMPUTADO</t>
        </is>
      </c>
      <c r="AC4308" s="112" t="inlineStr">
        <is>
          <t>Estrutura Fase 1: sem impacto no VTA oficial</t>
        </is>
      </c>
    </row>
    <row r="4309" ht="25.5" customHeight="1" s="289">
      <c r="A4309" s="205" t="n"/>
      <c r="B4309" s="207" t="n"/>
      <c r="C4309" s="104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348" t="n"/>
      <c r="E4309" s="349">
        <f>IF(C4309="","",IFERROR(VLOOKUP(C4309,parametros!$A$11:$E$15,5,0),""))</f>
        <v/>
      </c>
      <c r="F4309" s="335">
        <f>IF(OR(D4309="",E4309=""),"",ROUND(D4309*E4309,2))</f>
        <v/>
      </c>
      <c r="G4309" s="106" t="n"/>
      <c r="H4309" s="350">
        <f>IF(G4309="Sim",IF(OR(F4309="",D4309="",L4309=""),"",IF(L4309="Sim",ROUND(F4309-D4309,2),0)),0)</f>
        <v/>
      </c>
      <c r="I4309" s="350">
        <f>IF(G4309="Sim",0,IF(OR(F4309="",L4309=""),"",F4309))</f>
        <v/>
      </c>
      <c r="J4309" s="350">
        <f>IF(G4309="Sim",0,IF(OR(F4309="",D4309="",L4309=""),"",IF(L4309="Sim",ROUND(F4309-D4309,2),0)))</f>
        <v/>
      </c>
      <c r="K4309" s="97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inlineStr">
        <is>
          <t>Nao</t>
        </is>
      </c>
      <c r="W4309" s="110" t="inlineStr">
        <is>
          <t>PC em analise</t>
        </is>
      </c>
      <c r="X4309" s="110" t="inlineStr">
        <is>
          <t>Pedido de Compra</t>
        </is>
      </c>
      <c r="Y4309" s="111" t="inlineStr">
        <is>
          <t>Impacto Potencial</t>
        </is>
      </c>
      <c r="Z4309" s="111" t="inlineStr">
        <is>
          <t>PC</t>
        </is>
      </c>
      <c r="AA4309" s="111" t="inlineStr">
        <is>
          <t>Nao</t>
        </is>
      </c>
      <c r="AB4309" s="111" t="inlineStr">
        <is>
          <t>NAO_COMPUTADO</t>
        </is>
      </c>
      <c r="AC4309" s="112" t="inlineStr">
        <is>
          <t>Estrutura Fase 1: sem impacto no VTA oficial</t>
        </is>
      </c>
    </row>
    <row r="4310" ht="25.5" customHeight="1" s="289">
      <c r="A4310" s="205" t="n"/>
      <c r="B4310" s="207" t="n"/>
      <c r="C4310" s="104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348" t="n"/>
      <c r="E4310" s="349">
        <f>IF(C4310="","",IFERROR(VLOOKUP(C4310,parametros!$A$11:$E$15,5,0),""))</f>
        <v/>
      </c>
      <c r="F4310" s="335">
        <f>IF(OR(D4310="",E4310=""),"",ROUND(D4310*E4310,2))</f>
        <v/>
      </c>
      <c r="G4310" s="106" t="n"/>
      <c r="H4310" s="350">
        <f>IF(G4310="Sim",IF(OR(F4310="",D4310="",L4310=""),"",IF(L4310="Sim",ROUND(F4310-D4310,2),0)),0)</f>
        <v/>
      </c>
      <c r="I4310" s="350">
        <f>IF(G4310="Sim",0,IF(OR(F4310="",L4310=""),"",F4310))</f>
        <v/>
      </c>
      <c r="J4310" s="350">
        <f>IF(G4310="Sim",0,IF(OR(F4310="",D4310="",L4310=""),"",IF(L4310="Sim",ROUND(F4310-D4310,2),0)))</f>
        <v/>
      </c>
      <c r="K4310" s="97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inlineStr">
        <is>
          <t>Nao</t>
        </is>
      </c>
      <c r="W4310" s="110" t="inlineStr">
        <is>
          <t>PC em analise</t>
        </is>
      </c>
      <c r="X4310" s="110" t="inlineStr">
        <is>
          <t>Pedido de Compra</t>
        </is>
      </c>
      <c r="Y4310" s="111" t="inlineStr">
        <is>
          <t>Impacto Potencial</t>
        </is>
      </c>
      <c r="Z4310" s="111" t="inlineStr">
        <is>
          <t>PC</t>
        </is>
      </c>
      <c r="AA4310" s="111" t="inlineStr">
        <is>
          <t>Nao</t>
        </is>
      </c>
      <c r="AB4310" s="111" t="inlineStr">
        <is>
          <t>NAO_COMPUTADO</t>
        </is>
      </c>
      <c r="AC4310" s="112" t="inlineStr">
        <is>
          <t>Estrutura Fase 1: sem impacto no VTA oficial</t>
        </is>
      </c>
    </row>
    <row r="4311" ht="25.5" customHeight="1" s="289">
      <c r="A4311" s="205" t="n"/>
      <c r="B4311" s="207" t="n"/>
      <c r="C4311" s="104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348" t="n"/>
      <c r="E4311" s="349">
        <f>IF(C4311="","",IFERROR(VLOOKUP(C4311,parametros!$A$11:$E$15,5,0),""))</f>
        <v/>
      </c>
      <c r="F4311" s="335">
        <f>IF(OR(D4311="",E4311=""),"",ROUND(D4311*E4311,2))</f>
        <v/>
      </c>
      <c r="G4311" s="106" t="n"/>
      <c r="H4311" s="350">
        <f>IF(G4311="Sim",IF(OR(F4311="",D4311="",L4311=""),"",IF(L4311="Sim",ROUND(F4311-D4311,2),0)),0)</f>
        <v/>
      </c>
      <c r="I4311" s="350">
        <f>IF(G4311="Sim",0,IF(OR(F4311="",L4311=""),"",F4311))</f>
        <v/>
      </c>
      <c r="J4311" s="350">
        <f>IF(G4311="Sim",0,IF(OR(F4311="",D4311="",L4311=""),"",IF(L4311="Sim",ROUND(F4311-D4311,2),0)))</f>
        <v/>
      </c>
      <c r="K4311" s="97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inlineStr">
        <is>
          <t>Nao</t>
        </is>
      </c>
      <c r="W4311" s="110" t="inlineStr">
        <is>
          <t>PC em analise</t>
        </is>
      </c>
      <c r="X4311" s="110" t="inlineStr">
        <is>
          <t>Pedido de Compra</t>
        </is>
      </c>
      <c r="Y4311" s="111" t="inlineStr">
        <is>
          <t>Impacto Potencial</t>
        </is>
      </c>
      <c r="Z4311" s="111" t="inlineStr">
        <is>
          <t>PC</t>
        </is>
      </c>
      <c r="AA4311" s="111" t="inlineStr">
        <is>
          <t>Nao</t>
        </is>
      </c>
      <c r="AB4311" s="111" t="inlineStr">
        <is>
          <t>NAO_COMPUTADO</t>
        </is>
      </c>
      <c r="AC4311" s="112" t="inlineStr">
        <is>
          <t>Estrutura Fase 1: sem impacto no VTA oficial</t>
        </is>
      </c>
    </row>
    <row r="4312" ht="25.5" customHeight="1" s="289">
      <c r="A4312" s="205" t="n"/>
      <c r="B4312" s="207" t="n"/>
      <c r="C4312" s="104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348" t="n"/>
      <c r="E4312" s="349">
        <f>IF(C4312="","",IFERROR(VLOOKUP(C4312,parametros!$A$11:$E$15,5,0),""))</f>
        <v/>
      </c>
      <c r="F4312" s="335">
        <f>IF(OR(D4312="",E4312=""),"",ROUND(D4312*E4312,2))</f>
        <v/>
      </c>
      <c r="G4312" s="106" t="n"/>
      <c r="H4312" s="350">
        <f>IF(G4312="Sim",IF(OR(F4312="",D4312="",L4312=""),"",IF(L4312="Sim",ROUND(F4312-D4312,2),0)),0)</f>
        <v/>
      </c>
      <c r="I4312" s="350">
        <f>IF(G4312="Sim",0,IF(OR(F4312="",L4312=""),"",F4312))</f>
        <v/>
      </c>
      <c r="J4312" s="350">
        <f>IF(G4312="Sim",0,IF(OR(F4312="",D4312="",L4312=""),"",IF(L4312="Sim",ROUND(F4312-D4312,2),0)))</f>
        <v/>
      </c>
      <c r="K4312" s="97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inlineStr">
        <is>
          <t>Nao</t>
        </is>
      </c>
      <c r="W4312" s="110" t="inlineStr">
        <is>
          <t>PC em analise</t>
        </is>
      </c>
      <c r="X4312" s="110" t="inlineStr">
        <is>
          <t>Pedido de Compra</t>
        </is>
      </c>
      <c r="Y4312" s="111" t="inlineStr">
        <is>
          <t>Impacto Potencial</t>
        </is>
      </c>
      <c r="Z4312" s="111" t="inlineStr">
        <is>
          <t>PC</t>
        </is>
      </c>
      <c r="AA4312" s="111" t="inlineStr">
        <is>
          <t>Nao</t>
        </is>
      </c>
      <c r="AB4312" s="111" t="inlineStr">
        <is>
          <t>NAO_COMPUTADO</t>
        </is>
      </c>
      <c r="AC4312" s="112" t="inlineStr">
        <is>
          <t>Estrutura Fase 1: sem impacto no VTA oficial</t>
        </is>
      </c>
    </row>
    <row r="4313" ht="25.5" customHeight="1" s="289">
      <c r="A4313" s="205" t="n"/>
      <c r="B4313" s="207" t="n"/>
      <c r="C4313" s="104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348" t="n"/>
      <c r="E4313" s="349">
        <f>IF(C4313="","",IFERROR(VLOOKUP(C4313,parametros!$A$11:$E$15,5,0),""))</f>
        <v/>
      </c>
      <c r="F4313" s="335">
        <f>IF(OR(D4313="",E4313=""),"",ROUND(D4313*E4313,2))</f>
        <v/>
      </c>
      <c r="G4313" s="106" t="n"/>
      <c r="H4313" s="350">
        <f>IF(G4313="Sim",IF(OR(F4313="",D4313="",L4313=""),"",IF(L4313="Sim",ROUND(F4313-D4313,2),0)),0)</f>
        <v/>
      </c>
      <c r="I4313" s="350">
        <f>IF(G4313="Sim",0,IF(OR(F4313="",L4313=""),"",F4313))</f>
        <v/>
      </c>
      <c r="J4313" s="350">
        <f>IF(G4313="Sim",0,IF(OR(F4313="",D4313="",L4313=""),"",IF(L4313="Sim",ROUND(F4313-D4313,2),0)))</f>
        <v/>
      </c>
      <c r="K4313" s="97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inlineStr">
        <is>
          <t>Nao</t>
        </is>
      </c>
      <c r="W4313" s="110" t="inlineStr">
        <is>
          <t>PC em analise</t>
        </is>
      </c>
      <c r="X4313" s="110" t="inlineStr">
        <is>
          <t>Pedido de Compra</t>
        </is>
      </c>
      <c r="Y4313" s="111" t="inlineStr">
        <is>
          <t>Impacto Potencial</t>
        </is>
      </c>
      <c r="Z4313" s="111" t="inlineStr">
        <is>
          <t>PC</t>
        </is>
      </c>
      <c r="AA4313" s="111" t="inlineStr">
        <is>
          <t>Nao</t>
        </is>
      </c>
      <c r="AB4313" s="111" t="inlineStr">
        <is>
          <t>NAO_COMPUTADO</t>
        </is>
      </c>
      <c r="AC4313" s="112" t="inlineStr">
        <is>
          <t>Estrutura Fase 1: sem impacto no VTA oficial</t>
        </is>
      </c>
    </row>
    <row r="4314" ht="25.5" customHeight="1" s="289">
      <c r="A4314" s="205" t="n"/>
      <c r="B4314" s="207" t="n"/>
      <c r="C4314" s="104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348" t="n"/>
      <c r="E4314" s="349">
        <f>IF(C4314="","",IFERROR(VLOOKUP(C4314,parametros!$A$11:$E$15,5,0),""))</f>
        <v/>
      </c>
      <c r="F4314" s="335">
        <f>IF(OR(D4314="",E4314=""),"",ROUND(D4314*E4314,2))</f>
        <v/>
      </c>
      <c r="G4314" s="106" t="n"/>
      <c r="H4314" s="350">
        <f>IF(G4314="Sim",IF(OR(F4314="",D4314="",L4314=""),"",IF(L4314="Sim",ROUND(F4314-D4314,2),0)),0)</f>
        <v/>
      </c>
      <c r="I4314" s="350">
        <f>IF(G4314="Sim",0,IF(OR(F4314="",L4314=""),"",F4314))</f>
        <v/>
      </c>
      <c r="J4314" s="350">
        <f>IF(G4314="Sim",0,IF(OR(F4314="",D4314="",L4314=""),"",IF(L4314="Sim",ROUND(F4314-D4314,2),0)))</f>
        <v/>
      </c>
      <c r="K4314" s="97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inlineStr">
        <is>
          <t>Nao</t>
        </is>
      </c>
      <c r="W4314" s="110" t="inlineStr">
        <is>
          <t>PC em analise</t>
        </is>
      </c>
      <c r="X4314" s="110" t="inlineStr">
        <is>
          <t>Pedido de Compra</t>
        </is>
      </c>
      <c r="Y4314" s="111" t="inlineStr">
        <is>
          <t>Impacto Potencial</t>
        </is>
      </c>
      <c r="Z4314" s="111" t="inlineStr">
        <is>
          <t>PC</t>
        </is>
      </c>
      <c r="AA4314" s="111" t="inlineStr">
        <is>
          <t>Nao</t>
        </is>
      </c>
      <c r="AB4314" s="111" t="inlineStr">
        <is>
          <t>NAO_COMPUTADO</t>
        </is>
      </c>
      <c r="AC4314" s="112" t="inlineStr">
        <is>
          <t>Estrutura Fase 1: sem impacto no VTA oficial</t>
        </is>
      </c>
    </row>
    <row r="4315" ht="25.5" customHeight="1" s="289">
      <c r="A4315" s="205" t="n"/>
      <c r="B4315" s="207" t="n"/>
      <c r="C4315" s="104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348" t="n"/>
      <c r="E4315" s="349">
        <f>IF(C4315="","",IFERROR(VLOOKUP(C4315,parametros!$A$11:$E$15,5,0),""))</f>
        <v/>
      </c>
      <c r="F4315" s="335">
        <f>IF(OR(D4315="",E4315=""),"",ROUND(D4315*E4315,2))</f>
        <v/>
      </c>
      <c r="G4315" s="106" t="n"/>
      <c r="H4315" s="350">
        <f>IF(G4315="Sim",IF(OR(F4315="",D4315="",L4315=""),"",IF(L4315="Sim",ROUND(F4315-D4315,2),0)),0)</f>
        <v/>
      </c>
      <c r="I4315" s="350">
        <f>IF(G4315="Sim",0,IF(OR(F4315="",L4315=""),"",F4315))</f>
        <v/>
      </c>
      <c r="J4315" s="350">
        <f>IF(G4315="Sim",0,IF(OR(F4315="",D4315="",L4315=""),"",IF(L4315="Sim",ROUND(F4315-D4315,2),0)))</f>
        <v/>
      </c>
      <c r="K4315" s="97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inlineStr">
        <is>
          <t>Nao</t>
        </is>
      </c>
      <c r="W4315" s="110" t="inlineStr">
        <is>
          <t>PC em analise</t>
        </is>
      </c>
      <c r="X4315" s="110" t="inlineStr">
        <is>
          <t>Pedido de Compra</t>
        </is>
      </c>
      <c r="Y4315" s="111" t="inlineStr">
        <is>
          <t>Impacto Potencial</t>
        </is>
      </c>
      <c r="Z4315" s="111" t="inlineStr">
        <is>
          <t>PC</t>
        </is>
      </c>
      <c r="AA4315" s="111" t="inlineStr">
        <is>
          <t>Nao</t>
        </is>
      </c>
      <c r="AB4315" s="111" t="inlineStr">
        <is>
          <t>NAO_COMPUTADO</t>
        </is>
      </c>
      <c r="AC4315" s="112" t="inlineStr">
        <is>
          <t>Estrutura Fase 1: sem impacto no VTA oficial</t>
        </is>
      </c>
    </row>
    <row r="4316" ht="25.5" customHeight="1" s="289">
      <c r="A4316" s="205" t="n"/>
      <c r="B4316" s="207" t="n"/>
      <c r="C4316" s="104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348" t="n"/>
      <c r="E4316" s="349">
        <f>IF(C4316="","",IFERROR(VLOOKUP(C4316,parametros!$A$11:$E$15,5,0),""))</f>
        <v/>
      </c>
      <c r="F4316" s="335">
        <f>IF(OR(D4316="",E4316=""),"",ROUND(D4316*E4316,2))</f>
        <v/>
      </c>
      <c r="G4316" s="106" t="n"/>
      <c r="H4316" s="350">
        <f>IF(G4316="Sim",IF(OR(F4316="",D4316="",L4316=""),"",IF(L4316="Sim",ROUND(F4316-D4316,2),0)),0)</f>
        <v/>
      </c>
      <c r="I4316" s="350">
        <f>IF(G4316="Sim",0,IF(OR(F4316="",L4316=""),"",F4316))</f>
        <v/>
      </c>
      <c r="J4316" s="350">
        <f>IF(G4316="Sim",0,IF(OR(F4316="",D4316="",L4316=""),"",IF(L4316="Sim",ROUND(F4316-D4316,2),0)))</f>
        <v/>
      </c>
      <c r="K4316" s="97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inlineStr">
        <is>
          <t>Nao</t>
        </is>
      </c>
      <c r="W4316" s="110" t="inlineStr">
        <is>
          <t>PC em analise</t>
        </is>
      </c>
      <c r="X4316" s="110" t="inlineStr">
        <is>
          <t>Pedido de Compra</t>
        </is>
      </c>
      <c r="Y4316" s="111" t="inlineStr">
        <is>
          <t>Impacto Potencial</t>
        </is>
      </c>
      <c r="Z4316" s="111" t="inlineStr">
        <is>
          <t>PC</t>
        </is>
      </c>
      <c r="AA4316" s="111" t="inlineStr">
        <is>
          <t>Nao</t>
        </is>
      </c>
      <c r="AB4316" s="111" t="inlineStr">
        <is>
          <t>NAO_COMPUTADO</t>
        </is>
      </c>
      <c r="AC4316" s="112" t="inlineStr">
        <is>
          <t>Estrutura Fase 1: sem impacto no VTA oficial</t>
        </is>
      </c>
    </row>
    <row r="4317" ht="25.5" customHeight="1" s="289">
      <c r="A4317" s="205" t="n"/>
      <c r="B4317" s="207" t="n"/>
      <c r="C4317" s="104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348" t="n"/>
      <c r="E4317" s="349">
        <f>IF(C4317="","",IFERROR(VLOOKUP(C4317,parametros!$A$11:$E$15,5,0),""))</f>
        <v/>
      </c>
      <c r="F4317" s="335">
        <f>IF(OR(D4317="",E4317=""),"",ROUND(D4317*E4317,2))</f>
        <v/>
      </c>
      <c r="G4317" s="106" t="n"/>
      <c r="H4317" s="350">
        <f>IF(G4317="Sim",IF(OR(F4317="",D4317="",L4317=""),"",IF(L4317="Sim",ROUND(F4317-D4317,2),0)),0)</f>
        <v/>
      </c>
      <c r="I4317" s="350">
        <f>IF(G4317="Sim",0,IF(OR(F4317="",L4317=""),"",F4317))</f>
        <v/>
      </c>
      <c r="J4317" s="350">
        <f>IF(G4317="Sim",0,IF(OR(F4317="",D4317="",L4317=""),"",IF(L4317="Sim",ROUND(F4317-D4317,2),0)))</f>
        <v/>
      </c>
      <c r="K4317" s="97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inlineStr">
        <is>
          <t>Nao</t>
        </is>
      </c>
      <c r="W4317" s="110" t="inlineStr">
        <is>
          <t>PC em analise</t>
        </is>
      </c>
      <c r="X4317" s="110" t="inlineStr">
        <is>
          <t>Pedido de Compra</t>
        </is>
      </c>
      <c r="Y4317" s="111" t="inlineStr">
        <is>
          <t>Impacto Potencial</t>
        </is>
      </c>
      <c r="Z4317" s="111" t="inlineStr">
        <is>
          <t>PC</t>
        </is>
      </c>
      <c r="AA4317" s="111" t="inlineStr">
        <is>
          <t>Nao</t>
        </is>
      </c>
      <c r="AB4317" s="111" t="inlineStr">
        <is>
          <t>NAO_COMPUTADO</t>
        </is>
      </c>
      <c r="AC4317" s="112" t="inlineStr">
        <is>
          <t>Estrutura Fase 1: sem impacto no VTA oficial</t>
        </is>
      </c>
    </row>
    <row r="4318" ht="25.5" customHeight="1" s="289">
      <c r="A4318" s="205" t="n"/>
      <c r="B4318" s="207" t="n"/>
      <c r="C4318" s="104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348" t="n"/>
      <c r="E4318" s="349">
        <f>IF(C4318="","",IFERROR(VLOOKUP(C4318,parametros!$A$11:$E$15,5,0),""))</f>
        <v/>
      </c>
      <c r="F4318" s="335">
        <f>IF(OR(D4318="",E4318=""),"",ROUND(D4318*E4318,2))</f>
        <v/>
      </c>
      <c r="G4318" s="106" t="n"/>
      <c r="H4318" s="350">
        <f>IF(G4318="Sim",IF(OR(F4318="",D4318="",L4318=""),"",IF(L4318="Sim",ROUND(F4318-D4318,2),0)),0)</f>
        <v/>
      </c>
      <c r="I4318" s="350">
        <f>IF(G4318="Sim",0,IF(OR(F4318="",L4318=""),"",F4318))</f>
        <v/>
      </c>
      <c r="J4318" s="350">
        <f>IF(G4318="Sim",0,IF(OR(F4318="",D4318="",L4318=""),"",IF(L4318="Sim",ROUND(F4318-D4318,2),0)))</f>
        <v/>
      </c>
      <c r="K4318" s="97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inlineStr">
        <is>
          <t>Nao</t>
        </is>
      </c>
      <c r="W4318" s="110" t="inlineStr">
        <is>
          <t>PC em analise</t>
        </is>
      </c>
      <c r="X4318" s="110" t="inlineStr">
        <is>
          <t>Pedido de Compra</t>
        </is>
      </c>
      <c r="Y4318" s="111" t="inlineStr">
        <is>
          <t>Impacto Potencial</t>
        </is>
      </c>
      <c r="Z4318" s="111" t="inlineStr">
        <is>
          <t>PC</t>
        </is>
      </c>
      <c r="AA4318" s="111" t="inlineStr">
        <is>
          <t>Nao</t>
        </is>
      </c>
      <c r="AB4318" s="111" t="inlineStr">
        <is>
          <t>NAO_COMPUTADO</t>
        </is>
      </c>
      <c r="AC4318" s="112" t="inlineStr">
        <is>
          <t>Estrutura Fase 1: sem impacto no VTA oficial</t>
        </is>
      </c>
    </row>
    <row r="4319" ht="25.5" customHeight="1" s="289">
      <c r="A4319" s="205" t="n"/>
      <c r="B4319" s="207" t="n"/>
      <c r="C4319" s="104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348" t="n"/>
      <c r="E4319" s="349">
        <f>IF(C4319="","",IFERROR(VLOOKUP(C4319,parametros!$A$11:$E$15,5,0),""))</f>
        <v/>
      </c>
      <c r="F4319" s="335">
        <f>IF(OR(D4319="",E4319=""),"",ROUND(D4319*E4319,2))</f>
        <v/>
      </c>
      <c r="G4319" s="106" t="n"/>
      <c r="H4319" s="350">
        <f>IF(G4319="Sim",IF(OR(F4319="",D4319="",L4319=""),"",IF(L4319="Sim",ROUND(F4319-D4319,2),0)),0)</f>
        <v/>
      </c>
      <c r="I4319" s="350">
        <f>IF(G4319="Sim",0,IF(OR(F4319="",L4319=""),"",F4319))</f>
        <v/>
      </c>
      <c r="J4319" s="350">
        <f>IF(G4319="Sim",0,IF(OR(F4319="",D4319="",L4319=""),"",IF(L4319="Sim",ROUND(F4319-D4319,2),0)))</f>
        <v/>
      </c>
      <c r="K4319" s="97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inlineStr">
        <is>
          <t>Nao</t>
        </is>
      </c>
      <c r="W4319" s="110" t="inlineStr">
        <is>
          <t>PC em analise</t>
        </is>
      </c>
      <c r="X4319" s="110" t="inlineStr">
        <is>
          <t>Pedido de Compra</t>
        </is>
      </c>
      <c r="Y4319" s="111" t="inlineStr">
        <is>
          <t>Impacto Potencial</t>
        </is>
      </c>
      <c r="Z4319" s="111" t="inlineStr">
        <is>
          <t>PC</t>
        </is>
      </c>
      <c r="AA4319" s="111" t="inlineStr">
        <is>
          <t>Nao</t>
        </is>
      </c>
      <c r="AB4319" s="111" t="inlineStr">
        <is>
          <t>NAO_COMPUTADO</t>
        </is>
      </c>
      <c r="AC4319" s="112" t="inlineStr">
        <is>
          <t>Estrutura Fase 1: sem impacto no VTA oficial</t>
        </is>
      </c>
    </row>
    <row r="4320" ht="25.5" customHeight="1" s="289">
      <c r="A4320" s="205" t="n"/>
      <c r="B4320" s="207" t="n"/>
      <c r="C4320" s="104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348" t="n"/>
      <c r="E4320" s="349">
        <f>IF(C4320="","",IFERROR(VLOOKUP(C4320,parametros!$A$11:$E$15,5,0),""))</f>
        <v/>
      </c>
      <c r="F4320" s="335">
        <f>IF(OR(D4320="",E4320=""),"",ROUND(D4320*E4320,2))</f>
        <v/>
      </c>
      <c r="G4320" s="106" t="n"/>
      <c r="H4320" s="350">
        <f>IF(G4320="Sim",IF(OR(F4320="",D4320="",L4320=""),"",IF(L4320="Sim",ROUND(F4320-D4320,2),0)),0)</f>
        <v/>
      </c>
      <c r="I4320" s="350">
        <f>IF(G4320="Sim",0,IF(OR(F4320="",L4320=""),"",F4320))</f>
        <v/>
      </c>
      <c r="J4320" s="350">
        <f>IF(G4320="Sim",0,IF(OR(F4320="",D4320="",L4320=""),"",IF(L4320="Sim",ROUND(F4320-D4320,2),0)))</f>
        <v/>
      </c>
      <c r="K4320" s="97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inlineStr">
        <is>
          <t>Nao</t>
        </is>
      </c>
      <c r="W4320" s="110" t="inlineStr">
        <is>
          <t>PC em analise</t>
        </is>
      </c>
      <c r="X4320" s="110" t="inlineStr">
        <is>
          <t>Pedido de Compra</t>
        </is>
      </c>
      <c r="Y4320" s="111" t="inlineStr">
        <is>
          <t>Impacto Potencial</t>
        </is>
      </c>
      <c r="Z4320" s="111" t="inlineStr">
        <is>
          <t>PC</t>
        </is>
      </c>
      <c r="AA4320" s="111" t="inlineStr">
        <is>
          <t>Nao</t>
        </is>
      </c>
      <c r="AB4320" s="111" t="inlineStr">
        <is>
          <t>NAO_COMPUTADO</t>
        </is>
      </c>
      <c r="AC4320" s="112" t="inlineStr">
        <is>
          <t>Estrutura Fase 1: sem impacto no VTA oficial</t>
        </is>
      </c>
    </row>
    <row r="4321" ht="25.5" customHeight="1" s="289">
      <c r="A4321" s="205" t="n"/>
      <c r="B4321" s="207" t="n"/>
      <c r="C4321" s="104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348" t="n"/>
      <c r="E4321" s="349">
        <f>IF(C4321="","",IFERROR(VLOOKUP(C4321,parametros!$A$11:$E$15,5,0),""))</f>
        <v/>
      </c>
      <c r="F4321" s="335">
        <f>IF(OR(D4321="",E4321=""),"",ROUND(D4321*E4321,2))</f>
        <v/>
      </c>
      <c r="G4321" s="106" t="n"/>
      <c r="H4321" s="350">
        <f>IF(G4321="Sim",IF(OR(F4321="",D4321="",L4321=""),"",IF(L4321="Sim",ROUND(F4321-D4321,2),0)),0)</f>
        <v/>
      </c>
      <c r="I4321" s="350">
        <f>IF(G4321="Sim",0,IF(OR(F4321="",L4321=""),"",F4321))</f>
        <v/>
      </c>
      <c r="J4321" s="350">
        <f>IF(G4321="Sim",0,IF(OR(F4321="",D4321="",L4321=""),"",IF(L4321="Sim",ROUND(F4321-D4321,2),0)))</f>
        <v/>
      </c>
      <c r="K4321" s="97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inlineStr">
        <is>
          <t>Nao</t>
        </is>
      </c>
      <c r="W4321" s="110" t="inlineStr">
        <is>
          <t>PC em analise</t>
        </is>
      </c>
      <c r="X4321" s="110" t="inlineStr">
        <is>
          <t>Pedido de Compra</t>
        </is>
      </c>
      <c r="Y4321" s="111" t="inlineStr">
        <is>
          <t>Impacto Potencial</t>
        </is>
      </c>
      <c r="Z4321" s="111" t="inlineStr">
        <is>
          <t>PC</t>
        </is>
      </c>
      <c r="AA4321" s="111" t="inlineStr">
        <is>
          <t>Nao</t>
        </is>
      </c>
      <c r="AB4321" s="111" t="inlineStr">
        <is>
          <t>NAO_COMPUTADO</t>
        </is>
      </c>
      <c r="AC4321" s="112" t="inlineStr">
        <is>
          <t>Estrutura Fase 1: sem impacto no VTA oficial</t>
        </is>
      </c>
    </row>
    <row r="4322" ht="25.5" customHeight="1" s="289">
      <c r="A4322" s="205" t="n"/>
      <c r="B4322" s="207" t="n"/>
      <c r="C4322" s="104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348" t="n"/>
      <c r="E4322" s="349">
        <f>IF(C4322="","",IFERROR(VLOOKUP(C4322,parametros!$A$11:$E$15,5,0),""))</f>
        <v/>
      </c>
      <c r="F4322" s="335">
        <f>IF(OR(D4322="",E4322=""),"",ROUND(D4322*E4322,2))</f>
        <v/>
      </c>
      <c r="G4322" s="106" t="n"/>
      <c r="H4322" s="350">
        <f>IF(G4322="Sim",IF(OR(F4322="",D4322="",L4322=""),"",IF(L4322="Sim",ROUND(F4322-D4322,2),0)),0)</f>
        <v/>
      </c>
      <c r="I4322" s="350">
        <f>IF(G4322="Sim",0,IF(OR(F4322="",L4322=""),"",F4322))</f>
        <v/>
      </c>
      <c r="J4322" s="350">
        <f>IF(G4322="Sim",0,IF(OR(F4322="",D4322="",L4322=""),"",IF(L4322="Sim",ROUND(F4322-D4322,2),0)))</f>
        <v/>
      </c>
      <c r="K4322" s="97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inlineStr">
        <is>
          <t>Nao</t>
        </is>
      </c>
      <c r="W4322" s="110" t="inlineStr">
        <is>
          <t>PC em analise</t>
        </is>
      </c>
      <c r="X4322" s="110" t="inlineStr">
        <is>
          <t>Pedido de Compra</t>
        </is>
      </c>
      <c r="Y4322" s="111" t="inlineStr">
        <is>
          <t>Impacto Potencial</t>
        </is>
      </c>
      <c r="Z4322" s="111" t="inlineStr">
        <is>
          <t>PC</t>
        </is>
      </c>
      <c r="AA4322" s="111" t="inlineStr">
        <is>
          <t>Nao</t>
        </is>
      </c>
      <c r="AB4322" s="111" t="inlineStr">
        <is>
          <t>NAO_COMPUTADO</t>
        </is>
      </c>
      <c r="AC4322" s="112" t="inlineStr">
        <is>
          <t>Estrutura Fase 1: sem impacto no VTA oficial</t>
        </is>
      </c>
    </row>
    <row r="4323" ht="25.5" customHeight="1" s="289">
      <c r="A4323" s="205" t="n"/>
      <c r="B4323" s="207" t="n"/>
      <c r="C4323" s="104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348" t="n"/>
      <c r="E4323" s="349">
        <f>IF(C4323="","",IFERROR(VLOOKUP(C4323,parametros!$A$11:$E$15,5,0),""))</f>
        <v/>
      </c>
      <c r="F4323" s="335">
        <f>IF(OR(D4323="",E4323=""),"",ROUND(D4323*E4323,2))</f>
        <v/>
      </c>
      <c r="G4323" s="106" t="n"/>
      <c r="H4323" s="350">
        <f>IF(G4323="Sim",IF(OR(F4323="",D4323="",L4323=""),"",IF(L4323="Sim",ROUND(F4323-D4323,2),0)),0)</f>
        <v/>
      </c>
      <c r="I4323" s="350">
        <f>IF(G4323="Sim",0,IF(OR(F4323="",L4323=""),"",F4323))</f>
        <v/>
      </c>
      <c r="J4323" s="350">
        <f>IF(G4323="Sim",0,IF(OR(F4323="",D4323="",L4323=""),"",IF(L4323="Sim",ROUND(F4323-D4323,2),0)))</f>
        <v/>
      </c>
      <c r="K4323" s="97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inlineStr">
        <is>
          <t>Nao</t>
        </is>
      </c>
      <c r="W4323" s="110" t="inlineStr">
        <is>
          <t>PC em analise</t>
        </is>
      </c>
      <c r="X4323" s="110" t="inlineStr">
        <is>
          <t>Pedido de Compra</t>
        </is>
      </c>
      <c r="Y4323" s="111" t="inlineStr">
        <is>
          <t>Impacto Potencial</t>
        </is>
      </c>
      <c r="Z4323" s="111" t="inlineStr">
        <is>
          <t>PC</t>
        </is>
      </c>
      <c r="AA4323" s="111" t="inlineStr">
        <is>
          <t>Nao</t>
        </is>
      </c>
      <c r="AB4323" s="111" t="inlineStr">
        <is>
          <t>NAO_COMPUTADO</t>
        </is>
      </c>
      <c r="AC4323" s="112" t="inlineStr">
        <is>
          <t>Estrutura Fase 1: sem impacto no VTA oficial</t>
        </is>
      </c>
    </row>
    <row r="4324" ht="25.5" customHeight="1" s="289">
      <c r="A4324" s="205" t="n"/>
      <c r="B4324" s="207" t="n"/>
      <c r="C4324" s="104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348" t="n"/>
      <c r="E4324" s="349">
        <f>IF(C4324="","",IFERROR(VLOOKUP(C4324,parametros!$A$11:$E$15,5,0),""))</f>
        <v/>
      </c>
      <c r="F4324" s="335">
        <f>IF(OR(D4324="",E4324=""),"",ROUND(D4324*E4324,2))</f>
        <v/>
      </c>
      <c r="G4324" s="106" t="n"/>
      <c r="H4324" s="350">
        <f>IF(G4324="Sim",IF(OR(F4324="",D4324="",L4324=""),"",IF(L4324="Sim",ROUND(F4324-D4324,2),0)),0)</f>
        <v/>
      </c>
      <c r="I4324" s="350">
        <f>IF(G4324="Sim",0,IF(OR(F4324="",L4324=""),"",F4324))</f>
        <v/>
      </c>
      <c r="J4324" s="350">
        <f>IF(G4324="Sim",0,IF(OR(F4324="",D4324="",L4324=""),"",IF(L4324="Sim",ROUND(F4324-D4324,2),0)))</f>
        <v/>
      </c>
      <c r="K4324" s="97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inlineStr">
        <is>
          <t>Nao</t>
        </is>
      </c>
      <c r="W4324" s="110" t="inlineStr">
        <is>
          <t>PC em analise</t>
        </is>
      </c>
      <c r="X4324" s="110" t="inlineStr">
        <is>
          <t>Pedido de Compra</t>
        </is>
      </c>
      <c r="Y4324" s="111" t="inlineStr">
        <is>
          <t>Impacto Potencial</t>
        </is>
      </c>
      <c r="Z4324" s="111" t="inlineStr">
        <is>
          <t>PC</t>
        </is>
      </c>
      <c r="AA4324" s="111" t="inlineStr">
        <is>
          <t>Nao</t>
        </is>
      </c>
      <c r="AB4324" s="111" t="inlineStr">
        <is>
          <t>NAO_COMPUTADO</t>
        </is>
      </c>
      <c r="AC4324" s="112" t="inlineStr">
        <is>
          <t>Estrutura Fase 1: sem impacto no VTA oficial</t>
        </is>
      </c>
    </row>
    <row r="4325" ht="25.5" customHeight="1" s="289">
      <c r="A4325" s="205" t="n"/>
      <c r="B4325" s="207" t="n"/>
      <c r="C4325" s="104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348" t="n"/>
      <c r="E4325" s="349">
        <f>IF(C4325="","",IFERROR(VLOOKUP(C4325,parametros!$A$11:$E$15,5,0),""))</f>
        <v/>
      </c>
      <c r="F4325" s="335">
        <f>IF(OR(D4325="",E4325=""),"",ROUND(D4325*E4325,2))</f>
        <v/>
      </c>
      <c r="G4325" s="106" t="n"/>
      <c r="H4325" s="350">
        <f>IF(G4325="Sim",IF(OR(F4325="",D4325="",L4325=""),"",IF(L4325="Sim",ROUND(F4325-D4325,2),0)),0)</f>
        <v/>
      </c>
      <c r="I4325" s="350">
        <f>IF(G4325="Sim",0,IF(OR(F4325="",L4325=""),"",F4325))</f>
        <v/>
      </c>
      <c r="J4325" s="350">
        <f>IF(G4325="Sim",0,IF(OR(F4325="",D4325="",L4325=""),"",IF(L4325="Sim",ROUND(F4325-D4325,2),0)))</f>
        <v/>
      </c>
      <c r="K4325" s="97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inlineStr">
        <is>
          <t>Nao</t>
        </is>
      </c>
      <c r="W4325" s="110" t="inlineStr">
        <is>
          <t>PC em analise</t>
        </is>
      </c>
      <c r="X4325" s="110" t="inlineStr">
        <is>
          <t>Pedido de Compra</t>
        </is>
      </c>
      <c r="Y4325" s="111" t="inlineStr">
        <is>
          <t>Impacto Potencial</t>
        </is>
      </c>
      <c r="Z4325" s="111" t="inlineStr">
        <is>
          <t>PC</t>
        </is>
      </c>
      <c r="AA4325" s="111" t="inlineStr">
        <is>
          <t>Nao</t>
        </is>
      </c>
      <c r="AB4325" s="111" t="inlineStr">
        <is>
          <t>NAO_COMPUTADO</t>
        </is>
      </c>
      <c r="AC4325" s="112" t="inlineStr">
        <is>
          <t>Estrutura Fase 1: sem impacto no VTA oficial</t>
        </is>
      </c>
    </row>
    <row r="4326" ht="25.5" customHeight="1" s="289">
      <c r="A4326" s="205" t="n"/>
      <c r="B4326" s="207" t="n"/>
      <c r="C4326" s="104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348" t="n"/>
      <c r="E4326" s="349">
        <f>IF(C4326="","",IFERROR(VLOOKUP(C4326,parametros!$A$11:$E$15,5,0),""))</f>
        <v/>
      </c>
      <c r="F4326" s="335">
        <f>IF(OR(D4326="",E4326=""),"",ROUND(D4326*E4326,2))</f>
        <v/>
      </c>
      <c r="G4326" s="106" t="n"/>
      <c r="H4326" s="350">
        <f>IF(G4326="Sim",IF(OR(F4326="",D4326="",L4326=""),"",IF(L4326="Sim",ROUND(F4326-D4326,2),0)),0)</f>
        <v/>
      </c>
      <c r="I4326" s="350">
        <f>IF(G4326="Sim",0,IF(OR(F4326="",L4326=""),"",F4326))</f>
        <v/>
      </c>
      <c r="J4326" s="350">
        <f>IF(G4326="Sim",0,IF(OR(F4326="",D4326="",L4326=""),"",IF(L4326="Sim",ROUND(F4326-D4326,2),0)))</f>
        <v/>
      </c>
      <c r="K4326" s="97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inlineStr">
        <is>
          <t>Nao</t>
        </is>
      </c>
      <c r="W4326" s="110" t="inlineStr">
        <is>
          <t>PC em analise</t>
        </is>
      </c>
      <c r="X4326" s="110" t="inlineStr">
        <is>
          <t>Pedido de Compra</t>
        </is>
      </c>
      <c r="Y4326" s="111" t="inlineStr">
        <is>
          <t>Impacto Potencial</t>
        </is>
      </c>
      <c r="Z4326" s="111" t="inlineStr">
        <is>
          <t>PC</t>
        </is>
      </c>
      <c r="AA4326" s="111" t="inlineStr">
        <is>
          <t>Nao</t>
        </is>
      </c>
      <c r="AB4326" s="111" t="inlineStr">
        <is>
          <t>NAO_COMPUTADO</t>
        </is>
      </c>
      <c r="AC4326" s="112" t="inlineStr">
        <is>
          <t>Estrutura Fase 1: sem impacto no VTA oficial</t>
        </is>
      </c>
    </row>
    <row r="4327" ht="25.5" customHeight="1" s="289">
      <c r="A4327" s="205" t="n"/>
      <c r="B4327" s="207" t="n"/>
      <c r="C4327" s="104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348" t="n"/>
      <c r="E4327" s="349">
        <f>IF(C4327="","",IFERROR(VLOOKUP(C4327,parametros!$A$11:$E$15,5,0),""))</f>
        <v/>
      </c>
      <c r="F4327" s="335">
        <f>IF(OR(D4327="",E4327=""),"",ROUND(D4327*E4327,2))</f>
        <v/>
      </c>
      <c r="G4327" s="106" t="n"/>
      <c r="H4327" s="350">
        <f>IF(G4327="Sim",IF(OR(F4327="",D4327="",L4327=""),"",IF(L4327="Sim",ROUND(F4327-D4327,2),0)),0)</f>
        <v/>
      </c>
      <c r="I4327" s="350">
        <f>IF(G4327="Sim",0,IF(OR(F4327="",L4327=""),"",F4327))</f>
        <v/>
      </c>
      <c r="J4327" s="350">
        <f>IF(G4327="Sim",0,IF(OR(F4327="",D4327="",L4327=""),"",IF(L4327="Sim",ROUND(F4327-D4327,2),0)))</f>
        <v/>
      </c>
      <c r="K4327" s="97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inlineStr">
        <is>
          <t>Nao</t>
        </is>
      </c>
      <c r="W4327" s="110" t="inlineStr">
        <is>
          <t>PC em analise</t>
        </is>
      </c>
      <c r="X4327" s="110" t="inlineStr">
        <is>
          <t>Pedido de Compra</t>
        </is>
      </c>
      <c r="Y4327" s="111" t="inlineStr">
        <is>
          <t>Impacto Potencial</t>
        </is>
      </c>
      <c r="Z4327" s="111" t="inlineStr">
        <is>
          <t>PC</t>
        </is>
      </c>
      <c r="AA4327" s="111" t="inlineStr">
        <is>
          <t>Nao</t>
        </is>
      </c>
      <c r="AB4327" s="111" t="inlineStr">
        <is>
          <t>NAO_COMPUTADO</t>
        </is>
      </c>
      <c r="AC4327" s="112" t="inlineStr">
        <is>
          <t>Estrutura Fase 1: sem impacto no VTA oficial</t>
        </is>
      </c>
    </row>
    <row r="4328" ht="25.5" customHeight="1" s="289">
      <c r="A4328" s="205" t="n"/>
      <c r="B4328" s="207" t="n"/>
      <c r="C4328" s="104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348" t="n"/>
      <c r="E4328" s="349">
        <f>IF(C4328="","",IFERROR(VLOOKUP(C4328,parametros!$A$11:$E$15,5,0),""))</f>
        <v/>
      </c>
      <c r="F4328" s="335">
        <f>IF(OR(D4328="",E4328=""),"",ROUND(D4328*E4328,2))</f>
        <v/>
      </c>
      <c r="G4328" s="106" t="n"/>
      <c r="H4328" s="350">
        <f>IF(G4328="Sim",IF(OR(F4328="",D4328="",L4328=""),"",IF(L4328="Sim",ROUND(F4328-D4328,2),0)),0)</f>
        <v/>
      </c>
      <c r="I4328" s="350">
        <f>IF(G4328="Sim",0,IF(OR(F4328="",L4328=""),"",F4328))</f>
        <v/>
      </c>
      <c r="J4328" s="350">
        <f>IF(G4328="Sim",0,IF(OR(F4328="",D4328="",L4328=""),"",IF(L4328="Sim",ROUND(F4328-D4328,2),0)))</f>
        <v/>
      </c>
      <c r="K4328" s="97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inlineStr">
        <is>
          <t>Nao</t>
        </is>
      </c>
      <c r="W4328" s="110" t="inlineStr">
        <is>
          <t>PC em analise</t>
        </is>
      </c>
      <c r="X4328" s="110" t="inlineStr">
        <is>
          <t>Pedido de Compra</t>
        </is>
      </c>
      <c r="Y4328" s="111" t="inlineStr">
        <is>
          <t>Impacto Potencial</t>
        </is>
      </c>
      <c r="Z4328" s="111" t="inlineStr">
        <is>
          <t>PC</t>
        </is>
      </c>
      <c r="AA4328" s="111" t="inlineStr">
        <is>
          <t>Nao</t>
        </is>
      </c>
      <c r="AB4328" s="111" t="inlineStr">
        <is>
          <t>NAO_COMPUTADO</t>
        </is>
      </c>
      <c r="AC4328" s="112" t="inlineStr">
        <is>
          <t>Estrutura Fase 1: sem impacto no VTA oficial</t>
        </is>
      </c>
    </row>
    <row r="4329" ht="25.5" customHeight="1" s="289">
      <c r="A4329" s="205" t="n"/>
      <c r="B4329" s="207" t="n"/>
      <c r="C4329" s="104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348" t="n"/>
      <c r="E4329" s="349">
        <f>IF(C4329="","",IFERROR(VLOOKUP(C4329,parametros!$A$11:$E$15,5,0),""))</f>
        <v/>
      </c>
      <c r="F4329" s="335">
        <f>IF(OR(D4329="",E4329=""),"",ROUND(D4329*E4329,2))</f>
        <v/>
      </c>
      <c r="G4329" s="106" t="n"/>
      <c r="H4329" s="350">
        <f>IF(G4329="Sim",IF(OR(F4329="",D4329="",L4329=""),"",IF(L4329="Sim",ROUND(F4329-D4329,2),0)),0)</f>
        <v/>
      </c>
      <c r="I4329" s="350">
        <f>IF(G4329="Sim",0,IF(OR(F4329="",L4329=""),"",F4329))</f>
        <v/>
      </c>
      <c r="J4329" s="350">
        <f>IF(G4329="Sim",0,IF(OR(F4329="",D4329="",L4329=""),"",IF(L4329="Sim",ROUND(F4329-D4329,2),0)))</f>
        <v/>
      </c>
      <c r="K4329" s="97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inlineStr">
        <is>
          <t>Nao</t>
        </is>
      </c>
      <c r="W4329" s="110" t="inlineStr">
        <is>
          <t>PC em analise</t>
        </is>
      </c>
      <c r="X4329" s="110" t="inlineStr">
        <is>
          <t>Pedido de Compra</t>
        </is>
      </c>
      <c r="Y4329" s="111" t="inlineStr">
        <is>
          <t>Impacto Potencial</t>
        </is>
      </c>
      <c r="Z4329" s="111" t="inlineStr">
        <is>
          <t>PC</t>
        </is>
      </c>
      <c r="AA4329" s="111" t="inlineStr">
        <is>
          <t>Nao</t>
        </is>
      </c>
      <c r="AB4329" s="111" t="inlineStr">
        <is>
          <t>NAO_COMPUTADO</t>
        </is>
      </c>
      <c r="AC4329" s="112" t="inlineStr">
        <is>
          <t>Estrutura Fase 1: sem impacto no VTA oficial</t>
        </is>
      </c>
    </row>
    <row r="4330" ht="25.5" customHeight="1" s="289">
      <c r="A4330" s="205" t="n"/>
      <c r="B4330" s="207" t="n"/>
      <c r="C4330" s="104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348" t="n"/>
      <c r="E4330" s="349">
        <f>IF(C4330="","",IFERROR(VLOOKUP(C4330,parametros!$A$11:$E$15,5,0),""))</f>
        <v/>
      </c>
      <c r="F4330" s="335">
        <f>IF(OR(D4330="",E4330=""),"",ROUND(D4330*E4330,2))</f>
        <v/>
      </c>
      <c r="G4330" s="106" t="n"/>
      <c r="H4330" s="350">
        <f>IF(G4330="Sim",IF(OR(F4330="",D4330="",L4330=""),"",IF(L4330="Sim",ROUND(F4330-D4330,2),0)),0)</f>
        <v/>
      </c>
      <c r="I4330" s="350">
        <f>IF(G4330="Sim",0,IF(OR(F4330="",L4330=""),"",F4330))</f>
        <v/>
      </c>
      <c r="J4330" s="350">
        <f>IF(G4330="Sim",0,IF(OR(F4330="",D4330="",L4330=""),"",IF(L4330="Sim",ROUND(F4330-D4330,2),0)))</f>
        <v/>
      </c>
      <c r="K4330" s="97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inlineStr">
        <is>
          <t>Nao</t>
        </is>
      </c>
      <c r="W4330" s="110" t="inlineStr">
        <is>
          <t>PC em analise</t>
        </is>
      </c>
      <c r="X4330" s="110" t="inlineStr">
        <is>
          <t>Pedido de Compra</t>
        </is>
      </c>
      <c r="Y4330" s="111" t="inlineStr">
        <is>
          <t>Impacto Potencial</t>
        </is>
      </c>
      <c r="Z4330" s="111" t="inlineStr">
        <is>
          <t>PC</t>
        </is>
      </c>
      <c r="AA4330" s="111" t="inlineStr">
        <is>
          <t>Nao</t>
        </is>
      </c>
      <c r="AB4330" s="111" t="inlineStr">
        <is>
          <t>NAO_COMPUTADO</t>
        </is>
      </c>
      <c r="AC4330" s="112" t="inlineStr">
        <is>
          <t>Estrutura Fase 1: sem impacto no VTA oficial</t>
        </is>
      </c>
    </row>
    <row r="4331" ht="25.5" customHeight="1" s="289">
      <c r="A4331" s="205" t="n"/>
      <c r="B4331" s="207" t="n"/>
      <c r="C4331" s="104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348" t="n"/>
      <c r="E4331" s="349">
        <f>IF(C4331="","",IFERROR(VLOOKUP(C4331,parametros!$A$11:$E$15,5,0),""))</f>
        <v/>
      </c>
      <c r="F4331" s="335">
        <f>IF(OR(D4331="",E4331=""),"",ROUND(D4331*E4331,2))</f>
        <v/>
      </c>
      <c r="G4331" s="106" t="n"/>
      <c r="H4331" s="350">
        <f>IF(G4331="Sim",IF(OR(F4331="",D4331="",L4331=""),"",IF(L4331="Sim",ROUND(F4331-D4331,2),0)),0)</f>
        <v/>
      </c>
      <c r="I4331" s="350">
        <f>IF(G4331="Sim",0,IF(OR(F4331="",L4331=""),"",F4331))</f>
        <v/>
      </c>
      <c r="J4331" s="350">
        <f>IF(G4331="Sim",0,IF(OR(F4331="",D4331="",L4331=""),"",IF(L4331="Sim",ROUND(F4331-D4331,2),0)))</f>
        <v/>
      </c>
      <c r="K4331" s="97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inlineStr">
        <is>
          <t>Nao</t>
        </is>
      </c>
      <c r="W4331" s="110" t="inlineStr">
        <is>
          <t>PC em analise</t>
        </is>
      </c>
      <c r="X4331" s="110" t="inlineStr">
        <is>
          <t>Pedido de Compra</t>
        </is>
      </c>
      <c r="Y4331" s="111" t="inlineStr">
        <is>
          <t>Impacto Potencial</t>
        </is>
      </c>
      <c r="Z4331" s="111" t="inlineStr">
        <is>
          <t>PC</t>
        </is>
      </c>
      <c r="AA4331" s="111" t="inlineStr">
        <is>
          <t>Nao</t>
        </is>
      </c>
      <c r="AB4331" s="111" t="inlineStr">
        <is>
          <t>NAO_COMPUTADO</t>
        </is>
      </c>
      <c r="AC4331" s="112" t="inlineStr">
        <is>
          <t>Estrutura Fase 1: sem impacto no VTA oficial</t>
        </is>
      </c>
    </row>
    <row r="4332" ht="25.5" customHeight="1" s="289">
      <c r="A4332" s="205" t="n"/>
      <c r="B4332" s="207" t="n"/>
      <c r="C4332" s="104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348" t="n"/>
      <c r="E4332" s="349">
        <f>IF(C4332="","",IFERROR(VLOOKUP(C4332,parametros!$A$11:$E$15,5,0),""))</f>
        <v/>
      </c>
      <c r="F4332" s="335">
        <f>IF(OR(D4332="",E4332=""),"",ROUND(D4332*E4332,2))</f>
        <v/>
      </c>
      <c r="G4332" s="106" t="n"/>
      <c r="H4332" s="350">
        <f>IF(G4332="Sim",IF(OR(F4332="",D4332="",L4332=""),"",IF(L4332="Sim",ROUND(F4332-D4332,2),0)),0)</f>
        <v/>
      </c>
      <c r="I4332" s="350">
        <f>IF(G4332="Sim",0,IF(OR(F4332="",L4332=""),"",F4332))</f>
        <v/>
      </c>
      <c r="J4332" s="350">
        <f>IF(G4332="Sim",0,IF(OR(F4332="",D4332="",L4332=""),"",IF(L4332="Sim",ROUND(F4332-D4332,2),0)))</f>
        <v/>
      </c>
      <c r="K4332" s="97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inlineStr">
        <is>
          <t>Nao</t>
        </is>
      </c>
      <c r="W4332" s="110" t="inlineStr">
        <is>
          <t>PC em analise</t>
        </is>
      </c>
      <c r="X4332" s="110" t="inlineStr">
        <is>
          <t>Pedido de Compra</t>
        </is>
      </c>
      <c r="Y4332" s="111" t="inlineStr">
        <is>
          <t>Impacto Potencial</t>
        </is>
      </c>
      <c r="Z4332" s="111" t="inlineStr">
        <is>
          <t>PC</t>
        </is>
      </c>
      <c r="AA4332" s="111" t="inlineStr">
        <is>
          <t>Nao</t>
        </is>
      </c>
      <c r="AB4332" s="111" t="inlineStr">
        <is>
          <t>NAO_COMPUTADO</t>
        </is>
      </c>
      <c r="AC4332" s="112" t="inlineStr">
        <is>
          <t>Estrutura Fase 1: sem impacto no VTA oficial</t>
        </is>
      </c>
    </row>
    <row r="4333" ht="25.5" customHeight="1" s="289">
      <c r="A4333" s="205" t="n"/>
      <c r="B4333" s="207" t="n"/>
      <c r="C4333" s="104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348" t="n"/>
      <c r="E4333" s="349">
        <f>IF(C4333="","",IFERROR(VLOOKUP(C4333,parametros!$A$11:$E$15,5,0),""))</f>
        <v/>
      </c>
      <c r="F4333" s="335">
        <f>IF(OR(D4333="",E4333=""),"",ROUND(D4333*E4333,2))</f>
        <v/>
      </c>
      <c r="G4333" s="106" t="n"/>
      <c r="H4333" s="350">
        <f>IF(G4333="Sim",IF(OR(F4333="",D4333="",L4333=""),"",IF(L4333="Sim",ROUND(F4333-D4333,2),0)),0)</f>
        <v/>
      </c>
      <c r="I4333" s="350">
        <f>IF(G4333="Sim",0,IF(OR(F4333="",L4333=""),"",F4333))</f>
        <v/>
      </c>
      <c r="J4333" s="350">
        <f>IF(G4333="Sim",0,IF(OR(F4333="",D4333="",L4333=""),"",IF(L4333="Sim",ROUND(F4333-D4333,2),0)))</f>
        <v/>
      </c>
      <c r="K4333" s="97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inlineStr">
        <is>
          <t>Nao</t>
        </is>
      </c>
      <c r="W4333" s="110" t="inlineStr">
        <is>
          <t>PC em analise</t>
        </is>
      </c>
      <c r="X4333" s="110" t="inlineStr">
        <is>
          <t>Pedido de Compra</t>
        </is>
      </c>
      <c r="Y4333" s="111" t="inlineStr">
        <is>
          <t>Impacto Potencial</t>
        </is>
      </c>
      <c r="Z4333" s="111" t="inlineStr">
        <is>
          <t>PC</t>
        </is>
      </c>
      <c r="AA4333" s="111" t="inlineStr">
        <is>
          <t>Nao</t>
        </is>
      </c>
      <c r="AB4333" s="111" t="inlineStr">
        <is>
          <t>NAO_COMPUTADO</t>
        </is>
      </c>
      <c r="AC4333" s="112" t="inlineStr">
        <is>
          <t>Estrutura Fase 1: sem impacto no VTA oficial</t>
        </is>
      </c>
    </row>
    <row r="4334" ht="25.5" customHeight="1" s="289">
      <c r="A4334" s="205" t="n"/>
      <c r="B4334" s="207" t="n"/>
      <c r="C4334" s="104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348" t="n"/>
      <c r="E4334" s="349">
        <f>IF(C4334="","",IFERROR(VLOOKUP(C4334,parametros!$A$11:$E$15,5,0),""))</f>
        <v/>
      </c>
      <c r="F4334" s="335">
        <f>IF(OR(D4334="",E4334=""),"",ROUND(D4334*E4334,2))</f>
        <v/>
      </c>
      <c r="G4334" s="106" t="n"/>
      <c r="H4334" s="350">
        <f>IF(G4334="Sim",IF(OR(F4334="",D4334="",L4334=""),"",IF(L4334="Sim",ROUND(F4334-D4334,2),0)),0)</f>
        <v/>
      </c>
      <c r="I4334" s="350">
        <f>IF(G4334="Sim",0,IF(OR(F4334="",L4334=""),"",F4334))</f>
        <v/>
      </c>
      <c r="J4334" s="350">
        <f>IF(G4334="Sim",0,IF(OR(F4334="",D4334="",L4334=""),"",IF(L4334="Sim",ROUND(F4334-D4334,2),0)))</f>
        <v/>
      </c>
      <c r="K4334" s="97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inlineStr">
        <is>
          <t>Nao</t>
        </is>
      </c>
      <c r="W4334" s="110" t="inlineStr">
        <is>
          <t>PC em analise</t>
        </is>
      </c>
      <c r="X4334" s="110" t="inlineStr">
        <is>
          <t>Pedido de Compra</t>
        </is>
      </c>
      <c r="Y4334" s="111" t="inlineStr">
        <is>
          <t>Impacto Potencial</t>
        </is>
      </c>
      <c r="Z4334" s="111" t="inlineStr">
        <is>
          <t>PC</t>
        </is>
      </c>
      <c r="AA4334" s="111" t="inlineStr">
        <is>
          <t>Nao</t>
        </is>
      </c>
      <c r="AB4334" s="111" t="inlineStr">
        <is>
          <t>NAO_COMPUTADO</t>
        </is>
      </c>
      <c r="AC4334" s="112" t="inlineStr">
        <is>
          <t>Estrutura Fase 1: sem impacto no VTA oficial</t>
        </is>
      </c>
    </row>
    <row r="4335" ht="25.5" customHeight="1" s="289">
      <c r="A4335" s="205" t="n"/>
      <c r="B4335" s="207" t="n"/>
      <c r="C4335" s="104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348" t="n"/>
      <c r="E4335" s="349">
        <f>IF(C4335="","",IFERROR(VLOOKUP(C4335,parametros!$A$11:$E$15,5,0),""))</f>
        <v/>
      </c>
      <c r="F4335" s="335">
        <f>IF(OR(D4335="",E4335=""),"",ROUND(D4335*E4335,2))</f>
        <v/>
      </c>
      <c r="G4335" s="106" t="n"/>
      <c r="H4335" s="350">
        <f>IF(G4335="Sim",IF(OR(F4335="",D4335="",L4335=""),"",IF(L4335="Sim",ROUND(F4335-D4335,2),0)),0)</f>
        <v/>
      </c>
      <c r="I4335" s="350">
        <f>IF(G4335="Sim",0,IF(OR(F4335="",L4335=""),"",F4335))</f>
        <v/>
      </c>
      <c r="J4335" s="350">
        <f>IF(G4335="Sim",0,IF(OR(F4335="",D4335="",L4335=""),"",IF(L4335="Sim",ROUND(F4335-D4335,2),0)))</f>
        <v/>
      </c>
      <c r="K4335" s="97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inlineStr">
        <is>
          <t>Nao</t>
        </is>
      </c>
      <c r="W4335" s="110" t="inlineStr">
        <is>
          <t>PC em analise</t>
        </is>
      </c>
      <c r="X4335" s="110" t="inlineStr">
        <is>
          <t>Pedido de Compra</t>
        </is>
      </c>
      <c r="Y4335" s="111" t="inlineStr">
        <is>
          <t>Impacto Potencial</t>
        </is>
      </c>
      <c r="Z4335" s="111" t="inlineStr">
        <is>
          <t>PC</t>
        </is>
      </c>
      <c r="AA4335" s="111" t="inlineStr">
        <is>
          <t>Nao</t>
        </is>
      </c>
      <c r="AB4335" s="111" t="inlineStr">
        <is>
          <t>NAO_COMPUTADO</t>
        </is>
      </c>
      <c r="AC4335" s="112" t="inlineStr">
        <is>
          <t>Estrutura Fase 1: sem impacto no VTA oficial</t>
        </is>
      </c>
    </row>
    <row r="4336" ht="25.5" customHeight="1" s="289">
      <c r="A4336" s="205" t="n"/>
      <c r="B4336" s="207" t="n"/>
      <c r="C4336" s="104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348" t="n"/>
      <c r="E4336" s="349">
        <f>IF(C4336="","",IFERROR(VLOOKUP(C4336,parametros!$A$11:$E$15,5,0),""))</f>
        <v/>
      </c>
      <c r="F4336" s="335">
        <f>IF(OR(D4336="",E4336=""),"",ROUND(D4336*E4336,2))</f>
        <v/>
      </c>
      <c r="G4336" s="106" t="n"/>
      <c r="H4336" s="350">
        <f>IF(G4336="Sim",IF(OR(F4336="",D4336="",L4336=""),"",IF(L4336="Sim",ROUND(F4336-D4336,2),0)),0)</f>
        <v/>
      </c>
      <c r="I4336" s="350">
        <f>IF(G4336="Sim",0,IF(OR(F4336="",L4336=""),"",F4336))</f>
        <v/>
      </c>
      <c r="J4336" s="350">
        <f>IF(G4336="Sim",0,IF(OR(F4336="",D4336="",L4336=""),"",IF(L4336="Sim",ROUND(F4336-D4336,2),0)))</f>
        <v/>
      </c>
      <c r="K4336" s="97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inlineStr">
        <is>
          <t>Nao</t>
        </is>
      </c>
      <c r="W4336" s="110" t="inlineStr">
        <is>
          <t>PC em analise</t>
        </is>
      </c>
      <c r="X4336" s="110" t="inlineStr">
        <is>
          <t>Pedido de Compra</t>
        </is>
      </c>
      <c r="Y4336" s="111" t="inlineStr">
        <is>
          <t>Impacto Potencial</t>
        </is>
      </c>
      <c r="Z4336" s="111" t="inlineStr">
        <is>
          <t>PC</t>
        </is>
      </c>
      <c r="AA4336" s="111" t="inlineStr">
        <is>
          <t>Nao</t>
        </is>
      </c>
      <c r="AB4336" s="111" t="inlineStr">
        <is>
          <t>NAO_COMPUTADO</t>
        </is>
      </c>
      <c r="AC4336" s="112" t="inlineStr">
        <is>
          <t>Estrutura Fase 1: sem impacto no VTA oficial</t>
        </is>
      </c>
    </row>
    <row r="4337" ht="25.5" customHeight="1" s="289">
      <c r="A4337" s="205" t="n"/>
      <c r="B4337" s="207" t="n"/>
      <c r="C4337" s="104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348" t="n"/>
      <c r="E4337" s="349">
        <f>IF(C4337="","",IFERROR(VLOOKUP(C4337,parametros!$A$11:$E$15,5,0),""))</f>
        <v/>
      </c>
      <c r="F4337" s="335">
        <f>IF(OR(D4337="",E4337=""),"",ROUND(D4337*E4337,2))</f>
        <v/>
      </c>
      <c r="G4337" s="106" t="n"/>
      <c r="H4337" s="350">
        <f>IF(G4337="Sim",IF(OR(F4337="",D4337="",L4337=""),"",IF(L4337="Sim",ROUND(F4337-D4337,2),0)),0)</f>
        <v/>
      </c>
      <c r="I4337" s="350">
        <f>IF(G4337="Sim",0,IF(OR(F4337="",L4337=""),"",F4337))</f>
        <v/>
      </c>
      <c r="J4337" s="350">
        <f>IF(G4337="Sim",0,IF(OR(F4337="",D4337="",L4337=""),"",IF(L4337="Sim",ROUND(F4337-D4337,2),0)))</f>
        <v/>
      </c>
      <c r="K4337" s="97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inlineStr">
        <is>
          <t>Nao</t>
        </is>
      </c>
      <c r="W4337" s="110" t="inlineStr">
        <is>
          <t>PC em analise</t>
        </is>
      </c>
      <c r="X4337" s="110" t="inlineStr">
        <is>
          <t>Pedido de Compra</t>
        </is>
      </c>
      <c r="Y4337" s="111" t="inlineStr">
        <is>
          <t>Impacto Potencial</t>
        </is>
      </c>
      <c r="Z4337" s="111" t="inlineStr">
        <is>
          <t>PC</t>
        </is>
      </c>
      <c r="AA4337" s="111" t="inlineStr">
        <is>
          <t>Nao</t>
        </is>
      </c>
      <c r="AB4337" s="111" t="inlineStr">
        <is>
          <t>NAO_COMPUTADO</t>
        </is>
      </c>
      <c r="AC4337" s="112" t="inlineStr">
        <is>
          <t>Estrutura Fase 1: sem impacto no VTA oficial</t>
        </is>
      </c>
    </row>
    <row r="4338" ht="25.5" customHeight="1" s="289">
      <c r="A4338" s="205" t="n"/>
      <c r="B4338" s="207" t="n"/>
      <c r="C4338" s="104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348" t="n"/>
      <c r="E4338" s="349">
        <f>IF(C4338="","",IFERROR(VLOOKUP(C4338,parametros!$A$11:$E$15,5,0),""))</f>
        <v/>
      </c>
      <c r="F4338" s="335">
        <f>IF(OR(D4338="",E4338=""),"",ROUND(D4338*E4338,2))</f>
        <v/>
      </c>
      <c r="G4338" s="106" t="n"/>
      <c r="H4338" s="350">
        <f>IF(G4338="Sim",IF(OR(F4338="",D4338="",L4338=""),"",IF(L4338="Sim",ROUND(F4338-D4338,2),0)),0)</f>
        <v/>
      </c>
      <c r="I4338" s="350">
        <f>IF(G4338="Sim",0,IF(OR(F4338="",L4338=""),"",F4338))</f>
        <v/>
      </c>
      <c r="J4338" s="350">
        <f>IF(G4338="Sim",0,IF(OR(F4338="",D4338="",L4338=""),"",IF(L4338="Sim",ROUND(F4338-D4338,2),0)))</f>
        <v/>
      </c>
      <c r="K4338" s="97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inlineStr">
        <is>
          <t>Nao</t>
        </is>
      </c>
      <c r="W4338" s="110" t="inlineStr">
        <is>
          <t>PC em analise</t>
        </is>
      </c>
      <c r="X4338" s="110" t="inlineStr">
        <is>
          <t>Pedido de Compra</t>
        </is>
      </c>
      <c r="Y4338" s="111" t="inlineStr">
        <is>
          <t>Impacto Potencial</t>
        </is>
      </c>
      <c r="Z4338" s="111" t="inlineStr">
        <is>
          <t>PC</t>
        </is>
      </c>
      <c r="AA4338" s="111" t="inlineStr">
        <is>
          <t>Nao</t>
        </is>
      </c>
      <c r="AB4338" s="111" t="inlineStr">
        <is>
          <t>NAO_COMPUTADO</t>
        </is>
      </c>
      <c r="AC4338" s="112" t="inlineStr">
        <is>
          <t>Estrutura Fase 1: sem impacto no VTA oficial</t>
        </is>
      </c>
    </row>
    <row r="4339" ht="25.5" customHeight="1" s="289">
      <c r="A4339" s="205" t="n"/>
      <c r="B4339" s="207" t="n"/>
      <c r="C4339" s="104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348" t="n"/>
      <c r="E4339" s="349">
        <f>IF(C4339="","",IFERROR(VLOOKUP(C4339,parametros!$A$11:$E$15,5,0),""))</f>
        <v/>
      </c>
      <c r="F4339" s="335">
        <f>IF(OR(D4339="",E4339=""),"",ROUND(D4339*E4339,2))</f>
        <v/>
      </c>
      <c r="G4339" s="106" t="n"/>
      <c r="H4339" s="350">
        <f>IF(G4339="Sim",IF(OR(F4339="",D4339="",L4339=""),"",IF(L4339="Sim",ROUND(F4339-D4339,2),0)),0)</f>
        <v/>
      </c>
      <c r="I4339" s="350">
        <f>IF(G4339="Sim",0,IF(OR(F4339="",L4339=""),"",F4339))</f>
        <v/>
      </c>
      <c r="J4339" s="350">
        <f>IF(G4339="Sim",0,IF(OR(F4339="",D4339="",L4339=""),"",IF(L4339="Sim",ROUND(F4339-D4339,2),0)))</f>
        <v/>
      </c>
      <c r="K4339" s="97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inlineStr">
        <is>
          <t>Nao</t>
        </is>
      </c>
      <c r="W4339" s="110" t="inlineStr">
        <is>
          <t>PC em analise</t>
        </is>
      </c>
      <c r="X4339" s="110" t="inlineStr">
        <is>
          <t>Pedido de Compra</t>
        </is>
      </c>
      <c r="Y4339" s="111" t="inlineStr">
        <is>
          <t>Impacto Potencial</t>
        </is>
      </c>
      <c r="Z4339" s="111" t="inlineStr">
        <is>
          <t>PC</t>
        </is>
      </c>
      <c r="AA4339" s="111" t="inlineStr">
        <is>
          <t>Nao</t>
        </is>
      </c>
      <c r="AB4339" s="111" t="inlineStr">
        <is>
          <t>NAO_COMPUTADO</t>
        </is>
      </c>
      <c r="AC4339" s="112" t="inlineStr">
        <is>
          <t>Estrutura Fase 1: sem impacto no VTA oficial</t>
        </is>
      </c>
    </row>
    <row r="4340" ht="25.5" customHeight="1" s="289">
      <c r="A4340" s="205" t="n"/>
      <c r="B4340" s="207" t="n"/>
      <c r="C4340" s="104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348" t="n"/>
      <c r="E4340" s="349">
        <f>IF(C4340="","",IFERROR(VLOOKUP(C4340,parametros!$A$11:$E$15,5,0),""))</f>
        <v/>
      </c>
      <c r="F4340" s="335">
        <f>IF(OR(D4340="",E4340=""),"",ROUND(D4340*E4340,2))</f>
        <v/>
      </c>
      <c r="G4340" s="106" t="n"/>
      <c r="H4340" s="350">
        <f>IF(G4340="Sim",IF(OR(F4340="",D4340="",L4340=""),"",IF(L4340="Sim",ROUND(F4340-D4340,2),0)),0)</f>
        <v/>
      </c>
      <c r="I4340" s="350">
        <f>IF(G4340="Sim",0,IF(OR(F4340="",L4340=""),"",F4340))</f>
        <v/>
      </c>
      <c r="J4340" s="350">
        <f>IF(G4340="Sim",0,IF(OR(F4340="",D4340="",L4340=""),"",IF(L4340="Sim",ROUND(F4340-D4340,2),0)))</f>
        <v/>
      </c>
      <c r="K4340" s="97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inlineStr">
        <is>
          <t>Nao</t>
        </is>
      </c>
      <c r="W4340" s="110" t="inlineStr">
        <is>
          <t>PC em analise</t>
        </is>
      </c>
      <c r="X4340" s="110" t="inlineStr">
        <is>
          <t>Pedido de Compra</t>
        </is>
      </c>
      <c r="Y4340" s="111" t="inlineStr">
        <is>
          <t>Impacto Potencial</t>
        </is>
      </c>
      <c r="Z4340" s="111" t="inlineStr">
        <is>
          <t>PC</t>
        </is>
      </c>
      <c r="AA4340" s="111" t="inlineStr">
        <is>
          <t>Nao</t>
        </is>
      </c>
      <c r="AB4340" s="111" t="inlineStr">
        <is>
          <t>NAO_COMPUTADO</t>
        </is>
      </c>
      <c r="AC4340" s="112" t="inlineStr">
        <is>
          <t>Estrutura Fase 1: sem impacto no VTA oficial</t>
        </is>
      </c>
    </row>
    <row r="4341" ht="25.5" customHeight="1" s="289">
      <c r="A4341" s="205" t="n"/>
      <c r="B4341" s="207" t="n"/>
      <c r="C4341" s="104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348" t="n"/>
      <c r="E4341" s="349">
        <f>IF(C4341="","",IFERROR(VLOOKUP(C4341,parametros!$A$11:$E$15,5,0),""))</f>
        <v/>
      </c>
      <c r="F4341" s="335">
        <f>IF(OR(D4341="",E4341=""),"",ROUND(D4341*E4341,2))</f>
        <v/>
      </c>
      <c r="G4341" s="106" t="n"/>
      <c r="H4341" s="350">
        <f>IF(G4341="Sim",IF(OR(F4341="",D4341="",L4341=""),"",IF(L4341="Sim",ROUND(F4341-D4341,2),0)),0)</f>
        <v/>
      </c>
      <c r="I4341" s="350">
        <f>IF(G4341="Sim",0,IF(OR(F4341="",L4341=""),"",F4341))</f>
        <v/>
      </c>
      <c r="J4341" s="350">
        <f>IF(G4341="Sim",0,IF(OR(F4341="",D4341="",L4341=""),"",IF(L4341="Sim",ROUND(F4341-D4341,2),0)))</f>
        <v/>
      </c>
      <c r="K4341" s="97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inlineStr">
        <is>
          <t>Nao</t>
        </is>
      </c>
      <c r="W4341" s="110" t="inlineStr">
        <is>
          <t>PC em analise</t>
        </is>
      </c>
      <c r="X4341" s="110" t="inlineStr">
        <is>
          <t>Pedido de Compra</t>
        </is>
      </c>
      <c r="Y4341" s="111" t="inlineStr">
        <is>
          <t>Impacto Potencial</t>
        </is>
      </c>
      <c r="Z4341" s="111" t="inlineStr">
        <is>
          <t>PC</t>
        </is>
      </c>
      <c r="AA4341" s="111" t="inlineStr">
        <is>
          <t>Nao</t>
        </is>
      </c>
      <c r="AB4341" s="111" t="inlineStr">
        <is>
          <t>NAO_COMPUTADO</t>
        </is>
      </c>
      <c r="AC4341" s="112" t="inlineStr">
        <is>
          <t>Estrutura Fase 1: sem impacto no VTA oficial</t>
        </is>
      </c>
    </row>
    <row r="4342" ht="25.5" customHeight="1" s="289">
      <c r="A4342" s="205" t="n"/>
      <c r="B4342" s="207" t="n"/>
      <c r="C4342" s="104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348" t="n"/>
      <c r="E4342" s="349">
        <f>IF(C4342="","",IFERROR(VLOOKUP(C4342,parametros!$A$11:$E$15,5,0),""))</f>
        <v/>
      </c>
      <c r="F4342" s="335">
        <f>IF(OR(D4342="",E4342=""),"",ROUND(D4342*E4342,2))</f>
        <v/>
      </c>
      <c r="G4342" s="106" t="n"/>
      <c r="H4342" s="350">
        <f>IF(G4342="Sim",IF(OR(F4342="",D4342="",L4342=""),"",IF(L4342="Sim",ROUND(F4342-D4342,2),0)),0)</f>
        <v/>
      </c>
      <c r="I4342" s="350">
        <f>IF(G4342="Sim",0,IF(OR(F4342="",L4342=""),"",F4342))</f>
        <v/>
      </c>
      <c r="J4342" s="350">
        <f>IF(G4342="Sim",0,IF(OR(F4342="",D4342="",L4342=""),"",IF(L4342="Sim",ROUND(F4342-D4342,2),0)))</f>
        <v/>
      </c>
      <c r="K4342" s="97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inlineStr">
        <is>
          <t>Nao</t>
        </is>
      </c>
      <c r="W4342" s="110" t="inlineStr">
        <is>
          <t>PC em analise</t>
        </is>
      </c>
      <c r="X4342" s="110" t="inlineStr">
        <is>
          <t>Pedido de Compra</t>
        </is>
      </c>
      <c r="Y4342" s="111" t="inlineStr">
        <is>
          <t>Impacto Potencial</t>
        </is>
      </c>
      <c r="Z4342" s="111" t="inlineStr">
        <is>
          <t>PC</t>
        </is>
      </c>
      <c r="AA4342" s="111" t="inlineStr">
        <is>
          <t>Nao</t>
        </is>
      </c>
      <c r="AB4342" s="111" t="inlineStr">
        <is>
          <t>NAO_COMPUTADO</t>
        </is>
      </c>
      <c r="AC4342" s="112" t="inlineStr">
        <is>
          <t>Estrutura Fase 1: sem impacto no VTA oficial</t>
        </is>
      </c>
    </row>
    <row r="4343" ht="25.5" customHeight="1" s="289">
      <c r="A4343" s="205" t="n"/>
      <c r="B4343" s="207" t="n"/>
      <c r="C4343" s="104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348" t="n"/>
      <c r="E4343" s="349">
        <f>IF(C4343="","",IFERROR(VLOOKUP(C4343,parametros!$A$11:$E$15,5,0),""))</f>
        <v/>
      </c>
      <c r="F4343" s="335">
        <f>IF(OR(D4343="",E4343=""),"",ROUND(D4343*E4343,2))</f>
        <v/>
      </c>
      <c r="G4343" s="106" t="n"/>
      <c r="H4343" s="350">
        <f>IF(G4343="Sim",IF(OR(F4343="",D4343="",L4343=""),"",IF(L4343="Sim",ROUND(F4343-D4343,2),0)),0)</f>
        <v/>
      </c>
      <c r="I4343" s="350">
        <f>IF(G4343="Sim",0,IF(OR(F4343="",L4343=""),"",F4343))</f>
        <v/>
      </c>
      <c r="J4343" s="350">
        <f>IF(G4343="Sim",0,IF(OR(F4343="",D4343="",L4343=""),"",IF(L4343="Sim",ROUND(F4343-D4343,2),0)))</f>
        <v/>
      </c>
      <c r="K4343" s="97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inlineStr">
        <is>
          <t>Nao</t>
        </is>
      </c>
      <c r="W4343" s="110" t="inlineStr">
        <is>
          <t>PC em analise</t>
        </is>
      </c>
      <c r="X4343" s="110" t="inlineStr">
        <is>
          <t>Pedido de Compra</t>
        </is>
      </c>
      <c r="Y4343" s="111" t="inlineStr">
        <is>
          <t>Impacto Potencial</t>
        </is>
      </c>
      <c r="Z4343" s="111" t="inlineStr">
        <is>
          <t>PC</t>
        </is>
      </c>
      <c r="AA4343" s="111" t="inlineStr">
        <is>
          <t>Nao</t>
        </is>
      </c>
      <c r="AB4343" s="111" t="inlineStr">
        <is>
          <t>NAO_COMPUTADO</t>
        </is>
      </c>
      <c r="AC4343" s="112" t="inlineStr">
        <is>
          <t>Estrutura Fase 1: sem impacto no VTA oficial</t>
        </is>
      </c>
    </row>
    <row r="4344" ht="25.5" customHeight="1" s="289">
      <c r="A4344" s="205" t="n"/>
      <c r="B4344" s="207" t="n"/>
      <c r="C4344" s="104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348" t="n"/>
      <c r="E4344" s="349">
        <f>IF(C4344="","",IFERROR(VLOOKUP(C4344,parametros!$A$11:$E$15,5,0),""))</f>
        <v/>
      </c>
      <c r="F4344" s="335">
        <f>IF(OR(D4344="",E4344=""),"",ROUND(D4344*E4344,2))</f>
        <v/>
      </c>
      <c r="G4344" s="106" t="n"/>
      <c r="H4344" s="350">
        <f>IF(G4344="Sim",IF(OR(F4344="",D4344="",L4344=""),"",IF(L4344="Sim",ROUND(F4344-D4344,2),0)),0)</f>
        <v/>
      </c>
      <c r="I4344" s="350">
        <f>IF(G4344="Sim",0,IF(OR(F4344="",L4344=""),"",F4344))</f>
        <v/>
      </c>
      <c r="J4344" s="350">
        <f>IF(G4344="Sim",0,IF(OR(F4344="",D4344="",L4344=""),"",IF(L4344="Sim",ROUND(F4344-D4344,2),0)))</f>
        <v/>
      </c>
      <c r="K4344" s="97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inlineStr">
        <is>
          <t>Nao</t>
        </is>
      </c>
      <c r="W4344" s="110" t="inlineStr">
        <is>
          <t>PC em analise</t>
        </is>
      </c>
      <c r="X4344" s="110" t="inlineStr">
        <is>
          <t>Pedido de Compra</t>
        </is>
      </c>
      <c r="Y4344" s="111" t="inlineStr">
        <is>
          <t>Impacto Potencial</t>
        </is>
      </c>
      <c r="Z4344" s="111" t="inlineStr">
        <is>
          <t>PC</t>
        </is>
      </c>
      <c r="AA4344" s="111" t="inlineStr">
        <is>
          <t>Nao</t>
        </is>
      </c>
      <c r="AB4344" s="111" t="inlineStr">
        <is>
          <t>NAO_COMPUTADO</t>
        </is>
      </c>
      <c r="AC4344" s="112" t="inlineStr">
        <is>
          <t>Estrutura Fase 1: sem impacto no VTA oficial</t>
        </is>
      </c>
    </row>
    <row r="4345" ht="25.5" customHeight="1" s="289">
      <c r="A4345" s="205" t="n"/>
      <c r="B4345" s="207" t="n"/>
      <c r="C4345" s="104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348" t="n"/>
      <c r="E4345" s="349">
        <f>IF(C4345="","",IFERROR(VLOOKUP(C4345,parametros!$A$11:$E$15,5,0),""))</f>
        <v/>
      </c>
      <c r="F4345" s="335">
        <f>IF(OR(D4345="",E4345=""),"",ROUND(D4345*E4345,2))</f>
        <v/>
      </c>
      <c r="G4345" s="106" t="n"/>
      <c r="H4345" s="350">
        <f>IF(G4345="Sim",IF(OR(F4345="",D4345="",L4345=""),"",IF(L4345="Sim",ROUND(F4345-D4345,2),0)),0)</f>
        <v/>
      </c>
      <c r="I4345" s="350">
        <f>IF(G4345="Sim",0,IF(OR(F4345="",L4345=""),"",F4345))</f>
        <v/>
      </c>
      <c r="J4345" s="350">
        <f>IF(G4345="Sim",0,IF(OR(F4345="",D4345="",L4345=""),"",IF(L4345="Sim",ROUND(F4345-D4345,2),0)))</f>
        <v/>
      </c>
      <c r="K4345" s="97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inlineStr">
        <is>
          <t>Nao</t>
        </is>
      </c>
      <c r="W4345" s="110" t="inlineStr">
        <is>
          <t>PC em analise</t>
        </is>
      </c>
      <c r="X4345" s="110" t="inlineStr">
        <is>
          <t>Pedido de Compra</t>
        </is>
      </c>
      <c r="Y4345" s="111" t="inlineStr">
        <is>
          <t>Impacto Potencial</t>
        </is>
      </c>
      <c r="Z4345" s="111" t="inlineStr">
        <is>
          <t>PC</t>
        </is>
      </c>
      <c r="AA4345" s="111" t="inlineStr">
        <is>
          <t>Nao</t>
        </is>
      </c>
      <c r="AB4345" s="111" t="inlineStr">
        <is>
          <t>NAO_COMPUTADO</t>
        </is>
      </c>
      <c r="AC4345" s="112" t="inlineStr">
        <is>
          <t>Estrutura Fase 1: sem impacto no VTA oficial</t>
        </is>
      </c>
    </row>
    <row r="4346" ht="25.5" customHeight="1" s="289">
      <c r="A4346" s="205" t="n"/>
      <c r="B4346" s="207" t="n"/>
      <c r="C4346" s="104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348" t="n"/>
      <c r="E4346" s="349">
        <f>IF(C4346="","",IFERROR(VLOOKUP(C4346,parametros!$A$11:$E$15,5,0),""))</f>
        <v/>
      </c>
      <c r="F4346" s="335">
        <f>IF(OR(D4346="",E4346=""),"",ROUND(D4346*E4346,2))</f>
        <v/>
      </c>
      <c r="G4346" s="106" t="n"/>
      <c r="H4346" s="350">
        <f>IF(G4346="Sim",IF(OR(F4346="",D4346="",L4346=""),"",IF(L4346="Sim",ROUND(F4346-D4346,2),0)),0)</f>
        <v/>
      </c>
      <c r="I4346" s="350">
        <f>IF(G4346="Sim",0,IF(OR(F4346="",L4346=""),"",F4346))</f>
        <v/>
      </c>
      <c r="J4346" s="350">
        <f>IF(G4346="Sim",0,IF(OR(F4346="",D4346="",L4346=""),"",IF(L4346="Sim",ROUND(F4346-D4346,2),0)))</f>
        <v/>
      </c>
      <c r="K4346" s="97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inlineStr">
        <is>
          <t>Nao</t>
        </is>
      </c>
      <c r="W4346" s="110" t="inlineStr">
        <is>
          <t>PC em analise</t>
        </is>
      </c>
      <c r="X4346" s="110" t="inlineStr">
        <is>
          <t>Pedido de Compra</t>
        </is>
      </c>
      <c r="Y4346" s="111" t="inlineStr">
        <is>
          <t>Impacto Potencial</t>
        </is>
      </c>
      <c r="Z4346" s="111" t="inlineStr">
        <is>
          <t>PC</t>
        </is>
      </c>
      <c r="AA4346" s="111" t="inlineStr">
        <is>
          <t>Nao</t>
        </is>
      </c>
      <c r="AB4346" s="111" t="inlineStr">
        <is>
          <t>NAO_COMPUTADO</t>
        </is>
      </c>
      <c r="AC4346" s="112" t="inlineStr">
        <is>
          <t>Estrutura Fase 1: sem impacto no VTA oficial</t>
        </is>
      </c>
    </row>
    <row r="4347" ht="25.5" customHeight="1" s="289">
      <c r="A4347" s="205" t="n"/>
      <c r="B4347" s="207" t="n"/>
      <c r="C4347" s="104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348" t="n"/>
      <c r="E4347" s="349">
        <f>IF(C4347="","",IFERROR(VLOOKUP(C4347,parametros!$A$11:$E$15,5,0),""))</f>
        <v/>
      </c>
      <c r="F4347" s="335">
        <f>IF(OR(D4347="",E4347=""),"",ROUND(D4347*E4347,2))</f>
        <v/>
      </c>
      <c r="G4347" s="106" t="n"/>
      <c r="H4347" s="350">
        <f>IF(G4347="Sim",IF(OR(F4347="",D4347="",L4347=""),"",IF(L4347="Sim",ROUND(F4347-D4347,2),0)),0)</f>
        <v/>
      </c>
      <c r="I4347" s="350">
        <f>IF(G4347="Sim",0,IF(OR(F4347="",L4347=""),"",F4347))</f>
        <v/>
      </c>
      <c r="J4347" s="350">
        <f>IF(G4347="Sim",0,IF(OR(F4347="",D4347="",L4347=""),"",IF(L4347="Sim",ROUND(F4347-D4347,2),0)))</f>
        <v/>
      </c>
      <c r="K4347" s="97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inlineStr">
        <is>
          <t>Nao</t>
        </is>
      </c>
      <c r="W4347" s="110" t="inlineStr">
        <is>
          <t>PC em analise</t>
        </is>
      </c>
      <c r="X4347" s="110" t="inlineStr">
        <is>
          <t>Pedido de Compra</t>
        </is>
      </c>
      <c r="Y4347" s="111" t="inlineStr">
        <is>
          <t>Impacto Potencial</t>
        </is>
      </c>
      <c r="Z4347" s="111" t="inlineStr">
        <is>
          <t>PC</t>
        </is>
      </c>
      <c r="AA4347" s="111" t="inlineStr">
        <is>
          <t>Nao</t>
        </is>
      </c>
      <c r="AB4347" s="111" t="inlineStr">
        <is>
          <t>NAO_COMPUTADO</t>
        </is>
      </c>
      <c r="AC4347" s="112" t="inlineStr">
        <is>
          <t>Estrutura Fase 1: sem impacto no VTA oficial</t>
        </is>
      </c>
    </row>
    <row r="4348" ht="25.5" customHeight="1" s="289">
      <c r="A4348" s="205" t="n"/>
      <c r="B4348" s="207" t="n"/>
      <c r="C4348" s="104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348" t="n"/>
      <c r="E4348" s="349">
        <f>IF(C4348="","",IFERROR(VLOOKUP(C4348,parametros!$A$11:$E$15,5,0),""))</f>
        <v/>
      </c>
      <c r="F4348" s="335">
        <f>IF(OR(D4348="",E4348=""),"",ROUND(D4348*E4348,2))</f>
        <v/>
      </c>
      <c r="G4348" s="106" t="n"/>
      <c r="H4348" s="350">
        <f>IF(G4348="Sim",IF(OR(F4348="",D4348="",L4348=""),"",IF(L4348="Sim",ROUND(F4348-D4348,2),0)),0)</f>
        <v/>
      </c>
      <c r="I4348" s="350">
        <f>IF(G4348="Sim",0,IF(OR(F4348="",L4348=""),"",F4348))</f>
        <v/>
      </c>
      <c r="J4348" s="350">
        <f>IF(G4348="Sim",0,IF(OR(F4348="",D4348="",L4348=""),"",IF(L4348="Sim",ROUND(F4348-D4348,2),0)))</f>
        <v/>
      </c>
      <c r="K4348" s="97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inlineStr">
        <is>
          <t>Nao</t>
        </is>
      </c>
      <c r="W4348" s="110" t="inlineStr">
        <is>
          <t>PC em analise</t>
        </is>
      </c>
      <c r="X4348" s="110" t="inlineStr">
        <is>
          <t>Pedido de Compra</t>
        </is>
      </c>
      <c r="Y4348" s="111" t="inlineStr">
        <is>
          <t>Impacto Potencial</t>
        </is>
      </c>
      <c r="Z4348" s="111" t="inlineStr">
        <is>
          <t>PC</t>
        </is>
      </c>
      <c r="AA4348" s="111" t="inlineStr">
        <is>
          <t>Nao</t>
        </is>
      </c>
      <c r="AB4348" s="111" t="inlineStr">
        <is>
          <t>NAO_COMPUTADO</t>
        </is>
      </c>
      <c r="AC4348" s="112" t="inlineStr">
        <is>
          <t>Estrutura Fase 1: sem impacto no VTA oficial</t>
        </is>
      </c>
    </row>
    <row r="4349" ht="25.5" customHeight="1" s="289">
      <c r="A4349" s="205" t="n"/>
      <c r="B4349" s="207" t="n"/>
      <c r="C4349" s="104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348" t="n"/>
      <c r="E4349" s="349">
        <f>IF(C4349="","",IFERROR(VLOOKUP(C4349,parametros!$A$11:$E$15,5,0),""))</f>
        <v/>
      </c>
      <c r="F4349" s="335">
        <f>IF(OR(D4349="",E4349=""),"",ROUND(D4349*E4349,2))</f>
        <v/>
      </c>
      <c r="G4349" s="106" t="n"/>
      <c r="H4349" s="350">
        <f>IF(G4349="Sim",IF(OR(F4349="",D4349="",L4349=""),"",IF(L4349="Sim",ROUND(F4349-D4349,2),0)),0)</f>
        <v/>
      </c>
      <c r="I4349" s="350">
        <f>IF(G4349="Sim",0,IF(OR(F4349="",L4349=""),"",F4349))</f>
        <v/>
      </c>
      <c r="J4349" s="350">
        <f>IF(G4349="Sim",0,IF(OR(F4349="",D4349="",L4349=""),"",IF(L4349="Sim",ROUND(F4349-D4349,2),0)))</f>
        <v/>
      </c>
      <c r="K4349" s="97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inlineStr">
        <is>
          <t>Nao</t>
        </is>
      </c>
      <c r="W4349" s="110" t="inlineStr">
        <is>
          <t>PC em analise</t>
        </is>
      </c>
      <c r="X4349" s="110" t="inlineStr">
        <is>
          <t>Pedido de Compra</t>
        </is>
      </c>
      <c r="Y4349" s="111" t="inlineStr">
        <is>
          <t>Impacto Potencial</t>
        </is>
      </c>
      <c r="Z4349" s="111" t="inlineStr">
        <is>
          <t>PC</t>
        </is>
      </c>
      <c r="AA4349" s="111" t="inlineStr">
        <is>
          <t>Nao</t>
        </is>
      </c>
      <c r="AB4349" s="111" t="inlineStr">
        <is>
          <t>NAO_COMPUTADO</t>
        </is>
      </c>
      <c r="AC4349" s="112" t="inlineStr">
        <is>
          <t>Estrutura Fase 1: sem impacto no VTA oficial</t>
        </is>
      </c>
    </row>
    <row r="4350" ht="25.5" customHeight="1" s="289">
      <c r="A4350" s="205" t="n"/>
      <c r="B4350" s="207" t="n"/>
      <c r="C4350" s="104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348" t="n"/>
      <c r="E4350" s="349">
        <f>IF(C4350="","",IFERROR(VLOOKUP(C4350,parametros!$A$11:$E$15,5,0),""))</f>
        <v/>
      </c>
      <c r="F4350" s="335">
        <f>IF(OR(D4350="",E4350=""),"",ROUND(D4350*E4350,2))</f>
        <v/>
      </c>
      <c r="G4350" s="106" t="n"/>
      <c r="H4350" s="350">
        <f>IF(G4350="Sim",IF(OR(F4350="",D4350="",L4350=""),"",IF(L4350="Sim",ROUND(F4350-D4350,2),0)),0)</f>
        <v/>
      </c>
      <c r="I4350" s="350">
        <f>IF(G4350="Sim",0,IF(OR(F4350="",L4350=""),"",F4350))</f>
        <v/>
      </c>
      <c r="J4350" s="350">
        <f>IF(G4350="Sim",0,IF(OR(F4350="",D4350="",L4350=""),"",IF(L4350="Sim",ROUND(F4350-D4350,2),0)))</f>
        <v/>
      </c>
      <c r="K4350" s="97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inlineStr">
        <is>
          <t>Nao</t>
        </is>
      </c>
      <c r="W4350" s="110" t="inlineStr">
        <is>
          <t>PC em analise</t>
        </is>
      </c>
      <c r="X4350" s="110" t="inlineStr">
        <is>
          <t>Pedido de Compra</t>
        </is>
      </c>
      <c r="Y4350" s="111" t="inlineStr">
        <is>
          <t>Impacto Potencial</t>
        </is>
      </c>
      <c r="Z4350" s="111" t="inlineStr">
        <is>
          <t>PC</t>
        </is>
      </c>
      <c r="AA4350" s="111" t="inlineStr">
        <is>
          <t>Nao</t>
        </is>
      </c>
      <c r="AB4350" s="111" t="inlineStr">
        <is>
          <t>NAO_COMPUTADO</t>
        </is>
      </c>
      <c r="AC4350" s="112" t="inlineStr">
        <is>
          <t>Estrutura Fase 1: sem impacto no VTA oficial</t>
        </is>
      </c>
    </row>
    <row r="4351" ht="25.5" customHeight="1" s="289">
      <c r="A4351" s="205" t="n"/>
      <c r="B4351" s="207" t="n"/>
      <c r="C4351" s="104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348" t="n"/>
      <c r="E4351" s="349">
        <f>IF(C4351="","",IFERROR(VLOOKUP(C4351,parametros!$A$11:$E$15,5,0),""))</f>
        <v/>
      </c>
      <c r="F4351" s="335">
        <f>IF(OR(D4351="",E4351=""),"",ROUND(D4351*E4351,2))</f>
        <v/>
      </c>
      <c r="G4351" s="106" t="n"/>
      <c r="H4351" s="350">
        <f>IF(G4351="Sim",IF(OR(F4351="",D4351="",L4351=""),"",IF(L4351="Sim",ROUND(F4351-D4351,2),0)),0)</f>
        <v/>
      </c>
      <c r="I4351" s="350">
        <f>IF(G4351="Sim",0,IF(OR(F4351="",L4351=""),"",F4351))</f>
        <v/>
      </c>
      <c r="J4351" s="350">
        <f>IF(G4351="Sim",0,IF(OR(F4351="",D4351="",L4351=""),"",IF(L4351="Sim",ROUND(F4351-D4351,2),0)))</f>
        <v/>
      </c>
      <c r="K4351" s="97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inlineStr">
        <is>
          <t>Nao</t>
        </is>
      </c>
      <c r="W4351" s="110" t="inlineStr">
        <is>
          <t>PC em analise</t>
        </is>
      </c>
      <c r="X4351" s="110" t="inlineStr">
        <is>
          <t>Pedido de Compra</t>
        </is>
      </c>
      <c r="Y4351" s="111" t="inlineStr">
        <is>
          <t>Impacto Potencial</t>
        </is>
      </c>
      <c r="Z4351" s="111" t="inlineStr">
        <is>
          <t>PC</t>
        </is>
      </c>
      <c r="AA4351" s="111" t="inlineStr">
        <is>
          <t>Nao</t>
        </is>
      </c>
      <c r="AB4351" s="111" t="inlineStr">
        <is>
          <t>NAO_COMPUTADO</t>
        </is>
      </c>
      <c r="AC4351" s="112" t="inlineStr">
        <is>
          <t>Estrutura Fase 1: sem impacto no VTA oficial</t>
        </is>
      </c>
    </row>
    <row r="4352" ht="25.5" customHeight="1" s="289">
      <c r="A4352" s="205" t="n"/>
      <c r="B4352" s="207" t="n"/>
      <c r="C4352" s="104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348" t="n"/>
      <c r="E4352" s="349">
        <f>IF(C4352="","",IFERROR(VLOOKUP(C4352,parametros!$A$11:$E$15,5,0),""))</f>
        <v/>
      </c>
      <c r="F4352" s="335">
        <f>IF(OR(D4352="",E4352=""),"",ROUND(D4352*E4352,2))</f>
        <v/>
      </c>
      <c r="G4352" s="106" t="n"/>
      <c r="H4352" s="350">
        <f>IF(G4352="Sim",IF(OR(F4352="",D4352="",L4352=""),"",IF(L4352="Sim",ROUND(F4352-D4352,2),0)),0)</f>
        <v/>
      </c>
      <c r="I4352" s="350">
        <f>IF(G4352="Sim",0,IF(OR(F4352="",L4352=""),"",F4352))</f>
        <v/>
      </c>
      <c r="J4352" s="350">
        <f>IF(G4352="Sim",0,IF(OR(F4352="",D4352="",L4352=""),"",IF(L4352="Sim",ROUND(F4352-D4352,2),0)))</f>
        <v/>
      </c>
      <c r="K4352" s="97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inlineStr">
        <is>
          <t>Nao</t>
        </is>
      </c>
      <c r="W4352" s="110" t="inlineStr">
        <is>
          <t>PC em analise</t>
        </is>
      </c>
      <c r="X4352" s="110" t="inlineStr">
        <is>
          <t>Pedido de Compra</t>
        </is>
      </c>
      <c r="Y4352" s="111" t="inlineStr">
        <is>
          <t>Impacto Potencial</t>
        </is>
      </c>
      <c r="Z4352" s="111" t="inlineStr">
        <is>
          <t>PC</t>
        </is>
      </c>
      <c r="AA4352" s="111" t="inlineStr">
        <is>
          <t>Nao</t>
        </is>
      </c>
      <c r="AB4352" s="111" t="inlineStr">
        <is>
          <t>NAO_COMPUTADO</t>
        </is>
      </c>
      <c r="AC4352" s="112" t="inlineStr">
        <is>
          <t>Estrutura Fase 1: sem impacto no VTA oficial</t>
        </is>
      </c>
    </row>
    <row r="4353" ht="25.5" customHeight="1" s="289">
      <c r="A4353" s="205" t="n"/>
      <c r="B4353" s="207" t="n"/>
      <c r="C4353" s="104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348" t="n"/>
      <c r="E4353" s="349">
        <f>IF(C4353="","",IFERROR(VLOOKUP(C4353,parametros!$A$11:$E$15,5,0),""))</f>
        <v/>
      </c>
      <c r="F4353" s="335">
        <f>IF(OR(D4353="",E4353=""),"",ROUND(D4353*E4353,2))</f>
        <v/>
      </c>
      <c r="G4353" s="106" t="n"/>
      <c r="H4353" s="350">
        <f>IF(G4353="Sim",IF(OR(F4353="",D4353="",L4353=""),"",IF(L4353="Sim",ROUND(F4353-D4353,2),0)),0)</f>
        <v/>
      </c>
      <c r="I4353" s="350">
        <f>IF(G4353="Sim",0,IF(OR(F4353="",L4353=""),"",F4353))</f>
        <v/>
      </c>
      <c r="J4353" s="350">
        <f>IF(G4353="Sim",0,IF(OR(F4353="",D4353="",L4353=""),"",IF(L4353="Sim",ROUND(F4353-D4353,2),0)))</f>
        <v/>
      </c>
      <c r="K4353" s="97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inlineStr">
        <is>
          <t>Nao</t>
        </is>
      </c>
      <c r="W4353" s="110" t="inlineStr">
        <is>
          <t>PC em analise</t>
        </is>
      </c>
      <c r="X4353" s="110" t="inlineStr">
        <is>
          <t>Pedido de Compra</t>
        </is>
      </c>
      <c r="Y4353" s="111" t="inlineStr">
        <is>
          <t>Impacto Potencial</t>
        </is>
      </c>
      <c r="Z4353" s="111" t="inlineStr">
        <is>
          <t>PC</t>
        </is>
      </c>
      <c r="AA4353" s="111" t="inlineStr">
        <is>
          <t>Nao</t>
        </is>
      </c>
      <c r="AB4353" s="111" t="inlineStr">
        <is>
          <t>NAO_COMPUTADO</t>
        </is>
      </c>
      <c r="AC4353" s="112" t="inlineStr">
        <is>
          <t>Estrutura Fase 1: sem impacto no VTA oficial</t>
        </is>
      </c>
    </row>
    <row r="4354" ht="25.5" customHeight="1" s="289">
      <c r="A4354" s="205" t="n"/>
      <c r="B4354" s="207" t="n"/>
      <c r="C4354" s="104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348" t="n"/>
      <c r="E4354" s="349">
        <f>IF(C4354="","",IFERROR(VLOOKUP(C4354,parametros!$A$11:$E$15,5,0),""))</f>
        <v/>
      </c>
      <c r="F4354" s="335">
        <f>IF(OR(D4354="",E4354=""),"",ROUND(D4354*E4354,2))</f>
        <v/>
      </c>
      <c r="G4354" s="106" t="n"/>
      <c r="H4354" s="350">
        <f>IF(G4354="Sim",IF(OR(F4354="",D4354="",L4354=""),"",IF(L4354="Sim",ROUND(F4354-D4354,2),0)),0)</f>
        <v/>
      </c>
      <c r="I4354" s="350">
        <f>IF(G4354="Sim",0,IF(OR(F4354="",L4354=""),"",F4354))</f>
        <v/>
      </c>
      <c r="J4354" s="350">
        <f>IF(G4354="Sim",0,IF(OR(F4354="",D4354="",L4354=""),"",IF(L4354="Sim",ROUND(F4354-D4354,2),0)))</f>
        <v/>
      </c>
      <c r="K4354" s="97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inlineStr">
        <is>
          <t>Nao</t>
        </is>
      </c>
      <c r="W4354" s="110" t="inlineStr">
        <is>
          <t>PC em analise</t>
        </is>
      </c>
      <c r="X4354" s="110" t="inlineStr">
        <is>
          <t>Pedido de Compra</t>
        </is>
      </c>
      <c r="Y4354" s="111" t="inlineStr">
        <is>
          <t>Impacto Potencial</t>
        </is>
      </c>
      <c r="Z4354" s="111" t="inlineStr">
        <is>
          <t>PC</t>
        </is>
      </c>
      <c r="AA4354" s="111" t="inlineStr">
        <is>
          <t>Nao</t>
        </is>
      </c>
      <c r="AB4354" s="111" t="inlineStr">
        <is>
          <t>NAO_COMPUTADO</t>
        </is>
      </c>
      <c r="AC4354" s="112" t="inlineStr">
        <is>
          <t>Estrutura Fase 1: sem impacto no VTA oficial</t>
        </is>
      </c>
    </row>
    <row r="4355" ht="25.5" customHeight="1" s="289">
      <c r="A4355" s="205" t="n"/>
      <c r="B4355" s="207" t="n"/>
      <c r="C4355" s="104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348" t="n"/>
      <c r="E4355" s="349">
        <f>IF(C4355="","",IFERROR(VLOOKUP(C4355,parametros!$A$11:$E$15,5,0),""))</f>
        <v/>
      </c>
      <c r="F4355" s="335">
        <f>IF(OR(D4355="",E4355=""),"",ROUND(D4355*E4355,2))</f>
        <v/>
      </c>
      <c r="G4355" s="106" t="n"/>
      <c r="H4355" s="350">
        <f>IF(G4355="Sim",IF(OR(F4355="",D4355="",L4355=""),"",IF(L4355="Sim",ROUND(F4355-D4355,2),0)),0)</f>
        <v/>
      </c>
      <c r="I4355" s="350">
        <f>IF(G4355="Sim",0,IF(OR(F4355="",L4355=""),"",F4355))</f>
        <v/>
      </c>
      <c r="J4355" s="350">
        <f>IF(G4355="Sim",0,IF(OR(F4355="",D4355="",L4355=""),"",IF(L4355="Sim",ROUND(F4355-D4355,2),0)))</f>
        <v/>
      </c>
      <c r="K4355" s="97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inlineStr">
        <is>
          <t>Nao</t>
        </is>
      </c>
      <c r="W4355" s="110" t="inlineStr">
        <is>
          <t>PC em analise</t>
        </is>
      </c>
      <c r="X4355" s="110" t="inlineStr">
        <is>
          <t>Pedido de Compra</t>
        </is>
      </c>
      <c r="Y4355" s="111" t="inlineStr">
        <is>
          <t>Impacto Potencial</t>
        </is>
      </c>
      <c r="Z4355" s="111" t="inlineStr">
        <is>
          <t>PC</t>
        </is>
      </c>
      <c r="AA4355" s="111" t="inlineStr">
        <is>
          <t>Nao</t>
        </is>
      </c>
      <c r="AB4355" s="111" t="inlineStr">
        <is>
          <t>NAO_COMPUTADO</t>
        </is>
      </c>
      <c r="AC4355" s="112" t="inlineStr">
        <is>
          <t>Estrutura Fase 1: sem impacto no VTA oficial</t>
        </is>
      </c>
    </row>
    <row r="4356" ht="25.5" customHeight="1" s="289">
      <c r="A4356" s="205" t="n"/>
      <c r="B4356" s="207" t="n"/>
      <c r="C4356" s="104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348" t="n"/>
      <c r="E4356" s="349">
        <f>IF(C4356="","",IFERROR(VLOOKUP(C4356,parametros!$A$11:$E$15,5,0),""))</f>
        <v/>
      </c>
      <c r="F4356" s="335">
        <f>IF(OR(D4356="",E4356=""),"",ROUND(D4356*E4356,2))</f>
        <v/>
      </c>
      <c r="G4356" s="106" t="n"/>
      <c r="H4356" s="350">
        <f>IF(G4356="Sim",IF(OR(F4356="",D4356="",L4356=""),"",IF(L4356="Sim",ROUND(F4356-D4356,2),0)),0)</f>
        <v/>
      </c>
      <c r="I4356" s="350">
        <f>IF(G4356="Sim",0,IF(OR(F4356="",L4356=""),"",F4356))</f>
        <v/>
      </c>
      <c r="J4356" s="350">
        <f>IF(G4356="Sim",0,IF(OR(F4356="",D4356="",L4356=""),"",IF(L4356="Sim",ROUND(F4356-D4356,2),0)))</f>
        <v/>
      </c>
      <c r="K4356" s="97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inlineStr">
        <is>
          <t>Nao</t>
        </is>
      </c>
      <c r="W4356" s="110" t="inlineStr">
        <is>
          <t>PC em analise</t>
        </is>
      </c>
      <c r="X4356" s="110" t="inlineStr">
        <is>
          <t>Pedido de Compra</t>
        </is>
      </c>
      <c r="Y4356" s="111" t="inlineStr">
        <is>
          <t>Impacto Potencial</t>
        </is>
      </c>
      <c r="Z4356" s="111" t="inlineStr">
        <is>
          <t>PC</t>
        </is>
      </c>
      <c r="AA4356" s="111" t="inlineStr">
        <is>
          <t>Nao</t>
        </is>
      </c>
      <c r="AB4356" s="111" t="inlineStr">
        <is>
          <t>NAO_COMPUTADO</t>
        </is>
      </c>
      <c r="AC4356" s="112" t="inlineStr">
        <is>
          <t>Estrutura Fase 1: sem impacto no VTA oficial</t>
        </is>
      </c>
    </row>
    <row r="4357" ht="25.5" customHeight="1" s="289">
      <c r="A4357" s="205" t="n"/>
      <c r="B4357" s="207" t="n"/>
      <c r="C4357" s="104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348" t="n"/>
      <c r="E4357" s="349">
        <f>IF(C4357="","",IFERROR(VLOOKUP(C4357,parametros!$A$11:$E$15,5,0),""))</f>
        <v/>
      </c>
      <c r="F4357" s="335">
        <f>IF(OR(D4357="",E4357=""),"",ROUND(D4357*E4357,2))</f>
        <v/>
      </c>
      <c r="G4357" s="106" t="n"/>
      <c r="H4357" s="350">
        <f>IF(G4357="Sim",IF(OR(F4357="",D4357="",L4357=""),"",IF(L4357="Sim",ROUND(F4357-D4357,2),0)),0)</f>
        <v/>
      </c>
      <c r="I4357" s="350">
        <f>IF(G4357="Sim",0,IF(OR(F4357="",L4357=""),"",F4357))</f>
        <v/>
      </c>
      <c r="J4357" s="350">
        <f>IF(G4357="Sim",0,IF(OR(F4357="",D4357="",L4357=""),"",IF(L4357="Sim",ROUND(F4357-D4357,2),0)))</f>
        <v/>
      </c>
      <c r="K4357" s="97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inlineStr">
        <is>
          <t>Nao</t>
        </is>
      </c>
      <c r="W4357" s="110" t="inlineStr">
        <is>
          <t>PC em analise</t>
        </is>
      </c>
      <c r="X4357" s="110" t="inlineStr">
        <is>
          <t>Pedido de Compra</t>
        </is>
      </c>
      <c r="Y4357" s="111" t="inlineStr">
        <is>
          <t>Impacto Potencial</t>
        </is>
      </c>
      <c r="Z4357" s="111" t="inlineStr">
        <is>
          <t>PC</t>
        </is>
      </c>
      <c r="AA4357" s="111" t="inlineStr">
        <is>
          <t>Nao</t>
        </is>
      </c>
      <c r="AB4357" s="111" t="inlineStr">
        <is>
          <t>NAO_COMPUTADO</t>
        </is>
      </c>
      <c r="AC4357" s="112" t="inlineStr">
        <is>
          <t>Estrutura Fase 1: sem impacto no VTA oficial</t>
        </is>
      </c>
    </row>
    <row r="4358" ht="25.5" customHeight="1" s="289">
      <c r="A4358" s="205" t="n"/>
      <c r="B4358" s="207" t="n"/>
      <c r="C4358" s="104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348" t="n"/>
      <c r="E4358" s="349">
        <f>IF(C4358="","",IFERROR(VLOOKUP(C4358,parametros!$A$11:$E$15,5,0),""))</f>
        <v/>
      </c>
      <c r="F4358" s="335">
        <f>IF(OR(D4358="",E4358=""),"",ROUND(D4358*E4358,2))</f>
        <v/>
      </c>
      <c r="G4358" s="106" t="n"/>
      <c r="H4358" s="350">
        <f>IF(G4358="Sim",IF(OR(F4358="",D4358="",L4358=""),"",IF(L4358="Sim",ROUND(F4358-D4358,2),0)),0)</f>
        <v/>
      </c>
      <c r="I4358" s="350">
        <f>IF(G4358="Sim",0,IF(OR(F4358="",L4358=""),"",F4358))</f>
        <v/>
      </c>
      <c r="J4358" s="350">
        <f>IF(G4358="Sim",0,IF(OR(F4358="",D4358="",L4358=""),"",IF(L4358="Sim",ROUND(F4358-D4358,2),0)))</f>
        <v/>
      </c>
      <c r="K4358" s="97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inlineStr">
        <is>
          <t>Nao</t>
        </is>
      </c>
      <c r="W4358" s="110" t="inlineStr">
        <is>
          <t>PC em analise</t>
        </is>
      </c>
      <c r="X4358" s="110" t="inlineStr">
        <is>
          <t>Pedido de Compra</t>
        </is>
      </c>
      <c r="Y4358" s="111" t="inlineStr">
        <is>
          <t>Impacto Potencial</t>
        </is>
      </c>
      <c r="Z4358" s="111" t="inlineStr">
        <is>
          <t>PC</t>
        </is>
      </c>
      <c r="AA4358" s="111" t="inlineStr">
        <is>
          <t>Nao</t>
        </is>
      </c>
      <c r="AB4358" s="111" t="inlineStr">
        <is>
          <t>NAO_COMPUTADO</t>
        </is>
      </c>
      <c r="AC4358" s="112" t="inlineStr">
        <is>
          <t>Estrutura Fase 1: sem impacto no VTA oficial</t>
        </is>
      </c>
    </row>
    <row r="4359" ht="25.5" customHeight="1" s="289">
      <c r="A4359" s="205" t="n"/>
      <c r="B4359" s="207" t="n"/>
      <c r="C4359" s="104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348" t="n"/>
      <c r="E4359" s="349">
        <f>IF(C4359="","",IFERROR(VLOOKUP(C4359,parametros!$A$11:$E$15,5,0),""))</f>
        <v/>
      </c>
      <c r="F4359" s="335">
        <f>IF(OR(D4359="",E4359=""),"",ROUND(D4359*E4359,2))</f>
        <v/>
      </c>
      <c r="G4359" s="106" t="n"/>
      <c r="H4359" s="350">
        <f>IF(G4359="Sim",IF(OR(F4359="",D4359="",L4359=""),"",IF(L4359="Sim",ROUND(F4359-D4359,2),0)),0)</f>
        <v/>
      </c>
      <c r="I4359" s="350">
        <f>IF(G4359="Sim",0,IF(OR(F4359="",L4359=""),"",F4359))</f>
        <v/>
      </c>
      <c r="J4359" s="350">
        <f>IF(G4359="Sim",0,IF(OR(F4359="",D4359="",L4359=""),"",IF(L4359="Sim",ROUND(F4359-D4359,2),0)))</f>
        <v/>
      </c>
      <c r="K4359" s="97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inlineStr">
        <is>
          <t>Nao</t>
        </is>
      </c>
      <c r="W4359" s="110" t="inlineStr">
        <is>
          <t>PC em analise</t>
        </is>
      </c>
      <c r="X4359" s="110" t="inlineStr">
        <is>
          <t>Pedido de Compra</t>
        </is>
      </c>
      <c r="Y4359" s="111" t="inlineStr">
        <is>
          <t>Impacto Potencial</t>
        </is>
      </c>
      <c r="Z4359" s="111" t="inlineStr">
        <is>
          <t>PC</t>
        </is>
      </c>
      <c r="AA4359" s="111" t="inlineStr">
        <is>
          <t>Nao</t>
        </is>
      </c>
      <c r="AB4359" s="111" t="inlineStr">
        <is>
          <t>NAO_COMPUTADO</t>
        </is>
      </c>
      <c r="AC4359" s="112" t="inlineStr">
        <is>
          <t>Estrutura Fase 1: sem impacto no VTA oficial</t>
        </is>
      </c>
    </row>
    <row r="4360" ht="25.5" customHeight="1" s="289">
      <c r="A4360" s="205" t="n"/>
      <c r="B4360" s="207" t="n"/>
      <c r="C4360" s="104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348" t="n"/>
      <c r="E4360" s="349">
        <f>IF(C4360="","",IFERROR(VLOOKUP(C4360,parametros!$A$11:$E$15,5,0),""))</f>
        <v/>
      </c>
      <c r="F4360" s="335">
        <f>IF(OR(D4360="",E4360=""),"",ROUND(D4360*E4360,2))</f>
        <v/>
      </c>
      <c r="G4360" s="106" t="n"/>
      <c r="H4360" s="350">
        <f>IF(G4360="Sim",IF(OR(F4360="",D4360="",L4360=""),"",IF(L4360="Sim",ROUND(F4360-D4360,2),0)),0)</f>
        <v/>
      </c>
      <c r="I4360" s="350">
        <f>IF(G4360="Sim",0,IF(OR(F4360="",L4360=""),"",F4360))</f>
        <v/>
      </c>
      <c r="J4360" s="350">
        <f>IF(G4360="Sim",0,IF(OR(F4360="",D4360="",L4360=""),"",IF(L4360="Sim",ROUND(F4360-D4360,2),0)))</f>
        <v/>
      </c>
      <c r="K4360" s="97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inlineStr">
        <is>
          <t>Nao</t>
        </is>
      </c>
      <c r="W4360" s="110" t="inlineStr">
        <is>
          <t>PC em analise</t>
        </is>
      </c>
      <c r="X4360" s="110" t="inlineStr">
        <is>
          <t>Pedido de Compra</t>
        </is>
      </c>
      <c r="Y4360" s="111" t="inlineStr">
        <is>
          <t>Impacto Potencial</t>
        </is>
      </c>
      <c r="Z4360" s="111" t="inlineStr">
        <is>
          <t>PC</t>
        </is>
      </c>
      <c r="AA4360" s="111" t="inlineStr">
        <is>
          <t>Nao</t>
        </is>
      </c>
      <c r="AB4360" s="111" t="inlineStr">
        <is>
          <t>NAO_COMPUTADO</t>
        </is>
      </c>
      <c r="AC4360" s="112" t="inlineStr">
        <is>
          <t>Estrutura Fase 1: sem impacto no VTA oficial</t>
        </is>
      </c>
    </row>
    <row r="4361" ht="25.5" customHeight="1" s="289">
      <c r="A4361" s="205" t="n"/>
      <c r="B4361" s="207" t="n"/>
      <c r="C4361" s="104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348" t="n"/>
      <c r="E4361" s="349">
        <f>IF(C4361="","",IFERROR(VLOOKUP(C4361,parametros!$A$11:$E$15,5,0),""))</f>
        <v/>
      </c>
      <c r="F4361" s="335">
        <f>IF(OR(D4361="",E4361=""),"",ROUND(D4361*E4361,2))</f>
        <v/>
      </c>
      <c r="G4361" s="106" t="n"/>
      <c r="H4361" s="350">
        <f>IF(G4361="Sim",IF(OR(F4361="",D4361="",L4361=""),"",IF(L4361="Sim",ROUND(F4361-D4361,2),0)),0)</f>
        <v/>
      </c>
      <c r="I4361" s="350">
        <f>IF(G4361="Sim",0,IF(OR(F4361="",L4361=""),"",F4361))</f>
        <v/>
      </c>
      <c r="J4361" s="350">
        <f>IF(G4361="Sim",0,IF(OR(F4361="",D4361="",L4361=""),"",IF(L4361="Sim",ROUND(F4361-D4361,2),0)))</f>
        <v/>
      </c>
      <c r="K4361" s="97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inlineStr">
        <is>
          <t>Nao</t>
        </is>
      </c>
      <c r="W4361" s="110" t="inlineStr">
        <is>
          <t>PC em analise</t>
        </is>
      </c>
      <c r="X4361" s="110" t="inlineStr">
        <is>
          <t>Pedido de Compra</t>
        </is>
      </c>
      <c r="Y4361" s="111" t="inlineStr">
        <is>
          <t>Impacto Potencial</t>
        </is>
      </c>
      <c r="Z4361" s="111" t="inlineStr">
        <is>
          <t>PC</t>
        </is>
      </c>
      <c r="AA4361" s="111" t="inlineStr">
        <is>
          <t>Nao</t>
        </is>
      </c>
      <c r="AB4361" s="111" t="inlineStr">
        <is>
          <t>NAO_COMPUTADO</t>
        </is>
      </c>
      <c r="AC4361" s="112" t="inlineStr">
        <is>
          <t>Estrutura Fase 1: sem impacto no VTA oficial</t>
        </is>
      </c>
    </row>
    <row r="4362" ht="25.5" customHeight="1" s="289">
      <c r="A4362" s="205" t="n"/>
      <c r="B4362" s="207" t="n"/>
      <c r="C4362" s="104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348" t="n"/>
      <c r="E4362" s="349">
        <f>IF(C4362="","",IFERROR(VLOOKUP(C4362,parametros!$A$11:$E$15,5,0),""))</f>
        <v/>
      </c>
      <c r="F4362" s="335">
        <f>IF(OR(D4362="",E4362=""),"",ROUND(D4362*E4362,2))</f>
        <v/>
      </c>
      <c r="G4362" s="106" t="n"/>
      <c r="H4362" s="350">
        <f>IF(G4362="Sim",IF(OR(F4362="",D4362="",L4362=""),"",IF(L4362="Sim",ROUND(F4362-D4362,2),0)),0)</f>
        <v/>
      </c>
      <c r="I4362" s="350">
        <f>IF(G4362="Sim",0,IF(OR(F4362="",L4362=""),"",F4362))</f>
        <v/>
      </c>
      <c r="J4362" s="350">
        <f>IF(G4362="Sim",0,IF(OR(F4362="",D4362="",L4362=""),"",IF(L4362="Sim",ROUND(F4362-D4362,2),0)))</f>
        <v/>
      </c>
      <c r="K4362" s="97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inlineStr">
        <is>
          <t>Nao</t>
        </is>
      </c>
      <c r="W4362" s="110" t="inlineStr">
        <is>
          <t>PC em analise</t>
        </is>
      </c>
      <c r="X4362" s="110" t="inlineStr">
        <is>
          <t>Pedido de Compra</t>
        </is>
      </c>
      <c r="Y4362" s="111" t="inlineStr">
        <is>
          <t>Impacto Potencial</t>
        </is>
      </c>
      <c r="Z4362" s="111" t="inlineStr">
        <is>
          <t>PC</t>
        </is>
      </c>
      <c r="AA4362" s="111" t="inlineStr">
        <is>
          <t>Nao</t>
        </is>
      </c>
      <c r="AB4362" s="111" t="inlineStr">
        <is>
          <t>NAO_COMPUTADO</t>
        </is>
      </c>
      <c r="AC4362" s="112" t="inlineStr">
        <is>
          <t>Estrutura Fase 1: sem impacto no VTA oficial</t>
        </is>
      </c>
    </row>
    <row r="4363" ht="25.5" customHeight="1" s="289">
      <c r="A4363" s="205" t="n"/>
      <c r="B4363" s="207" t="n"/>
      <c r="C4363" s="104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348" t="n"/>
      <c r="E4363" s="349">
        <f>IF(C4363="","",IFERROR(VLOOKUP(C4363,parametros!$A$11:$E$15,5,0),""))</f>
        <v/>
      </c>
      <c r="F4363" s="335">
        <f>IF(OR(D4363="",E4363=""),"",ROUND(D4363*E4363,2))</f>
        <v/>
      </c>
      <c r="G4363" s="106" t="n"/>
      <c r="H4363" s="350">
        <f>IF(G4363="Sim",IF(OR(F4363="",D4363="",L4363=""),"",IF(L4363="Sim",ROUND(F4363-D4363,2),0)),0)</f>
        <v/>
      </c>
      <c r="I4363" s="350">
        <f>IF(G4363="Sim",0,IF(OR(F4363="",L4363=""),"",F4363))</f>
        <v/>
      </c>
      <c r="J4363" s="350">
        <f>IF(G4363="Sim",0,IF(OR(F4363="",D4363="",L4363=""),"",IF(L4363="Sim",ROUND(F4363-D4363,2),0)))</f>
        <v/>
      </c>
      <c r="K4363" s="97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inlineStr">
        <is>
          <t>Nao</t>
        </is>
      </c>
      <c r="W4363" s="110" t="inlineStr">
        <is>
          <t>PC em analise</t>
        </is>
      </c>
      <c r="X4363" s="110" t="inlineStr">
        <is>
          <t>Pedido de Compra</t>
        </is>
      </c>
      <c r="Y4363" s="111" t="inlineStr">
        <is>
          <t>Impacto Potencial</t>
        </is>
      </c>
      <c r="Z4363" s="111" t="inlineStr">
        <is>
          <t>PC</t>
        </is>
      </c>
      <c r="AA4363" s="111" t="inlineStr">
        <is>
          <t>Nao</t>
        </is>
      </c>
      <c r="AB4363" s="111" t="inlineStr">
        <is>
          <t>NAO_COMPUTADO</t>
        </is>
      </c>
      <c r="AC4363" s="112" t="inlineStr">
        <is>
          <t>Estrutura Fase 1: sem impacto no VTA oficial</t>
        </is>
      </c>
    </row>
    <row r="4364" ht="25.5" customHeight="1" s="289">
      <c r="A4364" s="205" t="n"/>
      <c r="B4364" s="207" t="n"/>
      <c r="C4364" s="104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348" t="n"/>
      <c r="E4364" s="349">
        <f>IF(C4364="","",IFERROR(VLOOKUP(C4364,parametros!$A$11:$E$15,5,0),""))</f>
        <v/>
      </c>
      <c r="F4364" s="335">
        <f>IF(OR(D4364="",E4364=""),"",ROUND(D4364*E4364,2))</f>
        <v/>
      </c>
      <c r="G4364" s="106" t="n"/>
      <c r="H4364" s="350">
        <f>IF(G4364="Sim",IF(OR(F4364="",D4364="",L4364=""),"",IF(L4364="Sim",ROUND(F4364-D4364,2),0)),0)</f>
        <v/>
      </c>
      <c r="I4364" s="350">
        <f>IF(G4364="Sim",0,IF(OR(F4364="",L4364=""),"",F4364))</f>
        <v/>
      </c>
      <c r="J4364" s="350">
        <f>IF(G4364="Sim",0,IF(OR(F4364="",D4364="",L4364=""),"",IF(L4364="Sim",ROUND(F4364-D4364,2),0)))</f>
        <v/>
      </c>
      <c r="K4364" s="97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inlineStr">
        <is>
          <t>Nao</t>
        </is>
      </c>
      <c r="W4364" s="110" t="inlineStr">
        <is>
          <t>PC em analise</t>
        </is>
      </c>
      <c r="X4364" s="110" t="inlineStr">
        <is>
          <t>Pedido de Compra</t>
        </is>
      </c>
      <c r="Y4364" s="111" t="inlineStr">
        <is>
          <t>Impacto Potencial</t>
        </is>
      </c>
      <c r="Z4364" s="111" t="inlineStr">
        <is>
          <t>PC</t>
        </is>
      </c>
      <c r="AA4364" s="111" t="inlineStr">
        <is>
          <t>Nao</t>
        </is>
      </c>
      <c r="AB4364" s="111" t="inlineStr">
        <is>
          <t>NAO_COMPUTADO</t>
        </is>
      </c>
      <c r="AC4364" s="112" t="inlineStr">
        <is>
          <t>Estrutura Fase 1: sem impacto no VTA oficial</t>
        </is>
      </c>
    </row>
    <row r="4365" ht="25.5" customHeight="1" s="289">
      <c r="A4365" s="205" t="n"/>
      <c r="B4365" s="207" t="n"/>
      <c r="C4365" s="104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348" t="n"/>
      <c r="E4365" s="349">
        <f>IF(C4365="","",IFERROR(VLOOKUP(C4365,parametros!$A$11:$E$15,5,0),""))</f>
        <v/>
      </c>
      <c r="F4365" s="335">
        <f>IF(OR(D4365="",E4365=""),"",ROUND(D4365*E4365,2))</f>
        <v/>
      </c>
      <c r="G4365" s="106" t="n"/>
      <c r="H4365" s="350">
        <f>IF(G4365="Sim",IF(OR(F4365="",D4365="",L4365=""),"",IF(L4365="Sim",ROUND(F4365-D4365,2),0)),0)</f>
        <v/>
      </c>
      <c r="I4365" s="350">
        <f>IF(G4365="Sim",0,IF(OR(F4365="",L4365=""),"",F4365))</f>
        <v/>
      </c>
      <c r="J4365" s="350">
        <f>IF(G4365="Sim",0,IF(OR(F4365="",D4365="",L4365=""),"",IF(L4365="Sim",ROUND(F4365-D4365,2),0)))</f>
        <v/>
      </c>
      <c r="K4365" s="97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inlineStr">
        <is>
          <t>Nao</t>
        </is>
      </c>
      <c r="W4365" s="110" t="inlineStr">
        <is>
          <t>PC em analise</t>
        </is>
      </c>
      <c r="X4365" s="110" t="inlineStr">
        <is>
          <t>Pedido de Compra</t>
        </is>
      </c>
      <c r="Y4365" s="111" t="inlineStr">
        <is>
          <t>Impacto Potencial</t>
        </is>
      </c>
      <c r="Z4365" s="111" t="inlineStr">
        <is>
          <t>PC</t>
        </is>
      </c>
      <c r="AA4365" s="111" t="inlineStr">
        <is>
          <t>Nao</t>
        </is>
      </c>
      <c r="AB4365" s="111" t="inlineStr">
        <is>
          <t>NAO_COMPUTADO</t>
        </is>
      </c>
      <c r="AC4365" s="112" t="inlineStr">
        <is>
          <t>Estrutura Fase 1: sem impacto no VTA oficial</t>
        </is>
      </c>
    </row>
    <row r="4366" ht="25.5" customHeight="1" s="289">
      <c r="A4366" s="205" t="n"/>
      <c r="B4366" s="207" t="n"/>
      <c r="C4366" s="104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348" t="n"/>
      <c r="E4366" s="349">
        <f>IF(C4366="","",IFERROR(VLOOKUP(C4366,parametros!$A$11:$E$15,5,0),""))</f>
        <v/>
      </c>
      <c r="F4366" s="335">
        <f>IF(OR(D4366="",E4366=""),"",ROUND(D4366*E4366,2))</f>
        <v/>
      </c>
      <c r="G4366" s="106" t="n"/>
      <c r="H4366" s="350">
        <f>IF(G4366="Sim",IF(OR(F4366="",D4366="",L4366=""),"",IF(L4366="Sim",ROUND(F4366-D4366,2),0)),0)</f>
        <v/>
      </c>
      <c r="I4366" s="350">
        <f>IF(G4366="Sim",0,IF(OR(F4366="",L4366=""),"",F4366))</f>
        <v/>
      </c>
      <c r="J4366" s="350">
        <f>IF(G4366="Sim",0,IF(OR(F4366="",D4366="",L4366=""),"",IF(L4366="Sim",ROUND(F4366-D4366,2),0)))</f>
        <v/>
      </c>
      <c r="K4366" s="97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inlineStr">
        <is>
          <t>Nao</t>
        </is>
      </c>
      <c r="W4366" s="110" t="inlineStr">
        <is>
          <t>PC em analise</t>
        </is>
      </c>
      <c r="X4366" s="110" t="inlineStr">
        <is>
          <t>Pedido de Compra</t>
        </is>
      </c>
      <c r="Y4366" s="111" t="inlineStr">
        <is>
          <t>Impacto Potencial</t>
        </is>
      </c>
      <c r="Z4366" s="111" t="inlineStr">
        <is>
          <t>PC</t>
        </is>
      </c>
      <c r="AA4366" s="111" t="inlineStr">
        <is>
          <t>Nao</t>
        </is>
      </c>
      <c r="AB4366" s="111" t="inlineStr">
        <is>
          <t>NAO_COMPUTADO</t>
        </is>
      </c>
      <c r="AC4366" s="112" t="inlineStr">
        <is>
          <t>Estrutura Fase 1: sem impacto no VTA oficial</t>
        </is>
      </c>
    </row>
    <row r="4367" ht="25.5" customHeight="1" s="289">
      <c r="A4367" s="205" t="n"/>
      <c r="B4367" s="207" t="n"/>
      <c r="C4367" s="104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348" t="n"/>
      <c r="E4367" s="349">
        <f>IF(C4367="","",IFERROR(VLOOKUP(C4367,parametros!$A$11:$E$15,5,0),""))</f>
        <v/>
      </c>
      <c r="F4367" s="335">
        <f>IF(OR(D4367="",E4367=""),"",ROUND(D4367*E4367,2))</f>
        <v/>
      </c>
      <c r="G4367" s="106" t="n"/>
      <c r="H4367" s="350">
        <f>IF(G4367="Sim",IF(OR(F4367="",D4367="",L4367=""),"",IF(L4367="Sim",ROUND(F4367-D4367,2),0)),0)</f>
        <v/>
      </c>
      <c r="I4367" s="350">
        <f>IF(G4367="Sim",0,IF(OR(F4367="",L4367=""),"",F4367))</f>
        <v/>
      </c>
      <c r="J4367" s="350">
        <f>IF(G4367="Sim",0,IF(OR(F4367="",D4367="",L4367=""),"",IF(L4367="Sim",ROUND(F4367-D4367,2),0)))</f>
        <v/>
      </c>
      <c r="K4367" s="97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inlineStr">
        <is>
          <t>Nao</t>
        </is>
      </c>
      <c r="W4367" s="110" t="inlineStr">
        <is>
          <t>PC em analise</t>
        </is>
      </c>
      <c r="X4367" s="110" t="inlineStr">
        <is>
          <t>Pedido de Compra</t>
        </is>
      </c>
      <c r="Y4367" s="111" t="inlineStr">
        <is>
          <t>Impacto Potencial</t>
        </is>
      </c>
      <c r="Z4367" s="111" t="inlineStr">
        <is>
          <t>PC</t>
        </is>
      </c>
      <c r="AA4367" s="111" t="inlineStr">
        <is>
          <t>Nao</t>
        </is>
      </c>
      <c r="AB4367" s="111" t="inlineStr">
        <is>
          <t>NAO_COMPUTADO</t>
        </is>
      </c>
      <c r="AC4367" s="112" t="inlineStr">
        <is>
          <t>Estrutura Fase 1: sem impacto no VTA oficial</t>
        </is>
      </c>
    </row>
    <row r="4368" ht="25.5" customHeight="1" s="289">
      <c r="A4368" s="205" t="n"/>
      <c r="B4368" s="207" t="n"/>
      <c r="C4368" s="104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348" t="n"/>
      <c r="E4368" s="349">
        <f>IF(C4368="","",IFERROR(VLOOKUP(C4368,parametros!$A$11:$E$15,5,0),""))</f>
        <v/>
      </c>
      <c r="F4368" s="335">
        <f>IF(OR(D4368="",E4368=""),"",ROUND(D4368*E4368,2))</f>
        <v/>
      </c>
      <c r="G4368" s="106" t="n"/>
      <c r="H4368" s="350">
        <f>IF(G4368="Sim",IF(OR(F4368="",D4368="",L4368=""),"",IF(L4368="Sim",ROUND(F4368-D4368,2),0)),0)</f>
        <v/>
      </c>
      <c r="I4368" s="350">
        <f>IF(G4368="Sim",0,IF(OR(F4368="",L4368=""),"",F4368))</f>
        <v/>
      </c>
      <c r="J4368" s="350">
        <f>IF(G4368="Sim",0,IF(OR(F4368="",D4368="",L4368=""),"",IF(L4368="Sim",ROUND(F4368-D4368,2),0)))</f>
        <v/>
      </c>
      <c r="K4368" s="97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inlineStr">
        <is>
          <t>Nao</t>
        </is>
      </c>
      <c r="W4368" s="110" t="inlineStr">
        <is>
          <t>PC em analise</t>
        </is>
      </c>
      <c r="X4368" s="110" t="inlineStr">
        <is>
          <t>Pedido de Compra</t>
        </is>
      </c>
      <c r="Y4368" s="111" t="inlineStr">
        <is>
          <t>Impacto Potencial</t>
        </is>
      </c>
      <c r="Z4368" s="111" t="inlineStr">
        <is>
          <t>PC</t>
        </is>
      </c>
      <c r="AA4368" s="111" t="inlineStr">
        <is>
          <t>Nao</t>
        </is>
      </c>
      <c r="AB4368" s="111" t="inlineStr">
        <is>
          <t>NAO_COMPUTADO</t>
        </is>
      </c>
      <c r="AC4368" s="112" t="inlineStr">
        <is>
          <t>Estrutura Fase 1: sem impacto no VTA oficial</t>
        </is>
      </c>
    </row>
    <row r="4369" ht="25.5" customHeight="1" s="289">
      <c r="A4369" s="205" t="n"/>
      <c r="B4369" s="207" t="n"/>
      <c r="C4369" s="104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348" t="n"/>
      <c r="E4369" s="349">
        <f>IF(C4369="","",IFERROR(VLOOKUP(C4369,parametros!$A$11:$E$15,5,0),""))</f>
        <v/>
      </c>
      <c r="F4369" s="335">
        <f>IF(OR(D4369="",E4369=""),"",ROUND(D4369*E4369,2))</f>
        <v/>
      </c>
      <c r="G4369" s="106" t="n"/>
      <c r="H4369" s="350">
        <f>IF(G4369="Sim",IF(OR(F4369="",D4369="",L4369=""),"",IF(L4369="Sim",ROUND(F4369-D4369,2),0)),0)</f>
        <v/>
      </c>
      <c r="I4369" s="350">
        <f>IF(G4369="Sim",0,IF(OR(F4369="",L4369=""),"",F4369))</f>
        <v/>
      </c>
      <c r="J4369" s="350">
        <f>IF(G4369="Sim",0,IF(OR(F4369="",D4369="",L4369=""),"",IF(L4369="Sim",ROUND(F4369-D4369,2),0)))</f>
        <v/>
      </c>
      <c r="K4369" s="97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inlineStr">
        <is>
          <t>Nao</t>
        </is>
      </c>
      <c r="W4369" s="110" t="inlineStr">
        <is>
          <t>PC em analise</t>
        </is>
      </c>
      <c r="X4369" s="110" t="inlineStr">
        <is>
          <t>Pedido de Compra</t>
        </is>
      </c>
      <c r="Y4369" s="111" t="inlineStr">
        <is>
          <t>Impacto Potencial</t>
        </is>
      </c>
      <c r="Z4369" s="111" t="inlineStr">
        <is>
          <t>PC</t>
        </is>
      </c>
      <c r="AA4369" s="111" t="inlineStr">
        <is>
          <t>Nao</t>
        </is>
      </c>
      <c r="AB4369" s="111" t="inlineStr">
        <is>
          <t>NAO_COMPUTADO</t>
        </is>
      </c>
      <c r="AC4369" s="112" t="inlineStr">
        <is>
          <t>Estrutura Fase 1: sem impacto no VTA oficial</t>
        </is>
      </c>
    </row>
    <row r="4370" ht="25.5" customHeight="1" s="289">
      <c r="A4370" s="205" t="n"/>
      <c r="B4370" s="207" t="n"/>
      <c r="C4370" s="104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348" t="n"/>
      <c r="E4370" s="349">
        <f>IF(C4370="","",IFERROR(VLOOKUP(C4370,parametros!$A$11:$E$15,5,0),""))</f>
        <v/>
      </c>
      <c r="F4370" s="335">
        <f>IF(OR(D4370="",E4370=""),"",ROUND(D4370*E4370,2))</f>
        <v/>
      </c>
      <c r="G4370" s="106" t="n"/>
      <c r="H4370" s="350">
        <f>IF(G4370="Sim",IF(OR(F4370="",D4370="",L4370=""),"",IF(L4370="Sim",ROUND(F4370-D4370,2),0)),0)</f>
        <v/>
      </c>
      <c r="I4370" s="350">
        <f>IF(G4370="Sim",0,IF(OR(F4370="",L4370=""),"",F4370))</f>
        <v/>
      </c>
      <c r="J4370" s="350">
        <f>IF(G4370="Sim",0,IF(OR(F4370="",D4370="",L4370=""),"",IF(L4370="Sim",ROUND(F4370-D4370,2),0)))</f>
        <v/>
      </c>
      <c r="K4370" s="97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inlineStr">
        <is>
          <t>Nao</t>
        </is>
      </c>
      <c r="W4370" s="110" t="inlineStr">
        <is>
          <t>PC em analise</t>
        </is>
      </c>
      <c r="X4370" s="110" t="inlineStr">
        <is>
          <t>Pedido de Compra</t>
        </is>
      </c>
      <c r="Y4370" s="111" t="inlineStr">
        <is>
          <t>Impacto Potencial</t>
        </is>
      </c>
      <c r="Z4370" s="111" t="inlineStr">
        <is>
          <t>PC</t>
        </is>
      </c>
      <c r="AA4370" s="111" t="inlineStr">
        <is>
          <t>Nao</t>
        </is>
      </c>
      <c r="AB4370" s="111" t="inlineStr">
        <is>
          <t>NAO_COMPUTADO</t>
        </is>
      </c>
      <c r="AC4370" s="112" t="inlineStr">
        <is>
          <t>Estrutura Fase 1: sem impacto no VTA oficial</t>
        </is>
      </c>
    </row>
    <row r="4371" ht="25.5" customHeight="1" s="289">
      <c r="A4371" s="205" t="n"/>
      <c r="B4371" s="207" t="n"/>
      <c r="C4371" s="104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348" t="n"/>
      <c r="E4371" s="349">
        <f>IF(C4371="","",IFERROR(VLOOKUP(C4371,parametros!$A$11:$E$15,5,0),""))</f>
        <v/>
      </c>
      <c r="F4371" s="335">
        <f>IF(OR(D4371="",E4371=""),"",ROUND(D4371*E4371,2))</f>
        <v/>
      </c>
      <c r="G4371" s="106" t="n"/>
      <c r="H4371" s="350">
        <f>IF(G4371="Sim",IF(OR(F4371="",D4371="",L4371=""),"",IF(L4371="Sim",ROUND(F4371-D4371,2),0)),0)</f>
        <v/>
      </c>
      <c r="I4371" s="350">
        <f>IF(G4371="Sim",0,IF(OR(F4371="",L4371=""),"",F4371))</f>
        <v/>
      </c>
      <c r="J4371" s="350">
        <f>IF(G4371="Sim",0,IF(OR(F4371="",D4371="",L4371=""),"",IF(L4371="Sim",ROUND(F4371-D4371,2),0)))</f>
        <v/>
      </c>
      <c r="K4371" s="97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inlineStr">
        <is>
          <t>Nao</t>
        </is>
      </c>
      <c r="W4371" s="110" t="inlineStr">
        <is>
          <t>PC em analise</t>
        </is>
      </c>
      <c r="X4371" s="110" t="inlineStr">
        <is>
          <t>Pedido de Compra</t>
        </is>
      </c>
      <c r="Y4371" s="111" t="inlineStr">
        <is>
          <t>Impacto Potencial</t>
        </is>
      </c>
      <c r="Z4371" s="111" t="inlineStr">
        <is>
          <t>PC</t>
        </is>
      </c>
      <c r="AA4371" s="111" t="inlineStr">
        <is>
          <t>Nao</t>
        </is>
      </c>
      <c r="AB4371" s="111" t="inlineStr">
        <is>
          <t>NAO_COMPUTADO</t>
        </is>
      </c>
      <c r="AC4371" s="112" t="inlineStr">
        <is>
          <t>Estrutura Fase 1: sem impacto no VTA oficial</t>
        </is>
      </c>
    </row>
    <row r="4372" ht="25.5" customHeight="1" s="289">
      <c r="A4372" s="205" t="n"/>
      <c r="B4372" s="207" t="n"/>
      <c r="C4372" s="104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348" t="n"/>
      <c r="E4372" s="349">
        <f>IF(C4372="","",IFERROR(VLOOKUP(C4372,parametros!$A$11:$E$15,5,0),""))</f>
        <v/>
      </c>
      <c r="F4372" s="335">
        <f>IF(OR(D4372="",E4372=""),"",ROUND(D4372*E4372,2))</f>
        <v/>
      </c>
      <c r="G4372" s="106" t="n"/>
      <c r="H4372" s="350">
        <f>IF(G4372="Sim",IF(OR(F4372="",D4372="",L4372=""),"",IF(L4372="Sim",ROUND(F4372-D4372,2),0)),0)</f>
        <v/>
      </c>
      <c r="I4372" s="350">
        <f>IF(G4372="Sim",0,IF(OR(F4372="",L4372=""),"",F4372))</f>
        <v/>
      </c>
      <c r="J4372" s="350">
        <f>IF(G4372="Sim",0,IF(OR(F4372="",D4372="",L4372=""),"",IF(L4372="Sim",ROUND(F4372-D4372,2),0)))</f>
        <v/>
      </c>
      <c r="K4372" s="97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inlineStr">
        <is>
          <t>Nao</t>
        </is>
      </c>
      <c r="W4372" s="110" t="inlineStr">
        <is>
          <t>PC em analise</t>
        </is>
      </c>
      <c r="X4372" s="110" t="inlineStr">
        <is>
          <t>Pedido de Compra</t>
        </is>
      </c>
      <c r="Y4372" s="111" t="inlineStr">
        <is>
          <t>Impacto Potencial</t>
        </is>
      </c>
      <c r="Z4372" s="111" t="inlineStr">
        <is>
          <t>PC</t>
        </is>
      </c>
      <c r="AA4372" s="111" t="inlineStr">
        <is>
          <t>Nao</t>
        </is>
      </c>
      <c r="AB4372" s="111" t="inlineStr">
        <is>
          <t>NAO_COMPUTADO</t>
        </is>
      </c>
      <c r="AC4372" s="112" t="inlineStr">
        <is>
          <t>Estrutura Fase 1: sem impacto no VTA oficial</t>
        </is>
      </c>
    </row>
    <row r="4373" ht="25.5" customHeight="1" s="289">
      <c r="A4373" s="205" t="n"/>
      <c r="B4373" s="207" t="n"/>
      <c r="C4373" s="104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348" t="n"/>
      <c r="E4373" s="349">
        <f>IF(C4373="","",IFERROR(VLOOKUP(C4373,parametros!$A$11:$E$15,5,0),""))</f>
        <v/>
      </c>
      <c r="F4373" s="335">
        <f>IF(OR(D4373="",E4373=""),"",ROUND(D4373*E4373,2))</f>
        <v/>
      </c>
      <c r="G4373" s="106" t="n"/>
      <c r="H4373" s="350">
        <f>IF(G4373="Sim",IF(OR(F4373="",D4373="",L4373=""),"",IF(L4373="Sim",ROUND(F4373-D4373,2),0)),0)</f>
        <v/>
      </c>
      <c r="I4373" s="350">
        <f>IF(G4373="Sim",0,IF(OR(F4373="",L4373=""),"",F4373))</f>
        <v/>
      </c>
      <c r="J4373" s="350">
        <f>IF(G4373="Sim",0,IF(OR(F4373="",D4373="",L4373=""),"",IF(L4373="Sim",ROUND(F4373-D4373,2),0)))</f>
        <v/>
      </c>
      <c r="K4373" s="97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inlineStr">
        <is>
          <t>Nao</t>
        </is>
      </c>
      <c r="W4373" s="110" t="inlineStr">
        <is>
          <t>PC em analise</t>
        </is>
      </c>
      <c r="X4373" s="110" t="inlineStr">
        <is>
          <t>Pedido de Compra</t>
        </is>
      </c>
      <c r="Y4373" s="111" t="inlineStr">
        <is>
          <t>Impacto Potencial</t>
        </is>
      </c>
      <c r="Z4373" s="111" t="inlineStr">
        <is>
          <t>PC</t>
        </is>
      </c>
      <c r="AA4373" s="111" t="inlineStr">
        <is>
          <t>Nao</t>
        </is>
      </c>
      <c r="AB4373" s="111" t="inlineStr">
        <is>
          <t>NAO_COMPUTADO</t>
        </is>
      </c>
      <c r="AC4373" s="112" t="inlineStr">
        <is>
          <t>Estrutura Fase 1: sem impacto no VTA oficial</t>
        </is>
      </c>
    </row>
    <row r="4374" ht="25.5" customHeight="1" s="289">
      <c r="A4374" s="205" t="n"/>
      <c r="B4374" s="207" t="n"/>
      <c r="C4374" s="104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348" t="n"/>
      <c r="E4374" s="349">
        <f>IF(C4374="","",IFERROR(VLOOKUP(C4374,parametros!$A$11:$E$15,5,0),""))</f>
        <v/>
      </c>
      <c r="F4374" s="335">
        <f>IF(OR(D4374="",E4374=""),"",ROUND(D4374*E4374,2))</f>
        <v/>
      </c>
      <c r="G4374" s="106" t="n"/>
      <c r="H4374" s="350">
        <f>IF(G4374="Sim",IF(OR(F4374="",D4374="",L4374=""),"",IF(L4374="Sim",ROUND(F4374-D4374,2),0)),0)</f>
        <v/>
      </c>
      <c r="I4374" s="350">
        <f>IF(G4374="Sim",0,IF(OR(F4374="",L4374=""),"",F4374))</f>
        <v/>
      </c>
      <c r="J4374" s="350">
        <f>IF(G4374="Sim",0,IF(OR(F4374="",D4374="",L4374=""),"",IF(L4374="Sim",ROUND(F4374-D4374,2),0)))</f>
        <v/>
      </c>
      <c r="K4374" s="97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inlineStr">
        <is>
          <t>Nao</t>
        </is>
      </c>
      <c r="W4374" s="110" t="inlineStr">
        <is>
          <t>PC em analise</t>
        </is>
      </c>
      <c r="X4374" s="110" t="inlineStr">
        <is>
          <t>Pedido de Compra</t>
        </is>
      </c>
      <c r="Y4374" s="111" t="inlineStr">
        <is>
          <t>Impacto Potencial</t>
        </is>
      </c>
      <c r="Z4374" s="111" t="inlineStr">
        <is>
          <t>PC</t>
        </is>
      </c>
      <c r="AA4374" s="111" t="inlineStr">
        <is>
          <t>Nao</t>
        </is>
      </c>
      <c r="AB4374" s="111" t="inlineStr">
        <is>
          <t>NAO_COMPUTADO</t>
        </is>
      </c>
      <c r="AC4374" s="112" t="inlineStr">
        <is>
          <t>Estrutura Fase 1: sem impacto no VTA oficial</t>
        </is>
      </c>
    </row>
    <row r="4375" ht="25.5" customHeight="1" s="289">
      <c r="A4375" s="205" t="n"/>
      <c r="B4375" s="207" t="n"/>
      <c r="C4375" s="104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348" t="n"/>
      <c r="E4375" s="349">
        <f>IF(C4375="","",IFERROR(VLOOKUP(C4375,parametros!$A$11:$E$15,5,0),""))</f>
        <v/>
      </c>
      <c r="F4375" s="335">
        <f>IF(OR(D4375="",E4375=""),"",ROUND(D4375*E4375,2))</f>
        <v/>
      </c>
      <c r="G4375" s="106" t="n"/>
      <c r="H4375" s="350">
        <f>IF(G4375="Sim",IF(OR(F4375="",D4375="",L4375=""),"",IF(L4375="Sim",ROUND(F4375-D4375,2),0)),0)</f>
        <v/>
      </c>
      <c r="I4375" s="350">
        <f>IF(G4375="Sim",0,IF(OR(F4375="",L4375=""),"",F4375))</f>
        <v/>
      </c>
      <c r="J4375" s="350">
        <f>IF(G4375="Sim",0,IF(OR(F4375="",D4375="",L4375=""),"",IF(L4375="Sim",ROUND(F4375-D4375,2),0)))</f>
        <v/>
      </c>
      <c r="K4375" s="97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inlineStr">
        <is>
          <t>Nao</t>
        </is>
      </c>
      <c r="W4375" s="110" t="inlineStr">
        <is>
          <t>PC em analise</t>
        </is>
      </c>
      <c r="X4375" s="110" t="inlineStr">
        <is>
          <t>Pedido de Compra</t>
        </is>
      </c>
      <c r="Y4375" s="111" t="inlineStr">
        <is>
          <t>Impacto Potencial</t>
        </is>
      </c>
      <c r="Z4375" s="111" t="inlineStr">
        <is>
          <t>PC</t>
        </is>
      </c>
      <c r="AA4375" s="111" t="inlineStr">
        <is>
          <t>Nao</t>
        </is>
      </c>
      <c r="AB4375" s="111" t="inlineStr">
        <is>
          <t>NAO_COMPUTADO</t>
        </is>
      </c>
      <c r="AC4375" s="112" t="inlineStr">
        <is>
          <t>Estrutura Fase 1: sem impacto no VTA oficial</t>
        </is>
      </c>
    </row>
    <row r="4376" ht="25.5" customHeight="1" s="289">
      <c r="A4376" s="205" t="n"/>
      <c r="B4376" s="207" t="n"/>
      <c r="C4376" s="104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348" t="n"/>
      <c r="E4376" s="349">
        <f>IF(C4376="","",IFERROR(VLOOKUP(C4376,parametros!$A$11:$E$15,5,0),""))</f>
        <v/>
      </c>
      <c r="F4376" s="335">
        <f>IF(OR(D4376="",E4376=""),"",ROUND(D4376*E4376,2))</f>
        <v/>
      </c>
      <c r="G4376" s="106" t="n"/>
      <c r="H4376" s="350">
        <f>IF(G4376="Sim",IF(OR(F4376="",D4376="",L4376=""),"",IF(L4376="Sim",ROUND(F4376-D4376,2),0)),0)</f>
        <v/>
      </c>
      <c r="I4376" s="350">
        <f>IF(G4376="Sim",0,IF(OR(F4376="",L4376=""),"",F4376))</f>
        <v/>
      </c>
      <c r="J4376" s="350">
        <f>IF(G4376="Sim",0,IF(OR(F4376="",D4376="",L4376=""),"",IF(L4376="Sim",ROUND(F4376-D4376,2),0)))</f>
        <v/>
      </c>
      <c r="K4376" s="97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inlineStr">
        <is>
          <t>Nao</t>
        </is>
      </c>
      <c r="W4376" s="110" t="inlineStr">
        <is>
          <t>PC em analise</t>
        </is>
      </c>
      <c r="X4376" s="110" t="inlineStr">
        <is>
          <t>Pedido de Compra</t>
        </is>
      </c>
      <c r="Y4376" s="111" t="inlineStr">
        <is>
          <t>Impacto Potencial</t>
        </is>
      </c>
      <c r="Z4376" s="111" t="inlineStr">
        <is>
          <t>PC</t>
        </is>
      </c>
      <c r="AA4376" s="111" t="inlineStr">
        <is>
          <t>Nao</t>
        </is>
      </c>
      <c r="AB4376" s="111" t="inlineStr">
        <is>
          <t>NAO_COMPUTADO</t>
        </is>
      </c>
      <c r="AC4376" s="112" t="inlineStr">
        <is>
          <t>Estrutura Fase 1: sem impacto no VTA oficial</t>
        </is>
      </c>
    </row>
    <row r="4377" ht="25.5" customHeight="1" s="289">
      <c r="A4377" s="205" t="n"/>
      <c r="B4377" s="207" t="n"/>
      <c r="C4377" s="104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348" t="n"/>
      <c r="E4377" s="349">
        <f>IF(C4377="","",IFERROR(VLOOKUP(C4377,parametros!$A$11:$E$15,5,0),""))</f>
        <v/>
      </c>
      <c r="F4377" s="335">
        <f>IF(OR(D4377="",E4377=""),"",ROUND(D4377*E4377,2))</f>
        <v/>
      </c>
      <c r="G4377" s="106" t="n"/>
      <c r="H4377" s="350">
        <f>IF(G4377="Sim",IF(OR(F4377="",D4377="",L4377=""),"",IF(L4377="Sim",ROUND(F4377-D4377,2),0)),0)</f>
        <v/>
      </c>
      <c r="I4377" s="350">
        <f>IF(G4377="Sim",0,IF(OR(F4377="",L4377=""),"",F4377))</f>
        <v/>
      </c>
      <c r="J4377" s="350">
        <f>IF(G4377="Sim",0,IF(OR(F4377="",D4377="",L4377=""),"",IF(L4377="Sim",ROUND(F4377-D4377,2),0)))</f>
        <v/>
      </c>
      <c r="K4377" s="97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inlineStr">
        <is>
          <t>Nao</t>
        </is>
      </c>
      <c r="W4377" s="110" t="inlineStr">
        <is>
          <t>PC em analise</t>
        </is>
      </c>
      <c r="X4377" s="110" t="inlineStr">
        <is>
          <t>Pedido de Compra</t>
        </is>
      </c>
      <c r="Y4377" s="111" t="inlineStr">
        <is>
          <t>Impacto Potencial</t>
        </is>
      </c>
      <c r="Z4377" s="111" t="inlineStr">
        <is>
          <t>PC</t>
        </is>
      </c>
      <c r="AA4377" s="111" t="inlineStr">
        <is>
          <t>Nao</t>
        </is>
      </c>
      <c r="AB4377" s="111" t="inlineStr">
        <is>
          <t>NAO_COMPUTADO</t>
        </is>
      </c>
      <c r="AC4377" s="112" t="inlineStr">
        <is>
          <t>Estrutura Fase 1: sem impacto no VTA oficial</t>
        </is>
      </c>
    </row>
    <row r="4378" ht="25.5" customHeight="1" s="289">
      <c r="A4378" s="205" t="n"/>
      <c r="B4378" s="207" t="n"/>
      <c r="C4378" s="104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348" t="n"/>
      <c r="E4378" s="349">
        <f>IF(C4378="","",IFERROR(VLOOKUP(C4378,parametros!$A$11:$E$15,5,0),""))</f>
        <v/>
      </c>
      <c r="F4378" s="335">
        <f>IF(OR(D4378="",E4378=""),"",ROUND(D4378*E4378,2))</f>
        <v/>
      </c>
      <c r="G4378" s="106" t="n"/>
      <c r="H4378" s="350">
        <f>IF(G4378="Sim",IF(OR(F4378="",D4378="",L4378=""),"",IF(L4378="Sim",ROUND(F4378-D4378,2),0)),0)</f>
        <v/>
      </c>
      <c r="I4378" s="350">
        <f>IF(G4378="Sim",0,IF(OR(F4378="",L4378=""),"",F4378))</f>
        <v/>
      </c>
      <c r="J4378" s="350">
        <f>IF(G4378="Sim",0,IF(OR(F4378="",D4378="",L4378=""),"",IF(L4378="Sim",ROUND(F4378-D4378,2),0)))</f>
        <v/>
      </c>
      <c r="K4378" s="97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inlineStr">
        <is>
          <t>Nao</t>
        </is>
      </c>
      <c r="W4378" s="110" t="inlineStr">
        <is>
          <t>PC em analise</t>
        </is>
      </c>
      <c r="X4378" s="110" t="inlineStr">
        <is>
          <t>Pedido de Compra</t>
        </is>
      </c>
      <c r="Y4378" s="111" t="inlineStr">
        <is>
          <t>Impacto Potencial</t>
        </is>
      </c>
      <c r="Z4378" s="111" t="inlineStr">
        <is>
          <t>PC</t>
        </is>
      </c>
      <c r="AA4378" s="111" t="inlineStr">
        <is>
          <t>Nao</t>
        </is>
      </c>
      <c r="AB4378" s="111" t="inlineStr">
        <is>
          <t>NAO_COMPUTADO</t>
        </is>
      </c>
      <c r="AC4378" s="112" t="inlineStr">
        <is>
          <t>Estrutura Fase 1: sem impacto no VTA oficial</t>
        </is>
      </c>
    </row>
    <row r="4379" ht="25.5" customHeight="1" s="289">
      <c r="A4379" s="205" t="n"/>
      <c r="B4379" s="207" t="n"/>
      <c r="C4379" s="104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348" t="n"/>
      <c r="E4379" s="349">
        <f>IF(C4379="","",IFERROR(VLOOKUP(C4379,parametros!$A$11:$E$15,5,0),""))</f>
        <v/>
      </c>
      <c r="F4379" s="335">
        <f>IF(OR(D4379="",E4379=""),"",ROUND(D4379*E4379,2))</f>
        <v/>
      </c>
      <c r="G4379" s="106" t="n"/>
      <c r="H4379" s="350">
        <f>IF(G4379="Sim",IF(OR(F4379="",D4379="",L4379=""),"",IF(L4379="Sim",ROUND(F4379-D4379,2),0)),0)</f>
        <v/>
      </c>
      <c r="I4379" s="350">
        <f>IF(G4379="Sim",0,IF(OR(F4379="",L4379=""),"",F4379))</f>
        <v/>
      </c>
      <c r="J4379" s="350">
        <f>IF(G4379="Sim",0,IF(OR(F4379="",D4379="",L4379=""),"",IF(L4379="Sim",ROUND(F4379-D4379,2),0)))</f>
        <v/>
      </c>
      <c r="K4379" s="97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inlineStr">
        <is>
          <t>Nao</t>
        </is>
      </c>
      <c r="W4379" s="110" t="inlineStr">
        <is>
          <t>PC em analise</t>
        </is>
      </c>
      <c r="X4379" s="110" t="inlineStr">
        <is>
          <t>Pedido de Compra</t>
        </is>
      </c>
      <c r="Y4379" s="111" t="inlineStr">
        <is>
          <t>Impacto Potencial</t>
        </is>
      </c>
      <c r="Z4379" s="111" t="inlineStr">
        <is>
          <t>PC</t>
        </is>
      </c>
      <c r="AA4379" s="111" t="inlineStr">
        <is>
          <t>Nao</t>
        </is>
      </c>
      <c r="AB4379" s="111" t="inlineStr">
        <is>
          <t>NAO_COMPUTADO</t>
        </is>
      </c>
      <c r="AC4379" s="112" t="inlineStr">
        <is>
          <t>Estrutura Fase 1: sem impacto no VTA oficial</t>
        </is>
      </c>
    </row>
    <row r="4380" ht="25.5" customHeight="1" s="289">
      <c r="A4380" s="205" t="n"/>
      <c r="B4380" s="207" t="n"/>
      <c r="C4380" s="104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348" t="n"/>
      <c r="E4380" s="349">
        <f>IF(C4380="","",IFERROR(VLOOKUP(C4380,parametros!$A$11:$E$15,5,0),""))</f>
        <v/>
      </c>
      <c r="F4380" s="335">
        <f>IF(OR(D4380="",E4380=""),"",ROUND(D4380*E4380,2))</f>
        <v/>
      </c>
      <c r="G4380" s="106" t="n"/>
      <c r="H4380" s="350">
        <f>IF(G4380="Sim",IF(OR(F4380="",D4380="",L4380=""),"",IF(L4380="Sim",ROUND(F4380-D4380,2),0)),0)</f>
        <v/>
      </c>
      <c r="I4380" s="350">
        <f>IF(G4380="Sim",0,IF(OR(F4380="",L4380=""),"",F4380))</f>
        <v/>
      </c>
      <c r="J4380" s="350">
        <f>IF(G4380="Sim",0,IF(OR(F4380="",D4380="",L4380=""),"",IF(L4380="Sim",ROUND(F4380-D4380,2),0)))</f>
        <v/>
      </c>
      <c r="K4380" s="97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inlineStr">
        <is>
          <t>Nao</t>
        </is>
      </c>
      <c r="W4380" s="110" t="inlineStr">
        <is>
          <t>PC em analise</t>
        </is>
      </c>
      <c r="X4380" s="110" t="inlineStr">
        <is>
          <t>Pedido de Compra</t>
        </is>
      </c>
      <c r="Y4380" s="111" t="inlineStr">
        <is>
          <t>Impacto Potencial</t>
        </is>
      </c>
      <c r="Z4380" s="111" t="inlineStr">
        <is>
          <t>PC</t>
        </is>
      </c>
      <c r="AA4380" s="111" t="inlineStr">
        <is>
          <t>Nao</t>
        </is>
      </c>
      <c r="AB4380" s="111" t="inlineStr">
        <is>
          <t>NAO_COMPUTADO</t>
        </is>
      </c>
      <c r="AC4380" s="112" t="inlineStr">
        <is>
          <t>Estrutura Fase 1: sem impacto no VTA oficial</t>
        </is>
      </c>
    </row>
    <row r="4381" ht="25.5" customHeight="1" s="289">
      <c r="A4381" s="205" t="n"/>
      <c r="B4381" s="207" t="n"/>
      <c r="C4381" s="104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348" t="n"/>
      <c r="E4381" s="349">
        <f>IF(C4381="","",IFERROR(VLOOKUP(C4381,parametros!$A$11:$E$15,5,0),""))</f>
        <v/>
      </c>
      <c r="F4381" s="335">
        <f>IF(OR(D4381="",E4381=""),"",ROUND(D4381*E4381,2))</f>
        <v/>
      </c>
      <c r="G4381" s="106" t="n"/>
      <c r="H4381" s="350">
        <f>IF(G4381="Sim",IF(OR(F4381="",D4381="",L4381=""),"",IF(L4381="Sim",ROUND(F4381-D4381,2),0)),0)</f>
        <v/>
      </c>
      <c r="I4381" s="350">
        <f>IF(G4381="Sim",0,IF(OR(F4381="",L4381=""),"",F4381))</f>
        <v/>
      </c>
      <c r="J4381" s="350">
        <f>IF(G4381="Sim",0,IF(OR(F4381="",D4381="",L4381=""),"",IF(L4381="Sim",ROUND(F4381-D4381,2),0)))</f>
        <v/>
      </c>
      <c r="K4381" s="97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inlineStr">
        <is>
          <t>Nao</t>
        </is>
      </c>
      <c r="W4381" s="110" t="inlineStr">
        <is>
          <t>PC em analise</t>
        </is>
      </c>
      <c r="X4381" s="110" t="inlineStr">
        <is>
          <t>Pedido de Compra</t>
        </is>
      </c>
      <c r="Y4381" s="111" t="inlineStr">
        <is>
          <t>Impacto Potencial</t>
        </is>
      </c>
      <c r="Z4381" s="111" t="inlineStr">
        <is>
          <t>PC</t>
        </is>
      </c>
      <c r="AA4381" s="111" t="inlineStr">
        <is>
          <t>Nao</t>
        </is>
      </c>
      <c r="AB4381" s="111" t="inlineStr">
        <is>
          <t>NAO_COMPUTADO</t>
        </is>
      </c>
      <c r="AC4381" s="112" t="inlineStr">
        <is>
          <t>Estrutura Fase 1: sem impacto no VTA oficial</t>
        </is>
      </c>
    </row>
    <row r="4382" ht="25.5" customHeight="1" s="289">
      <c r="A4382" s="205" t="n"/>
      <c r="B4382" s="207" t="n"/>
      <c r="C4382" s="104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348" t="n"/>
      <c r="E4382" s="349">
        <f>IF(C4382="","",IFERROR(VLOOKUP(C4382,parametros!$A$11:$E$15,5,0),""))</f>
        <v/>
      </c>
      <c r="F4382" s="335">
        <f>IF(OR(D4382="",E4382=""),"",ROUND(D4382*E4382,2))</f>
        <v/>
      </c>
      <c r="G4382" s="106" t="n"/>
      <c r="H4382" s="350">
        <f>IF(G4382="Sim",IF(OR(F4382="",D4382="",L4382=""),"",IF(L4382="Sim",ROUND(F4382-D4382,2),0)),0)</f>
        <v/>
      </c>
      <c r="I4382" s="350">
        <f>IF(G4382="Sim",0,IF(OR(F4382="",L4382=""),"",F4382))</f>
        <v/>
      </c>
      <c r="J4382" s="350">
        <f>IF(G4382="Sim",0,IF(OR(F4382="",D4382="",L4382=""),"",IF(L4382="Sim",ROUND(F4382-D4382,2),0)))</f>
        <v/>
      </c>
      <c r="K4382" s="97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inlineStr">
        <is>
          <t>Nao</t>
        </is>
      </c>
      <c r="W4382" s="110" t="inlineStr">
        <is>
          <t>PC em analise</t>
        </is>
      </c>
      <c r="X4382" s="110" t="inlineStr">
        <is>
          <t>Pedido de Compra</t>
        </is>
      </c>
      <c r="Y4382" s="111" t="inlineStr">
        <is>
          <t>Impacto Potencial</t>
        </is>
      </c>
      <c r="Z4382" s="111" t="inlineStr">
        <is>
          <t>PC</t>
        </is>
      </c>
      <c r="AA4382" s="111" t="inlineStr">
        <is>
          <t>Nao</t>
        </is>
      </c>
      <c r="AB4382" s="111" t="inlineStr">
        <is>
          <t>NAO_COMPUTADO</t>
        </is>
      </c>
      <c r="AC4382" s="112" t="inlineStr">
        <is>
          <t>Estrutura Fase 1: sem impacto no VTA oficial</t>
        </is>
      </c>
    </row>
    <row r="4383" ht="25.5" customHeight="1" s="289">
      <c r="A4383" s="205" t="n"/>
      <c r="B4383" s="207" t="n"/>
      <c r="C4383" s="104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348" t="n"/>
      <c r="E4383" s="349">
        <f>IF(C4383="","",IFERROR(VLOOKUP(C4383,parametros!$A$11:$E$15,5,0),""))</f>
        <v/>
      </c>
      <c r="F4383" s="335">
        <f>IF(OR(D4383="",E4383=""),"",ROUND(D4383*E4383,2))</f>
        <v/>
      </c>
      <c r="G4383" s="106" t="n"/>
      <c r="H4383" s="350">
        <f>IF(G4383="Sim",IF(OR(F4383="",D4383="",L4383=""),"",IF(L4383="Sim",ROUND(F4383-D4383,2),0)),0)</f>
        <v/>
      </c>
      <c r="I4383" s="350">
        <f>IF(G4383="Sim",0,IF(OR(F4383="",L4383=""),"",F4383))</f>
        <v/>
      </c>
      <c r="J4383" s="350">
        <f>IF(G4383="Sim",0,IF(OR(F4383="",D4383="",L4383=""),"",IF(L4383="Sim",ROUND(F4383-D4383,2),0)))</f>
        <v/>
      </c>
      <c r="K4383" s="97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inlineStr">
        <is>
          <t>Nao</t>
        </is>
      </c>
      <c r="W4383" s="110" t="inlineStr">
        <is>
          <t>PC em analise</t>
        </is>
      </c>
      <c r="X4383" s="110" t="inlineStr">
        <is>
          <t>Pedido de Compra</t>
        </is>
      </c>
      <c r="Y4383" s="111" t="inlineStr">
        <is>
          <t>Impacto Potencial</t>
        </is>
      </c>
      <c r="Z4383" s="111" t="inlineStr">
        <is>
          <t>PC</t>
        </is>
      </c>
      <c r="AA4383" s="111" t="inlineStr">
        <is>
          <t>Nao</t>
        </is>
      </c>
      <c r="AB4383" s="111" t="inlineStr">
        <is>
          <t>NAO_COMPUTADO</t>
        </is>
      </c>
      <c r="AC4383" s="112" t="inlineStr">
        <is>
          <t>Estrutura Fase 1: sem impacto no VTA oficial</t>
        </is>
      </c>
    </row>
    <row r="4384" ht="25.5" customHeight="1" s="289">
      <c r="A4384" s="205" t="n"/>
      <c r="B4384" s="207" t="n"/>
      <c r="C4384" s="104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348" t="n"/>
      <c r="E4384" s="349">
        <f>IF(C4384="","",IFERROR(VLOOKUP(C4384,parametros!$A$11:$E$15,5,0),""))</f>
        <v/>
      </c>
      <c r="F4384" s="335">
        <f>IF(OR(D4384="",E4384=""),"",ROUND(D4384*E4384,2))</f>
        <v/>
      </c>
      <c r="G4384" s="106" t="n"/>
      <c r="H4384" s="350">
        <f>IF(G4384="Sim",IF(OR(F4384="",D4384="",L4384=""),"",IF(L4384="Sim",ROUND(F4384-D4384,2),0)),0)</f>
        <v/>
      </c>
      <c r="I4384" s="350">
        <f>IF(G4384="Sim",0,IF(OR(F4384="",L4384=""),"",F4384))</f>
        <v/>
      </c>
      <c r="J4384" s="350">
        <f>IF(G4384="Sim",0,IF(OR(F4384="",D4384="",L4384=""),"",IF(L4384="Sim",ROUND(F4384-D4384,2),0)))</f>
        <v/>
      </c>
      <c r="K4384" s="97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inlineStr">
        <is>
          <t>Nao</t>
        </is>
      </c>
      <c r="W4384" s="110" t="inlineStr">
        <is>
          <t>PC em analise</t>
        </is>
      </c>
      <c r="X4384" s="110" t="inlineStr">
        <is>
          <t>Pedido de Compra</t>
        </is>
      </c>
      <c r="Y4384" s="111" t="inlineStr">
        <is>
          <t>Impacto Potencial</t>
        </is>
      </c>
      <c r="Z4384" s="111" t="inlineStr">
        <is>
          <t>PC</t>
        </is>
      </c>
      <c r="AA4384" s="111" t="inlineStr">
        <is>
          <t>Nao</t>
        </is>
      </c>
      <c r="AB4384" s="111" t="inlineStr">
        <is>
          <t>NAO_COMPUTADO</t>
        </is>
      </c>
      <c r="AC4384" s="112" t="inlineStr">
        <is>
          <t>Estrutura Fase 1: sem impacto no VTA oficial</t>
        </is>
      </c>
    </row>
    <row r="4385" ht="25.5" customHeight="1" s="289">
      <c r="A4385" s="205" t="n"/>
      <c r="B4385" s="207" t="n"/>
      <c r="C4385" s="104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348" t="n"/>
      <c r="E4385" s="349">
        <f>IF(C4385="","",IFERROR(VLOOKUP(C4385,parametros!$A$11:$E$15,5,0),""))</f>
        <v/>
      </c>
      <c r="F4385" s="335">
        <f>IF(OR(D4385="",E4385=""),"",ROUND(D4385*E4385,2))</f>
        <v/>
      </c>
      <c r="G4385" s="106" t="n"/>
      <c r="H4385" s="350">
        <f>IF(G4385="Sim",IF(OR(F4385="",D4385="",L4385=""),"",IF(L4385="Sim",ROUND(F4385-D4385,2),0)),0)</f>
        <v/>
      </c>
      <c r="I4385" s="350">
        <f>IF(G4385="Sim",0,IF(OR(F4385="",L4385=""),"",F4385))</f>
        <v/>
      </c>
      <c r="J4385" s="350">
        <f>IF(G4385="Sim",0,IF(OR(F4385="",D4385="",L4385=""),"",IF(L4385="Sim",ROUND(F4385-D4385,2),0)))</f>
        <v/>
      </c>
      <c r="K4385" s="97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inlineStr">
        <is>
          <t>Nao</t>
        </is>
      </c>
      <c r="W4385" s="110" t="inlineStr">
        <is>
          <t>PC em analise</t>
        </is>
      </c>
      <c r="X4385" s="110" t="inlineStr">
        <is>
          <t>Pedido de Compra</t>
        </is>
      </c>
      <c r="Y4385" s="111" t="inlineStr">
        <is>
          <t>Impacto Potencial</t>
        </is>
      </c>
      <c r="Z4385" s="111" t="inlineStr">
        <is>
          <t>PC</t>
        </is>
      </c>
      <c r="AA4385" s="111" t="inlineStr">
        <is>
          <t>Nao</t>
        </is>
      </c>
      <c r="AB4385" s="111" t="inlineStr">
        <is>
          <t>NAO_COMPUTADO</t>
        </is>
      </c>
      <c r="AC4385" s="112" t="inlineStr">
        <is>
          <t>Estrutura Fase 1: sem impacto no VTA oficial</t>
        </is>
      </c>
    </row>
    <row r="4386" ht="25.5" customHeight="1" s="289">
      <c r="A4386" s="205" t="n"/>
      <c r="B4386" s="207" t="n"/>
      <c r="C4386" s="104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348" t="n"/>
      <c r="E4386" s="349">
        <f>IF(C4386="","",IFERROR(VLOOKUP(C4386,parametros!$A$11:$E$15,5,0),""))</f>
        <v/>
      </c>
      <c r="F4386" s="335">
        <f>IF(OR(D4386="",E4386=""),"",ROUND(D4386*E4386,2))</f>
        <v/>
      </c>
      <c r="G4386" s="106" t="n"/>
      <c r="H4386" s="350">
        <f>IF(G4386="Sim",IF(OR(F4386="",D4386="",L4386=""),"",IF(L4386="Sim",ROUND(F4386-D4386,2),0)),0)</f>
        <v/>
      </c>
      <c r="I4386" s="350">
        <f>IF(G4386="Sim",0,IF(OR(F4386="",L4386=""),"",F4386))</f>
        <v/>
      </c>
      <c r="J4386" s="350">
        <f>IF(G4386="Sim",0,IF(OR(F4386="",D4386="",L4386=""),"",IF(L4386="Sim",ROUND(F4386-D4386,2),0)))</f>
        <v/>
      </c>
      <c r="K4386" s="97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inlineStr">
        <is>
          <t>Nao</t>
        </is>
      </c>
      <c r="W4386" s="110" t="inlineStr">
        <is>
          <t>PC em analise</t>
        </is>
      </c>
      <c r="X4386" s="110" t="inlineStr">
        <is>
          <t>Pedido de Compra</t>
        </is>
      </c>
      <c r="Y4386" s="111" t="inlineStr">
        <is>
          <t>Impacto Potencial</t>
        </is>
      </c>
      <c r="Z4386" s="111" t="inlineStr">
        <is>
          <t>PC</t>
        </is>
      </c>
      <c r="AA4386" s="111" t="inlineStr">
        <is>
          <t>Nao</t>
        </is>
      </c>
      <c r="AB4386" s="111" t="inlineStr">
        <is>
          <t>NAO_COMPUTADO</t>
        </is>
      </c>
      <c r="AC4386" s="112" t="inlineStr">
        <is>
          <t>Estrutura Fase 1: sem impacto no VTA oficial</t>
        </is>
      </c>
    </row>
    <row r="4387" ht="25.5" customHeight="1" s="289">
      <c r="A4387" s="205" t="n"/>
      <c r="B4387" s="207" t="n"/>
      <c r="C4387" s="104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348" t="n"/>
      <c r="E4387" s="349">
        <f>IF(C4387="","",IFERROR(VLOOKUP(C4387,parametros!$A$11:$E$15,5,0),""))</f>
        <v/>
      </c>
      <c r="F4387" s="335">
        <f>IF(OR(D4387="",E4387=""),"",ROUND(D4387*E4387,2))</f>
        <v/>
      </c>
      <c r="G4387" s="106" t="n"/>
      <c r="H4387" s="350">
        <f>IF(G4387="Sim",IF(OR(F4387="",D4387="",L4387=""),"",IF(L4387="Sim",ROUND(F4387-D4387,2),0)),0)</f>
        <v/>
      </c>
      <c r="I4387" s="350">
        <f>IF(G4387="Sim",0,IF(OR(F4387="",L4387=""),"",F4387))</f>
        <v/>
      </c>
      <c r="J4387" s="350">
        <f>IF(G4387="Sim",0,IF(OR(F4387="",D4387="",L4387=""),"",IF(L4387="Sim",ROUND(F4387-D4387,2),0)))</f>
        <v/>
      </c>
      <c r="K4387" s="97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inlineStr">
        <is>
          <t>Nao</t>
        </is>
      </c>
      <c r="W4387" s="110" t="inlineStr">
        <is>
          <t>PC em analise</t>
        </is>
      </c>
      <c r="X4387" s="110" t="inlineStr">
        <is>
          <t>Pedido de Compra</t>
        </is>
      </c>
      <c r="Y4387" s="111" t="inlineStr">
        <is>
          <t>Impacto Potencial</t>
        </is>
      </c>
      <c r="Z4387" s="111" t="inlineStr">
        <is>
          <t>PC</t>
        </is>
      </c>
      <c r="AA4387" s="111" t="inlineStr">
        <is>
          <t>Nao</t>
        </is>
      </c>
      <c r="AB4387" s="111" t="inlineStr">
        <is>
          <t>NAO_COMPUTADO</t>
        </is>
      </c>
      <c r="AC4387" s="112" t="inlineStr">
        <is>
          <t>Estrutura Fase 1: sem impacto no VTA oficial</t>
        </is>
      </c>
    </row>
    <row r="4388" ht="25.5" customHeight="1" s="289">
      <c r="A4388" s="205" t="n"/>
      <c r="B4388" s="207" t="n"/>
      <c r="C4388" s="104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348" t="n"/>
      <c r="E4388" s="349">
        <f>IF(C4388="","",IFERROR(VLOOKUP(C4388,parametros!$A$11:$E$15,5,0),""))</f>
        <v/>
      </c>
      <c r="F4388" s="335">
        <f>IF(OR(D4388="",E4388=""),"",ROUND(D4388*E4388,2))</f>
        <v/>
      </c>
      <c r="G4388" s="106" t="n"/>
      <c r="H4388" s="350">
        <f>IF(G4388="Sim",IF(OR(F4388="",D4388="",L4388=""),"",IF(L4388="Sim",ROUND(F4388-D4388,2),0)),0)</f>
        <v/>
      </c>
      <c r="I4388" s="350">
        <f>IF(G4388="Sim",0,IF(OR(F4388="",L4388=""),"",F4388))</f>
        <v/>
      </c>
      <c r="J4388" s="350">
        <f>IF(G4388="Sim",0,IF(OR(F4388="",D4388="",L4388=""),"",IF(L4388="Sim",ROUND(F4388-D4388,2),0)))</f>
        <v/>
      </c>
      <c r="K4388" s="97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inlineStr">
        <is>
          <t>Nao</t>
        </is>
      </c>
      <c r="W4388" s="110" t="inlineStr">
        <is>
          <t>PC em analise</t>
        </is>
      </c>
      <c r="X4388" s="110" t="inlineStr">
        <is>
          <t>Pedido de Compra</t>
        </is>
      </c>
      <c r="Y4388" s="111" t="inlineStr">
        <is>
          <t>Impacto Potencial</t>
        </is>
      </c>
      <c r="Z4388" s="111" t="inlineStr">
        <is>
          <t>PC</t>
        </is>
      </c>
      <c r="AA4388" s="111" t="inlineStr">
        <is>
          <t>Nao</t>
        </is>
      </c>
      <c r="AB4388" s="111" t="inlineStr">
        <is>
          <t>NAO_COMPUTADO</t>
        </is>
      </c>
      <c r="AC4388" s="112" t="inlineStr">
        <is>
          <t>Estrutura Fase 1: sem impacto no VTA oficial</t>
        </is>
      </c>
    </row>
    <row r="4389" ht="25.5" customHeight="1" s="289">
      <c r="A4389" s="205" t="n"/>
      <c r="B4389" s="207" t="n"/>
      <c r="C4389" s="104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348" t="n"/>
      <c r="E4389" s="349">
        <f>IF(C4389="","",IFERROR(VLOOKUP(C4389,parametros!$A$11:$E$15,5,0),""))</f>
        <v/>
      </c>
      <c r="F4389" s="335">
        <f>IF(OR(D4389="",E4389=""),"",ROUND(D4389*E4389,2))</f>
        <v/>
      </c>
      <c r="G4389" s="106" t="n"/>
      <c r="H4389" s="350">
        <f>IF(G4389="Sim",IF(OR(F4389="",D4389="",L4389=""),"",IF(L4389="Sim",ROUND(F4389-D4389,2),0)),0)</f>
        <v/>
      </c>
      <c r="I4389" s="350">
        <f>IF(G4389="Sim",0,IF(OR(F4389="",L4389=""),"",F4389))</f>
        <v/>
      </c>
      <c r="J4389" s="350">
        <f>IF(G4389="Sim",0,IF(OR(F4389="",D4389="",L4389=""),"",IF(L4389="Sim",ROUND(F4389-D4389,2),0)))</f>
        <v/>
      </c>
      <c r="K4389" s="97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inlineStr">
        <is>
          <t>Nao</t>
        </is>
      </c>
      <c r="W4389" s="110" t="inlineStr">
        <is>
          <t>PC em analise</t>
        </is>
      </c>
      <c r="X4389" s="110" t="inlineStr">
        <is>
          <t>Pedido de Compra</t>
        </is>
      </c>
      <c r="Y4389" s="111" t="inlineStr">
        <is>
          <t>Impacto Potencial</t>
        </is>
      </c>
      <c r="Z4389" s="111" t="inlineStr">
        <is>
          <t>PC</t>
        </is>
      </c>
      <c r="AA4389" s="111" t="inlineStr">
        <is>
          <t>Nao</t>
        </is>
      </c>
      <c r="AB4389" s="111" t="inlineStr">
        <is>
          <t>NAO_COMPUTADO</t>
        </is>
      </c>
      <c r="AC4389" s="112" t="inlineStr">
        <is>
          <t>Estrutura Fase 1: sem impacto no VTA oficial</t>
        </is>
      </c>
    </row>
    <row r="4390" ht="25.5" customHeight="1" s="289">
      <c r="A4390" s="205" t="n"/>
      <c r="B4390" s="207" t="n"/>
      <c r="C4390" s="104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348" t="n"/>
      <c r="E4390" s="349">
        <f>IF(C4390="","",IFERROR(VLOOKUP(C4390,parametros!$A$11:$E$15,5,0),""))</f>
        <v/>
      </c>
      <c r="F4390" s="335">
        <f>IF(OR(D4390="",E4390=""),"",ROUND(D4390*E4390,2))</f>
        <v/>
      </c>
      <c r="G4390" s="106" t="n"/>
      <c r="H4390" s="350">
        <f>IF(G4390="Sim",IF(OR(F4390="",D4390="",L4390=""),"",IF(L4390="Sim",ROUND(F4390-D4390,2),0)),0)</f>
        <v/>
      </c>
      <c r="I4390" s="350">
        <f>IF(G4390="Sim",0,IF(OR(F4390="",L4390=""),"",F4390))</f>
        <v/>
      </c>
      <c r="J4390" s="350">
        <f>IF(G4390="Sim",0,IF(OR(F4390="",D4390="",L4390=""),"",IF(L4390="Sim",ROUND(F4390-D4390,2),0)))</f>
        <v/>
      </c>
      <c r="K4390" s="97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inlineStr">
        <is>
          <t>Nao</t>
        </is>
      </c>
      <c r="W4390" s="110" t="inlineStr">
        <is>
          <t>PC em analise</t>
        </is>
      </c>
      <c r="X4390" s="110" t="inlineStr">
        <is>
          <t>Pedido de Compra</t>
        </is>
      </c>
      <c r="Y4390" s="111" t="inlineStr">
        <is>
          <t>Impacto Potencial</t>
        </is>
      </c>
      <c r="Z4390" s="111" t="inlineStr">
        <is>
          <t>PC</t>
        </is>
      </c>
      <c r="AA4390" s="111" t="inlineStr">
        <is>
          <t>Nao</t>
        </is>
      </c>
      <c r="AB4390" s="111" t="inlineStr">
        <is>
          <t>NAO_COMPUTADO</t>
        </is>
      </c>
      <c r="AC4390" s="112" t="inlineStr">
        <is>
          <t>Estrutura Fase 1: sem impacto no VTA oficial</t>
        </is>
      </c>
    </row>
    <row r="4391" ht="25.5" customHeight="1" s="289">
      <c r="A4391" s="205" t="n"/>
      <c r="B4391" s="207" t="n"/>
      <c r="C4391" s="104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348" t="n"/>
      <c r="E4391" s="349">
        <f>IF(C4391="","",IFERROR(VLOOKUP(C4391,parametros!$A$11:$E$15,5,0),""))</f>
        <v/>
      </c>
      <c r="F4391" s="335">
        <f>IF(OR(D4391="",E4391=""),"",ROUND(D4391*E4391,2))</f>
        <v/>
      </c>
      <c r="G4391" s="106" t="n"/>
      <c r="H4391" s="350">
        <f>IF(G4391="Sim",IF(OR(F4391="",D4391="",L4391=""),"",IF(L4391="Sim",ROUND(F4391-D4391,2),0)),0)</f>
        <v/>
      </c>
      <c r="I4391" s="350">
        <f>IF(G4391="Sim",0,IF(OR(F4391="",L4391=""),"",F4391))</f>
        <v/>
      </c>
      <c r="J4391" s="350">
        <f>IF(G4391="Sim",0,IF(OR(F4391="",D4391="",L4391=""),"",IF(L4391="Sim",ROUND(F4391-D4391,2),0)))</f>
        <v/>
      </c>
      <c r="K4391" s="97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inlineStr">
        <is>
          <t>Nao</t>
        </is>
      </c>
      <c r="W4391" s="110" t="inlineStr">
        <is>
          <t>PC em analise</t>
        </is>
      </c>
      <c r="X4391" s="110" t="inlineStr">
        <is>
          <t>Pedido de Compra</t>
        </is>
      </c>
      <c r="Y4391" s="111" t="inlineStr">
        <is>
          <t>Impacto Potencial</t>
        </is>
      </c>
      <c r="Z4391" s="111" t="inlineStr">
        <is>
          <t>PC</t>
        </is>
      </c>
      <c r="AA4391" s="111" t="inlineStr">
        <is>
          <t>Nao</t>
        </is>
      </c>
      <c r="AB4391" s="111" t="inlineStr">
        <is>
          <t>NAO_COMPUTADO</t>
        </is>
      </c>
      <c r="AC4391" s="112" t="inlineStr">
        <is>
          <t>Estrutura Fase 1: sem impacto no VTA oficial</t>
        </is>
      </c>
    </row>
    <row r="4392" ht="25.5" customHeight="1" s="289">
      <c r="A4392" s="205" t="n"/>
      <c r="B4392" s="207" t="n"/>
      <c r="C4392" s="104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348" t="n"/>
      <c r="E4392" s="349">
        <f>IF(C4392="","",IFERROR(VLOOKUP(C4392,parametros!$A$11:$E$15,5,0),""))</f>
        <v/>
      </c>
      <c r="F4392" s="335">
        <f>IF(OR(D4392="",E4392=""),"",ROUND(D4392*E4392,2))</f>
        <v/>
      </c>
      <c r="G4392" s="106" t="n"/>
      <c r="H4392" s="350">
        <f>IF(G4392="Sim",IF(OR(F4392="",D4392="",L4392=""),"",IF(L4392="Sim",ROUND(F4392-D4392,2),0)),0)</f>
        <v/>
      </c>
      <c r="I4392" s="350">
        <f>IF(G4392="Sim",0,IF(OR(F4392="",L4392=""),"",F4392))</f>
        <v/>
      </c>
      <c r="J4392" s="350">
        <f>IF(G4392="Sim",0,IF(OR(F4392="",D4392="",L4392=""),"",IF(L4392="Sim",ROUND(F4392-D4392,2),0)))</f>
        <v/>
      </c>
      <c r="K4392" s="97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inlineStr">
        <is>
          <t>Nao</t>
        </is>
      </c>
      <c r="W4392" s="110" t="inlineStr">
        <is>
          <t>PC em analise</t>
        </is>
      </c>
      <c r="X4392" s="110" t="inlineStr">
        <is>
          <t>Pedido de Compra</t>
        </is>
      </c>
      <c r="Y4392" s="111" t="inlineStr">
        <is>
          <t>Impacto Potencial</t>
        </is>
      </c>
      <c r="Z4392" s="111" t="inlineStr">
        <is>
          <t>PC</t>
        </is>
      </c>
      <c r="AA4392" s="111" t="inlineStr">
        <is>
          <t>Nao</t>
        </is>
      </c>
      <c r="AB4392" s="111" t="inlineStr">
        <is>
          <t>NAO_COMPUTADO</t>
        </is>
      </c>
      <c r="AC4392" s="112" t="inlineStr">
        <is>
          <t>Estrutura Fase 1: sem impacto no VTA oficial</t>
        </is>
      </c>
    </row>
    <row r="4393" ht="25.5" customHeight="1" s="289">
      <c r="A4393" s="205" t="n"/>
      <c r="B4393" s="207" t="n"/>
      <c r="C4393" s="104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348" t="n"/>
      <c r="E4393" s="349">
        <f>IF(C4393="","",IFERROR(VLOOKUP(C4393,parametros!$A$11:$E$15,5,0),""))</f>
        <v/>
      </c>
      <c r="F4393" s="335">
        <f>IF(OR(D4393="",E4393=""),"",ROUND(D4393*E4393,2))</f>
        <v/>
      </c>
      <c r="G4393" s="106" t="n"/>
      <c r="H4393" s="350">
        <f>IF(G4393="Sim",IF(OR(F4393="",D4393="",L4393=""),"",IF(L4393="Sim",ROUND(F4393-D4393,2),0)),0)</f>
        <v/>
      </c>
      <c r="I4393" s="350">
        <f>IF(G4393="Sim",0,IF(OR(F4393="",L4393=""),"",F4393))</f>
        <v/>
      </c>
      <c r="J4393" s="350">
        <f>IF(G4393="Sim",0,IF(OR(F4393="",D4393="",L4393=""),"",IF(L4393="Sim",ROUND(F4393-D4393,2),0)))</f>
        <v/>
      </c>
      <c r="K4393" s="97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inlineStr">
        <is>
          <t>Nao</t>
        </is>
      </c>
      <c r="W4393" s="110" t="inlineStr">
        <is>
          <t>PC em analise</t>
        </is>
      </c>
      <c r="X4393" s="110" t="inlineStr">
        <is>
          <t>Pedido de Compra</t>
        </is>
      </c>
      <c r="Y4393" s="111" t="inlineStr">
        <is>
          <t>Impacto Potencial</t>
        </is>
      </c>
      <c r="Z4393" s="111" t="inlineStr">
        <is>
          <t>PC</t>
        </is>
      </c>
      <c r="AA4393" s="111" t="inlineStr">
        <is>
          <t>Nao</t>
        </is>
      </c>
      <c r="AB4393" s="111" t="inlineStr">
        <is>
          <t>NAO_COMPUTADO</t>
        </is>
      </c>
      <c r="AC4393" s="112" t="inlineStr">
        <is>
          <t>Estrutura Fase 1: sem impacto no VTA oficial</t>
        </is>
      </c>
    </row>
    <row r="4394" ht="25.5" customHeight="1" s="289">
      <c r="A4394" s="205" t="n"/>
      <c r="B4394" s="207" t="n"/>
      <c r="C4394" s="104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348" t="n"/>
      <c r="E4394" s="349">
        <f>IF(C4394="","",IFERROR(VLOOKUP(C4394,parametros!$A$11:$E$15,5,0),""))</f>
        <v/>
      </c>
      <c r="F4394" s="335">
        <f>IF(OR(D4394="",E4394=""),"",ROUND(D4394*E4394,2))</f>
        <v/>
      </c>
      <c r="G4394" s="106" t="n"/>
      <c r="H4394" s="350">
        <f>IF(G4394="Sim",IF(OR(F4394="",D4394="",L4394=""),"",IF(L4394="Sim",ROUND(F4394-D4394,2),0)),0)</f>
        <v/>
      </c>
      <c r="I4394" s="350">
        <f>IF(G4394="Sim",0,IF(OR(F4394="",L4394=""),"",F4394))</f>
        <v/>
      </c>
      <c r="J4394" s="350">
        <f>IF(G4394="Sim",0,IF(OR(F4394="",D4394="",L4394=""),"",IF(L4394="Sim",ROUND(F4394-D4394,2),0)))</f>
        <v/>
      </c>
      <c r="K4394" s="97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inlineStr">
        <is>
          <t>Nao</t>
        </is>
      </c>
      <c r="W4394" s="110" t="inlineStr">
        <is>
          <t>PC em analise</t>
        </is>
      </c>
      <c r="X4394" s="110" t="inlineStr">
        <is>
          <t>Pedido de Compra</t>
        </is>
      </c>
      <c r="Y4394" s="111" t="inlineStr">
        <is>
          <t>Impacto Potencial</t>
        </is>
      </c>
      <c r="Z4394" s="111" t="inlineStr">
        <is>
          <t>PC</t>
        </is>
      </c>
      <c r="AA4394" s="111" t="inlineStr">
        <is>
          <t>Nao</t>
        </is>
      </c>
      <c r="AB4394" s="111" t="inlineStr">
        <is>
          <t>NAO_COMPUTADO</t>
        </is>
      </c>
      <c r="AC4394" s="112" t="inlineStr">
        <is>
          <t>Estrutura Fase 1: sem impacto no VTA oficial</t>
        </is>
      </c>
    </row>
    <row r="4395" ht="25.5" customHeight="1" s="289">
      <c r="A4395" s="205" t="n"/>
      <c r="B4395" s="207" t="n"/>
      <c r="C4395" s="104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348" t="n"/>
      <c r="E4395" s="349">
        <f>IF(C4395="","",IFERROR(VLOOKUP(C4395,parametros!$A$11:$E$15,5,0),""))</f>
        <v/>
      </c>
      <c r="F4395" s="335">
        <f>IF(OR(D4395="",E4395=""),"",ROUND(D4395*E4395,2))</f>
        <v/>
      </c>
      <c r="G4395" s="106" t="n"/>
      <c r="H4395" s="350">
        <f>IF(G4395="Sim",IF(OR(F4395="",D4395="",L4395=""),"",IF(L4395="Sim",ROUND(F4395-D4395,2),0)),0)</f>
        <v/>
      </c>
      <c r="I4395" s="350">
        <f>IF(G4395="Sim",0,IF(OR(F4395="",L4395=""),"",F4395))</f>
        <v/>
      </c>
      <c r="J4395" s="350">
        <f>IF(G4395="Sim",0,IF(OR(F4395="",D4395="",L4395=""),"",IF(L4395="Sim",ROUND(F4395-D4395,2),0)))</f>
        <v/>
      </c>
      <c r="K4395" s="97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inlineStr">
        <is>
          <t>Nao</t>
        </is>
      </c>
      <c r="W4395" s="110" t="inlineStr">
        <is>
          <t>PC em analise</t>
        </is>
      </c>
      <c r="X4395" s="110" t="inlineStr">
        <is>
          <t>Pedido de Compra</t>
        </is>
      </c>
      <c r="Y4395" s="111" t="inlineStr">
        <is>
          <t>Impacto Potencial</t>
        </is>
      </c>
      <c r="Z4395" s="111" t="inlineStr">
        <is>
          <t>PC</t>
        </is>
      </c>
      <c r="AA4395" s="111" t="inlineStr">
        <is>
          <t>Nao</t>
        </is>
      </c>
      <c r="AB4395" s="111" t="inlineStr">
        <is>
          <t>NAO_COMPUTADO</t>
        </is>
      </c>
      <c r="AC4395" s="112" t="inlineStr">
        <is>
          <t>Estrutura Fase 1: sem impacto no VTA oficial</t>
        </is>
      </c>
    </row>
    <row r="4396" ht="25.5" customHeight="1" s="289">
      <c r="A4396" s="205" t="n"/>
      <c r="B4396" s="207" t="n"/>
      <c r="C4396" s="104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348" t="n"/>
      <c r="E4396" s="349">
        <f>IF(C4396="","",IFERROR(VLOOKUP(C4396,parametros!$A$11:$E$15,5,0),""))</f>
        <v/>
      </c>
      <c r="F4396" s="335">
        <f>IF(OR(D4396="",E4396=""),"",ROUND(D4396*E4396,2))</f>
        <v/>
      </c>
      <c r="G4396" s="106" t="n"/>
      <c r="H4396" s="350">
        <f>IF(G4396="Sim",IF(OR(F4396="",D4396="",L4396=""),"",IF(L4396="Sim",ROUND(F4396-D4396,2),0)),0)</f>
        <v/>
      </c>
      <c r="I4396" s="350">
        <f>IF(G4396="Sim",0,IF(OR(F4396="",L4396=""),"",F4396))</f>
        <v/>
      </c>
      <c r="J4396" s="350">
        <f>IF(G4396="Sim",0,IF(OR(F4396="",D4396="",L4396=""),"",IF(L4396="Sim",ROUND(F4396-D4396,2),0)))</f>
        <v/>
      </c>
      <c r="K4396" s="97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inlineStr">
        <is>
          <t>Nao</t>
        </is>
      </c>
      <c r="W4396" s="110" t="inlineStr">
        <is>
          <t>PC em analise</t>
        </is>
      </c>
      <c r="X4396" s="110" t="inlineStr">
        <is>
          <t>Pedido de Compra</t>
        </is>
      </c>
      <c r="Y4396" s="111" t="inlineStr">
        <is>
          <t>Impacto Potencial</t>
        </is>
      </c>
      <c r="Z4396" s="111" t="inlineStr">
        <is>
          <t>PC</t>
        </is>
      </c>
      <c r="AA4396" s="111" t="inlineStr">
        <is>
          <t>Nao</t>
        </is>
      </c>
      <c r="AB4396" s="111" t="inlineStr">
        <is>
          <t>NAO_COMPUTADO</t>
        </is>
      </c>
      <c r="AC4396" s="112" t="inlineStr">
        <is>
          <t>Estrutura Fase 1: sem impacto no VTA oficial</t>
        </is>
      </c>
    </row>
    <row r="4397" ht="25.5" customHeight="1" s="289">
      <c r="A4397" s="205" t="n"/>
      <c r="B4397" s="207" t="n"/>
      <c r="C4397" s="104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348" t="n"/>
      <c r="E4397" s="349">
        <f>IF(C4397="","",IFERROR(VLOOKUP(C4397,parametros!$A$11:$E$15,5,0),""))</f>
        <v/>
      </c>
      <c r="F4397" s="335">
        <f>IF(OR(D4397="",E4397=""),"",ROUND(D4397*E4397,2))</f>
        <v/>
      </c>
      <c r="G4397" s="106" t="n"/>
      <c r="H4397" s="350">
        <f>IF(G4397="Sim",IF(OR(F4397="",D4397="",L4397=""),"",IF(L4397="Sim",ROUND(F4397-D4397,2),0)),0)</f>
        <v/>
      </c>
      <c r="I4397" s="350">
        <f>IF(G4397="Sim",0,IF(OR(F4397="",L4397=""),"",F4397))</f>
        <v/>
      </c>
      <c r="J4397" s="350">
        <f>IF(G4397="Sim",0,IF(OR(F4397="",D4397="",L4397=""),"",IF(L4397="Sim",ROUND(F4397-D4397,2),0)))</f>
        <v/>
      </c>
      <c r="K4397" s="97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inlineStr">
        <is>
          <t>Nao</t>
        </is>
      </c>
      <c r="W4397" s="110" t="inlineStr">
        <is>
          <t>PC em analise</t>
        </is>
      </c>
      <c r="X4397" s="110" t="inlineStr">
        <is>
          <t>Pedido de Compra</t>
        </is>
      </c>
      <c r="Y4397" s="111" t="inlineStr">
        <is>
          <t>Impacto Potencial</t>
        </is>
      </c>
      <c r="Z4397" s="111" t="inlineStr">
        <is>
          <t>PC</t>
        </is>
      </c>
      <c r="AA4397" s="111" t="inlineStr">
        <is>
          <t>Nao</t>
        </is>
      </c>
      <c r="AB4397" s="111" t="inlineStr">
        <is>
          <t>NAO_COMPUTADO</t>
        </is>
      </c>
      <c r="AC4397" s="112" t="inlineStr">
        <is>
          <t>Estrutura Fase 1: sem impacto no VTA oficial</t>
        </is>
      </c>
    </row>
    <row r="4398" ht="25.5" customHeight="1" s="289">
      <c r="A4398" s="205" t="n"/>
      <c r="B4398" s="207" t="n"/>
      <c r="C4398" s="104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348" t="n"/>
      <c r="E4398" s="349">
        <f>IF(C4398="","",IFERROR(VLOOKUP(C4398,parametros!$A$11:$E$15,5,0),""))</f>
        <v/>
      </c>
      <c r="F4398" s="335">
        <f>IF(OR(D4398="",E4398=""),"",ROUND(D4398*E4398,2))</f>
        <v/>
      </c>
      <c r="G4398" s="106" t="n"/>
      <c r="H4398" s="350">
        <f>IF(G4398="Sim",IF(OR(F4398="",D4398="",L4398=""),"",IF(L4398="Sim",ROUND(F4398-D4398,2),0)),0)</f>
        <v/>
      </c>
      <c r="I4398" s="350">
        <f>IF(G4398="Sim",0,IF(OR(F4398="",L4398=""),"",F4398))</f>
        <v/>
      </c>
      <c r="J4398" s="350">
        <f>IF(G4398="Sim",0,IF(OR(F4398="",D4398="",L4398=""),"",IF(L4398="Sim",ROUND(F4398-D4398,2),0)))</f>
        <v/>
      </c>
      <c r="K4398" s="97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inlineStr">
        <is>
          <t>Nao</t>
        </is>
      </c>
      <c r="W4398" s="110" t="inlineStr">
        <is>
          <t>PC em analise</t>
        </is>
      </c>
      <c r="X4398" s="110" t="inlineStr">
        <is>
          <t>Pedido de Compra</t>
        </is>
      </c>
      <c r="Y4398" s="111" t="inlineStr">
        <is>
          <t>Impacto Potencial</t>
        </is>
      </c>
      <c r="Z4398" s="111" t="inlineStr">
        <is>
          <t>PC</t>
        </is>
      </c>
      <c r="AA4398" s="111" t="inlineStr">
        <is>
          <t>Nao</t>
        </is>
      </c>
      <c r="AB4398" s="111" t="inlineStr">
        <is>
          <t>NAO_COMPUTADO</t>
        </is>
      </c>
      <c r="AC4398" s="112" t="inlineStr">
        <is>
          <t>Estrutura Fase 1: sem impacto no VTA oficial</t>
        </is>
      </c>
    </row>
    <row r="4399" ht="25.5" customHeight="1" s="289">
      <c r="A4399" s="205" t="n"/>
      <c r="B4399" s="207" t="n"/>
      <c r="C4399" s="104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348" t="n"/>
      <c r="E4399" s="349">
        <f>IF(C4399="","",IFERROR(VLOOKUP(C4399,parametros!$A$11:$E$15,5,0),""))</f>
        <v/>
      </c>
      <c r="F4399" s="335">
        <f>IF(OR(D4399="",E4399=""),"",ROUND(D4399*E4399,2))</f>
        <v/>
      </c>
      <c r="G4399" s="106" t="n"/>
      <c r="H4399" s="350">
        <f>IF(G4399="Sim",IF(OR(F4399="",D4399="",L4399=""),"",IF(L4399="Sim",ROUND(F4399-D4399,2),0)),0)</f>
        <v/>
      </c>
      <c r="I4399" s="350">
        <f>IF(G4399="Sim",0,IF(OR(F4399="",L4399=""),"",F4399))</f>
        <v/>
      </c>
      <c r="J4399" s="350">
        <f>IF(G4399="Sim",0,IF(OR(F4399="",D4399="",L4399=""),"",IF(L4399="Sim",ROUND(F4399-D4399,2),0)))</f>
        <v/>
      </c>
      <c r="K4399" s="97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inlineStr">
        <is>
          <t>Nao</t>
        </is>
      </c>
      <c r="W4399" s="110" t="inlineStr">
        <is>
          <t>PC em analise</t>
        </is>
      </c>
      <c r="X4399" s="110" t="inlineStr">
        <is>
          <t>Pedido de Compra</t>
        </is>
      </c>
      <c r="Y4399" s="111" t="inlineStr">
        <is>
          <t>Impacto Potencial</t>
        </is>
      </c>
      <c r="Z4399" s="111" t="inlineStr">
        <is>
          <t>PC</t>
        </is>
      </c>
      <c r="AA4399" s="111" t="inlineStr">
        <is>
          <t>Nao</t>
        </is>
      </c>
      <c r="AB4399" s="111" t="inlineStr">
        <is>
          <t>NAO_COMPUTADO</t>
        </is>
      </c>
      <c r="AC4399" s="112" t="inlineStr">
        <is>
          <t>Estrutura Fase 1: sem impacto no VTA oficial</t>
        </is>
      </c>
    </row>
    <row r="4400" ht="25.5" customHeight="1" s="289">
      <c r="A4400" s="205" t="n"/>
      <c r="B4400" s="207" t="n"/>
      <c r="C4400" s="104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348" t="n"/>
      <c r="E4400" s="349">
        <f>IF(C4400="","",IFERROR(VLOOKUP(C4400,parametros!$A$11:$E$15,5,0),""))</f>
        <v/>
      </c>
      <c r="F4400" s="335">
        <f>IF(OR(D4400="",E4400=""),"",ROUND(D4400*E4400,2))</f>
        <v/>
      </c>
      <c r="G4400" s="106" t="n"/>
      <c r="H4400" s="350">
        <f>IF(G4400="Sim",IF(OR(F4400="",D4400="",L4400=""),"",IF(L4400="Sim",ROUND(F4400-D4400,2),0)),0)</f>
        <v/>
      </c>
      <c r="I4400" s="350">
        <f>IF(G4400="Sim",0,IF(OR(F4400="",L4400=""),"",F4400))</f>
        <v/>
      </c>
      <c r="J4400" s="350">
        <f>IF(G4400="Sim",0,IF(OR(F4400="",D4400="",L4400=""),"",IF(L4400="Sim",ROUND(F4400-D4400,2),0)))</f>
        <v/>
      </c>
      <c r="K4400" s="97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inlineStr">
        <is>
          <t>Nao</t>
        </is>
      </c>
      <c r="W4400" s="110" t="inlineStr">
        <is>
          <t>PC em analise</t>
        </is>
      </c>
      <c r="X4400" s="110" t="inlineStr">
        <is>
          <t>Pedido de Compra</t>
        </is>
      </c>
      <c r="Y4400" s="111" t="inlineStr">
        <is>
          <t>Impacto Potencial</t>
        </is>
      </c>
      <c r="Z4400" s="111" t="inlineStr">
        <is>
          <t>PC</t>
        </is>
      </c>
      <c r="AA4400" s="111" t="inlineStr">
        <is>
          <t>Nao</t>
        </is>
      </c>
      <c r="AB4400" s="111" t="inlineStr">
        <is>
          <t>NAO_COMPUTADO</t>
        </is>
      </c>
      <c r="AC4400" s="112" t="inlineStr">
        <is>
          <t>Estrutura Fase 1: sem impacto no VTA oficial</t>
        </is>
      </c>
    </row>
    <row r="4401" ht="25.5" customHeight="1" s="289">
      <c r="A4401" s="205" t="n"/>
      <c r="B4401" s="207" t="n"/>
      <c r="C4401" s="104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348" t="n"/>
      <c r="E4401" s="349">
        <f>IF(C4401="","",IFERROR(VLOOKUP(C4401,parametros!$A$11:$E$15,5,0),""))</f>
        <v/>
      </c>
      <c r="F4401" s="335">
        <f>IF(OR(D4401="",E4401=""),"",ROUND(D4401*E4401,2))</f>
        <v/>
      </c>
      <c r="G4401" s="106" t="n"/>
      <c r="H4401" s="350">
        <f>IF(G4401="Sim",IF(OR(F4401="",D4401="",L4401=""),"",IF(L4401="Sim",ROUND(F4401-D4401,2),0)),0)</f>
        <v/>
      </c>
      <c r="I4401" s="350">
        <f>IF(G4401="Sim",0,IF(OR(F4401="",L4401=""),"",F4401))</f>
        <v/>
      </c>
      <c r="J4401" s="350">
        <f>IF(G4401="Sim",0,IF(OR(F4401="",D4401="",L4401=""),"",IF(L4401="Sim",ROUND(F4401-D4401,2),0)))</f>
        <v/>
      </c>
      <c r="K4401" s="97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inlineStr">
        <is>
          <t>Nao</t>
        </is>
      </c>
      <c r="W4401" s="110" t="inlineStr">
        <is>
          <t>PC em analise</t>
        </is>
      </c>
      <c r="X4401" s="110" t="inlineStr">
        <is>
          <t>Pedido de Compra</t>
        </is>
      </c>
      <c r="Y4401" s="111" t="inlineStr">
        <is>
          <t>Impacto Potencial</t>
        </is>
      </c>
      <c r="Z4401" s="111" t="inlineStr">
        <is>
          <t>PC</t>
        </is>
      </c>
      <c r="AA4401" s="111" t="inlineStr">
        <is>
          <t>Nao</t>
        </is>
      </c>
      <c r="AB4401" s="111" t="inlineStr">
        <is>
          <t>NAO_COMPUTADO</t>
        </is>
      </c>
      <c r="AC4401" s="112" t="inlineStr">
        <is>
          <t>Estrutura Fase 1: sem impacto no VTA oficial</t>
        </is>
      </c>
    </row>
    <row r="4402" ht="25.5" customHeight="1" s="289">
      <c r="A4402" s="205" t="n"/>
      <c r="B4402" s="207" t="n"/>
      <c r="C4402" s="104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348" t="n"/>
      <c r="E4402" s="349">
        <f>IF(C4402="","",IFERROR(VLOOKUP(C4402,parametros!$A$11:$E$15,5,0),""))</f>
        <v/>
      </c>
      <c r="F4402" s="335">
        <f>IF(OR(D4402="",E4402=""),"",ROUND(D4402*E4402,2))</f>
        <v/>
      </c>
      <c r="G4402" s="106" t="n"/>
      <c r="H4402" s="350">
        <f>IF(G4402="Sim",IF(OR(F4402="",D4402="",L4402=""),"",IF(L4402="Sim",ROUND(F4402-D4402,2),0)),0)</f>
        <v/>
      </c>
      <c r="I4402" s="350">
        <f>IF(G4402="Sim",0,IF(OR(F4402="",L4402=""),"",F4402))</f>
        <v/>
      </c>
      <c r="J4402" s="350">
        <f>IF(G4402="Sim",0,IF(OR(F4402="",D4402="",L4402=""),"",IF(L4402="Sim",ROUND(F4402-D4402,2),0)))</f>
        <v/>
      </c>
      <c r="K4402" s="97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inlineStr">
        <is>
          <t>Nao</t>
        </is>
      </c>
      <c r="W4402" s="110" t="inlineStr">
        <is>
          <t>PC em analise</t>
        </is>
      </c>
      <c r="X4402" s="110" t="inlineStr">
        <is>
          <t>Pedido de Compra</t>
        </is>
      </c>
      <c r="Y4402" s="111" t="inlineStr">
        <is>
          <t>Impacto Potencial</t>
        </is>
      </c>
      <c r="Z4402" s="111" t="inlineStr">
        <is>
          <t>PC</t>
        </is>
      </c>
      <c r="AA4402" s="111" t="inlineStr">
        <is>
          <t>Nao</t>
        </is>
      </c>
      <c r="AB4402" s="111" t="inlineStr">
        <is>
          <t>NAO_COMPUTADO</t>
        </is>
      </c>
      <c r="AC4402" s="112" t="inlineStr">
        <is>
          <t>Estrutura Fase 1: sem impacto no VTA oficial</t>
        </is>
      </c>
    </row>
    <row r="4403" ht="25.5" customHeight="1" s="289">
      <c r="A4403" s="205" t="n"/>
      <c r="B4403" s="207" t="n"/>
      <c r="C4403" s="104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348" t="n"/>
      <c r="E4403" s="349">
        <f>IF(C4403="","",IFERROR(VLOOKUP(C4403,parametros!$A$11:$E$15,5,0),""))</f>
        <v/>
      </c>
      <c r="F4403" s="335">
        <f>IF(OR(D4403="",E4403=""),"",ROUND(D4403*E4403,2))</f>
        <v/>
      </c>
      <c r="G4403" s="106" t="n"/>
      <c r="H4403" s="350">
        <f>IF(G4403="Sim",IF(OR(F4403="",D4403="",L4403=""),"",IF(L4403="Sim",ROUND(F4403-D4403,2),0)),0)</f>
        <v/>
      </c>
      <c r="I4403" s="350">
        <f>IF(G4403="Sim",0,IF(OR(F4403="",L4403=""),"",F4403))</f>
        <v/>
      </c>
      <c r="J4403" s="350">
        <f>IF(G4403="Sim",0,IF(OR(F4403="",D4403="",L4403=""),"",IF(L4403="Sim",ROUND(F4403-D4403,2),0)))</f>
        <v/>
      </c>
      <c r="K4403" s="97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inlineStr">
        <is>
          <t>Nao</t>
        </is>
      </c>
      <c r="W4403" s="110" t="inlineStr">
        <is>
          <t>PC em analise</t>
        </is>
      </c>
      <c r="X4403" s="110" t="inlineStr">
        <is>
          <t>Pedido de Compra</t>
        </is>
      </c>
      <c r="Y4403" s="111" t="inlineStr">
        <is>
          <t>Impacto Potencial</t>
        </is>
      </c>
      <c r="Z4403" s="111" t="inlineStr">
        <is>
          <t>PC</t>
        </is>
      </c>
      <c r="AA4403" s="111" t="inlineStr">
        <is>
          <t>Nao</t>
        </is>
      </c>
      <c r="AB4403" s="111" t="inlineStr">
        <is>
          <t>NAO_COMPUTADO</t>
        </is>
      </c>
      <c r="AC4403" s="112" t="inlineStr">
        <is>
          <t>Estrutura Fase 1: sem impacto no VTA oficial</t>
        </is>
      </c>
    </row>
    <row r="4404" ht="25.5" customHeight="1" s="289">
      <c r="A4404" s="205" t="n"/>
      <c r="B4404" s="207" t="n"/>
      <c r="C4404" s="104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348" t="n"/>
      <c r="E4404" s="349">
        <f>IF(C4404="","",IFERROR(VLOOKUP(C4404,parametros!$A$11:$E$15,5,0),""))</f>
        <v/>
      </c>
      <c r="F4404" s="335">
        <f>IF(OR(D4404="",E4404=""),"",ROUND(D4404*E4404,2))</f>
        <v/>
      </c>
      <c r="G4404" s="106" t="n"/>
      <c r="H4404" s="350">
        <f>IF(G4404="Sim",IF(OR(F4404="",D4404="",L4404=""),"",IF(L4404="Sim",ROUND(F4404-D4404,2),0)),0)</f>
        <v/>
      </c>
      <c r="I4404" s="350">
        <f>IF(G4404="Sim",0,IF(OR(F4404="",L4404=""),"",F4404))</f>
        <v/>
      </c>
      <c r="J4404" s="350">
        <f>IF(G4404="Sim",0,IF(OR(F4404="",D4404="",L4404=""),"",IF(L4404="Sim",ROUND(F4404-D4404,2),0)))</f>
        <v/>
      </c>
      <c r="K4404" s="97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inlineStr">
        <is>
          <t>Nao</t>
        </is>
      </c>
      <c r="W4404" s="110" t="inlineStr">
        <is>
          <t>PC em analise</t>
        </is>
      </c>
      <c r="X4404" s="110" t="inlineStr">
        <is>
          <t>Pedido de Compra</t>
        </is>
      </c>
      <c r="Y4404" s="111" t="inlineStr">
        <is>
          <t>Impacto Potencial</t>
        </is>
      </c>
      <c r="Z4404" s="111" t="inlineStr">
        <is>
          <t>PC</t>
        </is>
      </c>
      <c r="AA4404" s="111" t="inlineStr">
        <is>
          <t>Nao</t>
        </is>
      </c>
      <c r="AB4404" s="111" t="inlineStr">
        <is>
          <t>NAO_COMPUTADO</t>
        </is>
      </c>
      <c r="AC4404" s="112" t="inlineStr">
        <is>
          <t>Estrutura Fase 1: sem impacto no VTA oficial</t>
        </is>
      </c>
    </row>
    <row r="4405" ht="25.5" customHeight="1" s="289">
      <c r="A4405" s="205" t="n"/>
      <c r="B4405" s="207" t="n"/>
      <c r="C4405" s="104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348" t="n"/>
      <c r="E4405" s="349">
        <f>IF(C4405="","",IFERROR(VLOOKUP(C4405,parametros!$A$11:$E$15,5,0),""))</f>
        <v/>
      </c>
      <c r="F4405" s="335">
        <f>IF(OR(D4405="",E4405=""),"",ROUND(D4405*E4405,2))</f>
        <v/>
      </c>
      <c r="G4405" s="106" t="n"/>
      <c r="H4405" s="350">
        <f>IF(G4405="Sim",IF(OR(F4405="",D4405="",L4405=""),"",IF(L4405="Sim",ROUND(F4405-D4405,2),0)),0)</f>
        <v/>
      </c>
      <c r="I4405" s="350">
        <f>IF(G4405="Sim",0,IF(OR(F4405="",L4405=""),"",F4405))</f>
        <v/>
      </c>
      <c r="J4405" s="350">
        <f>IF(G4405="Sim",0,IF(OR(F4405="",D4405="",L4405=""),"",IF(L4405="Sim",ROUND(F4405-D4405,2),0)))</f>
        <v/>
      </c>
      <c r="K4405" s="97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inlineStr">
        <is>
          <t>Nao</t>
        </is>
      </c>
      <c r="W4405" s="110" t="inlineStr">
        <is>
          <t>PC em analise</t>
        </is>
      </c>
      <c r="X4405" s="110" t="inlineStr">
        <is>
          <t>Pedido de Compra</t>
        </is>
      </c>
      <c r="Y4405" s="111" t="inlineStr">
        <is>
          <t>Impacto Potencial</t>
        </is>
      </c>
      <c r="Z4405" s="111" t="inlineStr">
        <is>
          <t>PC</t>
        </is>
      </c>
      <c r="AA4405" s="111" t="inlineStr">
        <is>
          <t>Nao</t>
        </is>
      </c>
      <c r="AB4405" s="111" t="inlineStr">
        <is>
          <t>NAO_COMPUTADO</t>
        </is>
      </c>
      <c r="AC4405" s="112" t="inlineStr">
        <is>
          <t>Estrutura Fase 1: sem impacto no VTA oficial</t>
        </is>
      </c>
    </row>
    <row r="4406" ht="25.5" customHeight="1" s="289">
      <c r="A4406" s="205" t="n"/>
      <c r="B4406" s="207" t="n"/>
      <c r="C4406" s="104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348" t="n"/>
      <c r="E4406" s="349">
        <f>IF(C4406="","",IFERROR(VLOOKUP(C4406,parametros!$A$11:$E$15,5,0),""))</f>
        <v/>
      </c>
      <c r="F4406" s="335">
        <f>IF(OR(D4406="",E4406=""),"",ROUND(D4406*E4406,2))</f>
        <v/>
      </c>
      <c r="G4406" s="106" t="n"/>
      <c r="H4406" s="350">
        <f>IF(G4406="Sim",IF(OR(F4406="",D4406="",L4406=""),"",IF(L4406="Sim",ROUND(F4406-D4406,2),0)),0)</f>
        <v/>
      </c>
      <c r="I4406" s="350">
        <f>IF(G4406="Sim",0,IF(OR(F4406="",L4406=""),"",F4406))</f>
        <v/>
      </c>
      <c r="J4406" s="350">
        <f>IF(G4406="Sim",0,IF(OR(F4406="",D4406="",L4406=""),"",IF(L4406="Sim",ROUND(F4406-D4406,2),0)))</f>
        <v/>
      </c>
      <c r="K4406" s="97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inlineStr">
        <is>
          <t>Nao</t>
        </is>
      </c>
      <c r="W4406" s="110" t="inlineStr">
        <is>
          <t>PC em analise</t>
        </is>
      </c>
      <c r="X4406" s="110" t="inlineStr">
        <is>
          <t>Pedido de Compra</t>
        </is>
      </c>
      <c r="Y4406" s="111" t="inlineStr">
        <is>
          <t>Impacto Potencial</t>
        </is>
      </c>
      <c r="Z4406" s="111" t="inlineStr">
        <is>
          <t>PC</t>
        </is>
      </c>
      <c r="AA4406" s="111" t="inlineStr">
        <is>
          <t>Nao</t>
        </is>
      </c>
      <c r="AB4406" s="111" t="inlineStr">
        <is>
          <t>NAO_COMPUTADO</t>
        </is>
      </c>
      <c r="AC4406" s="112" t="inlineStr">
        <is>
          <t>Estrutura Fase 1: sem impacto no VTA oficial</t>
        </is>
      </c>
    </row>
    <row r="4407" ht="25.5" customHeight="1" s="289">
      <c r="A4407" s="205" t="n"/>
      <c r="B4407" s="207" t="n"/>
      <c r="C4407" s="104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348" t="n"/>
      <c r="E4407" s="349">
        <f>IF(C4407="","",IFERROR(VLOOKUP(C4407,parametros!$A$11:$E$15,5,0),""))</f>
        <v/>
      </c>
      <c r="F4407" s="335">
        <f>IF(OR(D4407="",E4407=""),"",ROUND(D4407*E4407,2))</f>
        <v/>
      </c>
      <c r="G4407" s="106" t="n"/>
      <c r="H4407" s="350">
        <f>IF(G4407="Sim",IF(OR(F4407="",D4407="",L4407=""),"",IF(L4407="Sim",ROUND(F4407-D4407,2),0)),0)</f>
        <v/>
      </c>
      <c r="I4407" s="350">
        <f>IF(G4407="Sim",0,IF(OR(F4407="",L4407=""),"",F4407))</f>
        <v/>
      </c>
      <c r="J4407" s="350">
        <f>IF(G4407="Sim",0,IF(OR(F4407="",D4407="",L4407=""),"",IF(L4407="Sim",ROUND(F4407-D4407,2),0)))</f>
        <v/>
      </c>
      <c r="K4407" s="97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inlineStr">
        <is>
          <t>Nao</t>
        </is>
      </c>
      <c r="W4407" s="110" t="inlineStr">
        <is>
          <t>PC em analise</t>
        </is>
      </c>
      <c r="X4407" s="110" t="inlineStr">
        <is>
          <t>Pedido de Compra</t>
        </is>
      </c>
      <c r="Y4407" s="111" t="inlineStr">
        <is>
          <t>Impacto Potencial</t>
        </is>
      </c>
      <c r="Z4407" s="111" t="inlineStr">
        <is>
          <t>PC</t>
        </is>
      </c>
      <c r="AA4407" s="111" t="inlineStr">
        <is>
          <t>Nao</t>
        </is>
      </c>
      <c r="AB4407" s="111" t="inlineStr">
        <is>
          <t>NAO_COMPUTADO</t>
        </is>
      </c>
      <c r="AC4407" s="112" t="inlineStr">
        <is>
          <t>Estrutura Fase 1: sem impacto no VTA oficial</t>
        </is>
      </c>
    </row>
    <row r="4408" ht="25.5" customHeight="1" s="289">
      <c r="A4408" s="205" t="n"/>
      <c r="B4408" s="207" t="n"/>
      <c r="C4408" s="104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348" t="n"/>
      <c r="E4408" s="349">
        <f>IF(C4408="","",IFERROR(VLOOKUP(C4408,parametros!$A$11:$E$15,5,0),""))</f>
        <v/>
      </c>
      <c r="F4408" s="335">
        <f>IF(OR(D4408="",E4408=""),"",ROUND(D4408*E4408,2))</f>
        <v/>
      </c>
      <c r="G4408" s="106" t="n"/>
      <c r="H4408" s="350">
        <f>IF(G4408="Sim",IF(OR(F4408="",D4408="",L4408=""),"",IF(L4408="Sim",ROUND(F4408-D4408,2),0)),0)</f>
        <v/>
      </c>
      <c r="I4408" s="350">
        <f>IF(G4408="Sim",0,IF(OR(F4408="",L4408=""),"",F4408))</f>
        <v/>
      </c>
      <c r="J4408" s="350">
        <f>IF(G4408="Sim",0,IF(OR(F4408="",D4408="",L4408=""),"",IF(L4408="Sim",ROUND(F4408-D4408,2),0)))</f>
        <v/>
      </c>
      <c r="K4408" s="97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inlineStr">
        <is>
          <t>Nao</t>
        </is>
      </c>
      <c r="W4408" s="110" t="inlineStr">
        <is>
          <t>PC em analise</t>
        </is>
      </c>
      <c r="X4408" s="110" t="inlineStr">
        <is>
          <t>Pedido de Compra</t>
        </is>
      </c>
      <c r="Y4408" s="111" t="inlineStr">
        <is>
          <t>Impacto Potencial</t>
        </is>
      </c>
      <c r="Z4408" s="111" t="inlineStr">
        <is>
          <t>PC</t>
        </is>
      </c>
      <c r="AA4408" s="111" t="inlineStr">
        <is>
          <t>Nao</t>
        </is>
      </c>
      <c r="AB4408" s="111" t="inlineStr">
        <is>
          <t>NAO_COMPUTADO</t>
        </is>
      </c>
      <c r="AC4408" s="112" t="inlineStr">
        <is>
          <t>Estrutura Fase 1: sem impacto no VTA oficial</t>
        </is>
      </c>
    </row>
    <row r="4409" ht="25.5" customHeight="1" s="289">
      <c r="A4409" s="205" t="n"/>
      <c r="B4409" s="207" t="n"/>
      <c r="C4409" s="104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348" t="n"/>
      <c r="E4409" s="349">
        <f>IF(C4409="","",IFERROR(VLOOKUP(C4409,parametros!$A$11:$E$15,5,0),""))</f>
        <v/>
      </c>
      <c r="F4409" s="335">
        <f>IF(OR(D4409="",E4409=""),"",ROUND(D4409*E4409,2))</f>
        <v/>
      </c>
      <c r="G4409" s="106" t="n"/>
      <c r="H4409" s="350">
        <f>IF(G4409="Sim",IF(OR(F4409="",D4409="",L4409=""),"",IF(L4409="Sim",ROUND(F4409-D4409,2),0)),0)</f>
        <v/>
      </c>
      <c r="I4409" s="350">
        <f>IF(G4409="Sim",0,IF(OR(F4409="",L4409=""),"",F4409))</f>
        <v/>
      </c>
      <c r="J4409" s="350">
        <f>IF(G4409="Sim",0,IF(OR(F4409="",D4409="",L4409=""),"",IF(L4409="Sim",ROUND(F4409-D4409,2),0)))</f>
        <v/>
      </c>
      <c r="K4409" s="97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inlineStr">
        <is>
          <t>Nao</t>
        </is>
      </c>
      <c r="W4409" s="110" t="inlineStr">
        <is>
          <t>PC em analise</t>
        </is>
      </c>
      <c r="X4409" s="110" t="inlineStr">
        <is>
          <t>Pedido de Compra</t>
        </is>
      </c>
      <c r="Y4409" s="111" t="inlineStr">
        <is>
          <t>Impacto Potencial</t>
        </is>
      </c>
      <c r="Z4409" s="111" t="inlineStr">
        <is>
          <t>PC</t>
        </is>
      </c>
      <c r="AA4409" s="111" t="inlineStr">
        <is>
          <t>Nao</t>
        </is>
      </c>
      <c r="AB4409" s="111" t="inlineStr">
        <is>
          <t>NAO_COMPUTADO</t>
        </is>
      </c>
      <c r="AC4409" s="112" t="inlineStr">
        <is>
          <t>Estrutura Fase 1: sem impacto no VTA oficial</t>
        </is>
      </c>
    </row>
    <row r="4410" ht="25.5" customHeight="1" s="289">
      <c r="A4410" s="205" t="n"/>
      <c r="B4410" s="207" t="n"/>
      <c r="C4410" s="104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348" t="n"/>
      <c r="E4410" s="349">
        <f>IF(C4410="","",IFERROR(VLOOKUP(C4410,parametros!$A$11:$E$15,5,0),""))</f>
        <v/>
      </c>
      <c r="F4410" s="335">
        <f>IF(OR(D4410="",E4410=""),"",ROUND(D4410*E4410,2))</f>
        <v/>
      </c>
      <c r="G4410" s="106" t="n"/>
      <c r="H4410" s="350">
        <f>IF(G4410="Sim",IF(OR(F4410="",D4410="",L4410=""),"",IF(L4410="Sim",ROUND(F4410-D4410,2),0)),0)</f>
        <v/>
      </c>
      <c r="I4410" s="350">
        <f>IF(G4410="Sim",0,IF(OR(F4410="",L4410=""),"",F4410))</f>
        <v/>
      </c>
      <c r="J4410" s="350">
        <f>IF(G4410="Sim",0,IF(OR(F4410="",D4410="",L4410=""),"",IF(L4410="Sim",ROUND(F4410-D4410,2),0)))</f>
        <v/>
      </c>
      <c r="K4410" s="97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inlineStr">
        <is>
          <t>Nao</t>
        </is>
      </c>
      <c r="W4410" s="110" t="inlineStr">
        <is>
          <t>PC em analise</t>
        </is>
      </c>
      <c r="X4410" s="110" t="inlineStr">
        <is>
          <t>Pedido de Compra</t>
        </is>
      </c>
      <c r="Y4410" s="111" t="inlineStr">
        <is>
          <t>Impacto Potencial</t>
        </is>
      </c>
      <c r="Z4410" s="111" t="inlineStr">
        <is>
          <t>PC</t>
        </is>
      </c>
      <c r="AA4410" s="111" t="inlineStr">
        <is>
          <t>Nao</t>
        </is>
      </c>
      <c r="AB4410" s="111" t="inlineStr">
        <is>
          <t>NAO_COMPUTADO</t>
        </is>
      </c>
      <c r="AC4410" s="112" t="inlineStr">
        <is>
          <t>Estrutura Fase 1: sem impacto no VTA oficial</t>
        </is>
      </c>
    </row>
    <row r="4411" ht="25.5" customHeight="1" s="289">
      <c r="A4411" s="205" t="n"/>
      <c r="B4411" s="207" t="n"/>
      <c r="C4411" s="104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348" t="n"/>
      <c r="E4411" s="349">
        <f>IF(C4411="","",IFERROR(VLOOKUP(C4411,parametros!$A$11:$E$15,5,0),""))</f>
        <v/>
      </c>
      <c r="F4411" s="335">
        <f>IF(OR(D4411="",E4411=""),"",ROUND(D4411*E4411,2))</f>
        <v/>
      </c>
      <c r="G4411" s="106" t="n"/>
      <c r="H4411" s="350">
        <f>IF(G4411="Sim",IF(OR(F4411="",D4411="",L4411=""),"",IF(L4411="Sim",ROUND(F4411-D4411,2),0)),0)</f>
        <v/>
      </c>
      <c r="I4411" s="350">
        <f>IF(G4411="Sim",0,IF(OR(F4411="",L4411=""),"",F4411))</f>
        <v/>
      </c>
      <c r="J4411" s="350">
        <f>IF(G4411="Sim",0,IF(OR(F4411="",D4411="",L4411=""),"",IF(L4411="Sim",ROUND(F4411-D4411,2),0)))</f>
        <v/>
      </c>
      <c r="K4411" s="97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inlineStr">
        <is>
          <t>Nao</t>
        </is>
      </c>
      <c r="W4411" s="110" t="inlineStr">
        <is>
          <t>PC em analise</t>
        </is>
      </c>
      <c r="X4411" s="110" t="inlineStr">
        <is>
          <t>Pedido de Compra</t>
        </is>
      </c>
      <c r="Y4411" s="111" t="inlineStr">
        <is>
          <t>Impacto Potencial</t>
        </is>
      </c>
      <c r="Z4411" s="111" t="inlineStr">
        <is>
          <t>PC</t>
        </is>
      </c>
      <c r="AA4411" s="111" t="inlineStr">
        <is>
          <t>Nao</t>
        </is>
      </c>
      <c r="AB4411" s="111" t="inlineStr">
        <is>
          <t>NAO_COMPUTADO</t>
        </is>
      </c>
      <c r="AC4411" s="112" t="inlineStr">
        <is>
          <t>Estrutura Fase 1: sem impacto no VTA oficial</t>
        </is>
      </c>
    </row>
    <row r="4412" ht="25.5" customHeight="1" s="289">
      <c r="A4412" s="205" t="n"/>
      <c r="B4412" s="207" t="n"/>
      <c r="C4412" s="104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348" t="n"/>
      <c r="E4412" s="349">
        <f>IF(C4412="","",IFERROR(VLOOKUP(C4412,parametros!$A$11:$E$15,5,0),""))</f>
        <v/>
      </c>
      <c r="F4412" s="335">
        <f>IF(OR(D4412="",E4412=""),"",ROUND(D4412*E4412,2))</f>
        <v/>
      </c>
      <c r="G4412" s="106" t="n"/>
      <c r="H4412" s="350">
        <f>IF(G4412="Sim",IF(OR(F4412="",D4412="",L4412=""),"",IF(L4412="Sim",ROUND(F4412-D4412,2),0)),0)</f>
        <v/>
      </c>
      <c r="I4412" s="350">
        <f>IF(G4412="Sim",0,IF(OR(F4412="",L4412=""),"",F4412))</f>
        <v/>
      </c>
      <c r="J4412" s="350">
        <f>IF(G4412="Sim",0,IF(OR(F4412="",D4412="",L4412=""),"",IF(L4412="Sim",ROUND(F4412-D4412,2),0)))</f>
        <v/>
      </c>
      <c r="K4412" s="97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inlineStr">
        <is>
          <t>Nao</t>
        </is>
      </c>
      <c r="W4412" s="110" t="inlineStr">
        <is>
          <t>PC em analise</t>
        </is>
      </c>
      <c r="X4412" s="110" t="inlineStr">
        <is>
          <t>Pedido de Compra</t>
        </is>
      </c>
      <c r="Y4412" s="111" t="inlineStr">
        <is>
          <t>Impacto Potencial</t>
        </is>
      </c>
      <c r="Z4412" s="111" t="inlineStr">
        <is>
          <t>PC</t>
        </is>
      </c>
      <c r="AA4412" s="111" t="inlineStr">
        <is>
          <t>Nao</t>
        </is>
      </c>
      <c r="AB4412" s="111" t="inlineStr">
        <is>
          <t>NAO_COMPUTADO</t>
        </is>
      </c>
      <c r="AC4412" s="112" t="inlineStr">
        <is>
          <t>Estrutura Fase 1: sem impacto no VTA oficial</t>
        </is>
      </c>
    </row>
    <row r="4413" ht="25.5" customHeight="1" s="289">
      <c r="A4413" s="205" t="n"/>
      <c r="B4413" s="207" t="n"/>
      <c r="C4413" s="104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348" t="n"/>
      <c r="E4413" s="349">
        <f>IF(C4413="","",IFERROR(VLOOKUP(C4413,parametros!$A$11:$E$15,5,0),""))</f>
        <v/>
      </c>
      <c r="F4413" s="335">
        <f>IF(OR(D4413="",E4413=""),"",ROUND(D4413*E4413,2))</f>
        <v/>
      </c>
      <c r="G4413" s="106" t="n"/>
      <c r="H4413" s="350">
        <f>IF(G4413="Sim",IF(OR(F4413="",D4413="",L4413=""),"",IF(L4413="Sim",ROUND(F4413-D4413,2),0)),0)</f>
        <v/>
      </c>
      <c r="I4413" s="350">
        <f>IF(G4413="Sim",0,IF(OR(F4413="",L4413=""),"",F4413))</f>
        <v/>
      </c>
      <c r="J4413" s="350">
        <f>IF(G4413="Sim",0,IF(OR(F4413="",D4413="",L4413=""),"",IF(L4413="Sim",ROUND(F4413-D4413,2),0)))</f>
        <v/>
      </c>
      <c r="K4413" s="97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inlineStr">
        <is>
          <t>Nao</t>
        </is>
      </c>
      <c r="W4413" s="110" t="inlineStr">
        <is>
          <t>PC em analise</t>
        </is>
      </c>
      <c r="X4413" s="110" t="inlineStr">
        <is>
          <t>Pedido de Compra</t>
        </is>
      </c>
      <c r="Y4413" s="111" t="inlineStr">
        <is>
          <t>Impacto Potencial</t>
        </is>
      </c>
      <c r="Z4413" s="111" t="inlineStr">
        <is>
          <t>PC</t>
        </is>
      </c>
      <c r="AA4413" s="111" t="inlineStr">
        <is>
          <t>Nao</t>
        </is>
      </c>
      <c r="AB4413" s="111" t="inlineStr">
        <is>
          <t>NAO_COMPUTADO</t>
        </is>
      </c>
      <c r="AC4413" s="112" t="inlineStr">
        <is>
          <t>Estrutura Fase 1: sem impacto no VTA oficial</t>
        </is>
      </c>
    </row>
    <row r="4414" ht="25.5" customHeight="1" s="289">
      <c r="A4414" s="205" t="n"/>
      <c r="B4414" s="207" t="n"/>
      <c r="C4414" s="104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348" t="n"/>
      <c r="E4414" s="349">
        <f>IF(C4414="","",IFERROR(VLOOKUP(C4414,parametros!$A$11:$E$15,5,0),""))</f>
        <v/>
      </c>
      <c r="F4414" s="335">
        <f>IF(OR(D4414="",E4414=""),"",ROUND(D4414*E4414,2))</f>
        <v/>
      </c>
      <c r="G4414" s="106" t="n"/>
      <c r="H4414" s="350">
        <f>IF(G4414="Sim",IF(OR(F4414="",D4414="",L4414=""),"",IF(L4414="Sim",ROUND(F4414-D4414,2),0)),0)</f>
        <v/>
      </c>
      <c r="I4414" s="350">
        <f>IF(G4414="Sim",0,IF(OR(F4414="",L4414=""),"",F4414))</f>
        <v/>
      </c>
      <c r="J4414" s="350">
        <f>IF(G4414="Sim",0,IF(OR(F4414="",D4414="",L4414=""),"",IF(L4414="Sim",ROUND(F4414-D4414,2),0)))</f>
        <v/>
      </c>
      <c r="K4414" s="97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inlineStr">
        <is>
          <t>Nao</t>
        </is>
      </c>
      <c r="W4414" s="110" t="inlineStr">
        <is>
          <t>PC em analise</t>
        </is>
      </c>
      <c r="X4414" s="110" t="inlineStr">
        <is>
          <t>Pedido de Compra</t>
        </is>
      </c>
      <c r="Y4414" s="111" t="inlineStr">
        <is>
          <t>Impacto Potencial</t>
        </is>
      </c>
      <c r="Z4414" s="111" t="inlineStr">
        <is>
          <t>PC</t>
        </is>
      </c>
      <c r="AA4414" s="111" t="inlineStr">
        <is>
          <t>Nao</t>
        </is>
      </c>
      <c r="AB4414" s="111" t="inlineStr">
        <is>
          <t>NAO_COMPUTADO</t>
        </is>
      </c>
      <c r="AC4414" s="112" t="inlineStr">
        <is>
          <t>Estrutura Fase 1: sem impacto no VTA oficial</t>
        </is>
      </c>
    </row>
    <row r="4415" ht="25.5" customHeight="1" s="289">
      <c r="A4415" s="205" t="n"/>
      <c r="B4415" s="207" t="n"/>
      <c r="C4415" s="104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348" t="n"/>
      <c r="E4415" s="349">
        <f>IF(C4415="","",IFERROR(VLOOKUP(C4415,parametros!$A$11:$E$15,5,0),""))</f>
        <v/>
      </c>
      <c r="F4415" s="335">
        <f>IF(OR(D4415="",E4415=""),"",ROUND(D4415*E4415,2))</f>
        <v/>
      </c>
      <c r="G4415" s="106" t="n"/>
      <c r="H4415" s="350">
        <f>IF(G4415="Sim",IF(OR(F4415="",D4415="",L4415=""),"",IF(L4415="Sim",ROUND(F4415-D4415,2),0)),0)</f>
        <v/>
      </c>
      <c r="I4415" s="350">
        <f>IF(G4415="Sim",0,IF(OR(F4415="",L4415=""),"",F4415))</f>
        <v/>
      </c>
      <c r="J4415" s="350">
        <f>IF(G4415="Sim",0,IF(OR(F4415="",D4415="",L4415=""),"",IF(L4415="Sim",ROUND(F4415-D4415,2),0)))</f>
        <v/>
      </c>
      <c r="K4415" s="97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inlineStr">
        <is>
          <t>Nao</t>
        </is>
      </c>
      <c r="W4415" s="110" t="inlineStr">
        <is>
          <t>PC em analise</t>
        </is>
      </c>
      <c r="X4415" s="110" t="inlineStr">
        <is>
          <t>Pedido de Compra</t>
        </is>
      </c>
      <c r="Y4415" s="111" t="inlineStr">
        <is>
          <t>Impacto Potencial</t>
        </is>
      </c>
      <c r="Z4415" s="111" t="inlineStr">
        <is>
          <t>PC</t>
        </is>
      </c>
      <c r="AA4415" s="111" t="inlineStr">
        <is>
          <t>Nao</t>
        </is>
      </c>
      <c r="AB4415" s="111" t="inlineStr">
        <is>
          <t>NAO_COMPUTADO</t>
        </is>
      </c>
      <c r="AC4415" s="112" t="inlineStr">
        <is>
          <t>Estrutura Fase 1: sem impacto no VTA oficial</t>
        </is>
      </c>
    </row>
    <row r="4416" ht="25.5" customHeight="1" s="289">
      <c r="A4416" s="205" t="n"/>
      <c r="B4416" s="207" t="n"/>
      <c r="C4416" s="104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348" t="n"/>
      <c r="E4416" s="349">
        <f>IF(C4416="","",IFERROR(VLOOKUP(C4416,parametros!$A$11:$E$15,5,0),""))</f>
        <v/>
      </c>
      <c r="F4416" s="335">
        <f>IF(OR(D4416="",E4416=""),"",ROUND(D4416*E4416,2))</f>
        <v/>
      </c>
      <c r="G4416" s="106" t="n"/>
      <c r="H4416" s="350">
        <f>IF(G4416="Sim",IF(OR(F4416="",D4416="",L4416=""),"",IF(L4416="Sim",ROUND(F4416-D4416,2),0)),0)</f>
        <v/>
      </c>
      <c r="I4416" s="350">
        <f>IF(G4416="Sim",0,IF(OR(F4416="",L4416=""),"",F4416))</f>
        <v/>
      </c>
      <c r="J4416" s="350">
        <f>IF(G4416="Sim",0,IF(OR(F4416="",D4416="",L4416=""),"",IF(L4416="Sim",ROUND(F4416-D4416,2),0)))</f>
        <v/>
      </c>
      <c r="K4416" s="97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inlineStr">
        <is>
          <t>Nao</t>
        </is>
      </c>
      <c r="W4416" s="110" t="inlineStr">
        <is>
          <t>PC em analise</t>
        </is>
      </c>
      <c r="X4416" s="110" t="inlineStr">
        <is>
          <t>Pedido de Compra</t>
        </is>
      </c>
      <c r="Y4416" s="111" t="inlineStr">
        <is>
          <t>Impacto Potencial</t>
        </is>
      </c>
      <c r="Z4416" s="111" t="inlineStr">
        <is>
          <t>PC</t>
        </is>
      </c>
      <c r="AA4416" s="111" t="inlineStr">
        <is>
          <t>Nao</t>
        </is>
      </c>
      <c r="AB4416" s="111" t="inlineStr">
        <is>
          <t>NAO_COMPUTADO</t>
        </is>
      </c>
      <c r="AC4416" s="112" t="inlineStr">
        <is>
          <t>Estrutura Fase 1: sem impacto no VTA oficial</t>
        </is>
      </c>
    </row>
    <row r="4417" ht="25.5" customHeight="1" s="289">
      <c r="A4417" s="205" t="n"/>
      <c r="B4417" s="207" t="n"/>
      <c r="C4417" s="104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348" t="n"/>
      <c r="E4417" s="349">
        <f>IF(C4417="","",IFERROR(VLOOKUP(C4417,parametros!$A$11:$E$15,5,0),""))</f>
        <v/>
      </c>
      <c r="F4417" s="335">
        <f>IF(OR(D4417="",E4417=""),"",ROUND(D4417*E4417,2))</f>
        <v/>
      </c>
      <c r="G4417" s="106" t="n"/>
      <c r="H4417" s="350">
        <f>IF(G4417="Sim",IF(OR(F4417="",D4417="",L4417=""),"",IF(L4417="Sim",ROUND(F4417-D4417,2),0)),0)</f>
        <v/>
      </c>
      <c r="I4417" s="350">
        <f>IF(G4417="Sim",0,IF(OR(F4417="",L4417=""),"",F4417))</f>
        <v/>
      </c>
      <c r="J4417" s="350">
        <f>IF(G4417="Sim",0,IF(OR(F4417="",D4417="",L4417=""),"",IF(L4417="Sim",ROUND(F4417-D4417,2),0)))</f>
        <v/>
      </c>
      <c r="K4417" s="97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inlineStr">
        <is>
          <t>Nao</t>
        </is>
      </c>
      <c r="W4417" s="110" t="inlineStr">
        <is>
          <t>PC em analise</t>
        </is>
      </c>
      <c r="X4417" s="110" t="inlineStr">
        <is>
          <t>Pedido de Compra</t>
        </is>
      </c>
      <c r="Y4417" s="111" t="inlineStr">
        <is>
          <t>Impacto Potencial</t>
        </is>
      </c>
      <c r="Z4417" s="111" t="inlineStr">
        <is>
          <t>PC</t>
        </is>
      </c>
      <c r="AA4417" s="111" t="inlineStr">
        <is>
          <t>Nao</t>
        </is>
      </c>
      <c r="AB4417" s="111" t="inlineStr">
        <is>
          <t>NAO_COMPUTADO</t>
        </is>
      </c>
      <c r="AC4417" s="112" t="inlineStr">
        <is>
          <t>Estrutura Fase 1: sem impacto no VTA oficial</t>
        </is>
      </c>
    </row>
    <row r="4418" ht="25.5" customHeight="1" s="289">
      <c r="A4418" s="205" t="n"/>
      <c r="B4418" s="207" t="n"/>
      <c r="C4418" s="104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348" t="n"/>
      <c r="E4418" s="349">
        <f>IF(C4418="","",IFERROR(VLOOKUP(C4418,parametros!$A$11:$E$15,5,0),""))</f>
        <v/>
      </c>
      <c r="F4418" s="335">
        <f>IF(OR(D4418="",E4418=""),"",ROUND(D4418*E4418,2))</f>
        <v/>
      </c>
      <c r="G4418" s="106" t="n"/>
      <c r="H4418" s="350">
        <f>IF(G4418="Sim",IF(OR(F4418="",D4418="",L4418=""),"",IF(L4418="Sim",ROUND(F4418-D4418,2),0)),0)</f>
        <v/>
      </c>
      <c r="I4418" s="350">
        <f>IF(G4418="Sim",0,IF(OR(F4418="",L4418=""),"",F4418))</f>
        <v/>
      </c>
      <c r="J4418" s="350">
        <f>IF(G4418="Sim",0,IF(OR(F4418="",D4418="",L4418=""),"",IF(L4418="Sim",ROUND(F4418-D4418,2),0)))</f>
        <v/>
      </c>
      <c r="K4418" s="97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inlineStr">
        <is>
          <t>Nao</t>
        </is>
      </c>
      <c r="W4418" s="110" t="inlineStr">
        <is>
          <t>PC em analise</t>
        </is>
      </c>
      <c r="X4418" s="110" t="inlineStr">
        <is>
          <t>Pedido de Compra</t>
        </is>
      </c>
      <c r="Y4418" s="111" t="inlineStr">
        <is>
          <t>Impacto Potencial</t>
        </is>
      </c>
      <c r="Z4418" s="111" t="inlineStr">
        <is>
          <t>PC</t>
        </is>
      </c>
      <c r="AA4418" s="111" t="inlineStr">
        <is>
          <t>Nao</t>
        </is>
      </c>
      <c r="AB4418" s="111" t="inlineStr">
        <is>
          <t>NAO_COMPUTADO</t>
        </is>
      </c>
      <c r="AC4418" s="112" t="inlineStr">
        <is>
          <t>Estrutura Fase 1: sem impacto no VTA oficial</t>
        </is>
      </c>
    </row>
    <row r="4419" ht="25.5" customHeight="1" s="289">
      <c r="A4419" s="205" t="n"/>
      <c r="B4419" s="207" t="n"/>
      <c r="C4419" s="104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348" t="n"/>
      <c r="E4419" s="349">
        <f>IF(C4419="","",IFERROR(VLOOKUP(C4419,parametros!$A$11:$E$15,5,0),""))</f>
        <v/>
      </c>
      <c r="F4419" s="335">
        <f>IF(OR(D4419="",E4419=""),"",ROUND(D4419*E4419,2))</f>
        <v/>
      </c>
      <c r="G4419" s="106" t="n"/>
      <c r="H4419" s="350">
        <f>IF(G4419="Sim",IF(OR(F4419="",D4419="",L4419=""),"",IF(L4419="Sim",ROUND(F4419-D4419,2),0)),0)</f>
        <v/>
      </c>
      <c r="I4419" s="350">
        <f>IF(G4419="Sim",0,IF(OR(F4419="",L4419=""),"",F4419))</f>
        <v/>
      </c>
      <c r="J4419" s="350">
        <f>IF(G4419="Sim",0,IF(OR(F4419="",D4419="",L4419=""),"",IF(L4419="Sim",ROUND(F4419-D4419,2),0)))</f>
        <v/>
      </c>
      <c r="K4419" s="97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inlineStr">
        <is>
          <t>Nao</t>
        </is>
      </c>
      <c r="W4419" s="110" t="inlineStr">
        <is>
          <t>PC em analise</t>
        </is>
      </c>
      <c r="X4419" s="110" t="inlineStr">
        <is>
          <t>Pedido de Compra</t>
        </is>
      </c>
      <c r="Y4419" s="111" t="inlineStr">
        <is>
          <t>Impacto Potencial</t>
        </is>
      </c>
      <c r="Z4419" s="111" t="inlineStr">
        <is>
          <t>PC</t>
        </is>
      </c>
      <c r="AA4419" s="111" t="inlineStr">
        <is>
          <t>Nao</t>
        </is>
      </c>
      <c r="AB4419" s="111" t="inlineStr">
        <is>
          <t>NAO_COMPUTADO</t>
        </is>
      </c>
      <c r="AC4419" s="112" t="inlineStr">
        <is>
          <t>Estrutura Fase 1: sem impacto no VTA oficial</t>
        </is>
      </c>
    </row>
    <row r="4420" ht="25.5" customHeight="1" s="289">
      <c r="A4420" s="205" t="n"/>
      <c r="B4420" s="207" t="n"/>
      <c r="C4420" s="104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348" t="n"/>
      <c r="E4420" s="349">
        <f>IF(C4420="","",IFERROR(VLOOKUP(C4420,parametros!$A$11:$E$15,5,0),""))</f>
        <v/>
      </c>
      <c r="F4420" s="335">
        <f>IF(OR(D4420="",E4420=""),"",ROUND(D4420*E4420,2))</f>
        <v/>
      </c>
      <c r="G4420" s="106" t="n"/>
      <c r="H4420" s="350">
        <f>IF(G4420="Sim",IF(OR(F4420="",D4420="",L4420=""),"",IF(L4420="Sim",ROUND(F4420-D4420,2),0)),0)</f>
        <v/>
      </c>
      <c r="I4420" s="350">
        <f>IF(G4420="Sim",0,IF(OR(F4420="",L4420=""),"",F4420))</f>
        <v/>
      </c>
      <c r="J4420" s="350">
        <f>IF(G4420="Sim",0,IF(OR(F4420="",D4420="",L4420=""),"",IF(L4420="Sim",ROUND(F4420-D4420,2),0)))</f>
        <v/>
      </c>
      <c r="K4420" s="97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inlineStr">
        <is>
          <t>Nao</t>
        </is>
      </c>
      <c r="W4420" s="110" t="inlineStr">
        <is>
          <t>PC em analise</t>
        </is>
      </c>
      <c r="X4420" s="110" t="inlineStr">
        <is>
          <t>Pedido de Compra</t>
        </is>
      </c>
      <c r="Y4420" s="111" t="inlineStr">
        <is>
          <t>Impacto Potencial</t>
        </is>
      </c>
      <c r="Z4420" s="111" t="inlineStr">
        <is>
          <t>PC</t>
        </is>
      </c>
      <c r="AA4420" s="111" t="inlineStr">
        <is>
          <t>Nao</t>
        </is>
      </c>
      <c r="AB4420" s="111" t="inlineStr">
        <is>
          <t>NAO_COMPUTADO</t>
        </is>
      </c>
      <c r="AC4420" s="112" t="inlineStr">
        <is>
          <t>Estrutura Fase 1: sem impacto no VTA oficial</t>
        </is>
      </c>
    </row>
    <row r="4421" ht="25.5" customHeight="1" s="289">
      <c r="A4421" s="205" t="n"/>
      <c r="B4421" s="207" t="n"/>
      <c r="C4421" s="104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348" t="n"/>
      <c r="E4421" s="349">
        <f>IF(C4421="","",IFERROR(VLOOKUP(C4421,parametros!$A$11:$E$15,5,0),""))</f>
        <v/>
      </c>
      <c r="F4421" s="335">
        <f>IF(OR(D4421="",E4421=""),"",ROUND(D4421*E4421,2))</f>
        <v/>
      </c>
      <c r="G4421" s="106" t="n"/>
      <c r="H4421" s="350">
        <f>IF(G4421="Sim",IF(OR(F4421="",D4421="",L4421=""),"",IF(L4421="Sim",ROUND(F4421-D4421,2),0)),0)</f>
        <v/>
      </c>
      <c r="I4421" s="350">
        <f>IF(G4421="Sim",0,IF(OR(F4421="",L4421=""),"",F4421))</f>
        <v/>
      </c>
      <c r="J4421" s="350">
        <f>IF(G4421="Sim",0,IF(OR(F4421="",D4421="",L4421=""),"",IF(L4421="Sim",ROUND(F4421-D4421,2),0)))</f>
        <v/>
      </c>
      <c r="K4421" s="97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inlineStr">
        <is>
          <t>Nao</t>
        </is>
      </c>
      <c r="W4421" s="110" t="inlineStr">
        <is>
          <t>PC em analise</t>
        </is>
      </c>
      <c r="X4421" s="110" t="inlineStr">
        <is>
          <t>Pedido de Compra</t>
        </is>
      </c>
      <c r="Y4421" s="111" t="inlineStr">
        <is>
          <t>Impacto Potencial</t>
        </is>
      </c>
      <c r="Z4421" s="111" t="inlineStr">
        <is>
          <t>PC</t>
        </is>
      </c>
      <c r="AA4421" s="111" t="inlineStr">
        <is>
          <t>Nao</t>
        </is>
      </c>
      <c r="AB4421" s="111" t="inlineStr">
        <is>
          <t>NAO_COMPUTADO</t>
        </is>
      </c>
      <c r="AC4421" s="112" t="inlineStr">
        <is>
          <t>Estrutura Fase 1: sem impacto no VTA oficial</t>
        </is>
      </c>
    </row>
    <row r="4422" ht="25.5" customHeight="1" s="289">
      <c r="A4422" s="205" t="n"/>
      <c r="B4422" s="207" t="n"/>
      <c r="C4422" s="104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348" t="n"/>
      <c r="E4422" s="349">
        <f>IF(C4422="","",IFERROR(VLOOKUP(C4422,parametros!$A$11:$E$15,5,0),""))</f>
        <v/>
      </c>
      <c r="F4422" s="335">
        <f>IF(OR(D4422="",E4422=""),"",ROUND(D4422*E4422,2))</f>
        <v/>
      </c>
      <c r="G4422" s="106" t="n"/>
      <c r="H4422" s="350">
        <f>IF(G4422="Sim",IF(OR(F4422="",D4422="",L4422=""),"",IF(L4422="Sim",ROUND(F4422-D4422,2),0)),0)</f>
        <v/>
      </c>
      <c r="I4422" s="350">
        <f>IF(G4422="Sim",0,IF(OR(F4422="",L4422=""),"",F4422))</f>
        <v/>
      </c>
      <c r="J4422" s="350">
        <f>IF(G4422="Sim",0,IF(OR(F4422="",D4422="",L4422=""),"",IF(L4422="Sim",ROUND(F4422-D4422,2),0)))</f>
        <v/>
      </c>
      <c r="K4422" s="97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inlineStr">
        <is>
          <t>Nao</t>
        </is>
      </c>
      <c r="W4422" s="110" t="inlineStr">
        <is>
          <t>PC em analise</t>
        </is>
      </c>
      <c r="X4422" s="110" t="inlineStr">
        <is>
          <t>Pedido de Compra</t>
        </is>
      </c>
      <c r="Y4422" s="111" t="inlineStr">
        <is>
          <t>Impacto Potencial</t>
        </is>
      </c>
      <c r="Z4422" s="111" t="inlineStr">
        <is>
          <t>PC</t>
        </is>
      </c>
      <c r="AA4422" s="111" t="inlineStr">
        <is>
          <t>Nao</t>
        </is>
      </c>
      <c r="AB4422" s="111" t="inlineStr">
        <is>
          <t>NAO_COMPUTADO</t>
        </is>
      </c>
      <c r="AC4422" s="112" t="inlineStr">
        <is>
          <t>Estrutura Fase 1: sem impacto no VTA oficial</t>
        </is>
      </c>
    </row>
    <row r="4423" ht="25.5" customHeight="1" s="289">
      <c r="A4423" s="205" t="n"/>
      <c r="B4423" s="207" t="n"/>
      <c r="C4423" s="104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348" t="n"/>
      <c r="E4423" s="349">
        <f>IF(C4423="","",IFERROR(VLOOKUP(C4423,parametros!$A$11:$E$15,5,0),""))</f>
        <v/>
      </c>
      <c r="F4423" s="335">
        <f>IF(OR(D4423="",E4423=""),"",ROUND(D4423*E4423,2))</f>
        <v/>
      </c>
      <c r="G4423" s="106" t="n"/>
      <c r="H4423" s="350">
        <f>IF(G4423="Sim",IF(OR(F4423="",D4423="",L4423=""),"",IF(L4423="Sim",ROUND(F4423-D4423,2),0)),0)</f>
        <v/>
      </c>
      <c r="I4423" s="350">
        <f>IF(G4423="Sim",0,IF(OR(F4423="",L4423=""),"",F4423))</f>
        <v/>
      </c>
      <c r="J4423" s="350">
        <f>IF(G4423="Sim",0,IF(OR(F4423="",D4423="",L4423=""),"",IF(L4423="Sim",ROUND(F4423-D4423,2),0)))</f>
        <v/>
      </c>
      <c r="K4423" s="97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inlineStr">
        <is>
          <t>Nao</t>
        </is>
      </c>
      <c r="W4423" s="110" t="inlineStr">
        <is>
          <t>PC em analise</t>
        </is>
      </c>
      <c r="X4423" s="110" t="inlineStr">
        <is>
          <t>Pedido de Compra</t>
        </is>
      </c>
      <c r="Y4423" s="111" t="inlineStr">
        <is>
          <t>Impacto Potencial</t>
        </is>
      </c>
      <c r="Z4423" s="111" t="inlineStr">
        <is>
          <t>PC</t>
        </is>
      </c>
      <c r="AA4423" s="111" t="inlineStr">
        <is>
          <t>Nao</t>
        </is>
      </c>
      <c r="AB4423" s="111" t="inlineStr">
        <is>
          <t>NAO_COMPUTADO</t>
        </is>
      </c>
      <c r="AC4423" s="112" t="inlineStr">
        <is>
          <t>Estrutura Fase 1: sem impacto no VTA oficial</t>
        </is>
      </c>
    </row>
    <row r="4424" ht="25.5" customHeight="1" s="289">
      <c r="A4424" s="205" t="n"/>
      <c r="B4424" s="207" t="n"/>
      <c r="C4424" s="104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348" t="n"/>
      <c r="E4424" s="349">
        <f>IF(C4424="","",IFERROR(VLOOKUP(C4424,parametros!$A$11:$E$15,5,0),""))</f>
        <v/>
      </c>
      <c r="F4424" s="335">
        <f>IF(OR(D4424="",E4424=""),"",ROUND(D4424*E4424,2))</f>
        <v/>
      </c>
      <c r="G4424" s="106" t="n"/>
      <c r="H4424" s="350">
        <f>IF(G4424="Sim",IF(OR(F4424="",D4424="",L4424=""),"",IF(L4424="Sim",ROUND(F4424-D4424,2),0)),0)</f>
        <v/>
      </c>
      <c r="I4424" s="350">
        <f>IF(G4424="Sim",0,IF(OR(F4424="",L4424=""),"",F4424))</f>
        <v/>
      </c>
      <c r="J4424" s="350">
        <f>IF(G4424="Sim",0,IF(OR(F4424="",D4424="",L4424=""),"",IF(L4424="Sim",ROUND(F4424-D4424,2),0)))</f>
        <v/>
      </c>
      <c r="K4424" s="97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inlineStr">
        <is>
          <t>Nao</t>
        </is>
      </c>
      <c r="W4424" s="110" t="inlineStr">
        <is>
          <t>PC em analise</t>
        </is>
      </c>
      <c r="X4424" s="110" t="inlineStr">
        <is>
          <t>Pedido de Compra</t>
        </is>
      </c>
      <c r="Y4424" s="111" t="inlineStr">
        <is>
          <t>Impacto Potencial</t>
        </is>
      </c>
      <c r="Z4424" s="111" t="inlineStr">
        <is>
          <t>PC</t>
        </is>
      </c>
      <c r="AA4424" s="111" t="inlineStr">
        <is>
          <t>Nao</t>
        </is>
      </c>
      <c r="AB4424" s="111" t="inlineStr">
        <is>
          <t>NAO_COMPUTADO</t>
        </is>
      </c>
      <c r="AC4424" s="112" t="inlineStr">
        <is>
          <t>Estrutura Fase 1: sem impacto no VTA oficial</t>
        </is>
      </c>
    </row>
    <row r="4425" ht="25.5" customHeight="1" s="289">
      <c r="A4425" s="205" t="n"/>
      <c r="B4425" s="207" t="n"/>
      <c r="C4425" s="104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348" t="n"/>
      <c r="E4425" s="349">
        <f>IF(C4425="","",IFERROR(VLOOKUP(C4425,parametros!$A$11:$E$15,5,0),""))</f>
        <v/>
      </c>
      <c r="F4425" s="335">
        <f>IF(OR(D4425="",E4425=""),"",ROUND(D4425*E4425,2))</f>
        <v/>
      </c>
      <c r="G4425" s="106" t="n"/>
      <c r="H4425" s="350">
        <f>IF(G4425="Sim",IF(OR(F4425="",D4425="",L4425=""),"",IF(L4425="Sim",ROUND(F4425-D4425,2),0)),0)</f>
        <v/>
      </c>
      <c r="I4425" s="350">
        <f>IF(G4425="Sim",0,IF(OR(F4425="",L4425=""),"",F4425))</f>
        <v/>
      </c>
      <c r="J4425" s="350">
        <f>IF(G4425="Sim",0,IF(OR(F4425="",D4425="",L4425=""),"",IF(L4425="Sim",ROUND(F4425-D4425,2),0)))</f>
        <v/>
      </c>
      <c r="K4425" s="97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inlineStr">
        <is>
          <t>Nao</t>
        </is>
      </c>
      <c r="W4425" s="110" t="inlineStr">
        <is>
          <t>PC em analise</t>
        </is>
      </c>
      <c r="X4425" s="110" t="inlineStr">
        <is>
          <t>Pedido de Compra</t>
        </is>
      </c>
      <c r="Y4425" s="111" t="inlineStr">
        <is>
          <t>Impacto Potencial</t>
        </is>
      </c>
      <c r="Z4425" s="111" t="inlineStr">
        <is>
          <t>PC</t>
        </is>
      </c>
      <c r="AA4425" s="111" t="inlineStr">
        <is>
          <t>Nao</t>
        </is>
      </c>
      <c r="AB4425" s="111" t="inlineStr">
        <is>
          <t>NAO_COMPUTADO</t>
        </is>
      </c>
      <c r="AC4425" s="112" t="inlineStr">
        <is>
          <t>Estrutura Fase 1: sem impacto no VTA oficial</t>
        </is>
      </c>
    </row>
    <row r="4426" ht="25.5" customHeight="1" s="289">
      <c r="A4426" s="205" t="n"/>
      <c r="B4426" s="207" t="n"/>
      <c r="C4426" s="104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348" t="n"/>
      <c r="E4426" s="349">
        <f>IF(C4426="","",IFERROR(VLOOKUP(C4426,parametros!$A$11:$E$15,5,0),""))</f>
        <v/>
      </c>
      <c r="F4426" s="335">
        <f>IF(OR(D4426="",E4426=""),"",ROUND(D4426*E4426,2))</f>
        <v/>
      </c>
      <c r="G4426" s="106" t="n"/>
      <c r="H4426" s="350">
        <f>IF(G4426="Sim",IF(OR(F4426="",D4426="",L4426=""),"",IF(L4426="Sim",ROUND(F4426-D4426,2),0)),0)</f>
        <v/>
      </c>
      <c r="I4426" s="350">
        <f>IF(G4426="Sim",0,IF(OR(F4426="",L4426=""),"",F4426))</f>
        <v/>
      </c>
      <c r="J4426" s="350">
        <f>IF(G4426="Sim",0,IF(OR(F4426="",D4426="",L4426=""),"",IF(L4426="Sim",ROUND(F4426-D4426,2),0)))</f>
        <v/>
      </c>
      <c r="K4426" s="97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inlineStr">
        <is>
          <t>Nao</t>
        </is>
      </c>
      <c r="W4426" s="110" t="inlineStr">
        <is>
          <t>PC em analise</t>
        </is>
      </c>
      <c r="X4426" s="110" t="inlineStr">
        <is>
          <t>Pedido de Compra</t>
        </is>
      </c>
      <c r="Y4426" s="111" t="inlineStr">
        <is>
          <t>Impacto Potencial</t>
        </is>
      </c>
      <c r="Z4426" s="111" t="inlineStr">
        <is>
          <t>PC</t>
        </is>
      </c>
      <c r="AA4426" s="111" t="inlineStr">
        <is>
          <t>Nao</t>
        </is>
      </c>
      <c r="AB4426" s="111" t="inlineStr">
        <is>
          <t>NAO_COMPUTADO</t>
        </is>
      </c>
      <c r="AC4426" s="112" t="inlineStr">
        <is>
          <t>Estrutura Fase 1: sem impacto no VTA oficial</t>
        </is>
      </c>
    </row>
    <row r="4427" ht="25.5" customHeight="1" s="289">
      <c r="A4427" s="205" t="n"/>
      <c r="B4427" s="207" t="n"/>
      <c r="C4427" s="104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348" t="n"/>
      <c r="E4427" s="349">
        <f>IF(C4427="","",IFERROR(VLOOKUP(C4427,parametros!$A$11:$E$15,5,0),""))</f>
        <v/>
      </c>
      <c r="F4427" s="335">
        <f>IF(OR(D4427="",E4427=""),"",ROUND(D4427*E4427,2))</f>
        <v/>
      </c>
      <c r="G4427" s="106" t="n"/>
      <c r="H4427" s="350">
        <f>IF(G4427="Sim",IF(OR(F4427="",D4427="",L4427=""),"",IF(L4427="Sim",ROUND(F4427-D4427,2),0)),0)</f>
        <v/>
      </c>
      <c r="I4427" s="350">
        <f>IF(G4427="Sim",0,IF(OR(F4427="",L4427=""),"",F4427))</f>
        <v/>
      </c>
      <c r="J4427" s="350">
        <f>IF(G4427="Sim",0,IF(OR(F4427="",D4427="",L4427=""),"",IF(L4427="Sim",ROUND(F4427-D4427,2),0)))</f>
        <v/>
      </c>
      <c r="K4427" s="97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inlineStr">
        <is>
          <t>Nao</t>
        </is>
      </c>
      <c r="W4427" s="110" t="inlineStr">
        <is>
          <t>PC em analise</t>
        </is>
      </c>
      <c r="X4427" s="110" t="inlineStr">
        <is>
          <t>Pedido de Compra</t>
        </is>
      </c>
      <c r="Y4427" s="111" t="inlineStr">
        <is>
          <t>Impacto Potencial</t>
        </is>
      </c>
      <c r="Z4427" s="111" t="inlineStr">
        <is>
          <t>PC</t>
        </is>
      </c>
      <c r="AA4427" s="111" t="inlineStr">
        <is>
          <t>Nao</t>
        </is>
      </c>
      <c r="AB4427" s="111" t="inlineStr">
        <is>
          <t>NAO_COMPUTADO</t>
        </is>
      </c>
      <c r="AC4427" s="112" t="inlineStr">
        <is>
          <t>Estrutura Fase 1: sem impacto no VTA oficial</t>
        </is>
      </c>
    </row>
    <row r="4428" ht="25.5" customHeight="1" s="289">
      <c r="A4428" s="205" t="n"/>
      <c r="B4428" s="207" t="n"/>
      <c r="C4428" s="104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348" t="n"/>
      <c r="E4428" s="349">
        <f>IF(C4428="","",IFERROR(VLOOKUP(C4428,parametros!$A$11:$E$15,5,0),""))</f>
        <v/>
      </c>
      <c r="F4428" s="335">
        <f>IF(OR(D4428="",E4428=""),"",ROUND(D4428*E4428,2))</f>
        <v/>
      </c>
      <c r="G4428" s="106" t="n"/>
      <c r="H4428" s="350">
        <f>IF(G4428="Sim",IF(OR(F4428="",D4428="",L4428=""),"",IF(L4428="Sim",ROUND(F4428-D4428,2),0)),0)</f>
        <v/>
      </c>
      <c r="I4428" s="350">
        <f>IF(G4428="Sim",0,IF(OR(F4428="",L4428=""),"",F4428))</f>
        <v/>
      </c>
      <c r="J4428" s="350">
        <f>IF(G4428="Sim",0,IF(OR(F4428="",D4428="",L4428=""),"",IF(L4428="Sim",ROUND(F4428-D4428,2),0)))</f>
        <v/>
      </c>
      <c r="K4428" s="97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inlineStr">
        <is>
          <t>Nao</t>
        </is>
      </c>
      <c r="W4428" s="110" t="inlineStr">
        <is>
          <t>PC em analise</t>
        </is>
      </c>
      <c r="X4428" s="110" t="inlineStr">
        <is>
          <t>Pedido de Compra</t>
        </is>
      </c>
      <c r="Y4428" s="111" t="inlineStr">
        <is>
          <t>Impacto Potencial</t>
        </is>
      </c>
      <c r="Z4428" s="111" t="inlineStr">
        <is>
          <t>PC</t>
        </is>
      </c>
      <c r="AA4428" s="111" t="inlineStr">
        <is>
          <t>Nao</t>
        </is>
      </c>
      <c r="AB4428" s="111" t="inlineStr">
        <is>
          <t>NAO_COMPUTADO</t>
        </is>
      </c>
      <c r="AC4428" s="112" t="inlineStr">
        <is>
          <t>Estrutura Fase 1: sem impacto no VTA oficial</t>
        </is>
      </c>
    </row>
    <row r="4429" ht="25.5" customHeight="1" s="289">
      <c r="A4429" s="205" t="n"/>
      <c r="B4429" s="207" t="n"/>
      <c r="C4429" s="104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348" t="n"/>
      <c r="E4429" s="349">
        <f>IF(C4429="","",IFERROR(VLOOKUP(C4429,parametros!$A$11:$E$15,5,0),""))</f>
        <v/>
      </c>
      <c r="F4429" s="335">
        <f>IF(OR(D4429="",E4429=""),"",ROUND(D4429*E4429,2))</f>
        <v/>
      </c>
      <c r="G4429" s="106" t="n"/>
      <c r="H4429" s="350">
        <f>IF(G4429="Sim",IF(OR(F4429="",D4429="",L4429=""),"",IF(L4429="Sim",ROUND(F4429-D4429,2),0)),0)</f>
        <v/>
      </c>
      <c r="I4429" s="350">
        <f>IF(G4429="Sim",0,IF(OR(F4429="",L4429=""),"",F4429))</f>
        <v/>
      </c>
      <c r="J4429" s="350">
        <f>IF(G4429="Sim",0,IF(OR(F4429="",D4429="",L4429=""),"",IF(L4429="Sim",ROUND(F4429-D4429,2),0)))</f>
        <v/>
      </c>
      <c r="K4429" s="97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inlineStr">
        <is>
          <t>Nao</t>
        </is>
      </c>
      <c r="W4429" s="110" t="inlineStr">
        <is>
          <t>PC em analise</t>
        </is>
      </c>
      <c r="X4429" s="110" t="inlineStr">
        <is>
          <t>Pedido de Compra</t>
        </is>
      </c>
      <c r="Y4429" s="111" t="inlineStr">
        <is>
          <t>Impacto Potencial</t>
        </is>
      </c>
      <c r="Z4429" s="111" t="inlineStr">
        <is>
          <t>PC</t>
        </is>
      </c>
      <c r="AA4429" s="111" t="inlineStr">
        <is>
          <t>Nao</t>
        </is>
      </c>
      <c r="AB4429" s="111" t="inlineStr">
        <is>
          <t>NAO_COMPUTADO</t>
        </is>
      </c>
      <c r="AC4429" s="112" t="inlineStr">
        <is>
          <t>Estrutura Fase 1: sem impacto no VTA oficial</t>
        </is>
      </c>
    </row>
    <row r="4430" ht="25.5" customHeight="1" s="289">
      <c r="A4430" s="205" t="n"/>
      <c r="B4430" s="207" t="n"/>
      <c r="C4430" s="104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348" t="n"/>
      <c r="E4430" s="349">
        <f>IF(C4430="","",IFERROR(VLOOKUP(C4430,parametros!$A$11:$E$15,5,0),""))</f>
        <v/>
      </c>
      <c r="F4430" s="335">
        <f>IF(OR(D4430="",E4430=""),"",ROUND(D4430*E4430,2))</f>
        <v/>
      </c>
      <c r="G4430" s="106" t="n"/>
      <c r="H4430" s="350">
        <f>IF(G4430="Sim",IF(OR(F4430="",D4430="",L4430=""),"",IF(L4430="Sim",ROUND(F4430-D4430,2),0)),0)</f>
        <v/>
      </c>
      <c r="I4430" s="350">
        <f>IF(G4430="Sim",0,IF(OR(F4430="",L4430=""),"",F4430))</f>
        <v/>
      </c>
      <c r="J4430" s="350">
        <f>IF(G4430="Sim",0,IF(OR(F4430="",D4430="",L4430=""),"",IF(L4430="Sim",ROUND(F4430-D4430,2),0)))</f>
        <v/>
      </c>
      <c r="K4430" s="97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inlineStr">
        <is>
          <t>Nao</t>
        </is>
      </c>
      <c r="W4430" s="110" t="inlineStr">
        <is>
          <t>PC em analise</t>
        </is>
      </c>
      <c r="X4430" s="110" t="inlineStr">
        <is>
          <t>Pedido de Compra</t>
        </is>
      </c>
      <c r="Y4430" s="111" t="inlineStr">
        <is>
          <t>Impacto Potencial</t>
        </is>
      </c>
      <c r="Z4430" s="111" t="inlineStr">
        <is>
          <t>PC</t>
        </is>
      </c>
      <c r="AA4430" s="111" t="inlineStr">
        <is>
          <t>Nao</t>
        </is>
      </c>
      <c r="AB4430" s="111" t="inlineStr">
        <is>
          <t>NAO_COMPUTADO</t>
        </is>
      </c>
      <c r="AC4430" s="112" t="inlineStr">
        <is>
          <t>Estrutura Fase 1: sem impacto no VTA oficial</t>
        </is>
      </c>
    </row>
    <row r="4431" ht="25.5" customHeight="1" s="289">
      <c r="A4431" s="205" t="n"/>
      <c r="B4431" s="207" t="n"/>
      <c r="C4431" s="104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348" t="n"/>
      <c r="E4431" s="349">
        <f>IF(C4431="","",IFERROR(VLOOKUP(C4431,parametros!$A$11:$E$15,5,0),""))</f>
        <v/>
      </c>
      <c r="F4431" s="335">
        <f>IF(OR(D4431="",E4431=""),"",ROUND(D4431*E4431,2))</f>
        <v/>
      </c>
      <c r="G4431" s="106" t="n"/>
      <c r="H4431" s="350">
        <f>IF(G4431="Sim",IF(OR(F4431="",D4431="",L4431=""),"",IF(L4431="Sim",ROUND(F4431-D4431,2),0)),0)</f>
        <v/>
      </c>
      <c r="I4431" s="350">
        <f>IF(G4431="Sim",0,IF(OR(F4431="",L4431=""),"",F4431))</f>
        <v/>
      </c>
      <c r="J4431" s="350">
        <f>IF(G4431="Sim",0,IF(OR(F4431="",D4431="",L4431=""),"",IF(L4431="Sim",ROUND(F4431-D4431,2),0)))</f>
        <v/>
      </c>
      <c r="K4431" s="97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inlineStr">
        <is>
          <t>Nao</t>
        </is>
      </c>
      <c r="W4431" s="110" t="inlineStr">
        <is>
          <t>PC em analise</t>
        </is>
      </c>
      <c r="X4431" s="110" t="inlineStr">
        <is>
          <t>Pedido de Compra</t>
        </is>
      </c>
      <c r="Y4431" s="111" t="inlineStr">
        <is>
          <t>Impacto Potencial</t>
        </is>
      </c>
      <c r="Z4431" s="111" t="inlineStr">
        <is>
          <t>PC</t>
        </is>
      </c>
      <c r="AA4431" s="111" t="inlineStr">
        <is>
          <t>Nao</t>
        </is>
      </c>
      <c r="AB4431" s="111" t="inlineStr">
        <is>
          <t>NAO_COMPUTADO</t>
        </is>
      </c>
      <c r="AC4431" s="112" t="inlineStr">
        <is>
          <t>Estrutura Fase 1: sem impacto no VTA oficial</t>
        </is>
      </c>
    </row>
    <row r="4432" ht="25.5" customHeight="1" s="289">
      <c r="A4432" s="205" t="n"/>
      <c r="B4432" s="207" t="n"/>
      <c r="C4432" s="104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348" t="n"/>
      <c r="E4432" s="349">
        <f>IF(C4432="","",IFERROR(VLOOKUP(C4432,parametros!$A$11:$E$15,5,0),""))</f>
        <v/>
      </c>
      <c r="F4432" s="335">
        <f>IF(OR(D4432="",E4432=""),"",ROUND(D4432*E4432,2))</f>
        <v/>
      </c>
      <c r="G4432" s="106" t="n"/>
      <c r="H4432" s="350">
        <f>IF(G4432="Sim",IF(OR(F4432="",D4432="",L4432=""),"",IF(L4432="Sim",ROUND(F4432-D4432,2),0)),0)</f>
        <v/>
      </c>
      <c r="I4432" s="350">
        <f>IF(G4432="Sim",0,IF(OR(F4432="",L4432=""),"",F4432))</f>
        <v/>
      </c>
      <c r="J4432" s="350">
        <f>IF(G4432="Sim",0,IF(OR(F4432="",D4432="",L4432=""),"",IF(L4432="Sim",ROUND(F4432-D4432,2),0)))</f>
        <v/>
      </c>
      <c r="K4432" s="97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inlineStr">
        <is>
          <t>Nao</t>
        </is>
      </c>
      <c r="W4432" s="110" t="inlineStr">
        <is>
          <t>PC em analise</t>
        </is>
      </c>
      <c r="X4432" s="110" t="inlineStr">
        <is>
          <t>Pedido de Compra</t>
        </is>
      </c>
      <c r="Y4432" s="111" t="inlineStr">
        <is>
          <t>Impacto Potencial</t>
        </is>
      </c>
      <c r="Z4432" s="111" t="inlineStr">
        <is>
          <t>PC</t>
        </is>
      </c>
      <c r="AA4432" s="111" t="inlineStr">
        <is>
          <t>Nao</t>
        </is>
      </c>
      <c r="AB4432" s="111" t="inlineStr">
        <is>
          <t>NAO_COMPUTADO</t>
        </is>
      </c>
      <c r="AC4432" s="112" t="inlineStr">
        <is>
          <t>Estrutura Fase 1: sem impacto no VTA oficial</t>
        </is>
      </c>
    </row>
    <row r="4433" ht="25.5" customHeight="1" s="289">
      <c r="A4433" s="205" t="n"/>
      <c r="B4433" s="207" t="n"/>
      <c r="C4433" s="104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348" t="n"/>
      <c r="E4433" s="349">
        <f>IF(C4433="","",IFERROR(VLOOKUP(C4433,parametros!$A$11:$E$15,5,0),""))</f>
        <v/>
      </c>
      <c r="F4433" s="335">
        <f>IF(OR(D4433="",E4433=""),"",ROUND(D4433*E4433,2))</f>
        <v/>
      </c>
      <c r="G4433" s="106" t="n"/>
      <c r="H4433" s="350">
        <f>IF(G4433="Sim",IF(OR(F4433="",D4433="",L4433=""),"",IF(L4433="Sim",ROUND(F4433-D4433,2),0)),0)</f>
        <v/>
      </c>
      <c r="I4433" s="350">
        <f>IF(G4433="Sim",0,IF(OR(F4433="",L4433=""),"",F4433))</f>
        <v/>
      </c>
      <c r="J4433" s="350">
        <f>IF(G4433="Sim",0,IF(OR(F4433="",D4433="",L4433=""),"",IF(L4433="Sim",ROUND(F4433-D4433,2),0)))</f>
        <v/>
      </c>
      <c r="K4433" s="97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inlineStr">
        <is>
          <t>Nao</t>
        </is>
      </c>
      <c r="W4433" s="110" t="inlineStr">
        <is>
          <t>PC em analise</t>
        </is>
      </c>
      <c r="X4433" s="110" t="inlineStr">
        <is>
          <t>Pedido de Compra</t>
        </is>
      </c>
      <c r="Y4433" s="111" t="inlineStr">
        <is>
          <t>Impacto Potencial</t>
        </is>
      </c>
      <c r="Z4433" s="111" t="inlineStr">
        <is>
          <t>PC</t>
        </is>
      </c>
      <c r="AA4433" s="111" t="inlineStr">
        <is>
          <t>Nao</t>
        </is>
      </c>
      <c r="AB4433" s="111" t="inlineStr">
        <is>
          <t>NAO_COMPUTADO</t>
        </is>
      </c>
      <c r="AC4433" s="112" t="inlineStr">
        <is>
          <t>Estrutura Fase 1: sem impacto no VTA oficial</t>
        </is>
      </c>
    </row>
    <row r="4434" ht="25.5" customHeight="1" s="289">
      <c r="A4434" s="205" t="n"/>
      <c r="B4434" s="207" t="n"/>
      <c r="C4434" s="104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348" t="n"/>
      <c r="E4434" s="349">
        <f>IF(C4434="","",IFERROR(VLOOKUP(C4434,parametros!$A$11:$E$15,5,0),""))</f>
        <v/>
      </c>
      <c r="F4434" s="335">
        <f>IF(OR(D4434="",E4434=""),"",ROUND(D4434*E4434,2))</f>
        <v/>
      </c>
      <c r="G4434" s="106" t="n"/>
      <c r="H4434" s="350">
        <f>IF(G4434="Sim",IF(OR(F4434="",D4434="",L4434=""),"",IF(L4434="Sim",ROUND(F4434-D4434,2),0)),0)</f>
        <v/>
      </c>
      <c r="I4434" s="350">
        <f>IF(G4434="Sim",0,IF(OR(F4434="",L4434=""),"",F4434))</f>
        <v/>
      </c>
      <c r="J4434" s="350">
        <f>IF(G4434="Sim",0,IF(OR(F4434="",D4434="",L4434=""),"",IF(L4434="Sim",ROUND(F4434-D4434,2),0)))</f>
        <v/>
      </c>
      <c r="K4434" s="97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inlineStr">
        <is>
          <t>Nao</t>
        </is>
      </c>
      <c r="W4434" s="110" t="inlineStr">
        <is>
          <t>PC em analise</t>
        </is>
      </c>
      <c r="X4434" s="110" t="inlineStr">
        <is>
          <t>Pedido de Compra</t>
        </is>
      </c>
      <c r="Y4434" s="111" t="inlineStr">
        <is>
          <t>Impacto Potencial</t>
        </is>
      </c>
      <c r="Z4434" s="111" t="inlineStr">
        <is>
          <t>PC</t>
        </is>
      </c>
      <c r="AA4434" s="111" t="inlineStr">
        <is>
          <t>Nao</t>
        </is>
      </c>
      <c r="AB4434" s="111" t="inlineStr">
        <is>
          <t>NAO_COMPUTADO</t>
        </is>
      </c>
      <c r="AC4434" s="112" t="inlineStr">
        <is>
          <t>Estrutura Fase 1: sem impacto no VTA oficial</t>
        </is>
      </c>
    </row>
    <row r="4435" ht="25.5" customHeight="1" s="289">
      <c r="A4435" s="205" t="n"/>
      <c r="B4435" s="207" t="n"/>
      <c r="C4435" s="104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348" t="n"/>
      <c r="E4435" s="349">
        <f>IF(C4435="","",IFERROR(VLOOKUP(C4435,parametros!$A$11:$E$15,5,0),""))</f>
        <v/>
      </c>
      <c r="F4435" s="335">
        <f>IF(OR(D4435="",E4435=""),"",ROUND(D4435*E4435,2))</f>
        <v/>
      </c>
      <c r="G4435" s="106" t="n"/>
      <c r="H4435" s="350">
        <f>IF(G4435="Sim",IF(OR(F4435="",D4435="",L4435=""),"",IF(L4435="Sim",ROUND(F4435-D4435,2),0)),0)</f>
        <v/>
      </c>
      <c r="I4435" s="350">
        <f>IF(G4435="Sim",0,IF(OR(F4435="",L4435=""),"",F4435))</f>
        <v/>
      </c>
      <c r="J4435" s="350">
        <f>IF(G4435="Sim",0,IF(OR(F4435="",D4435="",L4435=""),"",IF(L4435="Sim",ROUND(F4435-D4435,2),0)))</f>
        <v/>
      </c>
      <c r="K4435" s="97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inlineStr">
        <is>
          <t>Nao</t>
        </is>
      </c>
      <c r="W4435" s="110" t="inlineStr">
        <is>
          <t>PC em analise</t>
        </is>
      </c>
      <c r="X4435" s="110" t="inlineStr">
        <is>
          <t>Pedido de Compra</t>
        </is>
      </c>
      <c r="Y4435" s="111" t="inlineStr">
        <is>
          <t>Impacto Potencial</t>
        </is>
      </c>
      <c r="Z4435" s="111" t="inlineStr">
        <is>
          <t>PC</t>
        </is>
      </c>
      <c r="AA4435" s="111" t="inlineStr">
        <is>
          <t>Nao</t>
        </is>
      </c>
      <c r="AB4435" s="111" t="inlineStr">
        <is>
          <t>NAO_COMPUTADO</t>
        </is>
      </c>
      <c r="AC4435" s="112" t="inlineStr">
        <is>
          <t>Estrutura Fase 1: sem impacto no VTA oficial</t>
        </is>
      </c>
    </row>
    <row r="4436" ht="25.5" customHeight="1" s="289">
      <c r="A4436" s="205" t="n"/>
      <c r="B4436" s="207" t="n"/>
      <c r="C4436" s="104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348" t="n"/>
      <c r="E4436" s="349">
        <f>IF(C4436="","",IFERROR(VLOOKUP(C4436,parametros!$A$11:$E$15,5,0),""))</f>
        <v/>
      </c>
      <c r="F4436" s="335">
        <f>IF(OR(D4436="",E4436=""),"",ROUND(D4436*E4436,2))</f>
        <v/>
      </c>
      <c r="G4436" s="106" t="n"/>
      <c r="H4436" s="350">
        <f>IF(G4436="Sim",IF(OR(F4436="",D4436="",L4436=""),"",IF(L4436="Sim",ROUND(F4436-D4436,2),0)),0)</f>
        <v/>
      </c>
      <c r="I4436" s="350">
        <f>IF(G4436="Sim",0,IF(OR(F4436="",L4436=""),"",F4436))</f>
        <v/>
      </c>
      <c r="J4436" s="350">
        <f>IF(G4436="Sim",0,IF(OR(F4436="",D4436="",L4436=""),"",IF(L4436="Sim",ROUND(F4436-D4436,2),0)))</f>
        <v/>
      </c>
      <c r="K4436" s="97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inlineStr">
        <is>
          <t>Nao</t>
        </is>
      </c>
      <c r="W4436" s="110" t="inlineStr">
        <is>
          <t>PC em analise</t>
        </is>
      </c>
      <c r="X4436" s="110" t="inlineStr">
        <is>
          <t>Pedido de Compra</t>
        </is>
      </c>
      <c r="Y4436" s="111" t="inlineStr">
        <is>
          <t>Impacto Potencial</t>
        </is>
      </c>
      <c r="Z4436" s="111" t="inlineStr">
        <is>
          <t>PC</t>
        </is>
      </c>
      <c r="AA4436" s="111" t="inlineStr">
        <is>
          <t>Nao</t>
        </is>
      </c>
      <c r="AB4436" s="111" t="inlineStr">
        <is>
          <t>NAO_COMPUTADO</t>
        </is>
      </c>
      <c r="AC4436" s="112" t="inlineStr">
        <is>
          <t>Estrutura Fase 1: sem impacto no VTA oficial</t>
        </is>
      </c>
    </row>
    <row r="4437" ht="25.5" customHeight="1" s="289">
      <c r="A4437" s="205" t="n"/>
      <c r="B4437" s="207" t="n"/>
      <c r="C4437" s="104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348" t="n"/>
      <c r="E4437" s="349">
        <f>IF(C4437="","",IFERROR(VLOOKUP(C4437,parametros!$A$11:$E$15,5,0),""))</f>
        <v/>
      </c>
      <c r="F4437" s="335">
        <f>IF(OR(D4437="",E4437=""),"",ROUND(D4437*E4437,2))</f>
        <v/>
      </c>
      <c r="G4437" s="106" t="n"/>
      <c r="H4437" s="350">
        <f>IF(G4437="Sim",IF(OR(F4437="",D4437="",L4437=""),"",IF(L4437="Sim",ROUND(F4437-D4437,2),0)),0)</f>
        <v/>
      </c>
      <c r="I4437" s="350">
        <f>IF(G4437="Sim",0,IF(OR(F4437="",L4437=""),"",F4437))</f>
        <v/>
      </c>
      <c r="J4437" s="350">
        <f>IF(G4437="Sim",0,IF(OR(F4437="",D4437="",L4437=""),"",IF(L4437="Sim",ROUND(F4437-D4437,2),0)))</f>
        <v/>
      </c>
      <c r="K4437" s="97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inlineStr">
        <is>
          <t>Nao</t>
        </is>
      </c>
      <c r="W4437" s="110" t="inlineStr">
        <is>
          <t>PC em analise</t>
        </is>
      </c>
      <c r="X4437" s="110" t="inlineStr">
        <is>
          <t>Pedido de Compra</t>
        </is>
      </c>
      <c r="Y4437" s="111" t="inlineStr">
        <is>
          <t>Impacto Potencial</t>
        </is>
      </c>
      <c r="Z4437" s="111" t="inlineStr">
        <is>
          <t>PC</t>
        </is>
      </c>
      <c r="AA4437" s="111" t="inlineStr">
        <is>
          <t>Nao</t>
        </is>
      </c>
      <c r="AB4437" s="111" t="inlineStr">
        <is>
          <t>NAO_COMPUTADO</t>
        </is>
      </c>
      <c r="AC4437" s="112" t="inlineStr">
        <is>
          <t>Estrutura Fase 1: sem impacto no VTA oficial</t>
        </is>
      </c>
    </row>
    <row r="4438" ht="25.5" customHeight="1" s="289">
      <c r="A4438" s="205" t="n"/>
      <c r="B4438" s="207" t="n"/>
      <c r="C4438" s="104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348" t="n"/>
      <c r="E4438" s="349">
        <f>IF(C4438="","",IFERROR(VLOOKUP(C4438,parametros!$A$11:$E$15,5,0),""))</f>
        <v/>
      </c>
      <c r="F4438" s="335">
        <f>IF(OR(D4438="",E4438=""),"",ROUND(D4438*E4438,2))</f>
        <v/>
      </c>
      <c r="G4438" s="106" t="n"/>
      <c r="H4438" s="350">
        <f>IF(G4438="Sim",IF(OR(F4438="",D4438="",L4438=""),"",IF(L4438="Sim",ROUND(F4438-D4438,2),0)),0)</f>
        <v/>
      </c>
      <c r="I4438" s="350">
        <f>IF(G4438="Sim",0,IF(OR(F4438="",L4438=""),"",F4438))</f>
        <v/>
      </c>
      <c r="J4438" s="350">
        <f>IF(G4438="Sim",0,IF(OR(F4438="",D4438="",L4438=""),"",IF(L4438="Sim",ROUND(F4438-D4438,2),0)))</f>
        <v/>
      </c>
      <c r="K4438" s="97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inlineStr">
        <is>
          <t>Nao</t>
        </is>
      </c>
      <c r="W4438" s="110" t="inlineStr">
        <is>
          <t>PC em analise</t>
        </is>
      </c>
      <c r="X4438" s="110" t="inlineStr">
        <is>
          <t>Pedido de Compra</t>
        </is>
      </c>
      <c r="Y4438" s="111" t="inlineStr">
        <is>
          <t>Impacto Potencial</t>
        </is>
      </c>
      <c r="Z4438" s="111" t="inlineStr">
        <is>
          <t>PC</t>
        </is>
      </c>
      <c r="AA4438" s="111" t="inlineStr">
        <is>
          <t>Nao</t>
        </is>
      </c>
      <c r="AB4438" s="111" t="inlineStr">
        <is>
          <t>NAO_COMPUTADO</t>
        </is>
      </c>
      <c r="AC4438" s="112" t="inlineStr">
        <is>
          <t>Estrutura Fase 1: sem impacto no VTA oficial</t>
        </is>
      </c>
    </row>
    <row r="4439" ht="25.5" customHeight="1" s="289">
      <c r="A4439" s="205" t="n"/>
      <c r="B4439" s="207" t="n"/>
      <c r="C4439" s="104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348" t="n"/>
      <c r="E4439" s="349">
        <f>IF(C4439="","",IFERROR(VLOOKUP(C4439,parametros!$A$11:$E$15,5,0),""))</f>
        <v/>
      </c>
      <c r="F4439" s="335">
        <f>IF(OR(D4439="",E4439=""),"",ROUND(D4439*E4439,2))</f>
        <v/>
      </c>
      <c r="G4439" s="106" t="n"/>
      <c r="H4439" s="350">
        <f>IF(G4439="Sim",IF(OR(F4439="",D4439="",L4439=""),"",IF(L4439="Sim",ROUND(F4439-D4439,2),0)),0)</f>
        <v/>
      </c>
      <c r="I4439" s="350">
        <f>IF(G4439="Sim",0,IF(OR(F4439="",L4439=""),"",F4439))</f>
        <v/>
      </c>
      <c r="J4439" s="350">
        <f>IF(G4439="Sim",0,IF(OR(F4439="",D4439="",L4439=""),"",IF(L4439="Sim",ROUND(F4439-D4439,2),0)))</f>
        <v/>
      </c>
      <c r="K4439" s="97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inlineStr">
        <is>
          <t>Nao</t>
        </is>
      </c>
      <c r="W4439" s="110" t="inlineStr">
        <is>
          <t>PC em analise</t>
        </is>
      </c>
      <c r="X4439" s="110" t="inlineStr">
        <is>
          <t>Pedido de Compra</t>
        </is>
      </c>
      <c r="Y4439" s="111" t="inlineStr">
        <is>
          <t>Impacto Potencial</t>
        </is>
      </c>
      <c r="Z4439" s="111" t="inlineStr">
        <is>
          <t>PC</t>
        </is>
      </c>
      <c r="AA4439" s="111" t="inlineStr">
        <is>
          <t>Nao</t>
        </is>
      </c>
      <c r="AB4439" s="111" t="inlineStr">
        <is>
          <t>NAO_COMPUTADO</t>
        </is>
      </c>
      <c r="AC4439" s="112" t="inlineStr">
        <is>
          <t>Estrutura Fase 1: sem impacto no VTA oficial</t>
        </is>
      </c>
    </row>
    <row r="4440" ht="25.5" customHeight="1" s="289">
      <c r="A4440" s="205" t="n"/>
      <c r="B4440" s="207" t="n"/>
      <c r="C4440" s="104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348" t="n"/>
      <c r="E4440" s="349">
        <f>IF(C4440="","",IFERROR(VLOOKUP(C4440,parametros!$A$11:$E$15,5,0),""))</f>
        <v/>
      </c>
      <c r="F4440" s="335">
        <f>IF(OR(D4440="",E4440=""),"",ROUND(D4440*E4440,2))</f>
        <v/>
      </c>
      <c r="G4440" s="106" t="n"/>
      <c r="H4440" s="350">
        <f>IF(G4440="Sim",IF(OR(F4440="",D4440="",L4440=""),"",IF(L4440="Sim",ROUND(F4440-D4440,2),0)),0)</f>
        <v/>
      </c>
      <c r="I4440" s="350">
        <f>IF(G4440="Sim",0,IF(OR(F4440="",L4440=""),"",F4440))</f>
        <v/>
      </c>
      <c r="J4440" s="350">
        <f>IF(G4440="Sim",0,IF(OR(F4440="",D4440="",L4440=""),"",IF(L4440="Sim",ROUND(F4440-D4440,2),0)))</f>
        <v/>
      </c>
      <c r="K4440" s="97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inlineStr">
        <is>
          <t>Nao</t>
        </is>
      </c>
      <c r="W4440" s="110" t="inlineStr">
        <is>
          <t>PC em analise</t>
        </is>
      </c>
      <c r="X4440" s="110" t="inlineStr">
        <is>
          <t>Pedido de Compra</t>
        </is>
      </c>
      <c r="Y4440" s="111" t="inlineStr">
        <is>
          <t>Impacto Potencial</t>
        </is>
      </c>
      <c r="Z4440" s="111" t="inlineStr">
        <is>
          <t>PC</t>
        </is>
      </c>
      <c r="AA4440" s="111" t="inlineStr">
        <is>
          <t>Nao</t>
        </is>
      </c>
      <c r="AB4440" s="111" t="inlineStr">
        <is>
          <t>NAO_COMPUTADO</t>
        </is>
      </c>
      <c r="AC4440" s="112" t="inlineStr">
        <is>
          <t>Estrutura Fase 1: sem impacto no VTA oficial</t>
        </is>
      </c>
    </row>
    <row r="4441" ht="25.5" customHeight="1" s="289">
      <c r="A4441" s="205" t="n"/>
      <c r="B4441" s="207" t="n"/>
      <c r="C4441" s="104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348" t="n"/>
      <c r="E4441" s="349">
        <f>IF(C4441="","",IFERROR(VLOOKUP(C4441,parametros!$A$11:$E$15,5,0),""))</f>
        <v/>
      </c>
      <c r="F4441" s="335">
        <f>IF(OR(D4441="",E4441=""),"",ROUND(D4441*E4441,2))</f>
        <v/>
      </c>
      <c r="G4441" s="106" t="n"/>
      <c r="H4441" s="350">
        <f>IF(G4441="Sim",IF(OR(F4441="",D4441="",L4441=""),"",IF(L4441="Sim",ROUND(F4441-D4441,2),0)),0)</f>
        <v/>
      </c>
      <c r="I4441" s="350">
        <f>IF(G4441="Sim",0,IF(OR(F4441="",L4441=""),"",F4441))</f>
        <v/>
      </c>
      <c r="J4441" s="350">
        <f>IF(G4441="Sim",0,IF(OR(F4441="",D4441="",L4441=""),"",IF(L4441="Sim",ROUND(F4441-D4441,2),0)))</f>
        <v/>
      </c>
      <c r="K4441" s="97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inlineStr">
        <is>
          <t>Nao</t>
        </is>
      </c>
      <c r="W4441" s="110" t="inlineStr">
        <is>
          <t>PC em analise</t>
        </is>
      </c>
      <c r="X4441" s="110" t="inlineStr">
        <is>
          <t>Pedido de Compra</t>
        </is>
      </c>
      <c r="Y4441" s="111" t="inlineStr">
        <is>
          <t>Impacto Potencial</t>
        </is>
      </c>
      <c r="Z4441" s="111" t="inlineStr">
        <is>
          <t>PC</t>
        </is>
      </c>
      <c r="AA4441" s="111" t="inlineStr">
        <is>
          <t>Nao</t>
        </is>
      </c>
      <c r="AB4441" s="111" t="inlineStr">
        <is>
          <t>NAO_COMPUTADO</t>
        </is>
      </c>
      <c r="AC4441" s="112" t="inlineStr">
        <is>
          <t>Estrutura Fase 1: sem impacto no VTA oficial</t>
        </is>
      </c>
    </row>
    <row r="4442" ht="25.5" customHeight="1" s="289">
      <c r="A4442" s="205" t="n"/>
      <c r="B4442" s="207" t="n"/>
      <c r="C4442" s="104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348" t="n"/>
      <c r="E4442" s="349">
        <f>IF(C4442="","",IFERROR(VLOOKUP(C4442,parametros!$A$11:$E$15,5,0),""))</f>
        <v/>
      </c>
      <c r="F4442" s="335">
        <f>IF(OR(D4442="",E4442=""),"",ROUND(D4442*E4442,2))</f>
        <v/>
      </c>
      <c r="G4442" s="106" t="n"/>
      <c r="H4442" s="350">
        <f>IF(G4442="Sim",IF(OR(F4442="",D4442="",L4442=""),"",IF(L4442="Sim",ROUND(F4442-D4442,2),0)),0)</f>
        <v/>
      </c>
      <c r="I4442" s="350">
        <f>IF(G4442="Sim",0,IF(OR(F4442="",L4442=""),"",F4442))</f>
        <v/>
      </c>
      <c r="J4442" s="350">
        <f>IF(G4442="Sim",0,IF(OR(F4442="",D4442="",L4442=""),"",IF(L4442="Sim",ROUND(F4442-D4442,2),0)))</f>
        <v/>
      </c>
      <c r="K4442" s="97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inlineStr">
        <is>
          <t>Nao</t>
        </is>
      </c>
      <c r="W4442" s="110" t="inlineStr">
        <is>
          <t>PC em analise</t>
        </is>
      </c>
      <c r="X4442" s="110" t="inlineStr">
        <is>
          <t>Pedido de Compra</t>
        </is>
      </c>
      <c r="Y4442" s="111" t="inlineStr">
        <is>
          <t>Impacto Potencial</t>
        </is>
      </c>
      <c r="Z4442" s="111" t="inlineStr">
        <is>
          <t>PC</t>
        </is>
      </c>
      <c r="AA4442" s="111" t="inlineStr">
        <is>
          <t>Nao</t>
        </is>
      </c>
      <c r="AB4442" s="111" t="inlineStr">
        <is>
          <t>NAO_COMPUTADO</t>
        </is>
      </c>
      <c r="AC4442" s="112" t="inlineStr">
        <is>
          <t>Estrutura Fase 1: sem impacto no VTA oficial</t>
        </is>
      </c>
    </row>
    <row r="4443" ht="25.5" customHeight="1" s="289">
      <c r="A4443" s="205" t="n"/>
      <c r="B4443" s="207" t="n"/>
      <c r="C4443" s="104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348" t="n"/>
      <c r="E4443" s="349">
        <f>IF(C4443="","",IFERROR(VLOOKUP(C4443,parametros!$A$11:$E$15,5,0),""))</f>
        <v/>
      </c>
      <c r="F4443" s="335">
        <f>IF(OR(D4443="",E4443=""),"",ROUND(D4443*E4443,2))</f>
        <v/>
      </c>
      <c r="G4443" s="106" t="n"/>
      <c r="H4443" s="350">
        <f>IF(G4443="Sim",IF(OR(F4443="",D4443="",L4443=""),"",IF(L4443="Sim",ROUND(F4443-D4443,2),0)),0)</f>
        <v/>
      </c>
      <c r="I4443" s="350">
        <f>IF(G4443="Sim",0,IF(OR(F4443="",L4443=""),"",F4443))</f>
        <v/>
      </c>
      <c r="J4443" s="350">
        <f>IF(G4443="Sim",0,IF(OR(F4443="",D4443="",L4443=""),"",IF(L4443="Sim",ROUND(F4443-D4443,2),0)))</f>
        <v/>
      </c>
      <c r="K4443" s="97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inlineStr">
        <is>
          <t>Nao</t>
        </is>
      </c>
      <c r="W4443" s="110" t="inlineStr">
        <is>
          <t>PC em analise</t>
        </is>
      </c>
      <c r="X4443" s="110" t="inlineStr">
        <is>
          <t>Pedido de Compra</t>
        </is>
      </c>
      <c r="Y4443" s="111" t="inlineStr">
        <is>
          <t>Impacto Potencial</t>
        </is>
      </c>
      <c r="Z4443" s="111" t="inlineStr">
        <is>
          <t>PC</t>
        </is>
      </c>
      <c r="AA4443" s="111" t="inlineStr">
        <is>
          <t>Nao</t>
        </is>
      </c>
      <c r="AB4443" s="111" t="inlineStr">
        <is>
          <t>NAO_COMPUTADO</t>
        </is>
      </c>
      <c r="AC4443" s="112" t="inlineStr">
        <is>
          <t>Estrutura Fase 1: sem impacto no VTA oficial</t>
        </is>
      </c>
    </row>
    <row r="4444" ht="25.5" customHeight="1" s="289">
      <c r="A4444" s="205" t="n"/>
      <c r="B4444" s="207" t="n"/>
      <c r="C4444" s="104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348" t="n"/>
      <c r="E4444" s="349">
        <f>IF(C4444="","",IFERROR(VLOOKUP(C4444,parametros!$A$11:$E$15,5,0),""))</f>
        <v/>
      </c>
      <c r="F4444" s="335">
        <f>IF(OR(D4444="",E4444=""),"",ROUND(D4444*E4444,2))</f>
        <v/>
      </c>
      <c r="G4444" s="106" t="n"/>
      <c r="H4444" s="350">
        <f>IF(G4444="Sim",IF(OR(F4444="",D4444="",L4444=""),"",IF(L4444="Sim",ROUND(F4444-D4444,2),0)),0)</f>
        <v/>
      </c>
      <c r="I4444" s="350">
        <f>IF(G4444="Sim",0,IF(OR(F4444="",L4444=""),"",F4444))</f>
        <v/>
      </c>
      <c r="J4444" s="350">
        <f>IF(G4444="Sim",0,IF(OR(F4444="",D4444="",L4444=""),"",IF(L4444="Sim",ROUND(F4444-D4444,2),0)))</f>
        <v/>
      </c>
      <c r="K4444" s="97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inlineStr">
        <is>
          <t>Nao</t>
        </is>
      </c>
      <c r="W4444" s="110" t="inlineStr">
        <is>
          <t>PC em analise</t>
        </is>
      </c>
      <c r="X4444" s="110" t="inlineStr">
        <is>
          <t>Pedido de Compra</t>
        </is>
      </c>
      <c r="Y4444" s="111" t="inlineStr">
        <is>
          <t>Impacto Potencial</t>
        </is>
      </c>
      <c r="Z4444" s="111" t="inlineStr">
        <is>
          <t>PC</t>
        </is>
      </c>
      <c r="AA4444" s="111" t="inlineStr">
        <is>
          <t>Nao</t>
        </is>
      </c>
      <c r="AB4444" s="111" t="inlineStr">
        <is>
          <t>NAO_COMPUTADO</t>
        </is>
      </c>
      <c r="AC4444" s="112" t="inlineStr">
        <is>
          <t>Estrutura Fase 1: sem impacto no VTA oficial</t>
        </is>
      </c>
    </row>
    <row r="4445" ht="25.5" customHeight="1" s="289">
      <c r="A4445" s="205" t="n"/>
      <c r="B4445" s="207" t="n"/>
      <c r="C4445" s="104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348" t="n"/>
      <c r="E4445" s="349">
        <f>IF(C4445="","",IFERROR(VLOOKUP(C4445,parametros!$A$11:$E$15,5,0),""))</f>
        <v/>
      </c>
      <c r="F4445" s="335">
        <f>IF(OR(D4445="",E4445=""),"",ROUND(D4445*E4445,2))</f>
        <v/>
      </c>
      <c r="G4445" s="106" t="n"/>
      <c r="H4445" s="350">
        <f>IF(G4445="Sim",IF(OR(F4445="",D4445="",L4445=""),"",IF(L4445="Sim",ROUND(F4445-D4445,2),0)),0)</f>
        <v/>
      </c>
      <c r="I4445" s="350">
        <f>IF(G4445="Sim",0,IF(OR(F4445="",L4445=""),"",F4445))</f>
        <v/>
      </c>
      <c r="J4445" s="350">
        <f>IF(G4445="Sim",0,IF(OR(F4445="",D4445="",L4445=""),"",IF(L4445="Sim",ROUND(F4445-D4445,2),0)))</f>
        <v/>
      </c>
      <c r="K4445" s="97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inlineStr">
        <is>
          <t>Nao</t>
        </is>
      </c>
      <c r="W4445" s="110" t="inlineStr">
        <is>
          <t>PC em analise</t>
        </is>
      </c>
      <c r="X4445" s="110" t="inlineStr">
        <is>
          <t>Pedido de Compra</t>
        </is>
      </c>
      <c r="Y4445" s="111" t="inlineStr">
        <is>
          <t>Impacto Potencial</t>
        </is>
      </c>
      <c r="Z4445" s="111" t="inlineStr">
        <is>
          <t>PC</t>
        </is>
      </c>
      <c r="AA4445" s="111" t="inlineStr">
        <is>
          <t>Nao</t>
        </is>
      </c>
      <c r="AB4445" s="111" t="inlineStr">
        <is>
          <t>NAO_COMPUTADO</t>
        </is>
      </c>
      <c r="AC4445" s="112" t="inlineStr">
        <is>
          <t>Estrutura Fase 1: sem impacto no VTA oficial</t>
        </is>
      </c>
    </row>
    <row r="4446" ht="25.5" customHeight="1" s="289">
      <c r="A4446" s="205" t="n"/>
      <c r="B4446" s="207" t="n"/>
      <c r="C4446" s="104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348" t="n"/>
      <c r="E4446" s="349">
        <f>IF(C4446="","",IFERROR(VLOOKUP(C4446,parametros!$A$11:$E$15,5,0),""))</f>
        <v/>
      </c>
      <c r="F4446" s="335">
        <f>IF(OR(D4446="",E4446=""),"",ROUND(D4446*E4446,2))</f>
        <v/>
      </c>
      <c r="G4446" s="106" t="n"/>
      <c r="H4446" s="350">
        <f>IF(G4446="Sim",IF(OR(F4446="",D4446="",L4446=""),"",IF(L4446="Sim",ROUND(F4446-D4446,2),0)),0)</f>
        <v/>
      </c>
      <c r="I4446" s="350">
        <f>IF(G4446="Sim",0,IF(OR(F4446="",L4446=""),"",F4446))</f>
        <v/>
      </c>
      <c r="J4446" s="350">
        <f>IF(G4446="Sim",0,IF(OR(F4446="",D4446="",L4446=""),"",IF(L4446="Sim",ROUND(F4446-D4446,2),0)))</f>
        <v/>
      </c>
      <c r="K4446" s="97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inlineStr">
        <is>
          <t>Nao</t>
        </is>
      </c>
      <c r="W4446" s="110" t="inlineStr">
        <is>
          <t>PC em analise</t>
        </is>
      </c>
      <c r="X4446" s="110" t="inlineStr">
        <is>
          <t>Pedido de Compra</t>
        </is>
      </c>
      <c r="Y4446" s="111" t="inlineStr">
        <is>
          <t>Impacto Potencial</t>
        </is>
      </c>
      <c r="Z4446" s="111" t="inlineStr">
        <is>
          <t>PC</t>
        </is>
      </c>
      <c r="AA4446" s="111" t="inlineStr">
        <is>
          <t>Nao</t>
        </is>
      </c>
      <c r="AB4446" s="111" t="inlineStr">
        <is>
          <t>NAO_COMPUTADO</t>
        </is>
      </c>
      <c r="AC4446" s="112" t="inlineStr">
        <is>
          <t>Estrutura Fase 1: sem impacto no VTA oficial</t>
        </is>
      </c>
    </row>
    <row r="4447" ht="25.5" customHeight="1" s="289">
      <c r="A4447" s="205" t="n"/>
      <c r="B4447" s="207" t="n"/>
      <c r="C4447" s="104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348" t="n"/>
      <c r="E4447" s="349">
        <f>IF(C4447="","",IFERROR(VLOOKUP(C4447,parametros!$A$11:$E$15,5,0),""))</f>
        <v/>
      </c>
      <c r="F4447" s="335">
        <f>IF(OR(D4447="",E4447=""),"",ROUND(D4447*E4447,2))</f>
        <v/>
      </c>
      <c r="G4447" s="106" t="n"/>
      <c r="H4447" s="350">
        <f>IF(G4447="Sim",IF(OR(F4447="",D4447="",L4447=""),"",IF(L4447="Sim",ROUND(F4447-D4447,2),0)),0)</f>
        <v/>
      </c>
      <c r="I4447" s="350">
        <f>IF(G4447="Sim",0,IF(OR(F4447="",L4447=""),"",F4447))</f>
        <v/>
      </c>
      <c r="J4447" s="350">
        <f>IF(G4447="Sim",0,IF(OR(F4447="",D4447="",L4447=""),"",IF(L4447="Sim",ROUND(F4447-D4447,2),0)))</f>
        <v/>
      </c>
      <c r="K4447" s="97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inlineStr">
        <is>
          <t>Nao</t>
        </is>
      </c>
      <c r="W4447" s="110" t="inlineStr">
        <is>
          <t>PC em analise</t>
        </is>
      </c>
      <c r="X4447" s="110" t="inlineStr">
        <is>
          <t>Pedido de Compra</t>
        </is>
      </c>
      <c r="Y4447" s="111" t="inlineStr">
        <is>
          <t>Impacto Potencial</t>
        </is>
      </c>
      <c r="Z4447" s="111" t="inlineStr">
        <is>
          <t>PC</t>
        </is>
      </c>
      <c r="AA4447" s="111" t="inlineStr">
        <is>
          <t>Nao</t>
        </is>
      </c>
      <c r="AB4447" s="111" t="inlineStr">
        <is>
          <t>NAO_COMPUTADO</t>
        </is>
      </c>
      <c r="AC4447" s="112" t="inlineStr">
        <is>
          <t>Estrutura Fase 1: sem impacto no VTA oficial</t>
        </is>
      </c>
    </row>
    <row r="4448" ht="25.5" customHeight="1" s="289">
      <c r="A4448" s="205" t="n"/>
      <c r="B4448" s="207" t="n"/>
      <c r="C4448" s="104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348" t="n"/>
      <c r="E4448" s="349">
        <f>IF(C4448="","",IFERROR(VLOOKUP(C4448,parametros!$A$11:$E$15,5,0),""))</f>
        <v/>
      </c>
      <c r="F4448" s="335">
        <f>IF(OR(D4448="",E4448=""),"",ROUND(D4448*E4448,2))</f>
        <v/>
      </c>
      <c r="G4448" s="106" t="n"/>
      <c r="H4448" s="350">
        <f>IF(G4448="Sim",IF(OR(F4448="",D4448="",L4448=""),"",IF(L4448="Sim",ROUND(F4448-D4448,2),0)),0)</f>
        <v/>
      </c>
      <c r="I4448" s="350">
        <f>IF(G4448="Sim",0,IF(OR(F4448="",L4448=""),"",F4448))</f>
        <v/>
      </c>
      <c r="J4448" s="350">
        <f>IF(G4448="Sim",0,IF(OR(F4448="",D4448="",L4448=""),"",IF(L4448="Sim",ROUND(F4448-D4448,2),0)))</f>
        <v/>
      </c>
      <c r="K4448" s="97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inlineStr">
        <is>
          <t>Nao</t>
        </is>
      </c>
      <c r="W4448" s="110" t="inlineStr">
        <is>
          <t>PC em analise</t>
        </is>
      </c>
      <c r="X4448" s="110" t="inlineStr">
        <is>
          <t>Pedido de Compra</t>
        </is>
      </c>
      <c r="Y4448" s="111" t="inlineStr">
        <is>
          <t>Impacto Potencial</t>
        </is>
      </c>
      <c r="Z4448" s="111" t="inlineStr">
        <is>
          <t>PC</t>
        </is>
      </c>
      <c r="AA4448" s="111" t="inlineStr">
        <is>
          <t>Nao</t>
        </is>
      </c>
      <c r="AB4448" s="111" t="inlineStr">
        <is>
          <t>NAO_COMPUTADO</t>
        </is>
      </c>
      <c r="AC4448" s="112" t="inlineStr">
        <is>
          <t>Estrutura Fase 1: sem impacto no VTA oficial</t>
        </is>
      </c>
    </row>
    <row r="4449" ht="25.5" customHeight="1" s="289">
      <c r="A4449" s="205" t="n"/>
      <c r="B4449" s="207" t="n"/>
      <c r="C4449" s="104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348" t="n"/>
      <c r="E4449" s="349">
        <f>IF(C4449="","",IFERROR(VLOOKUP(C4449,parametros!$A$11:$E$15,5,0),""))</f>
        <v/>
      </c>
      <c r="F4449" s="335">
        <f>IF(OR(D4449="",E4449=""),"",ROUND(D4449*E4449,2))</f>
        <v/>
      </c>
      <c r="G4449" s="106" t="n"/>
      <c r="H4449" s="350">
        <f>IF(G4449="Sim",IF(OR(F4449="",D4449="",L4449=""),"",IF(L4449="Sim",ROUND(F4449-D4449,2),0)),0)</f>
        <v/>
      </c>
      <c r="I4449" s="350">
        <f>IF(G4449="Sim",0,IF(OR(F4449="",L4449=""),"",F4449))</f>
        <v/>
      </c>
      <c r="J4449" s="350">
        <f>IF(G4449="Sim",0,IF(OR(F4449="",D4449="",L4449=""),"",IF(L4449="Sim",ROUND(F4449-D4449,2),0)))</f>
        <v/>
      </c>
      <c r="K4449" s="97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inlineStr">
        <is>
          <t>Nao</t>
        </is>
      </c>
      <c r="W4449" s="110" t="inlineStr">
        <is>
          <t>PC em analise</t>
        </is>
      </c>
      <c r="X4449" s="110" t="inlineStr">
        <is>
          <t>Pedido de Compra</t>
        </is>
      </c>
      <c r="Y4449" s="111" t="inlineStr">
        <is>
          <t>Impacto Potencial</t>
        </is>
      </c>
      <c r="Z4449" s="111" t="inlineStr">
        <is>
          <t>PC</t>
        </is>
      </c>
      <c r="AA4449" s="111" t="inlineStr">
        <is>
          <t>Nao</t>
        </is>
      </c>
      <c r="AB4449" s="111" t="inlineStr">
        <is>
          <t>NAO_COMPUTADO</t>
        </is>
      </c>
      <c r="AC4449" s="112" t="inlineStr">
        <is>
          <t>Estrutura Fase 1: sem impacto no VTA oficial</t>
        </is>
      </c>
    </row>
    <row r="4450" ht="25.5" customHeight="1" s="289">
      <c r="A4450" s="205" t="n"/>
      <c r="B4450" s="207" t="n"/>
      <c r="C4450" s="104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348" t="n"/>
      <c r="E4450" s="349">
        <f>IF(C4450="","",IFERROR(VLOOKUP(C4450,parametros!$A$11:$E$15,5,0),""))</f>
        <v/>
      </c>
      <c r="F4450" s="335">
        <f>IF(OR(D4450="",E4450=""),"",ROUND(D4450*E4450,2))</f>
        <v/>
      </c>
      <c r="G4450" s="106" t="n"/>
      <c r="H4450" s="350">
        <f>IF(G4450="Sim",IF(OR(F4450="",D4450="",L4450=""),"",IF(L4450="Sim",ROUND(F4450-D4450,2),0)),0)</f>
        <v/>
      </c>
      <c r="I4450" s="350">
        <f>IF(G4450="Sim",0,IF(OR(F4450="",L4450=""),"",F4450))</f>
        <v/>
      </c>
      <c r="J4450" s="350">
        <f>IF(G4450="Sim",0,IF(OR(F4450="",D4450="",L4450=""),"",IF(L4450="Sim",ROUND(F4450-D4450,2),0)))</f>
        <v/>
      </c>
      <c r="K4450" s="97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inlineStr">
        <is>
          <t>Nao</t>
        </is>
      </c>
      <c r="W4450" s="110" t="inlineStr">
        <is>
          <t>PC em analise</t>
        </is>
      </c>
      <c r="X4450" s="110" t="inlineStr">
        <is>
          <t>Pedido de Compra</t>
        </is>
      </c>
      <c r="Y4450" s="111" t="inlineStr">
        <is>
          <t>Impacto Potencial</t>
        </is>
      </c>
      <c r="Z4450" s="111" t="inlineStr">
        <is>
          <t>PC</t>
        </is>
      </c>
      <c r="AA4450" s="111" t="inlineStr">
        <is>
          <t>Nao</t>
        </is>
      </c>
      <c r="AB4450" s="111" t="inlineStr">
        <is>
          <t>NAO_COMPUTADO</t>
        </is>
      </c>
      <c r="AC4450" s="112" t="inlineStr">
        <is>
          <t>Estrutura Fase 1: sem impacto no VTA oficial</t>
        </is>
      </c>
    </row>
    <row r="4451" ht="25.5" customHeight="1" s="289">
      <c r="A4451" s="205" t="n"/>
      <c r="B4451" s="207" t="n"/>
      <c r="C4451" s="104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348" t="n"/>
      <c r="E4451" s="349">
        <f>IF(C4451="","",IFERROR(VLOOKUP(C4451,parametros!$A$11:$E$15,5,0),""))</f>
        <v/>
      </c>
      <c r="F4451" s="335">
        <f>IF(OR(D4451="",E4451=""),"",ROUND(D4451*E4451,2))</f>
        <v/>
      </c>
      <c r="G4451" s="106" t="n"/>
      <c r="H4451" s="350">
        <f>IF(G4451="Sim",IF(OR(F4451="",D4451="",L4451=""),"",IF(L4451="Sim",ROUND(F4451-D4451,2),0)),0)</f>
        <v/>
      </c>
      <c r="I4451" s="350">
        <f>IF(G4451="Sim",0,IF(OR(F4451="",L4451=""),"",F4451))</f>
        <v/>
      </c>
      <c r="J4451" s="350">
        <f>IF(G4451="Sim",0,IF(OR(F4451="",D4451="",L4451=""),"",IF(L4451="Sim",ROUND(F4451-D4451,2),0)))</f>
        <v/>
      </c>
      <c r="K4451" s="97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inlineStr">
        <is>
          <t>Nao</t>
        </is>
      </c>
      <c r="W4451" s="110" t="inlineStr">
        <is>
          <t>PC em analise</t>
        </is>
      </c>
      <c r="X4451" s="110" t="inlineStr">
        <is>
          <t>Pedido de Compra</t>
        </is>
      </c>
      <c r="Y4451" s="111" t="inlineStr">
        <is>
          <t>Impacto Potencial</t>
        </is>
      </c>
      <c r="Z4451" s="111" t="inlineStr">
        <is>
          <t>PC</t>
        </is>
      </c>
      <c r="AA4451" s="111" t="inlineStr">
        <is>
          <t>Nao</t>
        </is>
      </c>
      <c r="AB4451" s="111" t="inlineStr">
        <is>
          <t>NAO_COMPUTADO</t>
        </is>
      </c>
      <c r="AC4451" s="112" t="inlineStr">
        <is>
          <t>Estrutura Fase 1: sem impacto no VTA oficial</t>
        </is>
      </c>
    </row>
    <row r="4452" ht="25.5" customHeight="1" s="289">
      <c r="A4452" s="205" t="n"/>
      <c r="B4452" s="207" t="n"/>
      <c r="C4452" s="104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348" t="n"/>
      <c r="E4452" s="349">
        <f>IF(C4452="","",IFERROR(VLOOKUP(C4452,parametros!$A$11:$E$15,5,0),""))</f>
        <v/>
      </c>
      <c r="F4452" s="335">
        <f>IF(OR(D4452="",E4452=""),"",ROUND(D4452*E4452,2))</f>
        <v/>
      </c>
      <c r="G4452" s="106" t="n"/>
      <c r="H4452" s="350">
        <f>IF(G4452="Sim",IF(OR(F4452="",D4452="",L4452=""),"",IF(L4452="Sim",ROUND(F4452-D4452,2),0)),0)</f>
        <v/>
      </c>
      <c r="I4452" s="350">
        <f>IF(G4452="Sim",0,IF(OR(F4452="",L4452=""),"",F4452))</f>
        <v/>
      </c>
      <c r="J4452" s="350">
        <f>IF(G4452="Sim",0,IF(OR(F4452="",D4452="",L4452=""),"",IF(L4452="Sim",ROUND(F4452-D4452,2),0)))</f>
        <v/>
      </c>
      <c r="K4452" s="97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inlineStr">
        <is>
          <t>Nao</t>
        </is>
      </c>
      <c r="W4452" s="110" t="inlineStr">
        <is>
          <t>PC em analise</t>
        </is>
      </c>
      <c r="X4452" s="110" t="inlineStr">
        <is>
          <t>Pedido de Compra</t>
        </is>
      </c>
      <c r="Y4452" s="111" t="inlineStr">
        <is>
          <t>Impacto Potencial</t>
        </is>
      </c>
      <c r="Z4452" s="111" t="inlineStr">
        <is>
          <t>PC</t>
        </is>
      </c>
      <c r="AA4452" s="111" t="inlineStr">
        <is>
          <t>Nao</t>
        </is>
      </c>
      <c r="AB4452" s="111" t="inlineStr">
        <is>
          <t>NAO_COMPUTADO</t>
        </is>
      </c>
      <c r="AC4452" s="112" t="inlineStr">
        <is>
          <t>Estrutura Fase 1: sem impacto no VTA oficial</t>
        </is>
      </c>
    </row>
    <row r="4453" ht="25.5" customHeight="1" s="289">
      <c r="A4453" s="205" t="n"/>
      <c r="B4453" s="207" t="n"/>
      <c r="C4453" s="104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348" t="n"/>
      <c r="E4453" s="349">
        <f>IF(C4453="","",IFERROR(VLOOKUP(C4453,parametros!$A$11:$E$15,5,0),""))</f>
        <v/>
      </c>
      <c r="F4453" s="335">
        <f>IF(OR(D4453="",E4453=""),"",ROUND(D4453*E4453,2))</f>
        <v/>
      </c>
      <c r="G4453" s="106" t="n"/>
      <c r="H4453" s="350">
        <f>IF(G4453="Sim",IF(OR(F4453="",D4453="",L4453=""),"",IF(L4453="Sim",ROUND(F4453-D4453,2),0)),0)</f>
        <v/>
      </c>
      <c r="I4453" s="350">
        <f>IF(G4453="Sim",0,IF(OR(F4453="",L4453=""),"",F4453))</f>
        <v/>
      </c>
      <c r="J4453" s="350">
        <f>IF(G4453="Sim",0,IF(OR(F4453="",D4453="",L4453=""),"",IF(L4453="Sim",ROUND(F4453-D4453,2),0)))</f>
        <v/>
      </c>
      <c r="K4453" s="97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inlineStr">
        <is>
          <t>Nao</t>
        </is>
      </c>
      <c r="W4453" s="110" t="inlineStr">
        <is>
          <t>PC em analise</t>
        </is>
      </c>
      <c r="X4453" s="110" t="inlineStr">
        <is>
          <t>Pedido de Compra</t>
        </is>
      </c>
      <c r="Y4453" s="111" t="inlineStr">
        <is>
          <t>Impacto Potencial</t>
        </is>
      </c>
      <c r="Z4453" s="111" t="inlineStr">
        <is>
          <t>PC</t>
        </is>
      </c>
      <c r="AA4453" s="111" t="inlineStr">
        <is>
          <t>Nao</t>
        </is>
      </c>
      <c r="AB4453" s="111" t="inlineStr">
        <is>
          <t>NAO_COMPUTADO</t>
        </is>
      </c>
      <c r="AC4453" s="112" t="inlineStr">
        <is>
          <t>Estrutura Fase 1: sem impacto no VTA oficial</t>
        </is>
      </c>
    </row>
    <row r="4454" ht="25.5" customHeight="1" s="289">
      <c r="A4454" s="205" t="n"/>
      <c r="B4454" s="207" t="n"/>
      <c r="C4454" s="104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348" t="n"/>
      <c r="E4454" s="349">
        <f>IF(C4454="","",IFERROR(VLOOKUP(C4454,parametros!$A$11:$E$15,5,0),""))</f>
        <v/>
      </c>
      <c r="F4454" s="335">
        <f>IF(OR(D4454="",E4454=""),"",ROUND(D4454*E4454,2))</f>
        <v/>
      </c>
      <c r="G4454" s="106" t="n"/>
      <c r="H4454" s="350">
        <f>IF(G4454="Sim",IF(OR(F4454="",D4454="",L4454=""),"",IF(L4454="Sim",ROUND(F4454-D4454,2),0)),0)</f>
        <v/>
      </c>
      <c r="I4454" s="350">
        <f>IF(G4454="Sim",0,IF(OR(F4454="",L4454=""),"",F4454))</f>
        <v/>
      </c>
      <c r="J4454" s="350">
        <f>IF(G4454="Sim",0,IF(OR(F4454="",D4454="",L4454=""),"",IF(L4454="Sim",ROUND(F4454-D4454,2),0)))</f>
        <v/>
      </c>
      <c r="K4454" s="97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inlineStr">
        <is>
          <t>Nao</t>
        </is>
      </c>
      <c r="W4454" s="110" t="inlineStr">
        <is>
          <t>PC em analise</t>
        </is>
      </c>
      <c r="X4454" s="110" t="inlineStr">
        <is>
          <t>Pedido de Compra</t>
        </is>
      </c>
      <c r="Y4454" s="111" t="inlineStr">
        <is>
          <t>Impacto Potencial</t>
        </is>
      </c>
      <c r="Z4454" s="111" t="inlineStr">
        <is>
          <t>PC</t>
        </is>
      </c>
      <c r="AA4454" s="111" t="inlineStr">
        <is>
          <t>Nao</t>
        </is>
      </c>
      <c r="AB4454" s="111" t="inlineStr">
        <is>
          <t>NAO_COMPUTADO</t>
        </is>
      </c>
      <c r="AC4454" s="112" t="inlineStr">
        <is>
          <t>Estrutura Fase 1: sem impacto no VTA oficial</t>
        </is>
      </c>
    </row>
    <row r="4455" ht="25.5" customHeight="1" s="289">
      <c r="A4455" s="205" t="n"/>
      <c r="B4455" s="207" t="n"/>
      <c r="C4455" s="104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348" t="n"/>
      <c r="E4455" s="349">
        <f>IF(C4455="","",IFERROR(VLOOKUP(C4455,parametros!$A$11:$E$15,5,0),""))</f>
        <v/>
      </c>
      <c r="F4455" s="335">
        <f>IF(OR(D4455="",E4455=""),"",ROUND(D4455*E4455,2))</f>
        <v/>
      </c>
      <c r="G4455" s="106" t="n"/>
      <c r="H4455" s="350">
        <f>IF(G4455="Sim",IF(OR(F4455="",D4455="",L4455=""),"",IF(L4455="Sim",ROUND(F4455-D4455,2),0)),0)</f>
        <v/>
      </c>
      <c r="I4455" s="350">
        <f>IF(G4455="Sim",0,IF(OR(F4455="",L4455=""),"",F4455))</f>
        <v/>
      </c>
      <c r="J4455" s="350">
        <f>IF(G4455="Sim",0,IF(OR(F4455="",D4455="",L4455=""),"",IF(L4455="Sim",ROUND(F4455-D4455,2),0)))</f>
        <v/>
      </c>
      <c r="K4455" s="97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inlineStr">
        <is>
          <t>Nao</t>
        </is>
      </c>
      <c r="W4455" s="110" t="inlineStr">
        <is>
          <t>PC em analise</t>
        </is>
      </c>
      <c r="X4455" s="110" t="inlineStr">
        <is>
          <t>Pedido de Compra</t>
        </is>
      </c>
      <c r="Y4455" s="111" t="inlineStr">
        <is>
          <t>Impacto Potencial</t>
        </is>
      </c>
      <c r="Z4455" s="111" t="inlineStr">
        <is>
          <t>PC</t>
        </is>
      </c>
      <c r="AA4455" s="111" t="inlineStr">
        <is>
          <t>Nao</t>
        </is>
      </c>
      <c r="AB4455" s="111" t="inlineStr">
        <is>
          <t>NAO_COMPUTADO</t>
        </is>
      </c>
      <c r="AC4455" s="112" t="inlineStr">
        <is>
          <t>Estrutura Fase 1: sem impacto no VTA oficial</t>
        </is>
      </c>
    </row>
    <row r="4456" ht="25.5" customHeight="1" s="289">
      <c r="A4456" s="205" t="n"/>
      <c r="B4456" s="207" t="n"/>
      <c r="C4456" s="104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348" t="n"/>
      <c r="E4456" s="349">
        <f>IF(C4456="","",IFERROR(VLOOKUP(C4456,parametros!$A$11:$E$15,5,0),""))</f>
        <v/>
      </c>
      <c r="F4456" s="335">
        <f>IF(OR(D4456="",E4456=""),"",ROUND(D4456*E4456,2))</f>
        <v/>
      </c>
      <c r="G4456" s="106" t="n"/>
      <c r="H4456" s="350">
        <f>IF(G4456="Sim",IF(OR(F4456="",D4456="",L4456=""),"",IF(L4456="Sim",ROUND(F4456-D4456,2),0)),0)</f>
        <v/>
      </c>
      <c r="I4456" s="350">
        <f>IF(G4456="Sim",0,IF(OR(F4456="",L4456=""),"",F4456))</f>
        <v/>
      </c>
      <c r="J4456" s="350">
        <f>IF(G4456="Sim",0,IF(OR(F4456="",D4456="",L4456=""),"",IF(L4456="Sim",ROUND(F4456-D4456,2),0)))</f>
        <v/>
      </c>
      <c r="K4456" s="97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inlineStr">
        <is>
          <t>Nao</t>
        </is>
      </c>
      <c r="W4456" s="110" t="inlineStr">
        <is>
          <t>PC em analise</t>
        </is>
      </c>
      <c r="X4456" s="110" t="inlineStr">
        <is>
          <t>Pedido de Compra</t>
        </is>
      </c>
      <c r="Y4456" s="111" t="inlineStr">
        <is>
          <t>Impacto Potencial</t>
        </is>
      </c>
      <c r="Z4456" s="111" t="inlineStr">
        <is>
          <t>PC</t>
        </is>
      </c>
      <c r="AA4456" s="111" t="inlineStr">
        <is>
          <t>Nao</t>
        </is>
      </c>
      <c r="AB4456" s="111" t="inlineStr">
        <is>
          <t>NAO_COMPUTADO</t>
        </is>
      </c>
      <c r="AC4456" s="112" t="inlineStr">
        <is>
          <t>Estrutura Fase 1: sem impacto no VTA oficial</t>
        </is>
      </c>
    </row>
    <row r="4457" ht="25.5" customHeight="1" s="289">
      <c r="A4457" s="205" t="n"/>
      <c r="B4457" s="207" t="n"/>
      <c r="C4457" s="104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348" t="n"/>
      <c r="E4457" s="349">
        <f>IF(C4457="","",IFERROR(VLOOKUP(C4457,parametros!$A$11:$E$15,5,0),""))</f>
        <v/>
      </c>
      <c r="F4457" s="335">
        <f>IF(OR(D4457="",E4457=""),"",ROUND(D4457*E4457,2))</f>
        <v/>
      </c>
      <c r="G4457" s="106" t="n"/>
      <c r="H4457" s="350">
        <f>IF(G4457="Sim",IF(OR(F4457="",D4457="",L4457=""),"",IF(L4457="Sim",ROUND(F4457-D4457,2),0)),0)</f>
        <v/>
      </c>
      <c r="I4457" s="350">
        <f>IF(G4457="Sim",0,IF(OR(F4457="",L4457=""),"",F4457))</f>
        <v/>
      </c>
      <c r="J4457" s="350">
        <f>IF(G4457="Sim",0,IF(OR(F4457="",D4457="",L4457=""),"",IF(L4457="Sim",ROUND(F4457-D4457,2),0)))</f>
        <v/>
      </c>
      <c r="K4457" s="97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inlineStr">
        <is>
          <t>Nao</t>
        </is>
      </c>
      <c r="W4457" s="110" t="inlineStr">
        <is>
          <t>PC em analise</t>
        </is>
      </c>
      <c r="X4457" s="110" t="inlineStr">
        <is>
          <t>Pedido de Compra</t>
        </is>
      </c>
      <c r="Y4457" s="111" t="inlineStr">
        <is>
          <t>Impacto Potencial</t>
        </is>
      </c>
      <c r="Z4457" s="111" t="inlineStr">
        <is>
          <t>PC</t>
        </is>
      </c>
      <c r="AA4457" s="111" t="inlineStr">
        <is>
          <t>Nao</t>
        </is>
      </c>
      <c r="AB4457" s="111" t="inlineStr">
        <is>
          <t>NAO_COMPUTADO</t>
        </is>
      </c>
      <c r="AC4457" s="112" t="inlineStr">
        <is>
          <t>Estrutura Fase 1: sem impacto no VTA oficial</t>
        </is>
      </c>
    </row>
    <row r="4458" ht="25.5" customHeight="1" s="289">
      <c r="A4458" s="205" t="n"/>
      <c r="B4458" s="207" t="n"/>
      <c r="C4458" s="104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348" t="n"/>
      <c r="E4458" s="349">
        <f>IF(C4458="","",IFERROR(VLOOKUP(C4458,parametros!$A$11:$E$15,5,0),""))</f>
        <v/>
      </c>
      <c r="F4458" s="335">
        <f>IF(OR(D4458="",E4458=""),"",ROUND(D4458*E4458,2))</f>
        <v/>
      </c>
      <c r="G4458" s="106" t="n"/>
      <c r="H4458" s="350">
        <f>IF(G4458="Sim",IF(OR(F4458="",D4458="",L4458=""),"",IF(L4458="Sim",ROUND(F4458-D4458,2),0)),0)</f>
        <v/>
      </c>
      <c r="I4458" s="350">
        <f>IF(G4458="Sim",0,IF(OR(F4458="",L4458=""),"",F4458))</f>
        <v/>
      </c>
      <c r="J4458" s="350">
        <f>IF(G4458="Sim",0,IF(OR(F4458="",D4458="",L4458=""),"",IF(L4458="Sim",ROUND(F4458-D4458,2),0)))</f>
        <v/>
      </c>
      <c r="K4458" s="97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inlineStr">
        <is>
          <t>Nao</t>
        </is>
      </c>
      <c r="W4458" s="110" t="inlineStr">
        <is>
          <t>PC em analise</t>
        </is>
      </c>
      <c r="X4458" s="110" t="inlineStr">
        <is>
          <t>Pedido de Compra</t>
        </is>
      </c>
      <c r="Y4458" s="111" t="inlineStr">
        <is>
          <t>Impacto Potencial</t>
        </is>
      </c>
      <c r="Z4458" s="111" t="inlineStr">
        <is>
          <t>PC</t>
        </is>
      </c>
      <c r="AA4458" s="111" t="inlineStr">
        <is>
          <t>Nao</t>
        </is>
      </c>
      <c r="AB4458" s="111" t="inlineStr">
        <is>
          <t>NAO_COMPUTADO</t>
        </is>
      </c>
      <c r="AC4458" s="112" t="inlineStr">
        <is>
          <t>Estrutura Fase 1: sem impacto no VTA oficial</t>
        </is>
      </c>
    </row>
    <row r="4459" ht="25.5" customHeight="1" s="289">
      <c r="A4459" s="205" t="n"/>
      <c r="B4459" s="207" t="n"/>
      <c r="C4459" s="104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348" t="n"/>
      <c r="E4459" s="349">
        <f>IF(C4459="","",IFERROR(VLOOKUP(C4459,parametros!$A$11:$E$15,5,0),""))</f>
        <v/>
      </c>
      <c r="F4459" s="335">
        <f>IF(OR(D4459="",E4459=""),"",ROUND(D4459*E4459,2))</f>
        <v/>
      </c>
      <c r="G4459" s="106" t="n"/>
      <c r="H4459" s="350">
        <f>IF(G4459="Sim",IF(OR(F4459="",D4459="",L4459=""),"",IF(L4459="Sim",ROUND(F4459-D4459,2),0)),0)</f>
        <v/>
      </c>
      <c r="I4459" s="350">
        <f>IF(G4459="Sim",0,IF(OR(F4459="",L4459=""),"",F4459))</f>
        <v/>
      </c>
      <c r="J4459" s="350">
        <f>IF(G4459="Sim",0,IF(OR(F4459="",D4459="",L4459=""),"",IF(L4459="Sim",ROUND(F4459-D4459,2),0)))</f>
        <v/>
      </c>
      <c r="K4459" s="97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inlineStr">
        <is>
          <t>Nao</t>
        </is>
      </c>
      <c r="W4459" s="110" t="inlineStr">
        <is>
          <t>PC em analise</t>
        </is>
      </c>
      <c r="X4459" s="110" t="inlineStr">
        <is>
          <t>Pedido de Compra</t>
        </is>
      </c>
      <c r="Y4459" s="111" t="inlineStr">
        <is>
          <t>Impacto Potencial</t>
        </is>
      </c>
      <c r="Z4459" s="111" t="inlineStr">
        <is>
          <t>PC</t>
        </is>
      </c>
      <c r="AA4459" s="111" t="inlineStr">
        <is>
          <t>Nao</t>
        </is>
      </c>
      <c r="AB4459" s="111" t="inlineStr">
        <is>
          <t>NAO_COMPUTADO</t>
        </is>
      </c>
      <c r="AC4459" s="112" t="inlineStr">
        <is>
          <t>Estrutura Fase 1: sem impacto no VTA oficial</t>
        </is>
      </c>
    </row>
    <row r="4460" ht="25.5" customHeight="1" s="289">
      <c r="A4460" s="205" t="n"/>
      <c r="B4460" s="207" t="n"/>
      <c r="C4460" s="104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348" t="n"/>
      <c r="E4460" s="349">
        <f>IF(C4460="","",IFERROR(VLOOKUP(C4460,parametros!$A$11:$E$15,5,0),""))</f>
        <v/>
      </c>
      <c r="F4460" s="335">
        <f>IF(OR(D4460="",E4460=""),"",ROUND(D4460*E4460,2))</f>
        <v/>
      </c>
      <c r="G4460" s="106" t="n"/>
      <c r="H4460" s="350">
        <f>IF(G4460="Sim",IF(OR(F4460="",D4460="",L4460=""),"",IF(L4460="Sim",ROUND(F4460-D4460,2),0)),0)</f>
        <v/>
      </c>
      <c r="I4460" s="350">
        <f>IF(G4460="Sim",0,IF(OR(F4460="",L4460=""),"",F4460))</f>
        <v/>
      </c>
      <c r="J4460" s="350">
        <f>IF(G4460="Sim",0,IF(OR(F4460="",D4460="",L4460=""),"",IF(L4460="Sim",ROUND(F4460-D4460,2),0)))</f>
        <v/>
      </c>
      <c r="K4460" s="97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inlineStr">
        <is>
          <t>Nao</t>
        </is>
      </c>
      <c r="W4460" s="110" t="inlineStr">
        <is>
          <t>PC em analise</t>
        </is>
      </c>
      <c r="X4460" s="110" t="inlineStr">
        <is>
          <t>Pedido de Compra</t>
        </is>
      </c>
      <c r="Y4460" s="111" t="inlineStr">
        <is>
          <t>Impacto Potencial</t>
        </is>
      </c>
      <c r="Z4460" s="111" t="inlineStr">
        <is>
          <t>PC</t>
        </is>
      </c>
      <c r="AA4460" s="111" t="inlineStr">
        <is>
          <t>Nao</t>
        </is>
      </c>
      <c r="AB4460" s="111" t="inlineStr">
        <is>
          <t>NAO_COMPUTADO</t>
        </is>
      </c>
      <c r="AC4460" s="112" t="inlineStr">
        <is>
          <t>Estrutura Fase 1: sem impacto no VTA oficial</t>
        </is>
      </c>
    </row>
    <row r="4461" ht="25.5" customHeight="1" s="289">
      <c r="A4461" s="205" t="n"/>
      <c r="B4461" s="207" t="n"/>
      <c r="C4461" s="104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348" t="n"/>
      <c r="E4461" s="349">
        <f>IF(C4461="","",IFERROR(VLOOKUP(C4461,parametros!$A$11:$E$15,5,0),""))</f>
        <v/>
      </c>
      <c r="F4461" s="335">
        <f>IF(OR(D4461="",E4461=""),"",ROUND(D4461*E4461,2))</f>
        <v/>
      </c>
      <c r="G4461" s="106" t="n"/>
      <c r="H4461" s="350">
        <f>IF(G4461="Sim",IF(OR(F4461="",D4461="",L4461=""),"",IF(L4461="Sim",ROUND(F4461-D4461,2),0)),0)</f>
        <v/>
      </c>
      <c r="I4461" s="350">
        <f>IF(G4461="Sim",0,IF(OR(F4461="",L4461=""),"",F4461))</f>
        <v/>
      </c>
      <c r="J4461" s="350">
        <f>IF(G4461="Sim",0,IF(OR(F4461="",D4461="",L4461=""),"",IF(L4461="Sim",ROUND(F4461-D4461,2),0)))</f>
        <v/>
      </c>
      <c r="K4461" s="97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inlineStr">
        <is>
          <t>Nao</t>
        </is>
      </c>
      <c r="W4461" s="110" t="inlineStr">
        <is>
          <t>PC em analise</t>
        </is>
      </c>
      <c r="X4461" s="110" t="inlineStr">
        <is>
          <t>Pedido de Compra</t>
        </is>
      </c>
      <c r="Y4461" s="111" t="inlineStr">
        <is>
          <t>Impacto Potencial</t>
        </is>
      </c>
      <c r="Z4461" s="111" t="inlineStr">
        <is>
          <t>PC</t>
        </is>
      </c>
      <c r="AA4461" s="111" t="inlineStr">
        <is>
          <t>Nao</t>
        </is>
      </c>
      <c r="AB4461" s="111" t="inlineStr">
        <is>
          <t>NAO_COMPUTADO</t>
        </is>
      </c>
      <c r="AC4461" s="112" t="inlineStr">
        <is>
          <t>Estrutura Fase 1: sem impacto no VTA oficial</t>
        </is>
      </c>
    </row>
    <row r="4462" ht="25.5" customHeight="1" s="289">
      <c r="A4462" s="205" t="n"/>
      <c r="B4462" s="207" t="n"/>
      <c r="C4462" s="104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348" t="n"/>
      <c r="E4462" s="349">
        <f>IF(C4462="","",IFERROR(VLOOKUP(C4462,parametros!$A$11:$E$15,5,0),""))</f>
        <v/>
      </c>
      <c r="F4462" s="335">
        <f>IF(OR(D4462="",E4462=""),"",ROUND(D4462*E4462,2))</f>
        <v/>
      </c>
      <c r="G4462" s="106" t="n"/>
      <c r="H4462" s="350">
        <f>IF(G4462="Sim",IF(OR(F4462="",D4462="",L4462=""),"",IF(L4462="Sim",ROUND(F4462-D4462,2),0)),0)</f>
        <v/>
      </c>
      <c r="I4462" s="350">
        <f>IF(G4462="Sim",0,IF(OR(F4462="",L4462=""),"",F4462))</f>
        <v/>
      </c>
      <c r="J4462" s="350">
        <f>IF(G4462="Sim",0,IF(OR(F4462="",D4462="",L4462=""),"",IF(L4462="Sim",ROUND(F4462-D4462,2),0)))</f>
        <v/>
      </c>
      <c r="K4462" s="97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inlineStr">
        <is>
          <t>Nao</t>
        </is>
      </c>
      <c r="W4462" s="110" t="inlineStr">
        <is>
          <t>PC em analise</t>
        </is>
      </c>
      <c r="X4462" s="110" t="inlineStr">
        <is>
          <t>Pedido de Compra</t>
        </is>
      </c>
      <c r="Y4462" s="111" t="inlineStr">
        <is>
          <t>Impacto Potencial</t>
        </is>
      </c>
      <c r="Z4462" s="111" t="inlineStr">
        <is>
          <t>PC</t>
        </is>
      </c>
      <c r="AA4462" s="111" t="inlineStr">
        <is>
          <t>Nao</t>
        </is>
      </c>
      <c r="AB4462" s="111" t="inlineStr">
        <is>
          <t>NAO_COMPUTADO</t>
        </is>
      </c>
      <c r="AC4462" s="112" t="inlineStr">
        <is>
          <t>Estrutura Fase 1: sem impacto no VTA oficial</t>
        </is>
      </c>
    </row>
    <row r="4463" ht="25.5" customHeight="1" s="289">
      <c r="A4463" s="205" t="n"/>
      <c r="B4463" s="207" t="n"/>
      <c r="C4463" s="104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348" t="n"/>
      <c r="E4463" s="349">
        <f>IF(C4463="","",IFERROR(VLOOKUP(C4463,parametros!$A$11:$E$15,5,0),""))</f>
        <v/>
      </c>
      <c r="F4463" s="335">
        <f>IF(OR(D4463="",E4463=""),"",ROUND(D4463*E4463,2))</f>
        <v/>
      </c>
      <c r="G4463" s="106" t="n"/>
      <c r="H4463" s="350">
        <f>IF(G4463="Sim",IF(OR(F4463="",D4463="",L4463=""),"",IF(L4463="Sim",ROUND(F4463-D4463,2),0)),0)</f>
        <v/>
      </c>
      <c r="I4463" s="350">
        <f>IF(G4463="Sim",0,IF(OR(F4463="",L4463=""),"",F4463))</f>
        <v/>
      </c>
      <c r="J4463" s="350">
        <f>IF(G4463="Sim",0,IF(OR(F4463="",D4463="",L4463=""),"",IF(L4463="Sim",ROUND(F4463-D4463,2),0)))</f>
        <v/>
      </c>
      <c r="K4463" s="97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inlineStr">
        <is>
          <t>Nao</t>
        </is>
      </c>
      <c r="W4463" s="110" t="inlineStr">
        <is>
          <t>PC em analise</t>
        </is>
      </c>
      <c r="X4463" s="110" t="inlineStr">
        <is>
          <t>Pedido de Compra</t>
        </is>
      </c>
      <c r="Y4463" s="111" t="inlineStr">
        <is>
          <t>Impacto Potencial</t>
        </is>
      </c>
      <c r="Z4463" s="111" t="inlineStr">
        <is>
          <t>PC</t>
        </is>
      </c>
      <c r="AA4463" s="111" t="inlineStr">
        <is>
          <t>Nao</t>
        </is>
      </c>
      <c r="AB4463" s="111" t="inlineStr">
        <is>
          <t>NAO_COMPUTADO</t>
        </is>
      </c>
      <c r="AC4463" s="112" t="inlineStr">
        <is>
          <t>Estrutura Fase 1: sem impacto no VTA oficial</t>
        </is>
      </c>
    </row>
    <row r="4464" ht="25.5" customHeight="1" s="289">
      <c r="A4464" s="205" t="n"/>
      <c r="B4464" s="207" t="n"/>
      <c r="C4464" s="104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348" t="n"/>
      <c r="E4464" s="349">
        <f>IF(C4464="","",IFERROR(VLOOKUP(C4464,parametros!$A$11:$E$15,5,0),""))</f>
        <v/>
      </c>
      <c r="F4464" s="335">
        <f>IF(OR(D4464="",E4464=""),"",ROUND(D4464*E4464,2))</f>
        <v/>
      </c>
      <c r="G4464" s="106" t="n"/>
      <c r="H4464" s="350">
        <f>IF(G4464="Sim",IF(OR(F4464="",D4464="",L4464=""),"",IF(L4464="Sim",ROUND(F4464-D4464,2),0)),0)</f>
        <v/>
      </c>
      <c r="I4464" s="350">
        <f>IF(G4464="Sim",0,IF(OR(F4464="",L4464=""),"",F4464))</f>
        <v/>
      </c>
      <c r="J4464" s="350">
        <f>IF(G4464="Sim",0,IF(OR(F4464="",D4464="",L4464=""),"",IF(L4464="Sim",ROUND(F4464-D4464,2),0)))</f>
        <v/>
      </c>
      <c r="K4464" s="97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inlineStr">
        <is>
          <t>Nao</t>
        </is>
      </c>
      <c r="W4464" s="110" t="inlineStr">
        <is>
          <t>PC em analise</t>
        </is>
      </c>
      <c r="X4464" s="110" t="inlineStr">
        <is>
          <t>Pedido de Compra</t>
        </is>
      </c>
      <c r="Y4464" s="111" t="inlineStr">
        <is>
          <t>Impacto Potencial</t>
        </is>
      </c>
      <c r="Z4464" s="111" t="inlineStr">
        <is>
          <t>PC</t>
        </is>
      </c>
      <c r="AA4464" s="111" t="inlineStr">
        <is>
          <t>Nao</t>
        </is>
      </c>
      <c r="AB4464" s="111" t="inlineStr">
        <is>
          <t>NAO_COMPUTADO</t>
        </is>
      </c>
      <c r="AC4464" s="112" t="inlineStr">
        <is>
          <t>Estrutura Fase 1: sem impacto no VTA oficial</t>
        </is>
      </c>
    </row>
    <row r="4465" ht="25.5" customHeight="1" s="289">
      <c r="A4465" s="205" t="n"/>
      <c r="B4465" s="207" t="n"/>
      <c r="C4465" s="104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348" t="n"/>
      <c r="E4465" s="349">
        <f>IF(C4465="","",IFERROR(VLOOKUP(C4465,parametros!$A$11:$E$15,5,0),""))</f>
        <v/>
      </c>
      <c r="F4465" s="335">
        <f>IF(OR(D4465="",E4465=""),"",ROUND(D4465*E4465,2))</f>
        <v/>
      </c>
      <c r="G4465" s="106" t="n"/>
      <c r="H4465" s="350">
        <f>IF(G4465="Sim",IF(OR(F4465="",D4465="",L4465=""),"",IF(L4465="Sim",ROUND(F4465-D4465,2),0)),0)</f>
        <v/>
      </c>
      <c r="I4465" s="350">
        <f>IF(G4465="Sim",0,IF(OR(F4465="",L4465=""),"",F4465))</f>
        <v/>
      </c>
      <c r="J4465" s="350">
        <f>IF(G4465="Sim",0,IF(OR(F4465="",D4465="",L4465=""),"",IF(L4465="Sim",ROUND(F4465-D4465,2),0)))</f>
        <v/>
      </c>
      <c r="K4465" s="97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inlineStr">
        <is>
          <t>Nao</t>
        </is>
      </c>
      <c r="W4465" s="110" t="inlineStr">
        <is>
          <t>PC em analise</t>
        </is>
      </c>
      <c r="X4465" s="110" t="inlineStr">
        <is>
          <t>Pedido de Compra</t>
        </is>
      </c>
      <c r="Y4465" s="111" t="inlineStr">
        <is>
          <t>Impacto Potencial</t>
        </is>
      </c>
      <c r="Z4465" s="111" t="inlineStr">
        <is>
          <t>PC</t>
        </is>
      </c>
      <c r="AA4465" s="111" t="inlineStr">
        <is>
          <t>Nao</t>
        </is>
      </c>
      <c r="AB4465" s="111" t="inlineStr">
        <is>
          <t>NAO_COMPUTADO</t>
        </is>
      </c>
      <c r="AC4465" s="112" t="inlineStr">
        <is>
          <t>Estrutura Fase 1: sem impacto no VTA oficial</t>
        </is>
      </c>
    </row>
    <row r="4466" ht="25.5" customHeight="1" s="289">
      <c r="A4466" s="205" t="n"/>
      <c r="B4466" s="207" t="n"/>
      <c r="C4466" s="104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348" t="n"/>
      <c r="E4466" s="349">
        <f>IF(C4466="","",IFERROR(VLOOKUP(C4466,parametros!$A$11:$E$15,5,0),""))</f>
        <v/>
      </c>
      <c r="F4466" s="335">
        <f>IF(OR(D4466="",E4466=""),"",ROUND(D4466*E4466,2))</f>
        <v/>
      </c>
      <c r="G4466" s="106" t="n"/>
      <c r="H4466" s="350">
        <f>IF(G4466="Sim",IF(OR(F4466="",D4466="",L4466=""),"",IF(L4466="Sim",ROUND(F4466-D4466,2),0)),0)</f>
        <v/>
      </c>
      <c r="I4466" s="350">
        <f>IF(G4466="Sim",0,IF(OR(F4466="",L4466=""),"",F4466))</f>
        <v/>
      </c>
      <c r="J4466" s="350">
        <f>IF(G4466="Sim",0,IF(OR(F4466="",D4466="",L4466=""),"",IF(L4466="Sim",ROUND(F4466-D4466,2),0)))</f>
        <v/>
      </c>
      <c r="K4466" s="97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inlineStr">
        <is>
          <t>Nao</t>
        </is>
      </c>
      <c r="W4466" s="110" t="inlineStr">
        <is>
          <t>PC em analise</t>
        </is>
      </c>
      <c r="X4466" s="110" t="inlineStr">
        <is>
          <t>Pedido de Compra</t>
        </is>
      </c>
      <c r="Y4466" s="111" t="inlineStr">
        <is>
          <t>Impacto Potencial</t>
        </is>
      </c>
      <c r="Z4466" s="111" t="inlineStr">
        <is>
          <t>PC</t>
        </is>
      </c>
      <c r="AA4466" s="111" t="inlineStr">
        <is>
          <t>Nao</t>
        </is>
      </c>
      <c r="AB4466" s="111" t="inlineStr">
        <is>
          <t>NAO_COMPUTADO</t>
        </is>
      </c>
      <c r="AC4466" s="112" t="inlineStr">
        <is>
          <t>Estrutura Fase 1: sem impacto no VTA oficial</t>
        </is>
      </c>
    </row>
    <row r="4467" ht="25.5" customHeight="1" s="289">
      <c r="A4467" s="205" t="n"/>
      <c r="B4467" s="207" t="n"/>
      <c r="C4467" s="104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348" t="n"/>
      <c r="E4467" s="349">
        <f>IF(C4467="","",IFERROR(VLOOKUP(C4467,parametros!$A$11:$E$15,5,0),""))</f>
        <v/>
      </c>
      <c r="F4467" s="335">
        <f>IF(OR(D4467="",E4467=""),"",ROUND(D4467*E4467,2))</f>
        <v/>
      </c>
      <c r="G4467" s="106" t="n"/>
      <c r="H4467" s="350">
        <f>IF(G4467="Sim",IF(OR(F4467="",D4467="",L4467=""),"",IF(L4467="Sim",ROUND(F4467-D4467,2),0)),0)</f>
        <v/>
      </c>
      <c r="I4467" s="350">
        <f>IF(G4467="Sim",0,IF(OR(F4467="",L4467=""),"",F4467))</f>
        <v/>
      </c>
      <c r="J4467" s="350">
        <f>IF(G4467="Sim",0,IF(OR(F4467="",D4467="",L4467=""),"",IF(L4467="Sim",ROUND(F4467-D4467,2),0)))</f>
        <v/>
      </c>
      <c r="K4467" s="97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inlineStr">
        <is>
          <t>Nao</t>
        </is>
      </c>
      <c r="W4467" s="110" t="inlineStr">
        <is>
          <t>PC em analise</t>
        </is>
      </c>
      <c r="X4467" s="110" t="inlineStr">
        <is>
          <t>Pedido de Compra</t>
        </is>
      </c>
      <c r="Y4467" s="111" t="inlineStr">
        <is>
          <t>Impacto Potencial</t>
        </is>
      </c>
      <c r="Z4467" s="111" t="inlineStr">
        <is>
          <t>PC</t>
        </is>
      </c>
      <c r="AA4467" s="111" t="inlineStr">
        <is>
          <t>Nao</t>
        </is>
      </c>
      <c r="AB4467" s="111" t="inlineStr">
        <is>
          <t>NAO_COMPUTADO</t>
        </is>
      </c>
      <c r="AC4467" s="112" t="inlineStr">
        <is>
          <t>Estrutura Fase 1: sem impacto no VTA oficial</t>
        </is>
      </c>
    </row>
    <row r="4468" ht="25.5" customHeight="1" s="289">
      <c r="A4468" s="205" t="n"/>
      <c r="B4468" s="207" t="n"/>
      <c r="C4468" s="104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348" t="n"/>
      <c r="E4468" s="349">
        <f>IF(C4468="","",IFERROR(VLOOKUP(C4468,parametros!$A$11:$E$15,5,0),""))</f>
        <v/>
      </c>
      <c r="F4468" s="335">
        <f>IF(OR(D4468="",E4468=""),"",ROUND(D4468*E4468,2))</f>
        <v/>
      </c>
      <c r="G4468" s="106" t="n"/>
      <c r="H4468" s="350">
        <f>IF(G4468="Sim",IF(OR(F4468="",D4468="",L4468=""),"",IF(L4468="Sim",ROUND(F4468-D4468,2),0)),0)</f>
        <v/>
      </c>
      <c r="I4468" s="350">
        <f>IF(G4468="Sim",0,IF(OR(F4468="",L4468=""),"",F4468))</f>
        <v/>
      </c>
      <c r="J4468" s="350">
        <f>IF(G4468="Sim",0,IF(OR(F4468="",D4468="",L4468=""),"",IF(L4468="Sim",ROUND(F4468-D4468,2),0)))</f>
        <v/>
      </c>
      <c r="K4468" s="97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inlineStr">
        <is>
          <t>Nao</t>
        </is>
      </c>
      <c r="W4468" s="110" t="inlineStr">
        <is>
          <t>PC em analise</t>
        </is>
      </c>
      <c r="X4468" s="110" t="inlineStr">
        <is>
          <t>Pedido de Compra</t>
        </is>
      </c>
      <c r="Y4468" s="111" t="inlineStr">
        <is>
          <t>Impacto Potencial</t>
        </is>
      </c>
      <c r="Z4468" s="111" t="inlineStr">
        <is>
          <t>PC</t>
        </is>
      </c>
      <c r="AA4468" s="111" t="inlineStr">
        <is>
          <t>Nao</t>
        </is>
      </c>
      <c r="AB4468" s="111" t="inlineStr">
        <is>
          <t>NAO_COMPUTADO</t>
        </is>
      </c>
      <c r="AC4468" s="112" t="inlineStr">
        <is>
          <t>Estrutura Fase 1: sem impacto no VTA oficial</t>
        </is>
      </c>
    </row>
    <row r="4469" ht="25.5" customHeight="1" s="289">
      <c r="A4469" s="205" t="n"/>
      <c r="B4469" s="207" t="n"/>
      <c r="C4469" s="104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348" t="n"/>
      <c r="E4469" s="349">
        <f>IF(C4469="","",IFERROR(VLOOKUP(C4469,parametros!$A$11:$E$15,5,0),""))</f>
        <v/>
      </c>
      <c r="F4469" s="335">
        <f>IF(OR(D4469="",E4469=""),"",ROUND(D4469*E4469,2))</f>
        <v/>
      </c>
      <c r="G4469" s="106" t="n"/>
      <c r="H4469" s="350">
        <f>IF(G4469="Sim",IF(OR(F4469="",D4469="",L4469=""),"",IF(L4469="Sim",ROUND(F4469-D4469,2),0)),0)</f>
        <v/>
      </c>
      <c r="I4469" s="350">
        <f>IF(G4469="Sim",0,IF(OR(F4469="",L4469=""),"",F4469))</f>
        <v/>
      </c>
      <c r="J4469" s="350">
        <f>IF(G4469="Sim",0,IF(OR(F4469="",D4469="",L4469=""),"",IF(L4469="Sim",ROUND(F4469-D4469,2),0)))</f>
        <v/>
      </c>
      <c r="K4469" s="97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inlineStr">
        <is>
          <t>Nao</t>
        </is>
      </c>
      <c r="W4469" s="110" t="inlineStr">
        <is>
          <t>PC em analise</t>
        </is>
      </c>
      <c r="X4469" s="110" t="inlineStr">
        <is>
          <t>Pedido de Compra</t>
        </is>
      </c>
      <c r="Y4469" s="111" t="inlineStr">
        <is>
          <t>Impacto Potencial</t>
        </is>
      </c>
      <c r="Z4469" s="111" t="inlineStr">
        <is>
          <t>PC</t>
        </is>
      </c>
      <c r="AA4469" s="111" t="inlineStr">
        <is>
          <t>Nao</t>
        </is>
      </c>
      <c r="AB4469" s="111" t="inlineStr">
        <is>
          <t>NAO_COMPUTADO</t>
        </is>
      </c>
      <c r="AC4469" s="112" t="inlineStr">
        <is>
          <t>Estrutura Fase 1: sem impacto no VTA oficial</t>
        </is>
      </c>
    </row>
    <row r="4470" ht="25.5" customHeight="1" s="289">
      <c r="A4470" s="205" t="n"/>
      <c r="B4470" s="207" t="n"/>
      <c r="C4470" s="104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348" t="n"/>
      <c r="E4470" s="349">
        <f>IF(C4470="","",IFERROR(VLOOKUP(C4470,parametros!$A$11:$E$15,5,0),""))</f>
        <v/>
      </c>
      <c r="F4470" s="335">
        <f>IF(OR(D4470="",E4470=""),"",ROUND(D4470*E4470,2))</f>
        <v/>
      </c>
      <c r="G4470" s="106" t="n"/>
      <c r="H4470" s="350">
        <f>IF(G4470="Sim",IF(OR(F4470="",D4470="",L4470=""),"",IF(L4470="Sim",ROUND(F4470-D4470,2),0)),0)</f>
        <v/>
      </c>
      <c r="I4470" s="350">
        <f>IF(G4470="Sim",0,IF(OR(F4470="",L4470=""),"",F4470))</f>
        <v/>
      </c>
      <c r="J4470" s="350">
        <f>IF(G4470="Sim",0,IF(OR(F4470="",D4470="",L4470=""),"",IF(L4470="Sim",ROUND(F4470-D4470,2),0)))</f>
        <v/>
      </c>
      <c r="K4470" s="97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inlineStr">
        <is>
          <t>Nao</t>
        </is>
      </c>
      <c r="W4470" s="110" t="inlineStr">
        <is>
          <t>PC em analise</t>
        </is>
      </c>
      <c r="X4470" s="110" t="inlineStr">
        <is>
          <t>Pedido de Compra</t>
        </is>
      </c>
      <c r="Y4470" s="111" t="inlineStr">
        <is>
          <t>Impacto Potencial</t>
        </is>
      </c>
      <c r="Z4470" s="111" t="inlineStr">
        <is>
          <t>PC</t>
        </is>
      </c>
      <c r="AA4470" s="111" t="inlineStr">
        <is>
          <t>Nao</t>
        </is>
      </c>
      <c r="AB4470" s="111" t="inlineStr">
        <is>
          <t>NAO_COMPUTADO</t>
        </is>
      </c>
      <c r="AC4470" s="112" t="inlineStr">
        <is>
          <t>Estrutura Fase 1: sem impacto no VTA oficial</t>
        </is>
      </c>
    </row>
    <row r="4471" ht="25.5" customHeight="1" s="289">
      <c r="A4471" s="205" t="n"/>
      <c r="B4471" s="207" t="n"/>
      <c r="C4471" s="104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348" t="n"/>
      <c r="E4471" s="349">
        <f>IF(C4471="","",IFERROR(VLOOKUP(C4471,parametros!$A$11:$E$15,5,0),""))</f>
        <v/>
      </c>
      <c r="F4471" s="335">
        <f>IF(OR(D4471="",E4471=""),"",ROUND(D4471*E4471,2))</f>
        <v/>
      </c>
      <c r="G4471" s="106" t="n"/>
      <c r="H4471" s="350">
        <f>IF(G4471="Sim",IF(OR(F4471="",D4471="",L4471=""),"",IF(L4471="Sim",ROUND(F4471-D4471,2),0)),0)</f>
        <v/>
      </c>
      <c r="I4471" s="350">
        <f>IF(G4471="Sim",0,IF(OR(F4471="",L4471=""),"",F4471))</f>
        <v/>
      </c>
      <c r="J4471" s="350">
        <f>IF(G4471="Sim",0,IF(OR(F4471="",D4471="",L4471=""),"",IF(L4471="Sim",ROUND(F4471-D4471,2),0)))</f>
        <v/>
      </c>
      <c r="K4471" s="97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inlineStr">
        <is>
          <t>Nao</t>
        </is>
      </c>
      <c r="W4471" s="110" t="inlineStr">
        <is>
          <t>PC em analise</t>
        </is>
      </c>
      <c r="X4471" s="110" t="inlineStr">
        <is>
          <t>Pedido de Compra</t>
        </is>
      </c>
      <c r="Y4471" s="111" t="inlineStr">
        <is>
          <t>Impacto Potencial</t>
        </is>
      </c>
      <c r="Z4471" s="111" t="inlineStr">
        <is>
          <t>PC</t>
        </is>
      </c>
      <c r="AA4471" s="111" t="inlineStr">
        <is>
          <t>Nao</t>
        </is>
      </c>
      <c r="AB4471" s="111" t="inlineStr">
        <is>
          <t>NAO_COMPUTADO</t>
        </is>
      </c>
      <c r="AC4471" s="112" t="inlineStr">
        <is>
          <t>Estrutura Fase 1: sem impacto no VTA oficial</t>
        </is>
      </c>
    </row>
    <row r="4472" ht="25.5" customHeight="1" s="289">
      <c r="A4472" s="205" t="n"/>
      <c r="B4472" s="207" t="n"/>
      <c r="C4472" s="104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348" t="n"/>
      <c r="E4472" s="349">
        <f>IF(C4472="","",IFERROR(VLOOKUP(C4472,parametros!$A$11:$E$15,5,0),""))</f>
        <v/>
      </c>
      <c r="F4472" s="335">
        <f>IF(OR(D4472="",E4472=""),"",ROUND(D4472*E4472,2))</f>
        <v/>
      </c>
      <c r="G4472" s="106" t="n"/>
      <c r="H4472" s="350">
        <f>IF(G4472="Sim",IF(OR(F4472="",D4472="",L4472=""),"",IF(L4472="Sim",ROUND(F4472-D4472,2),0)),0)</f>
        <v/>
      </c>
      <c r="I4472" s="350">
        <f>IF(G4472="Sim",0,IF(OR(F4472="",L4472=""),"",F4472))</f>
        <v/>
      </c>
      <c r="J4472" s="350">
        <f>IF(G4472="Sim",0,IF(OR(F4472="",D4472="",L4472=""),"",IF(L4472="Sim",ROUND(F4472-D4472,2),0)))</f>
        <v/>
      </c>
      <c r="K4472" s="97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inlineStr">
        <is>
          <t>Nao</t>
        </is>
      </c>
      <c r="W4472" s="110" t="inlineStr">
        <is>
          <t>PC em analise</t>
        </is>
      </c>
      <c r="X4472" s="110" t="inlineStr">
        <is>
          <t>Pedido de Compra</t>
        </is>
      </c>
      <c r="Y4472" s="111" t="inlineStr">
        <is>
          <t>Impacto Potencial</t>
        </is>
      </c>
      <c r="Z4472" s="111" t="inlineStr">
        <is>
          <t>PC</t>
        </is>
      </c>
      <c r="AA4472" s="111" t="inlineStr">
        <is>
          <t>Nao</t>
        </is>
      </c>
      <c r="AB4472" s="111" t="inlineStr">
        <is>
          <t>NAO_COMPUTADO</t>
        </is>
      </c>
      <c r="AC4472" s="112" t="inlineStr">
        <is>
          <t>Estrutura Fase 1: sem impacto no VTA oficial</t>
        </is>
      </c>
    </row>
    <row r="4473" ht="25.5" customHeight="1" s="289">
      <c r="A4473" s="205" t="n"/>
      <c r="B4473" s="207" t="n"/>
      <c r="C4473" s="104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348" t="n"/>
      <c r="E4473" s="349">
        <f>IF(C4473="","",IFERROR(VLOOKUP(C4473,parametros!$A$11:$E$15,5,0),""))</f>
        <v/>
      </c>
      <c r="F4473" s="335">
        <f>IF(OR(D4473="",E4473=""),"",ROUND(D4473*E4473,2))</f>
        <v/>
      </c>
      <c r="G4473" s="106" t="n"/>
      <c r="H4473" s="350">
        <f>IF(G4473="Sim",IF(OR(F4473="",D4473="",L4473=""),"",IF(L4473="Sim",ROUND(F4473-D4473,2),0)),0)</f>
        <v/>
      </c>
      <c r="I4473" s="350">
        <f>IF(G4473="Sim",0,IF(OR(F4473="",L4473=""),"",F4473))</f>
        <v/>
      </c>
      <c r="J4473" s="350">
        <f>IF(G4473="Sim",0,IF(OR(F4473="",D4473="",L4473=""),"",IF(L4473="Sim",ROUND(F4473-D4473,2),0)))</f>
        <v/>
      </c>
      <c r="K4473" s="97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inlineStr">
        <is>
          <t>Nao</t>
        </is>
      </c>
      <c r="W4473" s="110" t="inlineStr">
        <is>
          <t>PC em analise</t>
        </is>
      </c>
      <c r="X4473" s="110" t="inlineStr">
        <is>
          <t>Pedido de Compra</t>
        </is>
      </c>
      <c r="Y4473" s="111" t="inlineStr">
        <is>
          <t>Impacto Potencial</t>
        </is>
      </c>
      <c r="Z4473" s="111" t="inlineStr">
        <is>
          <t>PC</t>
        </is>
      </c>
      <c r="AA4473" s="111" t="inlineStr">
        <is>
          <t>Nao</t>
        </is>
      </c>
      <c r="AB4473" s="111" t="inlineStr">
        <is>
          <t>NAO_COMPUTADO</t>
        </is>
      </c>
      <c r="AC4473" s="112" t="inlineStr">
        <is>
          <t>Estrutura Fase 1: sem impacto no VTA oficial</t>
        </is>
      </c>
    </row>
    <row r="4474" ht="25.5" customHeight="1" s="289">
      <c r="A4474" s="205" t="n"/>
      <c r="B4474" s="207" t="n"/>
      <c r="C4474" s="104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348" t="n"/>
      <c r="E4474" s="349">
        <f>IF(C4474="","",IFERROR(VLOOKUP(C4474,parametros!$A$11:$E$15,5,0),""))</f>
        <v/>
      </c>
      <c r="F4474" s="335">
        <f>IF(OR(D4474="",E4474=""),"",ROUND(D4474*E4474,2))</f>
        <v/>
      </c>
      <c r="G4474" s="106" t="n"/>
      <c r="H4474" s="350">
        <f>IF(G4474="Sim",IF(OR(F4474="",D4474="",L4474=""),"",IF(L4474="Sim",ROUND(F4474-D4474,2),0)),0)</f>
        <v/>
      </c>
      <c r="I4474" s="350">
        <f>IF(G4474="Sim",0,IF(OR(F4474="",L4474=""),"",F4474))</f>
        <v/>
      </c>
      <c r="J4474" s="350">
        <f>IF(G4474="Sim",0,IF(OR(F4474="",D4474="",L4474=""),"",IF(L4474="Sim",ROUND(F4474-D4474,2),0)))</f>
        <v/>
      </c>
      <c r="K4474" s="97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inlineStr">
        <is>
          <t>Nao</t>
        </is>
      </c>
      <c r="W4474" s="110" t="inlineStr">
        <is>
          <t>PC em analise</t>
        </is>
      </c>
      <c r="X4474" s="110" t="inlineStr">
        <is>
          <t>Pedido de Compra</t>
        </is>
      </c>
      <c r="Y4474" s="111" t="inlineStr">
        <is>
          <t>Impacto Potencial</t>
        </is>
      </c>
      <c r="Z4474" s="111" t="inlineStr">
        <is>
          <t>PC</t>
        </is>
      </c>
      <c r="AA4474" s="111" t="inlineStr">
        <is>
          <t>Nao</t>
        </is>
      </c>
      <c r="AB4474" s="111" t="inlineStr">
        <is>
          <t>NAO_COMPUTADO</t>
        </is>
      </c>
      <c r="AC4474" s="112" t="inlineStr">
        <is>
          <t>Estrutura Fase 1: sem impacto no VTA oficial</t>
        </is>
      </c>
    </row>
    <row r="4475" ht="25.5" customHeight="1" s="289">
      <c r="A4475" s="205" t="n"/>
      <c r="B4475" s="207" t="n"/>
      <c r="C4475" s="104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348" t="n"/>
      <c r="E4475" s="349">
        <f>IF(C4475="","",IFERROR(VLOOKUP(C4475,parametros!$A$11:$E$15,5,0),""))</f>
        <v/>
      </c>
      <c r="F4475" s="335">
        <f>IF(OR(D4475="",E4475=""),"",ROUND(D4475*E4475,2))</f>
        <v/>
      </c>
      <c r="G4475" s="106" t="n"/>
      <c r="H4475" s="350">
        <f>IF(G4475="Sim",IF(OR(F4475="",D4475="",L4475=""),"",IF(L4475="Sim",ROUND(F4475-D4475,2),0)),0)</f>
        <v/>
      </c>
      <c r="I4475" s="350">
        <f>IF(G4475="Sim",0,IF(OR(F4475="",L4475=""),"",F4475))</f>
        <v/>
      </c>
      <c r="J4475" s="350">
        <f>IF(G4475="Sim",0,IF(OR(F4475="",D4475="",L4475=""),"",IF(L4475="Sim",ROUND(F4475-D4475,2),0)))</f>
        <v/>
      </c>
      <c r="K4475" s="97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inlineStr">
        <is>
          <t>Nao</t>
        </is>
      </c>
      <c r="W4475" s="110" t="inlineStr">
        <is>
          <t>PC em analise</t>
        </is>
      </c>
      <c r="X4475" s="110" t="inlineStr">
        <is>
          <t>Pedido de Compra</t>
        </is>
      </c>
      <c r="Y4475" s="111" t="inlineStr">
        <is>
          <t>Impacto Potencial</t>
        </is>
      </c>
      <c r="Z4475" s="111" t="inlineStr">
        <is>
          <t>PC</t>
        </is>
      </c>
      <c r="AA4475" s="111" t="inlineStr">
        <is>
          <t>Nao</t>
        </is>
      </c>
      <c r="AB4475" s="111" t="inlineStr">
        <is>
          <t>NAO_COMPUTADO</t>
        </is>
      </c>
      <c r="AC4475" s="112" t="inlineStr">
        <is>
          <t>Estrutura Fase 1: sem impacto no VTA oficial</t>
        </is>
      </c>
    </row>
    <row r="4476" ht="25.5" customHeight="1" s="289">
      <c r="A4476" s="205" t="n"/>
      <c r="B4476" s="207" t="n"/>
      <c r="C4476" s="104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348" t="n"/>
      <c r="E4476" s="349">
        <f>IF(C4476="","",IFERROR(VLOOKUP(C4476,parametros!$A$11:$E$15,5,0),""))</f>
        <v/>
      </c>
      <c r="F4476" s="335">
        <f>IF(OR(D4476="",E4476=""),"",ROUND(D4476*E4476,2))</f>
        <v/>
      </c>
      <c r="G4476" s="106" t="n"/>
      <c r="H4476" s="350">
        <f>IF(G4476="Sim",IF(OR(F4476="",D4476="",L4476=""),"",IF(L4476="Sim",ROUND(F4476-D4476,2),0)),0)</f>
        <v/>
      </c>
      <c r="I4476" s="350">
        <f>IF(G4476="Sim",0,IF(OR(F4476="",L4476=""),"",F4476))</f>
        <v/>
      </c>
      <c r="J4476" s="350">
        <f>IF(G4476="Sim",0,IF(OR(F4476="",D4476="",L4476=""),"",IF(L4476="Sim",ROUND(F4476-D4476,2),0)))</f>
        <v/>
      </c>
      <c r="K4476" s="97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inlineStr">
        <is>
          <t>Nao</t>
        </is>
      </c>
      <c r="W4476" s="110" t="inlineStr">
        <is>
          <t>PC em analise</t>
        </is>
      </c>
      <c r="X4476" s="110" t="inlineStr">
        <is>
          <t>Pedido de Compra</t>
        </is>
      </c>
      <c r="Y4476" s="111" t="inlineStr">
        <is>
          <t>Impacto Potencial</t>
        </is>
      </c>
      <c r="Z4476" s="111" t="inlineStr">
        <is>
          <t>PC</t>
        </is>
      </c>
      <c r="AA4476" s="111" t="inlineStr">
        <is>
          <t>Nao</t>
        </is>
      </c>
      <c r="AB4476" s="111" t="inlineStr">
        <is>
          <t>NAO_COMPUTADO</t>
        </is>
      </c>
      <c r="AC4476" s="112" t="inlineStr">
        <is>
          <t>Estrutura Fase 1: sem impacto no VTA oficial</t>
        </is>
      </c>
    </row>
    <row r="4477" ht="25.5" customHeight="1" s="289">
      <c r="A4477" s="205" t="n"/>
      <c r="B4477" s="207" t="n"/>
      <c r="C4477" s="104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348" t="n"/>
      <c r="E4477" s="349">
        <f>IF(C4477="","",IFERROR(VLOOKUP(C4477,parametros!$A$11:$E$15,5,0),""))</f>
        <v/>
      </c>
      <c r="F4477" s="335">
        <f>IF(OR(D4477="",E4477=""),"",ROUND(D4477*E4477,2))</f>
        <v/>
      </c>
      <c r="G4477" s="106" t="n"/>
      <c r="H4477" s="350">
        <f>IF(G4477="Sim",IF(OR(F4477="",D4477="",L4477=""),"",IF(L4477="Sim",ROUND(F4477-D4477,2),0)),0)</f>
        <v/>
      </c>
      <c r="I4477" s="350">
        <f>IF(G4477="Sim",0,IF(OR(F4477="",L4477=""),"",F4477))</f>
        <v/>
      </c>
      <c r="J4477" s="350">
        <f>IF(G4477="Sim",0,IF(OR(F4477="",D4477="",L4477=""),"",IF(L4477="Sim",ROUND(F4477-D4477,2),0)))</f>
        <v/>
      </c>
      <c r="K4477" s="97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inlineStr">
        <is>
          <t>Nao</t>
        </is>
      </c>
      <c r="W4477" s="110" t="inlineStr">
        <is>
          <t>PC em analise</t>
        </is>
      </c>
      <c r="X4477" s="110" t="inlineStr">
        <is>
          <t>Pedido de Compra</t>
        </is>
      </c>
      <c r="Y4477" s="111" t="inlineStr">
        <is>
          <t>Impacto Potencial</t>
        </is>
      </c>
      <c r="Z4477" s="111" t="inlineStr">
        <is>
          <t>PC</t>
        </is>
      </c>
      <c r="AA4477" s="111" t="inlineStr">
        <is>
          <t>Nao</t>
        </is>
      </c>
      <c r="AB4477" s="111" t="inlineStr">
        <is>
          <t>NAO_COMPUTADO</t>
        </is>
      </c>
      <c r="AC4477" s="112" t="inlineStr">
        <is>
          <t>Estrutura Fase 1: sem impacto no VTA oficial</t>
        </is>
      </c>
    </row>
    <row r="4478" ht="25.5" customHeight="1" s="289">
      <c r="A4478" s="205" t="n"/>
      <c r="B4478" s="207" t="n"/>
      <c r="C4478" s="104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348" t="n"/>
      <c r="E4478" s="349">
        <f>IF(C4478="","",IFERROR(VLOOKUP(C4478,parametros!$A$11:$E$15,5,0),""))</f>
        <v/>
      </c>
      <c r="F4478" s="335">
        <f>IF(OR(D4478="",E4478=""),"",ROUND(D4478*E4478,2))</f>
        <v/>
      </c>
      <c r="G4478" s="106" t="n"/>
      <c r="H4478" s="350">
        <f>IF(G4478="Sim",IF(OR(F4478="",D4478="",L4478=""),"",IF(L4478="Sim",ROUND(F4478-D4478,2),0)),0)</f>
        <v/>
      </c>
      <c r="I4478" s="350">
        <f>IF(G4478="Sim",0,IF(OR(F4478="",L4478=""),"",F4478))</f>
        <v/>
      </c>
      <c r="J4478" s="350">
        <f>IF(G4478="Sim",0,IF(OR(F4478="",D4478="",L4478=""),"",IF(L4478="Sim",ROUND(F4478-D4478,2),0)))</f>
        <v/>
      </c>
      <c r="K4478" s="97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inlineStr">
        <is>
          <t>Nao</t>
        </is>
      </c>
      <c r="W4478" s="110" t="inlineStr">
        <is>
          <t>PC em analise</t>
        </is>
      </c>
      <c r="X4478" s="110" t="inlineStr">
        <is>
          <t>Pedido de Compra</t>
        </is>
      </c>
      <c r="Y4478" s="111" t="inlineStr">
        <is>
          <t>Impacto Potencial</t>
        </is>
      </c>
      <c r="Z4478" s="111" t="inlineStr">
        <is>
          <t>PC</t>
        </is>
      </c>
      <c r="AA4478" s="111" t="inlineStr">
        <is>
          <t>Nao</t>
        </is>
      </c>
      <c r="AB4478" s="111" t="inlineStr">
        <is>
          <t>NAO_COMPUTADO</t>
        </is>
      </c>
      <c r="AC4478" s="112" t="inlineStr">
        <is>
          <t>Estrutura Fase 1: sem impacto no VTA oficial</t>
        </is>
      </c>
    </row>
    <row r="4479" ht="25.5" customHeight="1" s="289">
      <c r="A4479" s="205" t="n"/>
      <c r="B4479" s="207" t="n"/>
      <c r="C4479" s="104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348" t="n"/>
      <c r="E4479" s="349">
        <f>IF(C4479="","",IFERROR(VLOOKUP(C4479,parametros!$A$11:$E$15,5,0),""))</f>
        <v/>
      </c>
      <c r="F4479" s="335">
        <f>IF(OR(D4479="",E4479=""),"",ROUND(D4479*E4479,2))</f>
        <v/>
      </c>
      <c r="G4479" s="106" t="n"/>
      <c r="H4479" s="350">
        <f>IF(G4479="Sim",IF(OR(F4479="",D4479="",L4479=""),"",IF(L4479="Sim",ROUND(F4479-D4479,2),0)),0)</f>
        <v/>
      </c>
      <c r="I4479" s="350">
        <f>IF(G4479="Sim",0,IF(OR(F4479="",L4479=""),"",F4479))</f>
        <v/>
      </c>
      <c r="J4479" s="350">
        <f>IF(G4479="Sim",0,IF(OR(F4479="",D4479="",L4479=""),"",IF(L4479="Sim",ROUND(F4479-D4479,2),0)))</f>
        <v/>
      </c>
      <c r="K4479" s="97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inlineStr">
        <is>
          <t>Nao</t>
        </is>
      </c>
      <c r="W4479" s="110" t="inlineStr">
        <is>
          <t>PC em analise</t>
        </is>
      </c>
      <c r="X4479" s="110" t="inlineStr">
        <is>
          <t>Pedido de Compra</t>
        </is>
      </c>
      <c r="Y4479" s="111" t="inlineStr">
        <is>
          <t>Impacto Potencial</t>
        </is>
      </c>
      <c r="Z4479" s="111" t="inlineStr">
        <is>
          <t>PC</t>
        </is>
      </c>
      <c r="AA4479" s="111" t="inlineStr">
        <is>
          <t>Nao</t>
        </is>
      </c>
      <c r="AB4479" s="111" t="inlineStr">
        <is>
          <t>NAO_COMPUTADO</t>
        </is>
      </c>
      <c r="AC4479" s="112" t="inlineStr">
        <is>
          <t>Estrutura Fase 1: sem impacto no VTA oficial</t>
        </is>
      </c>
    </row>
    <row r="4480" ht="25.5" customHeight="1" s="289">
      <c r="A4480" s="205" t="n"/>
      <c r="B4480" s="207" t="n"/>
      <c r="C4480" s="104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348" t="n"/>
      <c r="E4480" s="349">
        <f>IF(C4480="","",IFERROR(VLOOKUP(C4480,parametros!$A$11:$E$15,5,0),""))</f>
        <v/>
      </c>
      <c r="F4480" s="335">
        <f>IF(OR(D4480="",E4480=""),"",ROUND(D4480*E4480,2))</f>
        <v/>
      </c>
      <c r="G4480" s="106" t="n"/>
      <c r="H4480" s="350">
        <f>IF(G4480="Sim",IF(OR(F4480="",D4480="",L4480=""),"",IF(L4480="Sim",ROUND(F4480-D4480,2),0)),0)</f>
        <v/>
      </c>
      <c r="I4480" s="350">
        <f>IF(G4480="Sim",0,IF(OR(F4480="",L4480=""),"",F4480))</f>
        <v/>
      </c>
      <c r="J4480" s="350">
        <f>IF(G4480="Sim",0,IF(OR(F4480="",D4480="",L4480=""),"",IF(L4480="Sim",ROUND(F4480-D4480,2),0)))</f>
        <v/>
      </c>
      <c r="K4480" s="97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inlineStr">
        <is>
          <t>Nao</t>
        </is>
      </c>
      <c r="W4480" s="110" t="inlineStr">
        <is>
          <t>PC em analise</t>
        </is>
      </c>
      <c r="X4480" s="110" t="inlineStr">
        <is>
          <t>Pedido de Compra</t>
        </is>
      </c>
      <c r="Y4480" s="111" t="inlineStr">
        <is>
          <t>Impacto Potencial</t>
        </is>
      </c>
      <c r="Z4480" s="111" t="inlineStr">
        <is>
          <t>PC</t>
        </is>
      </c>
      <c r="AA4480" s="111" t="inlineStr">
        <is>
          <t>Nao</t>
        </is>
      </c>
      <c r="AB4480" s="111" t="inlineStr">
        <is>
          <t>NAO_COMPUTADO</t>
        </is>
      </c>
      <c r="AC4480" s="112" t="inlineStr">
        <is>
          <t>Estrutura Fase 1: sem impacto no VTA oficial</t>
        </is>
      </c>
    </row>
    <row r="4481" ht="25.5" customHeight="1" s="289">
      <c r="A4481" s="205" t="n"/>
      <c r="B4481" s="207" t="n"/>
      <c r="C4481" s="104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348" t="n"/>
      <c r="E4481" s="349">
        <f>IF(C4481="","",IFERROR(VLOOKUP(C4481,parametros!$A$11:$E$15,5,0),""))</f>
        <v/>
      </c>
      <c r="F4481" s="335">
        <f>IF(OR(D4481="",E4481=""),"",ROUND(D4481*E4481,2))</f>
        <v/>
      </c>
      <c r="G4481" s="106" t="n"/>
      <c r="H4481" s="350">
        <f>IF(G4481="Sim",IF(OR(F4481="",D4481="",L4481=""),"",IF(L4481="Sim",ROUND(F4481-D4481,2),0)),0)</f>
        <v/>
      </c>
      <c r="I4481" s="350">
        <f>IF(G4481="Sim",0,IF(OR(F4481="",L4481=""),"",F4481))</f>
        <v/>
      </c>
      <c r="J4481" s="350">
        <f>IF(G4481="Sim",0,IF(OR(F4481="",D4481="",L4481=""),"",IF(L4481="Sim",ROUND(F4481-D4481,2),0)))</f>
        <v/>
      </c>
      <c r="K4481" s="97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inlineStr">
        <is>
          <t>Nao</t>
        </is>
      </c>
      <c r="W4481" s="110" t="inlineStr">
        <is>
          <t>PC em analise</t>
        </is>
      </c>
      <c r="X4481" s="110" t="inlineStr">
        <is>
          <t>Pedido de Compra</t>
        </is>
      </c>
      <c r="Y4481" s="111" t="inlineStr">
        <is>
          <t>Impacto Potencial</t>
        </is>
      </c>
      <c r="Z4481" s="111" t="inlineStr">
        <is>
          <t>PC</t>
        </is>
      </c>
      <c r="AA4481" s="111" t="inlineStr">
        <is>
          <t>Nao</t>
        </is>
      </c>
      <c r="AB4481" s="111" t="inlineStr">
        <is>
          <t>NAO_COMPUTADO</t>
        </is>
      </c>
      <c r="AC4481" s="112" t="inlineStr">
        <is>
          <t>Estrutura Fase 1: sem impacto no VTA oficial</t>
        </is>
      </c>
    </row>
    <row r="4482" ht="25.5" customHeight="1" s="289">
      <c r="A4482" s="205" t="n"/>
      <c r="B4482" s="207" t="n"/>
      <c r="C4482" s="104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348" t="n"/>
      <c r="E4482" s="349">
        <f>IF(C4482="","",IFERROR(VLOOKUP(C4482,parametros!$A$11:$E$15,5,0),""))</f>
        <v/>
      </c>
      <c r="F4482" s="335">
        <f>IF(OR(D4482="",E4482=""),"",ROUND(D4482*E4482,2))</f>
        <v/>
      </c>
      <c r="G4482" s="106" t="n"/>
      <c r="H4482" s="350">
        <f>IF(G4482="Sim",IF(OR(F4482="",D4482="",L4482=""),"",IF(L4482="Sim",ROUND(F4482-D4482,2),0)),0)</f>
        <v/>
      </c>
      <c r="I4482" s="350">
        <f>IF(G4482="Sim",0,IF(OR(F4482="",L4482=""),"",F4482))</f>
        <v/>
      </c>
      <c r="J4482" s="350">
        <f>IF(G4482="Sim",0,IF(OR(F4482="",D4482="",L4482=""),"",IF(L4482="Sim",ROUND(F4482-D4482,2),0)))</f>
        <v/>
      </c>
      <c r="K4482" s="97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inlineStr">
        <is>
          <t>Nao</t>
        </is>
      </c>
      <c r="W4482" s="110" t="inlineStr">
        <is>
          <t>PC em analise</t>
        </is>
      </c>
      <c r="X4482" s="110" t="inlineStr">
        <is>
          <t>Pedido de Compra</t>
        </is>
      </c>
      <c r="Y4482" s="111" t="inlineStr">
        <is>
          <t>Impacto Potencial</t>
        </is>
      </c>
      <c r="Z4482" s="111" t="inlineStr">
        <is>
          <t>PC</t>
        </is>
      </c>
      <c r="AA4482" s="111" t="inlineStr">
        <is>
          <t>Nao</t>
        </is>
      </c>
      <c r="AB4482" s="111" t="inlineStr">
        <is>
          <t>NAO_COMPUTADO</t>
        </is>
      </c>
      <c r="AC4482" s="112" t="inlineStr">
        <is>
          <t>Estrutura Fase 1: sem impacto no VTA oficial</t>
        </is>
      </c>
    </row>
    <row r="4483" ht="25.5" customHeight="1" s="289">
      <c r="A4483" s="205" t="n"/>
      <c r="B4483" s="207" t="n"/>
      <c r="C4483" s="104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348" t="n"/>
      <c r="E4483" s="349">
        <f>IF(C4483="","",IFERROR(VLOOKUP(C4483,parametros!$A$11:$E$15,5,0),""))</f>
        <v/>
      </c>
      <c r="F4483" s="335">
        <f>IF(OR(D4483="",E4483=""),"",ROUND(D4483*E4483,2))</f>
        <v/>
      </c>
      <c r="G4483" s="106" t="n"/>
      <c r="H4483" s="350">
        <f>IF(G4483="Sim",IF(OR(F4483="",D4483="",L4483=""),"",IF(L4483="Sim",ROUND(F4483-D4483,2),0)),0)</f>
        <v/>
      </c>
      <c r="I4483" s="350">
        <f>IF(G4483="Sim",0,IF(OR(F4483="",L4483=""),"",F4483))</f>
        <v/>
      </c>
      <c r="J4483" s="350">
        <f>IF(G4483="Sim",0,IF(OR(F4483="",D4483="",L4483=""),"",IF(L4483="Sim",ROUND(F4483-D4483,2),0)))</f>
        <v/>
      </c>
      <c r="K4483" s="97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inlineStr">
        <is>
          <t>Nao</t>
        </is>
      </c>
      <c r="W4483" s="110" t="inlineStr">
        <is>
          <t>PC em analise</t>
        </is>
      </c>
      <c r="X4483" s="110" t="inlineStr">
        <is>
          <t>Pedido de Compra</t>
        </is>
      </c>
      <c r="Y4483" s="111" t="inlineStr">
        <is>
          <t>Impacto Potencial</t>
        </is>
      </c>
      <c r="Z4483" s="111" t="inlineStr">
        <is>
          <t>PC</t>
        </is>
      </c>
      <c r="AA4483" s="111" t="inlineStr">
        <is>
          <t>Nao</t>
        </is>
      </c>
      <c r="AB4483" s="111" t="inlineStr">
        <is>
          <t>NAO_COMPUTADO</t>
        </is>
      </c>
      <c r="AC4483" s="112" t="inlineStr">
        <is>
          <t>Estrutura Fase 1: sem impacto no VTA oficial</t>
        </is>
      </c>
    </row>
    <row r="4484" ht="25.5" customHeight="1" s="289">
      <c r="A4484" s="205" t="n"/>
      <c r="B4484" s="207" t="n"/>
      <c r="C4484" s="104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348" t="n"/>
      <c r="E4484" s="349">
        <f>IF(C4484="","",IFERROR(VLOOKUP(C4484,parametros!$A$11:$E$15,5,0),""))</f>
        <v/>
      </c>
      <c r="F4484" s="335">
        <f>IF(OR(D4484="",E4484=""),"",ROUND(D4484*E4484,2))</f>
        <v/>
      </c>
      <c r="G4484" s="106" t="n"/>
      <c r="H4484" s="350">
        <f>IF(G4484="Sim",IF(OR(F4484="",D4484="",L4484=""),"",IF(L4484="Sim",ROUND(F4484-D4484,2),0)),0)</f>
        <v/>
      </c>
      <c r="I4484" s="350">
        <f>IF(G4484="Sim",0,IF(OR(F4484="",L4484=""),"",F4484))</f>
        <v/>
      </c>
      <c r="J4484" s="350">
        <f>IF(G4484="Sim",0,IF(OR(F4484="",D4484="",L4484=""),"",IF(L4484="Sim",ROUND(F4484-D4484,2),0)))</f>
        <v/>
      </c>
      <c r="K4484" s="97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inlineStr">
        <is>
          <t>Nao</t>
        </is>
      </c>
      <c r="W4484" s="110" t="inlineStr">
        <is>
          <t>PC em analise</t>
        </is>
      </c>
      <c r="X4484" s="110" t="inlineStr">
        <is>
          <t>Pedido de Compra</t>
        </is>
      </c>
      <c r="Y4484" s="111" t="inlineStr">
        <is>
          <t>Impacto Potencial</t>
        </is>
      </c>
      <c r="Z4484" s="111" t="inlineStr">
        <is>
          <t>PC</t>
        </is>
      </c>
      <c r="AA4484" s="111" t="inlineStr">
        <is>
          <t>Nao</t>
        </is>
      </c>
      <c r="AB4484" s="111" t="inlineStr">
        <is>
          <t>NAO_COMPUTADO</t>
        </is>
      </c>
      <c r="AC4484" s="112" t="inlineStr">
        <is>
          <t>Estrutura Fase 1: sem impacto no VTA oficial</t>
        </is>
      </c>
    </row>
    <row r="4485" ht="25.5" customHeight="1" s="289">
      <c r="A4485" s="205" t="n"/>
      <c r="B4485" s="207" t="n"/>
      <c r="C4485" s="104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348" t="n"/>
      <c r="E4485" s="349">
        <f>IF(C4485="","",IFERROR(VLOOKUP(C4485,parametros!$A$11:$E$15,5,0),""))</f>
        <v/>
      </c>
      <c r="F4485" s="335">
        <f>IF(OR(D4485="",E4485=""),"",ROUND(D4485*E4485,2))</f>
        <v/>
      </c>
      <c r="G4485" s="106" t="n"/>
      <c r="H4485" s="350">
        <f>IF(G4485="Sim",IF(OR(F4485="",D4485="",L4485=""),"",IF(L4485="Sim",ROUND(F4485-D4485,2),0)),0)</f>
        <v/>
      </c>
      <c r="I4485" s="350">
        <f>IF(G4485="Sim",0,IF(OR(F4485="",L4485=""),"",F4485))</f>
        <v/>
      </c>
      <c r="J4485" s="350">
        <f>IF(G4485="Sim",0,IF(OR(F4485="",D4485="",L4485=""),"",IF(L4485="Sim",ROUND(F4485-D4485,2),0)))</f>
        <v/>
      </c>
      <c r="K4485" s="97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inlineStr">
        <is>
          <t>Nao</t>
        </is>
      </c>
      <c r="W4485" s="110" t="inlineStr">
        <is>
          <t>PC em analise</t>
        </is>
      </c>
      <c r="X4485" s="110" t="inlineStr">
        <is>
          <t>Pedido de Compra</t>
        </is>
      </c>
      <c r="Y4485" s="111" t="inlineStr">
        <is>
          <t>Impacto Potencial</t>
        </is>
      </c>
      <c r="Z4485" s="111" t="inlineStr">
        <is>
          <t>PC</t>
        </is>
      </c>
      <c r="AA4485" s="111" t="inlineStr">
        <is>
          <t>Nao</t>
        </is>
      </c>
      <c r="AB4485" s="111" t="inlineStr">
        <is>
          <t>NAO_COMPUTADO</t>
        </is>
      </c>
      <c r="AC4485" s="112" t="inlineStr">
        <is>
          <t>Estrutura Fase 1: sem impacto no VTA oficial</t>
        </is>
      </c>
    </row>
    <row r="4486" ht="25.5" customHeight="1" s="289">
      <c r="A4486" s="205" t="n"/>
      <c r="B4486" s="207" t="n"/>
      <c r="C4486" s="104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348" t="n"/>
      <c r="E4486" s="349">
        <f>IF(C4486="","",IFERROR(VLOOKUP(C4486,parametros!$A$11:$E$15,5,0),""))</f>
        <v/>
      </c>
      <c r="F4486" s="335">
        <f>IF(OR(D4486="",E4486=""),"",ROUND(D4486*E4486,2))</f>
        <v/>
      </c>
      <c r="G4486" s="106" t="n"/>
      <c r="H4486" s="350">
        <f>IF(G4486="Sim",IF(OR(F4486="",D4486="",L4486=""),"",IF(L4486="Sim",ROUND(F4486-D4486,2),0)),0)</f>
        <v/>
      </c>
      <c r="I4486" s="350">
        <f>IF(G4486="Sim",0,IF(OR(F4486="",L4486=""),"",F4486))</f>
        <v/>
      </c>
      <c r="J4486" s="350">
        <f>IF(G4486="Sim",0,IF(OR(F4486="",D4486="",L4486=""),"",IF(L4486="Sim",ROUND(F4486-D4486,2),0)))</f>
        <v/>
      </c>
      <c r="K4486" s="97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inlineStr">
        <is>
          <t>Nao</t>
        </is>
      </c>
      <c r="W4486" s="110" t="inlineStr">
        <is>
          <t>PC em analise</t>
        </is>
      </c>
      <c r="X4486" s="110" t="inlineStr">
        <is>
          <t>Pedido de Compra</t>
        </is>
      </c>
      <c r="Y4486" s="111" t="inlineStr">
        <is>
          <t>Impacto Potencial</t>
        </is>
      </c>
      <c r="Z4486" s="111" t="inlineStr">
        <is>
          <t>PC</t>
        </is>
      </c>
      <c r="AA4486" s="111" t="inlineStr">
        <is>
          <t>Nao</t>
        </is>
      </c>
      <c r="AB4486" s="111" t="inlineStr">
        <is>
          <t>NAO_COMPUTADO</t>
        </is>
      </c>
      <c r="AC4486" s="112" t="inlineStr">
        <is>
          <t>Estrutura Fase 1: sem impacto no VTA oficial</t>
        </is>
      </c>
    </row>
    <row r="4487" ht="25.5" customHeight="1" s="289">
      <c r="A4487" s="205" t="n"/>
      <c r="B4487" s="207" t="n"/>
      <c r="C4487" s="104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348" t="n"/>
      <c r="E4487" s="349">
        <f>IF(C4487="","",IFERROR(VLOOKUP(C4487,parametros!$A$11:$E$15,5,0),""))</f>
        <v/>
      </c>
      <c r="F4487" s="335">
        <f>IF(OR(D4487="",E4487=""),"",ROUND(D4487*E4487,2))</f>
        <v/>
      </c>
      <c r="G4487" s="106" t="n"/>
      <c r="H4487" s="350">
        <f>IF(G4487="Sim",IF(OR(F4487="",D4487="",L4487=""),"",IF(L4487="Sim",ROUND(F4487-D4487,2),0)),0)</f>
        <v/>
      </c>
      <c r="I4487" s="350">
        <f>IF(G4487="Sim",0,IF(OR(F4487="",L4487=""),"",F4487))</f>
        <v/>
      </c>
      <c r="J4487" s="350">
        <f>IF(G4487="Sim",0,IF(OR(F4487="",D4487="",L4487=""),"",IF(L4487="Sim",ROUND(F4487-D4487,2),0)))</f>
        <v/>
      </c>
      <c r="K4487" s="97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inlineStr">
        <is>
          <t>Nao</t>
        </is>
      </c>
      <c r="W4487" s="110" t="inlineStr">
        <is>
          <t>PC em analise</t>
        </is>
      </c>
      <c r="X4487" s="110" t="inlineStr">
        <is>
          <t>Pedido de Compra</t>
        </is>
      </c>
      <c r="Y4487" s="111" t="inlineStr">
        <is>
          <t>Impacto Potencial</t>
        </is>
      </c>
      <c r="Z4487" s="111" t="inlineStr">
        <is>
          <t>PC</t>
        </is>
      </c>
      <c r="AA4487" s="111" t="inlineStr">
        <is>
          <t>Nao</t>
        </is>
      </c>
      <c r="AB4487" s="111" t="inlineStr">
        <is>
          <t>NAO_COMPUTADO</t>
        </is>
      </c>
      <c r="AC4487" s="112" t="inlineStr">
        <is>
          <t>Estrutura Fase 1: sem impacto no VTA oficial</t>
        </is>
      </c>
    </row>
    <row r="4488" ht="25.5" customHeight="1" s="289">
      <c r="A4488" s="205" t="n"/>
      <c r="B4488" s="207" t="n"/>
      <c r="C4488" s="104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348" t="n"/>
      <c r="E4488" s="349">
        <f>IF(C4488="","",IFERROR(VLOOKUP(C4488,parametros!$A$11:$E$15,5,0),""))</f>
        <v/>
      </c>
      <c r="F4488" s="335">
        <f>IF(OR(D4488="",E4488=""),"",ROUND(D4488*E4488,2))</f>
        <v/>
      </c>
      <c r="G4488" s="106" t="n"/>
      <c r="H4488" s="350">
        <f>IF(G4488="Sim",IF(OR(F4488="",D4488="",L4488=""),"",IF(L4488="Sim",ROUND(F4488-D4488,2),0)),0)</f>
        <v/>
      </c>
      <c r="I4488" s="350">
        <f>IF(G4488="Sim",0,IF(OR(F4488="",L4488=""),"",F4488))</f>
        <v/>
      </c>
      <c r="J4488" s="350">
        <f>IF(G4488="Sim",0,IF(OR(F4488="",D4488="",L4488=""),"",IF(L4488="Sim",ROUND(F4488-D4488,2),0)))</f>
        <v/>
      </c>
      <c r="K4488" s="97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inlineStr">
        <is>
          <t>Nao</t>
        </is>
      </c>
      <c r="W4488" s="110" t="inlineStr">
        <is>
          <t>PC em analise</t>
        </is>
      </c>
      <c r="X4488" s="110" t="inlineStr">
        <is>
          <t>Pedido de Compra</t>
        </is>
      </c>
      <c r="Y4488" s="111" t="inlineStr">
        <is>
          <t>Impacto Potencial</t>
        </is>
      </c>
      <c r="Z4488" s="111" t="inlineStr">
        <is>
          <t>PC</t>
        </is>
      </c>
      <c r="AA4488" s="111" t="inlineStr">
        <is>
          <t>Nao</t>
        </is>
      </c>
      <c r="AB4488" s="111" t="inlineStr">
        <is>
          <t>NAO_COMPUTADO</t>
        </is>
      </c>
      <c r="AC4488" s="112" t="inlineStr">
        <is>
          <t>Estrutura Fase 1: sem impacto no VTA oficial</t>
        </is>
      </c>
    </row>
    <row r="4489" ht="25.5" customHeight="1" s="289">
      <c r="A4489" s="205" t="n"/>
      <c r="B4489" s="207" t="n"/>
      <c r="C4489" s="104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348" t="n"/>
      <c r="E4489" s="349">
        <f>IF(C4489="","",IFERROR(VLOOKUP(C4489,parametros!$A$11:$E$15,5,0),""))</f>
        <v/>
      </c>
      <c r="F4489" s="335">
        <f>IF(OR(D4489="",E4489=""),"",ROUND(D4489*E4489,2))</f>
        <v/>
      </c>
      <c r="G4489" s="106" t="n"/>
      <c r="H4489" s="350">
        <f>IF(G4489="Sim",IF(OR(F4489="",D4489="",L4489=""),"",IF(L4489="Sim",ROUND(F4489-D4489,2),0)),0)</f>
        <v/>
      </c>
      <c r="I4489" s="350">
        <f>IF(G4489="Sim",0,IF(OR(F4489="",L4489=""),"",F4489))</f>
        <v/>
      </c>
      <c r="J4489" s="350">
        <f>IF(G4489="Sim",0,IF(OR(F4489="",D4489="",L4489=""),"",IF(L4489="Sim",ROUND(F4489-D4489,2),0)))</f>
        <v/>
      </c>
      <c r="K4489" s="97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inlineStr">
        <is>
          <t>Nao</t>
        </is>
      </c>
      <c r="W4489" s="110" t="inlineStr">
        <is>
          <t>PC em analise</t>
        </is>
      </c>
      <c r="X4489" s="110" t="inlineStr">
        <is>
          <t>Pedido de Compra</t>
        </is>
      </c>
      <c r="Y4489" s="111" t="inlineStr">
        <is>
          <t>Impacto Potencial</t>
        </is>
      </c>
      <c r="Z4489" s="111" t="inlineStr">
        <is>
          <t>PC</t>
        </is>
      </c>
      <c r="AA4489" s="111" t="inlineStr">
        <is>
          <t>Nao</t>
        </is>
      </c>
      <c r="AB4489" s="111" t="inlineStr">
        <is>
          <t>NAO_COMPUTADO</t>
        </is>
      </c>
      <c r="AC4489" s="112" t="inlineStr">
        <is>
          <t>Estrutura Fase 1: sem impacto no VTA oficial</t>
        </is>
      </c>
    </row>
    <row r="4490" ht="25.5" customHeight="1" s="289">
      <c r="A4490" s="205" t="n"/>
      <c r="B4490" s="207" t="n"/>
      <c r="C4490" s="104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348" t="n"/>
      <c r="E4490" s="349">
        <f>IF(C4490="","",IFERROR(VLOOKUP(C4490,parametros!$A$11:$E$15,5,0),""))</f>
        <v/>
      </c>
      <c r="F4490" s="335">
        <f>IF(OR(D4490="",E4490=""),"",ROUND(D4490*E4490,2))</f>
        <v/>
      </c>
      <c r="G4490" s="106" t="n"/>
      <c r="H4490" s="350">
        <f>IF(G4490="Sim",IF(OR(F4490="",D4490="",L4490=""),"",IF(L4490="Sim",ROUND(F4490-D4490,2),0)),0)</f>
        <v/>
      </c>
      <c r="I4490" s="350">
        <f>IF(G4490="Sim",0,IF(OR(F4490="",L4490=""),"",F4490))</f>
        <v/>
      </c>
      <c r="J4490" s="350">
        <f>IF(G4490="Sim",0,IF(OR(F4490="",D4490="",L4490=""),"",IF(L4490="Sim",ROUND(F4490-D4490,2),0)))</f>
        <v/>
      </c>
      <c r="K4490" s="97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inlineStr">
        <is>
          <t>Nao</t>
        </is>
      </c>
      <c r="W4490" s="110" t="inlineStr">
        <is>
          <t>PC em analise</t>
        </is>
      </c>
      <c r="X4490" s="110" t="inlineStr">
        <is>
          <t>Pedido de Compra</t>
        </is>
      </c>
      <c r="Y4490" s="111" t="inlineStr">
        <is>
          <t>Impacto Potencial</t>
        </is>
      </c>
      <c r="Z4490" s="111" t="inlineStr">
        <is>
          <t>PC</t>
        </is>
      </c>
      <c r="AA4490" s="111" t="inlineStr">
        <is>
          <t>Nao</t>
        </is>
      </c>
      <c r="AB4490" s="111" t="inlineStr">
        <is>
          <t>NAO_COMPUTADO</t>
        </is>
      </c>
      <c r="AC4490" s="112" t="inlineStr">
        <is>
          <t>Estrutura Fase 1: sem impacto no VTA oficial</t>
        </is>
      </c>
    </row>
    <row r="4491" ht="25.5" customHeight="1" s="289">
      <c r="A4491" s="205" t="n"/>
      <c r="B4491" s="207" t="n"/>
      <c r="C4491" s="104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348" t="n"/>
      <c r="E4491" s="349">
        <f>IF(C4491="","",IFERROR(VLOOKUP(C4491,parametros!$A$11:$E$15,5,0),""))</f>
        <v/>
      </c>
      <c r="F4491" s="335">
        <f>IF(OR(D4491="",E4491=""),"",ROUND(D4491*E4491,2))</f>
        <v/>
      </c>
      <c r="G4491" s="106" t="n"/>
      <c r="H4491" s="350">
        <f>IF(G4491="Sim",IF(OR(F4491="",D4491="",L4491=""),"",IF(L4491="Sim",ROUND(F4491-D4491,2),0)),0)</f>
        <v/>
      </c>
      <c r="I4491" s="350">
        <f>IF(G4491="Sim",0,IF(OR(F4491="",L4491=""),"",F4491))</f>
        <v/>
      </c>
      <c r="J4491" s="350">
        <f>IF(G4491="Sim",0,IF(OR(F4491="",D4491="",L4491=""),"",IF(L4491="Sim",ROUND(F4491-D4491,2),0)))</f>
        <v/>
      </c>
      <c r="K4491" s="97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inlineStr">
        <is>
          <t>Nao</t>
        </is>
      </c>
      <c r="W4491" s="110" t="inlineStr">
        <is>
          <t>PC em analise</t>
        </is>
      </c>
      <c r="X4491" s="110" t="inlineStr">
        <is>
          <t>Pedido de Compra</t>
        </is>
      </c>
      <c r="Y4491" s="111" t="inlineStr">
        <is>
          <t>Impacto Potencial</t>
        </is>
      </c>
      <c r="Z4491" s="111" t="inlineStr">
        <is>
          <t>PC</t>
        </is>
      </c>
      <c r="AA4491" s="111" t="inlineStr">
        <is>
          <t>Nao</t>
        </is>
      </c>
      <c r="AB4491" s="111" t="inlineStr">
        <is>
          <t>NAO_COMPUTADO</t>
        </is>
      </c>
      <c r="AC4491" s="112" t="inlineStr">
        <is>
          <t>Estrutura Fase 1: sem impacto no VTA oficial</t>
        </is>
      </c>
    </row>
    <row r="4492" ht="25.5" customHeight="1" s="289">
      <c r="A4492" s="205" t="n"/>
      <c r="B4492" s="207" t="n"/>
      <c r="C4492" s="104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348" t="n"/>
      <c r="E4492" s="349">
        <f>IF(C4492="","",IFERROR(VLOOKUP(C4492,parametros!$A$11:$E$15,5,0),""))</f>
        <v/>
      </c>
      <c r="F4492" s="335">
        <f>IF(OR(D4492="",E4492=""),"",ROUND(D4492*E4492,2))</f>
        <v/>
      </c>
      <c r="G4492" s="106" t="n"/>
      <c r="H4492" s="350">
        <f>IF(G4492="Sim",IF(OR(F4492="",D4492="",L4492=""),"",IF(L4492="Sim",ROUND(F4492-D4492,2),0)),0)</f>
        <v/>
      </c>
      <c r="I4492" s="350">
        <f>IF(G4492="Sim",0,IF(OR(F4492="",L4492=""),"",F4492))</f>
        <v/>
      </c>
      <c r="J4492" s="350">
        <f>IF(G4492="Sim",0,IF(OR(F4492="",D4492="",L4492=""),"",IF(L4492="Sim",ROUND(F4492-D4492,2),0)))</f>
        <v/>
      </c>
      <c r="K4492" s="97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inlineStr">
        <is>
          <t>Nao</t>
        </is>
      </c>
      <c r="W4492" s="110" t="inlineStr">
        <is>
          <t>PC em analise</t>
        </is>
      </c>
      <c r="X4492" s="110" t="inlineStr">
        <is>
          <t>Pedido de Compra</t>
        </is>
      </c>
      <c r="Y4492" s="111" t="inlineStr">
        <is>
          <t>Impacto Potencial</t>
        </is>
      </c>
      <c r="Z4492" s="111" t="inlineStr">
        <is>
          <t>PC</t>
        </is>
      </c>
      <c r="AA4492" s="111" t="inlineStr">
        <is>
          <t>Nao</t>
        </is>
      </c>
      <c r="AB4492" s="111" t="inlineStr">
        <is>
          <t>NAO_COMPUTADO</t>
        </is>
      </c>
      <c r="AC4492" s="112" t="inlineStr">
        <is>
          <t>Estrutura Fase 1: sem impacto no VTA oficial</t>
        </is>
      </c>
    </row>
    <row r="4493" ht="25.5" customHeight="1" s="289">
      <c r="A4493" s="205" t="n"/>
      <c r="B4493" s="207" t="n"/>
      <c r="C4493" s="104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348" t="n"/>
      <c r="E4493" s="349">
        <f>IF(C4493="","",IFERROR(VLOOKUP(C4493,parametros!$A$11:$E$15,5,0),""))</f>
        <v/>
      </c>
      <c r="F4493" s="335">
        <f>IF(OR(D4493="",E4493=""),"",ROUND(D4493*E4493,2))</f>
        <v/>
      </c>
      <c r="G4493" s="106" t="n"/>
      <c r="H4493" s="350">
        <f>IF(G4493="Sim",IF(OR(F4493="",D4493="",L4493=""),"",IF(L4493="Sim",ROUND(F4493-D4493,2),0)),0)</f>
        <v/>
      </c>
      <c r="I4493" s="350">
        <f>IF(G4493="Sim",0,IF(OR(F4493="",L4493=""),"",F4493))</f>
        <v/>
      </c>
      <c r="J4493" s="350">
        <f>IF(G4493="Sim",0,IF(OR(F4493="",D4493="",L4493=""),"",IF(L4493="Sim",ROUND(F4493-D4493,2),0)))</f>
        <v/>
      </c>
      <c r="K4493" s="97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inlineStr">
        <is>
          <t>Nao</t>
        </is>
      </c>
      <c r="W4493" s="110" t="inlineStr">
        <is>
          <t>PC em analise</t>
        </is>
      </c>
      <c r="X4493" s="110" t="inlineStr">
        <is>
          <t>Pedido de Compra</t>
        </is>
      </c>
      <c r="Y4493" s="111" t="inlineStr">
        <is>
          <t>Impacto Potencial</t>
        </is>
      </c>
      <c r="Z4493" s="111" t="inlineStr">
        <is>
          <t>PC</t>
        </is>
      </c>
      <c r="AA4493" s="111" t="inlineStr">
        <is>
          <t>Nao</t>
        </is>
      </c>
      <c r="AB4493" s="111" t="inlineStr">
        <is>
          <t>NAO_COMPUTADO</t>
        </is>
      </c>
      <c r="AC4493" s="112" t="inlineStr">
        <is>
          <t>Estrutura Fase 1: sem impacto no VTA oficial</t>
        </is>
      </c>
    </row>
    <row r="4494" ht="25.5" customHeight="1" s="289">
      <c r="A4494" s="205" t="n"/>
      <c r="B4494" s="207" t="n"/>
      <c r="C4494" s="104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348" t="n"/>
      <c r="E4494" s="349">
        <f>IF(C4494="","",IFERROR(VLOOKUP(C4494,parametros!$A$11:$E$15,5,0),""))</f>
        <v/>
      </c>
      <c r="F4494" s="335">
        <f>IF(OR(D4494="",E4494=""),"",ROUND(D4494*E4494,2))</f>
        <v/>
      </c>
      <c r="G4494" s="106" t="n"/>
      <c r="H4494" s="350">
        <f>IF(G4494="Sim",IF(OR(F4494="",D4494="",L4494=""),"",IF(L4494="Sim",ROUND(F4494-D4494,2),0)),0)</f>
        <v/>
      </c>
      <c r="I4494" s="350">
        <f>IF(G4494="Sim",0,IF(OR(F4494="",L4494=""),"",F4494))</f>
        <v/>
      </c>
      <c r="J4494" s="350">
        <f>IF(G4494="Sim",0,IF(OR(F4494="",D4494="",L4494=""),"",IF(L4494="Sim",ROUND(F4494-D4494,2),0)))</f>
        <v/>
      </c>
      <c r="K4494" s="97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inlineStr">
        <is>
          <t>Nao</t>
        </is>
      </c>
      <c r="W4494" s="110" t="inlineStr">
        <is>
          <t>PC em analise</t>
        </is>
      </c>
      <c r="X4494" s="110" t="inlineStr">
        <is>
          <t>Pedido de Compra</t>
        </is>
      </c>
      <c r="Y4494" s="111" t="inlineStr">
        <is>
          <t>Impacto Potencial</t>
        </is>
      </c>
      <c r="Z4494" s="111" t="inlineStr">
        <is>
          <t>PC</t>
        </is>
      </c>
      <c r="AA4494" s="111" t="inlineStr">
        <is>
          <t>Nao</t>
        </is>
      </c>
      <c r="AB4494" s="111" t="inlineStr">
        <is>
          <t>NAO_COMPUTADO</t>
        </is>
      </c>
      <c r="AC4494" s="112" t="inlineStr">
        <is>
          <t>Estrutura Fase 1: sem impacto no VTA oficial</t>
        </is>
      </c>
    </row>
    <row r="4495" ht="25.5" customHeight="1" s="289">
      <c r="A4495" s="205" t="n"/>
      <c r="B4495" s="207" t="n"/>
      <c r="C4495" s="104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348" t="n"/>
      <c r="E4495" s="349">
        <f>IF(C4495="","",IFERROR(VLOOKUP(C4495,parametros!$A$11:$E$15,5,0),""))</f>
        <v/>
      </c>
      <c r="F4495" s="335">
        <f>IF(OR(D4495="",E4495=""),"",ROUND(D4495*E4495,2))</f>
        <v/>
      </c>
      <c r="G4495" s="106" t="n"/>
      <c r="H4495" s="350">
        <f>IF(G4495="Sim",IF(OR(F4495="",D4495="",L4495=""),"",IF(L4495="Sim",ROUND(F4495-D4495,2),0)),0)</f>
        <v/>
      </c>
      <c r="I4495" s="350">
        <f>IF(G4495="Sim",0,IF(OR(F4495="",L4495=""),"",F4495))</f>
        <v/>
      </c>
      <c r="J4495" s="350">
        <f>IF(G4495="Sim",0,IF(OR(F4495="",D4495="",L4495=""),"",IF(L4495="Sim",ROUND(F4495-D4495,2),0)))</f>
        <v/>
      </c>
      <c r="K4495" s="97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inlineStr">
        <is>
          <t>Nao</t>
        </is>
      </c>
      <c r="W4495" s="110" t="inlineStr">
        <is>
          <t>PC em analise</t>
        </is>
      </c>
      <c r="X4495" s="110" t="inlineStr">
        <is>
          <t>Pedido de Compra</t>
        </is>
      </c>
      <c r="Y4495" s="111" t="inlineStr">
        <is>
          <t>Impacto Potencial</t>
        </is>
      </c>
      <c r="Z4495" s="111" t="inlineStr">
        <is>
          <t>PC</t>
        </is>
      </c>
      <c r="AA4495" s="111" t="inlineStr">
        <is>
          <t>Nao</t>
        </is>
      </c>
      <c r="AB4495" s="111" t="inlineStr">
        <is>
          <t>NAO_COMPUTADO</t>
        </is>
      </c>
      <c r="AC4495" s="112" t="inlineStr">
        <is>
          <t>Estrutura Fase 1: sem impacto no VTA oficial</t>
        </is>
      </c>
    </row>
    <row r="4496" ht="25.5" customHeight="1" s="289">
      <c r="A4496" s="205" t="n"/>
      <c r="B4496" s="207" t="n"/>
      <c r="C4496" s="104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348" t="n"/>
      <c r="E4496" s="349">
        <f>IF(C4496="","",IFERROR(VLOOKUP(C4496,parametros!$A$11:$E$15,5,0),""))</f>
        <v/>
      </c>
      <c r="F4496" s="335">
        <f>IF(OR(D4496="",E4496=""),"",ROUND(D4496*E4496,2))</f>
        <v/>
      </c>
      <c r="G4496" s="106" t="n"/>
      <c r="H4496" s="350">
        <f>IF(G4496="Sim",IF(OR(F4496="",D4496="",L4496=""),"",IF(L4496="Sim",ROUND(F4496-D4496,2),0)),0)</f>
        <v/>
      </c>
      <c r="I4496" s="350">
        <f>IF(G4496="Sim",0,IF(OR(F4496="",L4496=""),"",F4496))</f>
        <v/>
      </c>
      <c r="J4496" s="350">
        <f>IF(G4496="Sim",0,IF(OR(F4496="",D4496="",L4496=""),"",IF(L4496="Sim",ROUND(F4496-D4496,2),0)))</f>
        <v/>
      </c>
      <c r="K4496" s="97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inlineStr">
        <is>
          <t>Nao</t>
        </is>
      </c>
      <c r="W4496" s="110" t="inlineStr">
        <is>
          <t>PC em analise</t>
        </is>
      </c>
      <c r="X4496" s="110" t="inlineStr">
        <is>
          <t>Pedido de Compra</t>
        </is>
      </c>
      <c r="Y4496" s="111" t="inlineStr">
        <is>
          <t>Impacto Potencial</t>
        </is>
      </c>
      <c r="Z4496" s="111" t="inlineStr">
        <is>
          <t>PC</t>
        </is>
      </c>
      <c r="AA4496" s="111" t="inlineStr">
        <is>
          <t>Nao</t>
        </is>
      </c>
      <c r="AB4496" s="111" t="inlineStr">
        <is>
          <t>NAO_COMPUTADO</t>
        </is>
      </c>
      <c r="AC4496" s="112" t="inlineStr">
        <is>
          <t>Estrutura Fase 1: sem impacto no VTA oficial</t>
        </is>
      </c>
    </row>
    <row r="4497" ht="25.5" customHeight="1" s="289">
      <c r="A4497" s="205" t="n"/>
      <c r="B4497" s="207" t="n"/>
      <c r="C4497" s="104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348" t="n"/>
      <c r="E4497" s="349">
        <f>IF(C4497="","",IFERROR(VLOOKUP(C4497,parametros!$A$11:$E$15,5,0),""))</f>
        <v/>
      </c>
      <c r="F4497" s="335">
        <f>IF(OR(D4497="",E4497=""),"",ROUND(D4497*E4497,2))</f>
        <v/>
      </c>
      <c r="G4497" s="106" t="n"/>
      <c r="H4497" s="350">
        <f>IF(G4497="Sim",IF(OR(F4497="",D4497="",L4497=""),"",IF(L4497="Sim",ROUND(F4497-D4497,2),0)),0)</f>
        <v/>
      </c>
      <c r="I4497" s="350">
        <f>IF(G4497="Sim",0,IF(OR(F4497="",L4497=""),"",F4497))</f>
        <v/>
      </c>
      <c r="J4497" s="350">
        <f>IF(G4497="Sim",0,IF(OR(F4497="",D4497="",L4497=""),"",IF(L4497="Sim",ROUND(F4497-D4497,2),0)))</f>
        <v/>
      </c>
      <c r="K4497" s="97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inlineStr">
        <is>
          <t>Nao</t>
        </is>
      </c>
      <c r="W4497" s="110" t="inlineStr">
        <is>
          <t>PC em analise</t>
        </is>
      </c>
      <c r="X4497" s="110" t="inlineStr">
        <is>
          <t>Pedido de Compra</t>
        </is>
      </c>
      <c r="Y4497" s="111" t="inlineStr">
        <is>
          <t>Impacto Potencial</t>
        </is>
      </c>
      <c r="Z4497" s="111" t="inlineStr">
        <is>
          <t>PC</t>
        </is>
      </c>
      <c r="AA4497" s="111" t="inlineStr">
        <is>
          <t>Nao</t>
        </is>
      </c>
      <c r="AB4497" s="111" t="inlineStr">
        <is>
          <t>NAO_COMPUTADO</t>
        </is>
      </c>
      <c r="AC4497" s="112" t="inlineStr">
        <is>
          <t>Estrutura Fase 1: sem impacto no VTA oficial</t>
        </is>
      </c>
    </row>
    <row r="4498" ht="25.5" customHeight="1" s="289">
      <c r="A4498" s="205" t="n"/>
      <c r="B4498" s="207" t="n"/>
      <c r="C4498" s="104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348" t="n"/>
      <c r="E4498" s="349">
        <f>IF(C4498="","",IFERROR(VLOOKUP(C4498,parametros!$A$11:$E$15,5,0),""))</f>
        <v/>
      </c>
      <c r="F4498" s="335">
        <f>IF(OR(D4498="",E4498=""),"",ROUND(D4498*E4498,2))</f>
        <v/>
      </c>
      <c r="G4498" s="106" t="n"/>
      <c r="H4498" s="350">
        <f>IF(G4498="Sim",IF(OR(F4498="",D4498="",L4498=""),"",IF(L4498="Sim",ROUND(F4498-D4498,2),0)),0)</f>
        <v/>
      </c>
      <c r="I4498" s="350">
        <f>IF(G4498="Sim",0,IF(OR(F4498="",L4498=""),"",F4498))</f>
        <v/>
      </c>
      <c r="J4498" s="350">
        <f>IF(G4498="Sim",0,IF(OR(F4498="",D4498="",L4498=""),"",IF(L4498="Sim",ROUND(F4498-D4498,2),0)))</f>
        <v/>
      </c>
      <c r="K4498" s="97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inlineStr">
        <is>
          <t>Nao</t>
        </is>
      </c>
      <c r="W4498" s="110" t="inlineStr">
        <is>
          <t>PC em analise</t>
        </is>
      </c>
      <c r="X4498" s="110" t="inlineStr">
        <is>
          <t>Pedido de Compra</t>
        </is>
      </c>
      <c r="Y4498" s="111" t="inlineStr">
        <is>
          <t>Impacto Potencial</t>
        </is>
      </c>
      <c r="Z4498" s="111" t="inlineStr">
        <is>
          <t>PC</t>
        </is>
      </c>
      <c r="AA4498" s="111" t="inlineStr">
        <is>
          <t>Nao</t>
        </is>
      </c>
      <c r="AB4498" s="111" t="inlineStr">
        <is>
          <t>NAO_COMPUTADO</t>
        </is>
      </c>
      <c r="AC4498" s="112" t="inlineStr">
        <is>
          <t>Estrutura Fase 1: sem impacto no VTA oficial</t>
        </is>
      </c>
    </row>
    <row r="4499" ht="25.5" customHeight="1" s="289">
      <c r="A4499" s="205" t="n"/>
      <c r="B4499" s="207" t="n"/>
      <c r="C4499" s="104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348" t="n"/>
      <c r="E4499" s="349">
        <f>IF(C4499="","",IFERROR(VLOOKUP(C4499,parametros!$A$11:$E$15,5,0),""))</f>
        <v/>
      </c>
      <c r="F4499" s="335">
        <f>IF(OR(D4499="",E4499=""),"",ROUND(D4499*E4499,2))</f>
        <v/>
      </c>
      <c r="G4499" s="106" t="n"/>
      <c r="H4499" s="350">
        <f>IF(G4499="Sim",IF(OR(F4499="",D4499="",L4499=""),"",IF(L4499="Sim",ROUND(F4499-D4499,2),0)),0)</f>
        <v/>
      </c>
      <c r="I4499" s="350">
        <f>IF(G4499="Sim",0,IF(OR(F4499="",L4499=""),"",F4499))</f>
        <v/>
      </c>
      <c r="J4499" s="350">
        <f>IF(G4499="Sim",0,IF(OR(F4499="",D4499="",L4499=""),"",IF(L4499="Sim",ROUND(F4499-D4499,2),0)))</f>
        <v/>
      </c>
      <c r="K4499" s="97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inlineStr">
        <is>
          <t>Nao</t>
        </is>
      </c>
      <c r="W4499" s="110" t="inlineStr">
        <is>
          <t>PC em analise</t>
        </is>
      </c>
      <c r="X4499" s="110" t="inlineStr">
        <is>
          <t>Pedido de Compra</t>
        </is>
      </c>
      <c r="Y4499" s="111" t="inlineStr">
        <is>
          <t>Impacto Potencial</t>
        </is>
      </c>
      <c r="Z4499" s="111" t="inlineStr">
        <is>
          <t>PC</t>
        </is>
      </c>
      <c r="AA4499" s="111" t="inlineStr">
        <is>
          <t>Nao</t>
        </is>
      </c>
      <c r="AB4499" s="111" t="inlineStr">
        <is>
          <t>NAO_COMPUTADO</t>
        </is>
      </c>
      <c r="AC4499" s="112" t="inlineStr">
        <is>
          <t>Estrutura Fase 1: sem impacto no VTA oficial</t>
        </is>
      </c>
    </row>
    <row r="4500" ht="25.5" customHeight="1" s="289">
      <c r="A4500" s="205" t="n"/>
      <c r="B4500" s="207" t="n"/>
      <c r="C4500" s="104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348" t="n"/>
      <c r="E4500" s="349">
        <f>IF(C4500="","",IFERROR(VLOOKUP(C4500,parametros!$A$11:$E$15,5,0),""))</f>
        <v/>
      </c>
      <c r="F4500" s="335">
        <f>IF(OR(D4500="",E4500=""),"",ROUND(D4500*E4500,2))</f>
        <v/>
      </c>
      <c r="G4500" s="106" t="n"/>
      <c r="H4500" s="350">
        <f>IF(G4500="Sim",IF(OR(F4500="",D4500="",L4500=""),"",IF(L4500="Sim",ROUND(F4500-D4500,2),0)),0)</f>
        <v/>
      </c>
      <c r="I4500" s="350">
        <f>IF(G4500="Sim",0,IF(OR(F4500="",L4500=""),"",F4500))</f>
        <v/>
      </c>
      <c r="J4500" s="350">
        <f>IF(G4500="Sim",0,IF(OR(F4500="",D4500="",L4500=""),"",IF(L4500="Sim",ROUND(F4500-D4500,2),0)))</f>
        <v/>
      </c>
      <c r="K4500" s="97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inlineStr">
        <is>
          <t>Nao</t>
        </is>
      </c>
      <c r="W4500" s="110" t="inlineStr">
        <is>
          <t>PC em analise</t>
        </is>
      </c>
      <c r="X4500" s="110" t="inlineStr">
        <is>
          <t>Pedido de Compra</t>
        </is>
      </c>
      <c r="Y4500" s="111" t="inlineStr">
        <is>
          <t>Impacto Potencial</t>
        </is>
      </c>
      <c r="Z4500" s="111" t="inlineStr">
        <is>
          <t>PC</t>
        </is>
      </c>
      <c r="AA4500" s="111" t="inlineStr">
        <is>
          <t>Nao</t>
        </is>
      </c>
      <c r="AB4500" s="111" t="inlineStr">
        <is>
          <t>NAO_COMPUTADO</t>
        </is>
      </c>
      <c r="AC4500" s="112" t="inlineStr">
        <is>
          <t>Estrutura Fase 1: sem impacto no VTA oficial</t>
        </is>
      </c>
    </row>
    <row r="4501" ht="25.5" customHeight="1" s="289">
      <c r="A4501" s="205" t="n"/>
      <c r="B4501" s="207" t="n"/>
      <c r="C4501" s="104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348" t="n"/>
      <c r="E4501" s="349">
        <f>IF(C4501="","",IFERROR(VLOOKUP(C4501,parametros!$A$11:$E$15,5,0),""))</f>
        <v/>
      </c>
      <c r="F4501" s="335">
        <f>IF(OR(D4501="",E4501=""),"",ROUND(D4501*E4501,2))</f>
        <v/>
      </c>
      <c r="G4501" s="106" t="n"/>
      <c r="H4501" s="350">
        <f>IF(G4501="Sim",IF(OR(F4501="",D4501="",L4501=""),"",IF(L4501="Sim",ROUND(F4501-D4501,2),0)),0)</f>
        <v/>
      </c>
      <c r="I4501" s="350">
        <f>IF(G4501="Sim",0,IF(OR(F4501="",L4501=""),"",F4501))</f>
        <v/>
      </c>
      <c r="J4501" s="350">
        <f>IF(G4501="Sim",0,IF(OR(F4501="",D4501="",L4501=""),"",IF(L4501="Sim",ROUND(F4501-D4501,2),0)))</f>
        <v/>
      </c>
      <c r="K4501" s="97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inlineStr">
        <is>
          <t>Nao</t>
        </is>
      </c>
      <c r="W4501" s="110" t="inlineStr">
        <is>
          <t>PC em analise</t>
        </is>
      </c>
      <c r="X4501" s="110" t="inlineStr">
        <is>
          <t>Pedido de Compra</t>
        </is>
      </c>
      <c r="Y4501" s="111" t="inlineStr">
        <is>
          <t>Impacto Potencial</t>
        </is>
      </c>
      <c r="Z4501" s="111" t="inlineStr">
        <is>
          <t>PC</t>
        </is>
      </c>
      <c r="AA4501" s="111" t="inlineStr">
        <is>
          <t>Nao</t>
        </is>
      </c>
      <c r="AB4501" s="111" t="inlineStr">
        <is>
          <t>NAO_COMPUTADO</t>
        </is>
      </c>
      <c r="AC4501" s="112" t="inlineStr">
        <is>
          <t>Estrutura Fase 1: sem impacto no VTA oficial</t>
        </is>
      </c>
    </row>
    <row r="4502" ht="25.5" customHeight="1" s="289">
      <c r="A4502" s="205" t="n"/>
      <c r="B4502" s="207" t="n"/>
      <c r="C4502" s="104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348" t="n"/>
      <c r="E4502" s="349">
        <f>IF(C4502="","",IFERROR(VLOOKUP(C4502,parametros!$A$11:$E$15,5,0),""))</f>
        <v/>
      </c>
      <c r="F4502" s="335">
        <f>IF(OR(D4502="",E4502=""),"",ROUND(D4502*E4502,2))</f>
        <v/>
      </c>
      <c r="G4502" s="106" t="n"/>
      <c r="H4502" s="350">
        <f>IF(G4502="Sim",IF(OR(F4502="",D4502="",L4502=""),"",IF(L4502="Sim",ROUND(F4502-D4502,2),0)),0)</f>
        <v/>
      </c>
      <c r="I4502" s="350">
        <f>IF(G4502="Sim",0,IF(OR(F4502="",L4502=""),"",F4502))</f>
        <v/>
      </c>
      <c r="J4502" s="350">
        <f>IF(G4502="Sim",0,IF(OR(F4502="",D4502="",L4502=""),"",IF(L4502="Sim",ROUND(F4502-D4502,2),0)))</f>
        <v/>
      </c>
      <c r="K4502" s="97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inlineStr">
        <is>
          <t>Nao</t>
        </is>
      </c>
      <c r="W4502" s="110" t="inlineStr">
        <is>
          <t>PC em analise</t>
        </is>
      </c>
      <c r="X4502" s="110" t="inlineStr">
        <is>
          <t>Pedido de Compra</t>
        </is>
      </c>
      <c r="Y4502" s="111" t="inlineStr">
        <is>
          <t>Impacto Potencial</t>
        </is>
      </c>
      <c r="Z4502" s="111" t="inlineStr">
        <is>
          <t>PC</t>
        </is>
      </c>
      <c r="AA4502" s="111" t="inlineStr">
        <is>
          <t>Nao</t>
        </is>
      </c>
      <c r="AB4502" s="111" t="inlineStr">
        <is>
          <t>NAO_COMPUTADO</t>
        </is>
      </c>
      <c r="AC4502" s="112" t="inlineStr">
        <is>
          <t>Estrutura Fase 1: sem impacto no VTA oficial</t>
        </is>
      </c>
    </row>
    <row r="4503" ht="25.5" customHeight="1" s="289">
      <c r="A4503" s="205" t="n"/>
      <c r="B4503" s="207" t="n"/>
      <c r="C4503" s="104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348" t="n"/>
      <c r="E4503" s="349">
        <f>IF(C4503="","",IFERROR(VLOOKUP(C4503,parametros!$A$11:$E$15,5,0),""))</f>
        <v/>
      </c>
      <c r="F4503" s="335">
        <f>IF(OR(D4503="",E4503=""),"",ROUND(D4503*E4503,2))</f>
        <v/>
      </c>
      <c r="G4503" s="106" t="n"/>
      <c r="H4503" s="350">
        <f>IF(G4503="Sim",IF(OR(F4503="",D4503="",L4503=""),"",IF(L4503="Sim",ROUND(F4503-D4503,2),0)),0)</f>
        <v/>
      </c>
      <c r="I4503" s="350">
        <f>IF(G4503="Sim",0,IF(OR(F4503="",L4503=""),"",F4503))</f>
        <v/>
      </c>
      <c r="J4503" s="350">
        <f>IF(G4503="Sim",0,IF(OR(F4503="",D4503="",L4503=""),"",IF(L4503="Sim",ROUND(F4503-D4503,2),0)))</f>
        <v/>
      </c>
      <c r="K4503" s="97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inlineStr">
        <is>
          <t>Nao</t>
        </is>
      </c>
      <c r="W4503" s="110" t="inlineStr">
        <is>
          <t>PC em analise</t>
        </is>
      </c>
      <c r="X4503" s="110" t="inlineStr">
        <is>
          <t>Pedido de Compra</t>
        </is>
      </c>
      <c r="Y4503" s="111" t="inlineStr">
        <is>
          <t>Impacto Potencial</t>
        </is>
      </c>
      <c r="Z4503" s="111" t="inlineStr">
        <is>
          <t>PC</t>
        </is>
      </c>
      <c r="AA4503" s="111" t="inlineStr">
        <is>
          <t>Nao</t>
        </is>
      </c>
      <c r="AB4503" s="111" t="inlineStr">
        <is>
          <t>NAO_COMPUTADO</t>
        </is>
      </c>
      <c r="AC4503" s="112" t="inlineStr">
        <is>
          <t>Estrutura Fase 1: sem impacto no VTA oficial</t>
        </is>
      </c>
    </row>
    <row r="4504" ht="25.5" customHeight="1" s="289">
      <c r="A4504" s="205" t="n"/>
      <c r="B4504" s="207" t="n"/>
      <c r="C4504" s="104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348" t="n"/>
      <c r="E4504" s="349">
        <f>IF(C4504="","",IFERROR(VLOOKUP(C4504,parametros!$A$11:$E$15,5,0),""))</f>
        <v/>
      </c>
      <c r="F4504" s="335">
        <f>IF(OR(D4504="",E4504=""),"",ROUND(D4504*E4504,2))</f>
        <v/>
      </c>
      <c r="G4504" s="106" t="n"/>
      <c r="H4504" s="350">
        <f>IF(G4504="Sim",IF(OR(F4504="",D4504="",L4504=""),"",IF(L4504="Sim",ROUND(F4504-D4504,2),0)),0)</f>
        <v/>
      </c>
      <c r="I4504" s="350">
        <f>IF(G4504="Sim",0,IF(OR(F4504="",L4504=""),"",F4504))</f>
        <v/>
      </c>
      <c r="J4504" s="350">
        <f>IF(G4504="Sim",0,IF(OR(F4504="",D4504="",L4504=""),"",IF(L4504="Sim",ROUND(F4504-D4504,2),0)))</f>
        <v/>
      </c>
      <c r="K4504" s="97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inlineStr">
        <is>
          <t>Nao</t>
        </is>
      </c>
      <c r="W4504" s="110" t="inlineStr">
        <is>
          <t>PC em analise</t>
        </is>
      </c>
      <c r="X4504" s="110" t="inlineStr">
        <is>
          <t>Pedido de Compra</t>
        </is>
      </c>
      <c r="Y4504" s="111" t="inlineStr">
        <is>
          <t>Impacto Potencial</t>
        </is>
      </c>
      <c r="Z4504" s="111" t="inlineStr">
        <is>
          <t>PC</t>
        </is>
      </c>
      <c r="AA4504" s="111" t="inlineStr">
        <is>
          <t>Nao</t>
        </is>
      </c>
      <c r="AB4504" s="111" t="inlineStr">
        <is>
          <t>NAO_COMPUTADO</t>
        </is>
      </c>
      <c r="AC4504" s="112" t="inlineStr">
        <is>
          <t>Estrutura Fase 1: sem impacto no VTA oficial</t>
        </is>
      </c>
    </row>
    <row r="4505" ht="25.5" customHeight="1" s="289">
      <c r="A4505" s="205" t="n"/>
      <c r="B4505" s="207" t="n"/>
      <c r="C4505" s="104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348" t="n"/>
      <c r="E4505" s="349">
        <f>IF(C4505="","",IFERROR(VLOOKUP(C4505,parametros!$A$11:$E$15,5,0),""))</f>
        <v/>
      </c>
      <c r="F4505" s="335">
        <f>IF(OR(D4505="",E4505=""),"",ROUND(D4505*E4505,2))</f>
        <v/>
      </c>
      <c r="G4505" s="106" t="n"/>
      <c r="H4505" s="350">
        <f>IF(G4505="Sim",IF(OR(F4505="",D4505="",L4505=""),"",IF(L4505="Sim",ROUND(F4505-D4505,2),0)),0)</f>
        <v/>
      </c>
      <c r="I4505" s="350">
        <f>IF(G4505="Sim",0,IF(OR(F4505="",L4505=""),"",F4505))</f>
        <v/>
      </c>
      <c r="J4505" s="350">
        <f>IF(G4505="Sim",0,IF(OR(F4505="",D4505="",L4505=""),"",IF(L4505="Sim",ROUND(F4505-D4505,2),0)))</f>
        <v/>
      </c>
      <c r="K4505" s="97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inlineStr">
        <is>
          <t>Nao</t>
        </is>
      </c>
      <c r="W4505" s="110" t="inlineStr">
        <is>
          <t>PC em analise</t>
        </is>
      </c>
      <c r="X4505" s="110" t="inlineStr">
        <is>
          <t>Pedido de Compra</t>
        </is>
      </c>
      <c r="Y4505" s="111" t="inlineStr">
        <is>
          <t>Impacto Potencial</t>
        </is>
      </c>
      <c r="Z4505" s="111" t="inlineStr">
        <is>
          <t>PC</t>
        </is>
      </c>
      <c r="AA4505" s="111" t="inlineStr">
        <is>
          <t>Nao</t>
        </is>
      </c>
      <c r="AB4505" s="111" t="inlineStr">
        <is>
          <t>NAO_COMPUTADO</t>
        </is>
      </c>
      <c r="AC4505" s="112" t="inlineStr">
        <is>
          <t>Estrutura Fase 1: sem impacto no VTA oficial</t>
        </is>
      </c>
    </row>
    <row r="4506" ht="25.5" customHeight="1" s="289">
      <c r="A4506" s="205" t="n"/>
      <c r="B4506" s="207" t="n"/>
      <c r="C4506" s="104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348" t="n"/>
      <c r="E4506" s="349">
        <f>IF(C4506="","",IFERROR(VLOOKUP(C4506,parametros!$A$11:$E$15,5,0),""))</f>
        <v/>
      </c>
      <c r="F4506" s="335">
        <f>IF(OR(D4506="",E4506=""),"",ROUND(D4506*E4506,2))</f>
        <v/>
      </c>
      <c r="G4506" s="106" t="n"/>
      <c r="H4506" s="350">
        <f>IF(G4506="Sim",IF(OR(F4506="",D4506="",L4506=""),"",IF(L4506="Sim",ROUND(F4506-D4506,2),0)),0)</f>
        <v/>
      </c>
      <c r="I4506" s="350">
        <f>IF(G4506="Sim",0,IF(OR(F4506="",L4506=""),"",F4506))</f>
        <v/>
      </c>
      <c r="J4506" s="350">
        <f>IF(G4506="Sim",0,IF(OR(F4506="",D4506="",L4506=""),"",IF(L4506="Sim",ROUND(F4506-D4506,2),0)))</f>
        <v/>
      </c>
      <c r="K4506" s="97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inlineStr">
        <is>
          <t>Nao</t>
        </is>
      </c>
      <c r="W4506" s="110" t="inlineStr">
        <is>
          <t>PC em analise</t>
        </is>
      </c>
      <c r="X4506" s="110" t="inlineStr">
        <is>
          <t>Pedido de Compra</t>
        </is>
      </c>
      <c r="Y4506" s="111" t="inlineStr">
        <is>
          <t>Impacto Potencial</t>
        </is>
      </c>
      <c r="Z4506" s="111" t="inlineStr">
        <is>
          <t>PC</t>
        </is>
      </c>
      <c r="AA4506" s="111" t="inlineStr">
        <is>
          <t>Nao</t>
        </is>
      </c>
      <c r="AB4506" s="111" t="inlineStr">
        <is>
          <t>NAO_COMPUTADO</t>
        </is>
      </c>
      <c r="AC4506" s="112" t="inlineStr">
        <is>
          <t>Estrutura Fase 1: sem impacto no VTA oficial</t>
        </is>
      </c>
    </row>
    <row r="4507" ht="25.5" customHeight="1" s="289">
      <c r="A4507" s="205" t="n"/>
      <c r="B4507" s="207" t="n"/>
      <c r="C4507" s="104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348" t="n"/>
      <c r="E4507" s="349">
        <f>IF(C4507="","",IFERROR(VLOOKUP(C4507,parametros!$A$11:$E$15,5,0),""))</f>
        <v/>
      </c>
      <c r="F4507" s="335">
        <f>IF(OR(D4507="",E4507=""),"",ROUND(D4507*E4507,2))</f>
        <v/>
      </c>
      <c r="G4507" s="106" t="n"/>
      <c r="H4507" s="350">
        <f>IF(G4507="Sim",IF(OR(F4507="",D4507="",L4507=""),"",IF(L4507="Sim",ROUND(F4507-D4507,2),0)),0)</f>
        <v/>
      </c>
      <c r="I4507" s="350">
        <f>IF(G4507="Sim",0,IF(OR(F4507="",L4507=""),"",F4507))</f>
        <v/>
      </c>
      <c r="J4507" s="350">
        <f>IF(G4507="Sim",0,IF(OR(F4507="",D4507="",L4507=""),"",IF(L4507="Sim",ROUND(F4507-D4507,2),0)))</f>
        <v/>
      </c>
      <c r="K4507" s="97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inlineStr">
        <is>
          <t>Nao</t>
        </is>
      </c>
      <c r="W4507" s="110" t="inlineStr">
        <is>
          <t>PC em analise</t>
        </is>
      </c>
      <c r="X4507" s="110" t="inlineStr">
        <is>
          <t>Pedido de Compra</t>
        </is>
      </c>
      <c r="Y4507" s="111" t="inlineStr">
        <is>
          <t>Impacto Potencial</t>
        </is>
      </c>
      <c r="Z4507" s="111" t="inlineStr">
        <is>
          <t>PC</t>
        </is>
      </c>
      <c r="AA4507" s="111" t="inlineStr">
        <is>
          <t>Nao</t>
        </is>
      </c>
      <c r="AB4507" s="111" t="inlineStr">
        <is>
          <t>NAO_COMPUTADO</t>
        </is>
      </c>
      <c r="AC4507" s="112" t="inlineStr">
        <is>
          <t>Estrutura Fase 1: sem impacto no VTA oficial</t>
        </is>
      </c>
    </row>
    <row r="4508" ht="25.5" customHeight="1" s="289">
      <c r="A4508" s="205" t="n"/>
      <c r="B4508" s="207" t="n"/>
      <c r="C4508" s="104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348" t="n"/>
      <c r="E4508" s="349">
        <f>IF(C4508="","",IFERROR(VLOOKUP(C4508,parametros!$A$11:$E$15,5,0),""))</f>
        <v/>
      </c>
      <c r="F4508" s="335">
        <f>IF(OR(D4508="",E4508=""),"",ROUND(D4508*E4508,2))</f>
        <v/>
      </c>
      <c r="G4508" s="106" t="n"/>
      <c r="H4508" s="350">
        <f>IF(G4508="Sim",IF(OR(F4508="",D4508="",L4508=""),"",IF(L4508="Sim",ROUND(F4508-D4508,2),0)),0)</f>
        <v/>
      </c>
      <c r="I4508" s="350">
        <f>IF(G4508="Sim",0,IF(OR(F4508="",L4508=""),"",F4508))</f>
        <v/>
      </c>
      <c r="J4508" s="350">
        <f>IF(G4508="Sim",0,IF(OR(F4508="",D4508="",L4508=""),"",IF(L4508="Sim",ROUND(F4508-D4508,2),0)))</f>
        <v/>
      </c>
      <c r="K4508" s="97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inlineStr">
        <is>
          <t>Nao</t>
        </is>
      </c>
      <c r="W4508" s="110" t="inlineStr">
        <is>
          <t>PC em analise</t>
        </is>
      </c>
      <c r="X4508" s="110" t="inlineStr">
        <is>
          <t>Pedido de Compra</t>
        </is>
      </c>
      <c r="Y4508" s="111" t="inlineStr">
        <is>
          <t>Impacto Potencial</t>
        </is>
      </c>
      <c r="Z4508" s="111" t="inlineStr">
        <is>
          <t>PC</t>
        </is>
      </c>
      <c r="AA4508" s="111" t="inlineStr">
        <is>
          <t>Nao</t>
        </is>
      </c>
      <c r="AB4508" s="111" t="inlineStr">
        <is>
          <t>NAO_COMPUTADO</t>
        </is>
      </c>
      <c r="AC4508" s="112" t="inlineStr">
        <is>
          <t>Estrutura Fase 1: sem impacto no VTA oficial</t>
        </is>
      </c>
    </row>
    <row r="4509" ht="25.5" customHeight="1" s="289">
      <c r="A4509" s="205" t="n"/>
      <c r="B4509" s="207" t="n"/>
      <c r="C4509" s="104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348" t="n"/>
      <c r="E4509" s="349">
        <f>IF(C4509="","",IFERROR(VLOOKUP(C4509,parametros!$A$11:$E$15,5,0),""))</f>
        <v/>
      </c>
      <c r="F4509" s="335">
        <f>IF(OR(D4509="",E4509=""),"",ROUND(D4509*E4509,2))</f>
        <v/>
      </c>
      <c r="G4509" s="106" t="n"/>
      <c r="H4509" s="350">
        <f>IF(G4509="Sim",IF(OR(F4509="",D4509="",L4509=""),"",IF(L4509="Sim",ROUND(F4509-D4509,2),0)),0)</f>
        <v/>
      </c>
      <c r="I4509" s="350">
        <f>IF(G4509="Sim",0,IF(OR(F4509="",L4509=""),"",F4509))</f>
        <v/>
      </c>
      <c r="J4509" s="350">
        <f>IF(G4509="Sim",0,IF(OR(F4509="",D4509="",L4509=""),"",IF(L4509="Sim",ROUND(F4509-D4509,2),0)))</f>
        <v/>
      </c>
      <c r="K4509" s="97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inlineStr">
        <is>
          <t>Nao</t>
        </is>
      </c>
      <c r="W4509" s="110" t="inlineStr">
        <is>
          <t>PC em analise</t>
        </is>
      </c>
      <c r="X4509" s="110" t="inlineStr">
        <is>
          <t>Pedido de Compra</t>
        </is>
      </c>
      <c r="Y4509" s="111" t="inlineStr">
        <is>
          <t>Impacto Potencial</t>
        </is>
      </c>
      <c r="Z4509" s="111" t="inlineStr">
        <is>
          <t>PC</t>
        </is>
      </c>
      <c r="AA4509" s="111" t="inlineStr">
        <is>
          <t>Nao</t>
        </is>
      </c>
      <c r="AB4509" s="111" t="inlineStr">
        <is>
          <t>NAO_COMPUTADO</t>
        </is>
      </c>
      <c r="AC4509" s="112" t="inlineStr">
        <is>
          <t>Estrutura Fase 1: sem impacto no VTA oficial</t>
        </is>
      </c>
    </row>
    <row r="4510" ht="25.5" customHeight="1" s="289">
      <c r="A4510" s="205" t="n"/>
      <c r="B4510" s="207" t="n"/>
      <c r="C4510" s="104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348" t="n"/>
      <c r="E4510" s="349">
        <f>IF(C4510="","",IFERROR(VLOOKUP(C4510,parametros!$A$11:$E$15,5,0),""))</f>
        <v/>
      </c>
      <c r="F4510" s="335">
        <f>IF(OR(D4510="",E4510=""),"",ROUND(D4510*E4510,2))</f>
        <v/>
      </c>
      <c r="G4510" s="106" t="n"/>
      <c r="H4510" s="350">
        <f>IF(G4510="Sim",IF(OR(F4510="",D4510="",L4510=""),"",IF(L4510="Sim",ROUND(F4510-D4510,2),0)),0)</f>
        <v/>
      </c>
      <c r="I4510" s="350">
        <f>IF(G4510="Sim",0,IF(OR(F4510="",L4510=""),"",F4510))</f>
        <v/>
      </c>
      <c r="J4510" s="350">
        <f>IF(G4510="Sim",0,IF(OR(F4510="",D4510="",L4510=""),"",IF(L4510="Sim",ROUND(F4510-D4510,2),0)))</f>
        <v/>
      </c>
      <c r="K4510" s="97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inlineStr">
        <is>
          <t>Nao</t>
        </is>
      </c>
      <c r="W4510" s="110" t="inlineStr">
        <is>
          <t>PC em analise</t>
        </is>
      </c>
      <c r="X4510" s="110" t="inlineStr">
        <is>
          <t>Pedido de Compra</t>
        </is>
      </c>
      <c r="Y4510" s="111" t="inlineStr">
        <is>
          <t>Impacto Potencial</t>
        </is>
      </c>
      <c r="Z4510" s="111" t="inlineStr">
        <is>
          <t>PC</t>
        </is>
      </c>
      <c r="AA4510" s="111" t="inlineStr">
        <is>
          <t>Nao</t>
        </is>
      </c>
      <c r="AB4510" s="111" t="inlineStr">
        <is>
          <t>NAO_COMPUTADO</t>
        </is>
      </c>
      <c r="AC4510" s="112" t="inlineStr">
        <is>
          <t>Estrutura Fase 1: sem impacto no VTA oficial</t>
        </is>
      </c>
    </row>
    <row r="4511" ht="25.5" customHeight="1" s="289">
      <c r="A4511" s="205" t="n"/>
      <c r="B4511" s="207" t="n"/>
      <c r="C4511" s="104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348" t="n"/>
      <c r="E4511" s="349">
        <f>IF(C4511="","",IFERROR(VLOOKUP(C4511,parametros!$A$11:$E$15,5,0),""))</f>
        <v/>
      </c>
      <c r="F4511" s="335">
        <f>IF(OR(D4511="",E4511=""),"",ROUND(D4511*E4511,2))</f>
        <v/>
      </c>
      <c r="G4511" s="106" t="n"/>
      <c r="H4511" s="350">
        <f>IF(G4511="Sim",IF(OR(F4511="",D4511="",L4511=""),"",IF(L4511="Sim",ROUND(F4511-D4511,2),0)),0)</f>
        <v/>
      </c>
      <c r="I4511" s="350">
        <f>IF(G4511="Sim",0,IF(OR(F4511="",L4511=""),"",F4511))</f>
        <v/>
      </c>
      <c r="J4511" s="350">
        <f>IF(G4511="Sim",0,IF(OR(F4511="",D4511="",L4511=""),"",IF(L4511="Sim",ROUND(F4511-D4511,2),0)))</f>
        <v/>
      </c>
      <c r="K4511" s="97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inlineStr">
        <is>
          <t>Nao</t>
        </is>
      </c>
      <c r="W4511" s="110" t="inlineStr">
        <is>
          <t>PC em analise</t>
        </is>
      </c>
      <c r="X4511" s="110" t="inlineStr">
        <is>
          <t>Pedido de Compra</t>
        </is>
      </c>
      <c r="Y4511" s="111" t="inlineStr">
        <is>
          <t>Impacto Potencial</t>
        </is>
      </c>
      <c r="Z4511" s="111" t="inlineStr">
        <is>
          <t>PC</t>
        </is>
      </c>
      <c r="AA4511" s="111" t="inlineStr">
        <is>
          <t>Nao</t>
        </is>
      </c>
      <c r="AB4511" s="111" t="inlineStr">
        <is>
          <t>NAO_COMPUTADO</t>
        </is>
      </c>
      <c r="AC4511" s="112" t="inlineStr">
        <is>
          <t>Estrutura Fase 1: sem impacto no VTA oficial</t>
        </is>
      </c>
    </row>
    <row r="4512" ht="25.5" customHeight="1" s="289">
      <c r="A4512" s="205" t="n"/>
      <c r="B4512" s="207" t="n"/>
      <c r="C4512" s="104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348" t="n"/>
      <c r="E4512" s="349">
        <f>IF(C4512="","",IFERROR(VLOOKUP(C4512,parametros!$A$11:$E$15,5,0),""))</f>
        <v/>
      </c>
      <c r="F4512" s="335">
        <f>IF(OR(D4512="",E4512=""),"",ROUND(D4512*E4512,2))</f>
        <v/>
      </c>
      <c r="G4512" s="106" t="n"/>
      <c r="H4512" s="350">
        <f>IF(G4512="Sim",IF(OR(F4512="",D4512="",L4512=""),"",IF(L4512="Sim",ROUND(F4512-D4512,2),0)),0)</f>
        <v/>
      </c>
      <c r="I4512" s="350">
        <f>IF(G4512="Sim",0,IF(OR(F4512="",L4512=""),"",F4512))</f>
        <v/>
      </c>
      <c r="J4512" s="350">
        <f>IF(G4512="Sim",0,IF(OR(F4512="",D4512="",L4512=""),"",IF(L4512="Sim",ROUND(F4512-D4512,2),0)))</f>
        <v/>
      </c>
      <c r="K4512" s="97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inlineStr">
        <is>
          <t>Nao</t>
        </is>
      </c>
      <c r="W4512" s="110" t="inlineStr">
        <is>
          <t>PC em analise</t>
        </is>
      </c>
      <c r="X4512" s="110" t="inlineStr">
        <is>
          <t>Pedido de Compra</t>
        </is>
      </c>
      <c r="Y4512" s="111" t="inlineStr">
        <is>
          <t>Impacto Potencial</t>
        </is>
      </c>
      <c r="Z4512" s="111" t="inlineStr">
        <is>
          <t>PC</t>
        </is>
      </c>
      <c r="AA4512" s="111" t="inlineStr">
        <is>
          <t>Nao</t>
        </is>
      </c>
      <c r="AB4512" s="111" t="inlineStr">
        <is>
          <t>NAO_COMPUTADO</t>
        </is>
      </c>
      <c r="AC4512" s="112" t="inlineStr">
        <is>
          <t>Estrutura Fase 1: sem impacto no VTA oficial</t>
        </is>
      </c>
    </row>
    <row r="4513" ht="25.5" customHeight="1" s="289">
      <c r="A4513" s="205" t="n"/>
      <c r="B4513" s="207" t="n"/>
      <c r="C4513" s="104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348" t="n"/>
      <c r="E4513" s="349">
        <f>IF(C4513="","",IFERROR(VLOOKUP(C4513,parametros!$A$11:$E$15,5,0),""))</f>
        <v/>
      </c>
      <c r="F4513" s="335">
        <f>IF(OR(D4513="",E4513=""),"",ROUND(D4513*E4513,2))</f>
        <v/>
      </c>
      <c r="G4513" s="106" t="n"/>
      <c r="H4513" s="350">
        <f>IF(G4513="Sim",IF(OR(F4513="",D4513="",L4513=""),"",IF(L4513="Sim",ROUND(F4513-D4513,2),0)),0)</f>
        <v/>
      </c>
      <c r="I4513" s="350">
        <f>IF(G4513="Sim",0,IF(OR(F4513="",L4513=""),"",F4513))</f>
        <v/>
      </c>
      <c r="J4513" s="350">
        <f>IF(G4513="Sim",0,IF(OR(F4513="",D4513="",L4513=""),"",IF(L4513="Sim",ROUND(F4513-D4513,2),0)))</f>
        <v/>
      </c>
      <c r="K4513" s="97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inlineStr">
        <is>
          <t>Nao</t>
        </is>
      </c>
      <c r="W4513" s="110" t="inlineStr">
        <is>
          <t>PC em analise</t>
        </is>
      </c>
      <c r="X4513" s="110" t="inlineStr">
        <is>
          <t>Pedido de Compra</t>
        </is>
      </c>
      <c r="Y4513" s="111" t="inlineStr">
        <is>
          <t>Impacto Potencial</t>
        </is>
      </c>
      <c r="Z4513" s="111" t="inlineStr">
        <is>
          <t>PC</t>
        </is>
      </c>
      <c r="AA4513" s="111" t="inlineStr">
        <is>
          <t>Nao</t>
        </is>
      </c>
      <c r="AB4513" s="111" t="inlineStr">
        <is>
          <t>NAO_COMPUTADO</t>
        </is>
      </c>
      <c r="AC4513" s="112" t="inlineStr">
        <is>
          <t>Estrutura Fase 1: sem impacto no VTA oficial</t>
        </is>
      </c>
    </row>
    <row r="4514" ht="25.5" customHeight="1" s="289">
      <c r="A4514" s="205" t="n"/>
      <c r="B4514" s="207" t="n"/>
      <c r="C4514" s="104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348" t="n"/>
      <c r="E4514" s="349">
        <f>IF(C4514="","",IFERROR(VLOOKUP(C4514,parametros!$A$11:$E$15,5,0),""))</f>
        <v/>
      </c>
      <c r="F4514" s="335">
        <f>IF(OR(D4514="",E4514=""),"",ROUND(D4514*E4514,2))</f>
        <v/>
      </c>
      <c r="G4514" s="106" t="n"/>
      <c r="H4514" s="350">
        <f>IF(G4514="Sim",IF(OR(F4514="",D4514="",L4514=""),"",IF(L4514="Sim",ROUND(F4514-D4514,2),0)),0)</f>
        <v/>
      </c>
      <c r="I4514" s="350">
        <f>IF(G4514="Sim",0,IF(OR(F4514="",L4514=""),"",F4514))</f>
        <v/>
      </c>
      <c r="J4514" s="350">
        <f>IF(G4514="Sim",0,IF(OR(F4514="",D4514="",L4514=""),"",IF(L4514="Sim",ROUND(F4514-D4514,2),0)))</f>
        <v/>
      </c>
      <c r="K4514" s="97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inlineStr">
        <is>
          <t>Nao</t>
        </is>
      </c>
      <c r="W4514" s="110" t="inlineStr">
        <is>
          <t>PC em analise</t>
        </is>
      </c>
      <c r="X4514" s="110" t="inlineStr">
        <is>
          <t>Pedido de Compra</t>
        </is>
      </c>
      <c r="Y4514" s="111" t="inlineStr">
        <is>
          <t>Impacto Potencial</t>
        </is>
      </c>
      <c r="Z4514" s="111" t="inlineStr">
        <is>
          <t>PC</t>
        </is>
      </c>
      <c r="AA4514" s="111" t="inlineStr">
        <is>
          <t>Nao</t>
        </is>
      </c>
      <c r="AB4514" s="111" t="inlineStr">
        <is>
          <t>NAO_COMPUTADO</t>
        </is>
      </c>
      <c r="AC4514" s="112" t="inlineStr">
        <is>
          <t>Estrutura Fase 1: sem impacto no VTA oficial</t>
        </is>
      </c>
    </row>
    <row r="4515" ht="25.5" customHeight="1" s="289">
      <c r="A4515" s="205" t="n"/>
      <c r="B4515" s="207" t="n"/>
      <c r="C4515" s="104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348" t="n"/>
      <c r="E4515" s="349">
        <f>IF(C4515="","",IFERROR(VLOOKUP(C4515,parametros!$A$11:$E$15,5,0),""))</f>
        <v/>
      </c>
      <c r="F4515" s="335">
        <f>IF(OR(D4515="",E4515=""),"",ROUND(D4515*E4515,2))</f>
        <v/>
      </c>
      <c r="G4515" s="106" t="n"/>
      <c r="H4515" s="350">
        <f>IF(G4515="Sim",IF(OR(F4515="",D4515="",L4515=""),"",IF(L4515="Sim",ROUND(F4515-D4515,2),0)),0)</f>
        <v/>
      </c>
      <c r="I4515" s="350">
        <f>IF(G4515="Sim",0,IF(OR(F4515="",L4515=""),"",F4515))</f>
        <v/>
      </c>
      <c r="J4515" s="350">
        <f>IF(G4515="Sim",0,IF(OR(F4515="",D4515="",L4515=""),"",IF(L4515="Sim",ROUND(F4515-D4515,2),0)))</f>
        <v/>
      </c>
      <c r="K4515" s="97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inlineStr">
        <is>
          <t>Nao</t>
        </is>
      </c>
      <c r="W4515" s="110" t="inlineStr">
        <is>
          <t>PC em analise</t>
        </is>
      </c>
      <c r="X4515" s="110" t="inlineStr">
        <is>
          <t>Pedido de Compra</t>
        </is>
      </c>
      <c r="Y4515" s="111" t="inlineStr">
        <is>
          <t>Impacto Potencial</t>
        </is>
      </c>
      <c r="Z4515" s="111" t="inlineStr">
        <is>
          <t>PC</t>
        </is>
      </c>
      <c r="AA4515" s="111" t="inlineStr">
        <is>
          <t>Nao</t>
        </is>
      </c>
      <c r="AB4515" s="111" t="inlineStr">
        <is>
          <t>NAO_COMPUTADO</t>
        </is>
      </c>
      <c r="AC4515" s="112" t="inlineStr">
        <is>
          <t>Estrutura Fase 1: sem impacto no VTA oficial</t>
        </is>
      </c>
    </row>
    <row r="4516" ht="25.5" customHeight="1" s="289">
      <c r="A4516" s="205" t="n"/>
      <c r="B4516" s="207" t="n"/>
      <c r="C4516" s="104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348" t="n"/>
      <c r="E4516" s="349">
        <f>IF(C4516="","",IFERROR(VLOOKUP(C4516,parametros!$A$11:$E$15,5,0),""))</f>
        <v/>
      </c>
      <c r="F4516" s="335">
        <f>IF(OR(D4516="",E4516=""),"",ROUND(D4516*E4516,2))</f>
        <v/>
      </c>
      <c r="G4516" s="106" t="n"/>
      <c r="H4516" s="350">
        <f>IF(G4516="Sim",IF(OR(F4516="",D4516="",L4516=""),"",IF(L4516="Sim",ROUND(F4516-D4516,2),0)),0)</f>
        <v/>
      </c>
      <c r="I4516" s="350">
        <f>IF(G4516="Sim",0,IF(OR(F4516="",L4516=""),"",F4516))</f>
        <v/>
      </c>
      <c r="J4516" s="350">
        <f>IF(G4516="Sim",0,IF(OR(F4516="",D4516="",L4516=""),"",IF(L4516="Sim",ROUND(F4516-D4516,2),0)))</f>
        <v/>
      </c>
      <c r="K4516" s="97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inlineStr">
        <is>
          <t>Nao</t>
        </is>
      </c>
      <c r="W4516" s="110" t="inlineStr">
        <is>
          <t>PC em analise</t>
        </is>
      </c>
      <c r="X4516" s="110" t="inlineStr">
        <is>
          <t>Pedido de Compra</t>
        </is>
      </c>
      <c r="Y4516" s="111" t="inlineStr">
        <is>
          <t>Impacto Potencial</t>
        </is>
      </c>
      <c r="Z4516" s="111" t="inlineStr">
        <is>
          <t>PC</t>
        </is>
      </c>
      <c r="AA4516" s="111" t="inlineStr">
        <is>
          <t>Nao</t>
        </is>
      </c>
      <c r="AB4516" s="111" t="inlineStr">
        <is>
          <t>NAO_COMPUTADO</t>
        </is>
      </c>
      <c r="AC4516" s="112" t="inlineStr">
        <is>
          <t>Estrutura Fase 1: sem impacto no VTA oficial</t>
        </is>
      </c>
    </row>
    <row r="4517" ht="25.5" customHeight="1" s="289">
      <c r="A4517" s="205" t="n"/>
      <c r="B4517" s="207" t="n"/>
      <c r="C4517" s="104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348" t="n"/>
      <c r="E4517" s="349">
        <f>IF(C4517="","",IFERROR(VLOOKUP(C4517,parametros!$A$11:$E$15,5,0),""))</f>
        <v/>
      </c>
      <c r="F4517" s="335">
        <f>IF(OR(D4517="",E4517=""),"",ROUND(D4517*E4517,2))</f>
        <v/>
      </c>
      <c r="G4517" s="106" t="n"/>
      <c r="H4517" s="350">
        <f>IF(G4517="Sim",IF(OR(F4517="",D4517="",L4517=""),"",IF(L4517="Sim",ROUND(F4517-D4517,2),0)),0)</f>
        <v/>
      </c>
      <c r="I4517" s="350">
        <f>IF(G4517="Sim",0,IF(OR(F4517="",L4517=""),"",F4517))</f>
        <v/>
      </c>
      <c r="J4517" s="350">
        <f>IF(G4517="Sim",0,IF(OR(F4517="",D4517="",L4517=""),"",IF(L4517="Sim",ROUND(F4517-D4517,2),0)))</f>
        <v/>
      </c>
      <c r="K4517" s="97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inlineStr">
        <is>
          <t>Nao</t>
        </is>
      </c>
      <c r="W4517" s="110" t="inlineStr">
        <is>
          <t>PC em analise</t>
        </is>
      </c>
      <c r="X4517" s="110" t="inlineStr">
        <is>
          <t>Pedido de Compra</t>
        </is>
      </c>
      <c r="Y4517" s="111" t="inlineStr">
        <is>
          <t>Impacto Potencial</t>
        </is>
      </c>
      <c r="Z4517" s="111" t="inlineStr">
        <is>
          <t>PC</t>
        </is>
      </c>
      <c r="AA4517" s="111" t="inlineStr">
        <is>
          <t>Nao</t>
        </is>
      </c>
      <c r="AB4517" s="111" t="inlineStr">
        <is>
          <t>NAO_COMPUTADO</t>
        </is>
      </c>
      <c r="AC4517" s="112" t="inlineStr">
        <is>
          <t>Estrutura Fase 1: sem impacto no VTA oficial</t>
        </is>
      </c>
    </row>
    <row r="4518" ht="25.5" customHeight="1" s="289">
      <c r="A4518" s="205" t="n"/>
      <c r="B4518" s="207" t="n"/>
      <c r="C4518" s="104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348" t="n"/>
      <c r="E4518" s="349">
        <f>IF(C4518="","",IFERROR(VLOOKUP(C4518,parametros!$A$11:$E$15,5,0),""))</f>
        <v/>
      </c>
      <c r="F4518" s="335">
        <f>IF(OR(D4518="",E4518=""),"",ROUND(D4518*E4518,2))</f>
        <v/>
      </c>
      <c r="G4518" s="106" t="n"/>
      <c r="H4518" s="350">
        <f>IF(G4518="Sim",IF(OR(F4518="",D4518="",L4518=""),"",IF(L4518="Sim",ROUND(F4518-D4518,2),0)),0)</f>
        <v/>
      </c>
      <c r="I4518" s="350">
        <f>IF(G4518="Sim",0,IF(OR(F4518="",L4518=""),"",F4518))</f>
        <v/>
      </c>
      <c r="J4518" s="350">
        <f>IF(G4518="Sim",0,IF(OR(F4518="",D4518="",L4518=""),"",IF(L4518="Sim",ROUND(F4518-D4518,2),0)))</f>
        <v/>
      </c>
      <c r="K4518" s="97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inlineStr">
        <is>
          <t>Nao</t>
        </is>
      </c>
      <c r="W4518" s="110" t="inlineStr">
        <is>
          <t>PC em analise</t>
        </is>
      </c>
      <c r="X4518" s="110" t="inlineStr">
        <is>
          <t>Pedido de Compra</t>
        </is>
      </c>
      <c r="Y4518" s="111" t="inlineStr">
        <is>
          <t>Impacto Potencial</t>
        </is>
      </c>
      <c r="Z4518" s="111" t="inlineStr">
        <is>
          <t>PC</t>
        </is>
      </c>
      <c r="AA4518" s="111" t="inlineStr">
        <is>
          <t>Nao</t>
        </is>
      </c>
      <c r="AB4518" s="111" t="inlineStr">
        <is>
          <t>NAO_COMPUTADO</t>
        </is>
      </c>
      <c r="AC4518" s="112" t="inlineStr">
        <is>
          <t>Estrutura Fase 1: sem impacto no VTA oficial</t>
        </is>
      </c>
    </row>
    <row r="4519" ht="25.5" customHeight="1" s="289">
      <c r="A4519" s="205" t="n"/>
      <c r="B4519" s="207" t="n"/>
      <c r="C4519" s="104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348" t="n"/>
      <c r="E4519" s="349">
        <f>IF(C4519="","",IFERROR(VLOOKUP(C4519,parametros!$A$11:$E$15,5,0),""))</f>
        <v/>
      </c>
      <c r="F4519" s="335">
        <f>IF(OR(D4519="",E4519=""),"",ROUND(D4519*E4519,2))</f>
        <v/>
      </c>
      <c r="G4519" s="106" t="n"/>
      <c r="H4519" s="350">
        <f>IF(G4519="Sim",IF(OR(F4519="",D4519="",L4519=""),"",IF(L4519="Sim",ROUND(F4519-D4519,2),0)),0)</f>
        <v/>
      </c>
      <c r="I4519" s="350">
        <f>IF(G4519="Sim",0,IF(OR(F4519="",L4519=""),"",F4519))</f>
        <v/>
      </c>
      <c r="J4519" s="350">
        <f>IF(G4519="Sim",0,IF(OR(F4519="",D4519="",L4519=""),"",IF(L4519="Sim",ROUND(F4519-D4519,2),0)))</f>
        <v/>
      </c>
      <c r="K4519" s="97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inlineStr">
        <is>
          <t>Nao</t>
        </is>
      </c>
      <c r="W4519" s="110" t="inlineStr">
        <is>
          <t>PC em analise</t>
        </is>
      </c>
      <c r="X4519" s="110" t="inlineStr">
        <is>
          <t>Pedido de Compra</t>
        </is>
      </c>
      <c r="Y4519" s="111" t="inlineStr">
        <is>
          <t>Impacto Potencial</t>
        </is>
      </c>
      <c r="Z4519" s="111" t="inlineStr">
        <is>
          <t>PC</t>
        </is>
      </c>
      <c r="AA4519" s="111" t="inlineStr">
        <is>
          <t>Nao</t>
        </is>
      </c>
      <c r="AB4519" s="111" t="inlineStr">
        <is>
          <t>NAO_COMPUTADO</t>
        </is>
      </c>
      <c r="AC4519" s="112" t="inlineStr">
        <is>
          <t>Estrutura Fase 1: sem impacto no VTA oficial</t>
        </is>
      </c>
    </row>
    <row r="4520" ht="25.5" customHeight="1" s="289">
      <c r="A4520" s="205" t="n"/>
      <c r="B4520" s="207" t="n"/>
      <c r="C4520" s="104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348" t="n"/>
      <c r="E4520" s="349">
        <f>IF(C4520="","",IFERROR(VLOOKUP(C4520,parametros!$A$11:$E$15,5,0),""))</f>
        <v/>
      </c>
      <c r="F4520" s="335">
        <f>IF(OR(D4520="",E4520=""),"",ROUND(D4520*E4520,2))</f>
        <v/>
      </c>
      <c r="G4520" s="106" t="n"/>
      <c r="H4520" s="350">
        <f>IF(G4520="Sim",IF(OR(F4520="",D4520="",L4520=""),"",IF(L4520="Sim",ROUND(F4520-D4520,2),0)),0)</f>
        <v/>
      </c>
      <c r="I4520" s="350">
        <f>IF(G4520="Sim",0,IF(OR(F4520="",L4520=""),"",F4520))</f>
        <v/>
      </c>
      <c r="J4520" s="350">
        <f>IF(G4520="Sim",0,IF(OR(F4520="",D4520="",L4520=""),"",IF(L4520="Sim",ROUND(F4520-D4520,2),0)))</f>
        <v/>
      </c>
      <c r="K4520" s="97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inlineStr">
        <is>
          <t>Nao</t>
        </is>
      </c>
      <c r="W4520" s="110" t="inlineStr">
        <is>
          <t>PC em analise</t>
        </is>
      </c>
      <c r="X4520" s="110" t="inlineStr">
        <is>
          <t>Pedido de Compra</t>
        </is>
      </c>
      <c r="Y4520" s="111" t="inlineStr">
        <is>
          <t>Impacto Potencial</t>
        </is>
      </c>
      <c r="Z4520" s="111" t="inlineStr">
        <is>
          <t>PC</t>
        </is>
      </c>
      <c r="AA4520" s="111" t="inlineStr">
        <is>
          <t>Nao</t>
        </is>
      </c>
      <c r="AB4520" s="111" t="inlineStr">
        <is>
          <t>NAO_COMPUTADO</t>
        </is>
      </c>
      <c r="AC4520" s="112" t="inlineStr">
        <is>
          <t>Estrutura Fase 1: sem impacto no VTA oficial</t>
        </is>
      </c>
    </row>
    <row r="4521" ht="25.5" customHeight="1" s="289">
      <c r="A4521" s="205" t="n"/>
      <c r="B4521" s="207" t="n"/>
      <c r="C4521" s="104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348" t="n"/>
      <c r="E4521" s="349">
        <f>IF(C4521="","",IFERROR(VLOOKUP(C4521,parametros!$A$11:$E$15,5,0),""))</f>
        <v/>
      </c>
      <c r="F4521" s="335">
        <f>IF(OR(D4521="",E4521=""),"",ROUND(D4521*E4521,2))</f>
        <v/>
      </c>
      <c r="G4521" s="106" t="n"/>
      <c r="H4521" s="350">
        <f>IF(G4521="Sim",IF(OR(F4521="",D4521="",L4521=""),"",IF(L4521="Sim",ROUND(F4521-D4521,2),0)),0)</f>
        <v/>
      </c>
      <c r="I4521" s="350">
        <f>IF(G4521="Sim",0,IF(OR(F4521="",L4521=""),"",F4521))</f>
        <v/>
      </c>
      <c r="J4521" s="350">
        <f>IF(G4521="Sim",0,IF(OR(F4521="",D4521="",L4521=""),"",IF(L4521="Sim",ROUND(F4521-D4521,2),0)))</f>
        <v/>
      </c>
      <c r="K4521" s="97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inlineStr">
        <is>
          <t>Nao</t>
        </is>
      </c>
      <c r="W4521" s="110" t="inlineStr">
        <is>
          <t>PC em analise</t>
        </is>
      </c>
      <c r="X4521" s="110" t="inlineStr">
        <is>
          <t>Pedido de Compra</t>
        </is>
      </c>
      <c r="Y4521" s="111" t="inlineStr">
        <is>
          <t>Impacto Potencial</t>
        </is>
      </c>
      <c r="Z4521" s="111" t="inlineStr">
        <is>
          <t>PC</t>
        </is>
      </c>
      <c r="AA4521" s="111" t="inlineStr">
        <is>
          <t>Nao</t>
        </is>
      </c>
      <c r="AB4521" s="111" t="inlineStr">
        <is>
          <t>NAO_COMPUTADO</t>
        </is>
      </c>
      <c r="AC4521" s="112" t="inlineStr">
        <is>
          <t>Estrutura Fase 1: sem impacto no VTA oficial</t>
        </is>
      </c>
    </row>
    <row r="4522" ht="25.5" customHeight="1" s="289">
      <c r="A4522" s="205" t="n"/>
      <c r="B4522" s="207" t="n"/>
      <c r="C4522" s="104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348" t="n"/>
      <c r="E4522" s="349">
        <f>IF(C4522="","",IFERROR(VLOOKUP(C4522,parametros!$A$11:$E$15,5,0),""))</f>
        <v/>
      </c>
      <c r="F4522" s="335">
        <f>IF(OR(D4522="",E4522=""),"",ROUND(D4522*E4522,2))</f>
        <v/>
      </c>
      <c r="G4522" s="106" t="n"/>
      <c r="H4522" s="350">
        <f>IF(G4522="Sim",IF(OR(F4522="",D4522="",L4522=""),"",IF(L4522="Sim",ROUND(F4522-D4522,2),0)),0)</f>
        <v/>
      </c>
      <c r="I4522" s="350">
        <f>IF(G4522="Sim",0,IF(OR(F4522="",L4522=""),"",F4522))</f>
        <v/>
      </c>
      <c r="J4522" s="350">
        <f>IF(G4522="Sim",0,IF(OR(F4522="",D4522="",L4522=""),"",IF(L4522="Sim",ROUND(F4522-D4522,2),0)))</f>
        <v/>
      </c>
      <c r="K4522" s="97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inlineStr">
        <is>
          <t>Nao</t>
        </is>
      </c>
      <c r="W4522" s="110" t="inlineStr">
        <is>
          <t>PC em analise</t>
        </is>
      </c>
      <c r="X4522" s="110" t="inlineStr">
        <is>
          <t>Pedido de Compra</t>
        </is>
      </c>
      <c r="Y4522" s="111" t="inlineStr">
        <is>
          <t>Impacto Potencial</t>
        </is>
      </c>
      <c r="Z4522" s="111" t="inlineStr">
        <is>
          <t>PC</t>
        </is>
      </c>
      <c r="AA4522" s="111" t="inlineStr">
        <is>
          <t>Nao</t>
        </is>
      </c>
      <c r="AB4522" s="111" t="inlineStr">
        <is>
          <t>NAO_COMPUTADO</t>
        </is>
      </c>
      <c r="AC4522" s="112" t="inlineStr">
        <is>
          <t>Estrutura Fase 1: sem impacto no VTA oficial</t>
        </is>
      </c>
    </row>
    <row r="4523" ht="25.5" customHeight="1" s="289">
      <c r="A4523" s="205" t="n"/>
      <c r="B4523" s="207" t="n"/>
      <c r="C4523" s="104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348" t="n"/>
      <c r="E4523" s="349">
        <f>IF(C4523="","",IFERROR(VLOOKUP(C4523,parametros!$A$11:$E$15,5,0),""))</f>
        <v/>
      </c>
      <c r="F4523" s="335">
        <f>IF(OR(D4523="",E4523=""),"",ROUND(D4523*E4523,2))</f>
        <v/>
      </c>
      <c r="G4523" s="106" t="n"/>
      <c r="H4523" s="350">
        <f>IF(G4523="Sim",IF(OR(F4523="",D4523="",L4523=""),"",IF(L4523="Sim",ROUND(F4523-D4523,2),0)),0)</f>
        <v/>
      </c>
      <c r="I4523" s="350">
        <f>IF(G4523="Sim",0,IF(OR(F4523="",L4523=""),"",F4523))</f>
        <v/>
      </c>
      <c r="J4523" s="350">
        <f>IF(G4523="Sim",0,IF(OR(F4523="",D4523="",L4523=""),"",IF(L4523="Sim",ROUND(F4523-D4523,2),0)))</f>
        <v/>
      </c>
      <c r="K4523" s="97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inlineStr">
        <is>
          <t>Nao</t>
        </is>
      </c>
      <c r="W4523" s="110" t="inlineStr">
        <is>
          <t>PC em analise</t>
        </is>
      </c>
      <c r="X4523" s="110" t="inlineStr">
        <is>
          <t>Pedido de Compra</t>
        </is>
      </c>
      <c r="Y4523" s="111" t="inlineStr">
        <is>
          <t>Impacto Potencial</t>
        </is>
      </c>
      <c r="Z4523" s="111" t="inlineStr">
        <is>
          <t>PC</t>
        </is>
      </c>
      <c r="AA4523" s="111" t="inlineStr">
        <is>
          <t>Nao</t>
        </is>
      </c>
      <c r="AB4523" s="111" t="inlineStr">
        <is>
          <t>NAO_COMPUTADO</t>
        </is>
      </c>
      <c r="AC4523" s="112" t="inlineStr">
        <is>
          <t>Estrutura Fase 1: sem impacto no VTA oficial</t>
        </is>
      </c>
    </row>
    <row r="4524" ht="25.5" customHeight="1" s="289">
      <c r="A4524" s="205" t="n"/>
      <c r="B4524" s="207" t="n"/>
      <c r="C4524" s="104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348" t="n"/>
      <c r="E4524" s="349">
        <f>IF(C4524="","",IFERROR(VLOOKUP(C4524,parametros!$A$11:$E$15,5,0),""))</f>
        <v/>
      </c>
      <c r="F4524" s="335">
        <f>IF(OR(D4524="",E4524=""),"",ROUND(D4524*E4524,2))</f>
        <v/>
      </c>
      <c r="G4524" s="106" t="n"/>
      <c r="H4524" s="350">
        <f>IF(G4524="Sim",IF(OR(F4524="",D4524="",L4524=""),"",IF(L4524="Sim",ROUND(F4524-D4524,2),0)),0)</f>
        <v/>
      </c>
      <c r="I4524" s="350">
        <f>IF(G4524="Sim",0,IF(OR(F4524="",L4524=""),"",F4524))</f>
        <v/>
      </c>
      <c r="J4524" s="350">
        <f>IF(G4524="Sim",0,IF(OR(F4524="",D4524="",L4524=""),"",IF(L4524="Sim",ROUND(F4524-D4524,2),0)))</f>
        <v/>
      </c>
      <c r="K4524" s="97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inlineStr">
        <is>
          <t>Nao</t>
        </is>
      </c>
      <c r="W4524" s="110" t="inlineStr">
        <is>
          <t>PC em analise</t>
        </is>
      </c>
      <c r="X4524" s="110" t="inlineStr">
        <is>
          <t>Pedido de Compra</t>
        </is>
      </c>
      <c r="Y4524" s="111" t="inlineStr">
        <is>
          <t>Impacto Potencial</t>
        </is>
      </c>
      <c r="Z4524" s="111" t="inlineStr">
        <is>
          <t>PC</t>
        </is>
      </c>
      <c r="AA4524" s="111" t="inlineStr">
        <is>
          <t>Nao</t>
        </is>
      </c>
      <c r="AB4524" s="111" t="inlineStr">
        <is>
          <t>NAO_COMPUTADO</t>
        </is>
      </c>
      <c r="AC4524" s="112" t="inlineStr">
        <is>
          <t>Estrutura Fase 1: sem impacto no VTA oficial</t>
        </is>
      </c>
    </row>
    <row r="4525" ht="25.5" customHeight="1" s="289">
      <c r="A4525" s="205" t="n"/>
      <c r="B4525" s="207" t="n"/>
      <c r="C4525" s="104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348" t="n"/>
      <c r="E4525" s="349">
        <f>IF(C4525="","",IFERROR(VLOOKUP(C4525,parametros!$A$11:$E$15,5,0),""))</f>
        <v/>
      </c>
      <c r="F4525" s="335">
        <f>IF(OR(D4525="",E4525=""),"",ROUND(D4525*E4525,2))</f>
        <v/>
      </c>
      <c r="G4525" s="106" t="n"/>
      <c r="H4525" s="350">
        <f>IF(G4525="Sim",IF(OR(F4525="",D4525="",L4525=""),"",IF(L4525="Sim",ROUND(F4525-D4525,2),0)),0)</f>
        <v/>
      </c>
      <c r="I4525" s="350">
        <f>IF(G4525="Sim",0,IF(OR(F4525="",L4525=""),"",F4525))</f>
        <v/>
      </c>
      <c r="J4525" s="350">
        <f>IF(G4525="Sim",0,IF(OR(F4525="",D4525="",L4525=""),"",IF(L4525="Sim",ROUND(F4525-D4525,2),0)))</f>
        <v/>
      </c>
      <c r="K4525" s="97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inlineStr">
        <is>
          <t>Nao</t>
        </is>
      </c>
      <c r="W4525" s="110" t="inlineStr">
        <is>
          <t>PC em analise</t>
        </is>
      </c>
      <c r="X4525" s="110" t="inlineStr">
        <is>
          <t>Pedido de Compra</t>
        </is>
      </c>
      <c r="Y4525" s="111" t="inlineStr">
        <is>
          <t>Impacto Potencial</t>
        </is>
      </c>
      <c r="Z4525" s="111" t="inlineStr">
        <is>
          <t>PC</t>
        </is>
      </c>
      <c r="AA4525" s="111" t="inlineStr">
        <is>
          <t>Nao</t>
        </is>
      </c>
      <c r="AB4525" s="111" t="inlineStr">
        <is>
          <t>NAO_COMPUTADO</t>
        </is>
      </c>
      <c r="AC4525" s="112" t="inlineStr">
        <is>
          <t>Estrutura Fase 1: sem impacto no VTA oficial</t>
        </is>
      </c>
    </row>
    <row r="4526" ht="25.5" customHeight="1" s="289">
      <c r="A4526" s="205" t="n"/>
      <c r="B4526" s="207" t="n"/>
      <c r="C4526" s="104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348" t="n"/>
      <c r="E4526" s="349">
        <f>IF(C4526="","",IFERROR(VLOOKUP(C4526,parametros!$A$11:$E$15,5,0),""))</f>
        <v/>
      </c>
      <c r="F4526" s="335">
        <f>IF(OR(D4526="",E4526=""),"",ROUND(D4526*E4526,2))</f>
        <v/>
      </c>
      <c r="G4526" s="106" t="n"/>
      <c r="H4526" s="350">
        <f>IF(G4526="Sim",IF(OR(F4526="",D4526="",L4526=""),"",IF(L4526="Sim",ROUND(F4526-D4526,2),0)),0)</f>
        <v/>
      </c>
      <c r="I4526" s="350">
        <f>IF(G4526="Sim",0,IF(OR(F4526="",L4526=""),"",F4526))</f>
        <v/>
      </c>
      <c r="J4526" s="350">
        <f>IF(G4526="Sim",0,IF(OR(F4526="",D4526="",L4526=""),"",IF(L4526="Sim",ROUND(F4526-D4526,2),0)))</f>
        <v/>
      </c>
      <c r="K4526" s="97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inlineStr">
        <is>
          <t>Nao</t>
        </is>
      </c>
      <c r="W4526" s="110" t="inlineStr">
        <is>
          <t>PC em analise</t>
        </is>
      </c>
      <c r="X4526" s="110" t="inlineStr">
        <is>
          <t>Pedido de Compra</t>
        </is>
      </c>
      <c r="Y4526" s="111" t="inlineStr">
        <is>
          <t>Impacto Potencial</t>
        </is>
      </c>
      <c r="Z4526" s="111" t="inlineStr">
        <is>
          <t>PC</t>
        </is>
      </c>
      <c r="AA4526" s="111" t="inlineStr">
        <is>
          <t>Nao</t>
        </is>
      </c>
      <c r="AB4526" s="111" t="inlineStr">
        <is>
          <t>NAO_COMPUTADO</t>
        </is>
      </c>
      <c r="AC4526" s="112" t="inlineStr">
        <is>
          <t>Estrutura Fase 1: sem impacto no VTA oficial</t>
        </is>
      </c>
    </row>
    <row r="4527" ht="25.5" customHeight="1" s="289">
      <c r="A4527" s="205" t="n"/>
      <c r="B4527" s="207" t="n"/>
      <c r="C4527" s="104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348" t="n"/>
      <c r="E4527" s="349">
        <f>IF(C4527="","",IFERROR(VLOOKUP(C4527,parametros!$A$11:$E$15,5,0),""))</f>
        <v/>
      </c>
      <c r="F4527" s="335">
        <f>IF(OR(D4527="",E4527=""),"",ROUND(D4527*E4527,2))</f>
        <v/>
      </c>
      <c r="G4527" s="106" t="n"/>
      <c r="H4527" s="350">
        <f>IF(G4527="Sim",IF(OR(F4527="",D4527="",L4527=""),"",IF(L4527="Sim",ROUND(F4527-D4527,2),0)),0)</f>
        <v/>
      </c>
      <c r="I4527" s="350">
        <f>IF(G4527="Sim",0,IF(OR(F4527="",L4527=""),"",F4527))</f>
        <v/>
      </c>
      <c r="J4527" s="350">
        <f>IF(G4527="Sim",0,IF(OR(F4527="",D4527="",L4527=""),"",IF(L4527="Sim",ROUND(F4527-D4527,2),0)))</f>
        <v/>
      </c>
      <c r="K4527" s="97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inlineStr">
        <is>
          <t>Nao</t>
        </is>
      </c>
      <c r="W4527" s="110" t="inlineStr">
        <is>
          <t>PC em analise</t>
        </is>
      </c>
      <c r="X4527" s="110" t="inlineStr">
        <is>
          <t>Pedido de Compra</t>
        </is>
      </c>
      <c r="Y4527" s="111" t="inlineStr">
        <is>
          <t>Impacto Potencial</t>
        </is>
      </c>
      <c r="Z4527" s="111" t="inlineStr">
        <is>
          <t>PC</t>
        </is>
      </c>
      <c r="AA4527" s="111" t="inlineStr">
        <is>
          <t>Nao</t>
        </is>
      </c>
      <c r="AB4527" s="111" t="inlineStr">
        <is>
          <t>NAO_COMPUTADO</t>
        </is>
      </c>
      <c r="AC4527" s="112" t="inlineStr">
        <is>
          <t>Estrutura Fase 1: sem impacto no VTA oficial</t>
        </is>
      </c>
    </row>
    <row r="4528" ht="25.5" customHeight="1" s="289">
      <c r="A4528" s="205" t="n"/>
      <c r="B4528" s="207" t="n"/>
      <c r="C4528" s="104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348" t="n"/>
      <c r="E4528" s="349">
        <f>IF(C4528="","",IFERROR(VLOOKUP(C4528,parametros!$A$11:$E$15,5,0),""))</f>
        <v/>
      </c>
      <c r="F4528" s="335">
        <f>IF(OR(D4528="",E4528=""),"",ROUND(D4528*E4528,2))</f>
        <v/>
      </c>
      <c r="G4528" s="106" t="n"/>
      <c r="H4528" s="350">
        <f>IF(G4528="Sim",IF(OR(F4528="",D4528="",L4528=""),"",IF(L4528="Sim",ROUND(F4528-D4528,2),0)),0)</f>
        <v/>
      </c>
      <c r="I4528" s="350">
        <f>IF(G4528="Sim",0,IF(OR(F4528="",L4528=""),"",F4528))</f>
        <v/>
      </c>
      <c r="J4528" s="350">
        <f>IF(G4528="Sim",0,IF(OR(F4528="",D4528="",L4528=""),"",IF(L4528="Sim",ROUND(F4528-D4528,2),0)))</f>
        <v/>
      </c>
      <c r="K4528" s="97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inlineStr">
        <is>
          <t>Nao</t>
        </is>
      </c>
      <c r="W4528" s="110" t="inlineStr">
        <is>
          <t>PC em analise</t>
        </is>
      </c>
      <c r="X4528" s="110" t="inlineStr">
        <is>
          <t>Pedido de Compra</t>
        </is>
      </c>
      <c r="Y4528" s="111" t="inlineStr">
        <is>
          <t>Impacto Potencial</t>
        </is>
      </c>
      <c r="Z4528" s="111" t="inlineStr">
        <is>
          <t>PC</t>
        </is>
      </c>
      <c r="AA4528" s="111" t="inlineStr">
        <is>
          <t>Nao</t>
        </is>
      </c>
      <c r="AB4528" s="111" t="inlineStr">
        <is>
          <t>NAO_COMPUTADO</t>
        </is>
      </c>
      <c r="AC4528" s="112" t="inlineStr">
        <is>
          <t>Estrutura Fase 1: sem impacto no VTA oficial</t>
        </is>
      </c>
    </row>
    <row r="4529" ht="25.5" customHeight="1" s="289">
      <c r="A4529" s="205" t="n"/>
      <c r="B4529" s="207" t="n"/>
      <c r="C4529" s="104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348" t="n"/>
      <c r="E4529" s="349">
        <f>IF(C4529="","",IFERROR(VLOOKUP(C4529,parametros!$A$11:$E$15,5,0),""))</f>
        <v/>
      </c>
      <c r="F4529" s="335">
        <f>IF(OR(D4529="",E4529=""),"",ROUND(D4529*E4529,2))</f>
        <v/>
      </c>
      <c r="G4529" s="106" t="n"/>
      <c r="H4529" s="350">
        <f>IF(G4529="Sim",IF(OR(F4529="",D4529="",L4529=""),"",IF(L4529="Sim",ROUND(F4529-D4529,2),0)),0)</f>
        <v/>
      </c>
      <c r="I4529" s="350">
        <f>IF(G4529="Sim",0,IF(OR(F4529="",L4529=""),"",F4529))</f>
        <v/>
      </c>
      <c r="J4529" s="350">
        <f>IF(G4529="Sim",0,IF(OR(F4529="",D4529="",L4529=""),"",IF(L4529="Sim",ROUND(F4529-D4529,2),0)))</f>
        <v/>
      </c>
      <c r="K4529" s="97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inlineStr">
        <is>
          <t>Nao</t>
        </is>
      </c>
      <c r="W4529" s="110" t="inlineStr">
        <is>
          <t>PC em analise</t>
        </is>
      </c>
      <c r="X4529" s="110" t="inlineStr">
        <is>
          <t>Pedido de Compra</t>
        </is>
      </c>
      <c r="Y4529" s="111" t="inlineStr">
        <is>
          <t>Impacto Potencial</t>
        </is>
      </c>
      <c r="Z4529" s="111" t="inlineStr">
        <is>
          <t>PC</t>
        </is>
      </c>
      <c r="AA4529" s="111" t="inlineStr">
        <is>
          <t>Nao</t>
        </is>
      </c>
      <c r="AB4529" s="111" t="inlineStr">
        <is>
          <t>NAO_COMPUTADO</t>
        </is>
      </c>
      <c r="AC4529" s="112" t="inlineStr">
        <is>
          <t>Estrutura Fase 1: sem impacto no VTA oficial</t>
        </is>
      </c>
    </row>
    <row r="4530" ht="25.5" customHeight="1" s="289">
      <c r="A4530" s="205" t="n"/>
      <c r="B4530" s="207" t="n"/>
      <c r="C4530" s="104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348" t="n"/>
      <c r="E4530" s="349">
        <f>IF(C4530="","",IFERROR(VLOOKUP(C4530,parametros!$A$11:$E$15,5,0),""))</f>
        <v/>
      </c>
      <c r="F4530" s="335">
        <f>IF(OR(D4530="",E4530=""),"",ROUND(D4530*E4530,2))</f>
        <v/>
      </c>
      <c r="G4530" s="106" t="n"/>
      <c r="H4530" s="350">
        <f>IF(G4530="Sim",IF(OR(F4530="",D4530="",L4530=""),"",IF(L4530="Sim",ROUND(F4530-D4530,2),0)),0)</f>
        <v/>
      </c>
      <c r="I4530" s="350">
        <f>IF(G4530="Sim",0,IF(OR(F4530="",L4530=""),"",F4530))</f>
        <v/>
      </c>
      <c r="J4530" s="350">
        <f>IF(G4530="Sim",0,IF(OR(F4530="",D4530="",L4530=""),"",IF(L4530="Sim",ROUND(F4530-D4530,2),0)))</f>
        <v/>
      </c>
      <c r="K4530" s="97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inlineStr">
        <is>
          <t>Nao</t>
        </is>
      </c>
      <c r="W4530" s="110" t="inlineStr">
        <is>
          <t>PC em analise</t>
        </is>
      </c>
      <c r="X4530" s="110" t="inlineStr">
        <is>
          <t>Pedido de Compra</t>
        </is>
      </c>
      <c r="Y4530" s="111" t="inlineStr">
        <is>
          <t>Impacto Potencial</t>
        </is>
      </c>
      <c r="Z4530" s="111" t="inlineStr">
        <is>
          <t>PC</t>
        </is>
      </c>
      <c r="AA4530" s="111" t="inlineStr">
        <is>
          <t>Nao</t>
        </is>
      </c>
      <c r="AB4530" s="111" t="inlineStr">
        <is>
          <t>NAO_COMPUTADO</t>
        </is>
      </c>
      <c r="AC4530" s="112" t="inlineStr">
        <is>
          <t>Estrutura Fase 1: sem impacto no VTA oficial</t>
        </is>
      </c>
    </row>
    <row r="4531" ht="25.5" customHeight="1" s="289">
      <c r="A4531" s="205" t="n"/>
      <c r="B4531" s="207" t="n"/>
      <c r="C4531" s="104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348" t="n"/>
      <c r="E4531" s="349">
        <f>IF(C4531="","",IFERROR(VLOOKUP(C4531,parametros!$A$11:$E$15,5,0),""))</f>
        <v/>
      </c>
      <c r="F4531" s="335">
        <f>IF(OR(D4531="",E4531=""),"",ROUND(D4531*E4531,2))</f>
        <v/>
      </c>
      <c r="G4531" s="106" t="n"/>
      <c r="H4531" s="350">
        <f>IF(G4531="Sim",IF(OR(F4531="",D4531="",L4531=""),"",IF(L4531="Sim",ROUND(F4531-D4531,2),0)),0)</f>
        <v/>
      </c>
      <c r="I4531" s="350">
        <f>IF(G4531="Sim",0,IF(OR(F4531="",L4531=""),"",F4531))</f>
        <v/>
      </c>
      <c r="J4531" s="350">
        <f>IF(G4531="Sim",0,IF(OR(F4531="",D4531="",L4531=""),"",IF(L4531="Sim",ROUND(F4531-D4531,2),0)))</f>
        <v/>
      </c>
      <c r="K4531" s="97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inlineStr">
        <is>
          <t>Nao</t>
        </is>
      </c>
      <c r="W4531" s="110" t="inlineStr">
        <is>
          <t>PC em analise</t>
        </is>
      </c>
      <c r="X4531" s="110" t="inlineStr">
        <is>
          <t>Pedido de Compra</t>
        </is>
      </c>
      <c r="Y4531" s="111" t="inlineStr">
        <is>
          <t>Impacto Potencial</t>
        </is>
      </c>
      <c r="Z4531" s="111" t="inlineStr">
        <is>
          <t>PC</t>
        </is>
      </c>
      <c r="AA4531" s="111" t="inlineStr">
        <is>
          <t>Nao</t>
        </is>
      </c>
      <c r="AB4531" s="111" t="inlineStr">
        <is>
          <t>NAO_COMPUTADO</t>
        </is>
      </c>
      <c r="AC4531" s="112" t="inlineStr">
        <is>
          <t>Estrutura Fase 1: sem impacto no VTA oficial</t>
        </is>
      </c>
    </row>
    <row r="4532" ht="25.5" customHeight="1" s="289">
      <c r="A4532" s="205" t="n"/>
      <c r="B4532" s="207" t="n"/>
      <c r="C4532" s="104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348" t="n"/>
      <c r="E4532" s="349">
        <f>IF(C4532="","",IFERROR(VLOOKUP(C4532,parametros!$A$11:$E$15,5,0),""))</f>
        <v/>
      </c>
      <c r="F4532" s="335">
        <f>IF(OR(D4532="",E4532=""),"",ROUND(D4532*E4532,2))</f>
        <v/>
      </c>
      <c r="G4532" s="106" t="n"/>
      <c r="H4532" s="350">
        <f>IF(G4532="Sim",IF(OR(F4532="",D4532="",L4532=""),"",IF(L4532="Sim",ROUND(F4532-D4532,2),0)),0)</f>
        <v/>
      </c>
      <c r="I4532" s="350">
        <f>IF(G4532="Sim",0,IF(OR(F4532="",L4532=""),"",F4532))</f>
        <v/>
      </c>
      <c r="J4532" s="350">
        <f>IF(G4532="Sim",0,IF(OR(F4532="",D4532="",L4532=""),"",IF(L4532="Sim",ROUND(F4532-D4532,2),0)))</f>
        <v/>
      </c>
      <c r="K4532" s="97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inlineStr">
        <is>
          <t>Nao</t>
        </is>
      </c>
      <c r="W4532" s="110" t="inlineStr">
        <is>
          <t>PC em analise</t>
        </is>
      </c>
      <c r="X4532" s="110" t="inlineStr">
        <is>
          <t>Pedido de Compra</t>
        </is>
      </c>
      <c r="Y4532" s="111" t="inlineStr">
        <is>
          <t>Impacto Potencial</t>
        </is>
      </c>
      <c r="Z4532" s="111" t="inlineStr">
        <is>
          <t>PC</t>
        </is>
      </c>
      <c r="AA4532" s="111" t="inlineStr">
        <is>
          <t>Nao</t>
        </is>
      </c>
      <c r="AB4532" s="111" t="inlineStr">
        <is>
          <t>NAO_COMPUTADO</t>
        </is>
      </c>
      <c r="AC4532" s="112" t="inlineStr">
        <is>
          <t>Estrutura Fase 1: sem impacto no VTA oficial</t>
        </is>
      </c>
    </row>
    <row r="4533" ht="25.5" customHeight="1" s="289">
      <c r="A4533" s="205" t="n"/>
      <c r="B4533" s="207" t="n"/>
      <c r="C4533" s="104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348" t="n"/>
      <c r="E4533" s="349">
        <f>IF(C4533="","",IFERROR(VLOOKUP(C4533,parametros!$A$11:$E$15,5,0),""))</f>
        <v/>
      </c>
      <c r="F4533" s="335">
        <f>IF(OR(D4533="",E4533=""),"",ROUND(D4533*E4533,2))</f>
        <v/>
      </c>
      <c r="G4533" s="106" t="n"/>
      <c r="H4533" s="350">
        <f>IF(G4533="Sim",IF(OR(F4533="",D4533="",L4533=""),"",IF(L4533="Sim",ROUND(F4533-D4533,2),0)),0)</f>
        <v/>
      </c>
      <c r="I4533" s="350">
        <f>IF(G4533="Sim",0,IF(OR(F4533="",L4533=""),"",F4533))</f>
        <v/>
      </c>
      <c r="J4533" s="350">
        <f>IF(G4533="Sim",0,IF(OR(F4533="",D4533="",L4533=""),"",IF(L4533="Sim",ROUND(F4533-D4533,2),0)))</f>
        <v/>
      </c>
      <c r="K4533" s="97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inlineStr">
        <is>
          <t>Nao</t>
        </is>
      </c>
      <c r="W4533" s="110" t="inlineStr">
        <is>
          <t>PC em analise</t>
        </is>
      </c>
      <c r="X4533" s="110" t="inlineStr">
        <is>
          <t>Pedido de Compra</t>
        </is>
      </c>
      <c r="Y4533" s="111" t="inlineStr">
        <is>
          <t>Impacto Potencial</t>
        </is>
      </c>
      <c r="Z4533" s="111" t="inlineStr">
        <is>
          <t>PC</t>
        </is>
      </c>
      <c r="AA4533" s="111" t="inlineStr">
        <is>
          <t>Nao</t>
        </is>
      </c>
      <c r="AB4533" s="111" t="inlineStr">
        <is>
          <t>NAO_COMPUTADO</t>
        </is>
      </c>
      <c r="AC4533" s="112" t="inlineStr">
        <is>
          <t>Estrutura Fase 1: sem impacto no VTA oficial</t>
        </is>
      </c>
    </row>
    <row r="4534" ht="25.5" customHeight="1" s="289">
      <c r="A4534" s="205" t="n"/>
      <c r="B4534" s="207" t="n"/>
      <c r="C4534" s="104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348" t="n"/>
      <c r="E4534" s="349">
        <f>IF(C4534="","",IFERROR(VLOOKUP(C4534,parametros!$A$11:$E$15,5,0),""))</f>
        <v/>
      </c>
      <c r="F4534" s="335">
        <f>IF(OR(D4534="",E4534=""),"",ROUND(D4534*E4534,2))</f>
        <v/>
      </c>
      <c r="G4534" s="106" t="n"/>
      <c r="H4534" s="350">
        <f>IF(G4534="Sim",IF(OR(F4534="",D4534="",L4534=""),"",IF(L4534="Sim",ROUND(F4534-D4534,2),0)),0)</f>
        <v/>
      </c>
      <c r="I4534" s="350">
        <f>IF(G4534="Sim",0,IF(OR(F4534="",L4534=""),"",F4534))</f>
        <v/>
      </c>
      <c r="J4534" s="350">
        <f>IF(G4534="Sim",0,IF(OR(F4534="",D4534="",L4534=""),"",IF(L4534="Sim",ROUND(F4534-D4534,2),0)))</f>
        <v/>
      </c>
      <c r="K4534" s="97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inlineStr">
        <is>
          <t>Nao</t>
        </is>
      </c>
      <c r="W4534" s="110" t="inlineStr">
        <is>
          <t>PC em analise</t>
        </is>
      </c>
      <c r="X4534" s="110" t="inlineStr">
        <is>
          <t>Pedido de Compra</t>
        </is>
      </c>
      <c r="Y4534" s="111" t="inlineStr">
        <is>
          <t>Impacto Potencial</t>
        </is>
      </c>
      <c r="Z4534" s="111" t="inlineStr">
        <is>
          <t>PC</t>
        </is>
      </c>
      <c r="AA4534" s="111" t="inlineStr">
        <is>
          <t>Nao</t>
        </is>
      </c>
      <c r="AB4534" s="111" t="inlineStr">
        <is>
          <t>NAO_COMPUTADO</t>
        </is>
      </c>
      <c r="AC4534" s="112" t="inlineStr">
        <is>
          <t>Estrutura Fase 1: sem impacto no VTA oficial</t>
        </is>
      </c>
    </row>
    <row r="4535" ht="25.5" customHeight="1" s="289">
      <c r="A4535" s="205" t="n"/>
      <c r="B4535" s="207" t="n"/>
      <c r="C4535" s="104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348" t="n"/>
      <c r="E4535" s="349">
        <f>IF(C4535="","",IFERROR(VLOOKUP(C4535,parametros!$A$11:$E$15,5,0),""))</f>
        <v/>
      </c>
      <c r="F4535" s="335">
        <f>IF(OR(D4535="",E4535=""),"",ROUND(D4535*E4535,2))</f>
        <v/>
      </c>
      <c r="G4535" s="106" t="n"/>
      <c r="H4535" s="350">
        <f>IF(G4535="Sim",IF(OR(F4535="",D4535="",L4535=""),"",IF(L4535="Sim",ROUND(F4535-D4535,2),0)),0)</f>
        <v/>
      </c>
      <c r="I4535" s="350">
        <f>IF(G4535="Sim",0,IF(OR(F4535="",L4535=""),"",F4535))</f>
        <v/>
      </c>
      <c r="J4535" s="350">
        <f>IF(G4535="Sim",0,IF(OR(F4535="",D4535="",L4535=""),"",IF(L4535="Sim",ROUND(F4535-D4535,2),0)))</f>
        <v/>
      </c>
      <c r="K4535" s="97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inlineStr">
        <is>
          <t>Nao</t>
        </is>
      </c>
      <c r="W4535" s="110" t="inlineStr">
        <is>
          <t>PC em analise</t>
        </is>
      </c>
      <c r="X4535" s="110" t="inlineStr">
        <is>
          <t>Pedido de Compra</t>
        </is>
      </c>
      <c r="Y4535" s="111" t="inlineStr">
        <is>
          <t>Impacto Potencial</t>
        </is>
      </c>
      <c r="Z4535" s="111" t="inlineStr">
        <is>
          <t>PC</t>
        </is>
      </c>
      <c r="AA4535" s="111" t="inlineStr">
        <is>
          <t>Nao</t>
        </is>
      </c>
      <c r="AB4535" s="111" t="inlineStr">
        <is>
          <t>NAO_COMPUTADO</t>
        </is>
      </c>
      <c r="AC4535" s="112" t="inlineStr">
        <is>
          <t>Estrutura Fase 1: sem impacto no VTA oficial</t>
        </is>
      </c>
    </row>
    <row r="4536" ht="25.5" customHeight="1" s="289">
      <c r="A4536" s="205" t="n"/>
      <c r="B4536" s="207" t="n"/>
      <c r="C4536" s="104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348" t="n"/>
      <c r="E4536" s="349">
        <f>IF(C4536="","",IFERROR(VLOOKUP(C4536,parametros!$A$11:$E$15,5,0),""))</f>
        <v/>
      </c>
      <c r="F4536" s="335">
        <f>IF(OR(D4536="",E4536=""),"",ROUND(D4536*E4536,2))</f>
        <v/>
      </c>
      <c r="G4536" s="106" t="n"/>
      <c r="H4536" s="350">
        <f>IF(G4536="Sim",IF(OR(F4536="",D4536="",L4536=""),"",IF(L4536="Sim",ROUND(F4536-D4536,2),0)),0)</f>
        <v/>
      </c>
      <c r="I4536" s="350">
        <f>IF(G4536="Sim",0,IF(OR(F4536="",L4536=""),"",F4536))</f>
        <v/>
      </c>
      <c r="J4536" s="350">
        <f>IF(G4536="Sim",0,IF(OR(F4536="",D4536="",L4536=""),"",IF(L4536="Sim",ROUND(F4536-D4536,2),0)))</f>
        <v/>
      </c>
      <c r="K4536" s="97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inlineStr">
        <is>
          <t>Nao</t>
        </is>
      </c>
      <c r="W4536" s="110" t="inlineStr">
        <is>
          <t>PC em analise</t>
        </is>
      </c>
      <c r="X4536" s="110" t="inlineStr">
        <is>
          <t>Pedido de Compra</t>
        </is>
      </c>
      <c r="Y4536" s="111" t="inlineStr">
        <is>
          <t>Impacto Potencial</t>
        </is>
      </c>
      <c r="Z4536" s="111" t="inlineStr">
        <is>
          <t>PC</t>
        </is>
      </c>
      <c r="AA4536" s="111" t="inlineStr">
        <is>
          <t>Nao</t>
        </is>
      </c>
      <c r="AB4536" s="111" t="inlineStr">
        <is>
          <t>NAO_COMPUTADO</t>
        </is>
      </c>
      <c r="AC4536" s="112" t="inlineStr">
        <is>
          <t>Estrutura Fase 1: sem impacto no VTA oficial</t>
        </is>
      </c>
    </row>
    <row r="4537" ht="25.5" customHeight="1" s="289">
      <c r="A4537" s="205" t="n"/>
      <c r="B4537" s="207" t="n"/>
      <c r="C4537" s="104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348" t="n"/>
      <c r="E4537" s="349">
        <f>IF(C4537="","",IFERROR(VLOOKUP(C4537,parametros!$A$11:$E$15,5,0),""))</f>
        <v/>
      </c>
      <c r="F4537" s="335">
        <f>IF(OR(D4537="",E4537=""),"",ROUND(D4537*E4537,2))</f>
        <v/>
      </c>
      <c r="G4537" s="106" t="n"/>
      <c r="H4537" s="350">
        <f>IF(G4537="Sim",IF(OR(F4537="",D4537="",L4537=""),"",IF(L4537="Sim",ROUND(F4537-D4537,2),0)),0)</f>
        <v/>
      </c>
      <c r="I4537" s="350">
        <f>IF(G4537="Sim",0,IF(OR(F4537="",L4537=""),"",F4537))</f>
        <v/>
      </c>
      <c r="J4537" s="350">
        <f>IF(G4537="Sim",0,IF(OR(F4537="",D4537="",L4537=""),"",IF(L4537="Sim",ROUND(F4537-D4537,2),0)))</f>
        <v/>
      </c>
      <c r="K4537" s="97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inlineStr">
        <is>
          <t>Nao</t>
        </is>
      </c>
      <c r="W4537" s="110" t="inlineStr">
        <is>
          <t>PC em analise</t>
        </is>
      </c>
      <c r="X4537" s="110" t="inlineStr">
        <is>
          <t>Pedido de Compra</t>
        </is>
      </c>
      <c r="Y4537" s="111" t="inlineStr">
        <is>
          <t>Impacto Potencial</t>
        </is>
      </c>
      <c r="Z4537" s="111" t="inlineStr">
        <is>
          <t>PC</t>
        </is>
      </c>
      <c r="AA4537" s="111" t="inlineStr">
        <is>
          <t>Nao</t>
        </is>
      </c>
      <c r="AB4537" s="111" t="inlineStr">
        <is>
          <t>NAO_COMPUTADO</t>
        </is>
      </c>
      <c r="AC4537" s="112" t="inlineStr">
        <is>
          <t>Estrutura Fase 1: sem impacto no VTA oficial</t>
        </is>
      </c>
    </row>
    <row r="4538" ht="25.5" customHeight="1" s="289">
      <c r="A4538" s="205" t="n"/>
      <c r="B4538" s="207" t="n"/>
      <c r="C4538" s="104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348" t="n"/>
      <c r="E4538" s="349">
        <f>IF(C4538="","",IFERROR(VLOOKUP(C4538,parametros!$A$11:$E$15,5,0),""))</f>
        <v/>
      </c>
      <c r="F4538" s="335">
        <f>IF(OR(D4538="",E4538=""),"",ROUND(D4538*E4538,2))</f>
        <v/>
      </c>
      <c r="G4538" s="106" t="n"/>
      <c r="H4538" s="350">
        <f>IF(G4538="Sim",IF(OR(F4538="",D4538="",L4538=""),"",IF(L4538="Sim",ROUND(F4538-D4538,2),0)),0)</f>
        <v/>
      </c>
      <c r="I4538" s="350">
        <f>IF(G4538="Sim",0,IF(OR(F4538="",L4538=""),"",F4538))</f>
        <v/>
      </c>
      <c r="J4538" s="350">
        <f>IF(G4538="Sim",0,IF(OR(F4538="",D4538="",L4538=""),"",IF(L4538="Sim",ROUND(F4538-D4538,2),0)))</f>
        <v/>
      </c>
      <c r="K4538" s="97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inlineStr">
        <is>
          <t>Nao</t>
        </is>
      </c>
      <c r="W4538" s="110" t="inlineStr">
        <is>
          <t>PC em analise</t>
        </is>
      </c>
      <c r="X4538" s="110" t="inlineStr">
        <is>
          <t>Pedido de Compra</t>
        </is>
      </c>
      <c r="Y4538" s="111" t="inlineStr">
        <is>
          <t>Impacto Potencial</t>
        </is>
      </c>
      <c r="Z4538" s="111" t="inlineStr">
        <is>
          <t>PC</t>
        </is>
      </c>
      <c r="AA4538" s="111" t="inlineStr">
        <is>
          <t>Nao</t>
        </is>
      </c>
      <c r="AB4538" s="111" t="inlineStr">
        <is>
          <t>NAO_COMPUTADO</t>
        </is>
      </c>
      <c r="AC4538" s="112" t="inlineStr">
        <is>
          <t>Estrutura Fase 1: sem impacto no VTA oficial</t>
        </is>
      </c>
    </row>
    <row r="4539" ht="25.5" customHeight="1" s="289">
      <c r="A4539" s="205" t="n"/>
      <c r="B4539" s="207" t="n"/>
      <c r="C4539" s="104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348" t="n"/>
      <c r="E4539" s="349">
        <f>IF(C4539="","",IFERROR(VLOOKUP(C4539,parametros!$A$11:$E$15,5,0),""))</f>
        <v/>
      </c>
      <c r="F4539" s="335">
        <f>IF(OR(D4539="",E4539=""),"",ROUND(D4539*E4539,2))</f>
        <v/>
      </c>
      <c r="G4539" s="106" t="n"/>
      <c r="H4539" s="350">
        <f>IF(G4539="Sim",IF(OR(F4539="",D4539="",L4539=""),"",IF(L4539="Sim",ROUND(F4539-D4539,2),0)),0)</f>
        <v/>
      </c>
      <c r="I4539" s="350">
        <f>IF(G4539="Sim",0,IF(OR(F4539="",L4539=""),"",F4539))</f>
        <v/>
      </c>
      <c r="J4539" s="350">
        <f>IF(G4539="Sim",0,IF(OR(F4539="",D4539="",L4539=""),"",IF(L4539="Sim",ROUND(F4539-D4539,2),0)))</f>
        <v/>
      </c>
      <c r="K4539" s="97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inlineStr">
        <is>
          <t>Nao</t>
        </is>
      </c>
      <c r="W4539" s="110" t="inlineStr">
        <is>
          <t>PC em analise</t>
        </is>
      </c>
      <c r="X4539" s="110" t="inlineStr">
        <is>
          <t>Pedido de Compra</t>
        </is>
      </c>
      <c r="Y4539" s="111" t="inlineStr">
        <is>
          <t>Impacto Potencial</t>
        </is>
      </c>
      <c r="Z4539" s="111" t="inlineStr">
        <is>
          <t>PC</t>
        </is>
      </c>
      <c r="AA4539" s="111" t="inlineStr">
        <is>
          <t>Nao</t>
        </is>
      </c>
      <c r="AB4539" s="111" t="inlineStr">
        <is>
          <t>NAO_COMPUTADO</t>
        </is>
      </c>
      <c r="AC4539" s="112" t="inlineStr">
        <is>
          <t>Estrutura Fase 1: sem impacto no VTA oficial</t>
        </is>
      </c>
    </row>
    <row r="4540" ht="25.5" customHeight="1" s="289">
      <c r="A4540" s="205" t="n"/>
      <c r="B4540" s="207" t="n"/>
      <c r="C4540" s="104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348" t="n"/>
      <c r="E4540" s="349">
        <f>IF(C4540="","",IFERROR(VLOOKUP(C4540,parametros!$A$11:$E$15,5,0),""))</f>
        <v/>
      </c>
      <c r="F4540" s="335">
        <f>IF(OR(D4540="",E4540=""),"",ROUND(D4540*E4540,2))</f>
        <v/>
      </c>
      <c r="G4540" s="106" t="n"/>
      <c r="H4540" s="350">
        <f>IF(G4540="Sim",IF(OR(F4540="",D4540="",L4540=""),"",IF(L4540="Sim",ROUND(F4540-D4540,2),0)),0)</f>
        <v/>
      </c>
      <c r="I4540" s="350">
        <f>IF(G4540="Sim",0,IF(OR(F4540="",L4540=""),"",F4540))</f>
        <v/>
      </c>
      <c r="J4540" s="350">
        <f>IF(G4540="Sim",0,IF(OR(F4540="",D4540="",L4540=""),"",IF(L4540="Sim",ROUND(F4540-D4540,2),0)))</f>
        <v/>
      </c>
      <c r="K4540" s="97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inlineStr">
        <is>
          <t>Nao</t>
        </is>
      </c>
      <c r="W4540" s="110" t="inlineStr">
        <is>
          <t>PC em analise</t>
        </is>
      </c>
      <c r="X4540" s="110" t="inlineStr">
        <is>
          <t>Pedido de Compra</t>
        </is>
      </c>
      <c r="Y4540" s="111" t="inlineStr">
        <is>
          <t>Impacto Potencial</t>
        </is>
      </c>
      <c r="Z4540" s="111" t="inlineStr">
        <is>
          <t>PC</t>
        </is>
      </c>
      <c r="AA4540" s="111" t="inlineStr">
        <is>
          <t>Nao</t>
        </is>
      </c>
      <c r="AB4540" s="111" t="inlineStr">
        <is>
          <t>NAO_COMPUTADO</t>
        </is>
      </c>
      <c r="AC4540" s="112" t="inlineStr">
        <is>
          <t>Estrutura Fase 1: sem impacto no VTA oficial</t>
        </is>
      </c>
    </row>
    <row r="4541" ht="25.5" customHeight="1" s="289">
      <c r="A4541" s="205" t="n"/>
      <c r="B4541" s="207" t="n"/>
      <c r="C4541" s="104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348" t="n"/>
      <c r="E4541" s="349">
        <f>IF(C4541="","",IFERROR(VLOOKUP(C4541,parametros!$A$11:$E$15,5,0),""))</f>
        <v/>
      </c>
      <c r="F4541" s="335">
        <f>IF(OR(D4541="",E4541=""),"",ROUND(D4541*E4541,2))</f>
        <v/>
      </c>
      <c r="G4541" s="106" t="n"/>
      <c r="H4541" s="350">
        <f>IF(G4541="Sim",IF(OR(F4541="",D4541="",L4541=""),"",IF(L4541="Sim",ROUND(F4541-D4541,2),0)),0)</f>
        <v/>
      </c>
      <c r="I4541" s="350">
        <f>IF(G4541="Sim",0,IF(OR(F4541="",L4541=""),"",F4541))</f>
        <v/>
      </c>
      <c r="J4541" s="350">
        <f>IF(G4541="Sim",0,IF(OR(F4541="",D4541="",L4541=""),"",IF(L4541="Sim",ROUND(F4541-D4541,2),0)))</f>
        <v/>
      </c>
      <c r="K4541" s="97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inlineStr">
        <is>
          <t>Nao</t>
        </is>
      </c>
      <c r="W4541" s="110" t="inlineStr">
        <is>
          <t>PC em analise</t>
        </is>
      </c>
      <c r="X4541" s="110" t="inlineStr">
        <is>
          <t>Pedido de Compra</t>
        </is>
      </c>
      <c r="Y4541" s="111" t="inlineStr">
        <is>
          <t>Impacto Potencial</t>
        </is>
      </c>
      <c r="Z4541" s="111" t="inlineStr">
        <is>
          <t>PC</t>
        </is>
      </c>
      <c r="AA4541" s="111" t="inlineStr">
        <is>
          <t>Nao</t>
        </is>
      </c>
      <c r="AB4541" s="111" t="inlineStr">
        <is>
          <t>NAO_COMPUTADO</t>
        </is>
      </c>
      <c r="AC4541" s="112" t="inlineStr">
        <is>
          <t>Estrutura Fase 1: sem impacto no VTA oficial</t>
        </is>
      </c>
    </row>
    <row r="4542" ht="25.5" customHeight="1" s="289">
      <c r="A4542" s="205" t="n"/>
      <c r="B4542" s="207" t="n"/>
      <c r="C4542" s="104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348" t="n"/>
      <c r="E4542" s="349">
        <f>IF(C4542="","",IFERROR(VLOOKUP(C4542,parametros!$A$11:$E$15,5,0),""))</f>
        <v/>
      </c>
      <c r="F4542" s="335">
        <f>IF(OR(D4542="",E4542=""),"",ROUND(D4542*E4542,2))</f>
        <v/>
      </c>
      <c r="G4542" s="106" t="n"/>
      <c r="H4542" s="350">
        <f>IF(G4542="Sim",IF(OR(F4542="",D4542="",L4542=""),"",IF(L4542="Sim",ROUND(F4542-D4542,2),0)),0)</f>
        <v/>
      </c>
      <c r="I4542" s="350">
        <f>IF(G4542="Sim",0,IF(OR(F4542="",L4542=""),"",F4542))</f>
        <v/>
      </c>
      <c r="J4542" s="350">
        <f>IF(G4542="Sim",0,IF(OR(F4542="",D4542="",L4542=""),"",IF(L4542="Sim",ROUND(F4542-D4542,2),0)))</f>
        <v/>
      </c>
      <c r="K4542" s="97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inlineStr">
        <is>
          <t>Nao</t>
        </is>
      </c>
      <c r="W4542" s="110" t="inlineStr">
        <is>
          <t>PC em analise</t>
        </is>
      </c>
      <c r="X4542" s="110" t="inlineStr">
        <is>
          <t>Pedido de Compra</t>
        </is>
      </c>
      <c r="Y4542" s="111" t="inlineStr">
        <is>
          <t>Impacto Potencial</t>
        </is>
      </c>
      <c r="Z4542" s="111" t="inlineStr">
        <is>
          <t>PC</t>
        </is>
      </c>
      <c r="AA4542" s="111" t="inlineStr">
        <is>
          <t>Nao</t>
        </is>
      </c>
      <c r="AB4542" s="111" t="inlineStr">
        <is>
          <t>NAO_COMPUTADO</t>
        </is>
      </c>
      <c r="AC4542" s="112" t="inlineStr">
        <is>
          <t>Estrutura Fase 1: sem impacto no VTA oficial</t>
        </is>
      </c>
    </row>
    <row r="4543" ht="25.5" customHeight="1" s="289">
      <c r="A4543" s="205" t="n"/>
      <c r="B4543" s="207" t="n"/>
      <c r="C4543" s="104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348" t="n"/>
      <c r="E4543" s="349">
        <f>IF(C4543="","",IFERROR(VLOOKUP(C4543,parametros!$A$11:$E$15,5,0),""))</f>
        <v/>
      </c>
      <c r="F4543" s="335">
        <f>IF(OR(D4543="",E4543=""),"",ROUND(D4543*E4543,2))</f>
        <v/>
      </c>
      <c r="G4543" s="106" t="n"/>
      <c r="H4543" s="350">
        <f>IF(G4543="Sim",IF(OR(F4543="",D4543="",L4543=""),"",IF(L4543="Sim",ROUND(F4543-D4543,2),0)),0)</f>
        <v/>
      </c>
      <c r="I4543" s="350">
        <f>IF(G4543="Sim",0,IF(OR(F4543="",L4543=""),"",F4543))</f>
        <v/>
      </c>
      <c r="J4543" s="350">
        <f>IF(G4543="Sim",0,IF(OR(F4543="",D4543="",L4543=""),"",IF(L4543="Sim",ROUND(F4543-D4543,2),0)))</f>
        <v/>
      </c>
      <c r="K4543" s="97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inlineStr">
        <is>
          <t>Nao</t>
        </is>
      </c>
      <c r="W4543" s="110" t="inlineStr">
        <is>
          <t>PC em analise</t>
        </is>
      </c>
      <c r="X4543" s="110" t="inlineStr">
        <is>
          <t>Pedido de Compra</t>
        </is>
      </c>
      <c r="Y4543" s="111" t="inlineStr">
        <is>
          <t>Impacto Potencial</t>
        </is>
      </c>
      <c r="Z4543" s="111" t="inlineStr">
        <is>
          <t>PC</t>
        </is>
      </c>
      <c r="AA4543" s="111" t="inlineStr">
        <is>
          <t>Nao</t>
        </is>
      </c>
      <c r="AB4543" s="111" t="inlineStr">
        <is>
          <t>NAO_COMPUTADO</t>
        </is>
      </c>
      <c r="AC4543" s="112" t="inlineStr">
        <is>
          <t>Estrutura Fase 1: sem impacto no VTA oficial</t>
        </is>
      </c>
    </row>
    <row r="4544" ht="25.5" customHeight="1" s="289">
      <c r="A4544" s="205" t="n"/>
      <c r="B4544" s="207" t="n"/>
      <c r="C4544" s="104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348" t="n"/>
      <c r="E4544" s="349">
        <f>IF(C4544="","",IFERROR(VLOOKUP(C4544,parametros!$A$11:$E$15,5,0),""))</f>
        <v/>
      </c>
      <c r="F4544" s="335">
        <f>IF(OR(D4544="",E4544=""),"",ROUND(D4544*E4544,2))</f>
        <v/>
      </c>
      <c r="G4544" s="106" t="n"/>
      <c r="H4544" s="350">
        <f>IF(G4544="Sim",IF(OR(F4544="",D4544="",L4544=""),"",IF(L4544="Sim",ROUND(F4544-D4544,2),0)),0)</f>
        <v/>
      </c>
      <c r="I4544" s="350">
        <f>IF(G4544="Sim",0,IF(OR(F4544="",L4544=""),"",F4544))</f>
        <v/>
      </c>
      <c r="J4544" s="350">
        <f>IF(G4544="Sim",0,IF(OR(F4544="",D4544="",L4544=""),"",IF(L4544="Sim",ROUND(F4544-D4544,2),0)))</f>
        <v/>
      </c>
      <c r="K4544" s="97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inlineStr">
        <is>
          <t>Nao</t>
        </is>
      </c>
      <c r="W4544" s="110" t="inlineStr">
        <is>
          <t>PC em analise</t>
        </is>
      </c>
      <c r="X4544" s="110" t="inlineStr">
        <is>
          <t>Pedido de Compra</t>
        </is>
      </c>
      <c r="Y4544" s="111" t="inlineStr">
        <is>
          <t>Impacto Potencial</t>
        </is>
      </c>
      <c r="Z4544" s="111" t="inlineStr">
        <is>
          <t>PC</t>
        </is>
      </c>
      <c r="AA4544" s="111" t="inlineStr">
        <is>
          <t>Nao</t>
        </is>
      </c>
      <c r="AB4544" s="111" t="inlineStr">
        <is>
          <t>NAO_COMPUTADO</t>
        </is>
      </c>
      <c r="AC4544" s="112" t="inlineStr">
        <is>
          <t>Estrutura Fase 1: sem impacto no VTA oficial</t>
        </is>
      </c>
    </row>
    <row r="4545" ht="25.5" customHeight="1" s="289">
      <c r="A4545" s="205" t="n"/>
      <c r="B4545" s="207" t="n"/>
      <c r="C4545" s="104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348" t="n"/>
      <c r="E4545" s="349">
        <f>IF(C4545="","",IFERROR(VLOOKUP(C4545,parametros!$A$11:$E$15,5,0),""))</f>
        <v/>
      </c>
      <c r="F4545" s="335">
        <f>IF(OR(D4545="",E4545=""),"",ROUND(D4545*E4545,2))</f>
        <v/>
      </c>
      <c r="G4545" s="106" t="n"/>
      <c r="H4545" s="350">
        <f>IF(G4545="Sim",IF(OR(F4545="",D4545="",L4545=""),"",IF(L4545="Sim",ROUND(F4545-D4545,2),0)),0)</f>
        <v/>
      </c>
      <c r="I4545" s="350">
        <f>IF(G4545="Sim",0,IF(OR(F4545="",L4545=""),"",F4545))</f>
        <v/>
      </c>
      <c r="J4545" s="350">
        <f>IF(G4545="Sim",0,IF(OR(F4545="",D4545="",L4545=""),"",IF(L4545="Sim",ROUND(F4545-D4545,2),0)))</f>
        <v/>
      </c>
      <c r="K4545" s="97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inlineStr">
        <is>
          <t>Nao</t>
        </is>
      </c>
      <c r="W4545" s="110" t="inlineStr">
        <is>
          <t>PC em analise</t>
        </is>
      </c>
      <c r="X4545" s="110" t="inlineStr">
        <is>
          <t>Pedido de Compra</t>
        </is>
      </c>
      <c r="Y4545" s="111" t="inlineStr">
        <is>
          <t>Impacto Potencial</t>
        </is>
      </c>
      <c r="Z4545" s="111" t="inlineStr">
        <is>
          <t>PC</t>
        </is>
      </c>
      <c r="AA4545" s="111" t="inlineStr">
        <is>
          <t>Nao</t>
        </is>
      </c>
      <c r="AB4545" s="111" t="inlineStr">
        <is>
          <t>NAO_COMPUTADO</t>
        </is>
      </c>
      <c r="AC4545" s="112" t="inlineStr">
        <is>
          <t>Estrutura Fase 1: sem impacto no VTA oficial</t>
        </is>
      </c>
    </row>
    <row r="4546" ht="25.5" customHeight="1" s="289">
      <c r="A4546" s="205" t="n"/>
      <c r="B4546" s="207" t="n"/>
      <c r="C4546" s="104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348" t="n"/>
      <c r="E4546" s="349">
        <f>IF(C4546="","",IFERROR(VLOOKUP(C4546,parametros!$A$11:$E$15,5,0),""))</f>
        <v/>
      </c>
      <c r="F4546" s="335">
        <f>IF(OR(D4546="",E4546=""),"",ROUND(D4546*E4546,2))</f>
        <v/>
      </c>
      <c r="G4546" s="106" t="n"/>
      <c r="H4546" s="350">
        <f>IF(G4546="Sim",IF(OR(F4546="",D4546="",L4546=""),"",IF(L4546="Sim",ROUND(F4546-D4546,2),0)),0)</f>
        <v/>
      </c>
      <c r="I4546" s="350">
        <f>IF(G4546="Sim",0,IF(OR(F4546="",L4546=""),"",F4546))</f>
        <v/>
      </c>
      <c r="J4546" s="350">
        <f>IF(G4546="Sim",0,IF(OR(F4546="",D4546="",L4546=""),"",IF(L4546="Sim",ROUND(F4546-D4546,2),0)))</f>
        <v/>
      </c>
      <c r="K4546" s="97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inlineStr">
        <is>
          <t>Nao</t>
        </is>
      </c>
      <c r="W4546" s="110" t="inlineStr">
        <is>
          <t>PC em analise</t>
        </is>
      </c>
      <c r="X4546" s="110" t="inlineStr">
        <is>
          <t>Pedido de Compra</t>
        </is>
      </c>
      <c r="Y4546" s="111" t="inlineStr">
        <is>
          <t>Impacto Potencial</t>
        </is>
      </c>
      <c r="Z4546" s="111" t="inlineStr">
        <is>
          <t>PC</t>
        </is>
      </c>
      <c r="AA4546" s="111" t="inlineStr">
        <is>
          <t>Nao</t>
        </is>
      </c>
      <c r="AB4546" s="111" t="inlineStr">
        <is>
          <t>NAO_COMPUTADO</t>
        </is>
      </c>
      <c r="AC4546" s="112" t="inlineStr">
        <is>
          <t>Estrutura Fase 1: sem impacto no VTA oficial</t>
        </is>
      </c>
    </row>
    <row r="4547" ht="25.5" customHeight="1" s="289">
      <c r="A4547" s="205" t="n"/>
      <c r="B4547" s="207" t="n"/>
      <c r="C4547" s="104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348" t="n"/>
      <c r="E4547" s="349">
        <f>IF(C4547="","",IFERROR(VLOOKUP(C4547,parametros!$A$11:$E$15,5,0),""))</f>
        <v/>
      </c>
      <c r="F4547" s="335">
        <f>IF(OR(D4547="",E4547=""),"",ROUND(D4547*E4547,2))</f>
        <v/>
      </c>
      <c r="G4547" s="106" t="n"/>
      <c r="H4547" s="350">
        <f>IF(G4547="Sim",IF(OR(F4547="",D4547="",L4547=""),"",IF(L4547="Sim",ROUND(F4547-D4547,2),0)),0)</f>
        <v/>
      </c>
      <c r="I4547" s="350">
        <f>IF(G4547="Sim",0,IF(OR(F4547="",L4547=""),"",F4547))</f>
        <v/>
      </c>
      <c r="J4547" s="350">
        <f>IF(G4547="Sim",0,IF(OR(F4547="",D4547="",L4547=""),"",IF(L4547="Sim",ROUND(F4547-D4547,2),0)))</f>
        <v/>
      </c>
      <c r="K4547" s="97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inlineStr">
        <is>
          <t>Nao</t>
        </is>
      </c>
      <c r="W4547" s="110" t="inlineStr">
        <is>
          <t>PC em analise</t>
        </is>
      </c>
      <c r="X4547" s="110" t="inlineStr">
        <is>
          <t>Pedido de Compra</t>
        </is>
      </c>
      <c r="Y4547" s="111" t="inlineStr">
        <is>
          <t>Impacto Potencial</t>
        </is>
      </c>
      <c r="Z4547" s="111" t="inlineStr">
        <is>
          <t>PC</t>
        </is>
      </c>
      <c r="AA4547" s="111" t="inlineStr">
        <is>
          <t>Nao</t>
        </is>
      </c>
      <c r="AB4547" s="111" t="inlineStr">
        <is>
          <t>NAO_COMPUTADO</t>
        </is>
      </c>
      <c r="AC4547" s="112" t="inlineStr">
        <is>
          <t>Estrutura Fase 1: sem impacto no VTA oficial</t>
        </is>
      </c>
    </row>
    <row r="4548" ht="25.5" customHeight="1" s="289">
      <c r="A4548" s="205" t="n"/>
      <c r="B4548" s="207" t="n"/>
      <c r="C4548" s="104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348" t="n"/>
      <c r="E4548" s="349">
        <f>IF(C4548="","",IFERROR(VLOOKUP(C4548,parametros!$A$11:$E$15,5,0),""))</f>
        <v/>
      </c>
      <c r="F4548" s="335">
        <f>IF(OR(D4548="",E4548=""),"",ROUND(D4548*E4548,2))</f>
        <v/>
      </c>
      <c r="G4548" s="106" t="n"/>
      <c r="H4548" s="350">
        <f>IF(G4548="Sim",IF(OR(F4548="",D4548="",L4548=""),"",IF(L4548="Sim",ROUND(F4548-D4548,2),0)),0)</f>
        <v/>
      </c>
      <c r="I4548" s="350">
        <f>IF(G4548="Sim",0,IF(OR(F4548="",L4548=""),"",F4548))</f>
        <v/>
      </c>
      <c r="J4548" s="350">
        <f>IF(G4548="Sim",0,IF(OR(F4548="",D4548="",L4548=""),"",IF(L4548="Sim",ROUND(F4548-D4548,2),0)))</f>
        <v/>
      </c>
      <c r="K4548" s="97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inlineStr">
        <is>
          <t>Nao</t>
        </is>
      </c>
      <c r="W4548" s="110" t="inlineStr">
        <is>
          <t>PC em analise</t>
        </is>
      </c>
      <c r="X4548" s="110" t="inlineStr">
        <is>
          <t>Pedido de Compra</t>
        </is>
      </c>
      <c r="Y4548" s="111" t="inlineStr">
        <is>
          <t>Impacto Potencial</t>
        </is>
      </c>
      <c r="Z4548" s="111" t="inlineStr">
        <is>
          <t>PC</t>
        </is>
      </c>
      <c r="AA4548" s="111" t="inlineStr">
        <is>
          <t>Nao</t>
        </is>
      </c>
      <c r="AB4548" s="111" t="inlineStr">
        <is>
          <t>NAO_COMPUTADO</t>
        </is>
      </c>
      <c r="AC4548" s="112" t="inlineStr">
        <is>
          <t>Estrutura Fase 1: sem impacto no VTA oficial</t>
        </is>
      </c>
    </row>
    <row r="4549" ht="25.5" customHeight="1" s="289">
      <c r="A4549" s="205" t="n"/>
      <c r="B4549" s="207" t="n"/>
      <c r="C4549" s="104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348" t="n"/>
      <c r="E4549" s="349">
        <f>IF(C4549="","",IFERROR(VLOOKUP(C4549,parametros!$A$11:$E$15,5,0),""))</f>
        <v/>
      </c>
      <c r="F4549" s="335">
        <f>IF(OR(D4549="",E4549=""),"",ROUND(D4549*E4549,2))</f>
        <v/>
      </c>
      <c r="G4549" s="106" t="n"/>
      <c r="H4549" s="350">
        <f>IF(G4549="Sim",IF(OR(F4549="",D4549="",L4549=""),"",IF(L4549="Sim",ROUND(F4549-D4549,2),0)),0)</f>
        <v/>
      </c>
      <c r="I4549" s="350">
        <f>IF(G4549="Sim",0,IF(OR(F4549="",L4549=""),"",F4549))</f>
        <v/>
      </c>
      <c r="J4549" s="350">
        <f>IF(G4549="Sim",0,IF(OR(F4549="",D4549="",L4549=""),"",IF(L4549="Sim",ROUND(F4549-D4549,2),0)))</f>
        <v/>
      </c>
      <c r="K4549" s="97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inlineStr">
        <is>
          <t>Nao</t>
        </is>
      </c>
      <c r="W4549" s="110" t="inlineStr">
        <is>
          <t>PC em analise</t>
        </is>
      </c>
      <c r="X4549" s="110" t="inlineStr">
        <is>
          <t>Pedido de Compra</t>
        </is>
      </c>
      <c r="Y4549" s="111" t="inlineStr">
        <is>
          <t>Impacto Potencial</t>
        </is>
      </c>
      <c r="Z4549" s="111" t="inlineStr">
        <is>
          <t>PC</t>
        </is>
      </c>
      <c r="AA4549" s="111" t="inlineStr">
        <is>
          <t>Nao</t>
        </is>
      </c>
      <c r="AB4549" s="111" t="inlineStr">
        <is>
          <t>NAO_COMPUTADO</t>
        </is>
      </c>
      <c r="AC4549" s="112" t="inlineStr">
        <is>
          <t>Estrutura Fase 1: sem impacto no VTA oficial</t>
        </is>
      </c>
    </row>
    <row r="4550" ht="25.5" customHeight="1" s="289">
      <c r="A4550" s="205" t="n"/>
      <c r="B4550" s="207" t="n"/>
      <c r="C4550" s="104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348" t="n"/>
      <c r="E4550" s="349">
        <f>IF(C4550="","",IFERROR(VLOOKUP(C4550,parametros!$A$11:$E$15,5,0),""))</f>
        <v/>
      </c>
      <c r="F4550" s="335">
        <f>IF(OR(D4550="",E4550=""),"",ROUND(D4550*E4550,2))</f>
        <v/>
      </c>
      <c r="G4550" s="106" t="n"/>
      <c r="H4550" s="350">
        <f>IF(G4550="Sim",IF(OR(F4550="",D4550="",L4550=""),"",IF(L4550="Sim",ROUND(F4550-D4550,2),0)),0)</f>
        <v/>
      </c>
      <c r="I4550" s="350">
        <f>IF(G4550="Sim",0,IF(OR(F4550="",L4550=""),"",F4550))</f>
        <v/>
      </c>
      <c r="J4550" s="350">
        <f>IF(G4550="Sim",0,IF(OR(F4550="",D4550="",L4550=""),"",IF(L4550="Sim",ROUND(F4550-D4550,2),0)))</f>
        <v/>
      </c>
      <c r="K4550" s="97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inlineStr">
        <is>
          <t>Nao</t>
        </is>
      </c>
      <c r="W4550" s="110" t="inlineStr">
        <is>
          <t>PC em analise</t>
        </is>
      </c>
      <c r="X4550" s="110" t="inlineStr">
        <is>
          <t>Pedido de Compra</t>
        </is>
      </c>
      <c r="Y4550" s="111" t="inlineStr">
        <is>
          <t>Impacto Potencial</t>
        </is>
      </c>
      <c r="Z4550" s="111" t="inlineStr">
        <is>
          <t>PC</t>
        </is>
      </c>
      <c r="AA4550" s="111" t="inlineStr">
        <is>
          <t>Nao</t>
        </is>
      </c>
      <c r="AB4550" s="111" t="inlineStr">
        <is>
          <t>NAO_COMPUTADO</t>
        </is>
      </c>
      <c r="AC4550" s="112" t="inlineStr">
        <is>
          <t>Estrutura Fase 1: sem impacto no VTA oficial</t>
        </is>
      </c>
    </row>
    <row r="4551" ht="25.5" customHeight="1" s="289">
      <c r="A4551" s="205" t="n"/>
      <c r="B4551" s="207" t="n"/>
      <c r="C4551" s="104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348" t="n"/>
      <c r="E4551" s="349">
        <f>IF(C4551="","",IFERROR(VLOOKUP(C4551,parametros!$A$11:$E$15,5,0),""))</f>
        <v/>
      </c>
      <c r="F4551" s="335">
        <f>IF(OR(D4551="",E4551=""),"",ROUND(D4551*E4551,2))</f>
        <v/>
      </c>
      <c r="G4551" s="106" t="n"/>
      <c r="H4551" s="350">
        <f>IF(G4551="Sim",IF(OR(F4551="",D4551="",L4551=""),"",IF(L4551="Sim",ROUND(F4551-D4551,2),0)),0)</f>
        <v/>
      </c>
      <c r="I4551" s="350">
        <f>IF(G4551="Sim",0,IF(OR(F4551="",L4551=""),"",F4551))</f>
        <v/>
      </c>
      <c r="J4551" s="350">
        <f>IF(G4551="Sim",0,IF(OR(F4551="",D4551="",L4551=""),"",IF(L4551="Sim",ROUND(F4551-D4551,2),0)))</f>
        <v/>
      </c>
      <c r="K4551" s="97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inlineStr">
        <is>
          <t>Nao</t>
        </is>
      </c>
      <c r="W4551" s="110" t="inlineStr">
        <is>
          <t>PC em analise</t>
        </is>
      </c>
      <c r="X4551" s="110" t="inlineStr">
        <is>
          <t>Pedido de Compra</t>
        </is>
      </c>
      <c r="Y4551" s="111" t="inlineStr">
        <is>
          <t>Impacto Potencial</t>
        </is>
      </c>
      <c r="Z4551" s="111" t="inlineStr">
        <is>
          <t>PC</t>
        </is>
      </c>
      <c r="AA4551" s="111" t="inlineStr">
        <is>
          <t>Nao</t>
        </is>
      </c>
      <c r="AB4551" s="111" t="inlineStr">
        <is>
          <t>NAO_COMPUTADO</t>
        </is>
      </c>
      <c r="AC4551" s="112" t="inlineStr">
        <is>
          <t>Estrutura Fase 1: sem impacto no VTA oficial</t>
        </is>
      </c>
    </row>
    <row r="4552" ht="25.5" customHeight="1" s="289">
      <c r="A4552" s="205" t="n"/>
      <c r="B4552" s="207" t="n"/>
      <c r="C4552" s="104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348" t="n"/>
      <c r="E4552" s="349">
        <f>IF(C4552="","",IFERROR(VLOOKUP(C4552,parametros!$A$11:$E$15,5,0),""))</f>
        <v/>
      </c>
      <c r="F4552" s="335">
        <f>IF(OR(D4552="",E4552=""),"",ROUND(D4552*E4552,2))</f>
        <v/>
      </c>
      <c r="G4552" s="106" t="n"/>
      <c r="H4552" s="350">
        <f>IF(G4552="Sim",IF(OR(F4552="",D4552="",L4552=""),"",IF(L4552="Sim",ROUND(F4552-D4552,2),0)),0)</f>
        <v/>
      </c>
      <c r="I4552" s="350">
        <f>IF(G4552="Sim",0,IF(OR(F4552="",L4552=""),"",F4552))</f>
        <v/>
      </c>
      <c r="J4552" s="350">
        <f>IF(G4552="Sim",0,IF(OR(F4552="",D4552="",L4552=""),"",IF(L4552="Sim",ROUND(F4552-D4552,2),0)))</f>
        <v/>
      </c>
      <c r="K4552" s="97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inlineStr">
        <is>
          <t>Nao</t>
        </is>
      </c>
      <c r="W4552" s="110" t="inlineStr">
        <is>
          <t>PC em analise</t>
        </is>
      </c>
      <c r="X4552" s="110" t="inlineStr">
        <is>
          <t>Pedido de Compra</t>
        </is>
      </c>
      <c r="Y4552" s="111" t="inlineStr">
        <is>
          <t>Impacto Potencial</t>
        </is>
      </c>
      <c r="Z4552" s="111" t="inlineStr">
        <is>
          <t>PC</t>
        </is>
      </c>
      <c r="AA4552" s="111" t="inlineStr">
        <is>
          <t>Nao</t>
        </is>
      </c>
      <c r="AB4552" s="111" t="inlineStr">
        <is>
          <t>NAO_COMPUTADO</t>
        </is>
      </c>
      <c r="AC4552" s="112" t="inlineStr">
        <is>
          <t>Estrutura Fase 1: sem impacto no VTA oficial</t>
        </is>
      </c>
    </row>
    <row r="4553" ht="25.5" customHeight="1" s="289">
      <c r="A4553" s="205" t="n"/>
      <c r="B4553" s="207" t="n"/>
      <c r="C4553" s="104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348" t="n"/>
      <c r="E4553" s="349">
        <f>IF(C4553="","",IFERROR(VLOOKUP(C4553,parametros!$A$11:$E$15,5,0),""))</f>
        <v/>
      </c>
      <c r="F4553" s="335">
        <f>IF(OR(D4553="",E4553=""),"",ROUND(D4553*E4553,2))</f>
        <v/>
      </c>
      <c r="G4553" s="106" t="n"/>
      <c r="H4553" s="350">
        <f>IF(G4553="Sim",IF(OR(F4553="",D4553="",L4553=""),"",IF(L4553="Sim",ROUND(F4553-D4553,2),0)),0)</f>
        <v/>
      </c>
      <c r="I4553" s="350">
        <f>IF(G4553="Sim",0,IF(OR(F4553="",L4553=""),"",F4553))</f>
        <v/>
      </c>
      <c r="J4553" s="350">
        <f>IF(G4553="Sim",0,IF(OR(F4553="",D4553="",L4553=""),"",IF(L4553="Sim",ROUND(F4553-D4553,2),0)))</f>
        <v/>
      </c>
      <c r="K4553" s="97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inlineStr">
        <is>
          <t>Nao</t>
        </is>
      </c>
      <c r="W4553" s="110" t="inlineStr">
        <is>
          <t>PC em analise</t>
        </is>
      </c>
      <c r="X4553" s="110" t="inlineStr">
        <is>
          <t>Pedido de Compra</t>
        </is>
      </c>
      <c r="Y4553" s="111" t="inlineStr">
        <is>
          <t>Impacto Potencial</t>
        </is>
      </c>
      <c r="Z4553" s="111" t="inlineStr">
        <is>
          <t>PC</t>
        </is>
      </c>
      <c r="AA4553" s="111" t="inlineStr">
        <is>
          <t>Nao</t>
        </is>
      </c>
      <c r="AB4553" s="111" t="inlineStr">
        <is>
          <t>NAO_COMPUTADO</t>
        </is>
      </c>
      <c r="AC4553" s="112" t="inlineStr">
        <is>
          <t>Estrutura Fase 1: sem impacto no VTA oficial</t>
        </is>
      </c>
    </row>
    <row r="4554" ht="25.5" customHeight="1" s="289">
      <c r="A4554" s="205" t="n"/>
      <c r="B4554" s="207" t="n"/>
      <c r="C4554" s="104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348" t="n"/>
      <c r="E4554" s="349">
        <f>IF(C4554="","",IFERROR(VLOOKUP(C4554,parametros!$A$11:$E$15,5,0),""))</f>
        <v/>
      </c>
      <c r="F4554" s="335">
        <f>IF(OR(D4554="",E4554=""),"",ROUND(D4554*E4554,2))</f>
        <v/>
      </c>
      <c r="G4554" s="106" t="n"/>
      <c r="H4554" s="350">
        <f>IF(G4554="Sim",IF(OR(F4554="",D4554="",L4554=""),"",IF(L4554="Sim",ROUND(F4554-D4554,2),0)),0)</f>
        <v/>
      </c>
      <c r="I4554" s="350">
        <f>IF(G4554="Sim",0,IF(OR(F4554="",L4554=""),"",F4554))</f>
        <v/>
      </c>
      <c r="J4554" s="350">
        <f>IF(G4554="Sim",0,IF(OR(F4554="",D4554="",L4554=""),"",IF(L4554="Sim",ROUND(F4554-D4554,2),0)))</f>
        <v/>
      </c>
      <c r="K4554" s="97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inlineStr">
        <is>
          <t>Nao</t>
        </is>
      </c>
      <c r="W4554" s="110" t="inlineStr">
        <is>
          <t>PC em analise</t>
        </is>
      </c>
      <c r="X4554" s="110" t="inlineStr">
        <is>
          <t>Pedido de Compra</t>
        </is>
      </c>
      <c r="Y4554" s="111" t="inlineStr">
        <is>
          <t>Impacto Potencial</t>
        </is>
      </c>
      <c r="Z4554" s="111" t="inlineStr">
        <is>
          <t>PC</t>
        </is>
      </c>
      <c r="AA4554" s="111" t="inlineStr">
        <is>
          <t>Nao</t>
        </is>
      </c>
      <c r="AB4554" s="111" t="inlineStr">
        <is>
          <t>NAO_COMPUTADO</t>
        </is>
      </c>
      <c r="AC4554" s="112" t="inlineStr">
        <is>
          <t>Estrutura Fase 1: sem impacto no VTA oficial</t>
        </is>
      </c>
    </row>
    <row r="4555" ht="25.5" customHeight="1" s="289">
      <c r="A4555" s="205" t="n"/>
      <c r="B4555" s="207" t="n"/>
      <c r="C4555" s="104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348" t="n"/>
      <c r="E4555" s="349">
        <f>IF(C4555="","",IFERROR(VLOOKUP(C4555,parametros!$A$11:$E$15,5,0),""))</f>
        <v/>
      </c>
      <c r="F4555" s="335">
        <f>IF(OR(D4555="",E4555=""),"",ROUND(D4555*E4555,2))</f>
        <v/>
      </c>
      <c r="G4555" s="106" t="n"/>
      <c r="H4555" s="350">
        <f>IF(G4555="Sim",IF(OR(F4555="",D4555="",L4555=""),"",IF(L4555="Sim",ROUND(F4555-D4555,2),0)),0)</f>
        <v/>
      </c>
      <c r="I4555" s="350">
        <f>IF(G4555="Sim",0,IF(OR(F4555="",L4555=""),"",F4555))</f>
        <v/>
      </c>
      <c r="J4555" s="350">
        <f>IF(G4555="Sim",0,IF(OR(F4555="",D4555="",L4555=""),"",IF(L4555="Sim",ROUND(F4555-D4555,2),0)))</f>
        <v/>
      </c>
      <c r="K4555" s="97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inlineStr">
        <is>
          <t>Nao</t>
        </is>
      </c>
      <c r="W4555" s="110" t="inlineStr">
        <is>
          <t>PC em analise</t>
        </is>
      </c>
      <c r="X4555" s="110" t="inlineStr">
        <is>
          <t>Pedido de Compra</t>
        </is>
      </c>
      <c r="Y4555" s="111" t="inlineStr">
        <is>
          <t>Impacto Potencial</t>
        </is>
      </c>
      <c r="Z4555" s="111" t="inlineStr">
        <is>
          <t>PC</t>
        </is>
      </c>
      <c r="AA4555" s="111" t="inlineStr">
        <is>
          <t>Nao</t>
        </is>
      </c>
      <c r="AB4555" s="111" t="inlineStr">
        <is>
          <t>NAO_COMPUTADO</t>
        </is>
      </c>
      <c r="AC4555" s="112" t="inlineStr">
        <is>
          <t>Estrutura Fase 1: sem impacto no VTA oficial</t>
        </is>
      </c>
    </row>
    <row r="4556" ht="25.5" customHeight="1" s="289">
      <c r="A4556" s="205" t="n"/>
      <c r="B4556" s="207" t="n"/>
      <c r="C4556" s="104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348" t="n"/>
      <c r="E4556" s="349">
        <f>IF(C4556="","",IFERROR(VLOOKUP(C4556,parametros!$A$11:$E$15,5,0),""))</f>
        <v/>
      </c>
      <c r="F4556" s="335">
        <f>IF(OR(D4556="",E4556=""),"",ROUND(D4556*E4556,2))</f>
        <v/>
      </c>
      <c r="G4556" s="106" t="n"/>
      <c r="H4556" s="350">
        <f>IF(G4556="Sim",IF(OR(F4556="",D4556="",L4556=""),"",IF(L4556="Sim",ROUND(F4556-D4556,2),0)),0)</f>
        <v/>
      </c>
      <c r="I4556" s="350">
        <f>IF(G4556="Sim",0,IF(OR(F4556="",L4556=""),"",F4556))</f>
        <v/>
      </c>
      <c r="J4556" s="350">
        <f>IF(G4556="Sim",0,IF(OR(F4556="",D4556="",L4556=""),"",IF(L4556="Sim",ROUND(F4556-D4556,2),0)))</f>
        <v/>
      </c>
      <c r="K4556" s="97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inlineStr">
        <is>
          <t>Nao</t>
        </is>
      </c>
      <c r="W4556" s="110" t="inlineStr">
        <is>
          <t>PC em analise</t>
        </is>
      </c>
      <c r="X4556" s="110" t="inlineStr">
        <is>
          <t>Pedido de Compra</t>
        </is>
      </c>
      <c r="Y4556" s="111" t="inlineStr">
        <is>
          <t>Impacto Potencial</t>
        </is>
      </c>
      <c r="Z4556" s="111" t="inlineStr">
        <is>
          <t>PC</t>
        </is>
      </c>
      <c r="AA4556" s="111" t="inlineStr">
        <is>
          <t>Nao</t>
        </is>
      </c>
      <c r="AB4556" s="111" t="inlineStr">
        <is>
          <t>NAO_COMPUTADO</t>
        </is>
      </c>
      <c r="AC4556" s="112" t="inlineStr">
        <is>
          <t>Estrutura Fase 1: sem impacto no VTA oficial</t>
        </is>
      </c>
    </row>
    <row r="4557" ht="25.5" customHeight="1" s="289">
      <c r="A4557" s="205" t="n"/>
      <c r="B4557" s="207" t="n"/>
      <c r="C4557" s="104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348" t="n"/>
      <c r="E4557" s="349">
        <f>IF(C4557="","",IFERROR(VLOOKUP(C4557,parametros!$A$11:$E$15,5,0),""))</f>
        <v/>
      </c>
      <c r="F4557" s="335">
        <f>IF(OR(D4557="",E4557=""),"",ROUND(D4557*E4557,2))</f>
        <v/>
      </c>
      <c r="G4557" s="106" t="n"/>
      <c r="H4557" s="350">
        <f>IF(G4557="Sim",IF(OR(F4557="",D4557="",L4557=""),"",IF(L4557="Sim",ROUND(F4557-D4557,2),0)),0)</f>
        <v/>
      </c>
      <c r="I4557" s="350">
        <f>IF(G4557="Sim",0,IF(OR(F4557="",L4557=""),"",F4557))</f>
        <v/>
      </c>
      <c r="J4557" s="350">
        <f>IF(G4557="Sim",0,IF(OR(F4557="",D4557="",L4557=""),"",IF(L4557="Sim",ROUND(F4557-D4557,2),0)))</f>
        <v/>
      </c>
      <c r="K4557" s="97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inlineStr">
        <is>
          <t>Nao</t>
        </is>
      </c>
      <c r="W4557" s="110" t="inlineStr">
        <is>
          <t>PC em analise</t>
        </is>
      </c>
      <c r="X4557" s="110" t="inlineStr">
        <is>
          <t>Pedido de Compra</t>
        </is>
      </c>
      <c r="Y4557" s="111" t="inlineStr">
        <is>
          <t>Impacto Potencial</t>
        </is>
      </c>
      <c r="Z4557" s="111" t="inlineStr">
        <is>
          <t>PC</t>
        </is>
      </c>
      <c r="AA4557" s="111" t="inlineStr">
        <is>
          <t>Nao</t>
        </is>
      </c>
      <c r="AB4557" s="111" t="inlineStr">
        <is>
          <t>NAO_COMPUTADO</t>
        </is>
      </c>
      <c r="AC4557" s="112" t="inlineStr">
        <is>
          <t>Estrutura Fase 1: sem impacto no VTA oficial</t>
        </is>
      </c>
    </row>
    <row r="4558" ht="25.5" customHeight="1" s="289">
      <c r="A4558" s="205" t="n"/>
      <c r="B4558" s="207" t="n"/>
      <c r="C4558" s="104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348" t="n"/>
      <c r="E4558" s="349">
        <f>IF(C4558="","",IFERROR(VLOOKUP(C4558,parametros!$A$11:$E$15,5,0),""))</f>
        <v/>
      </c>
      <c r="F4558" s="335">
        <f>IF(OR(D4558="",E4558=""),"",ROUND(D4558*E4558,2))</f>
        <v/>
      </c>
      <c r="G4558" s="106" t="n"/>
      <c r="H4558" s="350">
        <f>IF(G4558="Sim",IF(OR(F4558="",D4558="",L4558=""),"",IF(L4558="Sim",ROUND(F4558-D4558,2),0)),0)</f>
        <v/>
      </c>
      <c r="I4558" s="350">
        <f>IF(G4558="Sim",0,IF(OR(F4558="",L4558=""),"",F4558))</f>
        <v/>
      </c>
      <c r="J4558" s="350">
        <f>IF(G4558="Sim",0,IF(OR(F4558="",D4558="",L4558=""),"",IF(L4558="Sim",ROUND(F4558-D4558,2),0)))</f>
        <v/>
      </c>
      <c r="K4558" s="97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inlineStr">
        <is>
          <t>Nao</t>
        </is>
      </c>
      <c r="W4558" s="110" t="inlineStr">
        <is>
          <t>PC em analise</t>
        </is>
      </c>
      <c r="X4558" s="110" t="inlineStr">
        <is>
          <t>Pedido de Compra</t>
        </is>
      </c>
      <c r="Y4558" s="111" t="inlineStr">
        <is>
          <t>Impacto Potencial</t>
        </is>
      </c>
      <c r="Z4558" s="111" t="inlineStr">
        <is>
          <t>PC</t>
        </is>
      </c>
      <c r="AA4558" s="111" t="inlineStr">
        <is>
          <t>Nao</t>
        </is>
      </c>
      <c r="AB4558" s="111" t="inlineStr">
        <is>
          <t>NAO_COMPUTADO</t>
        </is>
      </c>
      <c r="AC4558" s="112" t="inlineStr">
        <is>
          <t>Estrutura Fase 1: sem impacto no VTA oficial</t>
        </is>
      </c>
    </row>
    <row r="4559" ht="25.5" customHeight="1" s="289">
      <c r="A4559" s="205" t="n"/>
      <c r="B4559" s="207" t="n"/>
      <c r="C4559" s="104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348" t="n"/>
      <c r="E4559" s="349">
        <f>IF(C4559="","",IFERROR(VLOOKUP(C4559,parametros!$A$11:$E$15,5,0),""))</f>
        <v/>
      </c>
      <c r="F4559" s="335">
        <f>IF(OR(D4559="",E4559=""),"",ROUND(D4559*E4559,2))</f>
        <v/>
      </c>
      <c r="G4559" s="106" t="n"/>
      <c r="H4559" s="350">
        <f>IF(G4559="Sim",IF(OR(F4559="",D4559="",L4559=""),"",IF(L4559="Sim",ROUND(F4559-D4559,2),0)),0)</f>
        <v/>
      </c>
      <c r="I4559" s="350">
        <f>IF(G4559="Sim",0,IF(OR(F4559="",L4559=""),"",F4559))</f>
        <v/>
      </c>
      <c r="J4559" s="350">
        <f>IF(G4559="Sim",0,IF(OR(F4559="",D4559="",L4559=""),"",IF(L4559="Sim",ROUND(F4559-D4559,2),0)))</f>
        <v/>
      </c>
      <c r="K4559" s="97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inlineStr">
        <is>
          <t>Nao</t>
        </is>
      </c>
      <c r="W4559" s="110" t="inlineStr">
        <is>
          <t>PC em analise</t>
        </is>
      </c>
      <c r="X4559" s="110" t="inlineStr">
        <is>
          <t>Pedido de Compra</t>
        </is>
      </c>
      <c r="Y4559" s="111" t="inlineStr">
        <is>
          <t>Impacto Potencial</t>
        </is>
      </c>
      <c r="Z4559" s="111" t="inlineStr">
        <is>
          <t>PC</t>
        </is>
      </c>
      <c r="AA4559" s="111" t="inlineStr">
        <is>
          <t>Nao</t>
        </is>
      </c>
      <c r="AB4559" s="111" t="inlineStr">
        <is>
          <t>NAO_COMPUTADO</t>
        </is>
      </c>
      <c r="AC4559" s="112" t="inlineStr">
        <is>
          <t>Estrutura Fase 1: sem impacto no VTA oficial</t>
        </is>
      </c>
    </row>
    <row r="4560" ht="25.5" customHeight="1" s="289">
      <c r="A4560" s="205" t="n"/>
      <c r="B4560" s="207" t="n"/>
      <c r="C4560" s="104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348" t="n"/>
      <c r="E4560" s="349">
        <f>IF(C4560="","",IFERROR(VLOOKUP(C4560,parametros!$A$11:$E$15,5,0),""))</f>
        <v/>
      </c>
      <c r="F4560" s="335">
        <f>IF(OR(D4560="",E4560=""),"",ROUND(D4560*E4560,2))</f>
        <v/>
      </c>
      <c r="G4560" s="106" t="n"/>
      <c r="H4560" s="350">
        <f>IF(G4560="Sim",IF(OR(F4560="",D4560="",L4560=""),"",IF(L4560="Sim",ROUND(F4560-D4560,2),0)),0)</f>
        <v/>
      </c>
      <c r="I4560" s="350">
        <f>IF(G4560="Sim",0,IF(OR(F4560="",L4560=""),"",F4560))</f>
        <v/>
      </c>
      <c r="J4560" s="350">
        <f>IF(G4560="Sim",0,IF(OR(F4560="",D4560="",L4560=""),"",IF(L4560="Sim",ROUND(F4560-D4560,2),0)))</f>
        <v/>
      </c>
      <c r="K4560" s="97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inlineStr">
        <is>
          <t>Nao</t>
        </is>
      </c>
      <c r="W4560" s="110" t="inlineStr">
        <is>
          <t>PC em analise</t>
        </is>
      </c>
      <c r="X4560" s="110" t="inlineStr">
        <is>
          <t>Pedido de Compra</t>
        </is>
      </c>
      <c r="Y4560" s="111" t="inlineStr">
        <is>
          <t>Impacto Potencial</t>
        </is>
      </c>
      <c r="Z4560" s="111" t="inlineStr">
        <is>
          <t>PC</t>
        </is>
      </c>
      <c r="AA4560" s="111" t="inlineStr">
        <is>
          <t>Nao</t>
        </is>
      </c>
      <c r="AB4560" s="111" t="inlineStr">
        <is>
          <t>NAO_COMPUTADO</t>
        </is>
      </c>
      <c r="AC4560" s="112" t="inlineStr">
        <is>
          <t>Estrutura Fase 1: sem impacto no VTA oficial</t>
        </is>
      </c>
    </row>
    <row r="4561" ht="25.5" customHeight="1" s="289">
      <c r="A4561" s="205" t="n"/>
      <c r="B4561" s="207" t="n"/>
      <c r="C4561" s="104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348" t="n"/>
      <c r="E4561" s="349">
        <f>IF(C4561="","",IFERROR(VLOOKUP(C4561,parametros!$A$11:$E$15,5,0),""))</f>
        <v/>
      </c>
      <c r="F4561" s="335">
        <f>IF(OR(D4561="",E4561=""),"",ROUND(D4561*E4561,2))</f>
        <v/>
      </c>
      <c r="G4561" s="106" t="n"/>
      <c r="H4561" s="350">
        <f>IF(G4561="Sim",IF(OR(F4561="",D4561="",L4561=""),"",IF(L4561="Sim",ROUND(F4561-D4561,2),0)),0)</f>
        <v/>
      </c>
      <c r="I4561" s="350">
        <f>IF(G4561="Sim",0,IF(OR(F4561="",L4561=""),"",F4561))</f>
        <v/>
      </c>
      <c r="J4561" s="350">
        <f>IF(G4561="Sim",0,IF(OR(F4561="",D4561="",L4561=""),"",IF(L4561="Sim",ROUND(F4561-D4561,2),0)))</f>
        <v/>
      </c>
      <c r="K4561" s="97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inlineStr">
        <is>
          <t>Nao</t>
        </is>
      </c>
      <c r="W4561" s="110" t="inlineStr">
        <is>
          <t>PC em analise</t>
        </is>
      </c>
      <c r="X4561" s="110" t="inlineStr">
        <is>
          <t>Pedido de Compra</t>
        </is>
      </c>
      <c r="Y4561" s="111" t="inlineStr">
        <is>
          <t>Impacto Potencial</t>
        </is>
      </c>
      <c r="Z4561" s="111" t="inlineStr">
        <is>
          <t>PC</t>
        </is>
      </c>
      <c r="AA4561" s="111" t="inlineStr">
        <is>
          <t>Nao</t>
        </is>
      </c>
      <c r="AB4561" s="111" t="inlineStr">
        <is>
          <t>NAO_COMPUTADO</t>
        </is>
      </c>
      <c r="AC4561" s="112" t="inlineStr">
        <is>
          <t>Estrutura Fase 1: sem impacto no VTA oficial</t>
        </is>
      </c>
    </row>
    <row r="4562" ht="25.5" customHeight="1" s="289">
      <c r="A4562" s="205" t="n"/>
      <c r="B4562" s="207" t="n"/>
      <c r="C4562" s="104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348" t="n"/>
      <c r="E4562" s="349">
        <f>IF(C4562="","",IFERROR(VLOOKUP(C4562,parametros!$A$11:$E$15,5,0),""))</f>
        <v/>
      </c>
      <c r="F4562" s="335">
        <f>IF(OR(D4562="",E4562=""),"",ROUND(D4562*E4562,2))</f>
        <v/>
      </c>
      <c r="G4562" s="106" t="n"/>
      <c r="H4562" s="350">
        <f>IF(G4562="Sim",IF(OR(F4562="",D4562="",L4562=""),"",IF(L4562="Sim",ROUND(F4562-D4562,2),0)),0)</f>
        <v/>
      </c>
      <c r="I4562" s="350">
        <f>IF(G4562="Sim",0,IF(OR(F4562="",L4562=""),"",F4562))</f>
        <v/>
      </c>
      <c r="J4562" s="350">
        <f>IF(G4562="Sim",0,IF(OR(F4562="",D4562="",L4562=""),"",IF(L4562="Sim",ROUND(F4562-D4562,2),0)))</f>
        <v/>
      </c>
      <c r="K4562" s="97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inlineStr">
        <is>
          <t>Nao</t>
        </is>
      </c>
      <c r="W4562" s="110" t="inlineStr">
        <is>
          <t>PC em analise</t>
        </is>
      </c>
      <c r="X4562" s="110" t="inlineStr">
        <is>
          <t>Pedido de Compra</t>
        </is>
      </c>
      <c r="Y4562" s="111" t="inlineStr">
        <is>
          <t>Impacto Potencial</t>
        </is>
      </c>
      <c r="Z4562" s="111" t="inlineStr">
        <is>
          <t>PC</t>
        </is>
      </c>
      <c r="AA4562" s="111" t="inlineStr">
        <is>
          <t>Nao</t>
        </is>
      </c>
      <c r="AB4562" s="111" t="inlineStr">
        <is>
          <t>NAO_COMPUTADO</t>
        </is>
      </c>
      <c r="AC4562" s="112" t="inlineStr">
        <is>
          <t>Estrutura Fase 1: sem impacto no VTA oficial</t>
        </is>
      </c>
    </row>
    <row r="4563" ht="25.5" customHeight="1" s="289">
      <c r="A4563" s="205" t="n"/>
      <c r="B4563" s="207" t="n"/>
      <c r="C4563" s="104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348" t="n"/>
      <c r="E4563" s="349">
        <f>IF(C4563="","",IFERROR(VLOOKUP(C4563,parametros!$A$11:$E$15,5,0),""))</f>
        <v/>
      </c>
      <c r="F4563" s="335">
        <f>IF(OR(D4563="",E4563=""),"",ROUND(D4563*E4563,2))</f>
        <v/>
      </c>
      <c r="G4563" s="106" t="n"/>
      <c r="H4563" s="350">
        <f>IF(G4563="Sim",IF(OR(F4563="",D4563="",L4563=""),"",IF(L4563="Sim",ROUND(F4563-D4563,2),0)),0)</f>
        <v/>
      </c>
      <c r="I4563" s="350">
        <f>IF(G4563="Sim",0,IF(OR(F4563="",L4563=""),"",F4563))</f>
        <v/>
      </c>
      <c r="J4563" s="350">
        <f>IF(G4563="Sim",0,IF(OR(F4563="",D4563="",L4563=""),"",IF(L4563="Sim",ROUND(F4563-D4563,2),0)))</f>
        <v/>
      </c>
      <c r="K4563" s="97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inlineStr">
        <is>
          <t>Nao</t>
        </is>
      </c>
      <c r="W4563" s="110" t="inlineStr">
        <is>
          <t>PC em analise</t>
        </is>
      </c>
      <c r="X4563" s="110" t="inlineStr">
        <is>
          <t>Pedido de Compra</t>
        </is>
      </c>
      <c r="Y4563" s="111" t="inlineStr">
        <is>
          <t>Impacto Potencial</t>
        </is>
      </c>
      <c r="Z4563" s="111" t="inlineStr">
        <is>
          <t>PC</t>
        </is>
      </c>
      <c r="AA4563" s="111" t="inlineStr">
        <is>
          <t>Nao</t>
        </is>
      </c>
      <c r="AB4563" s="111" t="inlineStr">
        <is>
          <t>NAO_COMPUTADO</t>
        </is>
      </c>
      <c r="AC4563" s="112" t="inlineStr">
        <is>
          <t>Estrutura Fase 1: sem impacto no VTA oficial</t>
        </is>
      </c>
    </row>
    <row r="4564" ht="25.5" customHeight="1" s="289">
      <c r="A4564" s="205" t="n"/>
      <c r="B4564" s="207" t="n"/>
      <c r="C4564" s="104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348" t="n"/>
      <c r="E4564" s="349">
        <f>IF(C4564="","",IFERROR(VLOOKUP(C4564,parametros!$A$11:$E$15,5,0),""))</f>
        <v/>
      </c>
      <c r="F4564" s="335">
        <f>IF(OR(D4564="",E4564=""),"",ROUND(D4564*E4564,2))</f>
        <v/>
      </c>
      <c r="G4564" s="106" t="n"/>
      <c r="H4564" s="350">
        <f>IF(G4564="Sim",IF(OR(F4564="",D4564="",L4564=""),"",IF(L4564="Sim",ROUND(F4564-D4564,2),0)),0)</f>
        <v/>
      </c>
      <c r="I4564" s="350">
        <f>IF(G4564="Sim",0,IF(OR(F4564="",L4564=""),"",F4564))</f>
        <v/>
      </c>
      <c r="J4564" s="350">
        <f>IF(G4564="Sim",0,IF(OR(F4564="",D4564="",L4564=""),"",IF(L4564="Sim",ROUND(F4564-D4564,2),0)))</f>
        <v/>
      </c>
      <c r="K4564" s="97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inlineStr">
        <is>
          <t>Nao</t>
        </is>
      </c>
      <c r="W4564" s="110" t="inlineStr">
        <is>
          <t>PC em analise</t>
        </is>
      </c>
      <c r="X4564" s="110" t="inlineStr">
        <is>
          <t>Pedido de Compra</t>
        </is>
      </c>
      <c r="Y4564" s="111" t="inlineStr">
        <is>
          <t>Impacto Potencial</t>
        </is>
      </c>
      <c r="Z4564" s="111" t="inlineStr">
        <is>
          <t>PC</t>
        </is>
      </c>
      <c r="AA4564" s="111" t="inlineStr">
        <is>
          <t>Nao</t>
        </is>
      </c>
      <c r="AB4564" s="111" t="inlineStr">
        <is>
          <t>NAO_COMPUTADO</t>
        </is>
      </c>
      <c r="AC4564" s="112" t="inlineStr">
        <is>
          <t>Estrutura Fase 1: sem impacto no VTA oficial</t>
        </is>
      </c>
    </row>
    <row r="4565" ht="25.5" customHeight="1" s="289">
      <c r="A4565" s="205" t="n"/>
      <c r="B4565" s="207" t="n"/>
      <c r="C4565" s="104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348" t="n"/>
      <c r="E4565" s="349">
        <f>IF(C4565="","",IFERROR(VLOOKUP(C4565,parametros!$A$11:$E$15,5,0),""))</f>
        <v/>
      </c>
      <c r="F4565" s="335">
        <f>IF(OR(D4565="",E4565=""),"",ROUND(D4565*E4565,2))</f>
        <v/>
      </c>
      <c r="G4565" s="106" t="n"/>
      <c r="H4565" s="350">
        <f>IF(G4565="Sim",IF(OR(F4565="",D4565="",L4565=""),"",IF(L4565="Sim",ROUND(F4565-D4565,2),0)),0)</f>
        <v/>
      </c>
      <c r="I4565" s="350">
        <f>IF(G4565="Sim",0,IF(OR(F4565="",L4565=""),"",F4565))</f>
        <v/>
      </c>
      <c r="J4565" s="350">
        <f>IF(G4565="Sim",0,IF(OR(F4565="",D4565="",L4565=""),"",IF(L4565="Sim",ROUND(F4565-D4565,2),0)))</f>
        <v/>
      </c>
      <c r="K4565" s="97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inlineStr">
        <is>
          <t>Nao</t>
        </is>
      </c>
      <c r="W4565" s="110" t="inlineStr">
        <is>
          <t>PC em analise</t>
        </is>
      </c>
      <c r="X4565" s="110" t="inlineStr">
        <is>
          <t>Pedido de Compra</t>
        </is>
      </c>
      <c r="Y4565" s="111" t="inlineStr">
        <is>
          <t>Impacto Potencial</t>
        </is>
      </c>
      <c r="Z4565" s="111" t="inlineStr">
        <is>
          <t>PC</t>
        </is>
      </c>
      <c r="AA4565" s="111" t="inlineStr">
        <is>
          <t>Nao</t>
        </is>
      </c>
      <c r="AB4565" s="111" t="inlineStr">
        <is>
          <t>NAO_COMPUTADO</t>
        </is>
      </c>
      <c r="AC4565" s="112" t="inlineStr">
        <is>
          <t>Estrutura Fase 1: sem impacto no VTA oficial</t>
        </is>
      </c>
    </row>
    <row r="4566" ht="25.5" customHeight="1" s="289">
      <c r="A4566" s="205" t="n"/>
      <c r="B4566" s="207" t="n"/>
      <c r="C4566" s="104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348" t="n"/>
      <c r="E4566" s="349">
        <f>IF(C4566="","",IFERROR(VLOOKUP(C4566,parametros!$A$11:$E$15,5,0),""))</f>
        <v/>
      </c>
      <c r="F4566" s="335">
        <f>IF(OR(D4566="",E4566=""),"",ROUND(D4566*E4566,2))</f>
        <v/>
      </c>
      <c r="G4566" s="106" t="n"/>
      <c r="H4566" s="350">
        <f>IF(G4566="Sim",IF(OR(F4566="",D4566="",L4566=""),"",IF(L4566="Sim",ROUND(F4566-D4566,2),0)),0)</f>
        <v/>
      </c>
      <c r="I4566" s="350">
        <f>IF(G4566="Sim",0,IF(OR(F4566="",L4566=""),"",F4566))</f>
        <v/>
      </c>
      <c r="J4566" s="350">
        <f>IF(G4566="Sim",0,IF(OR(F4566="",D4566="",L4566=""),"",IF(L4566="Sim",ROUND(F4566-D4566,2),0)))</f>
        <v/>
      </c>
      <c r="K4566" s="97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inlineStr">
        <is>
          <t>Nao</t>
        </is>
      </c>
      <c r="W4566" s="110" t="inlineStr">
        <is>
          <t>PC em analise</t>
        </is>
      </c>
      <c r="X4566" s="110" t="inlineStr">
        <is>
          <t>Pedido de Compra</t>
        </is>
      </c>
      <c r="Y4566" s="111" t="inlineStr">
        <is>
          <t>Impacto Potencial</t>
        </is>
      </c>
      <c r="Z4566" s="111" t="inlineStr">
        <is>
          <t>PC</t>
        </is>
      </c>
      <c r="AA4566" s="111" t="inlineStr">
        <is>
          <t>Nao</t>
        </is>
      </c>
      <c r="AB4566" s="111" t="inlineStr">
        <is>
          <t>NAO_COMPUTADO</t>
        </is>
      </c>
      <c r="AC4566" s="112" t="inlineStr">
        <is>
          <t>Estrutura Fase 1: sem impacto no VTA oficial</t>
        </is>
      </c>
    </row>
    <row r="4567" ht="25.5" customHeight="1" s="289">
      <c r="A4567" s="205" t="n"/>
      <c r="B4567" s="207" t="n"/>
      <c r="C4567" s="104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348" t="n"/>
      <c r="E4567" s="349">
        <f>IF(C4567="","",IFERROR(VLOOKUP(C4567,parametros!$A$11:$E$15,5,0),""))</f>
        <v/>
      </c>
      <c r="F4567" s="335">
        <f>IF(OR(D4567="",E4567=""),"",ROUND(D4567*E4567,2))</f>
        <v/>
      </c>
      <c r="G4567" s="106" t="n"/>
      <c r="H4567" s="350">
        <f>IF(G4567="Sim",IF(OR(F4567="",D4567="",L4567=""),"",IF(L4567="Sim",ROUND(F4567-D4567,2),0)),0)</f>
        <v/>
      </c>
      <c r="I4567" s="350">
        <f>IF(G4567="Sim",0,IF(OR(F4567="",L4567=""),"",F4567))</f>
        <v/>
      </c>
      <c r="J4567" s="350">
        <f>IF(G4567="Sim",0,IF(OR(F4567="",D4567="",L4567=""),"",IF(L4567="Sim",ROUND(F4567-D4567,2),0)))</f>
        <v/>
      </c>
      <c r="K4567" s="97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inlineStr">
        <is>
          <t>Nao</t>
        </is>
      </c>
      <c r="W4567" s="110" t="inlineStr">
        <is>
          <t>PC em analise</t>
        </is>
      </c>
      <c r="X4567" s="110" t="inlineStr">
        <is>
          <t>Pedido de Compra</t>
        </is>
      </c>
      <c r="Y4567" s="111" t="inlineStr">
        <is>
          <t>Impacto Potencial</t>
        </is>
      </c>
      <c r="Z4567" s="111" t="inlineStr">
        <is>
          <t>PC</t>
        </is>
      </c>
      <c r="AA4567" s="111" t="inlineStr">
        <is>
          <t>Nao</t>
        </is>
      </c>
      <c r="AB4567" s="111" t="inlineStr">
        <is>
          <t>NAO_COMPUTADO</t>
        </is>
      </c>
      <c r="AC4567" s="112" t="inlineStr">
        <is>
          <t>Estrutura Fase 1: sem impacto no VTA oficial</t>
        </is>
      </c>
    </row>
    <row r="4568" ht="25.5" customHeight="1" s="289">
      <c r="A4568" s="205" t="n"/>
      <c r="B4568" s="207" t="n"/>
      <c r="C4568" s="104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348" t="n"/>
      <c r="E4568" s="349">
        <f>IF(C4568="","",IFERROR(VLOOKUP(C4568,parametros!$A$11:$E$15,5,0),""))</f>
        <v/>
      </c>
      <c r="F4568" s="335">
        <f>IF(OR(D4568="",E4568=""),"",ROUND(D4568*E4568,2))</f>
        <v/>
      </c>
      <c r="G4568" s="106" t="n"/>
      <c r="H4568" s="350">
        <f>IF(G4568="Sim",IF(OR(F4568="",D4568="",L4568=""),"",IF(L4568="Sim",ROUND(F4568-D4568,2),0)),0)</f>
        <v/>
      </c>
      <c r="I4568" s="350">
        <f>IF(G4568="Sim",0,IF(OR(F4568="",L4568=""),"",F4568))</f>
        <v/>
      </c>
      <c r="J4568" s="350">
        <f>IF(G4568="Sim",0,IF(OR(F4568="",D4568="",L4568=""),"",IF(L4568="Sim",ROUND(F4568-D4568,2),0)))</f>
        <v/>
      </c>
      <c r="K4568" s="97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inlineStr">
        <is>
          <t>Nao</t>
        </is>
      </c>
      <c r="W4568" s="110" t="inlineStr">
        <is>
          <t>PC em analise</t>
        </is>
      </c>
      <c r="X4568" s="110" t="inlineStr">
        <is>
          <t>Pedido de Compra</t>
        </is>
      </c>
      <c r="Y4568" s="111" t="inlineStr">
        <is>
          <t>Impacto Potencial</t>
        </is>
      </c>
      <c r="Z4568" s="111" t="inlineStr">
        <is>
          <t>PC</t>
        </is>
      </c>
      <c r="AA4568" s="111" t="inlineStr">
        <is>
          <t>Nao</t>
        </is>
      </c>
      <c r="AB4568" s="111" t="inlineStr">
        <is>
          <t>NAO_COMPUTADO</t>
        </is>
      </c>
      <c r="AC4568" s="112" t="inlineStr">
        <is>
          <t>Estrutura Fase 1: sem impacto no VTA oficial</t>
        </is>
      </c>
    </row>
    <row r="4569" ht="25.5" customHeight="1" s="289">
      <c r="A4569" s="205" t="n"/>
      <c r="B4569" s="207" t="n"/>
      <c r="C4569" s="104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348" t="n"/>
      <c r="E4569" s="349">
        <f>IF(C4569="","",IFERROR(VLOOKUP(C4569,parametros!$A$11:$E$15,5,0),""))</f>
        <v/>
      </c>
      <c r="F4569" s="335">
        <f>IF(OR(D4569="",E4569=""),"",ROUND(D4569*E4569,2))</f>
        <v/>
      </c>
      <c r="G4569" s="106" t="n"/>
      <c r="H4569" s="350">
        <f>IF(G4569="Sim",IF(OR(F4569="",D4569="",L4569=""),"",IF(L4569="Sim",ROUND(F4569-D4569,2),0)),0)</f>
        <v/>
      </c>
      <c r="I4569" s="350">
        <f>IF(G4569="Sim",0,IF(OR(F4569="",L4569=""),"",F4569))</f>
        <v/>
      </c>
      <c r="J4569" s="350">
        <f>IF(G4569="Sim",0,IF(OR(F4569="",D4569="",L4569=""),"",IF(L4569="Sim",ROUND(F4569-D4569,2),0)))</f>
        <v/>
      </c>
      <c r="K4569" s="97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inlineStr">
        <is>
          <t>Nao</t>
        </is>
      </c>
      <c r="W4569" s="110" t="inlineStr">
        <is>
          <t>PC em analise</t>
        </is>
      </c>
      <c r="X4569" s="110" t="inlineStr">
        <is>
          <t>Pedido de Compra</t>
        </is>
      </c>
      <c r="Y4569" s="111" t="inlineStr">
        <is>
          <t>Impacto Potencial</t>
        </is>
      </c>
      <c r="Z4569" s="111" t="inlineStr">
        <is>
          <t>PC</t>
        </is>
      </c>
      <c r="AA4569" s="111" t="inlineStr">
        <is>
          <t>Nao</t>
        </is>
      </c>
      <c r="AB4569" s="111" t="inlineStr">
        <is>
          <t>NAO_COMPUTADO</t>
        </is>
      </c>
      <c r="AC4569" s="112" t="inlineStr">
        <is>
          <t>Estrutura Fase 1: sem impacto no VTA oficial</t>
        </is>
      </c>
    </row>
    <row r="4570" ht="25.5" customHeight="1" s="289">
      <c r="A4570" s="205" t="n"/>
      <c r="B4570" s="207" t="n"/>
      <c r="C4570" s="104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348" t="n"/>
      <c r="E4570" s="349">
        <f>IF(C4570="","",IFERROR(VLOOKUP(C4570,parametros!$A$11:$E$15,5,0),""))</f>
        <v/>
      </c>
      <c r="F4570" s="335">
        <f>IF(OR(D4570="",E4570=""),"",ROUND(D4570*E4570,2))</f>
        <v/>
      </c>
      <c r="G4570" s="106" t="n"/>
      <c r="H4570" s="350">
        <f>IF(G4570="Sim",IF(OR(F4570="",D4570="",L4570=""),"",IF(L4570="Sim",ROUND(F4570-D4570,2),0)),0)</f>
        <v/>
      </c>
      <c r="I4570" s="350">
        <f>IF(G4570="Sim",0,IF(OR(F4570="",L4570=""),"",F4570))</f>
        <v/>
      </c>
      <c r="J4570" s="350">
        <f>IF(G4570="Sim",0,IF(OR(F4570="",D4570="",L4570=""),"",IF(L4570="Sim",ROUND(F4570-D4570,2),0)))</f>
        <v/>
      </c>
      <c r="K4570" s="97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inlineStr">
        <is>
          <t>Nao</t>
        </is>
      </c>
      <c r="W4570" s="110" t="inlineStr">
        <is>
          <t>PC em analise</t>
        </is>
      </c>
      <c r="X4570" s="110" t="inlineStr">
        <is>
          <t>Pedido de Compra</t>
        </is>
      </c>
      <c r="Y4570" s="111" t="inlineStr">
        <is>
          <t>Impacto Potencial</t>
        </is>
      </c>
      <c r="Z4570" s="111" t="inlineStr">
        <is>
          <t>PC</t>
        </is>
      </c>
      <c r="AA4570" s="111" t="inlineStr">
        <is>
          <t>Nao</t>
        </is>
      </c>
      <c r="AB4570" s="111" t="inlineStr">
        <is>
          <t>NAO_COMPUTADO</t>
        </is>
      </c>
      <c r="AC4570" s="112" t="inlineStr">
        <is>
          <t>Estrutura Fase 1: sem impacto no VTA oficial</t>
        </is>
      </c>
    </row>
    <row r="4571" ht="25.5" customHeight="1" s="289">
      <c r="A4571" s="205" t="n"/>
      <c r="B4571" s="207" t="n"/>
      <c r="C4571" s="104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348" t="n"/>
      <c r="E4571" s="349">
        <f>IF(C4571="","",IFERROR(VLOOKUP(C4571,parametros!$A$11:$E$15,5,0),""))</f>
        <v/>
      </c>
      <c r="F4571" s="335">
        <f>IF(OR(D4571="",E4571=""),"",ROUND(D4571*E4571,2))</f>
        <v/>
      </c>
      <c r="G4571" s="106" t="n"/>
      <c r="H4571" s="350">
        <f>IF(G4571="Sim",IF(OR(F4571="",D4571="",L4571=""),"",IF(L4571="Sim",ROUND(F4571-D4571,2),0)),0)</f>
        <v/>
      </c>
      <c r="I4571" s="350">
        <f>IF(G4571="Sim",0,IF(OR(F4571="",L4571=""),"",F4571))</f>
        <v/>
      </c>
      <c r="J4571" s="350">
        <f>IF(G4571="Sim",0,IF(OR(F4571="",D4571="",L4571=""),"",IF(L4571="Sim",ROUND(F4571-D4571,2),0)))</f>
        <v/>
      </c>
      <c r="K4571" s="97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inlineStr">
        <is>
          <t>Nao</t>
        </is>
      </c>
      <c r="W4571" s="110" t="inlineStr">
        <is>
          <t>PC em analise</t>
        </is>
      </c>
      <c r="X4571" s="110" t="inlineStr">
        <is>
          <t>Pedido de Compra</t>
        </is>
      </c>
      <c r="Y4571" s="111" t="inlineStr">
        <is>
          <t>Impacto Potencial</t>
        </is>
      </c>
      <c r="Z4571" s="111" t="inlineStr">
        <is>
          <t>PC</t>
        </is>
      </c>
      <c r="AA4571" s="111" t="inlineStr">
        <is>
          <t>Nao</t>
        </is>
      </c>
      <c r="AB4571" s="111" t="inlineStr">
        <is>
          <t>NAO_COMPUTADO</t>
        </is>
      </c>
      <c r="AC4571" s="112" t="inlineStr">
        <is>
          <t>Estrutura Fase 1: sem impacto no VTA oficial</t>
        </is>
      </c>
    </row>
    <row r="4572" ht="25.5" customHeight="1" s="289">
      <c r="A4572" s="205" t="n"/>
      <c r="B4572" s="207" t="n"/>
      <c r="C4572" s="104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348" t="n"/>
      <c r="E4572" s="349">
        <f>IF(C4572="","",IFERROR(VLOOKUP(C4572,parametros!$A$11:$E$15,5,0),""))</f>
        <v/>
      </c>
      <c r="F4572" s="335">
        <f>IF(OR(D4572="",E4572=""),"",ROUND(D4572*E4572,2))</f>
        <v/>
      </c>
      <c r="G4572" s="106" t="n"/>
      <c r="H4572" s="350">
        <f>IF(G4572="Sim",IF(OR(F4572="",D4572="",L4572=""),"",IF(L4572="Sim",ROUND(F4572-D4572,2),0)),0)</f>
        <v/>
      </c>
      <c r="I4572" s="350">
        <f>IF(G4572="Sim",0,IF(OR(F4572="",L4572=""),"",F4572))</f>
        <v/>
      </c>
      <c r="J4572" s="350">
        <f>IF(G4572="Sim",0,IF(OR(F4572="",D4572="",L4572=""),"",IF(L4572="Sim",ROUND(F4572-D4572,2),0)))</f>
        <v/>
      </c>
      <c r="K4572" s="97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inlineStr">
        <is>
          <t>Nao</t>
        </is>
      </c>
      <c r="W4572" s="110" t="inlineStr">
        <is>
          <t>PC em analise</t>
        </is>
      </c>
      <c r="X4572" s="110" t="inlineStr">
        <is>
          <t>Pedido de Compra</t>
        </is>
      </c>
      <c r="Y4572" s="111" t="inlineStr">
        <is>
          <t>Impacto Potencial</t>
        </is>
      </c>
      <c r="Z4572" s="111" t="inlineStr">
        <is>
          <t>PC</t>
        </is>
      </c>
      <c r="AA4572" s="111" t="inlineStr">
        <is>
          <t>Nao</t>
        </is>
      </c>
      <c r="AB4572" s="111" t="inlineStr">
        <is>
          <t>NAO_COMPUTADO</t>
        </is>
      </c>
      <c r="AC4572" s="112" t="inlineStr">
        <is>
          <t>Estrutura Fase 1: sem impacto no VTA oficial</t>
        </is>
      </c>
    </row>
    <row r="4573" ht="25.5" customHeight="1" s="289">
      <c r="A4573" s="205" t="n"/>
      <c r="B4573" s="207" t="n"/>
      <c r="C4573" s="104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348" t="n"/>
      <c r="E4573" s="349">
        <f>IF(C4573="","",IFERROR(VLOOKUP(C4573,parametros!$A$11:$E$15,5,0),""))</f>
        <v/>
      </c>
      <c r="F4573" s="335">
        <f>IF(OR(D4573="",E4573=""),"",ROUND(D4573*E4573,2))</f>
        <v/>
      </c>
      <c r="G4573" s="106" t="n"/>
      <c r="H4573" s="350">
        <f>IF(G4573="Sim",IF(OR(F4573="",D4573="",L4573=""),"",IF(L4573="Sim",ROUND(F4573-D4573,2),0)),0)</f>
        <v/>
      </c>
      <c r="I4573" s="350">
        <f>IF(G4573="Sim",0,IF(OR(F4573="",L4573=""),"",F4573))</f>
        <v/>
      </c>
      <c r="J4573" s="350">
        <f>IF(G4573="Sim",0,IF(OR(F4573="",D4573="",L4573=""),"",IF(L4573="Sim",ROUND(F4573-D4573,2),0)))</f>
        <v/>
      </c>
      <c r="K4573" s="97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inlineStr">
        <is>
          <t>Nao</t>
        </is>
      </c>
      <c r="W4573" s="110" t="inlineStr">
        <is>
          <t>PC em analise</t>
        </is>
      </c>
      <c r="X4573" s="110" t="inlineStr">
        <is>
          <t>Pedido de Compra</t>
        </is>
      </c>
      <c r="Y4573" s="111" t="inlineStr">
        <is>
          <t>Impacto Potencial</t>
        </is>
      </c>
      <c r="Z4573" s="111" t="inlineStr">
        <is>
          <t>PC</t>
        </is>
      </c>
      <c r="AA4573" s="111" t="inlineStr">
        <is>
          <t>Nao</t>
        </is>
      </c>
      <c r="AB4573" s="111" t="inlineStr">
        <is>
          <t>NAO_COMPUTADO</t>
        </is>
      </c>
      <c r="AC4573" s="112" t="inlineStr">
        <is>
          <t>Estrutura Fase 1: sem impacto no VTA oficial</t>
        </is>
      </c>
    </row>
    <row r="4574" ht="25.5" customHeight="1" s="289">
      <c r="A4574" s="205" t="n"/>
      <c r="B4574" s="207" t="n"/>
      <c r="C4574" s="104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348" t="n"/>
      <c r="E4574" s="349">
        <f>IF(C4574="","",IFERROR(VLOOKUP(C4574,parametros!$A$11:$E$15,5,0),""))</f>
        <v/>
      </c>
      <c r="F4574" s="335">
        <f>IF(OR(D4574="",E4574=""),"",ROUND(D4574*E4574,2))</f>
        <v/>
      </c>
      <c r="G4574" s="106" t="n"/>
      <c r="H4574" s="350">
        <f>IF(G4574="Sim",IF(OR(F4574="",D4574="",L4574=""),"",IF(L4574="Sim",ROUND(F4574-D4574,2),0)),0)</f>
        <v/>
      </c>
      <c r="I4574" s="350">
        <f>IF(G4574="Sim",0,IF(OR(F4574="",L4574=""),"",F4574))</f>
        <v/>
      </c>
      <c r="J4574" s="350">
        <f>IF(G4574="Sim",0,IF(OR(F4574="",D4574="",L4574=""),"",IF(L4574="Sim",ROUND(F4574-D4574,2),0)))</f>
        <v/>
      </c>
      <c r="K4574" s="97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inlineStr">
        <is>
          <t>Nao</t>
        </is>
      </c>
      <c r="W4574" s="110" t="inlineStr">
        <is>
          <t>PC em analise</t>
        </is>
      </c>
      <c r="X4574" s="110" t="inlineStr">
        <is>
          <t>Pedido de Compra</t>
        </is>
      </c>
      <c r="Y4574" s="111" t="inlineStr">
        <is>
          <t>Impacto Potencial</t>
        </is>
      </c>
      <c r="Z4574" s="111" t="inlineStr">
        <is>
          <t>PC</t>
        </is>
      </c>
      <c r="AA4574" s="111" t="inlineStr">
        <is>
          <t>Nao</t>
        </is>
      </c>
      <c r="AB4574" s="111" t="inlineStr">
        <is>
          <t>NAO_COMPUTADO</t>
        </is>
      </c>
      <c r="AC4574" s="112" t="inlineStr">
        <is>
          <t>Estrutura Fase 1: sem impacto no VTA oficial</t>
        </is>
      </c>
    </row>
    <row r="4575" ht="25.5" customHeight="1" s="289">
      <c r="A4575" s="205" t="n"/>
      <c r="B4575" s="207" t="n"/>
      <c r="C4575" s="104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348" t="n"/>
      <c r="E4575" s="349">
        <f>IF(C4575="","",IFERROR(VLOOKUP(C4575,parametros!$A$11:$E$15,5,0),""))</f>
        <v/>
      </c>
      <c r="F4575" s="335">
        <f>IF(OR(D4575="",E4575=""),"",ROUND(D4575*E4575,2))</f>
        <v/>
      </c>
      <c r="G4575" s="106" t="n"/>
      <c r="H4575" s="350">
        <f>IF(G4575="Sim",IF(OR(F4575="",D4575="",L4575=""),"",IF(L4575="Sim",ROUND(F4575-D4575,2),0)),0)</f>
        <v/>
      </c>
      <c r="I4575" s="350">
        <f>IF(G4575="Sim",0,IF(OR(F4575="",L4575=""),"",F4575))</f>
        <v/>
      </c>
      <c r="J4575" s="350">
        <f>IF(G4575="Sim",0,IF(OR(F4575="",D4575="",L4575=""),"",IF(L4575="Sim",ROUND(F4575-D4575,2),0)))</f>
        <v/>
      </c>
      <c r="K4575" s="97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inlineStr">
        <is>
          <t>Nao</t>
        </is>
      </c>
      <c r="W4575" s="110" t="inlineStr">
        <is>
          <t>PC em analise</t>
        </is>
      </c>
      <c r="X4575" s="110" t="inlineStr">
        <is>
          <t>Pedido de Compra</t>
        </is>
      </c>
      <c r="Y4575" s="111" t="inlineStr">
        <is>
          <t>Impacto Potencial</t>
        </is>
      </c>
      <c r="Z4575" s="111" t="inlineStr">
        <is>
          <t>PC</t>
        </is>
      </c>
      <c r="AA4575" s="111" t="inlineStr">
        <is>
          <t>Nao</t>
        </is>
      </c>
      <c r="AB4575" s="111" t="inlineStr">
        <is>
          <t>NAO_COMPUTADO</t>
        </is>
      </c>
      <c r="AC4575" s="112" t="inlineStr">
        <is>
          <t>Estrutura Fase 1: sem impacto no VTA oficial</t>
        </is>
      </c>
    </row>
    <row r="4576" ht="25.5" customHeight="1" s="289">
      <c r="A4576" s="205" t="n"/>
      <c r="B4576" s="207" t="n"/>
      <c r="C4576" s="104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348" t="n"/>
      <c r="E4576" s="349">
        <f>IF(C4576="","",IFERROR(VLOOKUP(C4576,parametros!$A$11:$E$15,5,0),""))</f>
        <v/>
      </c>
      <c r="F4576" s="335">
        <f>IF(OR(D4576="",E4576=""),"",ROUND(D4576*E4576,2))</f>
        <v/>
      </c>
      <c r="G4576" s="106" t="n"/>
      <c r="H4576" s="350">
        <f>IF(G4576="Sim",IF(OR(F4576="",D4576="",L4576=""),"",IF(L4576="Sim",ROUND(F4576-D4576,2),0)),0)</f>
        <v/>
      </c>
      <c r="I4576" s="350">
        <f>IF(G4576="Sim",0,IF(OR(F4576="",L4576=""),"",F4576))</f>
        <v/>
      </c>
      <c r="J4576" s="350">
        <f>IF(G4576="Sim",0,IF(OR(F4576="",D4576="",L4576=""),"",IF(L4576="Sim",ROUND(F4576-D4576,2),0)))</f>
        <v/>
      </c>
      <c r="K4576" s="97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inlineStr">
        <is>
          <t>Nao</t>
        </is>
      </c>
      <c r="W4576" s="110" t="inlineStr">
        <is>
          <t>PC em analise</t>
        </is>
      </c>
      <c r="X4576" s="110" t="inlineStr">
        <is>
          <t>Pedido de Compra</t>
        </is>
      </c>
      <c r="Y4576" s="111" t="inlineStr">
        <is>
          <t>Impacto Potencial</t>
        </is>
      </c>
      <c r="Z4576" s="111" t="inlineStr">
        <is>
          <t>PC</t>
        </is>
      </c>
      <c r="AA4576" s="111" t="inlineStr">
        <is>
          <t>Nao</t>
        </is>
      </c>
      <c r="AB4576" s="111" t="inlineStr">
        <is>
          <t>NAO_COMPUTADO</t>
        </is>
      </c>
      <c r="AC4576" s="112" t="inlineStr">
        <is>
          <t>Estrutura Fase 1: sem impacto no VTA oficial</t>
        </is>
      </c>
    </row>
    <row r="4577" ht="25.5" customHeight="1" s="289">
      <c r="A4577" s="205" t="n"/>
      <c r="B4577" s="207" t="n"/>
      <c r="C4577" s="104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348" t="n"/>
      <c r="E4577" s="349">
        <f>IF(C4577="","",IFERROR(VLOOKUP(C4577,parametros!$A$11:$E$15,5,0),""))</f>
        <v/>
      </c>
      <c r="F4577" s="335">
        <f>IF(OR(D4577="",E4577=""),"",ROUND(D4577*E4577,2))</f>
        <v/>
      </c>
      <c r="G4577" s="106" t="n"/>
      <c r="H4577" s="350">
        <f>IF(G4577="Sim",IF(OR(F4577="",D4577="",L4577=""),"",IF(L4577="Sim",ROUND(F4577-D4577,2),0)),0)</f>
        <v/>
      </c>
      <c r="I4577" s="350">
        <f>IF(G4577="Sim",0,IF(OR(F4577="",L4577=""),"",F4577))</f>
        <v/>
      </c>
      <c r="J4577" s="350">
        <f>IF(G4577="Sim",0,IF(OR(F4577="",D4577="",L4577=""),"",IF(L4577="Sim",ROUND(F4577-D4577,2),0)))</f>
        <v/>
      </c>
      <c r="K4577" s="97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inlineStr">
        <is>
          <t>Nao</t>
        </is>
      </c>
      <c r="W4577" s="110" t="inlineStr">
        <is>
          <t>PC em analise</t>
        </is>
      </c>
      <c r="X4577" s="110" t="inlineStr">
        <is>
          <t>Pedido de Compra</t>
        </is>
      </c>
      <c r="Y4577" s="111" t="inlineStr">
        <is>
          <t>Impacto Potencial</t>
        </is>
      </c>
      <c r="Z4577" s="111" t="inlineStr">
        <is>
          <t>PC</t>
        </is>
      </c>
      <c r="AA4577" s="111" t="inlineStr">
        <is>
          <t>Nao</t>
        </is>
      </c>
      <c r="AB4577" s="111" t="inlineStr">
        <is>
          <t>NAO_COMPUTADO</t>
        </is>
      </c>
      <c r="AC4577" s="112" t="inlineStr">
        <is>
          <t>Estrutura Fase 1: sem impacto no VTA oficial</t>
        </is>
      </c>
    </row>
    <row r="4578" ht="25.5" customHeight="1" s="289">
      <c r="A4578" s="205" t="n"/>
      <c r="B4578" s="207" t="n"/>
      <c r="C4578" s="104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348" t="n"/>
      <c r="E4578" s="349">
        <f>IF(C4578="","",IFERROR(VLOOKUP(C4578,parametros!$A$11:$E$15,5,0),""))</f>
        <v/>
      </c>
      <c r="F4578" s="335">
        <f>IF(OR(D4578="",E4578=""),"",ROUND(D4578*E4578,2))</f>
        <v/>
      </c>
      <c r="G4578" s="106" t="n"/>
      <c r="H4578" s="350">
        <f>IF(G4578="Sim",IF(OR(F4578="",D4578="",L4578=""),"",IF(L4578="Sim",ROUND(F4578-D4578,2),0)),0)</f>
        <v/>
      </c>
      <c r="I4578" s="350">
        <f>IF(G4578="Sim",0,IF(OR(F4578="",L4578=""),"",F4578))</f>
        <v/>
      </c>
      <c r="J4578" s="350">
        <f>IF(G4578="Sim",0,IF(OR(F4578="",D4578="",L4578=""),"",IF(L4578="Sim",ROUND(F4578-D4578,2),0)))</f>
        <v/>
      </c>
      <c r="K4578" s="97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inlineStr">
        <is>
          <t>Nao</t>
        </is>
      </c>
      <c r="W4578" s="110" t="inlineStr">
        <is>
          <t>PC em analise</t>
        </is>
      </c>
      <c r="X4578" s="110" t="inlineStr">
        <is>
          <t>Pedido de Compra</t>
        </is>
      </c>
      <c r="Y4578" s="111" t="inlineStr">
        <is>
          <t>Impacto Potencial</t>
        </is>
      </c>
      <c r="Z4578" s="111" t="inlineStr">
        <is>
          <t>PC</t>
        </is>
      </c>
      <c r="AA4578" s="111" t="inlineStr">
        <is>
          <t>Nao</t>
        </is>
      </c>
      <c r="AB4578" s="111" t="inlineStr">
        <is>
          <t>NAO_COMPUTADO</t>
        </is>
      </c>
      <c r="AC4578" s="112" t="inlineStr">
        <is>
          <t>Estrutura Fase 1: sem impacto no VTA oficial</t>
        </is>
      </c>
    </row>
    <row r="4579" ht="25.5" customHeight="1" s="289">
      <c r="A4579" s="205" t="n"/>
      <c r="B4579" s="207" t="n"/>
      <c r="C4579" s="104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348" t="n"/>
      <c r="E4579" s="349">
        <f>IF(C4579="","",IFERROR(VLOOKUP(C4579,parametros!$A$11:$E$15,5,0),""))</f>
        <v/>
      </c>
      <c r="F4579" s="335">
        <f>IF(OR(D4579="",E4579=""),"",ROUND(D4579*E4579,2))</f>
        <v/>
      </c>
      <c r="G4579" s="106" t="n"/>
      <c r="H4579" s="350">
        <f>IF(G4579="Sim",IF(OR(F4579="",D4579="",L4579=""),"",IF(L4579="Sim",ROUND(F4579-D4579,2),0)),0)</f>
        <v/>
      </c>
      <c r="I4579" s="350">
        <f>IF(G4579="Sim",0,IF(OR(F4579="",L4579=""),"",F4579))</f>
        <v/>
      </c>
      <c r="J4579" s="350">
        <f>IF(G4579="Sim",0,IF(OR(F4579="",D4579="",L4579=""),"",IF(L4579="Sim",ROUND(F4579-D4579,2),0)))</f>
        <v/>
      </c>
      <c r="K4579" s="97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inlineStr">
        <is>
          <t>Nao</t>
        </is>
      </c>
      <c r="W4579" s="110" t="inlineStr">
        <is>
          <t>PC em analise</t>
        </is>
      </c>
      <c r="X4579" s="110" t="inlineStr">
        <is>
          <t>Pedido de Compra</t>
        </is>
      </c>
      <c r="Y4579" s="111" t="inlineStr">
        <is>
          <t>Impacto Potencial</t>
        </is>
      </c>
      <c r="Z4579" s="111" t="inlineStr">
        <is>
          <t>PC</t>
        </is>
      </c>
      <c r="AA4579" s="111" t="inlineStr">
        <is>
          <t>Nao</t>
        </is>
      </c>
      <c r="AB4579" s="111" t="inlineStr">
        <is>
          <t>NAO_COMPUTADO</t>
        </is>
      </c>
      <c r="AC4579" s="112" t="inlineStr">
        <is>
          <t>Estrutura Fase 1: sem impacto no VTA oficial</t>
        </is>
      </c>
    </row>
    <row r="4580" ht="25.5" customHeight="1" s="289">
      <c r="A4580" s="205" t="n"/>
      <c r="B4580" s="207" t="n"/>
      <c r="C4580" s="104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348" t="n"/>
      <c r="E4580" s="349">
        <f>IF(C4580="","",IFERROR(VLOOKUP(C4580,parametros!$A$11:$E$15,5,0),""))</f>
        <v/>
      </c>
      <c r="F4580" s="335">
        <f>IF(OR(D4580="",E4580=""),"",ROUND(D4580*E4580,2))</f>
        <v/>
      </c>
      <c r="G4580" s="106" t="n"/>
      <c r="H4580" s="350">
        <f>IF(G4580="Sim",IF(OR(F4580="",D4580="",L4580=""),"",IF(L4580="Sim",ROUND(F4580-D4580,2),0)),0)</f>
        <v/>
      </c>
      <c r="I4580" s="350">
        <f>IF(G4580="Sim",0,IF(OR(F4580="",L4580=""),"",F4580))</f>
        <v/>
      </c>
      <c r="J4580" s="350">
        <f>IF(G4580="Sim",0,IF(OR(F4580="",D4580="",L4580=""),"",IF(L4580="Sim",ROUND(F4580-D4580,2),0)))</f>
        <v/>
      </c>
      <c r="K4580" s="97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inlineStr">
        <is>
          <t>Nao</t>
        </is>
      </c>
      <c r="W4580" s="110" t="inlineStr">
        <is>
          <t>PC em analise</t>
        </is>
      </c>
      <c r="X4580" s="110" t="inlineStr">
        <is>
          <t>Pedido de Compra</t>
        </is>
      </c>
      <c r="Y4580" s="111" t="inlineStr">
        <is>
          <t>Impacto Potencial</t>
        </is>
      </c>
      <c r="Z4580" s="111" t="inlineStr">
        <is>
          <t>PC</t>
        </is>
      </c>
      <c r="AA4580" s="111" t="inlineStr">
        <is>
          <t>Nao</t>
        </is>
      </c>
      <c r="AB4580" s="111" t="inlineStr">
        <is>
          <t>NAO_COMPUTADO</t>
        </is>
      </c>
      <c r="AC4580" s="112" t="inlineStr">
        <is>
          <t>Estrutura Fase 1: sem impacto no VTA oficial</t>
        </is>
      </c>
    </row>
    <row r="4581" ht="25.5" customHeight="1" s="289">
      <c r="A4581" s="205" t="n"/>
      <c r="B4581" s="207" t="n"/>
      <c r="C4581" s="104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348" t="n"/>
      <c r="E4581" s="349">
        <f>IF(C4581="","",IFERROR(VLOOKUP(C4581,parametros!$A$11:$E$15,5,0),""))</f>
        <v/>
      </c>
      <c r="F4581" s="335">
        <f>IF(OR(D4581="",E4581=""),"",ROUND(D4581*E4581,2))</f>
        <v/>
      </c>
      <c r="G4581" s="106" t="n"/>
      <c r="H4581" s="350">
        <f>IF(G4581="Sim",IF(OR(F4581="",D4581="",L4581=""),"",IF(L4581="Sim",ROUND(F4581-D4581,2),0)),0)</f>
        <v/>
      </c>
      <c r="I4581" s="350">
        <f>IF(G4581="Sim",0,IF(OR(F4581="",L4581=""),"",F4581))</f>
        <v/>
      </c>
      <c r="J4581" s="350">
        <f>IF(G4581="Sim",0,IF(OR(F4581="",D4581="",L4581=""),"",IF(L4581="Sim",ROUND(F4581-D4581,2),0)))</f>
        <v/>
      </c>
      <c r="K4581" s="97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inlineStr">
        <is>
          <t>Nao</t>
        </is>
      </c>
      <c r="W4581" s="110" t="inlineStr">
        <is>
          <t>PC em analise</t>
        </is>
      </c>
      <c r="X4581" s="110" t="inlineStr">
        <is>
          <t>Pedido de Compra</t>
        </is>
      </c>
      <c r="Y4581" s="111" t="inlineStr">
        <is>
          <t>Impacto Potencial</t>
        </is>
      </c>
      <c r="Z4581" s="111" t="inlineStr">
        <is>
          <t>PC</t>
        </is>
      </c>
      <c r="AA4581" s="111" t="inlineStr">
        <is>
          <t>Nao</t>
        </is>
      </c>
      <c r="AB4581" s="111" t="inlineStr">
        <is>
          <t>NAO_COMPUTADO</t>
        </is>
      </c>
      <c r="AC4581" s="112" t="inlineStr">
        <is>
          <t>Estrutura Fase 1: sem impacto no VTA oficial</t>
        </is>
      </c>
    </row>
    <row r="4582" ht="25.5" customHeight="1" s="289">
      <c r="A4582" s="205" t="n"/>
      <c r="B4582" s="207" t="n"/>
      <c r="C4582" s="104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348" t="n"/>
      <c r="E4582" s="349">
        <f>IF(C4582="","",IFERROR(VLOOKUP(C4582,parametros!$A$11:$E$15,5,0),""))</f>
        <v/>
      </c>
      <c r="F4582" s="335">
        <f>IF(OR(D4582="",E4582=""),"",ROUND(D4582*E4582,2))</f>
        <v/>
      </c>
      <c r="G4582" s="106" t="n"/>
      <c r="H4582" s="350">
        <f>IF(G4582="Sim",IF(OR(F4582="",D4582="",L4582=""),"",IF(L4582="Sim",ROUND(F4582-D4582,2),0)),0)</f>
        <v/>
      </c>
      <c r="I4582" s="350">
        <f>IF(G4582="Sim",0,IF(OR(F4582="",L4582=""),"",F4582))</f>
        <v/>
      </c>
      <c r="J4582" s="350">
        <f>IF(G4582="Sim",0,IF(OR(F4582="",D4582="",L4582=""),"",IF(L4582="Sim",ROUND(F4582-D4582,2),0)))</f>
        <v/>
      </c>
      <c r="K4582" s="97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inlineStr">
        <is>
          <t>Nao</t>
        </is>
      </c>
      <c r="W4582" s="110" t="inlineStr">
        <is>
          <t>PC em analise</t>
        </is>
      </c>
      <c r="X4582" s="110" t="inlineStr">
        <is>
          <t>Pedido de Compra</t>
        </is>
      </c>
      <c r="Y4582" s="111" t="inlineStr">
        <is>
          <t>Impacto Potencial</t>
        </is>
      </c>
      <c r="Z4582" s="111" t="inlineStr">
        <is>
          <t>PC</t>
        </is>
      </c>
      <c r="AA4582" s="111" t="inlineStr">
        <is>
          <t>Nao</t>
        </is>
      </c>
      <c r="AB4582" s="111" t="inlineStr">
        <is>
          <t>NAO_COMPUTADO</t>
        </is>
      </c>
      <c r="AC4582" s="112" t="inlineStr">
        <is>
          <t>Estrutura Fase 1: sem impacto no VTA oficial</t>
        </is>
      </c>
    </row>
    <row r="4583" ht="25.5" customHeight="1" s="289">
      <c r="A4583" s="205" t="n"/>
      <c r="B4583" s="207" t="n"/>
      <c r="C4583" s="104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348" t="n"/>
      <c r="E4583" s="349">
        <f>IF(C4583="","",IFERROR(VLOOKUP(C4583,parametros!$A$11:$E$15,5,0),""))</f>
        <v/>
      </c>
      <c r="F4583" s="335">
        <f>IF(OR(D4583="",E4583=""),"",ROUND(D4583*E4583,2))</f>
        <v/>
      </c>
      <c r="G4583" s="106" t="n"/>
      <c r="H4583" s="350">
        <f>IF(G4583="Sim",IF(OR(F4583="",D4583="",L4583=""),"",IF(L4583="Sim",ROUND(F4583-D4583,2),0)),0)</f>
        <v/>
      </c>
      <c r="I4583" s="350">
        <f>IF(G4583="Sim",0,IF(OR(F4583="",L4583=""),"",F4583))</f>
        <v/>
      </c>
      <c r="J4583" s="350">
        <f>IF(G4583="Sim",0,IF(OR(F4583="",D4583="",L4583=""),"",IF(L4583="Sim",ROUND(F4583-D4583,2),0)))</f>
        <v/>
      </c>
      <c r="K4583" s="97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inlineStr">
        <is>
          <t>Nao</t>
        </is>
      </c>
      <c r="W4583" s="110" t="inlineStr">
        <is>
          <t>PC em analise</t>
        </is>
      </c>
      <c r="X4583" s="110" t="inlineStr">
        <is>
          <t>Pedido de Compra</t>
        </is>
      </c>
      <c r="Y4583" s="111" t="inlineStr">
        <is>
          <t>Impacto Potencial</t>
        </is>
      </c>
      <c r="Z4583" s="111" t="inlineStr">
        <is>
          <t>PC</t>
        </is>
      </c>
      <c r="AA4583" s="111" t="inlineStr">
        <is>
          <t>Nao</t>
        </is>
      </c>
      <c r="AB4583" s="111" t="inlineStr">
        <is>
          <t>NAO_COMPUTADO</t>
        </is>
      </c>
      <c r="AC4583" s="112" t="inlineStr">
        <is>
          <t>Estrutura Fase 1: sem impacto no VTA oficial</t>
        </is>
      </c>
    </row>
    <row r="4584" ht="25.5" customHeight="1" s="289">
      <c r="A4584" s="205" t="n"/>
      <c r="B4584" s="207" t="n"/>
      <c r="C4584" s="104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348" t="n"/>
      <c r="E4584" s="349">
        <f>IF(C4584="","",IFERROR(VLOOKUP(C4584,parametros!$A$11:$E$15,5,0),""))</f>
        <v/>
      </c>
      <c r="F4584" s="335">
        <f>IF(OR(D4584="",E4584=""),"",ROUND(D4584*E4584,2))</f>
        <v/>
      </c>
      <c r="G4584" s="106" t="n"/>
      <c r="H4584" s="350">
        <f>IF(G4584="Sim",IF(OR(F4584="",D4584="",L4584=""),"",IF(L4584="Sim",ROUND(F4584-D4584,2),0)),0)</f>
        <v/>
      </c>
      <c r="I4584" s="350">
        <f>IF(G4584="Sim",0,IF(OR(F4584="",L4584=""),"",F4584))</f>
        <v/>
      </c>
      <c r="J4584" s="350">
        <f>IF(G4584="Sim",0,IF(OR(F4584="",D4584="",L4584=""),"",IF(L4584="Sim",ROUND(F4584-D4584,2),0)))</f>
        <v/>
      </c>
      <c r="K4584" s="97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inlineStr">
        <is>
          <t>Nao</t>
        </is>
      </c>
      <c r="W4584" s="110" t="inlineStr">
        <is>
          <t>PC em analise</t>
        </is>
      </c>
      <c r="X4584" s="110" t="inlineStr">
        <is>
          <t>Pedido de Compra</t>
        </is>
      </c>
      <c r="Y4584" s="111" t="inlineStr">
        <is>
          <t>Impacto Potencial</t>
        </is>
      </c>
      <c r="Z4584" s="111" t="inlineStr">
        <is>
          <t>PC</t>
        </is>
      </c>
      <c r="AA4584" s="111" t="inlineStr">
        <is>
          <t>Nao</t>
        </is>
      </c>
      <c r="AB4584" s="111" t="inlineStr">
        <is>
          <t>NAO_COMPUTADO</t>
        </is>
      </c>
      <c r="AC4584" s="112" t="inlineStr">
        <is>
          <t>Estrutura Fase 1: sem impacto no VTA oficial</t>
        </is>
      </c>
    </row>
    <row r="4585" ht="25.5" customHeight="1" s="289">
      <c r="A4585" s="205" t="n"/>
      <c r="B4585" s="207" t="n"/>
      <c r="C4585" s="104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348" t="n"/>
      <c r="E4585" s="349">
        <f>IF(C4585="","",IFERROR(VLOOKUP(C4585,parametros!$A$11:$E$15,5,0),""))</f>
        <v/>
      </c>
      <c r="F4585" s="335">
        <f>IF(OR(D4585="",E4585=""),"",ROUND(D4585*E4585,2))</f>
        <v/>
      </c>
      <c r="G4585" s="106" t="n"/>
      <c r="H4585" s="350">
        <f>IF(G4585="Sim",IF(OR(F4585="",D4585="",L4585=""),"",IF(L4585="Sim",ROUND(F4585-D4585,2),0)),0)</f>
        <v/>
      </c>
      <c r="I4585" s="350">
        <f>IF(G4585="Sim",0,IF(OR(F4585="",L4585=""),"",F4585))</f>
        <v/>
      </c>
      <c r="J4585" s="350">
        <f>IF(G4585="Sim",0,IF(OR(F4585="",D4585="",L4585=""),"",IF(L4585="Sim",ROUND(F4585-D4585,2),0)))</f>
        <v/>
      </c>
      <c r="K4585" s="97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inlineStr">
        <is>
          <t>Nao</t>
        </is>
      </c>
      <c r="W4585" s="110" t="inlineStr">
        <is>
          <t>PC em analise</t>
        </is>
      </c>
      <c r="X4585" s="110" t="inlineStr">
        <is>
          <t>Pedido de Compra</t>
        </is>
      </c>
      <c r="Y4585" s="111" t="inlineStr">
        <is>
          <t>Impacto Potencial</t>
        </is>
      </c>
      <c r="Z4585" s="111" t="inlineStr">
        <is>
          <t>PC</t>
        </is>
      </c>
      <c r="AA4585" s="111" t="inlineStr">
        <is>
          <t>Nao</t>
        </is>
      </c>
      <c r="AB4585" s="111" t="inlineStr">
        <is>
          <t>NAO_COMPUTADO</t>
        </is>
      </c>
      <c r="AC4585" s="112" t="inlineStr">
        <is>
          <t>Estrutura Fase 1: sem impacto no VTA oficial</t>
        </is>
      </c>
    </row>
    <row r="4586" ht="25.5" customHeight="1" s="289">
      <c r="A4586" s="205" t="n"/>
      <c r="B4586" s="207" t="n"/>
      <c r="C4586" s="104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348" t="n"/>
      <c r="E4586" s="349">
        <f>IF(C4586="","",IFERROR(VLOOKUP(C4586,parametros!$A$11:$E$15,5,0),""))</f>
        <v/>
      </c>
      <c r="F4586" s="335">
        <f>IF(OR(D4586="",E4586=""),"",ROUND(D4586*E4586,2))</f>
        <v/>
      </c>
      <c r="G4586" s="106" t="n"/>
      <c r="H4586" s="350">
        <f>IF(G4586="Sim",IF(OR(F4586="",D4586="",L4586=""),"",IF(L4586="Sim",ROUND(F4586-D4586,2),0)),0)</f>
        <v/>
      </c>
      <c r="I4586" s="350">
        <f>IF(G4586="Sim",0,IF(OR(F4586="",L4586=""),"",F4586))</f>
        <v/>
      </c>
      <c r="J4586" s="350">
        <f>IF(G4586="Sim",0,IF(OR(F4586="",D4586="",L4586=""),"",IF(L4586="Sim",ROUND(F4586-D4586,2),0)))</f>
        <v/>
      </c>
      <c r="K4586" s="97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inlineStr">
        <is>
          <t>Nao</t>
        </is>
      </c>
      <c r="W4586" s="110" t="inlineStr">
        <is>
          <t>PC em analise</t>
        </is>
      </c>
      <c r="X4586" s="110" t="inlineStr">
        <is>
          <t>Pedido de Compra</t>
        </is>
      </c>
      <c r="Y4586" s="111" t="inlineStr">
        <is>
          <t>Impacto Potencial</t>
        </is>
      </c>
      <c r="Z4586" s="111" t="inlineStr">
        <is>
          <t>PC</t>
        </is>
      </c>
      <c r="AA4586" s="111" t="inlineStr">
        <is>
          <t>Nao</t>
        </is>
      </c>
      <c r="AB4586" s="111" t="inlineStr">
        <is>
          <t>NAO_COMPUTADO</t>
        </is>
      </c>
      <c r="AC4586" s="112" t="inlineStr">
        <is>
          <t>Estrutura Fase 1: sem impacto no VTA oficial</t>
        </is>
      </c>
    </row>
    <row r="4587" ht="25.5" customHeight="1" s="289">
      <c r="A4587" s="205" t="n"/>
      <c r="B4587" s="207" t="n"/>
      <c r="C4587" s="104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348" t="n"/>
      <c r="E4587" s="349">
        <f>IF(C4587="","",IFERROR(VLOOKUP(C4587,parametros!$A$11:$E$15,5,0),""))</f>
        <v/>
      </c>
      <c r="F4587" s="335">
        <f>IF(OR(D4587="",E4587=""),"",ROUND(D4587*E4587,2))</f>
        <v/>
      </c>
      <c r="G4587" s="106" t="n"/>
      <c r="H4587" s="350">
        <f>IF(G4587="Sim",IF(OR(F4587="",D4587="",L4587=""),"",IF(L4587="Sim",ROUND(F4587-D4587,2),0)),0)</f>
        <v/>
      </c>
      <c r="I4587" s="350">
        <f>IF(G4587="Sim",0,IF(OR(F4587="",L4587=""),"",F4587))</f>
        <v/>
      </c>
      <c r="J4587" s="350">
        <f>IF(G4587="Sim",0,IF(OR(F4587="",D4587="",L4587=""),"",IF(L4587="Sim",ROUND(F4587-D4587,2),0)))</f>
        <v/>
      </c>
      <c r="K4587" s="97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inlineStr">
        <is>
          <t>Nao</t>
        </is>
      </c>
      <c r="W4587" s="110" t="inlineStr">
        <is>
          <t>PC em analise</t>
        </is>
      </c>
      <c r="X4587" s="110" t="inlineStr">
        <is>
          <t>Pedido de Compra</t>
        </is>
      </c>
      <c r="Y4587" s="111" t="inlineStr">
        <is>
          <t>Impacto Potencial</t>
        </is>
      </c>
      <c r="Z4587" s="111" t="inlineStr">
        <is>
          <t>PC</t>
        </is>
      </c>
      <c r="AA4587" s="111" t="inlineStr">
        <is>
          <t>Nao</t>
        </is>
      </c>
      <c r="AB4587" s="111" t="inlineStr">
        <is>
          <t>NAO_COMPUTADO</t>
        </is>
      </c>
      <c r="AC4587" s="112" t="inlineStr">
        <is>
          <t>Estrutura Fase 1: sem impacto no VTA oficial</t>
        </is>
      </c>
    </row>
    <row r="4588" ht="25.5" customHeight="1" s="289">
      <c r="A4588" s="205" t="n"/>
      <c r="B4588" s="207" t="n"/>
      <c r="C4588" s="104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348" t="n"/>
      <c r="E4588" s="349">
        <f>IF(C4588="","",IFERROR(VLOOKUP(C4588,parametros!$A$11:$E$15,5,0),""))</f>
        <v/>
      </c>
      <c r="F4588" s="335">
        <f>IF(OR(D4588="",E4588=""),"",ROUND(D4588*E4588,2))</f>
        <v/>
      </c>
      <c r="G4588" s="106" t="n"/>
      <c r="H4588" s="350">
        <f>IF(G4588="Sim",IF(OR(F4588="",D4588="",L4588=""),"",IF(L4588="Sim",ROUND(F4588-D4588,2),0)),0)</f>
        <v/>
      </c>
      <c r="I4588" s="350">
        <f>IF(G4588="Sim",0,IF(OR(F4588="",L4588=""),"",F4588))</f>
        <v/>
      </c>
      <c r="J4588" s="350">
        <f>IF(G4588="Sim",0,IF(OR(F4588="",D4588="",L4588=""),"",IF(L4588="Sim",ROUND(F4588-D4588,2),0)))</f>
        <v/>
      </c>
      <c r="K4588" s="97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inlineStr">
        <is>
          <t>Nao</t>
        </is>
      </c>
      <c r="W4588" s="110" t="inlineStr">
        <is>
          <t>PC em analise</t>
        </is>
      </c>
      <c r="X4588" s="110" t="inlineStr">
        <is>
          <t>Pedido de Compra</t>
        </is>
      </c>
      <c r="Y4588" s="111" t="inlineStr">
        <is>
          <t>Impacto Potencial</t>
        </is>
      </c>
      <c r="Z4588" s="111" t="inlineStr">
        <is>
          <t>PC</t>
        </is>
      </c>
      <c r="AA4588" s="111" t="inlineStr">
        <is>
          <t>Nao</t>
        </is>
      </c>
      <c r="AB4588" s="111" t="inlineStr">
        <is>
          <t>NAO_COMPUTADO</t>
        </is>
      </c>
      <c r="AC4588" s="112" t="inlineStr">
        <is>
          <t>Estrutura Fase 1: sem impacto no VTA oficial</t>
        </is>
      </c>
    </row>
    <row r="4589" ht="25.5" customHeight="1" s="289">
      <c r="A4589" s="205" t="n"/>
      <c r="B4589" s="207" t="n"/>
      <c r="C4589" s="104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348" t="n"/>
      <c r="E4589" s="349">
        <f>IF(C4589="","",IFERROR(VLOOKUP(C4589,parametros!$A$11:$E$15,5,0),""))</f>
        <v/>
      </c>
      <c r="F4589" s="335">
        <f>IF(OR(D4589="",E4589=""),"",ROUND(D4589*E4589,2))</f>
        <v/>
      </c>
      <c r="G4589" s="106" t="n"/>
      <c r="H4589" s="350">
        <f>IF(G4589="Sim",IF(OR(F4589="",D4589="",L4589=""),"",IF(L4589="Sim",ROUND(F4589-D4589,2),0)),0)</f>
        <v/>
      </c>
      <c r="I4589" s="350">
        <f>IF(G4589="Sim",0,IF(OR(F4589="",L4589=""),"",F4589))</f>
        <v/>
      </c>
      <c r="J4589" s="350">
        <f>IF(G4589="Sim",0,IF(OR(F4589="",D4589="",L4589=""),"",IF(L4589="Sim",ROUND(F4589-D4589,2),0)))</f>
        <v/>
      </c>
      <c r="K4589" s="97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inlineStr">
        <is>
          <t>Nao</t>
        </is>
      </c>
      <c r="W4589" s="110" t="inlineStr">
        <is>
          <t>PC em analise</t>
        </is>
      </c>
      <c r="X4589" s="110" t="inlineStr">
        <is>
          <t>Pedido de Compra</t>
        </is>
      </c>
      <c r="Y4589" s="111" t="inlineStr">
        <is>
          <t>Impacto Potencial</t>
        </is>
      </c>
      <c r="Z4589" s="111" t="inlineStr">
        <is>
          <t>PC</t>
        </is>
      </c>
      <c r="AA4589" s="111" t="inlineStr">
        <is>
          <t>Nao</t>
        </is>
      </c>
      <c r="AB4589" s="111" t="inlineStr">
        <is>
          <t>NAO_COMPUTADO</t>
        </is>
      </c>
      <c r="AC4589" s="112" t="inlineStr">
        <is>
          <t>Estrutura Fase 1: sem impacto no VTA oficial</t>
        </is>
      </c>
    </row>
    <row r="4590" ht="25.5" customHeight="1" s="289">
      <c r="A4590" s="205" t="n"/>
      <c r="B4590" s="207" t="n"/>
      <c r="C4590" s="104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348" t="n"/>
      <c r="E4590" s="349">
        <f>IF(C4590="","",IFERROR(VLOOKUP(C4590,parametros!$A$11:$E$15,5,0),""))</f>
        <v/>
      </c>
      <c r="F4590" s="335">
        <f>IF(OR(D4590="",E4590=""),"",ROUND(D4590*E4590,2))</f>
        <v/>
      </c>
      <c r="G4590" s="106" t="n"/>
      <c r="H4590" s="350">
        <f>IF(G4590="Sim",IF(OR(F4590="",D4590="",L4590=""),"",IF(L4590="Sim",ROUND(F4590-D4590,2),0)),0)</f>
        <v/>
      </c>
      <c r="I4590" s="350">
        <f>IF(G4590="Sim",0,IF(OR(F4590="",L4590=""),"",F4590))</f>
        <v/>
      </c>
      <c r="J4590" s="350">
        <f>IF(G4590="Sim",0,IF(OR(F4590="",D4590="",L4590=""),"",IF(L4590="Sim",ROUND(F4590-D4590,2),0)))</f>
        <v/>
      </c>
      <c r="K4590" s="97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inlineStr">
        <is>
          <t>Nao</t>
        </is>
      </c>
      <c r="W4590" s="110" t="inlineStr">
        <is>
          <t>PC em analise</t>
        </is>
      </c>
      <c r="X4590" s="110" t="inlineStr">
        <is>
          <t>Pedido de Compra</t>
        </is>
      </c>
      <c r="Y4590" s="111" t="inlineStr">
        <is>
          <t>Impacto Potencial</t>
        </is>
      </c>
      <c r="Z4590" s="111" t="inlineStr">
        <is>
          <t>PC</t>
        </is>
      </c>
      <c r="AA4590" s="111" t="inlineStr">
        <is>
          <t>Nao</t>
        </is>
      </c>
      <c r="AB4590" s="111" t="inlineStr">
        <is>
          <t>NAO_COMPUTADO</t>
        </is>
      </c>
      <c r="AC4590" s="112" t="inlineStr">
        <is>
          <t>Estrutura Fase 1: sem impacto no VTA oficial</t>
        </is>
      </c>
    </row>
    <row r="4591" ht="25.5" customHeight="1" s="289">
      <c r="A4591" s="205" t="n"/>
      <c r="B4591" s="207" t="n"/>
      <c r="C4591" s="104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348" t="n"/>
      <c r="E4591" s="349">
        <f>IF(C4591="","",IFERROR(VLOOKUP(C4591,parametros!$A$11:$E$15,5,0),""))</f>
        <v/>
      </c>
      <c r="F4591" s="335">
        <f>IF(OR(D4591="",E4591=""),"",ROUND(D4591*E4591,2))</f>
        <v/>
      </c>
      <c r="G4591" s="106" t="n"/>
      <c r="H4591" s="350">
        <f>IF(G4591="Sim",IF(OR(F4591="",D4591="",L4591=""),"",IF(L4591="Sim",ROUND(F4591-D4591,2),0)),0)</f>
        <v/>
      </c>
      <c r="I4591" s="350">
        <f>IF(G4591="Sim",0,IF(OR(F4591="",L4591=""),"",F4591))</f>
        <v/>
      </c>
      <c r="J4591" s="350">
        <f>IF(G4591="Sim",0,IF(OR(F4591="",D4591="",L4591=""),"",IF(L4591="Sim",ROUND(F4591-D4591,2),0)))</f>
        <v/>
      </c>
      <c r="K4591" s="97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inlineStr">
        <is>
          <t>Nao</t>
        </is>
      </c>
      <c r="W4591" s="110" t="inlineStr">
        <is>
          <t>PC em analise</t>
        </is>
      </c>
      <c r="X4591" s="110" t="inlineStr">
        <is>
          <t>Pedido de Compra</t>
        </is>
      </c>
      <c r="Y4591" s="111" t="inlineStr">
        <is>
          <t>Impacto Potencial</t>
        </is>
      </c>
      <c r="Z4591" s="111" t="inlineStr">
        <is>
          <t>PC</t>
        </is>
      </c>
      <c r="AA4591" s="111" t="inlineStr">
        <is>
          <t>Nao</t>
        </is>
      </c>
      <c r="AB4591" s="111" t="inlineStr">
        <is>
          <t>NAO_COMPUTADO</t>
        </is>
      </c>
      <c r="AC4591" s="112" t="inlineStr">
        <is>
          <t>Estrutura Fase 1: sem impacto no VTA oficial</t>
        </is>
      </c>
    </row>
    <row r="4592" ht="25.5" customHeight="1" s="289">
      <c r="A4592" s="205" t="n"/>
      <c r="B4592" s="207" t="n"/>
      <c r="C4592" s="104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348" t="n"/>
      <c r="E4592" s="349">
        <f>IF(C4592="","",IFERROR(VLOOKUP(C4592,parametros!$A$11:$E$15,5,0),""))</f>
        <v/>
      </c>
      <c r="F4592" s="335">
        <f>IF(OR(D4592="",E4592=""),"",ROUND(D4592*E4592,2))</f>
        <v/>
      </c>
      <c r="G4592" s="106" t="n"/>
      <c r="H4592" s="350">
        <f>IF(G4592="Sim",IF(OR(F4592="",D4592="",L4592=""),"",IF(L4592="Sim",ROUND(F4592-D4592,2),0)),0)</f>
        <v/>
      </c>
      <c r="I4592" s="350">
        <f>IF(G4592="Sim",0,IF(OR(F4592="",L4592=""),"",F4592))</f>
        <v/>
      </c>
      <c r="J4592" s="350">
        <f>IF(G4592="Sim",0,IF(OR(F4592="",D4592="",L4592=""),"",IF(L4592="Sim",ROUND(F4592-D4592,2),0)))</f>
        <v/>
      </c>
      <c r="K4592" s="97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inlineStr">
        <is>
          <t>Nao</t>
        </is>
      </c>
      <c r="W4592" s="110" t="inlineStr">
        <is>
          <t>PC em analise</t>
        </is>
      </c>
      <c r="X4592" s="110" t="inlineStr">
        <is>
          <t>Pedido de Compra</t>
        </is>
      </c>
      <c r="Y4592" s="111" t="inlineStr">
        <is>
          <t>Impacto Potencial</t>
        </is>
      </c>
      <c r="Z4592" s="111" t="inlineStr">
        <is>
          <t>PC</t>
        </is>
      </c>
      <c r="AA4592" s="111" t="inlineStr">
        <is>
          <t>Nao</t>
        </is>
      </c>
      <c r="AB4592" s="111" t="inlineStr">
        <is>
          <t>NAO_COMPUTADO</t>
        </is>
      </c>
      <c r="AC4592" s="112" t="inlineStr">
        <is>
          <t>Estrutura Fase 1: sem impacto no VTA oficial</t>
        </is>
      </c>
    </row>
    <row r="4593" ht="25.5" customHeight="1" s="289">
      <c r="A4593" s="205" t="n"/>
      <c r="B4593" s="207" t="n"/>
      <c r="C4593" s="104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348" t="n"/>
      <c r="E4593" s="349">
        <f>IF(C4593="","",IFERROR(VLOOKUP(C4593,parametros!$A$11:$E$15,5,0),""))</f>
        <v/>
      </c>
      <c r="F4593" s="335">
        <f>IF(OR(D4593="",E4593=""),"",ROUND(D4593*E4593,2))</f>
        <v/>
      </c>
      <c r="G4593" s="106" t="n"/>
      <c r="H4593" s="350">
        <f>IF(G4593="Sim",IF(OR(F4593="",D4593="",L4593=""),"",IF(L4593="Sim",ROUND(F4593-D4593,2),0)),0)</f>
        <v/>
      </c>
      <c r="I4593" s="350">
        <f>IF(G4593="Sim",0,IF(OR(F4593="",L4593=""),"",F4593))</f>
        <v/>
      </c>
      <c r="J4593" s="350">
        <f>IF(G4593="Sim",0,IF(OR(F4593="",D4593="",L4593=""),"",IF(L4593="Sim",ROUND(F4593-D4593,2),0)))</f>
        <v/>
      </c>
      <c r="K4593" s="97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inlineStr">
        <is>
          <t>Nao</t>
        </is>
      </c>
      <c r="W4593" s="110" t="inlineStr">
        <is>
          <t>PC em analise</t>
        </is>
      </c>
      <c r="X4593" s="110" t="inlineStr">
        <is>
          <t>Pedido de Compra</t>
        </is>
      </c>
      <c r="Y4593" s="111" t="inlineStr">
        <is>
          <t>Impacto Potencial</t>
        </is>
      </c>
      <c r="Z4593" s="111" t="inlineStr">
        <is>
          <t>PC</t>
        </is>
      </c>
      <c r="AA4593" s="111" t="inlineStr">
        <is>
          <t>Nao</t>
        </is>
      </c>
      <c r="AB4593" s="111" t="inlineStr">
        <is>
          <t>NAO_COMPUTADO</t>
        </is>
      </c>
      <c r="AC4593" s="112" t="inlineStr">
        <is>
          <t>Estrutura Fase 1: sem impacto no VTA oficial</t>
        </is>
      </c>
    </row>
    <row r="4594" ht="25.5" customHeight="1" s="289">
      <c r="A4594" s="205" t="n"/>
      <c r="B4594" s="207" t="n"/>
      <c r="C4594" s="104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348" t="n"/>
      <c r="E4594" s="349">
        <f>IF(C4594="","",IFERROR(VLOOKUP(C4594,parametros!$A$11:$E$15,5,0),""))</f>
        <v/>
      </c>
      <c r="F4594" s="335">
        <f>IF(OR(D4594="",E4594=""),"",ROUND(D4594*E4594,2))</f>
        <v/>
      </c>
      <c r="G4594" s="106" t="n"/>
      <c r="H4594" s="350">
        <f>IF(G4594="Sim",IF(OR(F4594="",D4594="",L4594=""),"",IF(L4594="Sim",ROUND(F4594-D4594,2),0)),0)</f>
        <v/>
      </c>
      <c r="I4594" s="350">
        <f>IF(G4594="Sim",0,IF(OR(F4594="",L4594=""),"",F4594))</f>
        <v/>
      </c>
      <c r="J4594" s="350">
        <f>IF(G4594="Sim",0,IF(OR(F4594="",D4594="",L4594=""),"",IF(L4594="Sim",ROUND(F4594-D4594,2),0)))</f>
        <v/>
      </c>
      <c r="K4594" s="97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inlineStr">
        <is>
          <t>Nao</t>
        </is>
      </c>
      <c r="W4594" s="110" t="inlineStr">
        <is>
          <t>PC em analise</t>
        </is>
      </c>
      <c r="X4594" s="110" t="inlineStr">
        <is>
          <t>Pedido de Compra</t>
        </is>
      </c>
      <c r="Y4594" s="111" t="inlineStr">
        <is>
          <t>Impacto Potencial</t>
        </is>
      </c>
      <c r="Z4594" s="111" t="inlineStr">
        <is>
          <t>PC</t>
        </is>
      </c>
      <c r="AA4594" s="111" t="inlineStr">
        <is>
          <t>Nao</t>
        </is>
      </c>
      <c r="AB4594" s="111" t="inlineStr">
        <is>
          <t>NAO_COMPUTADO</t>
        </is>
      </c>
      <c r="AC4594" s="112" t="inlineStr">
        <is>
          <t>Estrutura Fase 1: sem impacto no VTA oficial</t>
        </is>
      </c>
    </row>
    <row r="4595" ht="25.5" customHeight="1" s="289">
      <c r="A4595" s="205" t="n"/>
      <c r="B4595" s="207" t="n"/>
      <c r="C4595" s="104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348" t="n"/>
      <c r="E4595" s="349">
        <f>IF(C4595="","",IFERROR(VLOOKUP(C4595,parametros!$A$11:$E$15,5,0),""))</f>
        <v/>
      </c>
      <c r="F4595" s="335">
        <f>IF(OR(D4595="",E4595=""),"",ROUND(D4595*E4595,2))</f>
        <v/>
      </c>
      <c r="G4595" s="106" t="n"/>
      <c r="H4595" s="350">
        <f>IF(G4595="Sim",IF(OR(F4595="",D4595="",L4595=""),"",IF(L4595="Sim",ROUND(F4595-D4595,2),0)),0)</f>
        <v/>
      </c>
      <c r="I4595" s="350">
        <f>IF(G4595="Sim",0,IF(OR(F4595="",L4595=""),"",F4595))</f>
        <v/>
      </c>
      <c r="J4595" s="350">
        <f>IF(G4595="Sim",0,IF(OR(F4595="",D4595="",L4595=""),"",IF(L4595="Sim",ROUND(F4595-D4595,2),0)))</f>
        <v/>
      </c>
      <c r="K4595" s="97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inlineStr">
        <is>
          <t>Nao</t>
        </is>
      </c>
      <c r="W4595" s="110" t="inlineStr">
        <is>
          <t>PC em analise</t>
        </is>
      </c>
      <c r="X4595" s="110" t="inlineStr">
        <is>
          <t>Pedido de Compra</t>
        </is>
      </c>
      <c r="Y4595" s="111" t="inlineStr">
        <is>
          <t>Impacto Potencial</t>
        </is>
      </c>
      <c r="Z4595" s="111" t="inlineStr">
        <is>
          <t>PC</t>
        </is>
      </c>
      <c r="AA4595" s="111" t="inlineStr">
        <is>
          <t>Nao</t>
        </is>
      </c>
      <c r="AB4595" s="111" t="inlineStr">
        <is>
          <t>NAO_COMPUTADO</t>
        </is>
      </c>
      <c r="AC4595" s="112" t="inlineStr">
        <is>
          <t>Estrutura Fase 1: sem impacto no VTA oficial</t>
        </is>
      </c>
    </row>
    <row r="4596" ht="25.5" customHeight="1" s="289">
      <c r="A4596" s="205" t="n"/>
      <c r="B4596" s="207" t="n"/>
      <c r="C4596" s="104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348" t="n"/>
      <c r="E4596" s="349">
        <f>IF(C4596="","",IFERROR(VLOOKUP(C4596,parametros!$A$11:$E$15,5,0),""))</f>
        <v/>
      </c>
      <c r="F4596" s="335">
        <f>IF(OR(D4596="",E4596=""),"",ROUND(D4596*E4596,2))</f>
        <v/>
      </c>
      <c r="G4596" s="106" t="n"/>
      <c r="H4596" s="350">
        <f>IF(G4596="Sim",IF(OR(F4596="",D4596="",L4596=""),"",IF(L4596="Sim",ROUND(F4596-D4596,2),0)),0)</f>
        <v/>
      </c>
      <c r="I4596" s="350">
        <f>IF(G4596="Sim",0,IF(OR(F4596="",L4596=""),"",F4596))</f>
        <v/>
      </c>
      <c r="J4596" s="350">
        <f>IF(G4596="Sim",0,IF(OR(F4596="",D4596="",L4596=""),"",IF(L4596="Sim",ROUND(F4596-D4596,2),0)))</f>
        <v/>
      </c>
      <c r="K4596" s="97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inlineStr">
        <is>
          <t>Nao</t>
        </is>
      </c>
      <c r="W4596" s="110" t="inlineStr">
        <is>
          <t>PC em analise</t>
        </is>
      </c>
      <c r="X4596" s="110" t="inlineStr">
        <is>
          <t>Pedido de Compra</t>
        </is>
      </c>
      <c r="Y4596" s="111" t="inlineStr">
        <is>
          <t>Impacto Potencial</t>
        </is>
      </c>
      <c r="Z4596" s="111" t="inlineStr">
        <is>
          <t>PC</t>
        </is>
      </c>
      <c r="AA4596" s="111" t="inlineStr">
        <is>
          <t>Nao</t>
        </is>
      </c>
      <c r="AB4596" s="111" t="inlineStr">
        <is>
          <t>NAO_COMPUTADO</t>
        </is>
      </c>
      <c r="AC4596" s="112" t="inlineStr">
        <is>
          <t>Estrutura Fase 1: sem impacto no VTA oficial</t>
        </is>
      </c>
    </row>
    <row r="4597" ht="25.5" customHeight="1" s="289">
      <c r="A4597" s="205" t="n"/>
      <c r="B4597" s="207" t="n"/>
      <c r="C4597" s="104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348" t="n"/>
      <c r="E4597" s="349">
        <f>IF(C4597="","",IFERROR(VLOOKUP(C4597,parametros!$A$11:$E$15,5,0),""))</f>
        <v/>
      </c>
      <c r="F4597" s="335">
        <f>IF(OR(D4597="",E4597=""),"",ROUND(D4597*E4597,2))</f>
        <v/>
      </c>
      <c r="G4597" s="106" t="n"/>
      <c r="H4597" s="350">
        <f>IF(G4597="Sim",IF(OR(F4597="",D4597="",L4597=""),"",IF(L4597="Sim",ROUND(F4597-D4597,2),0)),0)</f>
        <v/>
      </c>
      <c r="I4597" s="350">
        <f>IF(G4597="Sim",0,IF(OR(F4597="",L4597=""),"",F4597))</f>
        <v/>
      </c>
      <c r="J4597" s="350">
        <f>IF(G4597="Sim",0,IF(OR(F4597="",D4597="",L4597=""),"",IF(L4597="Sim",ROUND(F4597-D4597,2),0)))</f>
        <v/>
      </c>
      <c r="K4597" s="97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inlineStr">
        <is>
          <t>Nao</t>
        </is>
      </c>
      <c r="W4597" s="110" t="inlineStr">
        <is>
          <t>PC em analise</t>
        </is>
      </c>
      <c r="X4597" s="110" t="inlineStr">
        <is>
          <t>Pedido de Compra</t>
        </is>
      </c>
      <c r="Y4597" s="111" t="inlineStr">
        <is>
          <t>Impacto Potencial</t>
        </is>
      </c>
      <c r="Z4597" s="111" t="inlineStr">
        <is>
          <t>PC</t>
        </is>
      </c>
      <c r="AA4597" s="111" t="inlineStr">
        <is>
          <t>Nao</t>
        </is>
      </c>
      <c r="AB4597" s="111" t="inlineStr">
        <is>
          <t>NAO_COMPUTADO</t>
        </is>
      </c>
      <c r="AC4597" s="112" t="inlineStr">
        <is>
          <t>Estrutura Fase 1: sem impacto no VTA oficial</t>
        </is>
      </c>
    </row>
    <row r="4598" ht="25.5" customHeight="1" s="289">
      <c r="A4598" s="205" t="n"/>
      <c r="B4598" s="207" t="n"/>
      <c r="C4598" s="104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348" t="n"/>
      <c r="E4598" s="349">
        <f>IF(C4598="","",IFERROR(VLOOKUP(C4598,parametros!$A$11:$E$15,5,0),""))</f>
        <v/>
      </c>
      <c r="F4598" s="335">
        <f>IF(OR(D4598="",E4598=""),"",ROUND(D4598*E4598,2))</f>
        <v/>
      </c>
      <c r="G4598" s="106" t="n"/>
      <c r="H4598" s="350">
        <f>IF(G4598="Sim",IF(OR(F4598="",D4598="",L4598=""),"",IF(L4598="Sim",ROUND(F4598-D4598,2),0)),0)</f>
        <v/>
      </c>
      <c r="I4598" s="350">
        <f>IF(G4598="Sim",0,IF(OR(F4598="",L4598=""),"",F4598))</f>
        <v/>
      </c>
      <c r="J4598" s="350">
        <f>IF(G4598="Sim",0,IF(OR(F4598="",D4598="",L4598=""),"",IF(L4598="Sim",ROUND(F4598-D4598,2),0)))</f>
        <v/>
      </c>
      <c r="K4598" s="97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inlineStr">
        <is>
          <t>Nao</t>
        </is>
      </c>
      <c r="W4598" s="110" t="inlineStr">
        <is>
          <t>PC em analise</t>
        </is>
      </c>
      <c r="X4598" s="110" t="inlineStr">
        <is>
          <t>Pedido de Compra</t>
        </is>
      </c>
      <c r="Y4598" s="111" t="inlineStr">
        <is>
          <t>Impacto Potencial</t>
        </is>
      </c>
      <c r="Z4598" s="111" t="inlineStr">
        <is>
          <t>PC</t>
        </is>
      </c>
      <c r="AA4598" s="111" t="inlineStr">
        <is>
          <t>Nao</t>
        </is>
      </c>
      <c r="AB4598" s="111" t="inlineStr">
        <is>
          <t>NAO_COMPUTADO</t>
        </is>
      </c>
      <c r="AC4598" s="112" t="inlineStr">
        <is>
          <t>Estrutura Fase 1: sem impacto no VTA oficial</t>
        </is>
      </c>
    </row>
    <row r="4599" ht="25.5" customHeight="1" s="289">
      <c r="A4599" s="205" t="n"/>
      <c r="B4599" s="207" t="n"/>
      <c r="C4599" s="104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348" t="n"/>
      <c r="E4599" s="349">
        <f>IF(C4599="","",IFERROR(VLOOKUP(C4599,parametros!$A$11:$E$15,5,0),""))</f>
        <v/>
      </c>
      <c r="F4599" s="335">
        <f>IF(OR(D4599="",E4599=""),"",ROUND(D4599*E4599,2))</f>
        <v/>
      </c>
      <c r="G4599" s="106" t="n"/>
      <c r="H4599" s="350">
        <f>IF(G4599="Sim",IF(OR(F4599="",D4599="",L4599=""),"",IF(L4599="Sim",ROUND(F4599-D4599,2),0)),0)</f>
        <v/>
      </c>
      <c r="I4599" s="350">
        <f>IF(G4599="Sim",0,IF(OR(F4599="",L4599=""),"",F4599))</f>
        <v/>
      </c>
      <c r="J4599" s="350">
        <f>IF(G4599="Sim",0,IF(OR(F4599="",D4599="",L4599=""),"",IF(L4599="Sim",ROUND(F4599-D4599,2),0)))</f>
        <v/>
      </c>
      <c r="K4599" s="97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inlineStr">
        <is>
          <t>Nao</t>
        </is>
      </c>
      <c r="W4599" s="110" t="inlineStr">
        <is>
          <t>PC em analise</t>
        </is>
      </c>
      <c r="X4599" s="110" t="inlineStr">
        <is>
          <t>Pedido de Compra</t>
        </is>
      </c>
      <c r="Y4599" s="111" t="inlineStr">
        <is>
          <t>Impacto Potencial</t>
        </is>
      </c>
      <c r="Z4599" s="111" t="inlineStr">
        <is>
          <t>PC</t>
        </is>
      </c>
      <c r="AA4599" s="111" t="inlineStr">
        <is>
          <t>Nao</t>
        </is>
      </c>
      <c r="AB4599" s="111" t="inlineStr">
        <is>
          <t>NAO_COMPUTADO</t>
        </is>
      </c>
      <c r="AC4599" s="112" t="inlineStr">
        <is>
          <t>Estrutura Fase 1: sem impacto no VTA oficial</t>
        </is>
      </c>
    </row>
    <row r="4600" ht="25.5" customHeight="1" s="289">
      <c r="A4600" s="205" t="n"/>
      <c r="B4600" s="207" t="n"/>
      <c r="C4600" s="104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348" t="n"/>
      <c r="E4600" s="349">
        <f>IF(C4600="","",IFERROR(VLOOKUP(C4600,parametros!$A$11:$E$15,5,0),""))</f>
        <v/>
      </c>
      <c r="F4600" s="335">
        <f>IF(OR(D4600="",E4600=""),"",ROUND(D4600*E4600,2))</f>
        <v/>
      </c>
      <c r="G4600" s="106" t="n"/>
      <c r="H4600" s="350">
        <f>IF(G4600="Sim",IF(OR(F4600="",D4600="",L4600=""),"",IF(L4600="Sim",ROUND(F4600-D4600,2),0)),0)</f>
        <v/>
      </c>
      <c r="I4600" s="350">
        <f>IF(G4600="Sim",0,IF(OR(F4600="",L4600=""),"",F4600))</f>
        <v/>
      </c>
      <c r="J4600" s="350">
        <f>IF(G4600="Sim",0,IF(OR(F4600="",D4600="",L4600=""),"",IF(L4600="Sim",ROUND(F4600-D4600,2),0)))</f>
        <v/>
      </c>
      <c r="K4600" s="97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inlineStr">
        <is>
          <t>Nao</t>
        </is>
      </c>
      <c r="W4600" s="110" t="inlineStr">
        <is>
          <t>PC em analise</t>
        </is>
      </c>
      <c r="X4600" s="110" t="inlineStr">
        <is>
          <t>Pedido de Compra</t>
        </is>
      </c>
      <c r="Y4600" s="111" t="inlineStr">
        <is>
          <t>Impacto Potencial</t>
        </is>
      </c>
      <c r="Z4600" s="111" t="inlineStr">
        <is>
          <t>PC</t>
        </is>
      </c>
      <c r="AA4600" s="111" t="inlineStr">
        <is>
          <t>Nao</t>
        </is>
      </c>
      <c r="AB4600" s="111" t="inlineStr">
        <is>
          <t>NAO_COMPUTADO</t>
        </is>
      </c>
      <c r="AC4600" s="112" t="inlineStr">
        <is>
          <t>Estrutura Fase 1: sem impacto no VTA oficial</t>
        </is>
      </c>
    </row>
    <row r="4601" ht="25.5" customHeight="1" s="289">
      <c r="A4601" s="205" t="n"/>
      <c r="B4601" s="207" t="n"/>
      <c r="C4601" s="104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348" t="n"/>
      <c r="E4601" s="349">
        <f>IF(C4601="","",IFERROR(VLOOKUP(C4601,parametros!$A$11:$E$15,5,0),""))</f>
        <v/>
      </c>
      <c r="F4601" s="335">
        <f>IF(OR(D4601="",E4601=""),"",ROUND(D4601*E4601,2))</f>
        <v/>
      </c>
      <c r="G4601" s="106" t="n"/>
      <c r="H4601" s="350">
        <f>IF(G4601="Sim",IF(OR(F4601="",D4601="",L4601=""),"",IF(L4601="Sim",ROUND(F4601-D4601,2),0)),0)</f>
        <v/>
      </c>
      <c r="I4601" s="350">
        <f>IF(G4601="Sim",0,IF(OR(F4601="",L4601=""),"",F4601))</f>
        <v/>
      </c>
      <c r="J4601" s="350">
        <f>IF(G4601="Sim",0,IF(OR(F4601="",D4601="",L4601=""),"",IF(L4601="Sim",ROUND(F4601-D4601,2),0)))</f>
        <v/>
      </c>
      <c r="K4601" s="97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inlineStr">
        <is>
          <t>Nao</t>
        </is>
      </c>
      <c r="W4601" s="110" t="inlineStr">
        <is>
          <t>PC em analise</t>
        </is>
      </c>
      <c r="X4601" s="110" t="inlineStr">
        <is>
          <t>Pedido de Compra</t>
        </is>
      </c>
      <c r="Y4601" s="111" t="inlineStr">
        <is>
          <t>Impacto Potencial</t>
        </is>
      </c>
      <c r="Z4601" s="111" t="inlineStr">
        <is>
          <t>PC</t>
        </is>
      </c>
      <c r="AA4601" s="111" t="inlineStr">
        <is>
          <t>Nao</t>
        </is>
      </c>
      <c r="AB4601" s="111" t="inlineStr">
        <is>
          <t>NAO_COMPUTADO</t>
        </is>
      </c>
      <c r="AC4601" s="112" t="inlineStr">
        <is>
          <t>Estrutura Fase 1: sem impacto no VTA oficial</t>
        </is>
      </c>
    </row>
    <row r="4602" ht="25.5" customHeight="1" s="289">
      <c r="A4602" s="205" t="n"/>
      <c r="B4602" s="207" t="n"/>
      <c r="C4602" s="104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348" t="n"/>
      <c r="E4602" s="349">
        <f>IF(C4602="","",IFERROR(VLOOKUP(C4602,parametros!$A$11:$E$15,5,0),""))</f>
        <v/>
      </c>
      <c r="F4602" s="335">
        <f>IF(OR(D4602="",E4602=""),"",ROUND(D4602*E4602,2))</f>
        <v/>
      </c>
      <c r="G4602" s="106" t="n"/>
      <c r="H4602" s="350">
        <f>IF(G4602="Sim",IF(OR(F4602="",D4602="",L4602=""),"",IF(L4602="Sim",ROUND(F4602-D4602,2),0)),0)</f>
        <v/>
      </c>
      <c r="I4602" s="350">
        <f>IF(G4602="Sim",0,IF(OR(F4602="",L4602=""),"",F4602))</f>
        <v/>
      </c>
      <c r="J4602" s="350">
        <f>IF(G4602="Sim",0,IF(OR(F4602="",D4602="",L4602=""),"",IF(L4602="Sim",ROUND(F4602-D4602,2),0)))</f>
        <v/>
      </c>
      <c r="K4602" s="97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inlineStr">
        <is>
          <t>Nao</t>
        </is>
      </c>
      <c r="W4602" s="110" t="inlineStr">
        <is>
          <t>PC em analise</t>
        </is>
      </c>
      <c r="X4602" s="110" t="inlineStr">
        <is>
          <t>Pedido de Compra</t>
        </is>
      </c>
      <c r="Y4602" s="111" t="inlineStr">
        <is>
          <t>Impacto Potencial</t>
        </is>
      </c>
      <c r="Z4602" s="111" t="inlineStr">
        <is>
          <t>PC</t>
        </is>
      </c>
      <c r="AA4602" s="111" t="inlineStr">
        <is>
          <t>Nao</t>
        </is>
      </c>
      <c r="AB4602" s="111" t="inlineStr">
        <is>
          <t>NAO_COMPUTADO</t>
        </is>
      </c>
      <c r="AC4602" s="112" t="inlineStr">
        <is>
          <t>Estrutura Fase 1: sem impacto no VTA oficial</t>
        </is>
      </c>
    </row>
    <row r="4603" ht="25.5" customHeight="1" s="289">
      <c r="A4603" s="205" t="n"/>
      <c r="B4603" s="207" t="n"/>
      <c r="C4603" s="104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348" t="n"/>
      <c r="E4603" s="349">
        <f>IF(C4603="","",IFERROR(VLOOKUP(C4603,parametros!$A$11:$E$15,5,0),""))</f>
        <v/>
      </c>
      <c r="F4603" s="335">
        <f>IF(OR(D4603="",E4603=""),"",ROUND(D4603*E4603,2))</f>
        <v/>
      </c>
      <c r="G4603" s="106" t="n"/>
      <c r="H4603" s="350">
        <f>IF(G4603="Sim",IF(OR(F4603="",D4603="",L4603=""),"",IF(L4603="Sim",ROUND(F4603-D4603,2),0)),0)</f>
        <v/>
      </c>
      <c r="I4603" s="350">
        <f>IF(G4603="Sim",0,IF(OR(F4603="",L4603=""),"",F4603))</f>
        <v/>
      </c>
      <c r="J4603" s="350">
        <f>IF(G4603="Sim",0,IF(OR(F4603="",D4603="",L4603=""),"",IF(L4603="Sim",ROUND(F4603-D4603,2),0)))</f>
        <v/>
      </c>
      <c r="K4603" s="97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inlineStr">
        <is>
          <t>Nao</t>
        </is>
      </c>
      <c r="W4603" s="110" t="inlineStr">
        <is>
          <t>PC em analise</t>
        </is>
      </c>
      <c r="X4603" s="110" t="inlineStr">
        <is>
          <t>Pedido de Compra</t>
        </is>
      </c>
      <c r="Y4603" s="111" t="inlineStr">
        <is>
          <t>Impacto Potencial</t>
        </is>
      </c>
      <c r="Z4603" s="111" t="inlineStr">
        <is>
          <t>PC</t>
        </is>
      </c>
      <c r="AA4603" s="111" t="inlineStr">
        <is>
          <t>Nao</t>
        </is>
      </c>
      <c r="AB4603" s="111" t="inlineStr">
        <is>
          <t>NAO_COMPUTADO</t>
        </is>
      </c>
      <c r="AC4603" s="112" t="inlineStr">
        <is>
          <t>Estrutura Fase 1: sem impacto no VTA oficial</t>
        </is>
      </c>
    </row>
    <row r="4604" ht="25.5" customHeight="1" s="289">
      <c r="A4604" s="205" t="n"/>
      <c r="B4604" s="207" t="n"/>
      <c r="C4604" s="104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348" t="n"/>
      <c r="E4604" s="349">
        <f>IF(C4604="","",IFERROR(VLOOKUP(C4604,parametros!$A$11:$E$15,5,0),""))</f>
        <v/>
      </c>
      <c r="F4604" s="335">
        <f>IF(OR(D4604="",E4604=""),"",ROUND(D4604*E4604,2))</f>
        <v/>
      </c>
      <c r="G4604" s="106" t="n"/>
      <c r="H4604" s="350">
        <f>IF(G4604="Sim",IF(OR(F4604="",D4604="",L4604=""),"",IF(L4604="Sim",ROUND(F4604-D4604,2),0)),0)</f>
        <v/>
      </c>
      <c r="I4604" s="350">
        <f>IF(G4604="Sim",0,IF(OR(F4604="",L4604=""),"",F4604))</f>
        <v/>
      </c>
      <c r="J4604" s="350">
        <f>IF(G4604="Sim",0,IF(OR(F4604="",D4604="",L4604=""),"",IF(L4604="Sim",ROUND(F4604-D4604,2),0)))</f>
        <v/>
      </c>
      <c r="K4604" s="97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inlineStr">
        <is>
          <t>Nao</t>
        </is>
      </c>
      <c r="W4604" s="110" t="inlineStr">
        <is>
          <t>PC em analise</t>
        </is>
      </c>
      <c r="X4604" s="110" t="inlineStr">
        <is>
          <t>Pedido de Compra</t>
        </is>
      </c>
      <c r="Y4604" s="111" t="inlineStr">
        <is>
          <t>Impacto Potencial</t>
        </is>
      </c>
      <c r="Z4604" s="111" t="inlineStr">
        <is>
          <t>PC</t>
        </is>
      </c>
      <c r="AA4604" s="111" t="inlineStr">
        <is>
          <t>Nao</t>
        </is>
      </c>
      <c r="AB4604" s="111" t="inlineStr">
        <is>
          <t>NAO_COMPUTADO</t>
        </is>
      </c>
      <c r="AC4604" s="112" t="inlineStr">
        <is>
          <t>Estrutura Fase 1: sem impacto no VTA oficial</t>
        </is>
      </c>
    </row>
    <row r="4605" ht="25.5" customHeight="1" s="289">
      <c r="A4605" s="205" t="n"/>
      <c r="B4605" s="207" t="n"/>
      <c r="C4605" s="104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348" t="n"/>
      <c r="E4605" s="349">
        <f>IF(C4605="","",IFERROR(VLOOKUP(C4605,parametros!$A$11:$E$15,5,0),""))</f>
        <v/>
      </c>
      <c r="F4605" s="335">
        <f>IF(OR(D4605="",E4605=""),"",ROUND(D4605*E4605,2))</f>
        <v/>
      </c>
      <c r="G4605" s="106" t="n"/>
      <c r="H4605" s="350">
        <f>IF(G4605="Sim",IF(OR(F4605="",D4605="",L4605=""),"",IF(L4605="Sim",ROUND(F4605-D4605,2),0)),0)</f>
        <v/>
      </c>
      <c r="I4605" s="350">
        <f>IF(G4605="Sim",0,IF(OR(F4605="",L4605=""),"",F4605))</f>
        <v/>
      </c>
      <c r="J4605" s="350">
        <f>IF(G4605="Sim",0,IF(OR(F4605="",D4605="",L4605=""),"",IF(L4605="Sim",ROUND(F4605-D4605,2),0)))</f>
        <v/>
      </c>
      <c r="K4605" s="97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inlineStr">
        <is>
          <t>Nao</t>
        </is>
      </c>
      <c r="W4605" s="110" t="inlineStr">
        <is>
          <t>PC em analise</t>
        </is>
      </c>
      <c r="X4605" s="110" t="inlineStr">
        <is>
          <t>Pedido de Compra</t>
        </is>
      </c>
      <c r="Y4605" s="111" t="inlineStr">
        <is>
          <t>Impacto Potencial</t>
        </is>
      </c>
      <c r="Z4605" s="111" t="inlineStr">
        <is>
          <t>PC</t>
        </is>
      </c>
      <c r="AA4605" s="111" t="inlineStr">
        <is>
          <t>Nao</t>
        </is>
      </c>
      <c r="AB4605" s="111" t="inlineStr">
        <is>
          <t>NAO_COMPUTADO</t>
        </is>
      </c>
      <c r="AC4605" s="112" t="inlineStr">
        <is>
          <t>Estrutura Fase 1: sem impacto no VTA oficial</t>
        </is>
      </c>
    </row>
    <row r="4606" ht="25.5" customHeight="1" s="289">
      <c r="A4606" s="205" t="n"/>
      <c r="B4606" s="207" t="n"/>
      <c r="C4606" s="104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348" t="n"/>
      <c r="E4606" s="349">
        <f>IF(C4606="","",IFERROR(VLOOKUP(C4606,parametros!$A$11:$E$15,5,0),""))</f>
        <v/>
      </c>
      <c r="F4606" s="335">
        <f>IF(OR(D4606="",E4606=""),"",ROUND(D4606*E4606,2))</f>
        <v/>
      </c>
      <c r="G4606" s="106" t="n"/>
      <c r="H4606" s="350">
        <f>IF(G4606="Sim",IF(OR(F4606="",D4606="",L4606=""),"",IF(L4606="Sim",ROUND(F4606-D4606,2),0)),0)</f>
        <v/>
      </c>
      <c r="I4606" s="350">
        <f>IF(G4606="Sim",0,IF(OR(F4606="",L4606=""),"",F4606))</f>
        <v/>
      </c>
      <c r="J4606" s="350">
        <f>IF(G4606="Sim",0,IF(OR(F4606="",D4606="",L4606=""),"",IF(L4606="Sim",ROUND(F4606-D4606,2),0)))</f>
        <v/>
      </c>
      <c r="K4606" s="97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inlineStr">
        <is>
          <t>Nao</t>
        </is>
      </c>
      <c r="W4606" s="110" t="inlineStr">
        <is>
          <t>PC em analise</t>
        </is>
      </c>
      <c r="X4606" s="110" t="inlineStr">
        <is>
          <t>Pedido de Compra</t>
        </is>
      </c>
      <c r="Y4606" s="111" t="inlineStr">
        <is>
          <t>Impacto Potencial</t>
        </is>
      </c>
      <c r="Z4606" s="111" t="inlineStr">
        <is>
          <t>PC</t>
        </is>
      </c>
      <c r="AA4606" s="111" t="inlineStr">
        <is>
          <t>Nao</t>
        </is>
      </c>
      <c r="AB4606" s="111" t="inlineStr">
        <is>
          <t>NAO_COMPUTADO</t>
        </is>
      </c>
      <c r="AC4606" s="112" t="inlineStr">
        <is>
          <t>Estrutura Fase 1: sem impacto no VTA oficial</t>
        </is>
      </c>
    </row>
    <row r="4607" ht="25.5" customHeight="1" s="289">
      <c r="A4607" s="205" t="n"/>
      <c r="B4607" s="207" t="n"/>
      <c r="C4607" s="104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348" t="n"/>
      <c r="E4607" s="349">
        <f>IF(C4607="","",IFERROR(VLOOKUP(C4607,parametros!$A$11:$E$15,5,0),""))</f>
        <v/>
      </c>
      <c r="F4607" s="335">
        <f>IF(OR(D4607="",E4607=""),"",ROUND(D4607*E4607,2))</f>
        <v/>
      </c>
      <c r="G4607" s="106" t="n"/>
      <c r="H4607" s="350">
        <f>IF(G4607="Sim",IF(OR(F4607="",D4607="",L4607=""),"",IF(L4607="Sim",ROUND(F4607-D4607,2),0)),0)</f>
        <v/>
      </c>
      <c r="I4607" s="350">
        <f>IF(G4607="Sim",0,IF(OR(F4607="",L4607=""),"",F4607))</f>
        <v/>
      </c>
      <c r="J4607" s="350">
        <f>IF(G4607="Sim",0,IF(OR(F4607="",D4607="",L4607=""),"",IF(L4607="Sim",ROUND(F4607-D4607,2),0)))</f>
        <v/>
      </c>
      <c r="K4607" s="97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inlineStr">
        <is>
          <t>Nao</t>
        </is>
      </c>
      <c r="W4607" s="110" t="inlineStr">
        <is>
          <t>PC em analise</t>
        </is>
      </c>
      <c r="X4607" s="110" t="inlineStr">
        <is>
          <t>Pedido de Compra</t>
        </is>
      </c>
      <c r="Y4607" s="111" t="inlineStr">
        <is>
          <t>Impacto Potencial</t>
        </is>
      </c>
      <c r="Z4607" s="111" t="inlineStr">
        <is>
          <t>PC</t>
        </is>
      </c>
      <c r="AA4607" s="111" t="inlineStr">
        <is>
          <t>Nao</t>
        </is>
      </c>
      <c r="AB4607" s="111" t="inlineStr">
        <is>
          <t>NAO_COMPUTADO</t>
        </is>
      </c>
      <c r="AC4607" s="112" t="inlineStr">
        <is>
          <t>Estrutura Fase 1: sem impacto no VTA oficial</t>
        </is>
      </c>
    </row>
    <row r="4608" ht="25.5" customHeight="1" s="289">
      <c r="A4608" s="205" t="n"/>
      <c r="B4608" s="207" t="n"/>
      <c r="C4608" s="104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348" t="n"/>
      <c r="E4608" s="349">
        <f>IF(C4608="","",IFERROR(VLOOKUP(C4608,parametros!$A$11:$E$15,5,0),""))</f>
        <v/>
      </c>
      <c r="F4608" s="335">
        <f>IF(OR(D4608="",E4608=""),"",ROUND(D4608*E4608,2))</f>
        <v/>
      </c>
      <c r="G4608" s="106" t="n"/>
      <c r="H4608" s="350">
        <f>IF(G4608="Sim",IF(OR(F4608="",D4608="",L4608=""),"",IF(L4608="Sim",ROUND(F4608-D4608,2),0)),0)</f>
        <v/>
      </c>
      <c r="I4608" s="350">
        <f>IF(G4608="Sim",0,IF(OR(F4608="",L4608=""),"",F4608))</f>
        <v/>
      </c>
      <c r="J4608" s="350">
        <f>IF(G4608="Sim",0,IF(OR(F4608="",D4608="",L4608=""),"",IF(L4608="Sim",ROUND(F4608-D4608,2),0)))</f>
        <v/>
      </c>
      <c r="K4608" s="97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inlineStr">
        <is>
          <t>Nao</t>
        </is>
      </c>
      <c r="W4608" s="110" t="inlineStr">
        <is>
          <t>PC em analise</t>
        </is>
      </c>
      <c r="X4608" s="110" t="inlineStr">
        <is>
          <t>Pedido de Compra</t>
        </is>
      </c>
      <c r="Y4608" s="111" t="inlineStr">
        <is>
          <t>Impacto Potencial</t>
        </is>
      </c>
      <c r="Z4608" s="111" t="inlineStr">
        <is>
          <t>PC</t>
        </is>
      </c>
      <c r="AA4608" s="111" t="inlineStr">
        <is>
          <t>Nao</t>
        </is>
      </c>
      <c r="AB4608" s="111" t="inlineStr">
        <is>
          <t>NAO_COMPUTADO</t>
        </is>
      </c>
      <c r="AC4608" s="112" t="inlineStr">
        <is>
          <t>Estrutura Fase 1: sem impacto no VTA oficial</t>
        </is>
      </c>
    </row>
    <row r="4609" ht="25.5" customHeight="1" s="289">
      <c r="A4609" s="205" t="n"/>
      <c r="B4609" s="207" t="n"/>
      <c r="C4609" s="104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348" t="n"/>
      <c r="E4609" s="349">
        <f>IF(C4609="","",IFERROR(VLOOKUP(C4609,parametros!$A$11:$E$15,5,0),""))</f>
        <v/>
      </c>
      <c r="F4609" s="335">
        <f>IF(OR(D4609="",E4609=""),"",ROUND(D4609*E4609,2))</f>
        <v/>
      </c>
      <c r="G4609" s="106" t="n"/>
      <c r="H4609" s="350">
        <f>IF(G4609="Sim",IF(OR(F4609="",D4609="",L4609=""),"",IF(L4609="Sim",ROUND(F4609-D4609,2),0)),0)</f>
        <v/>
      </c>
      <c r="I4609" s="350">
        <f>IF(G4609="Sim",0,IF(OR(F4609="",L4609=""),"",F4609))</f>
        <v/>
      </c>
      <c r="J4609" s="350">
        <f>IF(G4609="Sim",0,IF(OR(F4609="",D4609="",L4609=""),"",IF(L4609="Sim",ROUND(F4609-D4609,2),0)))</f>
        <v/>
      </c>
      <c r="K4609" s="97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inlineStr">
        <is>
          <t>Nao</t>
        </is>
      </c>
      <c r="W4609" s="110" t="inlineStr">
        <is>
          <t>PC em analise</t>
        </is>
      </c>
      <c r="X4609" s="110" t="inlineStr">
        <is>
          <t>Pedido de Compra</t>
        </is>
      </c>
      <c r="Y4609" s="111" t="inlineStr">
        <is>
          <t>Impacto Potencial</t>
        </is>
      </c>
      <c r="Z4609" s="111" t="inlineStr">
        <is>
          <t>PC</t>
        </is>
      </c>
      <c r="AA4609" s="111" t="inlineStr">
        <is>
          <t>Nao</t>
        </is>
      </c>
      <c r="AB4609" s="111" t="inlineStr">
        <is>
          <t>NAO_COMPUTADO</t>
        </is>
      </c>
      <c r="AC4609" s="112" t="inlineStr">
        <is>
          <t>Estrutura Fase 1: sem impacto no VTA oficial</t>
        </is>
      </c>
    </row>
    <row r="4610" ht="25.5" customHeight="1" s="289">
      <c r="A4610" s="205" t="n"/>
      <c r="B4610" s="207" t="n"/>
      <c r="C4610" s="104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348" t="n"/>
      <c r="E4610" s="349">
        <f>IF(C4610="","",IFERROR(VLOOKUP(C4610,parametros!$A$11:$E$15,5,0),""))</f>
        <v/>
      </c>
      <c r="F4610" s="335">
        <f>IF(OR(D4610="",E4610=""),"",ROUND(D4610*E4610,2))</f>
        <v/>
      </c>
      <c r="G4610" s="106" t="n"/>
      <c r="H4610" s="350">
        <f>IF(G4610="Sim",IF(OR(F4610="",D4610="",L4610=""),"",IF(L4610="Sim",ROUND(F4610-D4610,2),0)),0)</f>
        <v/>
      </c>
      <c r="I4610" s="350">
        <f>IF(G4610="Sim",0,IF(OR(F4610="",L4610=""),"",F4610))</f>
        <v/>
      </c>
      <c r="J4610" s="350">
        <f>IF(G4610="Sim",0,IF(OR(F4610="",D4610="",L4610=""),"",IF(L4610="Sim",ROUND(F4610-D4610,2),0)))</f>
        <v/>
      </c>
      <c r="K4610" s="97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inlineStr">
        <is>
          <t>Nao</t>
        </is>
      </c>
      <c r="W4610" s="110" t="inlineStr">
        <is>
          <t>PC em analise</t>
        </is>
      </c>
      <c r="X4610" s="110" t="inlineStr">
        <is>
          <t>Pedido de Compra</t>
        </is>
      </c>
      <c r="Y4610" s="111" t="inlineStr">
        <is>
          <t>Impacto Potencial</t>
        </is>
      </c>
      <c r="Z4610" s="111" t="inlineStr">
        <is>
          <t>PC</t>
        </is>
      </c>
      <c r="AA4610" s="111" t="inlineStr">
        <is>
          <t>Nao</t>
        </is>
      </c>
      <c r="AB4610" s="111" t="inlineStr">
        <is>
          <t>NAO_COMPUTADO</t>
        </is>
      </c>
      <c r="AC4610" s="112" t="inlineStr">
        <is>
          <t>Estrutura Fase 1: sem impacto no VTA oficial</t>
        </is>
      </c>
    </row>
    <row r="4611" ht="25.5" customHeight="1" s="289">
      <c r="A4611" s="205" t="n"/>
      <c r="B4611" s="207" t="n"/>
      <c r="C4611" s="104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348" t="n"/>
      <c r="E4611" s="349">
        <f>IF(C4611="","",IFERROR(VLOOKUP(C4611,parametros!$A$11:$E$15,5,0),""))</f>
        <v/>
      </c>
      <c r="F4611" s="335">
        <f>IF(OR(D4611="",E4611=""),"",ROUND(D4611*E4611,2))</f>
        <v/>
      </c>
      <c r="G4611" s="106" t="n"/>
      <c r="H4611" s="350">
        <f>IF(G4611="Sim",IF(OR(F4611="",D4611="",L4611=""),"",IF(L4611="Sim",ROUND(F4611-D4611,2),0)),0)</f>
        <v/>
      </c>
      <c r="I4611" s="350">
        <f>IF(G4611="Sim",0,IF(OR(F4611="",L4611=""),"",F4611))</f>
        <v/>
      </c>
      <c r="J4611" s="350">
        <f>IF(G4611="Sim",0,IF(OR(F4611="",D4611="",L4611=""),"",IF(L4611="Sim",ROUND(F4611-D4611,2),0)))</f>
        <v/>
      </c>
      <c r="K4611" s="97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inlineStr">
        <is>
          <t>Nao</t>
        </is>
      </c>
      <c r="W4611" s="110" t="inlineStr">
        <is>
          <t>PC em analise</t>
        </is>
      </c>
      <c r="X4611" s="110" t="inlineStr">
        <is>
          <t>Pedido de Compra</t>
        </is>
      </c>
      <c r="Y4611" s="111" t="inlineStr">
        <is>
          <t>Impacto Potencial</t>
        </is>
      </c>
      <c r="Z4611" s="111" t="inlineStr">
        <is>
          <t>PC</t>
        </is>
      </c>
      <c r="AA4611" s="111" t="inlineStr">
        <is>
          <t>Nao</t>
        </is>
      </c>
      <c r="AB4611" s="111" t="inlineStr">
        <is>
          <t>NAO_COMPUTADO</t>
        </is>
      </c>
      <c r="AC4611" s="112" t="inlineStr">
        <is>
          <t>Estrutura Fase 1: sem impacto no VTA oficial</t>
        </is>
      </c>
    </row>
    <row r="4612" ht="25.5" customHeight="1" s="289">
      <c r="A4612" s="205" t="n"/>
      <c r="B4612" s="207" t="n"/>
      <c r="C4612" s="104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348" t="n"/>
      <c r="E4612" s="349">
        <f>IF(C4612="","",IFERROR(VLOOKUP(C4612,parametros!$A$11:$E$15,5,0),""))</f>
        <v/>
      </c>
      <c r="F4612" s="335">
        <f>IF(OR(D4612="",E4612=""),"",ROUND(D4612*E4612,2))</f>
        <v/>
      </c>
      <c r="G4612" s="106" t="n"/>
      <c r="H4612" s="350">
        <f>IF(G4612="Sim",IF(OR(F4612="",D4612="",L4612=""),"",IF(L4612="Sim",ROUND(F4612-D4612,2),0)),0)</f>
        <v/>
      </c>
      <c r="I4612" s="350">
        <f>IF(G4612="Sim",0,IF(OR(F4612="",L4612=""),"",F4612))</f>
        <v/>
      </c>
      <c r="J4612" s="350">
        <f>IF(G4612="Sim",0,IF(OR(F4612="",D4612="",L4612=""),"",IF(L4612="Sim",ROUND(F4612-D4612,2),0)))</f>
        <v/>
      </c>
      <c r="K4612" s="97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inlineStr">
        <is>
          <t>Nao</t>
        </is>
      </c>
      <c r="W4612" s="110" t="inlineStr">
        <is>
          <t>PC em analise</t>
        </is>
      </c>
      <c r="X4612" s="110" t="inlineStr">
        <is>
          <t>Pedido de Compra</t>
        </is>
      </c>
      <c r="Y4612" s="111" t="inlineStr">
        <is>
          <t>Impacto Potencial</t>
        </is>
      </c>
      <c r="Z4612" s="111" t="inlineStr">
        <is>
          <t>PC</t>
        </is>
      </c>
      <c r="AA4612" s="111" t="inlineStr">
        <is>
          <t>Nao</t>
        </is>
      </c>
      <c r="AB4612" s="111" t="inlineStr">
        <is>
          <t>NAO_COMPUTADO</t>
        </is>
      </c>
      <c r="AC4612" s="112" t="inlineStr">
        <is>
          <t>Estrutura Fase 1: sem impacto no VTA oficial</t>
        </is>
      </c>
    </row>
    <row r="4613" ht="25.5" customHeight="1" s="289">
      <c r="A4613" s="205" t="n"/>
      <c r="B4613" s="207" t="n"/>
      <c r="C4613" s="104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348" t="n"/>
      <c r="E4613" s="349">
        <f>IF(C4613="","",IFERROR(VLOOKUP(C4613,parametros!$A$11:$E$15,5,0),""))</f>
        <v/>
      </c>
      <c r="F4613" s="335">
        <f>IF(OR(D4613="",E4613=""),"",ROUND(D4613*E4613,2))</f>
        <v/>
      </c>
      <c r="G4613" s="106" t="n"/>
      <c r="H4613" s="350">
        <f>IF(G4613="Sim",IF(OR(F4613="",D4613="",L4613=""),"",IF(L4613="Sim",ROUND(F4613-D4613,2),0)),0)</f>
        <v/>
      </c>
      <c r="I4613" s="350">
        <f>IF(G4613="Sim",0,IF(OR(F4613="",L4613=""),"",F4613))</f>
        <v/>
      </c>
      <c r="J4613" s="350">
        <f>IF(G4613="Sim",0,IF(OR(F4613="",D4613="",L4613=""),"",IF(L4613="Sim",ROUND(F4613-D4613,2),0)))</f>
        <v/>
      </c>
      <c r="K4613" s="97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inlineStr">
        <is>
          <t>Nao</t>
        </is>
      </c>
      <c r="W4613" s="110" t="inlineStr">
        <is>
          <t>PC em analise</t>
        </is>
      </c>
      <c r="X4613" s="110" t="inlineStr">
        <is>
          <t>Pedido de Compra</t>
        </is>
      </c>
      <c r="Y4613" s="111" t="inlineStr">
        <is>
          <t>Impacto Potencial</t>
        </is>
      </c>
      <c r="Z4613" s="111" t="inlineStr">
        <is>
          <t>PC</t>
        </is>
      </c>
      <c r="AA4613" s="111" t="inlineStr">
        <is>
          <t>Nao</t>
        </is>
      </c>
      <c r="AB4613" s="111" t="inlineStr">
        <is>
          <t>NAO_COMPUTADO</t>
        </is>
      </c>
      <c r="AC4613" s="112" t="inlineStr">
        <is>
          <t>Estrutura Fase 1: sem impacto no VTA oficial</t>
        </is>
      </c>
    </row>
    <row r="4614" ht="25.5" customHeight="1" s="289">
      <c r="A4614" s="205" t="n"/>
      <c r="B4614" s="207" t="n"/>
      <c r="C4614" s="104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348" t="n"/>
      <c r="E4614" s="349">
        <f>IF(C4614="","",IFERROR(VLOOKUP(C4614,parametros!$A$11:$E$15,5,0),""))</f>
        <v/>
      </c>
      <c r="F4614" s="335">
        <f>IF(OR(D4614="",E4614=""),"",ROUND(D4614*E4614,2))</f>
        <v/>
      </c>
      <c r="G4614" s="106" t="n"/>
      <c r="H4614" s="350">
        <f>IF(G4614="Sim",IF(OR(F4614="",D4614="",L4614=""),"",IF(L4614="Sim",ROUND(F4614-D4614,2),0)),0)</f>
        <v/>
      </c>
      <c r="I4614" s="350">
        <f>IF(G4614="Sim",0,IF(OR(F4614="",L4614=""),"",F4614))</f>
        <v/>
      </c>
      <c r="J4614" s="350">
        <f>IF(G4614="Sim",0,IF(OR(F4614="",D4614="",L4614=""),"",IF(L4614="Sim",ROUND(F4614-D4614,2),0)))</f>
        <v/>
      </c>
      <c r="K4614" s="97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inlineStr">
        <is>
          <t>Nao</t>
        </is>
      </c>
      <c r="W4614" s="110" t="inlineStr">
        <is>
          <t>PC em analise</t>
        </is>
      </c>
      <c r="X4614" s="110" t="inlineStr">
        <is>
          <t>Pedido de Compra</t>
        </is>
      </c>
      <c r="Y4614" s="111" t="inlineStr">
        <is>
          <t>Impacto Potencial</t>
        </is>
      </c>
      <c r="Z4614" s="111" t="inlineStr">
        <is>
          <t>PC</t>
        </is>
      </c>
      <c r="AA4614" s="111" t="inlineStr">
        <is>
          <t>Nao</t>
        </is>
      </c>
      <c r="AB4614" s="111" t="inlineStr">
        <is>
          <t>NAO_COMPUTADO</t>
        </is>
      </c>
      <c r="AC4614" s="112" t="inlineStr">
        <is>
          <t>Estrutura Fase 1: sem impacto no VTA oficial</t>
        </is>
      </c>
    </row>
    <row r="4615" ht="25.5" customHeight="1" s="289">
      <c r="A4615" s="205" t="n"/>
      <c r="B4615" s="207" t="n"/>
      <c r="C4615" s="104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348" t="n"/>
      <c r="E4615" s="349">
        <f>IF(C4615="","",IFERROR(VLOOKUP(C4615,parametros!$A$11:$E$15,5,0),""))</f>
        <v/>
      </c>
      <c r="F4615" s="335">
        <f>IF(OR(D4615="",E4615=""),"",ROUND(D4615*E4615,2))</f>
        <v/>
      </c>
      <c r="G4615" s="106" t="n"/>
      <c r="H4615" s="350">
        <f>IF(G4615="Sim",IF(OR(F4615="",D4615="",L4615=""),"",IF(L4615="Sim",ROUND(F4615-D4615,2),0)),0)</f>
        <v/>
      </c>
      <c r="I4615" s="350">
        <f>IF(G4615="Sim",0,IF(OR(F4615="",L4615=""),"",F4615))</f>
        <v/>
      </c>
      <c r="J4615" s="350">
        <f>IF(G4615="Sim",0,IF(OR(F4615="",D4615="",L4615=""),"",IF(L4615="Sim",ROUND(F4615-D4615,2),0)))</f>
        <v/>
      </c>
      <c r="K4615" s="97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inlineStr">
        <is>
          <t>Nao</t>
        </is>
      </c>
      <c r="W4615" s="110" t="inlineStr">
        <is>
          <t>PC em analise</t>
        </is>
      </c>
      <c r="X4615" s="110" t="inlineStr">
        <is>
          <t>Pedido de Compra</t>
        </is>
      </c>
      <c r="Y4615" s="111" t="inlineStr">
        <is>
          <t>Impacto Potencial</t>
        </is>
      </c>
      <c r="Z4615" s="111" t="inlineStr">
        <is>
          <t>PC</t>
        </is>
      </c>
      <c r="AA4615" s="111" t="inlineStr">
        <is>
          <t>Nao</t>
        </is>
      </c>
      <c r="AB4615" s="111" t="inlineStr">
        <is>
          <t>NAO_COMPUTADO</t>
        </is>
      </c>
      <c r="AC4615" s="112" t="inlineStr">
        <is>
          <t>Estrutura Fase 1: sem impacto no VTA oficial</t>
        </is>
      </c>
    </row>
    <row r="4616" ht="25.5" customHeight="1" s="289">
      <c r="A4616" s="205" t="n"/>
      <c r="B4616" s="207" t="n"/>
      <c r="C4616" s="104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348" t="n"/>
      <c r="E4616" s="349">
        <f>IF(C4616="","",IFERROR(VLOOKUP(C4616,parametros!$A$11:$E$15,5,0),""))</f>
        <v/>
      </c>
      <c r="F4616" s="335">
        <f>IF(OR(D4616="",E4616=""),"",ROUND(D4616*E4616,2))</f>
        <v/>
      </c>
      <c r="G4616" s="106" t="n"/>
      <c r="H4616" s="350">
        <f>IF(G4616="Sim",IF(OR(F4616="",D4616="",L4616=""),"",IF(L4616="Sim",ROUND(F4616-D4616,2),0)),0)</f>
        <v/>
      </c>
      <c r="I4616" s="350">
        <f>IF(G4616="Sim",0,IF(OR(F4616="",L4616=""),"",F4616))</f>
        <v/>
      </c>
      <c r="J4616" s="350">
        <f>IF(G4616="Sim",0,IF(OR(F4616="",D4616="",L4616=""),"",IF(L4616="Sim",ROUND(F4616-D4616,2),0)))</f>
        <v/>
      </c>
      <c r="K4616" s="97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inlineStr">
        <is>
          <t>Nao</t>
        </is>
      </c>
      <c r="W4616" s="110" t="inlineStr">
        <is>
          <t>PC em analise</t>
        </is>
      </c>
      <c r="X4616" s="110" t="inlineStr">
        <is>
          <t>Pedido de Compra</t>
        </is>
      </c>
      <c r="Y4616" s="111" t="inlineStr">
        <is>
          <t>Impacto Potencial</t>
        </is>
      </c>
      <c r="Z4616" s="111" t="inlineStr">
        <is>
          <t>PC</t>
        </is>
      </c>
      <c r="AA4616" s="111" t="inlineStr">
        <is>
          <t>Nao</t>
        </is>
      </c>
      <c r="AB4616" s="111" t="inlineStr">
        <is>
          <t>NAO_COMPUTADO</t>
        </is>
      </c>
      <c r="AC4616" s="112" t="inlineStr">
        <is>
          <t>Estrutura Fase 1: sem impacto no VTA oficial</t>
        </is>
      </c>
    </row>
    <row r="4617" ht="25.5" customHeight="1" s="289">
      <c r="A4617" s="205" t="n"/>
      <c r="B4617" s="207" t="n"/>
      <c r="C4617" s="104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348" t="n"/>
      <c r="E4617" s="349">
        <f>IF(C4617="","",IFERROR(VLOOKUP(C4617,parametros!$A$11:$E$15,5,0),""))</f>
        <v/>
      </c>
      <c r="F4617" s="335">
        <f>IF(OR(D4617="",E4617=""),"",ROUND(D4617*E4617,2))</f>
        <v/>
      </c>
      <c r="G4617" s="106" t="n"/>
      <c r="H4617" s="350">
        <f>IF(G4617="Sim",IF(OR(F4617="",D4617="",L4617=""),"",IF(L4617="Sim",ROUND(F4617-D4617,2),0)),0)</f>
        <v/>
      </c>
      <c r="I4617" s="350">
        <f>IF(G4617="Sim",0,IF(OR(F4617="",L4617=""),"",F4617))</f>
        <v/>
      </c>
      <c r="J4617" s="350">
        <f>IF(G4617="Sim",0,IF(OR(F4617="",D4617="",L4617=""),"",IF(L4617="Sim",ROUND(F4617-D4617,2),0)))</f>
        <v/>
      </c>
      <c r="K4617" s="97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inlineStr">
        <is>
          <t>Nao</t>
        </is>
      </c>
      <c r="W4617" s="110" t="inlineStr">
        <is>
          <t>PC em analise</t>
        </is>
      </c>
      <c r="X4617" s="110" t="inlineStr">
        <is>
          <t>Pedido de Compra</t>
        </is>
      </c>
      <c r="Y4617" s="111" t="inlineStr">
        <is>
          <t>Impacto Potencial</t>
        </is>
      </c>
      <c r="Z4617" s="111" t="inlineStr">
        <is>
          <t>PC</t>
        </is>
      </c>
      <c r="AA4617" s="111" t="inlineStr">
        <is>
          <t>Nao</t>
        </is>
      </c>
      <c r="AB4617" s="111" t="inlineStr">
        <is>
          <t>NAO_COMPUTADO</t>
        </is>
      </c>
      <c r="AC4617" s="112" t="inlineStr">
        <is>
          <t>Estrutura Fase 1: sem impacto no VTA oficial</t>
        </is>
      </c>
    </row>
    <row r="4618" ht="25.5" customHeight="1" s="289">
      <c r="A4618" s="205" t="n"/>
      <c r="B4618" s="207" t="n"/>
      <c r="C4618" s="104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348" t="n"/>
      <c r="E4618" s="349">
        <f>IF(C4618="","",IFERROR(VLOOKUP(C4618,parametros!$A$11:$E$15,5,0),""))</f>
        <v/>
      </c>
      <c r="F4618" s="335">
        <f>IF(OR(D4618="",E4618=""),"",ROUND(D4618*E4618,2))</f>
        <v/>
      </c>
      <c r="G4618" s="106" t="n"/>
      <c r="H4618" s="350">
        <f>IF(G4618="Sim",IF(OR(F4618="",D4618="",L4618=""),"",IF(L4618="Sim",ROUND(F4618-D4618,2),0)),0)</f>
        <v/>
      </c>
      <c r="I4618" s="350">
        <f>IF(G4618="Sim",0,IF(OR(F4618="",L4618=""),"",F4618))</f>
        <v/>
      </c>
      <c r="J4618" s="350">
        <f>IF(G4618="Sim",0,IF(OR(F4618="",D4618="",L4618=""),"",IF(L4618="Sim",ROUND(F4618-D4618,2),0)))</f>
        <v/>
      </c>
      <c r="K4618" s="97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inlineStr">
        <is>
          <t>Nao</t>
        </is>
      </c>
      <c r="W4618" s="110" t="inlineStr">
        <is>
          <t>PC em analise</t>
        </is>
      </c>
      <c r="X4618" s="110" t="inlineStr">
        <is>
          <t>Pedido de Compra</t>
        </is>
      </c>
      <c r="Y4618" s="111" t="inlineStr">
        <is>
          <t>Impacto Potencial</t>
        </is>
      </c>
      <c r="Z4618" s="111" t="inlineStr">
        <is>
          <t>PC</t>
        </is>
      </c>
      <c r="AA4618" s="111" t="inlineStr">
        <is>
          <t>Nao</t>
        </is>
      </c>
      <c r="AB4618" s="111" t="inlineStr">
        <is>
          <t>NAO_COMPUTADO</t>
        </is>
      </c>
      <c r="AC4618" s="112" t="inlineStr">
        <is>
          <t>Estrutura Fase 1: sem impacto no VTA oficial</t>
        </is>
      </c>
    </row>
    <row r="4619" ht="25.5" customHeight="1" s="289">
      <c r="A4619" s="205" t="n"/>
      <c r="B4619" s="207" t="n"/>
      <c r="C4619" s="104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348" t="n"/>
      <c r="E4619" s="349">
        <f>IF(C4619="","",IFERROR(VLOOKUP(C4619,parametros!$A$11:$E$15,5,0),""))</f>
        <v/>
      </c>
      <c r="F4619" s="335">
        <f>IF(OR(D4619="",E4619=""),"",ROUND(D4619*E4619,2))</f>
        <v/>
      </c>
      <c r="G4619" s="106" t="n"/>
      <c r="H4619" s="350">
        <f>IF(G4619="Sim",IF(OR(F4619="",D4619="",L4619=""),"",IF(L4619="Sim",ROUND(F4619-D4619,2),0)),0)</f>
        <v/>
      </c>
      <c r="I4619" s="350">
        <f>IF(G4619="Sim",0,IF(OR(F4619="",L4619=""),"",F4619))</f>
        <v/>
      </c>
      <c r="J4619" s="350">
        <f>IF(G4619="Sim",0,IF(OR(F4619="",D4619="",L4619=""),"",IF(L4619="Sim",ROUND(F4619-D4619,2),0)))</f>
        <v/>
      </c>
      <c r="K4619" s="97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inlineStr">
        <is>
          <t>Nao</t>
        </is>
      </c>
      <c r="W4619" s="110" t="inlineStr">
        <is>
          <t>PC em analise</t>
        </is>
      </c>
      <c r="X4619" s="110" t="inlineStr">
        <is>
          <t>Pedido de Compra</t>
        </is>
      </c>
      <c r="Y4619" s="111" t="inlineStr">
        <is>
          <t>Impacto Potencial</t>
        </is>
      </c>
      <c r="Z4619" s="111" t="inlineStr">
        <is>
          <t>PC</t>
        </is>
      </c>
      <c r="AA4619" s="111" t="inlineStr">
        <is>
          <t>Nao</t>
        </is>
      </c>
      <c r="AB4619" s="111" t="inlineStr">
        <is>
          <t>NAO_COMPUTADO</t>
        </is>
      </c>
      <c r="AC4619" s="112" t="inlineStr">
        <is>
          <t>Estrutura Fase 1: sem impacto no VTA oficial</t>
        </is>
      </c>
    </row>
    <row r="4620" ht="25.5" customHeight="1" s="289">
      <c r="A4620" s="205" t="n"/>
      <c r="B4620" s="207" t="n"/>
      <c r="C4620" s="104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348" t="n"/>
      <c r="E4620" s="349">
        <f>IF(C4620="","",IFERROR(VLOOKUP(C4620,parametros!$A$11:$E$15,5,0),""))</f>
        <v/>
      </c>
      <c r="F4620" s="335">
        <f>IF(OR(D4620="",E4620=""),"",ROUND(D4620*E4620,2))</f>
        <v/>
      </c>
      <c r="G4620" s="106" t="n"/>
      <c r="H4620" s="350">
        <f>IF(G4620="Sim",IF(OR(F4620="",D4620="",L4620=""),"",IF(L4620="Sim",ROUND(F4620-D4620,2),0)),0)</f>
        <v/>
      </c>
      <c r="I4620" s="350">
        <f>IF(G4620="Sim",0,IF(OR(F4620="",L4620=""),"",F4620))</f>
        <v/>
      </c>
      <c r="J4620" s="350">
        <f>IF(G4620="Sim",0,IF(OR(F4620="",D4620="",L4620=""),"",IF(L4620="Sim",ROUND(F4620-D4620,2),0)))</f>
        <v/>
      </c>
      <c r="K4620" s="97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inlineStr">
        <is>
          <t>Nao</t>
        </is>
      </c>
      <c r="W4620" s="110" t="inlineStr">
        <is>
          <t>PC em analise</t>
        </is>
      </c>
      <c r="X4620" s="110" t="inlineStr">
        <is>
          <t>Pedido de Compra</t>
        </is>
      </c>
      <c r="Y4620" s="111" t="inlineStr">
        <is>
          <t>Impacto Potencial</t>
        </is>
      </c>
      <c r="Z4620" s="111" t="inlineStr">
        <is>
          <t>PC</t>
        </is>
      </c>
      <c r="AA4620" s="111" t="inlineStr">
        <is>
          <t>Nao</t>
        </is>
      </c>
      <c r="AB4620" s="111" t="inlineStr">
        <is>
          <t>NAO_COMPUTADO</t>
        </is>
      </c>
      <c r="AC4620" s="112" t="inlineStr">
        <is>
          <t>Estrutura Fase 1: sem impacto no VTA oficial</t>
        </is>
      </c>
    </row>
    <row r="4621" ht="25.5" customHeight="1" s="289">
      <c r="A4621" s="205" t="n"/>
      <c r="B4621" s="207" t="n"/>
      <c r="C4621" s="104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348" t="n"/>
      <c r="E4621" s="349">
        <f>IF(C4621="","",IFERROR(VLOOKUP(C4621,parametros!$A$11:$E$15,5,0),""))</f>
        <v/>
      </c>
      <c r="F4621" s="335">
        <f>IF(OR(D4621="",E4621=""),"",ROUND(D4621*E4621,2))</f>
        <v/>
      </c>
      <c r="G4621" s="106" t="n"/>
      <c r="H4621" s="350">
        <f>IF(G4621="Sim",IF(OR(F4621="",D4621="",L4621=""),"",IF(L4621="Sim",ROUND(F4621-D4621,2),0)),0)</f>
        <v/>
      </c>
      <c r="I4621" s="350">
        <f>IF(G4621="Sim",0,IF(OR(F4621="",L4621=""),"",F4621))</f>
        <v/>
      </c>
      <c r="J4621" s="350">
        <f>IF(G4621="Sim",0,IF(OR(F4621="",D4621="",L4621=""),"",IF(L4621="Sim",ROUND(F4621-D4621,2),0)))</f>
        <v/>
      </c>
      <c r="K4621" s="97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inlineStr">
        <is>
          <t>Nao</t>
        </is>
      </c>
      <c r="W4621" s="110" t="inlineStr">
        <is>
          <t>PC em analise</t>
        </is>
      </c>
      <c r="X4621" s="110" t="inlineStr">
        <is>
          <t>Pedido de Compra</t>
        </is>
      </c>
      <c r="Y4621" s="111" t="inlineStr">
        <is>
          <t>Impacto Potencial</t>
        </is>
      </c>
      <c r="Z4621" s="111" t="inlineStr">
        <is>
          <t>PC</t>
        </is>
      </c>
      <c r="AA4621" s="111" t="inlineStr">
        <is>
          <t>Nao</t>
        </is>
      </c>
      <c r="AB4621" s="111" t="inlineStr">
        <is>
          <t>NAO_COMPUTADO</t>
        </is>
      </c>
      <c r="AC4621" s="112" t="inlineStr">
        <is>
          <t>Estrutura Fase 1: sem impacto no VTA oficial</t>
        </is>
      </c>
    </row>
    <row r="4622" ht="25.5" customHeight="1" s="289">
      <c r="A4622" s="205" t="n"/>
      <c r="B4622" s="207" t="n"/>
      <c r="C4622" s="104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348" t="n"/>
      <c r="E4622" s="349">
        <f>IF(C4622="","",IFERROR(VLOOKUP(C4622,parametros!$A$11:$E$15,5,0),""))</f>
        <v/>
      </c>
      <c r="F4622" s="335">
        <f>IF(OR(D4622="",E4622=""),"",ROUND(D4622*E4622,2))</f>
        <v/>
      </c>
      <c r="G4622" s="106" t="n"/>
      <c r="H4622" s="350">
        <f>IF(G4622="Sim",IF(OR(F4622="",D4622="",L4622=""),"",IF(L4622="Sim",ROUND(F4622-D4622,2),0)),0)</f>
        <v/>
      </c>
      <c r="I4622" s="350">
        <f>IF(G4622="Sim",0,IF(OR(F4622="",L4622=""),"",F4622))</f>
        <v/>
      </c>
      <c r="J4622" s="350">
        <f>IF(G4622="Sim",0,IF(OR(F4622="",D4622="",L4622=""),"",IF(L4622="Sim",ROUND(F4622-D4622,2),0)))</f>
        <v/>
      </c>
      <c r="K4622" s="97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inlineStr">
        <is>
          <t>Nao</t>
        </is>
      </c>
      <c r="W4622" s="110" t="inlineStr">
        <is>
          <t>PC em analise</t>
        </is>
      </c>
      <c r="X4622" s="110" t="inlineStr">
        <is>
          <t>Pedido de Compra</t>
        </is>
      </c>
      <c r="Y4622" s="111" t="inlineStr">
        <is>
          <t>Impacto Potencial</t>
        </is>
      </c>
      <c r="Z4622" s="111" t="inlineStr">
        <is>
          <t>PC</t>
        </is>
      </c>
      <c r="AA4622" s="111" t="inlineStr">
        <is>
          <t>Nao</t>
        </is>
      </c>
      <c r="AB4622" s="111" t="inlineStr">
        <is>
          <t>NAO_COMPUTADO</t>
        </is>
      </c>
      <c r="AC4622" s="112" t="inlineStr">
        <is>
          <t>Estrutura Fase 1: sem impacto no VTA oficial</t>
        </is>
      </c>
    </row>
    <row r="4623" ht="25.5" customHeight="1" s="289">
      <c r="A4623" s="205" t="n"/>
      <c r="B4623" s="207" t="n"/>
      <c r="C4623" s="104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348" t="n"/>
      <c r="E4623" s="349">
        <f>IF(C4623="","",IFERROR(VLOOKUP(C4623,parametros!$A$11:$E$15,5,0),""))</f>
        <v/>
      </c>
      <c r="F4623" s="335">
        <f>IF(OR(D4623="",E4623=""),"",ROUND(D4623*E4623,2))</f>
        <v/>
      </c>
      <c r="G4623" s="106" t="n"/>
      <c r="H4623" s="350">
        <f>IF(G4623="Sim",IF(OR(F4623="",D4623="",L4623=""),"",IF(L4623="Sim",ROUND(F4623-D4623,2),0)),0)</f>
        <v/>
      </c>
      <c r="I4623" s="350">
        <f>IF(G4623="Sim",0,IF(OR(F4623="",L4623=""),"",F4623))</f>
        <v/>
      </c>
      <c r="J4623" s="350">
        <f>IF(G4623="Sim",0,IF(OR(F4623="",D4623="",L4623=""),"",IF(L4623="Sim",ROUND(F4623-D4623,2),0)))</f>
        <v/>
      </c>
      <c r="K4623" s="97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inlineStr">
        <is>
          <t>Nao</t>
        </is>
      </c>
      <c r="W4623" s="110" t="inlineStr">
        <is>
          <t>PC em analise</t>
        </is>
      </c>
      <c r="X4623" s="110" t="inlineStr">
        <is>
          <t>Pedido de Compra</t>
        </is>
      </c>
      <c r="Y4623" s="111" t="inlineStr">
        <is>
          <t>Impacto Potencial</t>
        </is>
      </c>
      <c r="Z4623" s="111" t="inlineStr">
        <is>
          <t>PC</t>
        </is>
      </c>
      <c r="AA4623" s="111" t="inlineStr">
        <is>
          <t>Nao</t>
        </is>
      </c>
      <c r="AB4623" s="111" t="inlineStr">
        <is>
          <t>NAO_COMPUTADO</t>
        </is>
      </c>
      <c r="AC4623" s="112" t="inlineStr">
        <is>
          <t>Estrutura Fase 1: sem impacto no VTA oficial</t>
        </is>
      </c>
    </row>
    <row r="4624" ht="25.5" customHeight="1" s="289">
      <c r="A4624" s="205" t="n"/>
      <c r="B4624" s="207" t="n"/>
      <c r="C4624" s="104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348" t="n"/>
      <c r="E4624" s="349">
        <f>IF(C4624="","",IFERROR(VLOOKUP(C4624,parametros!$A$11:$E$15,5,0),""))</f>
        <v/>
      </c>
      <c r="F4624" s="335">
        <f>IF(OR(D4624="",E4624=""),"",ROUND(D4624*E4624,2))</f>
        <v/>
      </c>
      <c r="G4624" s="106" t="n"/>
      <c r="H4624" s="350">
        <f>IF(G4624="Sim",IF(OR(F4624="",D4624="",L4624=""),"",IF(L4624="Sim",ROUND(F4624-D4624,2),0)),0)</f>
        <v/>
      </c>
      <c r="I4624" s="350">
        <f>IF(G4624="Sim",0,IF(OR(F4624="",L4624=""),"",F4624))</f>
        <v/>
      </c>
      <c r="J4624" s="350">
        <f>IF(G4624="Sim",0,IF(OR(F4624="",D4624="",L4624=""),"",IF(L4624="Sim",ROUND(F4624-D4624,2),0)))</f>
        <v/>
      </c>
      <c r="K4624" s="97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inlineStr">
        <is>
          <t>Nao</t>
        </is>
      </c>
      <c r="W4624" s="110" t="inlineStr">
        <is>
          <t>PC em analise</t>
        </is>
      </c>
      <c r="X4624" s="110" t="inlineStr">
        <is>
          <t>Pedido de Compra</t>
        </is>
      </c>
      <c r="Y4624" s="111" t="inlineStr">
        <is>
          <t>Impacto Potencial</t>
        </is>
      </c>
      <c r="Z4624" s="111" t="inlineStr">
        <is>
          <t>PC</t>
        </is>
      </c>
      <c r="AA4624" s="111" t="inlineStr">
        <is>
          <t>Nao</t>
        </is>
      </c>
      <c r="AB4624" s="111" t="inlineStr">
        <is>
          <t>NAO_COMPUTADO</t>
        </is>
      </c>
      <c r="AC4624" s="112" t="inlineStr">
        <is>
          <t>Estrutura Fase 1: sem impacto no VTA oficial</t>
        </is>
      </c>
    </row>
    <row r="4625" ht="25.5" customHeight="1" s="289">
      <c r="A4625" s="205" t="n"/>
      <c r="B4625" s="207" t="n"/>
      <c r="C4625" s="104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348" t="n"/>
      <c r="E4625" s="349">
        <f>IF(C4625="","",IFERROR(VLOOKUP(C4625,parametros!$A$11:$E$15,5,0),""))</f>
        <v/>
      </c>
      <c r="F4625" s="335">
        <f>IF(OR(D4625="",E4625=""),"",ROUND(D4625*E4625,2))</f>
        <v/>
      </c>
      <c r="G4625" s="106" t="n"/>
      <c r="H4625" s="350">
        <f>IF(G4625="Sim",IF(OR(F4625="",D4625="",L4625=""),"",IF(L4625="Sim",ROUND(F4625-D4625,2),0)),0)</f>
        <v/>
      </c>
      <c r="I4625" s="350">
        <f>IF(G4625="Sim",0,IF(OR(F4625="",L4625=""),"",F4625))</f>
        <v/>
      </c>
      <c r="J4625" s="350">
        <f>IF(G4625="Sim",0,IF(OR(F4625="",D4625="",L4625=""),"",IF(L4625="Sim",ROUND(F4625-D4625,2),0)))</f>
        <v/>
      </c>
      <c r="K4625" s="97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inlineStr">
        <is>
          <t>Nao</t>
        </is>
      </c>
      <c r="W4625" s="110" t="inlineStr">
        <is>
          <t>PC em analise</t>
        </is>
      </c>
      <c r="X4625" s="110" t="inlineStr">
        <is>
          <t>Pedido de Compra</t>
        </is>
      </c>
      <c r="Y4625" s="111" t="inlineStr">
        <is>
          <t>Impacto Potencial</t>
        </is>
      </c>
      <c r="Z4625" s="111" t="inlineStr">
        <is>
          <t>PC</t>
        </is>
      </c>
      <c r="AA4625" s="111" t="inlineStr">
        <is>
          <t>Nao</t>
        </is>
      </c>
      <c r="AB4625" s="111" t="inlineStr">
        <is>
          <t>NAO_COMPUTADO</t>
        </is>
      </c>
      <c r="AC4625" s="112" t="inlineStr">
        <is>
          <t>Estrutura Fase 1: sem impacto no VTA oficial</t>
        </is>
      </c>
    </row>
    <row r="4626" ht="25.5" customHeight="1" s="289">
      <c r="A4626" s="205" t="n"/>
      <c r="B4626" s="207" t="n"/>
      <c r="C4626" s="104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348" t="n"/>
      <c r="E4626" s="349">
        <f>IF(C4626="","",IFERROR(VLOOKUP(C4626,parametros!$A$11:$E$15,5,0),""))</f>
        <v/>
      </c>
      <c r="F4626" s="335">
        <f>IF(OR(D4626="",E4626=""),"",ROUND(D4626*E4626,2))</f>
        <v/>
      </c>
      <c r="G4626" s="106" t="n"/>
      <c r="H4626" s="350">
        <f>IF(G4626="Sim",IF(OR(F4626="",D4626="",L4626=""),"",IF(L4626="Sim",ROUND(F4626-D4626,2),0)),0)</f>
        <v/>
      </c>
      <c r="I4626" s="350">
        <f>IF(G4626="Sim",0,IF(OR(F4626="",L4626=""),"",F4626))</f>
        <v/>
      </c>
      <c r="J4626" s="350">
        <f>IF(G4626="Sim",0,IF(OR(F4626="",D4626="",L4626=""),"",IF(L4626="Sim",ROUND(F4626-D4626,2),0)))</f>
        <v/>
      </c>
      <c r="K4626" s="97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inlineStr">
        <is>
          <t>Nao</t>
        </is>
      </c>
      <c r="W4626" s="110" t="inlineStr">
        <is>
          <t>PC em analise</t>
        </is>
      </c>
      <c r="X4626" s="110" t="inlineStr">
        <is>
          <t>Pedido de Compra</t>
        </is>
      </c>
      <c r="Y4626" s="111" t="inlineStr">
        <is>
          <t>Impacto Potencial</t>
        </is>
      </c>
      <c r="Z4626" s="111" t="inlineStr">
        <is>
          <t>PC</t>
        </is>
      </c>
      <c r="AA4626" s="111" t="inlineStr">
        <is>
          <t>Nao</t>
        </is>
      </c>
      <c r="AB4626" s="111" t="inlineStr">
        <is>
          <t>NAO_COMPUTADO</t>
        </is>
      </c>
      <c r="AC4626" s="112" t="inlineStr">
        <is>
          <t>Estrutura Fase 1: sem impacto no VTA oficial</t>
        </is>
      </c>
    </row>
    <row r="4627" ht="25.5" customHeight="1" s="289">
      <c r="A4627" s="205" t="n"/>
      <c r="B4627" s="207" t="n"/>
      <c r="C4627" s="104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348" t="n"/>
      <c r="E4627" s="349">
        <f>IF(C4627="","",IFERROR(VLOOKUP(C4627,parametros!$A$11:$E$15,5,0),""))</f>
        <v/>
      </c>
      <c r="F4627" s="335">
        <f>IF(OR(D4627="",E4627=""),"",ROUND(D4627*E4627,2))</f>
        <v/>
      </c>
      <c r="G4627" s="106" t="n"/>
      <c r="H4627" s="350">
        <f>IF(G4627="Sim",IF(OR(F4627="",D4627="",L4627=""),"",IF(L4627="Sim",ROUND(F4627-D4627,2),0)),0)</f>
        <v/>
      </c>
      <c r="I4627" s="350">
        <f>IF(G4627="Sim",0,IF(OR(F4627="",L4627=""),"",F4627))</f>
        <v/>
      </c>
      <c r="J4627" s="350">
        <f>IF(G4627="Sim",0,IF(OR(F4627="",D4627="",L4627=""),"",IF(L4627="Sim",ROUND(F4627-D4627,2),0)))</f>
        <v/>
      </c>
      <c r="K4627" s="97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inlineStr">
        <is>
          <t>Nao</t>
        </is>
      </c>
      <c r="W4627" s="110" t="inlineStr">
        <is>
          <t>PC em analise</t>
        </is>
      </c>
      <c r="X4627" s="110" t="inlineStr">
        <is>
          <t>Pedido de Compra</t>
        </is>
      </c>
      <c r="Y4627" s="111" t="inlineStr">
        <is>
          <t>Impacto Potencial</t>
        </is>
      </c>
      <c r="Z4627" s="111" t="inlineStr">
        <is>
          <t>PC</t>
        </is>
      </c>
      <c r="AA4627" s="111" t="inlineStr">
        <is>
          <t>Nao</t>
        </is>
      </c>
      <c r="AB4627" s="111" t="inlineStr">
        <is>
          <t>NAO_COMPUTADO</t>
        </is>
      </c>
      <c r="AC4627" s="112" t="inlineStr">
        <is>
          <t>Estrutura Fase 1: sem impacto no VTA oficial</t>
        </is>
      </c>
    </row>
    <row r="4628" ht="25.5" customHeight="1" s="289">
      <c r="A4628" s="205" t="n"/>
      <c r="B4628" s="207" t="n"/>
      <c r="C4628" s="104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348" t="n"/>
      <c r="E4628" s="349">
        <f>IF(C4628="","",IFERROR(VLOOKUP(C4628,parametros!$A$11:$E$15,5,0),""))</f>
        <v/>
      </c>
      <c r="F4628" s="335">
        <f>IF(OR(D4628="",E4628=""),"",ROUND(D4628*E4628,2))</f>
        <v/>
      </c>
      <c r="G4628" s="106" t="n"/>
      <c r="H4628" s="350">
        <f>IF(G4628="Sim",IF(OR(F4628="",D4628="",L4628=""),"",IF(L4628="Sim",ROUND(F4628-D4628,2),0)),0)</f>
        <v/>
      </c>
      <c r="I4628" s="350">
        <f>IF(G4628="Sim",0,IF(OR(F4628="",L4628=""),"",F4628))</f>
        <v/>
      </c>
      <c r="J4628" s="350">
        <f>IF(G4628="Sim",0,IF(OR(F4628="",D4628="",L4628=""),"",IF(L4628="Sim",ROUND(F4628-D4628,2),0)))</f>
        <v/>
      </c>
      <c r="K4628" s="97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inlineStr">
        <is>
          <t>Nao</t>
        </is>
      </c>
      <c r="W4628" s="110" t="inlineStr">
        <is>
          <t>PC em analise</t>
        </is>
      </c>
      <c r="X4628" s="110" t="inlineStr">
        <is>
          <t>Pedido de Compra</t>
        </is>
      </c>
      <c r="Y4628" s="111" t="inlineStr">
        <is>
          <t>Impacto Potencial</t>
        </is>
      </c>
      <c r="Z4628" s="111" t="inlineStr">
        <is>
          <t>PC</t>
        </is>
      </c>
      <c r="AA4628" s="111" t="inlineStr">
        <is>
          <t>Nao</t>
        </is>
      </c>
      <c r="AB4628" s="111" t="inlineStr">
        <is>
          <t>NAO_COMPUTADO</t>
        </is>
      </c>
      <c r="AC4628" s="112" t="inlineStr">
        <is>
          <t>Estrutura Fase 1: sem impacto no VTA oficial</t>
        </is>
      </c>
    </row>
    <row r="4629" ht="25.5" customHeight="1" s="289">
      <c r="A4629" s="205" t="n"/>
      <c r="B4629" s="207" t="n"/>
      <c r="C4629" s="104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348" t="n"/>
      <c r="E4629" s="349">
        <f>IF(C4629="","",IFERROR(VLOOKUP(C4629,parametros!$A$11:$E$15,5,0),""))</f>
        <v/>
      </c>
      <c r="F4629" s="335">
        <f>IF(OR(D4629="",E4629=""),"",ROUND(D4629*E4629,2))</f>
        <v/>
      </c>
      <c r="G4629" s="106" t="n"/>
      <c r="H4629" s="350">
        <f>IF(G4629="Sim",IF(OR(F4629="",D4629="",L4629=""),"",IF(L4629="Sim",ROUND(F4629-D4629,2),0)),0)</f>
        <v/>
      </c>
      <c r="I4629" s="350">
        <f>IF(G4629="Sim",0,IF(OR(F4629="",L4629=""),"",F4629))</f>
        <v/>
      </c>
      <c r="J4629" s="350">
        <f>IF(G4629="Sim",0,IF(OR(F4629="",D4629="",L4629=""),"",IF(L4629="Sim",ROUND(F4629-D4629,2),0)))</f>
        <v/>
      </c>
      <c r="K4629" s="97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inlineStr">
        <is>
          <t>Nao</t>
        </is>
      </c>
      <c r="W4629" s="110" t="inlineStr">
        <is>
          <t>PC em analise</t>
        </is>
      </c>
      <c r="X4629" s="110" t="inlineStr">
        <is>
          <t>Pedido de Compra</t>
        </is>
      </c>
      <c r="Y4629" s="111" t="inlineStr">
        <is>
          <t>Impacto Potencial</t>
        </is>
      </c>
      <c r="Z4629" s="111" t="inlineStr">
        <is>
          <t>PC</t>
        </is>
      </c>
      <c r="AA4629" s="111" t="inlineStr">
        <is>
          <t>Nao</t>
        </is>
      </c>
      <c r="AB4629" s="111" t="inlineStr">
        <is>
          <t>NAO_COMPUTADO</t>
        </is>
      </c>
      <c r="AC4629" s="112" t="inlineStr">
        <is>
          <t>Estrutura Fase 1: sem impacto no VTA oficial</t>
        </is>
      </c>
    </row>
    <row r="4630" ht="25.5" customHeight="1" s="289">
      <c r="A4630" s="205" t="n"/>
      <c r="B4630" s="207" t="n"/>
      <c r="C4630" s="104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348" t="n"/>
      <c r="E4630" s="349">
        <f>IF(C4630="","",IFERROR(VLOOKUP(C4630,parametros!$A$11:$E$15,5,0),""))</f>
        <v/>
      </c>
      <c r="F4630" s="335">
        <f>IF(OR(D4630="",E4630=""),"",ROUND(D4630*E4630,2))</f>
        <v/>
      </c>
      <c r="G4630" s="106" t="n"/>
      <c r="H4630" s="350">
        <f>IF(G4630="Sim",IF(OR(F4630="",D4630="",L4630=""),"",IF(L4630="Sim",ROUND(F4630-D4630,2),0)),0)</f>
        <v/>
      </c>
      <c r="I4630" s="350">
        <f>IF(G4630="Sim",0,IF(OR(F4630="",L4630=""),"",F4630))</f>
        <v/>
      </c>
      <c r="J4630" s="350">
        <f>IF(G4630="Sim",0,IF(OR(F4630="",D4630="",L4630=""),"",IF(L4630="Sim",ROUND(F4630-D4630,2),0)))</f>
        <v/>
      </c>
      <c r="K4630" s="97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inlineStr">
        <is>
          <t>Nao</t>
        </is>
      </c>
      <c r="W4630" s="110" t="inlineStr">
        <is>
          <t>PC em analise</t>
        </is>
      </c>
      <c r="X4630" s="110" t="inlineStr">
        <is>
          <t>Pedido de Compra</t>
        </is>
      </c>
      <c r="Y4630" s="111" t="inlineStr">
        <is>
          <t>Impacto Potencial</t>
        </is>
      </c>
      <c r="Z4630" s="111" t="inlineStr">
        <is>
          <t>PC</t>
        </is>
      </c>
      <c r="AA4630" s="111" t="inlineStr">
        <is>
          <t>Nao</t>
        </is>
      </c>
      <c r="AB4630" s="111" t="inlineStr">
        <is>
          <t>NAO_COMPUTADO</t>
        </is>
      </c>
      <c r="AC4630" s="112" t="inlineStr">
        <is>
          <t>Estrutura Fase 1: sem impacto no VTA oficial</t>
        </is>
      </c>
    </row>
    <row r="4631" ht="25.5" customHeight="1" s="289">
      <c r="A4631" s="205" t="n"/>
      <c r="B4631" s="207" t="n"/>
      <c r="C4631" s="104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348" t="n"/>
      <c r="E4631" s="349">
        <f>IF(C4631="","",IFERROR(VLOOKUP(C4631,parametros!$A$11:$E$15,5,0),""))</f>
        <v/>
      </c>
      <c r="F4631" s="335">
        <f>IF(OR(D4631="",E4631=""),"",ROUND(D4631*E4631,2))</f>
        <v/>
      </c>
      <c r="G4631" s="106" t="n"/>
      <c r="H4631" s="350">
        <f>IF(G4631="Sim",IF(OR(F4631="",D4631="",L4631=""),"",IF(L4631="Sim",ROUND(F4631-D4631,2),0)),0)</f>
        <v/>
      </c>
      <c r="I4631" s="350">
        <f>IF(G4631="Sim",0,IF(OR(F4631="",L4631=""),"",F4631))</f>
        <v/>
      </c>
      <c r="J4631" s="350">
        <f>IF(G4631="Sim",0,IF(OR(F4631="",D4631="",L4631=""),"",IF(L4631="Sim",ROUND(F4631-D4631,2),0)))</f>
        <v/>
      </c>
      <c r="K4631" s="97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inlineStr">
        <is>
          <t>Nao</t>
        </is>
      </c>
      <c r="W4631" s="110" t="inlineStr">
        <is>
          <t>PC em analise</t>
        </is>
      </c>
      <c r="X4631" s="110" t="inlineStr">
        <is>
          <t>Pedido de Compra</t>
        </is>
      </c>
      <c r="Y4631" s="111" t="inlineStr">
        <is>
          <t>Impacto Potencial</t>
        </is>
      </c>
      <c r="Z4631" s="111" t="inlineStr">
        <is>
          <t>PC</t>
        </is>
      </c>
      <c r="AA4631" s="111" t="inlineStr">
        <is>
          <t>Nao</t>
        </is>
      </c>
      <c r="AB4631" s="111" t="inlineStr">
        <is>
          <t>NAO_COMPUTADO</t>
        </is>
      </c>
      <c r="AC4631" s="112" t="inlineStr">
        <is>
          <t>Estrutura Fase 1: sem impacto no VTA oficial</t>
        </is>
      </c>
    </row>
    <row r="4632" ht="25.5" customHeight="1" s="289">
      <c r="A4632" s="205" t="n"/>
      <c r="B4632" s="207" t="n"/>
      <c r="C4632" s="104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348" t="n"/>
      <c r="E4632" s="349">
        <f>IF(C4632="","",IFERROR(VLOOKUP(C4632,parametros!$A$11:$E$15,5,0),""))</f>
        <v/>
      </c>
      <c r="F4632" s="335">
        <f>IF(OR(D4632="",E4632=""),"",ROUND(D4632*E4632,2))</f>
        <v/>
      </c>
      <c r="G4632" s="106" t="n"/>
      <c r="H4632" s="350">
        <f>IF(G4632="Sim",IF(OR(F4632="",D4632="",L4632=""),"",IF(L4632="Sim",ROUND(F4632-D4632,2),0)),0)</f>
        <v/>
      </c>
      <c r="I4632" s="350">
        <f>IF(G4632="Sim",0,IF(OR(F4632="",L4632=""),"",F4632))</f>
        <v/>
      </c>
      <c r="J4632" s="350">
        <f>IF(G4632="Sim",0,IF(OR(F4632="",D4632="",L4632=""),"",IF(L4632="Sim",ROUND(F4632-D4632,2),0)))</f>
        <v/>
      </c>
      <c r="K4632" s="97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inlineStr">
        <is>
          <t>Nao</t>
        </is>
      </c>
      <c r="W4632" s="110" t="inlineStr">
        <is>
          <t>PC em analise</t>
        </is>
      </c>
      <c r="X4632" s="110" t="inlineStr">
        <is>
          <t>Pedido de Compra</t>
        </is>
      </c>
      <c r="Y4632" s="111" t="inlineStr">
        <is>
          <t>Impacto Potencial</t>
        </is>
      </c>
      <c r="Z4632" s="111" t="inlineStr">
        <is>
          <t>PC</t>
        </is>
      </c>
      <c r="AA4632" s="111" t="inlineStr">
        <is>
          <t>Nao</t>
        </is>
      </c>
      <c r="AB4632" s="111" t="inlineStr">
        <is>
          <t>NAO_COMPUTADO</t>
        </is>
      </c>
      <c r="AC4632" s="112" t="inlineStr">
        <is>
          <t>Estrutura Fase 1: sem impacto no VTA oficial</t>
        </is>
      </c>
    </row>
    <row r="4633" ht="25.5" customHeight="1" s="289">
      <c r="A4633" s="205" t="n"/>
      <c r="B4633" s="207" t="n"/>
      <c r="C4633" s="104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348" t="n"/>
      <c r="E4633" s="349">
        <f>IF(C4633="","",IFERROR(VLOOKUP(C4633,parametros!$A$11:$E$15,5,0),""))</f>
        <v/>
      </c>
      <c r="F4633" s="335">
        <f>IF(OR(D4633="",E4633=""),"",ROUND(D4633*E4633,2))</f>
        <v/>
      </c>
      <c r="G4633" s="106" t="n"/>
      <c r="H4633" s="350">
        <f>IF(G4633="Sim",IF(OR(F4633="",D4633="",L4633=""),"",IF(L4633="Sim",ROUND(F4633-D4633,2),0)),0)</f>
        <v/>
      </c>
      <c r="I4633" s="350">
        <f>IF(G4633="Sim",0,IF(OR(F4633="",L4633=""),"",F4633))</f>
        <v/>
      </c>
      <c r="J4633" s="350">
        <f>IF(G4633="Sim",0,IF(OR(F4633="",D4633="",L4633=""),"",IF(L4633="Sim",ROUND(F4633-D4633,2),0)))</f>
        <v/>
      </c>
      <c r="K4633" s="97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inlineStr">
        <is>
          <t>Nao</t>
        </is>
      </c>
      <c r="W4633" s="110" t="inlineStr">
        <is>
          <t>PC em analise</t>
        </is>
      </c>
      <c r="X4633" s="110" t="inlineStr">
        <is>
          <t>Pedido de Compra</t>
        </is>
      </c>
      <c r="Y4633" s="111" t="inlineStr">
        <is>
          <t>Impacto Potencial</t>
        </is>
      </c>
      <c r="Z4633" s="111" t="inlineStr">
        <is>
          <t>PC</t>
        </is>
      </c>
      <c r="AA4633" s="111" t="inlineStr">
        <is>
          <t>Nao</t>
        </is>
      </c>
      <c r="AB4633" s="111" t="inlineStr">
        <is>
          <t>NAO_COMPUTADO</t>
        </is>
      </c>
      <c r="AC4633" s="112" t="inlineStr">
        <is>
          <t>Estrutura Fase 1: sem impacto no VTA oficial</t>
        </is>
      </c>
    </row>
    <row r="4634" ht="25.5" customHeight="1" s="289">
      <c r="A4634" s="205" t="n"/>
      <c r="B4634" s="207" t="n"/>
      <c r="C4634" s="104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348" t="n"/>
      <c r="E4634" s="349">
        <f>IF(C4634="","",IFERROR(VLOOKUP(C4634,parametros!$A$11:$E$15,5,0),""))</f>
        <v/>
      </c>
      <c r="F4634" s="335">
        <f>IF(OR(D4634="",E4634=""),"",ROUND(D4634*E4634,2))</f>
        <v/>
      </c>
      <c r="G4634" s="106" t="n"/>
      <c r="H4634" s="350">
        <f>IF(G4634="Sim",IF(OR(F4634="",D4634="",L4634=""),"",IF(L4634="Sim",ROUND(F4634-D4634,2),0)),0)</f>
        <v/>
      </c>
      <c r="I4634" s="350">
        <f>IF(G4634="Sim",0,IF(OR(F4634="",L4634=""),"",F4634))</f>
        <v/>
      </c>
      <c r="J4634" s="350">
        <f>IF(G4634="Sim",0,IF(OR(F4634="",D4634="",L4634=""),"",IF(L4634="Sim",ROUND(F4634-D4634,2),0)))</f>
        <v/>
      </c>
      <c r="K4634" s="97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inlineStr">
        <is>
          <t>Nao</t>
        </is>
      </c>
      <c r="W4634" s="110" t="inlineStr">
        <is>
          <t>PC em analise</t>
        </is>
      </c>
      <c r="X4634" s="110" t="inlineStr">
        <is>
          <t>Pedido de Compra</t>
        </is>
      </c>
      <c r="Y4634" s="111" t="inlineStr">
        <is>
          <t>Impacto Potencial</t>
        </is>
      </c>
      <c r="Z4634" s="111" t="inlineStr">
        <is>
          <t>PC</t>
        </is>
      </c>
      <c r="AA4634" s="111" t="inlineStr">
        <is>
          <t>Nao</t>
        </is>
      </c>
      <c r="AB4634" s="111" t="inlineStr">
        <is>
          <t>NAO_COMPUTADO</t>
        </is>
      </c>
      <c r="AC4634" s="112" t="inlineStr">
        <is>
          <t>Estrutura Fase 1: sem impacto no VTA oficial</t>
        </is>
      </c>
    </row>
    <row r="4635" ht="25.5" customHeight="1" s="289">
      <c r="A4635" s="205" t="n"/>
      <c r="B4635" s="207" t="n"/>
      <c r="C4635" s="104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348" t="n"/>
      <c r="E4635" s="349">
        <f>IF(C4635="","",IFERROR(VLOOKUP(C4635,parametros!$A$11:$E$15,5,0),""))</f>
        <v/>
      </c>
      <c r="F4635" s="335">
        <f>IF(OR(D4635="",E4635=""),"",ROUND(D4635*E4635,2))</f>
        <v/>
      </c>
      <c r="G4635" s="106" t="n"/>
      <c r="H4635" s="350">
        <f>IF(G4635="Sim",IF(OR(F4635="",D4635="",L4635=""),"",IF(L4635="Sim",ROUND(F4635-D4635,2),0)),0)</f>
        <v/>
      </c>
      <c r="I4635" s="350">
        <f>IF(G4635="Sim",0,IF(OR(F4635="",L4635=""),"",F4635))</f>
        <v/>
      </c>
      <c r="J4635" s="350">
        <f>IF(G4635="Sim",0,IF(OR(F4635="",D4635="",L4635=""),"",IF(L4635="Sim",ROUND(F4635-D4635,2),0)))</f>
        <v/>
      </c>
      <c r="K4635" s="97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inlineStr">
        <is>
          <t>Nao</t>
        </is>
      </c>
      <c r="W4635" s="110" t="inlineStr">
        <is>
          <t>PC em analise</t>
        </is>
      </c>
      <c r="X4635" s="110" t="inlineStr">
        <is>
          <t>Pedido de Compra</t>
        </is>
      </c>
      <c r="Y4635" s="111" t="inlineStr">
        <is>
          <t>Impacto Potencial</t>
        </is>
      </c>
      <c r="Z4635" s="111" t="inlineStr">
        <is>
          <t>PC</t>
        </is>
      </c>
      <c r="AA4635" s="111" t="inlineStr">
        <is>
          <t>Nao</t>
        </is>
      </c>
      <c r="AB4635" s="111" t="inlineStr">
        <is>
          <t>NAO_COMPUTADO</t>
        </is>
      </c>
      <c r="AC4635" s="112" t="inlineStr">
        <is>
          <t>Estrutura Fase 1: sem impacto no VTA oficial</t>
        </is>
      </c>
    </row>
    <row r="4636" ht="25.5" customHeight="1" s="289">
      <c r="A4636" s="205" t="n"/>
      <c r="B4636" s="207" t="n"/>
      <c r="C4636" s="104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348" t="n"/>
      <c r="E4636" s="349">
        <f>IF(C4636="","",IFERROR(VLOOKUP(C4636,parametros!$A$11:$E$15,5,0),""))</f>
        <v/>
      </c>
      <c r="F4636" s="335">
        <f>IF(OR(D4636="",E4636=""),"",ROUND(D4636*E4636,2))</f>
        <v/>
      </c>
      <c r="G4636" s="106" t="n"/>
      <c r="H4636" s="350">
        <f>IF(G4636="Sim",IF(OR(F4636="",D4636="",L4636=""),"",IF(L4636="Sim",ROUND(F4636-D4636,2),0)),0)</f>
        <v/>
      </c>
      <c r="I4636" s="350">
        <f>IF(G4636="Sim",0,IF(OR(F4636="",L4636=""),"",F4636))</f>
        <v/>
      </c>
      <c r="J4636" s="350">
        <f>IF(G4636="Sim",0,IF(OR(F4636="",D4636="",L4636=""),"",IF(L4636="Sim",ROUND(F4636-D4636,2),0)))</f>
        <v/>
      </c>
      <c r="K4636" s="97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inlineStr">
        <is>
          <t>Nao</t>
        </is>
      </c>
      <c r="W4636" s="110" t="inlineStr">
        <is>
          <t>PC em analise</t>
        </is>
      </c>
      <c r="X4636" s="110" t="inlineStr">
        <is>
          <t>Pedido de Compra</t>
        </is>
      </c>
      <c r="Y4636" s="111" t="inlineStr">
        <is>
          <t>Impacto Potencial</t>
        </is>
      </c>
      <c r="Z4636" s="111" t="inlineStr">
        <is>
          <t>PC</t>
        </is>
      </c>
      <c r="AA4636" s="111" t="inlineStr">
        <is>
          <t>Nao</t>
        </is>
      </c>
      <c r="AB4636" s="111" t="inlineStr">
        <is>
          <t>NAO_COMPUTADO</t>
        </is>
      </c>
      <c r="AC4636" s="112" t="inlineStr">
        <is>
          <t>Estrutura Fase 1: sem impacto no VTA oficial</t>
        </is>
      </c>
    </row>
    <row r="4637" ht="25.5" customHeight="1" s="289">
      <c r="A4637" s="205" t="n"/>
      <c r="B4637" s="207" t="n"/>
      <c r="C4637" s="104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348" t="n"/>
      <c r="E4637" s="349">
        <f>IF(C4637="","",IFERROR(VLOOKUP(C4637,parametros!$A$11:$E$15,5,0),""))</f>
        <v/>
      </c>
      <c r="F4637" s="335">
        <f>IF(OR(D4637="",E4637=""),"",ROUND(D4637*E4637,2))</f>
        <v/>
      </c>
      <c r="G4637" s="106" t="n"/>
      <c r="H4637" s="350">
        <f>IF(G4637="Sim",IF(OR(F4637="",D4637="",L4637=""),"",IF(L4637="Sim",ROUND(F4637-D4637,2),0)),0)</f>
        <v/>
      </c>
      <c r="I4637" s="350">
        <f>IF(G4637="Sim",0,IF(OR(F4637="",L4637=""),"",F4637))</f>
        <v/>
      </c>
      <c r="J4637" s="350">
        <f>IF(G4637="Sim",0,IF(OR(F4637="",D4637="",L4637=""),"",IF(L4637="Sim",ROUND(F4637-D4637,2),0)))</f>
        <v/>
      </c>
      <c r="K4637" s="97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inlineStr">
        <is>
          <t>Nao</t>
        </is>
      </c>
      <c r="W4637" s="110" t="inlineStr">
        <is>
          <t>PC em analise</t>
        </is>
      </c>
      <c r="X4637" s="110" t="inlineStr">
        <is>
          <t>Pedido de Compra</t>
        </is>
      </c>
      <c r="Y4637" s="111" t="inlineStr">
        <is>
          <t>Impacto Potencial</t>
        </is>
      </c>
      <c r="Z4637" s="111" t="inlineStr">
        <is>
          <t>PC</t>
        </is>
      </c>
      <c r="AA4637" s="111" t="inlineStr">
        <is>
          <t>Nao</t>
        </is>
      </c>
      <c r="AB4637" s="111" t="inlineStr">
        <is>
          <t>NAO_COMPUTADO</t>
        </is>
      </c>
      <c r="AC4637" s="112" t="inlineStr">
        <is>
          <t>Estrutura Fase 1: sem impacto no VTA oficial</t>
        </is>
      </c>
    </row>
    <row r="4638" ht="25.5" customHeight="1" s="289">
      <c r="A4638" s="205" t="n"/>
      <c r="B4638" s="207" t="n"/>
      <c r="C4638" s="104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348" t="n"/>
      <c r="E4638" s="349">
        <f>IF(C4638="","",IFERROR(VLOOKUP(C4638,parametros!$A$11:$E$15,5,0),""))</f>
        <v/>
      </c>
      <c r="F4638" s="335">
        <f>IF(OR(D4638="",E4638=""),"",ROUND(D4638*E4638,2))</f>
        <v/>
      </c>
      <c r="G4638" s="106" t="n"/>
      <c r="H4638" s="350">
        <f>IF(G4638="Sim",IF(OR(F4638="",D4638="",L4638=""),"",IF(L4638="Sim",ROUND(F4638-D4638,2),0)),0)</f>
        <v/>
      </c>
      <c r="I4638" s="350">
        <f>IF(G4638="Sim",0,IF(OR(F4638="",L4638=""),"",F4638))</f>
        <v/>
      </c>
      <c r="J4638" s="350">
        <f>IF(G4638="Sim",0,IF(OR(F4638="",D4638="",L4638=""),"",IF(L4638="Sim",ROUND(F4638-D4638,2),0)))</f>
        <v/>
      </c>
      <c r="K4638" s="97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inlineStr">
        <is>
          <t>Nao</t>
        </is>
      </c>
      <c r="W4638" s="110" t="inlineStr">
        <is>
          <t>PC em analise</t>
        </is>
      </c>
      <c r="X4638" s="110" t="inlineStr">
        <is>
          <t>Pedido de Compra</t>
        </is>
      </c>
      <c r="Y4638" s="111" t="inlineStr">
        <is>
          <t>Impacto Potencial</t>
        </is>
      </c>
      <c r="Z4638" s="111" t="inlineStr">
        <is>
          <t>PC</t>
        </is>
      </c>
      <c r="AA4638" s="111" t="inlineStr">
        <is>
          <t>Nao</t>
        </is>
      </c>
      <c r="AB4638" s="111" t="inlineStr">
        <is>
          <t>NAO_COMPUTADO</t>
        </is>
      </c>
      <c r="AC4638" s="112" t="inlineStr">
        <is>
          <t>Estrutura Fase 1: sem impacto no VTA oficial</t>
        </is>
      </c>
    </row>
    <row r="4639" ht="25.5" customHeight="1" s="289">
      <c r="A4639" s="205" t="n"/>
      <c r="B4639" s="207" t="n"/>
      <c r="C4639" s="104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348" t="n"/>
      <c r="E4639" s="349">
        <f>IF(C4639="","",IFERROR(VLOOKUP(C4639,parametros!$A$11:$E$15,5,0),""))</f>
        <v/>
      </c>
      <c r="F4639" s="335">
        <f>IF(OR(D4639="",E4639=""),"",ROUND(D4639*E4639,2))</f>
        <v/>
      </c>
      <c r="G4639" s="106" t="n"/>
      <c r="H4639" s="350">
        <f>IF(G4639="Sim",IF(OR(F4639="",D4639="",L4639=""),"",IF(L4639="Sim",ROUND(F4639-D4639,2),0)),0)</f>
        <v/>
      </c>
      <c r="I4639" s="350">
        <f>IF(G4639="Sim",0,IF(OR(F4639="",L4639=""),"",F4639))</f>
        <v/>
      </c>
      <c r="J4639" s="350">
        <f>IF(G4639="Sim",0,IF(OR(F4639="",D4639="",L4639=""),"",IF(L4639="Sim",ROUND(F4639-D4639,2),0)))</f>
        <v/>
      </c>
      <c r="K4639" s="97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inlineStr">
        <is>
          <t>Nao</t>
        </is>
      </c>
      <c r="W4639" s="110" t="inlineStr">
        <is>
          <t>PC em analise</t>
        </is>
      </c>
      <c r="X4639" s="110" t="inlineStr">
        <is>
          <t>Pedido de Compra</t>
        </is>
      </c>
      <c r="Y4639" s="111" t="inlineStr">
        <is>
          <t>Impacto Potencial</t>
        </is>
      </c>
      <c r="Z4639" s="111" t="inlineStr">
        <is>
          <t>PC</t>
        </is>
      </c>
      <c r="AA4639" s="111" t="inlineStr">
        <is>
          <t>Nao</t>
        </is>
      </c>
      <c r="AB4639" s="111" t="inlineStr">
        <is>
          <t>NAO_COMPUTADO</t>
        </is>
      </c>
      <c r="AC4639" s="112" t="inlineStr">
        <is>
          <t>Estrutura Fase 1: sem impacto no VTA oficial</t>
        </is>
      </c>
    </row>
    <row r="4640" ht="25.5" customHeight="1" s="289">
      <c r="A4640" s="205" t="n"/>
      <c r="B4640" s="207" t="n"/>
      <c r="C4640" s="104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348" t="n"/>
      <c r="E4640" s="349">
        <f>IF(C4640="","",IFERROR(VLOOKUP(C4640,parametros!$A$11:$E$15,5,0),""))</f>
        <v/>
      </c>
      <c r="F4640" s="335">
        <f>IF(OR(D4640="",E4640=""),"",ROUND(D4640*E4640,2))</f>
        <v/>
      </c>
      <c r="G4640" s="106" t="n"/>
      <c r="H4640" s="350">
        <f>IF(G4640="Sim",IF(OR(F4640="",D4640="",L4640=""),"",IF(L4640="Sim",ROUND(F4640-D4640,2),0)),0)</f>
        <v/>
      </c>
      <c r="I4640" s="350">
        <f>IF(G4640="Sim",0,IF(OR(F4640="",L4640=""),"",F4640))</f>
        <v/>
      </c>
      <c r="J4640" s="350">
        <f>IF(G4640="Sim",0,IF(OR(F4640="",D4640="",L4640=""),"",IF(L4640="Sim",ROUND(F4640-D4640,2),0)))</f>
        <v/>
      </c>
      <c r="K4640" s="97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inlineStr">
        <is>
          <t>Nao</t>
        </is>
      </c>
      <c r="W4640" s="110" t="inlineStr">
        <is>
          <t>PC em analise</t>
        </is>
      </c>
      <c r="X4640" s="110" t="inlineStr">
        <is>
          <t>Pedido de Compra</t>
        </is>
      </c>
      <c r="Y4640" s="111" t="inlineStr">
        <is>
          <t>Impacto Potencial</t>
        </is>
      </c>
      <c r="Z4640" s="111" t="inlineStr">
        <is>
          <t>PC</t>
        </is>
      </c>
      <c r="AA4640" s="111" t="inlineStr">
        <is>
          <t>Nao</t>
        </is>
      </c>
      <c r="AB4640" s="111" t="inlineStr">
        <is>
          <t>NAO_COMPUTADO</t>
        </is>
      </c>
      <c r="AC4640" s="112" t="inlineStr">
        <is>
          <t>Estrutura Fase 1: sem impacto no VTA oficial</t>
        </is>
      </c>
    </row>
    <row r="4641" ht="25.5" customHeight="1" s="289">
      <c r="A4641" s="205" t="n"/>
      <c r="B4641" s="207" t="n"/>
      <c r="C4641" s="104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348" t="n"/>
      <c r="E4641" s="349">
        <f>IF(C4641="","",IFERROR(VLOOKUP(C4641,parametros!$A$11:$E$15,5,0),""))</f>
        <v/>
      </c>
      <c r="F4641" s="335">
        <f>IF(OR(D4641="",E4641=""),"",ROUND(D4641*E4641,2))</f>
        <v/>
      </c>
      <c r="G4641" s="106" t="n"/>
      <c r="H4641" s="350">
        <f>IF(G4641="Sim",IF(OR(F4641="",D4641="",L4641=""),"",IF(L4641="Sim",ROUND(F4641-D4641,2),0)),0)</f>
        <v/>
      </c>
      <c r="I4641" s="350">
        <f>IF(G4641="Sim",0,IF(OR(F4641="",L4641=""),"",F4641))</f>
        <v/>
      </c>
      <c r="J4641" s="350">
        <f>IF(G4641="Sim",0,IF(OR(F4641="",D4641="",L4641=""),"",IF(L4641="Sim",ROUND(F4641-D4641,2),0)))</f>
        <v/>
      </c>
      <c r="K4641" s="97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inlineStr">
        <is>
          <t>Nao</t>
        </is>
      </c>
      <c r="W4641" s="110" t="inlineStr">
        <is>
          <t>PC em analise</t>
        </is>
      </c>
      <c r="X4641" s="110" t="inlineStr">
        <is>
          <t>Pedido de Compra</t>
        </is>
      </c>
      <c r="Y4641" s="111" t="inlineStr">
        <is>
          <t>Impacto Potencial</t>
        </is>
      </c>
      <c r="Z4641" s="111" t="inlineStr">
        <is>
          <t>PC</t>
        </is>
      </c>
      <c r="AA4641" s="111" t="inlineStr">
        <is>
          <t>Nao</t>
        </is>
      </c>
      <c r="AB4641" s="111" t="inlineStr">
        <is>
          <t>NAO_COMPUTADO</t>
        </is>
      </c>
      <c r="AC4641" s="112" t="inlineStr">
        <is>
          <t>Estrutura Fase 1: sem impacto no VTA oficial</t>
        </is>
      </c>
    </row>
    <row r="4642" ht="25.5" customHeight="1" s="289">
      <c r="A4642" s="205" t="n"/>
      <c r="B4642" s="207" t="n"/>
      <c r="C4642" s="104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348" t="n"/>
      <c r="E4642" s="349">
        <f>IF(C4642="","",IFERROR(VLOOKUP(C4642,parametros!$A$11:$E$15,5,0),""))</f>
        <v/>
      </c>
      <c r="F4642" s="335">
        <f>IF(OR(D4642="",E4642=""),"",ROUND(D4642*E4642,2))</f>
        <v/>
      </c>
      <c r="G4642" s="106" t="n"/>
      <c r="H4642" s="350">
        <f>IF(G4642="Sim",IF(OR(F4642="",D4642="",L4642=""),"",IF(L4642="Sim",ROUND(F4642-D4642,2),0)),0)</f>
        <v/>
      </c>
      <c r="I4642" s="350">
        <f>IF(G4642="Sim",0,IF(OR(F4642="",L4642=""),"",F4642))</f>
        <v/>
      </c>
      <c r="J4642" s="350">
        <f>IF(G4642="Sim",0,IF(OR(F4642="",D4642="",L4642=""),"",IF(L4642="Sim",ROUND(F4642-D4642,2),0)))</f>
        <v/>
      </c>
      <c r="K4642" s="97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inlineStr">
        <is>
          <t>Nao</t>
        </is>
      </c>
      <c r="W4642" s="110" t="inlineStr">
        <is>
          <t>PC em analise</t>
        </is>
      </c>
      <c r="X4642" s="110" t="inlineStr">
        <is>
          <t>Pedido de Compra</t>
        </is>
      </c>
      <c r="Y4642" s="111" t="inlineStr">
        <is>
          <t>Impacto Potencial</t>
        </is>
      </c>
      <c r="Z4642" s="111" t="inlineStr">
        <is>
          <t>PC</t>
        </is>
      </c>
      <c r="AA4642" s="111" t="inlineStr">
        <is>
          <t>Nao</t>
        </is>
      </c>
      <c r="AB4642" s="111" t="inlineStr">
        <is>
          <t>NAO_COMPUTADO</t>
        </is>
      </c>
      <c r="AC4642" s="112" t="inlineStr">
        <is>
          <t>Estrutura Fase 1: sem impacto no VTA oficial</t>
        </is>
      </c>
    </row>
    <row r="4643" ht="25.5" customHeight="1" s="289">
      <c r="A4643" s="205" t="n"/>
      <c r="B4643" s="207" t="n"/>
      <c r="C4643" s="104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348" t="n"/>
      <c r="E4643" s="349">
        <f>IF(C4643="","",IFERROR(VLOOKUP(C4643,parametros!$A$11:$E$15,5,0),""))</f>
        <v/>
      </c>
      <c r="F4643" s="335">
        <f>IF(OR(D4643="",E4643=""),"",ROUND(D4643*E4643,2))</f>
        <v/>
      </c>
      <c r="G4643" s="106" t="n"/>
      <c r="H4643" s="350">
        <f>IF(G4643="Sim",IF(OR(F4643="",D4643="",L4643=""),"",IF(L4643="Sim",ROUND(F4643-D4643,2),0)),0)</f>
        <v/>
      </c>
      <c r="I4643" s="350">
        <f>IF(G4643="Sim",0,IF(OR(F4643="",L4643=""),"",F4643))</f>
        <v/>
      </c>
      <c r="J4643" s="350">
        <f>IF(G4643="Sim",0,IF(OR(F4643="",D4643="",L4643=""),"",IF(L4643="Sim",ROUND(F4643-D4643,2),0)))</f>
        <v/>
      </c>
      <c r="K4643" s="97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inlineStr">
        <is>
          <t>Nao</t>
        </is>
      </c>
      <c r="W4643" s="110" t="inlineStr">
        <is>
          <t>PC em analise</t>
        </is>
      </c>
      <c r="X4643" s="110" t="inlineStr">
        <is>
          <t>Pedido de Compra</t>
        </is>
      </c>
      <c r="Y4643" s="111" t="inlineStr">
        <is>
          <t>Impacto Potencial</t>
        </is>
      </c>
      <c r="Z4643" s="111" t="inlineStr">
        <is>
          <t>PC</t>
        </is>
      </c>
      <c r="AA4643" s="111" t="inlineStr">
        <is>
          <t>Nao</t>
        </is>
      </c>
      <c r="AB4643" s="111" t="inlineStr">
        <is>
          <t>NAO_COMPUTADO</t>
        </is>
      </c>
      <c r="AC4643" s="112" t="inlineStr">
        <is>
          <t>Estrutura Fase 1: sem impacto no VTA oficial</t>
        </is>
      </c>
    </row>
    <row r="4644" ht="25.5" customHeight="1" s="289">
      <c r="A4644" s="205" t="n"/>
      <c r="B4644" s="207" t="n"/>
      <c r="C4644" s="104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348" t="n"/>
      <c r="E4644" s="349">
        <f>IF(C4644="","",IFERROR(VLOOKUP(C4644,parametros!$A$11:$E$15,5,0),""))</f>
        <v/>
      </c>
      <c r="F4644" s="335">
        <f>IF(OR(D4644="",E4644=""),"",ROUND(D4644*E4644,2))</f>
        <v/>
      </c>
      <c r="G4644" s="106" t="n"/>
      <c r="H4644" s="350">
        <f>IF(G4644="Sim",IF(OR(F4644="",D4644="",L4644=""),"",IF(L4644="Sim",ROUND(F4644-D4644,2),0)),0)</f>
        <v/>
      </c>
      <c r="I4644" s="350">
        <f>IF(G4644="Sim",0,IF(OR(F4644="",L4644=""),"",F4644))</f>
        <v/>
      </c>
      <c r="J4644" s="350">
        <f>IF(G4644="Sim",0,IF(OR(F4644="",D4644="",L4644=""),"",IF(L4644="Sim",ROUND(F4644-D4644,2),0)))</f>
        <v/>
      </c>
      <c r="K4644" s="97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inlineStr">
        <is>
          <t>Nao</t>
        </is>
      </c>
      <c r="W4644" s="110" t="inlineStr">
        <is>
          <t>PC em analise</t>
        </is>
      </c>
      <c r="X4644" s="110" t="inlineStr">
        <is>
          <t>Pedido de Compra</t>
        </is>
      </c>
      <c r="Y4644" s="111" t="inlineStr">
        <is>
          <t>Impacto Potencial</t>
        </is>
      </c>
      <c r="Z4644" s="111" t="inlineStr">
        <is>
          <t>PC</t>
        </is>
      </c>
      <c r="AA4644" s="111" t="inlineStr">
        <is>
          <t>Nao</t>
        </is>
      </c>
      <c r="AB4644" s="111" t="inlineStr">
        <is>
          <t>NAO_COMPUTADO</t>
        </is>
      </c>
      <c r="AC4644" s="112" t="inlineStr">
        <is>
          <t>Estrutura Fase 1: sem impacto no VTA oficial</t>
        </is>
      </c>
    </row>
    <row r="4645" ht="25.5" customHeight="1" s="289">
      <c r="A4645" s="205" t="n"/>
      <c r="B4645" s="207" t="n"/>
      <c r="C4645" s="104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348" t="n"/>
      <c r="E4645" s="349">
        <f>IF(C4645="","",IFERROR(VLOOKUP(C4645,parametros!$A$11:$E$15,5,0),""))</f>
        <v/>
      </c>
      <c r="F4645" s="335">
        <f>IF(OR(D4645="",E4645=""),"",ROUND(D4645*E4645,2))</f>
        <v/>
      </c>
      <c r="G4645" s="106" t="n"/>
      <c r="H4645" s="350">
        <f>IF(G4645="Sim",IF(OR(F4645="",D4645="",L4645=""),"",IF(L4645="Sim",ROUND(F4645-D4645,2),0)),0)</f>
        <v/>
      </c>
      <c r="I4645" s="350">
        <f>IF(G4645="Sim",0,IF(OR(F4645="",L4645=""),"",F4645))</f>
        <v/>
      </c>
      <c r="J4645" s="350">
        <f>IF(G4645="Sim",0,IF(OR(F4645="",D4645="",L4645=""),"",IF(L4645="Sim",ROUND(F4645-D4645,2),0)))</f>
        <v/>
      </c>
      <c r="K4645" s="97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inlineStr">
        <is>
          <t>Nao</t>
        </is>
      </c>
      <c r="W4645" s="110" t="inlineStr">
        <is>
          <t>PC em analise</t>
        </is>
      </c>
      <c r="X4645" s="110" t="inlineStr">
        <is>
          <t>Pedido de Compra</t>
        </is>
      </c>
      <c r="Y4645" s="111" t="inlineStr">
        <is>
          <t>Impacto Potencial</t>
        </is>
      </c>
      <c r="Z4645" s="111" t="inlineStr">
        <is>
          <t>PC</t>
        </is>
      </c>
      <c r="AA4645" s="111" t="inlineStr">
        <is>
          <t>Nao</t>
        </is>
      </c>
      <c r="AB4645" s="111" t="inlineStr">
        <is>
          <t>NAO_COMPUTADO</t>
        </is>
      </c>
      <c r="AC4645" s="112" t="inlineStr">
        <is>
          <t>Estrutura Fase 1: sem impacto no VTA oficial</t>
        </is>
      </c>
    </row>
    <row r="4646" ht="25.5" customHeight="1" s="289">
      <c r="A4646" s="205" t="n"/>
      <c r="B4646" s="207" t="n"/>
      <c r="C4646" s="104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348" t="n"/>
      <c r="E4646" s="349">
        <f>IF(C4646="","",IFERROR(VLOOKUP(C4646,parametros!$A$11:$E$15,5,0),""))</f>
        <v/>
      </c>
      <c r="F4646" s="335">
        <f>IF(OR(D4646="",E4646=""),"",ROUND(D4646*E4646,2))</f>
        <v/>
      </c>
      <c r="G4646" s="106" t="n"/>
      <c r="H4646" s="350">
        <f>IF(G4646="Sim",IF(OR(F4646="",D4646="",L4646=""),"",IF(L4646="Sim",ROUND(F4646-D4646,2),0)),0)</f>
        <v/>
      </c>
      <c r="I4646" s="350">
        <f>IF(G4646="Sim",0,IF(OR(F4646="",L4646=""),"",F4646))</f>
        <v/>
      </c>
      <c r="J4646" s="350">
        <f>IF(G4646="Sim",0,IF(OR(F4646="",D4646="",L4646=""),"",IF(L4646="Sim",ROUND(F4646-D4646,2),0)))</f>
        <v/>
      </c>
      <c r="K4646" s="97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inlineStr">
        <is>
          <t>Nao</t>
        </is>
      </c>
      <c r="W4646" s="110" t="inlineStr">
        <is>
          <t>PC em analise</t>
        </is>
      </c>
      <c r="X4646" s="110" t="inlineStr">
        <is>
          <t>Pedido de Compra</t>
        </is>
      </c>
      <c r="Y4646" s="111" t="inlineStr">
        <is>
          <t>Impacto Potencial</t>
        </is>
      </c>
      <c r="Z4646" s="111" t="inlineStr">
        <is>
          <t>PC</t>
        </is>
      </c>
      <c r="AA4646" s="111" t="inlineStr">
        <is>
          <t>Nao</t>
        </is>
      </c>
      <c r="AB4646" s="111" t="inlineStr">
        <is>
          <t>NAO_COMPUTADO</t>
        </is>
      </c>
      <c r="AC4646" s="112" t="inlineStr">
        <is>
          <t>Estrutura Fase 1: sem impacto no VTA oficial</t>
        </is>
      </c>
    </row>
    <row r="4647" ht="25.5" customHeight="1" s="289">
      <c r="A4647" s="205" t="n"/>
      <c r="B4647" s="207" t="n"/>
      <c r="C4647" s="104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348" t="n"/>
      <c r="E4647" s="349">
        <f>IF(C4647="","",IFERROR(VLOOKUP(C4647,parametros!$A$11:$E$15,5,0),""))</f>
        <v/>
      </c>
      <c r="F4647" s="335">
        <f>IF(OR(D4647="",E4647=""),"",ROUND(D4647*E4647,2))</f>
        <v/>
      </c>
      <c r="G4647" s="106" t="n"/>
      <c r="H4647" s="350">
        <f>IF(G4647="Sim",IF(OR(F4647="",D4647="",L4647=""),"",IF(L4647="Sim",ROUND(F4647-D4647,2),0)),0)</f>
        <v/>
      </c>
      <c r="I4647" s="350">
        <f>IF(G4647="Sim",0,IF(OR(F4647="",L4647=""),"",F4647))</f>
        <v/>
      </c>
      <c r="J4647" s="350">
        <f>IF(G4647="Sim",0,IF(OR(F4647="",D4647="",L4647=""),"",IF(L4647="Sim",ROUND(F4647-D4647,2),0)))</f>
        <v/>
      </c>
      <c r="K4647" s="97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inlineStr">
        <is>
          <t>Nao</t>
        </is>
      </c>
      <c r="W4647" s="110" t="inlineStr">
        <is>
          <t>PC em analise</t>
        </is>
      </c>
      <c r="X4647" s="110" t="inlineStr">
        <is>
          <t>Pedido de Compra</t>
        </is>
      </c>
      <c r="Y4647" s="111" t="inlineStr">
        <is>
          <t>Impacto Potencial</t>
        </is>
      </c>
      <c r="Z4647" s="111" t="inlineStr">
        <is>
          <t>PC</t>
        </is>
      </c>
      <c r="AA4647" s="111" t="inlineStr">
        <is>
          <t>Nao</t>
        </is>
      </c>
      <c r="AB4647" s="111" t="inlineStr">
        <is>
          <t>NAO_COMPUTADO</t>
        </is>
      </c>
      <c r="AC4647" s="112" t="inlineStr">
        <is>
          <t>Estrutura Fase 1: sem impacto no VTA oficial</t>
        </is>
      </c>
    </row>
    <row r="4648" ht="25.5" customHeight="1" s="289">
      <c r="A4648" s="205" t="n"/>
      <c r="B4648" s="207" t="n"/>
      <c r="C4648" s="104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348" t="n"/>
      <c r="E4648" s="349">
        <f>IF(C4648="","",IFERROR(VLOOKUP(C4648,parametros!$A$11:$E$15,5,0),""))</f>
        <v/>
      </c>
      <c r="F4648" s="335">
        <f>IF(OR(D4648="",E4648=""),"",ROUND(D4648*E4648,2))</f>
        <v/>
      </c>
      <c r="G4648" s="106" t="n"/>
      <c r="H4648" s="350">
        <f>IF(G4648="Sim",IF(OR(F4648="",D4648="",L4648=""),"",IF(L4648="Sim",ROUND(F4648-D4648,2),0)),0)</f>
        <v/>
      </c>
      <c r="I4648" s="350">
        <f>IF(G4648="Sim",0,IF(OR(F4648="",L4648=""),"",F4648))</f>
        <v/>
      </c>
      <c r="J4648" s="350">
        <f>IF(G4648="Sim",0,IF(OR(F4648="",D4648="",L4648=""),"",IF(L4648="Sim",ROUND(F4648-D4648,2),0)))</f>
        <v/>
      </c>
      <c r="K4648" s="97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inlineStr">
        <is>
          <t>Nao</t>
        </is>
      </c>
      <c r="W4648" s="110" t="inlineStr">
        <is>
          <t>PC em analise</t>
        </is>
      </c>
      <c r="X4648" s="110" t="inlineStr">
        <is>
          <t>Pedido de Compra</t>
        </is>
      </c>
      <c r="Y4648" s="111" t="inlineStr">
        <is>
          <t>Impacto Potencial</t>
        </is>
      </c>
      <c r="Z4648" s="111" t="inlineStr">
        <is>
          <t>PC</t>
        </is>
      </c>
      <c r="AA4648" s="111" t="inlineStr">
        <is>
          <t>Nao</t>
        </is>
      </c>
      <c r="AB4648" s="111" t="inlineStr">
        <is>
          <t>NAO_COMPUTADO</t>
        </is>
      </c>
      <c r="AC4648" s="112" t="inlineStr">
        <is>
          <t>Estrutura Fase 1: sem impacto no VTA oficial</t>
        </is>
      </c>
    </row>
    <row r="4649" ht="25.5" customHeight="1" s="289">
      <c r="A4649" s="205" t="n"/>
      <c r="B4649" s="207" t="n"/>
      <c r="C4649" s="104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348" t="n"/>
      <c r="E4649" s="349">
        <f>IF(C4649="","",IFERROR(VLOOKUP(C4649,parametros!$A$11:$E$15,5,0),""))</f>
        <v/>
      </c>
      <c r="F4649" s="335">
        <f>IF(OR(D4649="",E4649=""),"",ROUND(D4649*E4649,2))</f>
        <v/>
      </c>
      <c r="G4649" s="106" t="n"/>
      <c r="H4649" s="350">
        <f>IF(G4649="Sim",IF(OR(F4649="",D4649="",L4649=""),"",IF(L4649="Sim",ROUND(F4649-D4649,2),0)),0)</f>
        <v/>
      </c>
      <c r="I4649" s="350">
        <f>IF(G4649="Sim",0,IF(OR(F4649="",L4649=""),"",F4649))</f>
        <v/>
      </c>
      <c r="J4649" s="350">
        <f>IF(G4649="Sim",0,IF(OR(F4649="",D4649="",L4649=""),"",IF(L4649="Sim",ROUND(F4649-D4649,2),0)))</f>
        <v/>
      </c>
      <c r="K4649" s="97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inlineStr">
        <is>
          <t>Nao</t>
        </is>
      </c>
      <c r="W4649" s="110" t="inlineStr">
        <is>
          <t>PC em analise</t>
        </is>
      </c>
      <c r="X4649" s="110" t="inlineStr">
        <is>
          <t>Pedido de Compra</t>
        </is>
      </c>
      <c r="Y4649" s="111" t="inlineStr">
        <is>
          <t>Impacto Potencial</t>
        </is>
      </c>
      <c r="Z4649" s="111" t="inlineStr">
        <is>
          <t>PC</t>
        </is>
      </c>
      <c r="AA4649" s="111" t="inlineStr">
        <is>
          <t>Nao</t>
        </is>
      </c>
      <c r="AB4649" s="111" t="inlineStr">
        <is>
          <t>NAO_COMPUTADO</t>
        </is>
      </c>
      <c r="AC4649" s="112" t="inlineStr">
        <is>
          <t>Estrutura Fase 1: sem impacto no VTA oficial</t>
        </is>
      </c>
    </row>
    <row r="4650" ht="25.5" customHeight="1" s="289">
      <c r="A4650" s="205" t="n"/>
      <c r="B4650" s="207" t="n"/>
      <c r="C4650" s="104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348" t="n"/>
      <c r="E4650" s="349">
        <f>IF(C4650="","",IFERROR(VLOOKUP(C4650,parametros!$A$11:$E$15,5,0),""))</f>
        <v/>
      </c>
      <c r="F4650" s="335">
        <f>IF(OR(D4650="",E4650=""),"",ROUND(D4650*E4650,2))</f>
        <v/>
      </c>
      <c r="G4650" s="106" t="n"/>
      <c r="H4650" s="350">
        <f>IF(G4650="Sim",IF(OR(F4650="",D4650="",L4650=""),"",IF(L4650="Sim",ROUND(F4650-D4650,2),0)),0)</f>
        <v/>
      </c>
      <c r="I4650" s="350">
        <f>IF(G4650="Sim",0,IF(OR(F4650="",L4650=""),"",F4650))</f>
        <v/>
      </c>
      <c r="J4650" s="350">
        <f>IF(G4650="Sim",0,IF(OR(F4650="",D4650="",L4650=""),"",IF(L4650="Sim",ROUND(F4650-D4650,2),0)))</f>
        <v/>
      </c>
      <c r="K4650" s="97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inlineStr">
        <is>
          <t>Nao</t>
        </is>
      </c>
      <c r="W4650" s="110" t="inlineStr">
        <is>
          <t>PC em analise</t>
        </is>
      </c>
      <c r="X4650" s="110" t="inlineStr">
        <is>
          <t>Pedido de Compra</t>
        </is>
      </c>
      <c r="Y4650" s="111" t="inlineStr">
        <is>
          <t>Impacto Potencial</t>
        </is>
      </c>
      <c r="Z4650" s="111" t="inlineStr">
        <is>
          <t>PC</t>
        </is>
      </c>
      <c r="AA4650" s="111" t="inlineStr">
        <is>
          <t>Nao</t>
        </is>
      </c>
      <c r="AB4650" s="111" t="inlineStr">
        <is>
          <t>NAO_COMPUTADO</t>
        </is>
      </c>
      <c r="AC4650" s="112" t="inlineStr">
        <is>
          <t>Estrutura Fase 1: sem impacto no VTA oficial</t>
        </is>
      </c>
    </row>
    <row r="4651" ht="25.5" customHeight="1" s="289">
      <c r="A4651" s="205" t="n"/>
      <c r="B4651" s="207" t="n"/>
      <c r="C4651" s="104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348" t="n"/>
      <c r="E4651" s="349">
        <f>IF(C4651="","",IFERROR(VLOOKUP(C4651,parametros!$A$11:$E$15,5,0),""))</f>
        <v/>
      </c>
      <c r="F4651" s="335">
        <f>IF(OR(D4651="",E4651=""),"",ROUND(D4651*E4651,2))</f>
        <v/>
      </c>
      <c r="G4651" s="106" t="n"/>
      <c r="H4651" s="350">
        <f>IF(G4651="Sim",IF(OR(F4651="",D4651="",L4651=""),"",IF(L4651="Sim",ROUND(F4651-D4651,2),0)),0)</f>
        <v/>
      </c>
      <c r="I4651" s="350">
        <f>IF(G4651="Sim",0,IF(OR(F4651="",L4651=""),"",F4651))</f>
        <v/>
      </c>
      <c r="J4651" s="350">
        <f>IF(G4651="Sim",0,IF(OR(F4651="",D4651="",L4651=""),"",IF(L4651="Sim",ROUND(F4651-D4651,2),0)))</f>
        <v/>
      </c>
      <c r="K4651" s="97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inlineStr">
        <is>
          <t>Nao</t>
        </is>
      </c>
      <c r="W4651" s="110" t="inlineStr">
        <is>
          <t>PC em analise</t>
        </is>
      </c>
      <c r="X4651" s="110" t="inlineStr">
        <is>
          <t>Pedido de Compra</t>
        </is>
      </c>
      <c r="Y4651" s="111" t="inlineStr">
        <is>
          <t>Impacto Potencial</t>
        </is>
      </c>
      <c r="Z4651" s="111" t="inlineStr">
        <is>
          <t>PC</t>
        </is>
      </c>
      <c r="AA4651" s="111" t="inlineStr">
        <is>
          <t>Nao</t>
        </is>
      </c>
      <c r="AB4651" s="111" t="inlineStr">
        <is>
          <t>NAO_COMPUTADO</t>
        </is>
      </c>
      <c r="AC4651" s="112" t="inlineStr">
        <is>
          <t>Estrutura Fase 1: sem impacto no VTA oficial</t>
        </is>
      </c>
    </row>
    <row r="4652" ht="25.5" customHeight="1" s="289">
      <c r="A4652" s="205" t="n"/>
      <c r="B4652" s="207" t="n"/>
      <c r="C4652" s="104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348" t="n"/>
      <c r="E4652" s="349">
        <f>IF(C4652="","",IFERROR(VLOOKUP(C4652,parametros!$A$11:$E$15,5,0),""))</f>
        <v/>
      </c>
      <c r="F4652" s="335">
        <f>IF(OR(D4652="",E4652=""),"",ROUND(D4652*E4652,2))</f>
        <v/>
      </c>
      <c r="G4652" s="106" t="n"/>
      <c r="H4652" s="350">
        <f>IF(G4652="Sim",IF(OR(F4652="",D4652="",L4652=""),"",IF(L4652="Sim",ROUND(F4652-D4652,2),0)),0)</f>
        <v/>
      </c>
      <c r="I4652" s="350">
        <f>IF(G4652="Sim",0,IF(OR(F4652="",L4652=""),"",F4652))</f>
        <v/>
      </c>
      <c r="J4652" s="350">
        <f>IF(G4652="Sim",0,IF(OR(F4652="",D4652="",L4652=""),"",IF(L4652="Sim",ROUND(F4652-D4652,2),0)))</f>
        <v/>
      </c>
      <c r="K4652" s="97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inlineStr">
        <is>
          <t>Nao</t>
        </is>
      </c>
      <c r="W4652" s="110" t="inlineStr">
        <is>
          <t>PC em analise</t>
        </is>
      </c>
      <c r="X4652" s="110" t="inlineStr">
        <is>
          <t>Pedido de Compra</t>
        </is>
      </c>
      <c r="Y4652" s="111" t="inlineStr">
        <is>
          <t>Impacto Potencial</t>
        </is>
      </c>
      <c r="Z4652" s="111" t="inlineStr">
        <is>
          <t>PC</t>
        </is>
      </c>
      <c r="AA4652" s="111" t="inlineStr">
        <is>
          <t>Nao</t>
        </is>
      </c>
      <c r="AB4652" s="111" t="inlineStr">
        <is>
          <t>NAO_COMPUTADO</t>
        </is>
      </c>
      <c r="AC4652" s="112" t="inlineStr">
        <is>
          <t>Estrutura Fase 1: sem impacto no VTA oficial</t>
        </is>
      </c>
    </row>
    <row r="4653" ht="25.5" customHeight="1" s="289">
      <c r="A4653" s="205" t="n"/>
      <c r="B4653" s="207" t="n"/>
      <c r="C4653" s="104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348" t="n"/>
      <c r="E4653" s="349">
        <f>IF(C4653="","",IFERROR(VLOOKUP(C4653,parametros!$A$11:$E$15,5,0),""))</f>
        <v/>
      </c>
      <c r="F4653" s="335">
        <f>IF(OR(D4653="",E4653=""),"",ROUND(D4653*E4653,2))</f>
        <v/>
      </c>
      <c r="G4653" s="106" t="n"/>
      <c r="H4653" s="350">
        <f>IF(G4653="Sim",IF(OR(F4653="",D4653="",L4653=""),"",IF(L4653="Sim",ROUND(F4653-D4653,2),0)),0)</f>
        <v/>
      </c>
      <c r="I4653" s="350">
        <f>IF(G4653="Sim",0,IF(OR(F4653="",L4653=""),"",F4653))</f>
        <v/>
      </c>
      <c r="J4653" s="350">
        <f>IF(G4653="Sim",0,IF(OR(F4653="",D4653="",L4653=""),"",IF(L4653="Sim",ROUND(F4653-D4653,2),0)))</f>
        <v/>
      </c>
      <c r="K4653" s="97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inlineStr">
        <is>
          <t>Nao</t>
        </is>
      </c>
      <c r="W4653" s="110" t="inlineStr">
        <is>
          <t>PC em analise</t>
        </is>
      </c>
      <c r="X4653" s="110" t="inlineStr">
        <is>
          <t>Pedido de Compra</t>
        </is>
      </c>
      <c r="Y4653" s="111" t="inlineStr">
        <is>
          <t>Impacto Potencial</t>
        </is>
      </c>
      <c r="Z4653" s="111" t="inlineStr">
        <is>
          <t>PC</t>
        </is>
      </c>
      <c r="AA4653" s="111" t="inlineStr">
        <is>
          <t>Nao</t>
        </is>
      </c>
      <c r="AB4653" s="111" t="inlineStr">
        <is>
          <t>NAO_COMPUTADO</t>
        </is>
      </c>
      <c r="AC4653" s="112" t="inlineStr">
        <is>
          <t>Estrutura Fase 1: sem impacto no VTA oficial</t>
        </is>
      </c>
    </row>
    <row r="4654" ht="25.5" customHeight="1" s="289">
      <c r="A4654" s="205" t="n"/>
      <c r="B4654" s="207" t="n"/>
      <c r="C4654" s="104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348" t="n"/>
      <c r="E4654" s="349">
        <f>IF(C4654="","",IFERROR(VLOOKUP(C4654,parametros!$A$11:$E$15,5,0),""))</f>
        <v/>
      </c>
      <c r="F4654" s="335">
        <f>IF(OR(D4654="",E4654=""),"",ROUND(D4654*E4654,2))</f>
        <v/>
      </c>
      <c r="G4654" s="106" t="n"/>
      <c r="H4654" s="350">
        <f>IF(G4654="Sim",IF(OR(F4654="",D4654="",L4654=""),"",IF(L4654="Sim",ROUND(F4654-D4654,2),0)),0)</f>
        <v/>
      </c>
      <c r="I4654" s="350">
        <f>IF(G4654="Sim",0,IF(OR(F4654="",L4654=""),"",F4654))</f>
        <v/>
      </c>
      <c r="J4654" s="350">
        <f>IF(G4654="Sim",0,IF(OR(F4654="",D4654="",L4654=""),"",IF(L4654="Sim",ROUND(F4654-D4654,2),0)))</f>
        <v/>
      </c>
      <c r="K4654" s="97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inlineStr">
        <is>
          <t>Nao</t>
        </is>
      </c>
      <c r="W4654" s="110" t="inlineStr">
        <is>
          <t>PC em analise</t>
        </is>
      </c>
      <c r="X4654" s="110" t="inlineStr">
        <is>
          <t>Pedido de Compra</t>
        </is>
      </c>
      <c r="Y4654" s="111" t="inlineStr">
        <is>
          <t>Impacto Potencial</t>
        </is>
      </c>
      <c r="Z4654" s="111" t="inlineStr">
        <is>
          <t>PC</t>
        </is>
      </c>
      <c r="AA4654" s="111" t="inlineStr">
        <is>
          <t>Nao</t>
        </is>
      </c>
      <c r="AB4654" s="111" t="inlineStr">
        <is>
          <t>NAO_COMPUTADO</t>
        </is>
      </c>
      <c r="AC4654" s="112" t="inlineStr">
        <is>
          <t>Estrutura Fase 1: sem impacto no VTA oficial</t>
        </is>
      </c>
    </row>
    <row r="4655" ht="25.5" customHeight="1" s="289">
      <c r="A4655" s="205" t="n"/>
      <c r="B4655" s="207" t="n"/>
      <c r="C4655" s="104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348" t="n"/>
      <c r="E4655" s="349">
        <f>IF(C4655="","",IFERROR(VLOOKUP(C4655,parametros!$A$11:$E$15,5,0),""))</f>
        <v/>
      </c>
      <c r="F4655" s="335">
        <f>IF(OR(D4655="",E4655=""),"",ROUND(D4655*E4655,2))</f>
        <v/>
      </c>
      <c r="G4655" s="106" t="n"/>
      <c r="H4655" s="350">
        <f>IF(G4655="Sim",IF(OR(F4655="",D4655="",L4655=""),"",IF(L4655="Sim",ROUND(F4655-D4655,2),0)),0)</f>
        <v/>
      </c>
      <c r="I4655" s="350">
        <f>IF(G4655="Sim",0,IF(OR(F4655="",L4655=""),"",F4655))</f>
        <v/>
      </c>
      <c r="J4655" s="350">
        <f>IF(G4655="Sim",0,IF(OR(F4655="",D4655="",L4655=""),"",IF(L4655="Sim",ROUND(F4655-D4655,2),0)))</f>
        <v/>
      </c>
      <c r="K4655" s="97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inlineStr">
        <is>
          <t>Nao</t>
        </is>
      </c>
      <c r="W4655" s="110" t="inlineStr">
        <is>
          <t>PC em analise</t>
        </is>
      </c>
      <c r="X4655" s="110" t="inlineStr">
        <is>
          <t>Pedido de Compra</t>
        </is>
      </c>
      <c r="Y4655" s="111" t="inlineStr">
        <is>
          <t>Impacto Potencial</t>
        </is>
      </c>
      <c r="Z4655" s="111" t="inlineStr">
        <is>
          <t>PC</t>
        </is>
      </c>
      <c r="AA4655" s="111" t="inlineStr">
        <is>
          <t>Nao</t>
        </is>
      </c>
      <c r="AB4655" s="111" t="inlineStr">
        <is>
          <t>NAO_COMPUTADO</t>
        </is>
      </c>
      <c r="AC4655" s="112" t="inlineStr">
        <is>
          <t>Estrutura Fase 1: sem impacto no VTA oficial</t>
        </is>
      </c>
    </row>
    <row r="4656" ht="25.5" customHeight="1" s="289">
      <c r="A4656" s="205" t="n"/>
      <c r="B4656" s="207" t="n"/>
      <c r="C4656" s="104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348" t="n"/>
      <c r="E4656" s="349">
        <f>IF(C4656="","",IFERROR(VLOOKUP(C4656,parametros!$A$11:$E$15,5,0),""))</f>
        <v/>
      </c>
      <c r="F4656" s="335">
        <f>IF(OR(D4656="",E4656=""),"",ROUND(D4656*E4656,2))</f>
        <v/>
      </c>
      <c r="G4656" s="106" t="n"/>
      <c r="H4656" s="350">
        <f>IF(G4656="Sim",IF(OR(F4656="",D4656="",L4656=""),"",IF(L4656="Sim",ROUND(F4656-D4656,2),0)),0)</f>
        <v/>
      </c>
      <c r="I4656" s="350">
        <f>IF(G4656="Sim",0,IF(OR(F4656="",L4656=""),"",F4656))</f>
        <v/>
      </c>
      <c r="J4656" s="350">
        <f>IF(G4656="Sim",0,IF(OR(F4656="",D4656="",L4656=""),"",IF(L4656="Sim",ROUND(F4656-D4656,2),0)))</f>
        <v/>
      </c>
      <c r="K4656" s="97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inlineStr">
        <is>
          <t>Nao</t>
        </is>
      </c>
      <c r="W4656" s="110" t="inlineStr">
        <is>
          <t>PC em analise</t>
        </is>
      </c>
      <c r="X4656" s="110" t="inlineStr">
        <is>
          <t>Pedido de Compra</t>
        </is>
      </c>
      <c r="Y4656" s="111" t="inlineStr">
        <is>
          <t>Impacto Potencial</t>
        </is>
      </c>
      <c r="Z4656" s="111" t="inlineStr">
        <is>
          <t>PC</t>
        </is>
      </c>
      <c r="AA4656" s="111" t="inlineStr">
        <is>
          <t>Nao</t>
        </is>
      </c>
      <c r="AB4656" s="111" t="inlineStr">
        <is>
          <t>NAO_COMPUTADO</t>
        </is>
      </c>
      <c r="AC4656" s="112" t="inlineStr">
        <is>
          <t>Estrutura Fase 1: sem impacto no VTA oficial</t>
        </is>
      </c>
    </row>
    <row r="4657" ht="25.5" customHeight="1" s="289">
      <c r="A4657" s="205" t="n"/>
      <c r="B4657" s="207" t="n"/>
      <c r="C4657" s="104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348" t="n"/>
      <c r="E4657" s="349">
        <f>IF(C4657="","",IFERROR(VLOOKUP(C4657,parametros!$A$11:$E$15,5,0),""))</f>
        <v/>
      </c>
      <c r="F4657" s="335">
        <f>IF(OR(D4657="",E4657=""),"",ROUND(D4657*E4657,2))</f>
        <v/>
      </c>
      <c r="G4657" s="106" t="n"/>
      <c r="H4657" s="350">
        <f>IF(G4657="Sim",IF(OR(F4657="",D4657="",L4657=""),"",IF(L4657="Sim",ROUND(F4657-D4657,2),0)),0)</f>
        <v/>
      </c>
      <c r="I4657" s="350">
        <f>IF(G4657="Sim",0,IF(OR(F4657="",L4657=""),"",F4657))</f>
        <v/>
      </c>
      <c r="J4657" s="350">
        <f>IF(G4657="Sim",0,IF(OR(F4657="",D4657="",L4657=""),"",IF(L4657="Sim",ROUND(F4657-D4657,2),0)))</f>
        <v/>
      </c>
      <c r="K4657" s="97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inlineStr">
        <is>
          <t>Nao</t>
        </is>
      </c>
      <c r="W4657" s="110" t="inlineStr">
        <is>
          <t>PC em analise</t>
        </is>
      </c>
      <c r="X4657" s="110" t="inlineStr">
        <is>
          <t>Pedido de Compra</t>
        </is>
      </c>
      <c r="Y4657" s="111" t="inlineStr">
        <is>
          <t>Impacto Potencial</t>
        </is>
      </c>
      <c r="Z4657" s="111" t="inlineStr">
        <is>
          <t>PC</t>
        </is>
      </c>
      <c r="AA4657" s="111" t="inlineStr">
        <is>
          <t>Nao</t>
        </is>
      </c>
      <c r="AB4657" s="111" t="inlineStr">
        <is>
          <t>NAO_COMPUTADO</t>
        </is>
      </c>
      <c r="AC4657" s="112" t="inlineStr">
        <is>
          <t>Estrutura Fase 1: sem impacto no VTA oficial</t>
        </is>
      </c>
    </row>
    <row r="4658" ht="25.5" customHeight="1" s="289">
      <c r="A4658" s="205" t="n"/>
      <c r="B4658" s="207" t="n"/>
      <c r="C4658" s="104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348" t="n"/>
      <c r="E4658" s="349">
        <f>IF(C4658="","",IFERROR(VLOOKUP(C4658,parametros!$A$11:$E$15,5,0),""))</f>
        <v/>
      </c>
      <c r="F4658" s="335">
        <f>IF(OR(D4658="",E4658=""),"",ROUND(D4658*E4658,2))</f>
        <v/>
      </c>
      <c r="G4658" s="106" t="n"/>
      <c r="H4658" s="350">
        <f>IF(G4658="Sim",IF(OR(F4658="",D4658="",L4658=""),"",IF(L4658="Sim",ROUND(F4658-D4658,2),0)),0)</f>
        <v/>
      </c>
      <c r="I4658" s="350">
        <f>IF(G4658="Sim",0,IF(OR(F4658="",L4658=""),"",F4658))</f>
        <v/>
      </c>
      <c r="J4658" s="350">
        <f>IF(G4658="Sim",0,IF(OR(F4658="",D4658="",L4658=""),"",IF(L4658="Sim",ROUND(F4658-D4658,2),0)))</f>
        <v/>
      </c>
      <c r="K4658" s="97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inlineStr">
        <is>
          <t>Nao</t>
        </is>
      </c>
      <c r="W4658" s="110" t="inlineStr">
        <is>
          <t>PC em analise</t>
        </is>
      </c>
      <c r="X4658" s="110" t="inlineStr">
        <is>
          <t>Pedido de Compra</t>
        </is>
      </c>
      <c r="Y4658" s="111" t="inlineStr">
        <is>
          <t>Impacto Potencial</t>
        </is>
      </c>
      <c r="Z4658" s="111" t="inlineStr">
        <is>
          <t>PC</t>
        </is>
      </c>
      <c r="AA4658" s="111" t="inlineStr">
        <is>
          <t>Nao</t>
        </is>
      </c>
      <c r="AB4658" s="111" t="inlineStr">
        <is>
          <t>NAO_COMPUTADO</t>
        </is>
      </c>
      <c r="AC4658" s="112" t="inlineStr">
        <is>
          <t>Estrutura Fase 1: sem impacto no VTA oficial</t>
        </is>
      </c>
    </row>
    <row r="4659" ht="25.5" customHeight="1" s="289">
      <c r="A4659" s="205" t="n"/>
      <c r="B4659" s="207" t="n"/>
      <c r="C4659" s="104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348" t="n"/>
      <c r="E4659" s="349">
        <f>IF(C4659="","",IFERROR(VLOOKUP(C4659,parametros!$A$11:$E$15,5,0),""))</f>
        <v/>
      </c>
      <c r="F4659" s="335">
        <f>IF(OR(D4659="",E4659=""),"",ROUND(D4659*E4659,2))</f>
        <v/>
      </c>
      <c r="G4659" s="106" t="n"/>
      <c r="H4659" s="350">
        <f>IF(G4659="Sim",IF(OR(F4659="",D4659="",L4659=""),"",IF(L4659="Sim",ROUND(F4659-D4659,2),0)),0)</f>
        <v/>
      </c>
      <c r="I4659" s="350">
        <f>IF(G4659="Sim",0,IF(OR(F4659="",L4659=""),"",F4659))</f>
        <v/>
      </c>
      <c r="J4659" s="350">
        <f>IF(G4659="Sim",0,IF(OR(F4659="",D4659="",L4659=""),"",IF(L4659="Sim",ROUND(F4659-D4659,2),0)))</f>
        <v/>
      </c>
      <c r="K4659" s="97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inlineStr">
        <is>
          <t>Nao</t>
        </is>
      </c>
      <c r="W4659" s="110" t="inlineStr">
        <is>
          <t>PC em analise</t>
        </is>
      </c>
      <c r="X4659" s="110" t="inlineStr">
        <is>
          <t>Pedido de Compra</t>
        </is>
      </c>
      <c r="Y4659" s="111" t="inlineStr">
        <is>
          <t>Impacto Potencial</t>
        </is>
      </c>
      <c r="Z4659" s="111" t="inlineStr">
        <is>
          <t>PC</t>
        </is>
      </c>
      <c r="AA4659" s="111" t="inlineStr">
        <is>
          <t>Nao</t>
        </is>
      </c>
      <c r="AB4659" s="111" t="inlineStr">
        <is>
          <t>NAO_COMPUTADO</t>
        </is>
      </c>
      <c r="AC4659" s="112" t="inlineStr">
        <is>
          <t>Estrutura Fase 1: sem impacto no VTA oficial</t>
        </is>
      </c>
    </row>
    <row r="4660" ht="25.5" customHeight="1" s="289">
      <c r="A4660" s="205" t="n"/>
      <c r="B4660" s="207" t="n"/>
      <c r="C4660" s="104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348" t="n"/>
      <c r="E4660" s="349">
        <f>IF(C4660="","",IFERROR(VLOOKUP(C4660,parametros!$A$11:$E$15,5,0),""))</f>
        <v/>
      </c>
      <c r="F4660" s="335">
        <f>IF(OR(D4660="",E4660=""),"",ROUND(D4660*E4660,2))</f>
        <v/>
      </c>
      <c r="G4660" s="106" t="n"/>
      <c r="H4660" s="350">
        <f>IF(G4660="Sim",IF(OR(F4660="",D4660="",L4660=""),"",IF(L4660="Sim",ROUND(F4660-D4660,2),0)),0)</f>
        <v/>
      </c>
      <c r="I4660" s="350">
        <f>IF(G4660="Sim",0,IF(OR(F4660="",L4660=""),"",F4660))</f>
        <v/>
      </c>
      <c r="J4660" s="350">
        <f>IF(G4660="Sim",0,IF(OR(F4660="",D4660="",L4660=""),"",IF(L4660="Sim",ROUND(F4660-D4660,2),0)))</f>
        <v/>
      </c>
      <c r="K4660" s="97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inlineStr">
        <is>
          <t>Nao</t>
        </is>
      </c>
      <c r="W4660" s="110" t="inlineStr">
        <is>
          <t>PC em analise</t>
        </is>
      </c>
      <c r="X4660" s="110" t="inlineStr">
        <is>
          <t>Pedido de Compra</t>
        </is>
      </c>
      <c r="Y4660" s="111" t="inlineStr">
        <is>
          <t>Impacto Potencial</t>
        </is>
      </c>
      <c r="Z4660" s="111" t="inlineStr">
        <is>
          <t>PC</t>
        </is>
      </c>
      <c r="AA4660" s="111" t="inlineStr">
        <is>
          <t>Nao</t>
        </is>
      </c>
      <c r="AB4660" s="111" t="inlineStr">
        <is>
          <t>NAO_COMPUTADO</t>
        </is>
      </c>
      <c r="AC4660" s="112" t="inlineStr">
        <is>
          <t>Estrutura Fase 1: sem impacto no VTA oficial</t>
        </is>
      </c>
    </row>
    <row r="4661" ht="25.5" customHeight="1" s="289">
      <c r="A4661" s="205" t="n"/>
      <c r="B4661" s="207" t="n"/>
      <c r="C4661" s="104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348" t="n"/>
      <c r="E4661" s="349">
        <f>IF(C4661="","",IFERROR(VLOOKUP(C4661,parametros!$A$11:$E$15,5,0),""))</f>
        <v/>
      </c>
      <c r="F4661" s="335">
        <f>IF(OR(D4661="",E4661=""),"",ROUND(D4661*E4661,2))</f>
        <v/>
      </c>
      <c r="G4661" s="106" t="n"/>
      <c r="H4661" s="350">
        <f>IF(G4661="Sim",IF(OR(F4661="",D4661="",L4661=""),"",IF(L4661="Sim",ROUND(F4661-D4661,2),0)),0)</f>
        <v/>
      </c>
      <c r="I4661" s="350">
        <f>IF(G4661="Sim",0,IF(OR(F4661="",L4661=""),"",F4661))</f>
        <v/>
      </c>
      <c r="J4661" s="350">
        <f>IF(G4661="Sim",0,IF(OR(F4661="",D4661="",L4661=""),"",IF(L4661="Sim",ROUND(F4661-D4661,2),0)))</f>
        <v/>
      </c>
      <c r="K4661" s="97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inlineStr">
        <is>
          <t>Nao</t>
        </is>
      </c>
      <c r="W4661" s="110" t="inlineStr">
        <is>
          <t>PC em analise</t>
        </is>
      </c>
      <c r="X4661" s="110" t="inlineStr">
        <is>
          <t>Pedido de Compra</t>
        </is>
      </c>
      <c r="Y4661" s="111" t="inlineStr">
        <is>
          <t>Impacto Potencial</t>
        </is>
      </c>
      <c r="Z4661" s="111" t="inlineStr">
        <is>
          <t>PC</t>
        </is>
      </c>
      <c r="AA4661" s="111" t="inlineStr">
        <is>
          <t>Nao</t>
        </is>
      </c>
      <c r="AB4661" s="111" t="inlineStr">
        <is>
          <t>NAO_COMPUTADO</t>
        </is>
      </c>
      <c r="AC4661" s="112" t="inlineStr">
        <is>
          <t>Estrutura Fase 1: sem impacto no VTA oficial</t>
        </is>
      </c>
    </row>
    <row r="4662" ht="25.5" customHeight="1" s="289">
      <c r="A4662" s="205" t="n"/>
      <c r="B4662" s="207" t="n"/>
      <c r="C4662" s="104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348" t="n"/>
      <c r="E4662" s="349">
        <f>IF(C4662="","",IFERROR(VLOOKUP(C4662,parametros!$A$11:$E$15,5,0),""))</f>
        <v/>
      </c>
      <c r="F4662" s="335">
        <f>IF(OR(D4662="",E4662=""),"",ROUND(D4662*E4662,2))</f>
        <v/>
      </c>
      <c r="G4662" s="106" t="n"/>
      <c r="H4662" s="350">
        <f>IF(G4662="Sim",IF(OR(F4662="",D4662="",L4662=""),"",IF(L4662="Sim",ROUND(F4662-D4662,2),0)),0)</f>
        <v/>
      </c>
      <c r="I4662" s="350">
        <f>IF(G4662="Sim",0,IF(OR(F4662="",L4662=""),"",F4662))</f>
        <v/>
      </c>
      <c r="J4662" s="350">
        <f>IF(G4662="Sim",0,IF(OR(F4662="",D4662="",L4662=""),"",IF(L4662="Sim",ROUND(F4662-D4662,2),0)))</f>
        <v/>
      </c>
      <c r="K4662" s="97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inlineStr">
        <is>
          <t>Nao</t>
        </is>
      </c>
      <c r="W4662" s="110" t="inlineStr">
        <is>
          <t>PC em analise</t>
        </is>
      </c>
      <c r="X4662" s="110" t="inlineStr">
        <is>
          <t>Pedido de Compra</t>
        </is>
      </c>
      <c r="Y4662" s="111" t="inlineStr">
        <is>
          <t>Impacto Potencial</t>
        </is>
      </c>
      <c r="Z4662" s="111" t="inlineStr">
        <is>
          <t>PC</t>
        </is>
      </c>
      <c r="AA4662" s="111" t="inlineStr">
        <is>
          <t>Nao</t>
        </is>
      </c>
      <c r="AB4662" s="111" t="inlineStr">
        <is>
          <t>NAO_COMPUTADO</t>
        </is>
      </c>
      <c r="AC4662" s="112" t="inlineStr">
        <is>
          <t>Estrutura Fase 1: sem impacto no VTA oficial</t>
        </is>
      </c>
    </row>
    <row r="4663" ht="25.5" customHeight="1" s="289">
      <c r="A4663" s="205" t="n"/>
      <c r="B4663" s="207" t="n"/>
      <c r="C4663" s="104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348" t="n"/>
      <c r="E4663" s="349">
        <f>IF(C4663="","",IFERROR(VLOOKUP(C4663,parametros!$A$11:$E$15,5,0),""))</f>
        <v/>
      </c>
      <c r="F4663" s="335">
        <f>IF(OR(D4663="",E4663=""),"",ROUND(D4663*E4663,2))</f>
        <v/>
      </c>
      <c r="G4663" s="106" t="n"/>
      <c r="H4663" s="350">
        <f>IF(G4663="Sim",IF(OR(F4663="",D4663="",L4663=""),"",IF(L4663="Sim",ROUND(F4663-D4663,2),0)),0)</f>
        <v/>
      </c>
      <c r="I4663" s="350">
        <f>IF(G4663="Sim",0,IF(OR(F4663="",L4663=""),"",F4663))</f>
        <v/>
      </c>
      <c r="J4663" s="350">
        <f>IF(G4663="Sim",0,IF(OR(F4663="",D4663="",L4663=""),"",IF(L4663="Sim",ROUND(F4663-D4663,2),0)))</f>
        <v/>
      </c>
      <c r="K4663" s="97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inlineStr">
        <is>
          <t>Nao</t>
        </is>
      </c>
      <c r="W4663" s="110" t="inlineStr">
        <is>
          <t>PC em analise</t>
        </is>
      </c>
      <c r="X4663" s="110" t="inlineStr">
        <is>
          <t>Pedido de Compra</t>
        </is>
      </c>
      <c r="Y4663" s="111" t="inlineStr">
        <is>
          <t>Impacto Potencial</t>
        </is>
      </c>
      <c r="Z4663" s="111" t="inlineStr">
        <is>
          <t>PC</t>
        </is>
      </c>
      <c r="AA4663" s="111" t="inlineStr">
        <is>
          <t>Nao</t>
        </is>
      </c>
      <c r="AB4663" s="111" t="inlineStr">
        <is>
          <t>NAO_COMPUTADO</t>
        </is>
      </c>
      <c r="AC4663" s="112" t="inlineStr">
        <is>
          <t>Estrutura Fase 1: sem impacto no VTA oficial</t>
        </is>
      </c>
    </row>
    <row r="4664" ht="25.5" customHeight="1" s="289">
      <c r="A4664" s="205" t="n"/>
      <c r="B4664" s="207" t="n"/>
      <c r="C4664" s="104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348" t="n"/>
      <c r="E4664" s="349">
        <f>IF(C4664="","",IFERROR(VLOOKUP(C4664,parametros!$A$11:$E$15,5,0),""))</f>
        <v/>
      </c>
      <c r="F4664" s="335">
        <f>IF(OR(D4664="",E4664=""),"",ROUND(D4664*E4664,2))</f>
        <v/>
      </c>
      <c r="G4664" s="106" t="n"/>
      <c r="H4664" s="350">
        <f>IF(G4664="Sim",IF(OR(F4664="",D4664="",L4664=""),"",IF(L4664="Sim",ROUND(F4664-D4664,2),0)),0)</f>
        <v/>
      </c>
      <c r="I4664" s="350">
        <f>IF(G4664="Sim",0,IF(OR(F4664="",L4664=""),"",F4664))</f>
        <v/>
      </c>
      <c r="J4664" s="350">
        <f>IF(G4664="Sim",0,IF(OR(F4664="",D4664="",L4664=""),"",IF(L4664="Sim",ROUND(F4664-D4664,2),0)))</f>
        <v/>
      </c>
      <c r="K4664" s="97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inlineStr">
        <is>
          <t>Nao</t>
        </is>
      </c>
      <c r="W4664" s="110" t="inlineStr">
        <is>
          <t>PC em analise</t>
        </is>
      </c>
      <c r="X4664" s="110" t="inlineStr">
        <is>
          <t>Pedido de Compra</t>
        </is>
      </c>
      <c r="Y4664" s="111" t="inlineStr">
        <is>
          <t>Impacto Potencial</t>
        </is>
      </c>
      <c r="Z4664" s="111" t="inlineStr">
        <is>
          <t>PC</t>
        </is>
      </c>
      <c r="AA4664" s="111" t="inlineStr">
        <is>
          <t>Nao</t>
        </is>
      </c>
      <c r="AB4664" s="111" t="inlineStr">
        <is>
          <t>NAO_COMPUTADO</t>
        </is>
      </c>
      <c r="AC4664" s="112" t="inlineStr">
        <is>
          <t>Estrutura Fase 1: sem impacto no VTA oficial</t>
        </is>
      </c>
    </row>
    <row r="4665" ht="25.5" customHeight="1" s="289">
      <c r="A4665" s="205" t="n"/>
      <c r="B4665" s="207" t="n"/>
      <c r="C4665" s="104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348" t="n"/>
      <c r="E4665" s="349">
        <f>IF(C4665="","",IFERROR(VLOOKUP(C4665,parametros!$A$11:$E$15,5,0),""))</f>
        <v/>
      </c>
      <c r="F4665" s="335">
        <f>IF(OR(D4665="",E4665=""),"",ROUND(D4665*E4665,2))</f>
        <v/>
      </c>
      <c r="G4665" s="106" t="n"/>
      <c r="H4665" s="350">
        <f>IF(G4665="Sim",IF(OR(F4665="",D4665="",L4665=""),"",IF(L4665="Sim",ROUND(F4665-D4665,2),0)),0)</f>
        <v/>
      </c>
      <c r="I4665" s="350">
        <f>IF(G4665="Sim",0,IF(OR(F4665="",L4665=""),"",F4665))</f>
        <v/>
      </c>
      <c r="J4665" s="350">
        <f>IF(G4665="Sim",0,IF(OR(F4665="",D4665="",L4665=""),"",IF(L4665="Sim",ROUND(F4665-D4665,2),0)))</f>
        <v/>
      </c>
      <c r="K4665" s="97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inlineStr">
        <is>
          <t>Nao</t>
        </is>
      </c>
      <c r="W4665" s="110" t="inlineStr">
        <is>
          <t>PC em analise</t>
        </is>
      </c>
      <c r="X4665" s="110" t="inlineStr">
        <is>
          <t>Pedido de Compra</t>
        </is>
      </c>
      <c r="Y4665" s="111" t="inlineStr">
        <is>
          <t>Impacto Potencial</t>
        </is>
      </c>
      <c r="Z4665" s="111" t="inlineStr">
        <is>
          <t>PC</t>
        </is>
      </c>
      <c r="AA4665" s="111" t="inlineStr">
        <is>
          <t>Nao</t>
        </is>
      </c>
      <c r="AB4665" s="111" t="inlineStr">
        <is>
          <t>NAO_COMPUTADO</t>
        </is>
      </c>
      <c r="AC4665" s="112" t="inlineStr">
        <is>
          <t>Estrutura Fase 1: sem impacto no VTA oficial</t>
        </is>
      </c>
    </row>
    <row r="4666" ht="25.5" customHeight="1" s="289">
      <c r="A4666" s="205" t="n"/>
      <c r="B4666" s="207" t="n"/>
      <c r="C4666" s="104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348" t="n"/>
      <c r="E4666" s="349">
        <f>IF(C4666="","",IFERROR(VLOOKUP(C4666,parametros!$A$11:$E$15,5,0),""))</f>
        <v/>
      </c>
      <c r="F4666" s="335">
        <f>IF(OR(D4666="",E4666=""),"",ROUND(D4666*E4666,2))</f>
        <v/>
      </c>
      <c r="G4666" s="106" t="n"/>
      <c r="H4666" s="350">
        <f>IF(G4666="Sim",IF(OR(F4666="",D4666="",L4666=""),"",IF(L4666="Sim",ROUND(F4666-D4666,2),0)),0)</f>
        <v/>
      </c>
      <c r="I4666" s="350">
        <f>IF(G4666="Sim",0,IF(OR(F4666="",L4666=""),"",F4666))</f>
        <v/>
      </c>
      <c r="J4666" s="350">
        <f>IF(G4666="Sim",0,IF(OR(F4666="",D4666="",L4666=""),"",IF(L4666="Sim",ROUND(F4666-D4666,2),0)))</f>
        <v/>
      </c>
      <c r="K4666" s="97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inlineStr">
        <is>
          <t>Nao</t>
        </is>
      </c>
      <c r="W4666" s="110" t="inlineStr">
        <is>
          <t>PC em analise</t>
        </is>
      </c>
      <c r="X4666" s="110" t="inlineStr">
        <is>
          <t>Pedido de Compra</t>
        </is>
      </c>
      <c r="Y4666" s="111" t="inlineStr">
        <is>
          <t>Impacto Potencial</t>
        </is>
      </c>
      <c r="Z4666" s="111" t="inlineStr">
        <is>
          <t>PC</t>
        </is>
      </c>
      <c r="AA4666" s="111" t="inlineStr">
        <is>
          <t>Nao</t>
        </is>
      </c>
      <c r="AB4666" s="111" t="inlineStr">
        <is>
          <t>NAO_COMPUTADO</t>
        </is>
      </c>
      <c r="AC4666" s="112" t="inlineStr">
        <is>
          <t>Estrutura Fase 1: sem impacto no VTA oficial</t>
        </is>
      </c>
    </row>
    <row r="4667" ht="25.5" customHeight="1" s="289">
      <c r="A4667" s="205" t="n"/>
      <c r="B4667" s="207" t="n"/>
      <c r="C4667" s="104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348" t="n"/>
      <c r="E4667" s="349">
        <f>IF(C4667="","",IFERROR(VLOOKUP(C4667,parametros!$A$11:$E$15,5,0),""))</f>
        <v/>
      </c>
      <c r="F4667" s="335">
        <f>IF(OR(D4667="",E4667=""),"",ROUND(D4667*E4667,2))</f>
        <v/>
      </c>
      <c r="G4667" s="106" t="n"/>
      <c r="H4667" s="350">
        <f>IF(G4667="Sim",IF(OR(F4667="",D4667="",L4667=""),"",IF(L4667="Sim",ROUND(F4667-D4667,2),0)),0)</f>
        <v/>
      </c>
      <c r="I4667" s="350">
        <f>IF(G4667="Sim",0,IF(OR(F4667="",L4667=""),"",F4667))</f>
        <v/>
      </c>
      <c r="J4667" s="350">
        <f>IF(G4667="Sim",0,IF(OR(F4667="",D4667="",L4667=""),"",IF(L4667="Sim",ROUND(F4667-D4667,2),0)))</f>
        <v/>
      </c>
      <c r="K4667" s="97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inlineStr">
        <is>
          <t>Nao</t>
        </is>
      </c>
      <c r="W4667" s="110" t="inlineStr">
        <is>
          <t>PC em analise</t>
        </is>
      </c>
      <c r="X4667" s="110" t="inlineStr">
        <is>
          <t>Pedido de Compra</t>
        </is>
      </c>
      <c r="Y4667" s="111" t="inlineStr">
        <is>
          <t>Impacto Potencial</t>
        </is>
      </c>
      <c r="Z4667" s="111" t="inlineStr">
        <is>
          <t>PC</t>
        </is>
      </c>
      <c r="AA4667" s="111" t="inlineStr">
        <is>
          <t>Nao</t>
        </is>
      </c>
      <c r="AB4667" s="111" t="inlineStr">
        <is>
          <t>NAO_COMPUTADO</t>
        </is>
      </c>
      <c r="AC4667" s="112" t="inlineStr">
        <is>
          <t>Estrutura Fase 1: sem impacto no VTA oficial</t>
        </is>
      </c>
    </row>
    <row r="4668" ht="25.5" customHeight="1" s="289">
      <c r="A4668" s="205" t="n"/>
      <c r="B4668" s="207" t="n"/>
      <c r="C4668" s="104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348" t="n"/>
      <c r="E4668" s="349">
        <f>IF(C4668="","",IFERROR(VLOOKUP(C4668,parametros!$A$11:$E$15,5,0),""))</f>
        <v/>
      </c>
      <c r="F4668" s="335">
        <f>IF(OR(D4668="",E4668=""),"",ROUND(D4668*E4668,2))</f>
        <v/>
      </c>
      <c r="G4668" s="106" t="n"/>
      <c r="H4668" s="350">
        <f>IF(G4668="Sim",IF(OR(F4668="",D4668="",L4668=""),"",IF(L4668="Sim",ROUND(F4668-D4668,2),0)),0)</f>
        <v/>
      </c>
      <c r="I4668" s="350">
        <f>IF(G4668="Sim",0,IF(OR(F4668="",L4668=""),"",F4668))</f>
        <v/>
      </c>
      <c r="J4668" s="350">
        <f>IF(G4668="Sim",0,IF(OR(F4668="",D4668="",L4668=""),"",IF(L4668="Sim",ROUND(F4668-D4668,2),0)))</f>
        <v/>
      </c>
      <c r="K4668" s="97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inlineStr">
        <is>
          <t>Nao</t>
        </is>
      </c>
      <c r="W4668" s="110" t="inlineStr">
        <is>
          <t>PC em analise</t>
        </is>
      </c>
      <c r="X4668" s="110" t="inlineStr">
        <is>
          <t>Pedido de Compra</t>
        </is>
      </c>
      <c r="Y4668" s="111" t="inlineStr">
        <is>
          <t>Impacto Potencial</t>
        </is>
      </c>
      <c r="Z4668" s="111" t="inlineStr">
        <is>
          <t>PC</t>
        </is>
      </c>
      <c r="AA4668" s="111" t="inlineStr">
        <is>
          <t>Nao</t>
        </is>
      </c>
      <c r="AB4668" s="111" t="inlineStr">
        <is>
          <t>NAO_COMPUTADO</t>
        </is>
      </c>
      <c r="AC4668" s="112" t="inlineStr">
        <is>
          <t>Estrutura Fase 1: sem impacto no VTA oficial</t>
        </is>
      </c>
    </row>
    <row r="4669" ht="25.5" customHeight="1" s="289">
      <c r="A4669" s="205" t="n"/>
      <c r="B4669" s="207" t="n"/>
      <c r="C4669" s="104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348" t="n"/>
      <c r="E4669" s="349">
        <f>IF(C4669="","",IFERROR(VLOOKUP(C4669,parametros!$A$11:$E$15,5,0),""))</f>
        <v/>
      </c>
      <c r="F4669" s="335">
        <f>IF(OR(D4669="",E4669=""),"",ROUND(D4669*E4669,2))</f>
        <v/>
      </c>
      <c r="G4669" s="106" t="n"/>
      <c r="H4669" s="350">
        <f>IF(G4669="Sim",IF(OR(F4669="",D4669="",L4669=""),"",IF(L4669="Sim",ROUND(F4669-D4669,2),0)),0)</f>
        <v/>
      </c>
      <c r="I4669" s="350">
        <f>IF(G4669="Sim",0,IF(OR(F4669="",L4669=""),"",F4669))</f>
        <v/>
      </c>
      <c r="J4669" s="350">
        <f>IF(G4669="Sim",0,IF(OR(F4669="",D4669="",L4669=""),"",IF(L4669="Sim",ROUND(F4669-D4669,2),0)))</f>
        <v/>
      </c>
      <c r="K4669" s="97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inlineStr">
        <is>
          <t>Nao</t>
        </is>
      </c>
      <c r="W4669" s="110" t="inlineStr">
        <is>
          <t>PC em analise</t>
        </is>
      </c>
      <c r="X4669" s="110" t="inlineStr">
        <is>
          <t>Pedido de Compra</t>
        </is>
      </c>
      <c r="Y4669" s="111" t="inlineStr">
        <is>
          <t>Impacto Potencial</t>
        </is>
      </c>
      <c r="Z4669" s="111" t="inlineStr">
        <is>
          <t>PC</t>
        </is>
      </c>
      <c r="AA4669" s="111" t="inlineStr">
        <is>
          <t>Nao</t>
        </is>
      </c>
      <c r="AB4669" s="111" t="inlineStr">
        <is>
          <t>NAO_COMPUTADO</t>
        </is>
      </c>
      <c r="AC4669" s="112" t="inlineStr">
        <is>
          <t>Estrutura Fase 1: sem impacto no VTA oficial</t>
        </is>
      </c>
    </row>
    <row r="4670" ht="25.5" customHeight="1" s="289">
      <c r="A4670" s="205" t="n"/>
      <c r="B4670" s="207" t="n"/>
      <c r="C4670" s="104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348" t="n"/>
      <c r="E4670" s="349">
        <f>IF(C4670="","",IFERROR(VLOOKUP(C4670,parametros!$A$11:$E$15,5,0),""))</f>
        <v/>
      </c>
      <c r="F4670" s="335">
        <f>IF(OR(D4670="",E4670=""),"",ROUND(D4670*E4670,2))</f>
        <v/>
      </c>
      <c r="G4670" s="106" t="n"/>
      <c r="H4670" s="350">
        <f>IF(G4670="Sim",IF(OR(F4670="",D4670="",L4670=""),"",IF(L4670="Sim",ROUND(F4670-D4670,2),0)),0)</f>
        <v/>
      </c>
      <c r="I4670" s="350">
        <f>IF(G4670="Sim",0,IF(OR(F4670="",L4670=""),"",F4670))</f>
        <v/>
      </c>
      <c r="J4670" s="350">
        <f>IF(G4670="Sim",0,IF(OR(F4670="",D4670="",L4670=""),"",IF(L4670="Sim",ROUND(F4670-D4670,2),0)))</f>
        <v/>
      </c>
      <c r="K4670" s="97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inlineStr">
        <is>
          <t>Nao</t>
        </is>
      </c>
      <c r="W4670" s="110" t="inlineStr">
        <is>
          <t>PC em analise</t>
        </is>
      </c>
      <c r="X4670" s="110" t="inlineStr">
        <is>
          <t>Pedido de Compra</t>
        </is>
      </c>
      <c r="Y4670" s="111" t="inlineStr">
        <is>
          <t>Impacto Potencial</t>
        </is>
      </c>
      <c r="Z4670" s="111" t="inlineStr">
        <is>
          <t>PC</t>
        </is>
      </c>
      <c r="AA4670" s="111" t="inlineStr">
        <is>
          <t>Nao</t>
        </is>
      </c>
      <c r="AB4670" s="111" t="inlineStr">
        <is>
          <t>NAO_COMPUTADO</t>
        </is>
      </c>
      <c r="AC4670" s="112" t="inlineStr">
        <is>
          <t>Estrutura Fase 1: sem impacto no VTA oficial</t>
        </is>
      </c>
    </row>
    <row r="4671" ht="25.5" customHeight="1" s="289">
      <c r="A4671" s="205" t="n"/>
      <c r="B4671" s="207" t="n"/>
      <c r="C4671" s="104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348" t="n"/>
      <c r="E4671" s="349">
        <f>IF(C4671="","",IFERROR(VLOOKUP(C4671,parametros!$A$11:$E$15,5,0),""))</f>
        <v/>
      </c>
      <c r="F4671" s="335">
        <f>IF(OR(D4671="",E4671=""),"",ROUND(D4671*E4671,2))</f>
        <v/>
      </c>
      <c r="G4671" s="106" t="n"/>
      <c r="H4671" s="350">
        <f>IF(G4671="Sim",IF(OR(F4671="",D4671="",L4671=""),"",IF(L4671="Sim",ROUND(F4671-D4671,2),0)),0)</f>
        <v/>
      </c>
      <c r="I4671" s="350">
        <f>IF(G4671="Sim",0,IF(OR(F4671="",L4671=""),"",F4671))</f>
        <v/>
      </c>
      <c r="J4671" s="350">
        <f>IF(G4671="Sim",0,IF(OR(F4671="",D4671="",L4671=""),"",IF(L4671="Sim",ROUND(F4671-D4671,2),0)))</f>
        <v/>
      </c>
      <c r="K4671" s="97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inlineStr">
        <is>
          <t>Nao</t>
        </is>
      </c>
      <c r="W4671" s="110" t="inlineStr">
        <is>
          <t>PC em analise</t>
        </is>
      </c>
      <c r="X4671" s="110" t="inlineStr">
        <is>
          <t>Pedido de Compra</t>
        </is>
      </c>
      <c r="Y4671" s="111" t="inlineStr">
        <is>
          <t>Impacto Potencial</t>
        </is>
      </c>
      <c r="Z4671" s="111" t="inlineStr">
        <is>
          <t>PC</t>
        </is>
      </c>
      <c r="AA4671" s="111" t="inlineStr">
        <is>
          <t>Nao</t>
        </is>
      </c>
      <c r="AB4671" s="111" t="inlineStr">
        <is>
          <t>NAO_COMPUTADO</t>
        </is>
      </c>
      <c r="AC4671" s="112" t="inlineStr">
        <is>
          <t>Estrutura Fase 1: sem impacto no VTA oficial</t>
        </is>
      </c>
    </row>
    <row r="4672" ht="25.5" customHeight="1" s="289">
      <c r="A4672" s="205" t="n"/>
      <c r="B4672" s="207" t="n"/>
      <c r="C4672" s="104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348" t="n"/>
      <c r="E4672" s="349">
        <f>IF(C4672="","",IFERROR(VLOOKUP(C4672,parametros!$A$11:$E$15,5,0),""))</f>
        <v/>
      </c>
      <c r="F4672" s="335">
        <f>IF(OR(D4672="",E4672=""),"",ROUND(D4672*E4672,2))</f>
        <v/>
      </c>
      <c r="G4672" s="106" t="n"/>
      <c r="H4672" s="350">
        <f>IF(G4672="Sim",IF(OR(F4672="",D4672="",L4672=""),"",IF(L4672="Sim",ROUND(F4672-D4672,2),0)),0)</f>
        <v/>
      </c>
      <c r="I4672" s="350">
        <f>IF(G4672="Sim",0,IF(OR(F4672="",L4672=""),"",F4672))</f>
        <v/>
      </c>
      <c r="J4672" s="350">
        <f>IF(G4672="Sim",0,IF(OR(F4672="",D4672="",L4672=""),"",IF(L4672="Sim",ROUND(F4672-D4672,2),0)))</f>
        <v/>
      </c>
      <c r="K4672" s="97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inlineStr">
        <is>
          <t>Nao</t>
        </is>
      </c>
      <c r="W4672" s="110" t="inlineStr">
        <is>
          <t>PC em analise</t>
        </is>
      </c>
      <c r="X4672" s="110" t="inlineStr">
        <is>
          <t>Pedido de Compra</t>
        </is>
      </c>
      <c r="Y4672" s="111" t="inlineStr">
        <is>
          <t>Impacto Potencial</t>
        </is>
      </c>
      <c r="Z4672" s="111" t="inlineStr">
        <is>
          <t>PC</t>
        </is>
      </c>
      <c r="AA4672" s="111" t="inlineStr">
        <is>
          <t>Nao</t>
        </is>
      </c>
      <c r="AB4672" s="111" t="inlineStr">
        <is>
          <t>NAO_COMPUTADO</t>
        </is>
      </c>
      <c r="AC4672" s="112" t="inlineStr">
        <is>
          <t>Estrutura Fase 1: sem impacto no VTA oficial</t>
        </is>
      </c>
    </row>
    <row r="4673" ht="25.5" customHeight="1" s="289">
      <c r="A4673" s="205" t="n"/>
      <c r="B4673" s="207" t="n"/>
      <c r="C4673" s="104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348" t="n"/>
      <c r="E4673" s="349">
        <f>IF(C4673="","",IFERROR(VLOOKUP(C4673,parametros!$A$11:$E$15,5,0),""))</f>
        <v/>
      </c>
      <c r="F4673" s="335">
        <f>IF(OR(D4673="",E4673=""),"",ROUND(D4673*E4673,2))</f>
        <v/>
      </c>
      <c r="G4673" s="106" t="n"/>
      <c r="H4673" s="350">
        <f>IF(G4673="Sim",IF(OR(F4673="",D4673="",L4673=""),"",IF(L4673="Sim",ROUND(F4673-D4673,2),0)),0)</f>
        <v/>
      </c>
      <c r="I4673" s="350">
        <f>IF(G4673="Sim",0,IF(OR(F4673="",L4673=""),"",F4673))</f>
        <v/>
      </c>
      <c r="J4673" s="350">
        <f>IF(G4673="Sim",0,IF(OR(F4673="",D4673="",L4673=""),"",IF(L4673="Sim",ROUND(F4673-D4673,2),0)))</f>
        <v/>
      </c>
      <c r="K4673" s="97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inlineStr">
        <is>
          <t>Nao</t>
        </is>
      </c>
      <c r="W4673" s="110" t="inlineStr">
        <is>
          <t>PC em analise</t>
        </is>
      </c>
      <c r="X4673" s="110" t="inlineStr">
        <is>
          <t>Pedido de Compra</t>
        </is>
      </c>
      <c r="Y4673" s="111" t="inlineStr">
        <is>
          <t>Impacto Potencial</t>
        </is>
      </c>
      <c r="Z4673" s="111" t="inlineStr">
        <is>
          <t>PC</t>
        </is>
      </c>
      <c r="AA4673" s="111" t="inlineStr">
        <is>
          <t>Nao</t>
        </is>
      </c>
      <c r="AB4673" s="111" t="inlineStr">
        <is>
          <t>NAO_COMPUTADO</t>
        </is>
      </c>
      <c r="AC4673" s="112" t="inlineStr">
        <is>
          <t>Estrutura Fase 1: sem impacto no VTA oficial</t>
        </is>
      </c>
    </row>
    <row r="4674" ht="25.5" customHeight="1" s="289">
      <c r="A4674" s="205" t="n"/>
      <c r="B4674" s="207" t="n"/>
      <c r="C4674" s="104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348" t="n"/>
      <c r="E4674" s="349">
        <f>IF(C4674="","",IFERROR(VLOOKUP(C4674,parametros!$A$11:$E$15,5,0),""))</f>
        <v/>
      </c>
      <c r="F4674" s="335">
        <f>IF(OR(D4674="",E4674=""),"",ROUND(D4674*E4674,2))</f>
        <v/>
      </c>
      <c r="G4674" s="106" t="n"/>
      <c r="H4674" s="350">
        <f>IF(G4674="Sim",IF(OR(F4674="",D4674="",L4674=""),"",IF(L4674="Sim",ROUND(F4674-D4674,2),0)),0)</f>
        <v/>
      </c>
      <c r="I4674" s="350">
        <f>IF(G4674="Sim",0,IF(OR(F4674="",L4674=""),"",F4674))</f>
        <v/>
      </c>
      <c r="J4674" s="350">
        <f>IF(G4674="Sim",0,IF(OR(F4674="",D4674="",L4674=""),"",IF(L4674="Sim",ROUND(F4674-D4674,2),0)))</f>
        <v/>
      </c>
      <c r="K4674" s="97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inlineStr">
        <is>
          <t>Nao</t>
        </is>
      </c>
      <c r="W4674" s="110" t="inlineStr">
        <is>
          <t>PC em analise</t>
        </is>
      </c>
      <c r="X4674" s="110" t="inlineStr">
        <is>
          <t>Pedido de Compra</t>
        </is>
      </c>
      <c r="Y4674" s="111" t="inlineStr">
        <is>
          <t>Impacto Potencial</t>
        </is>
      </c>
      <c r="Z4674" s="111" t="inlineStr">
        <is>
          <t>PC</t>
        </is>
      </c>
      <c r="AA4674" s="111" t="inlineStr">
        <is>
          <t>Nao</t>
        </is>
      </c>
      <c r="AB4674" s="111" t="inlineStr">
        <is>
          <t>NAO_COMPUTADO</t>
        </is>
      </c>
      <c r="AC4674" s="112" t="inlineStr">
        <is>
          <t>Estrutura Fase 1: sem impacto no VTA oficial</t>
        </is>
      </c>
    </row>
    <row r="4675" ht="25.5" customHeight="1" s="289">
      <c r="A4675" s="205" t="n"/>
      <c r="B4675" s="207" t="n"/>
      <c r="C4675" s="104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348" t="n"/>
      <c r="E4675" s="349">
        <f>IF(C4675="","",IFERROR(VLOOKUP(C4675,parametros!$A$11:$E$15,5,0),""))</f>
        <v/>
      </c>
      <c r="F4675" s="335">
        <f>IF(OR(D4675="",E4675=""),"",ROUND(D4675*E4675,2))</f>
        <v/>
      </c>
      <c r="G4675" s="106" t="n"/>
      <c r="H4675" s="350">
        <f>IF(G4675="Sim",IF(OR(F4675="",D4675="",L4675=""),"",IF(L4675="Sim",ROUND(F4675-D4675,2),0)),0)</f>
        <v/>
      </c>
      <c r="I4675" s="350">
        <f>IF(G4675="Sim",0,IF(OR(F4675="",L4675=""),"",F4675))</f>
        <v/>
      </c>
      <c r="J4675" s="350">
        <f>IF(G4675="Sim",0,IF(OR(F4675="",D4675="",L4675=""),"",IF(L4675="Sim",ROUND(F4675-D4675,2),0)))</f>
        <v/>
      </c>
      <c r="K4675" s="97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inlineStr">
        <is>
          <t>Nao</t>
        </is>
      </c>
      <c r="W4675" s="110" t="inlineStr">
        <is>
          <t>PC em analise</t>
        </is>
      </c>
      <c r="X4675" s="110" t="inlineStr">
        <is>
          <t>Pedido de Compra</t>
        </is>
      </c>
      <c r="Y4675" s="111" t="inlineStr">
        <is>
          <t>Impacto Potencial</t>
        </is>
      </c>
      <c r="Z4675" s="111" t="inlineStr">
        <is>
          <t>PC</t>
        </is>
      </c>
      <c r="AA4675" s="111" t="inlineStr">
        <is>
          <t>Nao</t>
        </is>
      </c>
      <c r="AB4675" s="111" t="inlineStr">
        <is>
          <t>NAO_COMPUTADO</t>
        </is>
      </c>
      <c r="AC4675" s="112" t="inlineStr">
        <is>
          <t>Estrutura Fase 1: sem impacto no VTA oficial</t>
        </is>
      </c>
    </row>
    <row r="4676" ht="25.5" customHeight="1" s="289">
      <c r="A4676" s="205" t="n"/>
      <c r="B4676" s="207" t="n"/>
      <c r="C4676" s="104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348" t="n"/>
      <c r="E4676" s="349">
        <f>IF(C4676="","",IFERROR(VLOOKUP(C4676,parametros!$A$11:$E$15,5,0),""))</f>
        <v/>
      </c>
      <c r="F4676" s="335">
        <f>IF(OR(D4676="",E4676=""),"",ROUND(D4676*E4676,2))</f>
        <v/>
      </c>
      <c r="G4676" s="106" t="n"/>
      <c r="H4676" s="350">
        <f>IF(G4676="Sim",IF(OR(F4676="",D4676="",L4676=""),"",IF(L4676="Sim",ROUND(F4676-D4676,2),0)),0)</f>
        <v/>
      </c>
      <c r="I4676" s="350">
        <f>IF(G4676="Sim",0,IF(OR(F4676="",L4676=""),"",F4676))</f>
        <v/>
      </c>
      <c r="J4676" s="350">
        <f>IF(G4676="Sim",0,IF(OR(F4676="",D4676="",L4676=""),"",IF(L4676="Sim",ROUND(F4676-D4676,2),0)))</f>
        <v/>
      </c>
      <c r="K4676" s="97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inlineStr">
        <is>
          <t>Nao</t>
        </is>
      </c>
      <c r="W4676" s="110" t="inlineStr">
        <is>
          <t>PC em analise</t>
        </is>
      </c>
      <c r="X4676" s="110" t="inlineStr">
        <is>
          <t>Pedido de Compra</t>
        </is>
      </c>
      <c r="Y4676" s="111" t="inlineStr">
        <is>
          <t>Impacto Potencial</t>
        </is>
      </c>
      <c r="Z4676" s="111" t="inlineStr">
        <is>
          <t>PC</t>
        </is>
      </c>
      <c r="AA4676" s="111" t="inlineStr">
        <is>
          <t>Nao</t>
        </is>
      </c>
      <c r="AB4676" s="111" t="inlineStr">
        <is>
          <t>NAO_COMPUTADO</t>
        </is>
      </c>
      <c r="AC4676" s="112" t="inlineStr">
        <is>
          <t>Estrutura Fase 1: sem impacto no VTA oficial</t>
        </is>
      </c>
    </row>
    <row r="4677" ht="25.5" customHeight="1" s="289">
      <c r="A4677" s="205" t="n"/>
      <c r="B4677" s="207" t="n"/>
      <c r="C4677" s="104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348" t="n"/>
      <c r="E4677" s="349">
        <f>IF(C4677="","",IFERROR(VLOOKUP(C4677,parametros!$A$11:$E$15,5,0),""))</f>
        <v/>
      </c>
      <c r="F4677" s="335">
        <f>IF(OR(D4677="",E4677=""),"",ROUND(D4677*E4677,2))</f>
        <v/>
      </c>
      <c r="G4677" s="106" t="n"/>
      <c r="H4677" s="350">
        <f>IF(G4677="Sim",IF(OR(F4677="",D4677="",L4677=""),"",IF(L4677="Sim",ROUND(F4677-D4677,2),0)),0)</f>
        <v/>
      </c>
      <c r="I4677" s="350">
        <f>IF(G4677="Sim",0,IF(OR(F4677="",L4677=""),"",F4677))</f>
        <v/>
      </c>
      <c r="J4677" s="350">
        <f>IF(G4677="Sim",0,IF(OR(F4677="",D4677="",L4677=""),"",IF(L4677="Sim",ROUND(F4677-D4677,2),0)))</f>
        <v/>
      </c>
      <c r="K4677" s="97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inlineStr">
        <is>
          <t>Nao</t>
        </is>
      </c>
      <c r="W4677" s="110" t="inlineStr">
        <is>
          <t>PC em analise</t>
        </is>
      </c>
      <c r="X4677" s="110" t="inlineStr">
        <is>
          <t>Pedido de Compra</t>
        </is>
      </c>
      <c r="Y4677" s="111" t="inlineStr">
        <is>
          <t>Impacto Potencial</t>
        </is>
      </c>
      <c r="Z4677" s="111" t="inlineStr">
        <is>
          <t>PC</t>
        </is>
      </c>
      <c r="AA4677" s="111" t="inlineStr">
        <is>
          <t>Nao</t>
        </is>
      </c>
      <c r="AB4677" s="111" t="inlineStr">
        <is>
          <t>NAO_COMPUTADO</t>
        </is>
      </c>
      <c r="AC4677" s="112" t="inlineStr">
        <is>
          <t>Estrutura Fase 1: sem impacto no VTA oficial</t>
        </is>
      </c>
    </row>
    <row r="4678" ht="25.5" customHeight="1" s="289">
      <c r="A4678" s="205" t="n"/>
      <c r="B4678" s="207" t="n"/>
      <c r="C4678" s="104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348" t="n"/>
      <c r="E4678" s="349">
        <f>IF(C4678="","",IFERROR(VLOOKUP(C4678,parametros!$A$11:$E$15,5,0),""))</f>
        <v/>
      </c>
      <c r="F4678" s="335">
        <f>IF(OR(D4678="",E4678=""),"",ROUND(D4678*E4678,2))</f>
        <v/>
      </c>
      <c r="G4678" s="106" t="n"/>
      <c r="H4678" s="350">
        <f>IF(G4678="Sim",IF(OR(F4678="",D4678="",L4678=""),"",IF(L4678="Sim",ROUND(F4678-D4678,2),0)),0)</f>
        <v/>
      </c>
      <c r="I4678" s="350">
        <f>IF(G4678="Sim",0,IF(OR(F4678="",L4678=""),"",F4678))</f>
        <v/>
      </c>
      <c r="J4678" s="350">
        <f>IF(G4678="Sim",0,IF(OR(F4678="",D4678="",L4678=""),"",IF(L4678="Sim",ROUND(F4678-D4678,2),0)))</f>
        <v/>
      </c>
      <c r="K4678" s="97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inlineStr">
        <is>
          <t>Nao</t>
        </is>
      </c>
      <c r="W4678" s="110" t="inlineStr">
        <is>
          <t>PC em analise</t>
        </is>
      </c>
      <c r="X4678" s="110" t="inlineStr">
        <is>
          <t>Pedido de Compra</t>
        </is>
      </c>
      <c r="Y4678" s="111" t="inlineStr">
        <is>
          <t>Impacto Potencial</t>
        </is>
      </c>
      <c r="Z4678" s="111" t="inlineStr">
        <is>
          <t>PC</t>
        </is>
      </c>
      <c r="AA4678" s="111" t="inlineStr">
        <is>
          <t>Nao</t>
        </is>
      </c>
      <c r="AB4678" s="111" t="inlineStr">
        <is>
          <t>NAO_COMPUTADO</t>
        </is>
      </c>
      <c r="AC4678" s="112" t="inlineStr">
        <is>
          <t>Estrutura Fase 1: sem impacto no VTA oficial</t>
        </is>
      </c>
    </row>
    <row r="4679" ht="25.5" customHeight="1" s="289">
      <c r="A4679" s="205" t="n"/>
      <c r="B4679" s="207" t="n"/>
      <c r="C4679" s="104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348" t="n"/>
      <c r="E4679" s="349">
        <f>IF(C4679="","",IFERROR(VLOOKUP(C4679,parametros!$A$11:$E$15,5,0),""))</f>
        <v/>
      </c>
      <c r="F4679" s="335">
        <f>IF(OR(D4679="",E4679=""),"",ROUND(D4679*E4679,2))</f>
        <v/>
      </c>
      <c r="G4679" s="106" t="n"/>
      <c r="H4679" s="350">
        <f>IF(G4679="Sim",IF(OR(F4679="",D4679="",L4679=""),"",IF(L4679="Sim",ROUND(F4679-D4679,2),0)),0)</f>
        <v/>
      </c>
      <c r="I4679" s="350">
        <f>IF(G4679="Sim",0,IF(OR(F4679="",L4679=""),"",F4679))</f>
        <v/>
      </c>
      <c r="J4679" s="350">
        <f>IF(G4679="Sim",0,IF(OR(F4679="",D4679="",L4679=""),"",IF(L4679="Sim",ROUND(F4679-D4679,2),0)))</f>
        <v/>
      </c>
      <c r="K4679" s="97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inlineStr">
        <is>
          <t>Nao</t>
        </is>
      </c>
      <c r="W4679" s="110" t="inlineStr">
        <is>
          <t>PC em analise</t>
        </is>
      </c>
      <c r="X4679" s="110" t="inlineStr">
        <is>
          <t>Pedido de Compra</t>
        </is>
      </c>
      <c r="Y4679" s="111" t="inlineStr">
        <is>
          <t>Impacto Potencial</t>
        </is>
      </c>
      <c r="Z4679" s="111" t="inlineStr">
        <is>
          <t>PC</t>
        </is>
      </c>
      <c r="AA4679" s="111" t="inlineStr">
        <is>
          <t>Nao</t>
        </is>
      </c>
      <c r="AB4679" s="111" t="inlineStr">
        <is>
          <t>NAO_COMPUTADO</t>
        </is>
      </c>
      <c r="AC4679" s="112" t="inlineStr">
        <is>
          <t>Estrutura Fase 1: sem impacto no VTA oficial</t>
        </is>
      </c>
    </row>
    <row r="4680" ht="25.5" customHeight="1" s="289">
      <c r="A4680" s="205" t="n"/>
      <c r="B4680" s="207" t="n"/>
      <c r="C4680" s="104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348" t="n"/>
      <c r="E4680" s="349">
        <f>IF(C4680="","",IFERROR(VLOOKUP(C4680,parametros!$A$11:$E$15,5,0),""))</f>
        <v/>
      </c>
      <c r="F4680" s="335">
        <f>IF(OR(D4680="",E4680=""),"",ROUND(D4680*E4680,2))</f>
        <v/>
      </c>
      <c r="G4680" s="106" t="n"/>
      <c r="H4680" s="350">
        <f>IF(G4680="Sim",IF(OR(F4680="",D4680="",L4680=""),"",IF(L4680="Sim",ROUND(F4680-D4680,2),0)),0)</f>
        <v/>
      </c>
      <c r="I4680" s="350">
        <f>IF(G4680="Sim",0,IF(OR(F4680="",L4680=""),"",F4680))</f>
        <v/>
      </c>
      <c r="J4680" s="350">
        <f>IF(G4680="Sim",0,IF(OR(F4680="",D4680="",L4680=""),"",IF(L4680="Sim",ROUND(F4680-D4680,2),0)))</f>
        <v/>
      </c>
      <c r="K4680" s="97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inlineStr">
        <is>
          <t>Nao</t>
        </is>
      </c>
      <c r="W4680" s="110" t="inlineStr">
        <is>
          <t>PC em analise</t>
        </is>
      </c>
      <c r="X4680" s="110" t="inlineStr">
        <is>
          <t>Pedido de Compra</t>
        </is>
      </c>
      <c r="Y4680" s="111" t="inlineStr">
        <is>
          <t>Impacto Potencial</t>
        </is>
      </c>
      <c r="Z4680" s="111" t="inlineStr">
        <is>
          <t>PC</t>
        </is>
      </c>
      <c r="AA4680" s="111" t="inlineStr">
        <is>
          <t>Nao</t>
        </is>
      </c>
      <c r="AB4680" s="111" t="inlineStr">
        <is>
          <t>NAO_COMPUTADO</t>
        </is>
      </c>
      <c r="AC4680" s="112" t="inlineStr">
        <is>
          <t>Estrutura Fase 1: sem impacto no VTA oficial</t>
        </is>
      </c>
    </row>
    <row r="4681" ht="25.5" customHeight="1" s="289">
      <c r="A4681" s="205" t="n"/>
      <c r="B4681" s="207" t="n"/>
      <c r="C4681" s="104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348" t="n"/>
      <c r="E4681" s="349">
        <f>IF(C4681="","",IFERROR(VLOOKUP(C4681,parametros!$A$11:$E$15,5,0),""))</f>
        <v/>
      </c>
      <c r="F4681" s="335">
        <f>IF(OR(D4681="",E4681=""),"",ROUND(D4681*E4681,2))</f>
        <v/>
      </c>
      <c r="G4681" s="106" t="n"/>
      <c r="H4681" s="350">
        <f>IF(G4681="Sim",IF(OR(F4681="",D4681="",L4681=""),"",IF(L4681="Sim",ROUND(F4681-D4681,2),0)),0)</f>
        <v/>
      </c>
      <c r="I4681" s="350">
        <f>IF(G4681="Sim",0,IF(OR(F4681="",L4681=""),"",F4681))</f>
        <v/>
      </c>
      <c r="J4681" s="350">
        <f>IF(G4681="Sim",0,IF(OR(F4681="",D4681="",L4681=""),"",IF(L4681="Sim",ROUND(F4681-D4681,2),0)))</f>
        <v/>
      </c>
      <c r="K4681" s="97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inlineStr">
        <is>
          <t>Nao</t>
        </is>
      </c>
      <c r="W4681" s="110" t="inlineStr">
        <is>
          <t>PC em analise</t>
        </is>
      </c>
      <c r="X4681" s="110" t="inlineStr">
        <is>
          <t>Pedido de Compra</t>
        </is>
      </c>
      <c r="Y4681" s="111" t="inlineStr">
        <is>
          <t>Impacto Potencial</t>
        </is>
      </c>
      <c r="Z4681" s="111" t="inlineStr">
        <is>
          <t>PC</t>
        </is>
      </c>
      <c r="AA4681" s="111" t="inlineStr">
        <is>
          <t>Nao</t>
        </is>
      </c>
      <c r="AB4681" s="111" t="inlineStr">
        <is>
          <t>NAO_COMPUTADO</t>
        </is>
      </c>
      <c r="AC4681" s="112" t="inlineStr">
        <is>
          <t>Estrutura Fase 1: sem impacto no VTA oficial</t>
        </is>
      </c>
    </row>
    <row r="4682" ht="25.5" customHeight="1" s="289">
      <c r="A4682" s="205" t="n"/>
      <c r="B4682" s="207" t="n"/>
      <c r="C4682" s="104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348" t="n"/>
      <c r="E4682" s="349">
        <f>IF(C4682="","",IFERROR(VLOOKUP(C4682,parametros!$A$11:$E$15,5,0),""))</f>
        <v/>
      </c>
      <c r="F4682" s="335">
        <f>IF(OR(D4682="",E4682=""),"",ROUND(D4682*E4682,2))</f>
        <v/>
      </c>
      <c r="G4682" s="106" t="n"/>
      <c r="H4682" s="350">
        <f>IF(G4682="Sim",IF(OR(F4682="",D4682="",L4682=""),"",IF(L4682="Sim",ROUND(F4682-D4682,2),0)),0)</f>
        <v/>
      </c>
      <c r="I4682" s="350">
        <f>IF(G4682="Sim",0,IF(OR(F4682="",L4682=""),"",F4682))</f>
        <v/>
      </c>
      <c r="J4682" s="350">
        <f>IF(G4682="Sim",0,IF(OR(F4682="",D4682="",L4682=""),"",IF(L4682="Sim",ROUND(F4682-D4682,2),0)))</f>
        <v/>
      </c>
      <c r="K4682" s="97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inlineStr">
        <is>
          <t>Nao</t>
        </is>
      </c>
      <c r="W4682" s="110" t="inlineStr">
        <is>
          <t>PC em analise</t>
        </is>
      </c>
      <c r="X4682" s="110" t="inlineStr">
        <is>
          <t>Pedido de Compra</t>
        </is>
      </c>
      <c r="Y4682" s="111" t="inlineStr">
        <is>
          <t>Impacto Potencial</t>
        </is>
      </c>
      <c r="Z4682" s="111" t="inlineStr">
        <is>
          <t>PC</t>
        </is>
      </c>
      <c r="AA4682" s="111" t="inlineStr">
        <is>
          <t>Nao</t>
        </is>
      </c>
      <c r="AB4682" s="111" t="inlineStr">
        <is>
          <t>NAO_COMPUTADO</t>
        </is>
      </c>
      <c r="AC4682" s="112" t="inlineStr">
        <is>
          <t>Estrutura Fase 1: sem impacto no VTA oficial</t>
        </is>
      </c>
    </row>
    <row r="4683" ht="25.5" customHeight="1" s="289">
      <c r="A4683" s="205" t="n"/>
      <c r="B4683" s="207" t="n"/>
      <c r="C4683" s="104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348" t="n"/>
      <c r="E4683" s="349">
        <f>IF(C4683="","",IFERROR(VLOOKUP(C4683,parametros!$A$11:$E$15,5,0),""))</f>
        <v/>
      </c>
      <c r="F4683" s="335">
        <f>IF(OR(D4683="",E4683=""),"",ROUND(D4683*E4683,2))</f>
        <v/>
      </c>
      <c r="G4683" s="106" t="n"/>
      <c r="H4683" s="350">
        <f>IF(G4683="Sim",IF(OR(F4683="",D4683="",L4683=""),"",IF(L4683="Sim",ROUND(F4683-D4683,2),0)),0)</f>
        <v/>
      </c>
      <c r="I4683" s="350">
        <f>IF(G4683="Sim",0,IF(OR(F4683="",L4683=""),"",F4683))</f>
        <v/>
      </c>
      <c r="J4683" s="350">
        <f>IF(G4683="Sim",0,IF(OR(F4683="",D4683="",L4683=""),"",IF(L4683="Sim",ROUND(F4683-D4683,2),0)))</f>
        <v/>
      </c>
      <c r="K4683" s="97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inlineStr">
        <is>
          <t>Nao</t>
        </is>
      </c>
      <c r="W4683" s="110" t="inlineStr">
        <is>
          <t>PC em analise</t>
        </is>
      </c>
      <c r="X4683" s="110" t="inlineStr">
        <is>
          <t>Pedido de Compra</t>
        </is>
      </c>
      <c r="Y4683" s="111" t="inlineStr">
        <is>
          <t>Impacto Potencial</t>
        </is>
      </c>
      <c r="Z4683" s="111" t="inlineStr">
        <is>
          <t>PC</t>
        </is>
      </c>
      <c r="AA4683" s="111" t="inlineStr">
        <is>
          <t>Nao</t>
        </is>
      </c>
      <c r="AB4683" s="111" t="inlineStr">
        <is>
          <t>NAO_COMPUTADO</t>
        </is>
      </c>
      <c r="AC4683" s="112" t="inlineStr">
        <is>
          <t>Estrutura Fase 1: sem impacto no VTA oficial</t>
        </is>
      </c>
    </row>
    <row r="4684" ht="25.5" customHeight="1" s="289">
      <c r="A4684" s="205" t="n"/>
      <c r="B4684" s="207" t="n"/>
      <c r="C4684" s="104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348" t="n"/>
      <c r="E4684" s="349">
        <f>IF(C4684="","",IFERROR(VLOOKUP(C4684,parametros!$A$11:$E$15,5,0),""))</f>
        <v/>
      </c>
      <c r="F4684" s="335">
        <f>IF(OR(D4684="",E4684=""),"",ROUND(D4684*E4684,2))</f>
        <v/>
      </c>
      <c r="G4684" s="106" t="n"/>
      <c r="H4684" s="350">
        <f>IF(G4684="Sim",IF(OR(F4684="",D4684="",L4684=""),"",IF(L4684="Sim",ROUND(F4684-D4684,2),0)),0)</f>
        <v/>
      </c>
      <c r="I4684" s="350">
        <f>IF(G4684="Sim",0,IF(OR(F4684="",L4684=""),"",F4684))</f>
        <v/>
      </c>
      <c r="J4684" s="350">
        <f>IF(G4684="Sim",0,IF(OR(F4684="",D4684="",L4684=""),"",IF(L4684="Sim",ROUND(F4684-D4684,2),0)))</f>
        <v/>
      </c>
      <c r="K4684" s="97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inlineStr">
        <is>
          <t>Nao</t>
        </is>
      </c>
      <c r="W4684" s="110" t="inlineStr">
        <is>
          <t>PC em analise</t>
        </is>
      </c>
      <c r="X4684" s="110" t="inlineStr">
        <is>
          <t>Pedido de Compra</t>
        </is>
      </c>
      <c r="Y4684" s="111" t="inlineStr">
        <is>
          <t>Impacto Potencial</t>
        </is>
      </c>
      <c r="Z4684" s="111" t="inlineStr">
        <is>
          <t>PC</t>
        </is>
      </c>
      <c r="AA4684" s="111" t="inlineStr">
        <is>
          <t>Nao</t>
        </is>
      </c>
      <c r="AB4684" s="111" t="inlineStr">
        <is>
          <t>NAO_COMPUTADO</t>
        </is>
      </c>
      <c r="AC4684" s="112" t="inlineStr">
        <is>
          <t>Estrutura Fase 1: sem impacto no VTA oficial</t>
        </is>
      </c>
    </row>
    <row r="4685" ht="25.5" customHeight="1" s="289">
      <c r="A4685" s="205" t="n"/>
      <c r="B4685" s="207" t="n"/>
      <c r="C4685" s="104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348" t="n"/>
      <c r="E4685" s="349">
        <f>IF(C4685="","",IFERROR(VLOOKUP(C4685,parametros!$A$11:$E$15,5,0),""))</f>
        <v/>
      </c>
      <c r="F4685" s="335">
        <f>IF(OR(D4685="",E4685=""),"",ROUND(D4685*E4685,2))</f>
        <v/>
      </c>
      <c r="G4685" s="106" t="n"/>
      <c r="H4685" s="350">
        <f>IF(G4685="Sim",IF(OR(F4685="",D4685="",L4685=""),"",IF(L4685="Sim",ROUND(F4685-D4685,2),0)),0)</f>
        <v/>
      </c>
      <c r="I4685" s="350">
        <f>IF(G4685="Sim",0,IF(OR(F4685="",L4685=""),"",F4685))</f>
        <v/>
      </c>
      <c r="J4685" s="350">
        <f>IF(G4685="Sim",0,IF(OR(F4685="",D4685="",L4685=""),"",IF(L4685="Sim",ROUND(F4685-D4685,2),0)))</f>
        <v/>
      </c>
      <c r="K4685" s="97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inlineStr">
        <is>
          <t>Nao</t>
        </is>
      </c>
      <c r="W4685" s="110" t="inlineStr">
        <is>
          <t>PC em analise</t>
        </is>
      </c>
      <c r="X4685" s="110" t="inlineStr">
        <is>
          <t>Pedido de Compra</t>
        </is>
      </c>
      <c r="Y4685" s="111" t="inlineStr">
        <is>
          <t>Impacto Potencial</t>
        </is>
      </c>
      <c r="Z4685" s="111" t="inlineStr">
        <is>
          <t>PC</t>
        </is>
      </c>
      <c r="AA4685" s="111" t="inlineStr">
        <is>
          <t>Nao</t>
        </is>
      </c>
      <c r="AB4685" s="111" t="inlineStr">
        <is>
          <t>NAO_COMPUTADO</t>
        </is>
      </c>
      <c r="AC4685" s="112" t="inlineStr">
        <is>
          <t>Estrutura Fase 1: sem impacto no VTA oficial</t>
        </is>
      </c>
    </row>
    <row r="4686" ht="25.5" customHeight="1" s="289">
      <c r="A4686" s="205" t="n"/>
      <c r="B4686" s="207" t="n"/>
      <c r="C4686" s="104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348" t="n"/>
      <c r="E4686" s="349">
        <f>IF(C4686="","",IFERROR(VLOOKUP(C4686,parametros!$A$11:$E$15,5,0),""))</f>
        <v/>
      </c>
      <c r="F4686" s="335">
        <f>IF(OR(D4686="",E4686=""),"",ROUND(D4686*E4686,2))</f>
        <v/>
      </c>
      <c r="G4686" s="106" t="n"/>
      <c r="H4686" s="350">
        <f>IF(G4686="Sim",IF(OR(F4686="",D4686="",L4686=""),"",IF(L4686="Sim",ROUND(F4686-D4686,2),0)),0)</f>
        <v/>
      </c>
      <c r="I4686" s="350">
        <f>IF(G4686="Sim",0,IF(OR(F4686="",L4686=""),"",F4686))</f>
        <v/>
      </c>
      <c r="J4686" s="350">
        <f>IF(G4686="Sim",0,IF(OR(F4686="",D4686="",L4686=""),"",IF(L4686="Sim",ROUND(F4686-D4686,2),0)))</f>
        <v/>
      </c>
      <c r="K4686" s="97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inlineStr">
        <is>
          <t>Nao</t>
        </is>
      </c>
      <c r="W4686" s="110" t="inlineStr">
        <is>
          <t>PC em analise</t>
        </is>
      </c>
      <c r="X4686" s="110" t="inlineStr">
        <is>
          <t>Pedido de Compra</t>
        </is>
      </c>
      <c r="Y4686" s="111" t="inlineStr">
        <is>
          <t>Impacto Potencial</t>
        </is>
      </c>
      <c r="Z4686" s="111" t="inlineStr">
        <is>
          <t>PC</t>
        </is>
      </c>
      <c r="AA4686" s="111" t="inlineStr">
        <is>
          <t>Nao</t>
        </is>
      </c>
      <c r="AB4686" s="111" t="inlineStr">
        <is>
          <t>NAO_COMPUTADO</t>
        </is>
      </c>
      <c r="AC4686" s="112" t="inlineStr">
        <is>
          <t>Estrutura Fase 1: sem impacto no VTA oficial</t>
        </is>
      </c>
    </row>
    <row r="4687" ht="25.5" customHeight="1" s="289">
      <c r="A4687" s="205" t="n"/>
      <c r="B4687" s="207" t="n"/>
      <c r="C4687" s="104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348" t="n"/>
      <c r="E4687" s="349">
        <f>IF(C4687="","",IFERROR(VLOOKUP(C4687,parametros!$A$11:$E$15,5,0),""))</f>
        <v/>
      </c>
      <c r="F4687" s="335">
        <f>IF(OR(D4687="",E4687=""),"",ROUND(D4687*E4687,2))</f>
        <v/>
      </c>
      <c r="G4687" s="106" t="n"/>
      <c r="H4687" s="350">
        <f>IF(G4687="Sim",IF(OR(F4687="",D4687="",L4687=""),"",IF(L4687="Sim",ROUND(F4687-D4687,2),0)),0)</f>
        <v/>
      </c>
      <c r="I4687" s="350">
        <f>IF(G4687="Sim",0,IF(OR(F4687="",L4687=""),"",F4687))</f>
        <v/>
      </c>
      <c r="J4687" s="350">
        <f>IF(G4687="Sim",0,IF(OR(F4687="",D4687="",L4687=""),"",IF(L4687="Sim",ROUND(F4687-D4687,2),0)))</f>
        <v/>
      </c>
      <c r="K4687" s="97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inlineStr">
        <is>
          <t>Nao</t>
        </is>
      </c>
      <c r="W4687" s="110" t="inlineStr">
        <is>
          <t>PC em analise</t>
        </is>
      </c>
      <c r="X4687" s="110" t="inlineStr">
        <is>
          <t>Pedido de Compra</t>
        </is>
      </c>
      <c r="Y4687" s="111" t="inlineStr">
        <is>
          <t>Impacto Potencial</t>
        </is>
      </c>
      <c r="Z4687" s="111" t="inlineStr">
        <is>
          <t>PC</t>
        </is>
      </c>
      <c r="AA4687" s="111" t="inlineStr">
        <is>
          <t>Nao</t>
        </is>
      </c>
      <c r="AB4687" s="111" t="inlineStr">
        <is>
          <t>NAO_COMPUTADO</t>
        </is>
      </c>
      <c r="AC4687" s="112" t="inlineStr">
        <is>
          <t>Estrutura Fase 1: sem impacto no VTA oficial</t>
        </is>
      </c>
    </row>
    <row r="4688" ht="25.5" customHeight="1" s="289">
      <c r="A4688" s="205" t="n"/>
      <c r="B4688" s="207" t="n"/>
      <c r="C4688" s="104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348" t="n"/>
      <c r="E4688" s="349">
        <f>IF(C4688="","",IFERROR(VLOOKUP(C4688,parametros!$A$11:$E$15,5,0),""))</f>
        <v/>
      </c>
      <c r="F4688" s="335">
        <f>IF(OR(D4688="",E4688=""),"",ROUND(D4688*E4688,2))</f>
        <v/>
      </c>
      <c r="G4688" s="106" t="n"/>
      <c r="H4688" s="350">
        <f>IF(G4688="Sim",IF(OR(F4688="",D4688="",L4688=""),"",IF(L4688="Sim",ROUND(F4688-D4688,2),0)),0)</f>
        <v/>
      </c>
      <c r="I4688" s="350">
        <f>IF(G4688="Sim",0,IF(OR(F4688="",L4688=""),"",F4688))</f>
        <v/>
      </c>
      <c r="J4688" s="350">
        <f>IF(G4688="Sim",0,IF(OR(F4688="",D4688="",L4688=""),"",IF(L4688="Sim",ROUND(F4688-D4688,2),0)))</f>
        <v/>
      </c>
      <c r="K4688" s="97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inlineStr">
        <is>
          <t>Nao</t>
        </is>
      </c>
      <c r="W4688" s="110" t="inlineStr">
        <is>
          <t>PC em analise</t>
        </is>
      </c>
      <c r="X4688" s="110" t="inlineStr">
        <is>
          <t>Pedido de Compra</t>
        </is>
      </c>
      <c r="Y4688" s="111" t="inlineStr">
        <is>
          <t>Impacto Potencial</t>
        </is>
      </c>
      <c r="Z4688" s="111" t="inlineStr">
        <is>
          <t>PC</t>
        </is>
      </c>
      <c r="AA4688" s="111" t="inlineStr">
        <is>
          <t>Nao</t>
        </is>
      </c>
      <c r="AB4688" s="111" t="inlineStr">
        <is>
          <t>NAO_COMPUTADO</t>
        </is>
      </c>
      <c r="AC4688" s="112" t="inlineStr">
        <is>
          <t>Estrutura Fase 1: sem impacto no VTA oficial</t>
        </is>
      </c>
    </row>
    <row r="4689" ht="25.5" customHeight="1" s="289">
      <c r="A4689" s="205" t="n"/>
      <c r="B4689" s="207" t="n"/>
      <c r="C4689" s="104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348" t="n"/>
      <c r="E4689" s="349">
        <f>IF(C4689="","",IFERROR(VLOOKUP(C4689,parametros!$A$11:$E$15,5,0),""))</f>
        <v/>
      </c>
      <c r="F4689" s="335">
        <f>IF(OR(D4689="",E4689=""),"",ROUND(D4689*E4689,2))</f>
        <v/>
      </c>
      <c r="G4689" s="106" t="n"/>
      <c r="H4689" s="350">
        <f>IF(G4689="Sim",IF(OR(F4689="",D4689="",L4689=""),"",IF(L4689="Sim",ROUND(F4689-D4689,2),0)),0)</f>
        <v/>
      </c>
      <c r="I4689" s="350">
        <f>IF(G4689="Sim",0,IF(OR(F4689="",L4689=""),"",F4689))</f>
        <v/>
      </c>
      <c r="J4689" s="350">
        <f>IF(G4689="Sim",0,IF(OR(F4689="",D4689="",L4689=""),"",IF(L4689="Sim",ROUND(F4689-D4689,2),0)))</f>
        <v/>
      </c>
      <c r="K4689" s="97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inlineStr">
        <is>
          <t>Nao</t>
        </is>
      </c>
      <c r="W4689" s="110" t="inlineStr">
        <is>
          <t>PC em analise</t>
        </is>
      </c>
      <c r="X4689" s="110" t="inlineStr">
        <is>
          <t>Pedido de Compra</t>
        </is>
      </c>
      <c r="Y4689" s="111" t="inlineStr">
        <is>
          <t>Impacto Potencial</t>
        </is>
      </c>
      <c r="Z4689" s="111" t="inlineStr">
        <is>
          <t>PC</t>
        </is>
      </c>
      <c r="AA4689" s="111" t="inlineStr">
        <is>
          <t>Nao</t>
        </is>
      </c>
      <c r="AB4689" s="111" t="inlineStr">
        <is>
          <t>NAO_COMPUTADO</t>
        </is>
      </c>
      <c r="AC4689" s="112" t="inlineStr">
        <is>
          <t>Estrutura Fase 1: sem impacto no VTA oficial</t>
        </is>
      </c>
    </row>
    <row r="4690" ht="25.5" customHeight="1" s="289">
      <c r="A4690" s="205" t="n"/>
      <c r="B4690" s="207" t="n"/>
      <c r="C4690" s="104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348" t="n"/>
      <c r="E4690" s="349">
        <f>IF(C4690="","",IFERROR(VLOOKUP(C4690,parametros!$A$11:$E$15,5,0),""))</f>
        <v/>
      </c>
      <c r="F4690" s="335">
        <f>IF(OR(D4690="",E4690=""),"",ROUND(D4690*E4690,2))</f>
        <v/>
      </c>
      <c r="G4690" s="106" t="n"/>
      <c r="H4690" s="350">
        <f>IF(G4690="Sim",IF(OR(F4690="",D4690="",L4690=""),"",IF(L4690="Sim",ROUND(F4690-D4690,2),0)),0)</f>
        <v/>
      </c>
      <c r="I4690" s="350">
        <f>IF(G4690="Sim",0,IF(OR(F4690="",L4690=""),"",F4690))</f>
        <v/>
      </c>
      <c r="J4690" s="350">
        <f>IF(G4690="Sim",0,IF(OR(F4690="",D4690="",L4690=""),"",IF(L4690="Sim",ROUND(F4690-D4690,2),0)))</f>
        <v/>
      </c>
      <c r="K4690" s="97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inlineStr">
        <is>
          <t>Nao</t>
        </is>
      </c>
      <c r="W4690" s="110" t="inlineStr">
        <is>
          <t>PC em analise</t>
        </is>
      </c>
      <c r="X4690" s="110" t="inlineStr">
        <is>
          <t>Pedido de Compra</t>
        </is>
      </c>
      <c r="Y4690" s="111" t="inlineStr">
        <is>
          <t>Impacto Potencial</t>
        </is>
      </c>
      <c r="Z4690" s="111" t="inlineStr">
        <is>
          <t>PC</t>
        </is>
      </c>
      <c r="AA4690" s="111" t="inlineStr">
        <is>
          <t>Nao</t>
        </is>
      </c>
      <c r="AB4690" s="111" t="inlineStr">
        <is>
          <t>NAO_COMPUTADO</t>
        </is>
      </c>
      <c r="AC4690" s="112" t="inlineStr">
        <is>
          <t>Estrutura Fase 1: sem impacto no VTA oficial</t>
        </is>
      </c>
    </row>
    <row r="4691" ht="25.5" customHeight="1" s="289">
      <c r="A4691" s="205" t="n"/>
      <c r="B4691" s="207" t="n"/>
      <c r="C4691" s="104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348" t="n"/>
      <c r="E4691" s="349">
        <f>IF(C4691="","",IFERROR(VLOOKUP(C4691,parametros!$A$11:$E$15,5,0),""))</f>
        <v/>
      </c>
      <c r="F4691" s="335">
        <f>IF(OR(D4691="",E4691=""),"",ROUND(D4691*E4691,2))</f>
        <v/>
      </c>
      <c r="G4691" s="106" t="n"/>
      <c r="H4691" s="350">
        <f>IF(G4691="Sim",IF(OR(F4691="",D4691="",L4691=""),"",IF(L4691="Sim",ROUND(F4691-D4691,2),0)),0)</f>
        <v/>
      </c>
      <c r="I4691" s="350">
        <f>IF(G4691="Sim",0,IF(OR(F4691="",L4691=""),"",F4691))</f>
        <v/>
      </c>
      <c r="J4691" s="350">
        <f>IF(G4691="Sim",0,IF(OR(F4691="",D4691="",L4691=""),"",IF(L4691="Sim",ROUND(F4691-D4691,2),0)))</f>
        <v/>
      </c>
      <c r="K4691" s="97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inlineStr">
        <is>
          <t>Nao</t>
        </is>
      </c>
      <c r="W4691" s="110" t="inlineStr">
        <is>
          <t>PC em analise</t>
        </is>
      </c>
      <c r="X4691" s="110" t="inlineStr">
        <is>
          <t>Pedido de Compra</t>
        </is>
      </c>
      <c r="Y4691" s="111" t="inlineStr">
        <is>
          <t>Impacto Potencial</t>
        </is>
      </c>
      <c r="Z4691" s="111" t="inlineStr">
        <is>
          <t>PC</t>
        </is>
      </c>
      <c r="AA4691" s="111" t="inlineStr">
        <is>
          <t>Nao</t>
        </is>
      </c>
      <c r="AB4691" s="111" t="inlineStr">
        <is>
          <t>NAO_COMPUTADO</t>
        </is>
      </c>
      <c r="AC4691" s="112" t="inlineStr">
        <is>
          <t>Estrutura Fase 1: sem impacto no VTA oficial</t>
        </is>
      </c>
    </row>
    <row r="4692" ht="25.5" customHeight="1" s="289">
      <c r="A4692" s="205" t="n"/>
      <c r="B4692" s="207" t="n"/>
      <c r="C4692" s="104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348" t="n"/>
      <c r="E4692" s="349">
        <f>IF(C4692="","",IFERROR(VLOOKUP(C4692,parametros!$A$11:$E$15,5,0),""))</f>
        <v/>
      </c>
      <c r="F4692" s="335">
        <f>IF(OR(D4692="",E4692=""),"",ROUND(D4692*E4692,2))</f>
        <v/>
      </c>
      <c r="G4692" s="106" t="n"/>
      <c r="H4692" s="350">
        <f>IF(G4692="Sim",IF(OR(F4692="",D4692="",L4692=""),"",IF(L4692="Sim",ROUND(F4692-D4692,2),0)),0)</f>
        <v/>
      </c>
      <c r="I4692" s="350">
        <f>IF(G4692="Sim",0,IF(OR(F4692="",L4692=""),"",F4692))</f>
        <v/>
      </c>
      <c r="J4692" s="350">
        <f>IF(G4692="Sim",0,IF(OR(F4692="",D4692="",L4692=""),"",IF(L4692="Sim",ROUND(F4692-D4692,2),0)))</f>
        <v/>
      </c>
      <c r="K4692" s="97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inlineStr">
        <is>
          <t>Nao</t>
        </is>
      </c>
      <c r="W4692" s="110" t="inlineStr">
        <is>
          <t>PC em analise</t>
        </is>
      </c>
      <c r="X4692" s="110" t="inlineStr">
        <is>
          <t>Pedido de Compra</t>
        </is>
      </c>
      <c r="Y4692" s="111" t="inlineStr">
        <is>
          <t>Impacto Potencial</t>
        </is>
      </c>
      <c r="Z4692" s="111" t="inlineStr">
        <is>
          <t>PC</t>
        </is>
      </c>
      <c r="AA4692" s="111" t="inlineStr">
        <is>
          <t>Nao</t>
        </is>
      </c>
      <c r="AB4692" s="111" t="inlineStr">
        <is>
          <t>NAO_COMPUTADO</t>
        </is>
      </c>
      <c r="AC4692" s="112" t="inlineStr">
        <is>
          <t>Estrutura Fase 1: sem impacto no VTA oficial</t>
        </is>
      </c>
    </row>
    <row r="4693" ht="25.5" customHeight="1" s="289">
      <c r="A4693" s="205" t="n"/>
      <c r="B4693" s="207" t="n"/>
      <c r="C4693" s="104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348" t="n"/>
      <c r="E4693" s="349">
        <f>IF(C4693="","",IFERROR(VLOOKUP(C4693,parametros!$A$11:$E$15,5,0),""))</f>
        <v/>
      </c>
      <c r="F4693" s="335">
        <f>IF(OR(D4693="",E4693=""),"",ROUND(D4693*E4693,2))</f>
        <v/>
      </c>
      <c r="G4693" s="106" t="n"/>
      <c r="H4693" s="350">
        <f>IF(G4693="Sim",IF(OR(F4693="",D4693="",L4693=""),"",IF(L4693="Sim",ROUND(F4693-D4693,2),0)),0)</f>
        <v/>
      </c>
      <c r="I4693" s="350">
        <f>IF(G4693="Sim",0,IF(OR(F4693="",L4693=""),"",F4693))</f>
        <v/>
      </c>
      <c r="J4693" s="350">
        <f>IF(G4693="Sim",0,IF(OR(F4693="",D4693="",L4693=""),"",IF(L4693="Sim",ROUND(F4693-D4693,2),0)))</f>
        <v/>
      </c>
      <c r="K4693" s="97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inlineStr">
        <is>
          <t>Nao</t>
        </is>
      </c>
      <c r="W4693" s="110" t="inlineStr">
        <is>
          <t>PC em analise</t>
        </is>
      </c>
      <c r="X4693" s="110" t="inlineStr">
        <is>
          <t>Pedido de Compra</t>
        </is>
      </c>
      <c r="Y4693" s="111" t="inlineStr">
        <is>
          <t>Impacto Potencial</t>
        </is>
      </c>
      <c r="Z4693" s="111" t="inlineStr">
        <is>
          <t>PC</t>
        </is>
      </c>
      <c r="AA4693" s="111" t="inlineStr">
        <is>
          <t>Nao</t>
        </is>
      </c>
      <c r="AB4693" s="111" t="inlineStr">
        <is>
          <t>NAO_COMPUTADO</t>
        </is>
      </c>
      <c r="AC4693" s="112" t="inlineStr">
        <is>
          <t>Estrutura Fase 1: sem impacto no VTA oficial</t>
        </is>
      </c>
    </row>
    <row r="4694" ht="25.5" customHeight="1" s="289">
      <c r="A4694" s="205" t="n"/>
      <c r="B4694" s="207" t="n"/>
      <c r="C4694" s="104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348" t="n"/>
      <c r="E4694" s="349">
        <f>IF(C4694="","",IFERROR(VLOOKUP(C4694,parametros!$A$11:$E$15,5,0),""))</f>
        <v/>
      </c>
      <c r="F4694" s="335">
        <f>IF(OR(D4694="",E4694=""),"",ROUND(D4694*E4694,2))</f>
        <v/>
      </c>
      <c r="G4694" s="106" t="n"/>
      <c r="H4694" s="350">
        <f>IF(G4694="Sim",IF(OR(F4694="",D4694="",L4694=""),"",IF(L4694="Sim",ROUND(F4694-D4694,2),0)),0)</f>
        <v/>
      </c>
      <c r="I4694" s="350">
        <f>IF(G4694="Sim",0,IF(OR(F4694="",L4694=""),"",F4694))</f>
        <v/>
      </c>
      <c r="J4694" s="350">
        <f>IF(G4694="Sim",0,IF(OR(F4694="",D4694="",L4694=""),"",IF(L4694="Sim",ROUND(F4694-D4694,2),0)))</f>
        <v/>
      </c>
      <c r="K4694" s="97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inlineStr">
        <is>
          <t>Nao</t>
        </is>
      </c>
      <c r="W4694" s="110" t="inlineStr">
        <is>
          <t>PC em analise</t>
        </is>
      </c>
      <c r="X4694" s="110" t="inlineStr">
        <is>
          <t>Pedido de Compra</t>
        </is>
      </c>
      <c r="Y4694" s="111" t="inlineStr">
        <is>
          <t>Impacto Potencial</t>
        </is>
      </c>
      <c r="Z4694" s="111" t="inlineStr">
        <is>
          <t>PC</t>
        </is>
      </c>
      <c r="AA4694" s="111" t="inlineStr">
        <is>
          <t>Nao</t>
        </is>
      </c>
      <c r="AB4694" s="111" t="inlineStr">
        <is>
          <t>NAO_COMPUTADO</t>
        </is>
      </c>
      <c r="AC4694" s="112" t="inlineStr">
        <is>
          <t>Estrutura Fase 1: sem impacto no VTA oficial</t>
        </is>
      </c>
    </row>
    <row r="4695" ht="25.5" customHeight="1" s="289">
      <c r="A4695" s="205" t="n"/>
      <c r="B4695" s="207" t="n"/>
      <c r="C4695" s="104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348" t="n"/>
      <c r="E4695" s="349">
        <f>IF(C4695="","",IFERROR(VLOOKUP(C4695,parametros!$A$11:$E$15,5,0),""))</f>
        <v/>
      </c>
      <c r="F4695" s="335">
        <f>IF(OR(D4695="",E4695=""),"",ROUND(D4695*E4695,2))</f>
        <v/>
      </c>
      <c r="G4695" s="106" t="n"/>
      <c r="H4695" s="350">
        <f>IF(G4695="Sim",IF(OR(F4695="",D4695="",L4695=""),"",IF(L4695="Sim",ROUND(F4695-D4695,2),0)),0)</f>
        <v/>
      </c>
      <c r="I4695" s="350">
        <f>IF(G4695="Sim",0,IF(OR(F4695="",L4695=""),"",F4695))</f>
        <v/>
      </c>
      <c r="J4695" s="350">
        <f>IF(G4695="Sim",0,IF(OR(F4695="",D4695="",L4695=""),"",IF(L4695="Sim",ROUND(F4695-D4695,2),0)))</f>
        <v/>
      </c>
      <c r="K4695" s="97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inlineStr">
        <is>
          <t>Nao</t>
        </is>
      </c>
      <c r="W4695" s="110" t="inlineStr">
        <is>
          <t>PC em analise</t>
        </is>
      </c>
      <c r="X4695" s="110" t="inlineStr">
        <is>
          <t>Pedido de Compra</t>
        </is>
      </c>
      <c r="Y4695" s="111" t="inlineStr">
        <is>
          <t>Impacto Potencial</t>
        </is>
      </c>
      <c r="Z4695" s="111" t="inlineStr">
        <is>
          <t>PC</t>
        </is>
      </c>
      <c r="AA4695" s="111" t="inlineStr">
        <is>
          <t>Nao</t>
        </is>
      </c>
      <c r="AB4695" s="111" t="inlineStr">
        <is>
          <t>NAO_COMPUTADO</t>
        </is>
      </c>
      <c r="AC4695" s="112" t="inlineStr">
        <is>
          <t>Estrutura Fase 1: sem impacto no VTA oficial</t>
        </is>
      </c>
    </row>
    <row r="4696" ht="25.5" customHeight="1" s="289">
      <c r="A4696" s="205" t="n"/>
      <c r="B4696" s="207" t="n"/>
      <c r="C4696" s="104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348" t="n"/>
      <c r="E4696" s="349">
        <f>IF(C4696="","",IFERROR(VLOOKUP(C4696,parametros!$A$11:$E$15,5,0),""))</f>
        <v/>
      </c>
      <c r="F4696" s="335">
        <f>IF(OR(D4696="",E4696=""),"",ROUND(D4696*E4696,2))</f>
        <v/>
      </c>
      <c r="G4696" s="106" t="n"/>
      <c r="H4696" s="350">
        <f>IF(G4696="Sim",IF(OR(F4696="",D4696="",L4696=""),"",IF(L4696="Sim",ROUND(F4696-D4696,2),0)),0)</f>
        <v/>
      </c>
      <c r="I4696" s="350">
        <f>IF(G4696="Sim",0,IF(OR(F4696="",L4696=""),"",F4696))</f>
        <v/>
      </c>
      <c r="J4696" s="350">
        <f>IF(G4696="Sim",0,IF(OR(F4696="",D4696="",L4696=""),"",IF(L4696="Sim",ROUND(F4696-D4696,2),0)))</f>
        <v/>
      </c>
      <c r="K4696" s="97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inlineStr">
        <is>
          <t>Nao</t>
        </is>
      </c>
      <c r="W4696" s="110" t="inlineStr">
        <is>
          <t>PC em analise</t>
        </is>
      </c>
      <c r="X4696" s="110" t="inlineStr">
        <is>
          <t>Pedido de Compra</t>
        </is>
      </c>
      <c r="Y4696" s="111" t="inlineStr">
        <is>
          <t>Impacto Potencial</t>
        </is>
      </c>
      <c r="Z4696" s="111" t="inlineStr">
        <is>
          <t>PC</t>
        </is>
      </c>
      <c r="AA4696" s="111" t="inlineStr">
        <is>
          <t>Nao</t>
        </is>
      </c>
      <c r="AB4696" s="111" t="inlineStr">
        <is>
          <t>NAO_COMPUTADO</t>
        </is>
      </c>
      <c r="AC4696" s="112" t="inlineStr">
        <is>
          <t>Estrutura Fase 1: sem impacto no VTA oficial</t>
        </is>
      </c>
    </row>
    <row r="4697" ht="25.5" customHeight="1" s="289">
      <c r="A4697" s="205" t="n"/>
      <c r="B4697" s="207" t="n"/>
      <c r="C4697" s="104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348" t="n"/>
      <c r="E4697" s="349">
        <f>IF(C4697="","",IFERROR(VLOOKUP(C4697,parametros!$A$11:$E$15,5,0),""))</f>
        <v/>
      </c>
      <c r="F4697" s="335">
        <f>IF(OR(D4697="",E4697=""),"",ROUND(D4697*E4697,2))</f>
        <v/>
      </c>
      <c r="G4697" s="106" t="n"/>
      <c r="H4697" s="350">
        <f>IF(G4697="Sim",IF(OR(F4697="",D4697="",L4697=""),"",IF(L4697="Sim",ROUND(F4697-D4697,2),0)),0)</f>
        <v/>
      </c>
      <c r="I4697" s="350">
        <f>IF(G4697="Sim",0,IF(OR(F4697="",L4697=""),"",F4697))</f>
        <v/>
      </c>
      <c r="J4697" s="350">
        <f>IF(G4697="Sim",0,IF(OR(F4697="",D4697="",L4697=""),"",IF(L4697="Sim",ROUND(F4697-D4697,2),0)))</f>
        <v/>
      </c>
      <c r="K4697" s="97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inlineStr">
        <is>
          <t>Nao</t>
        </is>
      </c>
      <c r="W4697" s="110" t="inlineStr">
        <is>
          <t>PC em analise</t>
        </is>
      </c>
      <c r="X4697" s="110" t="inlineStr">
        <is>
          <t>Pedido de Compra</t>
        </is>
      </c>
      <c r="Y4697" s="111" t="inlineStr">
        <is>
          <t>Impacto Potencial</t>
        </is>
      </c>
      <c r="Z4697" s="111" t="inlineStr">
        <is>
          <t>PC</t>
        </is>
      </c>
      <c r="AA4697" s="111" t="inlineStr">
        <is>
          <t>Nao</t>
        </is>
      </c>
      <c r="AB4697" s="111" t="inlineStr">
        <is>
          <t>NAO_COMPUTADO</t>
        </is>
      </c>
      <c r="AC4697" s="112" t="inlineStr">
        <is>
          <t>Estrutura Fase 1: sem impacto no VTA oficial</t>
        </is>
      </c>
    </row>
    <row r="4698" ht="25.5" customHeight="1" s="289">
      <c r="A4698" s="205" t="n"/>
      <c r="B4698" s="207" t="n"/>
      <c r="C4698" s="104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348" t="n"/>
      <c r="E4698" s="349">
        <f>IF(C4698="","",IFERROR(VLOOKUP(C4698,parametros!$A$11:$E$15,5,0),""))</f>
        <v/>
      </c>
      <c r="F4698" s="335">
        <f>IF(OR(D4698="",E4698=""),"",ROUND(D4698*E4698,2))</f>
        <v/>
      </c>
      <c r="G4698" s="106" t="n"/>
      <c r="H4698" s="350">
        <f>IF(G4698="Sim",IF(OR(F4698="",D4698="",L4698=""),"",IF(L4698="Sim",ROUND(F4698-D4698,2),0)),0)</f>
        <v/>
      </c>
      <c r="I4698" s="350">
        <f>IF(G4698="Sim",0,IF(OR(F4698="",L4698=""),"",F4698))</f>
        <v/>
      </c>
      <c r="J4698" s="350">
        <f>IF(G4698="Sim",0,IF(OR(F4698="",D4698="",L4698=""),"",IF(L4698="Sim",ROUND(F4698-D4698,2),0)))</f>
        <v/>
      </c>
      <c r="K4698" s="97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inlineStr">
        <is>
          <t>Nao</t>
        </is>
      </c>
      <c r="W4698" s="110" t="inlineStr">
        <is>
          <t>PC em analise</t>
        </is>
      </c>
      <c r="X4698" s="110" t="inlineStr">
        <is>
          <t>Pedido de Compra</t>
        </is>
      </c>
      <c r="Y4698" s="111" t="inlineStr">
        <is>
          <t>Impacto Potencial</t>
        </is>
      </c>
      <c r="Z4698" s="111" t="inlineStr">
        <is>
          <t>PC</t>
        </is>
      </c>
      <c r="AA4698" s="111" t="inlineStr">
        <is>
          <t>Nao</t>
        </is>
      </c>
      <c r="AB4698" s="111" t="inlineStr">
        <is>
          <t>NAO_COMPUTADO</t>
        </is>
      </c>
      <c r="AC4698" s="112" t="inlineStr">
        <is>
          <t>Estrutura Fase 1: sem impacto no VTA oficial</t>
        </is>
      </c>
    </row>
    <row r="4699" ht="25.5" customHeight="1" s="289">
      <c r="A4699" s="205" t="n"/>
      <c r="B4699" s="207" t="n"/>
      <c r="C4699" s="104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348" t="n"/>
      <c r="E4699" s="349">
        <f>IF(C4699="","",IFERROR(VLOOKUP(C4699,parametros!$A$11:$E$15,5,0),""))</f>
        <v/>
      </c>
      <c r="F4699" s="335">
        <f>IF(OR(D4699="",E4699=""),"",ROUND(D4699*E4699,2))</f>
        <v/>
      </c>
      <c r="G4699" s="106" t="n"/>
      <c r="H4699" s="350">
        <f>IF(G4699="Sim",IF(OR(F4699="",D4699="",L4699=""),"",IF(L4699="Sim",ROUND(F4699-D4699,2),0)),0)</f>
        <v/>
      </c>
      <c r="I4699" s="350">
        <f>IF(G4699="Sim",0,IF(OR(F4699="",L4699=""),"",F4699))</f>
        <v/>
      </c>
      <c r="J4699" s="350">
        <f>IF(G4699="Sim",0,IF(OR(F4699="",D4699="",L4699=""),"",IF(L4699="Sim",ROUND(F4699-D4699,2),0)))</f>
        <v/>
      </c>
      <c r="K4699" s="97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inlineStr">
        <is>
          <t>Nao</t>
        </is>
      </c>
      <c r="W4699" s="110" t="inlineStr">
        <is>
          <t>PC em analise</t>
        </is>
      </c>
      <c r="X4699" s="110" t="inlineStr">
        <is>
          <t>Pedido de Compra</t>
        </is>
      </c>
      <c r="Y4699" s="111" t="inlineStr">
        <is>
          <t>Impacto Potencial</t>
        </is>
      </c>
      <c r="Z4699" s="111" t="inlineStr">
        <is>
          <t>PC</t>
        </is>
      </c>
      <c r="AA4699" s="111" t="inlineStr">
        <is>
          <t>Nao</t>
        </is>
      </c>
      <c r="AB4699" s="111" t="inlineStr">
        <is>
          <t>NAO_COMPUTADO</t>
        </is>
      </c>
      <c r="AC4699" s="112" t="inlineStr">
        <is>
          <t>Estrutura Fase 1: sem impacto no VTA oficial</t>
        </is>
      </c>
    </row>
    <row r="4700" ht="25.5" customHeight="1" s="289">
      <c r="A4700" s="205" t="n"/>
      <c r="B4700" s="207" t="n"/>
      <c r="C4700" s="104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348" t="n"/>
      <c r="E4700" s="349">
        <f>IF(C4700="","",IFERROR(VLOOKUP(C4700,parametros!$A$11:$E$15,5,0),""))</f>
        <v/>
      </c>
      <c r="F4700" s="335">
        <f>IF(OR(D4700="",E4700=""),"",ROUND(D4700*E4700,2))</f>
        <v/>
      </c>
      <c r="G4700" s="106" t="n"/>
      <c r="H4700" s="350">
        <f>IF(G4700="Sim",IF(OR(F4700="",D4700="",L4700=""),"",IF(L4700="Sim",ROUND(F4700-D4700,2),0)),0)</f>
        <v/>
      </c>
      <c r="I4700" s="350">
        <f>IF(G4700="Sim",0,IF(OR(F4700="",L4700=""),"",F4700))</f>
        <v/>
      </c>
      <c r="J4700" s="350">
        <f>IF(G4700="Sim",0,IF(OR(F4700="",D4700="",L4700=""),"",IF(L4700="Sim",ROUND(F4700-D4700,2),0)))</f>
        <v/>
      </c>
      <c r="K4700" s="97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inlineStr">
        <is>
          <t>Nao</t>
        </is>
      </c>
      <c r="W4700" s="110" t="inlineStr">
        <is>
          <t>PC em analise</t>
        </is>
      </c>
      <c r="X4700" s="110" t="inlineStr">
        <is>
          <t>Pedido de Compra</t>
        </is>
      </c>
      <c r="Y4700" s="111" t="inlineStr">
        <is>
          <t>Impacto Potencial</t>
        </is>
      </c>
      <c r="Z4700" s="111" t="inlineStr">
        <is>
          <t>PC</t>
        </is>
      </c>
      <c r="AA4700" s="111" t="inlineStr">
        <is>
          <t>Nao</t>
        </is>
      </c>
      <c r="AB4700" s="111" t="inlineStr">
        <is>
          <t>NAO_COMPUTADO</t>
        </is>
      </c>
      <c r="AC4700" s="112" t="inlineStr">
        <is>
          <t>Estrutura Fase 1: sem impacto no VTA oficial</t>
        </is>
      </c>
    </row>
    <row r="4701" ht="25.5" customHeight="1" s="289">
      <c r="A4701" s="205" t="n"/>
      <c r="B4701" s="207" t="n"/>
      <c r="C4701" s="104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348" t="n"/>
      <c r="E4701" s="349">
        <f>IF(C4701="","",IFERROR(VLOOKUP(C4701,parametros!$A$11:$E$15,5,0),""))</f>
        <v/>
      </c>
      <c r="F4701" s="335">
        <f>IF(OR(D4701="",E4701=""),"",ROUND(D4701*E4701,2))</f>
        <v/>
      </c>
      <c r="G4701" s="106" t="n"/>
      <c r="H4701" s="350">
        <f>IF(G4701="Sim",IF(OR(F4701="",D4701="",L4701=""),"",IF(L4701="Sim",ROUND(F4701-D4701,2),0)),0)</f>
        <v/>
      </c>
      <c r="I4701" s="350">
        <f>IF(G4701="Sim",0,IF(OR(F4701="",L4701=""),"",F4701))</f>
        <v/>
      </c>
      <c r="J4701" s="350">
        <f>IF(G4701="Sim",0,IF(OR(F4701="",D4701="",L4701=""),"",IF(L4701="Sim",ROUND(F4701-D4701,2),0)))</f>
        <v/>
      </c>
      <c r="K4701" s="97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inlineStr">
        <is>
          <t>Nao</t>
        </is>
      </c>
      <c r="W4701" s="110" t="inlineStr">
        <is>
          <t>PC em analise</t>
        </is>
      </c>
      <c r="X4701" s="110" t="inlineStr">
        <is>
          <t>Pedido de Compra</t>
        </is>
      </c>
      <c r="Y4701" s="111" t="inlineStr">
        <is>
          <t>Impacto Potencial</t>
        </is>
      </c>
      <c r="Z4701" s="111" t="inlineStr">
        <is>
          <t>PC</t>
        </is>
      </c>
      <c r="AA4701" s="111" t="inlineStr">
        <is>
          <t>Nao</t>
        </is>
      </c>
      <c r="AB4701" s="111" t="inlineStr">
        <is>
          <t>NAO_COMPUTADO</t>
        </is>
      </c>
      <c r="AC4701" s="112" t="inlineStr">
        <is>
          <t>Estrutura Fase 1: sem impacto no VTA oficial</t>
        </is>
      </c>
    </row>
    <row r="4702" ht="25.5" customHeight="1" s="289">
      <c r="A4702" s="205" t="n"/>
      <c r="B4702" s="207" t="n"/>
      <c r="C4702" s="104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348" t="n"/>
      <c r="E4702" s="349">
        <f>IF(C4702="","",IFERROR(VLOOKUP(C4702,parametros!$A$11:$E$15,5,0),""))</f>
        <v/>
      </c>
      <c r="F4702" s="335">
        <f>IF(OR(D4702="",E4702=""),"",ROUND(D4702*E4702,2))</f>
        <v/>
      </c>
      <c r="G4702" s="106" t="n"/>
      <c r="H4702" s="350">
        <f>IF(G4702="Sim",IF(OR(F4702="",D4702="",L4702=""),"",IF(L4702="Sim",ROUND(F4702-D4702,2),0)),0)</f>
        <v/>
      </c>
      <c r="I4702" s="350">
        <f>IF(G4702="Sim",0,IF(OR(F4702="",L4702=""),"",F4702))</f>
        <v/>
      </c>
      <c r="J4702" s="350">
        <f>IF(G4702="Sim",0,IF(OR(F4702="",D4702="",L4702=""),"",IF(L4702="Sim",ROUND(F4702-D4702,2),0)))</f>
        <v/>
      </c>
      <c r="K4702" s="97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inlineStr">
        <is>
          <t>Nao</t>
        </is>
      </c>
      <c r="W4702" s="110" t="inlineStr">
        <is>
          <t>PC em analise</t>
        </is>
      </c>
      <c r="X4702" s="110" t="inlineStr">
        <is>
          <t>Pedido de Compra</t>
        </is>
      </c>
      <c r="Y4702" s="111" t="inlineStr">
        <is>
          <t>Impacto Potencial</t>
        </is>
      </c>
      <c r="Z4702" s="111" t="inlineStr">
        <is>
          <t>PC</t>
        </is>
      </c>
      <c r="AA4702" s="111" t="inlineStr">
        <is>
          <t>Nao</t>
        </is>
      </c>
      <c r="AB4702" s="111" t="inlineStr">
        <is>
          <t>NAO_COMPUTADO</t>
        </is>
      </c>
      <c r="AC4702" s="112" t="inlineStr">
        <is>
          <t>Estrutura Fase 1: sem impacto no VTA oficial</t>
        </is>
      </c>
    </row>
    <row r="4703" ht="25.5" customHeight="1" s="289">
      <c r="A4703" s="205" t="n"/>
      <c r="B4703" s="207" t="n"/>
      <c r="C4703" s="104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348" t="n"/>
      <c r="E4703" s="349">
        <f>IF(C4703="","",IFERROR(VLOOKUP(C4703,parametros!$A$11:$E$15,5,0),""))</f>
        <v/>
      </c>
      <c r="F4703" s="335">
        <f>IF(OR(D4703="",E4703=""),"",ROUND(D4703*E4703,2))</f>
        <v/>
      </c>
      <c r="G4703" s="106" t="n"/>
      <c r="H4703" s="350">
        <f>IF(G4703="Sim",IF(OR(F4703="",D4703="",L4703=""),"",IF(L4703="Sim",ROUND(F4703-D4703,2),0)),0)</f>
        <v/>
      </c>
      <c r="I4703" s="350">
        <f>IF(G4703="Sim",0,IF(OR(F4703="",L4703=""),"",F4703))</f>
        <v/>
      </c>
      <c r="J4703" s="350">
        <f>IF(G4703="Sim",0,IF(OR(F4703="",D4703="",L4703=""),"",IF(L4703="Sim",ROUND(F4703-D4703,2),0)))</f>
        <v/>
      </c>
      <c r="K4703" s="97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inlineStr">
        <is>
          <t>Nao</t>
        </is>
      </c>
      <c r="W4703" s="110" t="inlineStr">
        <is>
          <t>PC em analise</t>
        </is>
      </c>
      <c r="X4703" s="110" t="inlineStr">
        <is>
          <t>Pedido de Compra</t>
        </is>
      </c>
      <c r="Y4703" s="111" t="inlineStr">
        <is>
          <t>Impacto Potencial</t>
        </is>
      </c>
      <c r="Z4703" s="111" t="inlineStr">
        <is>
          <t>PC</t>
        </is>
      </c>
      <c r="AA4703" s="111" t="inlineStr">
        <is>
          <t>Nao</t>
        </is>
      </c>
      <c r="AB4703" s="111" t="inlineStr">
        <is>
          <t>NAO_COMPUTADO</t>
        </is>
      </c>
      <c r="AC4703" s="112" t="inlineStr">
        <is>
          <t>Estrutura Fase 1: sem impacto no VTA oficial</t>
        </is>
      </c>
    </row>
    <row r="4704" ht="25.5" customHeight="1" s="289">
      <c r="A4704" s="205" t="n"/>
      <c r="B4704" s="207" t="n"/>
      <c r="C4704" s="104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348" t="n"/>
      <c r="E4704" s="349">
        <f>IF(C4704="","",IFERROR(VLOOKUP(C4704,parametros!$A$11:$E$15,5,0),""))</f>
        <v/>
      </c>
      <c r="F4704" s="335">
        <f>IF(OR(D4704="",E4704=""),"",ROUND(D4704*E4704,2))</f>
        <v/>
      </c>
      <c r="G4704" s="106" t="n"/>
      <c r="H4704" s="350">
        <f>IF(G4704="Sim",IF(OR(F4704="",D4704="",L4704=""),"",IF(L4704="Sim",ROUND(F4704-D4704,2),0)),0)</f>
        <v/>
      </c>
      <c r="I4704" s="350">
        <f>IF(G4704="Sim",0,IF(OR(F4704="",L4704=""),"",F4704))</f>
        <v/>
      </c>
      <c r="J4704" s="350">
        <f>IF(G4704="Sim",0,IF(OR(F4704="",D4704="",L4704=""),"",IF(L4704="Sim",ROUND(F4704-D4704,2),0)))</f>
        <v/>
      </c>
      <c r="K4704" s="97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inlineStr">
        <is>
          <t>Nao</t>
        </is>
      </c>
      <c r="W4704" s="110" t="inlineStr">
        <is>
          <t>PC em analise</t>
        </is>
      </c>
      <c r="X4704" s="110" t="inlineStr">
        <is>
          <t>Pedido de Compra</t>
        </is>
      </c>
      <c r="Y4704" s="111" t="inlineStr">
        <is>
          <t>Impacto Potencial</t>
        </is>
      </c>
      <c r="Z4704" s="111" t="inlineStr">
        <is>
          <t>PC</t>
        </is>
      </c>
      <c r="AA4704" s="111" t="inlineStr">
        <is>
          <t>Nao</t>
        </is>
      </c>
      <c r="AB4704" s="111" t="inlineStr">
        <is>
          <t>NAO_COMPUTADO</t>
        </is>
      </c>
      <c r="AC4704" s="112" t="inlineStr">
        <is>
          <t>Estrutura Fase 1: sem impacto no VTA oficial</t>
        </is>
      </c>
    </row>
    <row r="4705" ht="25.5" customHeight="1" s="289">
      <c r="A4705" s="205" t="n"/>
      <c r="B4705" s="207" t="n"/>
      <c r="C4705" s="104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348" t="n"/>
      <c r="E4705" s="349">
        <f>IF(C4705="","",IFERROR(VLOOKUP(C4705,parametros!$A$11:$E$15,5,0),""))</f>
        <v/>
      </c>
      <c r="F4705" s="335">
        <f>IF(OR(D4705="",E4705=""),"",ROUND(D4705*E4705,2))</f>
        <v/>
      </c>
      <c r="G4705" s="106" t="n"/>
      <c r="H4705" s="350">
        <f>IF(G4705="Sim",IF(OR(F4705="",D4705="",L4705=""),"",IF(L4705="Sim",ROUND(F4705-D4705,2),0)),0)</f>
        <v/>
      </c>
      <c r="I4705" s="350">
        <f>IF(G4705="Sim",0,IF(OR(F4705="",L4705=""),"",F4705))</f>
        <v/>
      </c>
      <c r="J4705" s="350">
        <f>IF(G4705="Sim",0,IF(OR(F4705="",D4705="",L4705=""),"",IF(L4705="Sim",ROUND(F4705-D4705,2),0)))</f>
        <v/>
      </c>
      <c r="K4705" s="97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inlineStr">
        <is>
          <t>Nao</t>
        </is>
      </c>
      <c r="W4705" s="110" t="inlineStr">
        <is>
          <t>PC em analise</t>
        </is>
      </c>
      <c r="X4705" s="110" t="inlineStr">
        <is>
          <t>Pedido de Compra</t>
        </is>
      </c>
      <c r="Y4705" s="111" t="inlineStr">
        <is>
          <t>Impacto Potencial</t>
        </is>
      </c>
      <c r="Z4705" s="111" t="inlineStr">
        <is>
          <t>PC</t>
        </is>
      </c>
      <c r="AA4705" s="111" t="inlineStr">
        <is>
          <t>Nao</t>
        </is>
      </c>
      <c r="AB4705" s="111" t="inlineStr">
        <is>
          <t>NAO_COMPUTADO</t>
        </is>
      </c>
      <c r="AC4705" s="112" t="inlineStr">
        <is>
          <t>Estrutura Fase 1: sem impacto no VTA oficial</t>
        </is>
      </c>
    </row>
    <row r="4706" ht="25.5" customHeight="1" s="289">
      <c r="A4706" s="205" t="n"/>
      <c r="B4706" s="207" t="n"/>
      <c r="C4706" s="104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348" t="n"/>
      <c r="E4706" s="349">
        <f>IF(C4706="","",IFERROR(VLOOKUP(C4706,parametros!$A$11:$E$15,5,0),""))</f>
        <v/>
      </c>
      <c r="F4706" s="335">
        <f>IF(OR(D4706="",E4706=""),"",ROUND(D4706*E4706,2))</f>
        <v/>
      </c>
      <c r="G4706" s="106" t="n"/>
      <c r="H4706" s="350">
        <f>IF(G4706="Sim",IF(OR(F4706="",D4706="",L4706=""),"",IF(L4706="Sim",ROUND(F4706-D4706,2),0)),0)</f>
        <v/>
      </c>
      <c r="I4706" s="350">
        <f>IF(G4706="Sim",0,IF(OR(F4706="",L4706=""),"",F4706))</f>
        <v/>
      </c>
      <c r="J4706" s="350">
        <f>IF(G4706="Sim",0,IF(OR(F4706="",D4706="",L4706=""),"",IF(L4706="Sim",ROUND(F4706-D4706,2),0)))</f>
        <v/>
      </c>
      <c r="K4706" s="97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inlineStr">
        <is>
          <t>Nao</t>
        </is>
      </c>
      <c r="W4706" s="110" t="inlineStr">
        <is>
          <t>PC em analise</t>
        </is>
      </c>
      <c r="X4706" s="110" t="inlineStr">
        <is>
          <t>Pedido de Compra</t>
        </is>
      </c>
      <c r="Y4706" s="111" t="inlineStr">
        <is>
          <t>Impacto Potencial</t>
        </is>
      </c>
      <c r="Z4706" s="111" t="inlineStr">
        <is>
          <t>PC</t>
        </is>
      </c>
      <c r="AA4706" s="111" t="inlineStr">
        <is>
          <t>Nao</t>
        </is>
      </c>
      <c r="AB4706" s="111" t="inlineStr">
        <is>
          <t>NAO_COMPUTADO</t>
        </is>
      </c>
      <c r="AC4706" s="112" t="inlineStr">
        <is>
          <t>Estrutura Fase 1: sem impacto no VTA oficial</t>
        </is>
      </c>
    </row>
    <row r="4707" ht="25.5" customHeight="1" s="289">
      <c r="A4707" s="205" t="n"/>
      <c r="B4707" s="207" t="n"/>
      <c r="C4707" s="104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348" t="n"/>
      <c r="E4707" s="349">
        <f>IF(C4707="","",IFERROR(VLOOKUP(C4707,parametros!$A$11:$E$15,5,0),""))</f>
        <v/>
      </c>
      <c r="F4707" s="335">
        <f>IF(OR(D4707="",E4707=""),"",ROUND(D4707*E4707,2))</f>
        <v/>
      </c>
      <c r="G4707" s="106" t="n"/>
      <c r="H4707" s="350">
        <f>IF(G4707="Sim",IF(OR(F4707="",D4707="",L4707=""),"",IF(L4707="Sim",ROUND(F4707-D4707,2),0)),0)</f>
        <v/>
      </c>
      <c r="I4707" s="350">
        <f>IF(G4707="Sim",0,IF(OR(F4707="",L4707=""),"",F4707))</f>
        <v/>
      </c>
      <c r="J4707" s="350">
        <f>IF(G4707="Sim",0,IF(OR(F4707="",D4707="",L4707=""),"",IF(L4707="Sim",ROUND(F4707-D4707,2),0)))</f>
        <v/>
      </c>
      <c r="K4707" s="97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inlineStr">
        <is>
          <t>Nao</t>
        </is>
      </c>
      <c r="W4707" s="110" t="inlineStr">
        <is>
          <t>PC em analise</t>
        </is>
      </c>
      <c r="X4707" s="110" t="inlineStr">
        <is>
          <t>Pedido de Compra</t>
        </is>
      </c>
      <c r="Y4707" s="111" t="inlineStr">
        <is>
          <t>Impacto Potencial</t>
        </is>
      </c>
      <c r="Z4707" s="111" t="inlineStr">
        <is>
          <t>PC</t>
        </is>
      </c>
      <c r="AA4707" s="111" t="inlineStr">
        <is>
          <t>Nao</t>
        </is>
      </c>
      <c r="AB4707" s="111" t="inlineStr">
        <is>
          <t>NAO_COMPUTADO</t>
        </is>
      </c>
      <c r="AC4707" s="112" t="inlineStr">
        <is>
          <t>Estrutura Fase 1: sem impacto no VTA oficial</t>
        </is>
      </c>
    </row>
    <row r="4708" ht="25.5" customHeight="1" s="289">
      <c r="A4708" s="205" t="n"/>
      <c r="B4708" s="207" t="n"/>
      <c r="C4708" s="104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348" t="n"/>
      <c r="E4708" s="349">
        <f>IF(C4708="","",IFERROR(VLOOKUP(C4708,parametros!$A$11:$E$15,5,0),""))</f>
        <v/>
      </c>
      <c r="F4708" s="335">
        <f>IF(OR(D4708="",E4708=""),"",ROUND(D4708*E4708,2))</f>
        <v/>
      </c>
      <c r="G4708" s="106" t="n"/>
      <c r="H4708" s="350">
        <f>IF(G4708="Sim",IF(OR(F4708="",D4708="",L4708=""),"",IF(L4708="Sim",ROUND(F4708-D4708,2),0)),0)</f>
        <v/>
      </c>
      <c r="I4708" s="350">
        <f>IF(G4708="Sim",0,IF(OR(F4708="",L4708=""),"",F4708))</f>
        <v/>
      </c>
      <c r="J4708" s="350">
        <f>IF(G4708="Sim",0,IF(OR(F4708="",D4708="",L4708=""),"",IF(L4708="Sim",ROUND(F4708-D4708,2),0)))</f>
        <v/>
      </c>
      <c r="K4708" s="97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inlineStr">
        <is>
          <t>Nao</t>
        </is>
      </c>
      <c r="W4708" s="110" t="inlineStr">
        <is>
          <t>PC em analise</t>
        </is>
      </c>
      <c r="X4708" s="110" t="inlineStr">
        <is>
          <t>Pedido de Compra</t>
        </is>
      </c>
      <c r="Y4708" s="111" t="inlineStr">
        <is>
          <t>Impacto Potencial</t>
        </is>
      </c>
      <c r="Z4708" s="111" t="inlineStr">
        <is>
          <t>PC</t>
        </is>
      </c>
      <c r="AA4708" s="111" t="inlineStr">
        <is>
          <t>Nao</t>
        </is>
      </c>
      <c r="AB4708" s="111" t="inlineStr">
        <is>
          <t>NAO_COMPUTADO</t>
        </is>
      </c>
      <c r="AC4708" s="112" t="inlineStr">
        <is>
          <t>Estrutura Fase 1: sem impacto no VTA oficial</t>
        </is>
      </c>
    </row>
    <row r="4709" ht="25.5" customHeight="1" s="289">
      <c r="A4709" s="205" t="n"/>
      <c r="B4709" s="207" t="n"/>
      <c r="C4709" s="104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348" t="n"/>
      <c r="E4709" s="349">
        <f>IF(C4709="","",IFERROR(VLOOKUP(C4709,parametros!$A$11:$E$15,5,0),""))</f>
        <v/>
      </c>
      <c r="F4709" s="335">
        <f>IF(OR(D4709="",E4709=""),"",ROUND(D4709*E4709,2))</f>
        <v/>
      </c>
      <c r="G4709" s="106" t="n"/>
      <c r="H4709" s="350">
        <f>IF(G4709="Sim",IF(OR(F4709="",D4709="",L4709=""),"",IF(L4709="Sim",ROUND(F4709-D4709,2),0)),0)</f>
        <v/>
      </c>
      <c r="I4709" s="350">
        <f>IF(G4709="Sim",0,IF(OR(F4709="",L4709=""),"",F4709))</f>
        <v/>
      </c>
      <c r="J4709" s="350">
        <f>IF(G4709="Sim",0,IF(OR(F4709="",D4709="",L4709=""),"",IF(L4709="Sim",ROUND(F4709-D4709,2),0)))</f>
        <v/>
      </c>
      <c r="K4709" s="97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inlineStr">
        <is>
          <t>Nao</t>
        </is>
      </c>
      <c r="W4709" s="110" t="inlineStr">
        <is>
          <t>PC em analise</t>
        </is>
      </c>
      <c r="X4709" s="110" t="inlineStr">
        <is>
          <t>Pedido de Compra</t>
        </is>
      </c>
      <c r="Y4709" s="111" t="inlineStr">
        <is>
          <t>Impacto Potencial</t>
        </is>
      </c>
      <c r="Z4709" s="111" t="inlineStr">
        <is>
          <t>PC</t>
        </is>
      </c>
      <c r="AA4709" s="111" t="inlineStr">
        <is>
          <t>Nao</t>
        </is>
      </c>
      <c r="AB4709" s="111" t="inlineStr">
        <is>
          <t>NAO_COMPUTADO</t>
        </is>
      </c>
      <c r="AC4709" s="112" t="inlineStr">
        <is>
          <t>Estrutura Fase 1: sem impacto no VTA oficial</t>
        </is>
      </c>
    </row>
    <row r="4710" ht="25.5" customHeight="1" s="289">
      <c r="A4710" s="205" t="n"/>
      <c r="B4710" s="207" t="n"/>
      <c r="C4710" s="104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348" t="n"/>
      <c r="E4710" s="349">
        <f>IF(C4710="","",IFERROR(VLOOKUP(C4710,parametros!$A$11:$E$15,5,0),""))</f>
        <v/>
      </c>
      <c r="F4710" s="335">
        <f>IF(OR(D4710="",E4710=""),"",ROUND(D4710*E4710,2))</f>
        <v/>
      </c>
      <c r="G4710" s="106" t="n"/>
      <c r="H4710" s="350">
        <f>IF(G4710="Sim",IF(OR(F4710="",D4710="",L4710=""),"",IF(L4710="Sim",ROUND(F4710-D4710,2),0)),0)</f>
        <v/>
      </c>
      <c r="I4710" s="350">
        <f>IF(G4710="Sim",0,IF(OR(F4710="",L4710=""),"",F4710))</f>
        <v/>
      </c>
      <c r="J4710" s="350">
        <f>IF(G4710="Sim",0,IF(OR(F4710="",D4710="",L4710=""),"",IF(L4710="Sim",ROUND(F4710-D4710,2),0)))</f>
        <v/>
      </c>
      <c r="K4710" s="97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inlineStr">
        <is>
          <t>Nao</t>
        </is>
      </c>
      <c r="W4710" s="110" t="inlineStr">
        <is>
          <t>PC em analise</t>
        </is>
      </c>
      <c r="X4710" s="110" t="inlineStr">
        <is>
          <t>Pedido de Compra</t>
        </is>
      </c>
      <c r="Y4710" s="111" t="inlineStr">
        <is>
          <t>Impacto Potencial</t>
        </is>
      </c>
      <c r="Z4710" s="111" t="inlineStr">
        <is>
          <t>PC</t>
        </is>
      </c>
      <c r="AA4710" s="111" t="inlineStr">
        <is>
          <t>Nao</t>
        </is>
      </c>
      <c r="AB4710" s="111" t="inlineStr">
        <is>
          <t>NAO_COMPUTADO</t>
        </is>
      </c>
      <c r="AC4710" s="112" t="inlineStr">
        <is>
          <t>Estrutura Fase 1: sem impacto no VTA oficial</t>
        </is>
      </c>
    </row>
    <row r="4711" ht="25.5" customHeight="1" s="289">
      <c r="A4711" s="205" t="n"/>
      <c r="B4711" s="207" t="n"/>
      <c r="C4711" s="104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348" t="n"/>
      <c r="E4711" s="349">
        <f>IF(C4711="","",IFERROR(VLOOKUP(C4711,parametros!$A$11:$E$15,5,0),""))</f>
        <v/>
      </c>
      <c r="F4711" s="335">
        <f>IF(OR(D4711="",E4711=""),"",ROUND(D4711*E4711,2))</f>
        <v/>
      </c>
      <c r="G4711" s="106" t="n"/>
      <c r="H4711" s="350">
        <f>IF(G4711="Sim",IF(OR(F4711="",D4711="",L4711=""),"",IF(L4711="Sim",ROUND(F4711-D4711,2),0)),0)</f>
        <v/>
      </c>
      <c r="I4711" s="350">
        <f>IF(G4711="Sim",0,IF(OR(F4711="",L4711=""),"",F4711))</f>
        <v/>
      </c>
      <c r="J4711" s="350">
        <f>IF(G4711="Sim",0,IF(OR(F4711="",D4711="",L4711=""),"",IF(L4711="Sim",ROUND(F4711-D4711,2),0)))</f>
        <v/>
      </c>
      <c r="K4711" s="97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inlineStr">
        <is>
          <t>Nao</t>
        </is>
      </c>
      <c r="W4711" s="110" t="inlineStr">
        <is>
          <t>PC em analise</t>
        </is>
      </c>
      <c r="X4711" s="110" t="inlineStr">
        <is>
          <t>Pedido de Compra</t>
        </is>
      </c>
      <c r="Y4711" s="111" t="inlineStr">
        <is>
          <t>Impacto Potencial</t>
        </is>
      </c>
      <c r="Z4711" s="111" t="inlineStr">
        <is>
          <t>PC</t>
        </is>
      </c>
      <c r="AA4711" s="111" t="inlineStr">
        <is>
          <t>Nao</t>
        </is>
      </c>
      <c r="AB4711" s="111" t="inlineStr">
        <is>
          <t>NAO_COMPUTADO</t>
        </is>
      </c>
      <c r="AC4711" s="112" t="inlineStr">
        <is>
          <t>Estrutura Fase 1: sem impacto no VTA oficial</t>
        </is>
      </c>
    </row>
    <row r="4712" ht="25.5" customHeight="1" s="289">
      <c r="A4712" s="205" t="n"/>
      <c r="B4712" s="207" t="n"/>
      <c r="C4712" s="104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348" t="n"/>
      <c r="E4712" s="349">
        <f>IF(C4712="","",IFERROR(VLOOKUP(C4712,parametros!$A$11:$E$15,5,0),""))</f>
        <v/>
      </c>
      <c r="F4712" s="335">
        <f>IF(OR(D4712="",E4712=""),"",ROUND(D4712*E4712,2))</f>
        <v/>
      </c>
      <c r="G4712" s="106" t="n"/>
      <c r="H4712" s="350">
        <f>IF(G4712="Sim",IF(OR(F4712="",D4712="",L4712=""),"",IF(L4712="Sim",ROUND(F4712-D4712,2),0)),0)</f>
        <v/>
      </c>
      <c r="I4712" s="350">
        <f>IF(G4712="Sim",0,IF(OR(F4712="",L4712=""),"",F4712))</f>
        <v/>
      </c>
      <c r="J4712" s="350">
        <f>IF(G4712="Sim",0,IF(OR(F4712="",D4712="",L4712=""),"",IF(L4712="Sim",ROUND(F4712-D4712,2),0)))</f>
        <v/>
      </c>
      <c r="K4712" s="97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inlineStr">
        <is>
          <t>Nao</t>
        </is>
      </c>
      <c r="W4712" s="110" t="inlineStr">
        <is>
          <t>PC em analise</t>
        </is>
      </c>
      <c r="X4712" s="110" t="inlineStr">
        <is>
          <t>Pedido de Compra</t>
        </is>
      </c>
      <c r="Y4712" s="111" t="inlineStr">
        <is>
          <t>Impacto Potencial</t>
        </is>
      </c>
      <c r="Z4712" s="111" t="inlineStr">
        <is>
          <t>PC</t>
        </is>
      </c>
      <c r="AA4712" s="111" t="inlineStr">
        <is>
          <t>Nao</t>
        </is>
      </c>
      <c r="AB4712" s="111" t="inlineStr">
        <is>
          <t>NAO_COMPUTADO</t>
        </is>
      </c>
      <c r="AC4712" s="112" t="inlineStr">
        <is>
          <t>Estrutura Fase 1: sem impacto no VTA oficial</t>
        </is>
      </c>
    </row>
    <row r="4713" ht="25.5" customHeight="1" s="289">
      <c r="A4713" s="205" t="n"/>
      <c r="B4713" s="207" t="n"/>
      <c r="C4713" s="104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348" t="n"/>
      <c r="E4713" s="349">
        <f>IF(C4713="","",IFERROR(VLOOKUP(C4713,parametros!$A$11:$E$15,5,0),""))</f>
        <v/>
      </c>
      <c r="F4713" s="335">
        <f>IF(OR(D4713="",E4713=""),"",ROUND(D4713*E4713,2))</f>
        <v/>
      </c>
      <c r="G4713" s="106" t="n"/>
      <c r="H4713" s="350">
        <f>IF(G4713="Sim",IF(OR(F4713="",D4713="",L4713=""),"",IF(L4713="Sim",ROUND(F4713-D4713,2),0)),0)</f>
        <v/>
      </c>
      <c r="I4713" s="350">
        <f>IF(G4713="Sim",0,IF(OR(F4713="",L4713=""),"",F4713))</f>
        <v/>
      </c>
      <c r="J4713" s="350">
        <f>IF(G4713="Sim",0,IF(OR(F4713="",D4713="",L4713=""),"",IF(L4713="Sim",ROUND(F4713-D4713,2),0)))</f>
        <v/>
      </c>
      <c r="K4713" s="97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inlineStr">
        <is>
          <t>Nao</t>
        </is>
      </c>
      <c r="W4713" s="110" t="inlineStr">
        <is>
          <t>PC em analise</t>
        </is>
      </c>
      <c r="X4713" s="110" t="inlineStr">
        <is>
          <t>Pedido de Compra</t>
        </is>
      </c>
      <c r="Y4713" s="111" t="inlineStr">
        <is>
          <t>Impacto Potencial</t>
        </is>
      </c>
      <c r="Z4713" s="111" t="inlineStr">
        <is>
          <t>PC</t>
        </is>
      </c>
      <c r="AA4713" s="111" t="inlineStr">
        <is>
          <t>Nao</t>
        </is>
      </c>
      <c r="AB4713" s="111" t="inlineStr">
        <is>
          <t>NAO_COMPUTADO</t>
        </is>
      </c>
      <c r="AC4713" s="112" t="inlineStr">
        <is>
          <t>Estrutura Fase 1: sem impacto no VTA oficial</t>
        </is>
      </c>
    </row>
    <row r="4714" ht="25.5" customHeight="1" s="289">
      <c r="A4714" s="205" t="n"/>
      <c r="B4714" s="207" t="n"/>
      <c r="C4714" s="104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348" t="n"/>
      <c r="E4714" s="349">
        <f>IF(C4714="","",IFERROR(VLOOKUP(C4714,parametros!$A$11:$E$15,5,0),""))</f>
        <v/>
      </c>
      <c r="F4714" s="335">
        <f>IF(OR(D4714="",E4714=""),"",ROUND(D4714*E4714,2))</f>
        <v/>
      </c>
      <c r="G4714" s="106" t="n"/>
      <c r="H4714" s="350">
        <f>IF(G4714="Sim",IF(OR(F4714="",D4714="",L4714=""),"",IF(L4714="Sim",ROUND(F4714-D4714,2),0)),0)</f>
        <v/>
      </c>
      <c r="I4714" s="350">
        <f>IF(G4714="Sim",0,IF(OR(F4714="",L4714=""),"",F4714))</f>
        <v/>
      </c>
      <c r="J4714" s="350">
        <f>IF(G4714="Sim",0,IF(OR(F4714="",D4714="",L4714=""),"",IF(L4714="Sim",ROUND(F4714-D4714,2),0)))</f>
        <v/>
      </c>
      <c r="K4714" s="97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inlineStr">
        <is>
          <t>Nao</t>
        </is>
      </c>
      <c r="W4714" s="110" t="inlineStr">
        <is>
          <t>PC em analise</t>
        </is>
      </c>
      <c r="X4714" s="110" t="inlineStr">
        <is>
          <t>Pedido de Compra</t>
        </is>
      </c>
      <c r="Y4714" s="111" t="inlineStr">
        <is>
          <t>Impacto Potencial</t>
        </is>
      </c>
      <c r="Z4714" s="111" t="inlineStr">
        <is>
          <t>PC</t>
        </is>
      </c>
      <c r="AA4714" s="111" t="inlineStr">
        <is>
          <t>Nao</t>
        </is>
      </c>
      <c r="AB4714" s="111" t="inlineStr">
        <is>
          <t>NAO_COMPUTADO</t>
        </is>
      </c>
      <c r="AC4714" s="112" t="inlineStr">
        <is>
          <t>Estrutura Fase 1: sem impacto no VTA oficial</t>
        </is>
      </c>
    </row>
    <row r="4715" ht="25.5" customHeight="1" s="289">
      <c r="A4715" s="205" t="n"/>
      <c r="B4715" s="207" t="n"/>
      <c r="C4715" s="104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348" t="n"/>
      <c r="E4715" s="349">
        <f>IF(C4715="","",IFERROR(VLOOKUP(C4715,parametros!$A$11:$E$15,5,0),""))</f>
        <v/>
      </c>
      <c r="F4715" s="335">
        <f>IF(OR(D4715="",E4715=""),"",ROUND(D4715*E4715,2))</f>
        <v/>
      </c>
      <c r="G4715" s="106" t="n"/>
      <c r="H4715" s="350">
        <f>IF(G4715="Sim",IF(OR(F4715="",D4715="",L4715=""),"",IF(L4715="Sim",ROUND(F4715-D4715,2),0)),0)</f>
        <v/>
      </c>
      <c r="I4715" s="350">
        <f>IF(G4715="Sim",0,IF(OR(F4715="",L4715=""),"",F4715))</f>
        <v/>
      </c>
      <c r="J4715" s="350">
        <f>IF(G4715="Sim",0,IF(OR(F4715="",D4715="",L4715=""),"",IF(L4715="Sim",ROUND(F4715-D4715,2),0)))</f>
        <v/>
      </c>
      <c r="K4715" s="97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inlineStr">
        <is>
          <t>Nao</t>
        </is>
      </c>
      <c r="W4715" s="110" t="inlineStr">
        <is>
          <t>PC em analise</t>
        </is>
      </c>
      <c r="X4715" s="110" t="inlineStr">
        <is>
          <t>Pedido de Compra</t>
        </is>
      </c>
      <c r="Y4715" s="111" t="inlineStr">
        <is>
          <t>Impacto Potencial</t>
        </is>
      </c>
      <c r="Z4715" s="111" t="inlineStr">
        <is>
          <t>PC</t>
        </is>
      </c>
      <c r="AA4715" s="111" t="inlineStr">
        <is>
          <t>Nao</t>
        </is>
      </c>
      <c r="AB4715" s="111" t="inlineStr">
        <is>
          <t>NAO_COMPUTADO</t>
        </is>
      </c>
      <c r="AC4715" s="112" t="inlineStr">
        <is>
          <t>Estrutura Fase 1: sem impacto no VTA oficial</t>
        </is>
      </c>
    </row>
    <row r="4716" ht="25.5" customHeight="1" s="289">
      <c r="A4716" s="205" t="n"/>
      <c r="B4716" s="207" t="n"/>
      <c r="C4716" s="104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348" t="n"/>
      <c r="E4716" s="349">
        <f>IF(C4716="","",IFERROR(VLOOKUP(C4716,parametros!$A$11:$E$15,5,0),""))</f>
        <v/>
      </c>
      <c r="F4716" s="335">
        <f>IF(OR(D4716="",E4716=""),"",ROUND(D4716*E4716,2))</f>
        <v/>
      </c>
      <c r="G4716" s="106" t="n"/>
      <c r="H4716" s="350">
        <f>IF(G4716="Sim",IF(OR(F4716="",D4716="",L4716=""),"",IF(L4716="Sim",ROUND(F4716-D4716,2),0)),0)</f>
        <v/>
      </c>
      <c r="I4716" s="350">
        <f>IF(G4716="Sim",0,IF(OR(F4716="",L4716=""),"",F4716))</f>
        <v/>
      </c>
      <c r="J4716" s="350">
        <f>IF(G4716="Sim",0,IF(OR(F4716="",D4716="",L4716=""),"",IF(L4716="Sim",ROUND(F4716-D4716,2),0)))</f>
        <v/>
      </c>
      <c r="K4716" s="97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inlineStr">
        <is>
          <t>Nao</t>
        </is>
      </c>
      <c r="W4716" s="110" t="inlineStr">
        <is>
          <t>PC em analise</t>
        </is>
      </c>
      <c r="X4716" s="110" t="inlineStr">
        <is>
          <t>Pedido de Compra</t>
        </is>
      </c>
      <c r="Y4716" s="111" t="inlineStr">
        <is>
          <t>Impacto Potencial</t>
        </is>
      </c>
      <c r="Z4716" s="111" t="inlineStr">
        <is>
          <t>PC</t>
        </is>
      </c>
      <c r="AA4716" s="111" t="inlineStr">
        <is>
          <t>Nao</t>
        </is>
      </c>
      <c r="AB4716" s="111" t="inlineStr">
        <is>
          <t>NAO_COMPUTADO</t>
        </is>
      </c>
      <c r="AC4716" s="112" t="inlineStr">
        <is>
          <t>Estrutura Fase 1: sem impacto no VTA oficial</t>
        </is>
      </c>
    </row>
    <row r="4717" ht="25.5" customHeight="1" s="289">
      <c r="A4717" s="205" t="n"/>
      <c r="B4717" s="207" t="n"/>
      <c r="C4717" s="104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348" t="n"/>
      <c r="E4717" s="349">
        <f>IF(C4717="","",IFERROR(VLOOKUP(C4717,parametros!$A$11:$E$15,5,0),""))</f>
        <v/>
      </c>
      <c r="F4717" s="335">
        <f>IF(OR(D4717="",E4717=""),"",ROUND(D4717*E4717,2))</f>
        <v/>
      </c>
      <c r="G4717" s="106" t="n"/>
      <c r="H4717" s="350">
        <f>IF(G4717="Sim",IF(OR(F4717="",D4717="",L4717=""),"",IF(L4717="Sim",ROUND(F4717-D4717,2),0)),0)</f>
        <v/>
      </c>
      <c r="I4717" s="350">
        <f>IF(G4717="Sim",0,IF(OR(F4717="",L4717=""),"",F4717))</f>
        <v/>
      </c>
      <c r="J4717" s="350">
        <f>IF(G4717="Sim",0,IF(OR(F4717="",D4717="",L4717=""),"",IF(L4717="Sim",ROUND(F4717-D4717,2),0)))</f>
        <v/>
      </c>
      <c r="K4717" s="97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inlineStr">
        <is>
          <t>Nao</t>
        </is>
      </c>
      <c r="W4717" s="110" t="inlineStr">
        <is>
          <t>PC em analise</t>
        </is>
      </c>
      <c r="X4717" s="110" t="inlineStr">
        <is>
          <t>Pedido de Compra</t>
        </is>
      </c>
      <c r="Y4717" s="111" t="inlineStr">
        <is>
          <t>Impacto Potencial</t>
        </is>
      </c>
      <c r="Z4717" s="111" t="inlineStr">
        <is>
          <t>PC</t>
        </is>
      </c>
      <c r="AA4717" s="111" t="inlineStr">
        <is>
          <t>Nao</t>
        </is>
      </c>
      <c r="AB4717" s="111" t="inlineStr">
        <is>
          <t>NAO_COMPUTADO</t>
        </is>
      </c>
      <c r="AC4717" s="112" t="inlineStr">
        <is>
          <t>Estrutura Fase 1: sem impacto no VTA oficial</t>
        </is>
      </c>
    </row>
    <row r="4718" ht="25.5" customHeight="1" s="289">
      <c r="A4718" s="205" t="n"/>
      <c r="B4718" s="207" t="n"/>
      <c r="C4718" s="104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348" t="n"/>
      <c r="E4718" s="349">
        <f>IF(C4718="","",IFERROR(VLOOKUP(C4718,parametros!$A$11:$E$15,5,0),""))</f>
        <v/>
      </c>
      <c r="F4718" s="335">
        <f>IF(OR(D4718="",E4718=""),"",ROUND(D4718*E4718,2))</f>
        <v/>
      </c>
      <c r="G4718" s="106" t="n"/>
      <c r="H4718" s="350">
        <f>IF(G4718="Sim",IF(OR(F4718="",D4718="",L4718=""),"",IF(L4718="Sim",ROUND(F4718-D4718,2),0)),0)</f>
        <v/>
      </c>
      <c r="I4718" s="350">
        <f>IF(G4718="Sim",0,IF(OR(F4718="",L4718=""),"",F4718))</f>
        <v/>
      </c>
      <c r="J4718" s="350">
        <f>IF(G4718="Sim",0,IF(OR(F4718="",D4718="",L4718=""),"",IF(L4718="Sim",ROUND(F4718-D4718,2),0)))</f>
        <v/>
      </c>
      <c r="K4718" s="97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inlineStr">
        <is>
          <t>Nao</t>
        </is>
      </c>
      <c r="W4718" s="110" t="inlineStr">
        <is>
          <t>PC em analise</t>
        </is>
      </c>
      <c r="X4718" s="110" t="inlineStr">
        <is>
          <t>Pedido de Compra</t>
        </is>
      </c>
      <c r="Y4718" s="111" t="inlineStr">
        <is>
          <t>Impacto Potencial</t>
        </is>
      </c>
      <c r="Z4718" s="111" t="inlineStr">
        <is>
          <t>PC</t>
        </is>
      </c>
      <c r="AA4718" s="111" t="inlineStr">
        <is>
          <t>Nao</t>
        </is>
      </c>
      <c r="AB4718" s="111" t="inlineStr">
        <is>
          <t>NAO_COMPUTADO</t>
        </is>
      </c>
      <c r="AC4718" s="112" t="inlineStr">
        <is>
          <t>Estrutura Fase 1: sem impacto no VTA oficial</t>
        </is>
      </c>
    </row>
    <row r="4719" ht="25.5" customHeight="1" s="289">
      <c r="A4719" s="205" t="n"/>
      <c r="B4719" s="207" t="n"/>
      <c r="C4719" s="104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348" t="n"/>
      <c r="E4719" s="349">
        <f>IF(C4719="","",IFERROR(VLOOKUP(C4719,parametros!$A$11:$E$15,5,0),""))</f>
        <v/>
      </c>
      <c r="F4719" s="335">
        <f>IF(OR(D4719="",E4719=""),"",ROUND(D4719*E4719,2))</f>
        <v/>
      </c>
      <c r="G4719" s="106" t="n"/>
      <c r="H4719" s="350">
        <f>IF(G4719="Sim",IF(OR(F4719="",D4719="",L4719=""),"",IF(L4719="Sim",ROUND(F4719-D4719,2),0)),0)</f>
        <v/>
      </c>
      <c r="I4719" s="350">
        <f>IF(G4719="Sim",0,IF(OR(F4719="",L4719=""),"",F4719))</f>
        <v/>
      </c>
      <c r="J4719" s="350">
        <f>IF(G4719="Sim",0,IF(OR(F4719="",D4719="",L4719=""),"",IF(L4719="Sim",ROUND(F4719-D4719,2),0)))</f>
        <v/>
      </c>
      <c r="K4719" s="97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inlineStr">
        <is>
          <t>Nao</t>
        </is>
      </c>
      <c r="W4719" s="110" t="inlineStr">
        <is>
          <t>PC em analise</t>
        </is>
      </c>
      <c r="X4719" s="110" t="inlineStr">
        <is>
          <t>Pedido de Compra</t>
        </is>
      </c>
      <c r="Y4719" s="111" t="inlineStr">
        <is>
          <t>Impacto Potencial</t>
        </is>
      </c>
      <c r="Z4719" s="111" t="inlineStr">
        <is>
          <t>PC</t>
        </is>
      </c>
      <c r="AA4719" s="111" t="inlineStr">
        <is>
          <t>Nao</t>
        </is>
      </c>
      <c r="AB4719" s="111" t="inlineStr">
        <is>
          <t>NAO_COMPUTADO</t>
        </is>
      </c>
      <c r="AC4719" s="112" t="inlineStr">
        <is>
          <t>Estrutura Fase 1: sem impacto no VTA oficial</t>
        </is>
      </c>
    </row>
    <row r="4720" ht="25.5" customHeight="1" s="289">
      <c r="A4720" s="205" t="n"/>
      <c r="B4720" s="207" t="n"/>
      <c r="C4720" s="104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348" t="n"/>
      <c r="E4720" s="349">
        <f>IF(C4720="","",IFERROR(VLOOKUP(C4720,parametros!$A$11:$E$15,5,0),""))</f>
        <v/>
      </c>
      <c r="F4720" s="335">
        <f>IF(OR(D4720="",E4720=""),"",ROUND(D4720*E4720,2))</f>
        <v/>
      </c>
      <c r="G4720" s="106" t="n"/>
      <c r="H4720" s="350">
        <f>IF(G4720="Sim",IF(OR(F4720="",D4720="",L4720=""),"",IF(L4720="Sim",ROUND(F4720-D4720,2),0)),0)</f>
        <v/>
      </c>
      <c r="I4720" s="350">
        <f>IF(G4720="Sim",0,IF(OR(F4720="",L4720=""),"",F4720))</f>
        <v/>
      </c>
      <c r="J4720" s="350">
        <f>IF(G4720="Sim",0,IF(OR(F4720="",D4720="",L4720=""),"",IF(L4720="Sim",ROUND(F4720-D4720,2),0)))</f>
        <v/>
      </c>
      <c r="K4720" s="97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inlineStr">
        <is>
          <t>Nao</t>
        </is>
      </c>
      <c r="W4720" s="110" t="inlineStr">
        <is>
          <t>PC em analise</t>
        </is>
      </c>
      <c r="X4720" s="110" t="inlineStr">
        <is>
          <t>Pedido de Compra</t>
        </is>
      </c>
      <c r="Y4720" s="111" t="inlineStr">
        <is>
          <t>Impacto Potencial</t>
        </is>
      </c>
      <c r="Z4720" s="111" t="inlineStr">
        <is>
          <t>PC</t>
        </is>
      </c>
      <c r="AA4720" s="111" t="inlineStr">
        <is>
          <t>Nao</t>
        </is>
      </c>
      <c r="AB4720" s="111" t="inlineStr">
        <is>
          <t>NAO_COMPUTADO</t>
        </is>
      </c>
      <c r="AC4720" s="112" t="inlineStr">
        <is>
          <t>Estrutura Fase 1: sem impacto no VTA oficial</t>
        </is>
      </c>
    </row>
    <row r="4721" ht="25.5" customHeight="1" s="289">
      <c r="A4721" s="205" t="n"/>
      <c r="B4721" s="207" t="n"/>
      <c r="C4721" s="104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348" t="n"/>
      <c r="E4721" s="349">
        <f>IF(C4721="","",IFERROR(VLOOKUP(C4721,parametros!$A$11:$E$15,5,0),""))</f>
        <v/>
      </c>
      <c r="F4721" s="335">
        <f>IF(OR(D4721="",E4721=""),"",ROUND(D4721*E4721,2))</f>
        <v/>
      </c>
      <c r="G4721" s="106" t="n"/>
      <c r="H4721" s="350">
        <f>IF(G4721="Sim",IF(OR(F4721="",D4721="",L4721=""),"",IF(L4721="Sim",ROUND(F4721-D4721,2),0)),0)</f>
        <v/>
      </c>
      <c r="I4721" s="350">
        <f>IF(G4721="Sim",0,IF(OR(F4721="",L4721=""),"",F4721))</f>
        <v/>
      </c>
      <c r="J4721" s="350">
        <f>IF(G4721="Sim",0,IF(OR(F4721="",D4721="",L4721=""),"",IF(L4721="Sim",ROUND(F4721-D4721,2),0)))</f>
        <v/>
      </c>
      <c r="K4721" s="97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inlineStr">
        <is>
          <t>Nao</t>
        </is>
      </c>
      <c r="W4721" s="110" t="inlineStr">
        <is>
          <t>PC em analise</t>
        </is>
      </c>
      <c r="X4721" s="110" t="inlineStr">
        <is>
          <t>Pedido de Compra</t>
        </is>
      </c>
      <c r="Y4721" s="111" t="inlineStr">
        <is>
          <t>Impacto Potencial</t>
        </is>
      </c>
      <c r="Z4721" s="111" t="inlineStr">
        <is>
          <t>PC</t>
        </is>
      </c>
      <c r="AA4721" s="111" t="inlineStr">
        <is>
          <t>Nao</t>
        </is>
      </c>
      <c r="AB4721" s="111" t="inlineStr">
        <is>
          <t>NAO_COMPUTADO</t>
        </is>
      </c>
      <c r="AC4721" s="112" t="inlineStr">
        <is>
          <t>Estrutura Fase 1: sem impacto no VTA oficial</t>
        </is>
      </c>
    </row>
    <row r="4722" ht="25.5" customHeight="1" s="289">
      <c r="A4722" s="205" t="n"/>
      <c r="B4722" s="207" t="n"/>
      <c r="C4722" s="104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348" t="n"/>
      <c r="E4722" s="349">
        <f>IF(C4722="","",IFERROR(VLOOKUP(C4722,parametros!$A$11:$E$15,5,0),""))</f>
        <v/>
      </c>
      <c r="F4722" s="335">
        <f>IF(OR(D4722="",E4722=""),"",ROUND(D4722*E4722,2))</f>
        <v/>
      </c>
      <c r="G4722" s="106" t="n"/>
      <c r="H4722" s="350">
        <f>IF(G4722="Sim",IF(OR(F4722="",D4722="",L4722=""),"",IF(L4722="Sim",ROUND(F4722-D4722,2),0)),0)</f>
        <v/>
      </c>
      <c r="I4722" s="350">
        <f>IF(G4722="Sim",0,IF(OR(F4722="",L4722=""),"",F4722))</f>
        <v/>
      </c>
      <c r="J4722" s="350">
        <f>IF(G4722="Sim",0,IF(OR(F4722="",D4722="",L4722=""),"",IF(L4722="Sim",ROUND(F4722-D4722,2),0)))</f>
        <v/>
      </c>
      <c r="K4722" s="97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inlineStr">
        <is>
          <t>Nao</t>
        </is>
      </c>
      <c r="W4722" s="110" t="inlineStr">
        <is>
          <t>PC em analise</t>
        </is>
      </c>
      <c r="X4722" s="110" t="inlineStr">
        <is>
          <t>Pedido de Compra</t>
        </is>
      </c>
      <c r="Y4722" s="111" t="inlineStr">
        <is>
          <t>Impacto Potencial</t>
        </is>
      </c>
      <c r="Z4722" s="111" t="inlineStr">
        <is>
          <t>PC</t>
        </is>
      </c>
      <c r="AA4722" s="111" t="inlineStr">
        <is>
          <t>Nao</t>
        </is>
      </c>
      <c r="AB4722" s="111" t="inlineStr">
        <is>
          <t>NAO_COMPUTADO</t>
        </is>
      </c>
      <c r="AC4722" s="112" t="inlineStr">
        <is>
          <t>Estrutura Fase 1: sem impacto no VTA oficial</t>
        </is>
      </c>
    </row>
    <row r="4723" ht="25.5" customHeight="1" s="289">
      <c r="A4723" s="205" t="n"/>
      <c r="B4723" s="207" t="n"/>
      <c r="C4723" s="104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348" t="n"/>
      <c r="E4723" s="349">
        <f>IF(C4723="","",IFERROR(VLOOKUP(C4723,parametros!$A$11:$E$15,5,0),""))</f>
        <v/>
      </c>
      <c r="F4723" s="335">
        <f>IF(OR(D4723="",E4723=""),"",ROUND(D4723*E4723,2))</f>
        <v/>
      </c>
      <c r="G4723" s="106" t="n"/>
      <c r="H4723" s="350">
        <f>IF(G4723="Sim",IF(OR(F4723="",D4723="",L4723=""),"",IF(L4723="Sim",ROUND(F4723-D4723,2),0)),0)</f>
        <v/>
      </c>
      <c r="I4723" s="350">
        <f>IF(G4723="Sim",0,IF(OR(F4723="",L4723=""),"",F4723))</f>
        <v/>
      </c>
      <c r="J4723" s="350">
        <f>IF(G4723="Sim",0,IF(OR(F4723="",D4723="",L4723=""),"",IF(L4723="Sim",ROUND(F4723-D4723,2),0)))</f>
        <v/>
      </c>
      <c r="K4723" s="97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inlineStr">
        <is>
          <t>Nao</t>
        </is>
      </c>
      <c r="W4723" s="110" t="inlineStr">
        <is>
          <t>PC em analise</t>
        </is>
      </c>
      <c r="X4723" s="110" t="inlineStr">
        <is>
          <t>Pedido de Compra</t>
        </is>
      </c>
      <c r="Y4723" s="111" t="inlineStr">
        <is>
          <t>Impacto Potencial</t>
        </is>
      </c>
      <c r="Z4723" s="111" t="inlineStr">
        <is>
          <t>PC</t>
        </is>
      </c>
      <c r="AA4723" s="111" t="inlineStr">
        <is>
          <t>Nao</t>
        </is>
      </c>
      <c r="AB4723" s="111" t="inlineStr">
        <is>
          <t>NAO_COMPUTADO</t>
        </is>
      </c>
      <c r="AC4723" s="112" t="inlineStr">
        <is>
          <t>Estrutura Fase 1: sem impacto no VTA oficial</t>
        </is>
      </c>
    </row>
    <row r="4724" ht="25.5" customHeight="1" s="289">
      <c r="A4724" s="205" t="n"/>
      <c r="B4724" s="207" t="n"/>
      <c r="C4724" s="104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348" t="n"/>
      <c r="E4724" s="349">
        <f>IF(C4724="","",IFERROR(VLOOKUP(C4724,parametros!$A$11:$E$15,5,0),""))</f>
        <v/>
      </c>
      <c r="F4724" s="335">
        <f>IF(OR(D4724="",E4724=""),"",ROUND(D4724*E4724,2))</f>
        <v/>
      </c>
      <c r="G4724" s="106" t="n"/>
      <c r="H4724" s="350">
        <f>IF(G4724="Sim",IF(OR(F4724="",D4724="",L4724=""),"",IF(L4724="Sim",ROUND(F4724-D4724,2),0)),0)</f>
        <v/>
      </c>
      <c r="I4724" s="350">
        <f>IF(G4724="Sim",0,IF(OR(F4724="",L4724=""),"",F4724))</f>
        <v/>
      </c>
      <c r="J4724" s="350">
        <f>IF(G4724="Sim",0,IF(OR(F4724="",D4724="",L4724=""),"",IF(L4724="Sim",ROUND(F4724-D4724,2),0)))</f>
        <v/>
      </c>
      <c r="K4724" s="97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inlineStr">
        <is>
          <t>Nao</t>
        </is>
      </c>
      <c r="W4724" s="110" t="inlineStr">
        <is>
          <t>PC em analise</t>
        </is>
      </c>
      <c r="X4724" s="110" t="inlineStr">
        <is>
          <t>Pedido de Compra</t>
        </is>
      </c>
      <c r="Y4724" s="111" t="inlineStr">
        <is>
          <t>Impacto Potencial</t>
        </is>
      </c>
      <c r="Z4724" s="111" t="inlineStr">
        <is>
          <t>PC</t>
        </is>
      </c>
      <c r="AA4724" s="111" t="inlineStr">
        <is>
          <t>Nao</t>
        </is>
      </c>
      <c r="AB4724" s="111" t="inlineStr">
        <is>
          <t>NAO_COMPUTADO</t>
        </is>
      </c>
      <c r="AC4724" s="112" t="inlineStr">
        <is>
          <t>Estrutura Fase 1: sem impacto no VTA oficial</t>
        </is>
      </c>
    </row>
    <row r="4725" ht="25.5" customHeight="1" s="289">
      <c r="A4725" s="205" t="n"/>
      <c r="B4725" s="207" t="n"/>
      <c r="C4725" s="104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348" t="n"/>
      <c r="E4725" s="349">
        <f>IF(C4725="","",IFERROR(VLOOKUP(C4725,parametros!$A$11:$E$15,5,0),""))</f>
        <v/>
      </c>
      <c r="F4725" s="335">
        <f>IF(OR(D4725="",E4725=""),"",ROUND(D4725*E4725,2))</f>
        <v/>
      </c>
      <c r="G4725" s="106" t="n"/>
      <c r="H4725" s="350">
        <f>IF(G4725="Sim",IF(OR(F4725="",D4725="",L4725=""),"",IF(L4725="Sim",ROUND(F4725-D4725,2),0)),0)</f>
        <v/>
      </c>
      <c r="I4725" s="350">
        <f>IF(G4725="Sim",0,IF(OR(F4725="",L4725=""),"",F4725))</f>
        <v/>
      </c>
      <c r="J4725" s="350">
        <f>IF(G4725="Sim",0,IF(OR(F4725="",D4725="",L4725=""),"",IF(L4725="Sim",ROUND(F4725-D4725,2),0)))</f>
        <v/>
      </c>
      <c r="K4725" s="97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inlineStr">
        <is>
          <t>Nao</t>
        </is>
      </c>
      <c r="W4725" s="110" t="inlineStr">
        <is>
          <t>PC em analise</t>
        </is>
      </c>
      <c r="X4725" s="110" t="inlineStr">
        <is>
          <t>Pedido de Compra</t>
        </is>
      </c>
      <c r="Y4725" s="111" t="inlineStr">
        <is>
          <t>Impacto Potencial</t>
        </is>
      </c>
      <c r="Z4725" s="111" t="inlineStr">
        <is>
          <t>PC</t>
        </is>
      </c>
      <c r="AA4725" s="111" t="inlineStr">
        <is>
          <t>Nao</t>
        </is>
      </c>
      <c r="AB4725" s="111" t="inlineStr">
        <is>
          <t>NAO_COMPUTADO</t>
        </is>
      </c>
      <c r="AC4725" s="112" t="inlineStr">
        <is>
          <t>Estrutura Fase 1: sem impacto no VTA oficial</t>
        </is>
      </c>
    </row>
    <row r="4726" ht="25.5" customHeight="1" s="289">
      <c r="A4726" s="205" t="n"/>
      <c r="B4726" s="207" t="n"/>
      <c r="C4726" s="104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348" t="n"/>
      <c r="E4726" s="349">
        <f>IF(C4726="","",IFERROR(VLOOKUP(C4726,parametros!$A$11:$E$15,5,0),""))</f>
        <v/>
      </c>
      <c r="F4726" s="335">
        <f>IF(OR(D4726="",E4726=""),"",ROUND(D4726*E4726,2))</f>
        <v/>
      </c>
      <c r="G4726" s="106" t="n"/>
      <c r="H4726" s="350">
        <f>IF(G4726="Sim",IF(OR(F4726="",D4726="",L4726=""),"",IF(L4726="Sim",ROUND(F4726-D4726,2),0)),0)</f>
        <v/>
      </c>
      <c r="I4726" s="350">
        <f>IF(G4726="Sim",0,IF(OR(F4726="",L4726=""),"",F4726))</f>
        <v/>
      </c>
      <c r="J4726" s="350">
        <f>IF(G4726="Sim",0,IF(OR(F4726="",D4726="",L4726=""),"",IF(L4726="Sim",ROUND(F4726-D4726,2),0)))</f>
        <v/>
      </c>
      <c r="K4726" s="97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inlineStr">
        <is>
          <t>Nao</t>
        </is>
      </c>
      <c r="W4726" s="110" t="inlineStr">
        <is>
          <t>PC em analise</t>
        </is>
      </c>
      <c r="X4726" s="110" t="inlineStr">
        <is>
          <t>Pedido de Compra</t>
        </is>
      </c>
      <c r="Y4726" s="111" t="inlineStr">
        <is>
          <t>Impacto Potencial</t>
        </is>
      </c>
      <c r="Z4726" s="111" t="inlineStr">
        <is>
          <t>PC</t>
        </is>
      </c>
      <c r="AA4726" s="111" t="inlineStr">
        <is>
          <t>Nao</t>
        </is>
      </c>
      <c r="AB4726" s="111" t="inlineStr">
        <is>
          <t>NAO_COMPUTADO</t>
        </is>
      </c>
      <c r="AC4726" s="112" t="inlineStr">
        <is>
          <t>Estrutura Fase 1: sem impacto no VTA oficial</t>
        </is>
      </c>
    </row>
    <row r="4727" ht="25.5" customHeight="1" s="289">
      <c r="A4727" s="205" t="n"/>
      <c r="B4727" s="207" t="n"/>
      <c r="C4727" s="104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348" t="n"/>
      <c r="E4727" s="349">
        <f>IF(C4727="","",IFERROR(VLOOKUP(C4727,parametros!$A$11:$E$15,5,0),""))</f>
        <v/>
      </c>
      <c r="F4727" s="335">
        <f>IF(OR(D4727="",E4727=""),"",ROUND(D4727*E4727,2))</f>
        <v/>
      </c>
      <c r="G4727" s="106" t="n"/>
      <c r="H4727" s="350">
        <f>IF(G4727="Sim",IF(OR(F4727="",D4727="",L4727=""),"",IF(L4727="Sim",ROUND(F4727-D4727,2),0)),0)</f>
        <v/>
      </c>
      <c r="I4727" s="350">
        <f>IF(G4727="Sim",0,IF(OR(F4727="",L4727=""),"",F4727))</f>
        <v/>
      </c>
      <c r="J4727" s="350">
        <f>IF(G4727="Sim",0,IF(OR(F4727="",D4727="",L4727=""),"",IF(L4727="Sim",ROUND(F4727-D4727,2),0)))</f>
        <v/>
      </c>
      <c r="K4727" s="97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inlineStr">
        <is>
          <t>Nao</t>
        </is>
      </c>
      <c r="W4727" s="110" t="inlineStr">
        <is>
          <t>PC em analise</t>
        </is>
      </c>
      <c r="X4727" s="110" t="inlineStr">
        <is>
          <t>Pedido de Compra</t>
        </is>
      </c>
      <c r="Y4727" s="111" t="inlineStr">
        <is>
          <t>Impacto Potencial</t>
        </is>
      </c>
      <c r="Z4727" s="111" t="inlineStr">
        <is>
          <t>PC</t>
        </is>
      </c>
      <c r="AA4727" s="111" t="inlineStr">
        <is>
          <t>Nao</t>
        </is>
      </c>
      <c r="AB4727" s="111" t="inlineStr">
        <is>
          <t>NAO_COMPUTADO</t>
        </is>
      </c>
      <c r="AC4727" s="112" t="inlineStr">
        <is>
          <t>Estrutura Fase 1: sem impacto no VTA oficial</t>
        </is>
      </c>
    </row>
    <row r="4728" ht="25.5" customHeight="1" s="289">
      <c r="A4728" s="205" t="n"/>
      <c r="B4728" s="207" t="n"/>
      <c r="C4728" s="104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348" t="n"/>
      <c r="E4728" s="349">
        <f>IF(C4728="","",IFERROR(VLOOKUP(C4728,parametros!$A$11:$E$15,5,0),""))</f>
        <v/>
      </c>
      <c r="F4728" s="335">
        <f>IF(OR(D4728="",E4728=""),"",ROUND(D4728*E4728,2))</f>
        <v/>
      </c>
      <c r="G4728" s="106" t="n"/>
      <c r="H4728" s="350">
        <f>IF(G4728="Sim",IF(OR(F4728="",D4728="",L4728=""),"",IF(L4728="Sim",ROUND(F4728-D4728,2),0)),0)</f>
        <v/>
      </c>
      <c r="I4728" s="350">
        <f>IF(G4728="Sim",0,IF(OR(F4728="",L4728=""),"",F4728))</f>
        <v/>
      </c>
      <c r="J4728" s="350">
        <f>IF(G4728="Sim",0,IF(OR(F4728="",D4728="",L4728=""),"",IF(L4728="Sim",ROUND(F4728-D4728,2),0)))</f>
        <v/>
      </c>
      <c r="K4728" s="97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inlineStr">
        <is>
          <t>Nao</t>
        </is>
      </c>
      <c r="W4728" s="110" t="inlineStr">
        <is>
          <t>PC em analise</t>
        </is>
      </c>
      <c r="X4728" s="110" t="inlineStr">
        <is>
          <t>Pedido de Compra</t>
        </is>
      </c>
      <c r="Y4728" s="111" t="inlineStr">
        <is>
          <t>Impacto Potencial</t>
        </is>
      </c>
      <c r="Z4728" s="111" t="inlineStr">
        <is>
          <t>PC</t>
        </is>
      </c>
      <c r="AA4728" s="111" t="inlineStr">
        <is>
          <t>Nao</t>
        </is>
      </c>
      <c r="AB4728" s="111" t="inlineStr">
        <is>
          <t>NAO_COMPUTADO</t>
        </is>
      </c>
      <c r="AC4728" s="112" t="inlineStr">
        <is>
          <t>Estrutura Fase 1: sem impacto no VTA oficial</t>
        </is>
      </c>
    </row>
    <row r="4729" ht="25.5" customHeight="1" s="289">
      <c r="A4729" s="205" t="n"/>
      <c r="B4729" s="207" t="n"/>
      <c r="C4729" s="104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348" t="n"/>
      <c r="E4729" s="349">
        <f>IF(C4729="","",IFERROR(VLOOKUP(C4729,parametros!$A$11:$E$15,5,0),""))</f>
        <v/>
      </c>
      <c r="F4729" s="335">
        <f>IF(OR(D4729="",E4729=""),"",ROUND(D4729*E4729,2))</f>
        <v/>
      </c>
      <c r="G4729" s="106" t="n"/>
      <c r="H4729" s="350">
        <f>IF(G4729="Sim",IF(OR(F4729="",D4729="",L4729=""),"",IF(L4729="Sim",ROUND(F4729-D4729,2),0)),0)</f>
        <v/>
      </c>
      <c r="I4729" s="350">
        <f>IF(G4729="Sim",0,IF(OR(F4729="",L4729=""),"",F4729))</f>
        <v/>
      </c>
      <c r="J4729" s="350">
        <f>IF(G4729="Sim",0,IF(OR(F4729="",D4729="",L4729=""),"",IF(L4729="Sim",ROUND(F4729-D4729,2),0)))</f>
        <v/>
      </c>
      <c r="K4729" s="97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inlineStr">
        <is>
          <t>Nao</t>
        </is>
      </c>
      <c r="W4729" s="110" t="inlineStr">
        <is>
          <t>PC em analise</t>
        </is>
      </c>
      <c r="X4729" s="110" t="inlineStr">
        <is>
          <t>Pedido de Compra</t>
        </is>
      </c>
      <c r="Y4729" s="111" t="inlineStr">
        <is>
          <t>Impacto Potencial</t>
        </is>
      </c>
      <c r="Z4729" s="111" t="inlineStr">
        <is>
          <t>PC</t>
        </is>
      </c>
      <c r="AA4729" s="111" t="inlineStr">
        <is>
          <t>Nao</t>
        </is>
      </c>
      <c r="AB4729" s="111" t="inlineStr">
        <is>
          <t>NAO_COMPUTADO</t>
        </is>
      </c>
      <c r="AC4729" s="112" t="inlineStr">
        <is>
          <t>Estrutura Fase 1: sem impacto no VTA oficial</t>
        </is>
      </c>
    </row>
    <row r="4730" ht="25.5" customHeight="1" s="289">
      <c r="A4730" s="205" t="n"/>
      <c r="B4730" s="207" t="n"/>
      <c r="C4730" s="104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348" t="n"/>
      <c r="E4730" s="349">
        <f>IF(C4730="","",IFERROR(VLOOKUP(C4730,parametros!$A$11:$E$15,5,0),""))</f>
        <v/>
      </c>
      <c r="F4730" s="335">
        <f>IF(OR(D4730="",E4730=""),"",ROUND(D4730*E4730,2))</f>
        <v/>
      </c>
      <c r="G4730" s="106" t="n"/>
      <c r="H4730" s="350">
        <f>IF(G4730="Sim",IF(OR(F4730="",D4730="",L4730=""),"",IF(L4730="Sim",ROUND(F4730-D4730,2),0)),0)</f>
        <v/>
      </c>
      <c r="I4730" s="350">
        <f>IF(G4730="Sim",0,IF(OR(F4730="",L4730=""),"",F4730))</f>
        <v/>
      </c>
      <c r="J4730" s="350">
        <f>IF(G4730="Sim",0,IF(OR(F4730="",D4730="",L4730=""),"",IF(L4730="Sim",ROUND(F4730-D4730,2),0)))</f>
        <v/>
      </c>
      <c r="K4730" s="97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inlineStr">
        <is>
          <t>Nao</t>
        </is>
      </c>
      <c r="W4730" s="110" t="inlineStr">
        <is>
          <t>PC em analise</t>
        </is>
      </c>
      <c r="X4730" s="110" t="inlineStr">
        <is>
          <t>Pedido de Compra</t>
        </is>
      </c>
      <c r="Y4730" s="111" t="inlineStr">
        <is>
          <t>Impacto Potencial</t>
        </is>
      </c>
      <c r="Z4730" s="111" t="inlineStr">
        <is>
          <t>PC</t>
        </is>
      </c>
      <c r="AA4730" s="111" t="inlineStr">
        <is>
          <t>Nao</t>
        </is>
      </c>
      <c r="AB4730" s="111" t="inlineStr">
        <is>
          <t>NAO_COMPUTADO</t>
        </is>
      </c>
      <c r="AC4730" s="112" t="inlineStr">
        <is>
          <t>Estrutura Fase 1: sem impacto no VTA oficial</t>
        </is>
      </c>
    </row>
    <row r="4731" ht="25.5" customHeight="1" s="289">
      <c r="A4731" s="205" t="n"/>
      <c r="B4731" s="207" t="n"/>
      <c r="C4731" s="104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348" t="n"/>
      <c r="E4731" s="349">
        <f>IF(C4731="","",IFERROR(VLOOKUP(C4731,parametros!$A$11:$E$15,5,0),""))</f>
        <v/>
      </c>
      <c r="F4731" s="335">
        <f>IF(OR(D4731="",E4731=""),"",ROUND(D4731*E4731,2))</f>
        <v/>
      </c>
      <c r="G4731" s="106" t="n"/>
      <c r="H4731" s="350">
        <f>IF(G4731="Sim",IF(OR(F4731="",D4731="",L4731=""),"",IF(L4731="Sim",ROUND(F4731-D4731,2),0)),0)</f>
        <v/>
      </c>
      <c r="I4731" s="350">
        <f>IF(G4731="Sim",0,IF(OR(F4731="",L4731=""),"",F4731))</f>
        <v/>
      </c>
      <c r="J4731" s="350">
        <f>IF(G4731="Sim",0,IF(OR(F4731="",D4731="",L4731=""),"",IF(L4731="Sim",ROUND(F4731-D4731,2),0)))</f>
        <v/>
      </c>
      <c r="K4731" s="97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inlineStr">
        <is>
          <t>Nao</t>
        </is>
      </c>
      <c r="W4731" s="110" t="inlineStr">
        <is>
          <t>PC em analise</t>
        </is>
      </c>
      <c r="X4731" s="110" t="inlineStr">
        <is>
          <t>Pedido de Compra</t>
        </is>
      </c>
      <c r="Y4731" s="111" t="inlineStr">
        <is>
          <t>Impacto Potencial</t>
        </is>
      </c>
      <c r="Z4731" s="111" t="inlineStr">
        <is>
          <t>PC</t>
        </is>
      </c>
      <c r="AA4731" s="111" t="inlineStr">
        <is>
          <t>Nao</t>
        </is>
      </c>
      <c r="AB4731" s="111" t="inlineStr">
        <is>
          <t>NAO_COMPUTADO</t>
        </is>
      </c>
      <c r="AC4731" s="112" t="inlineStr">
        <is>
          <t>Estrutura Fase 1: sem impacto no VTA oficial</t>
        </is>
      </c>
    </row>
    <row r="4732" ht="25.5" customHeight="1" s="289">
      <c r="A4732" s="205" t="n"/>
      <c r="B4732" s="207" t="n"/>
      <c r="C4732" s="104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348" t="n"/>
      <c r="E4732" s="349">
        <f>IF(C4732="","",IFERROR(VLOOKUP(C4732,parametros!$A$11:$E$15,5,0),""))</f>
        <v/>
      </c>
      <c r="F4732" s="335">
        <f>IF(OR(D4732="",E4732=""),"",ROUND(D4732*E4732,2))</f>
        <v/>
      </c>
      <c r="G4732" s="106" t="n"/>
      <c r="H4732" s="350">
        <f>IF(G4732="Sim",IF(OR(F4732="",D4732="",L4732=""),"",IF(L4732="Sim",ROUND(F4732-D4732,2),0)),0)</f>
        <v/>
      </c>
      <c r="I4732" s="350">
        <f>IF(G4732="Sim",0,IF(OR(F4732="",L4732=""),"",F4732))</f>
        <v/>
      </c>
      <c r="J4732" s="350">
        <f>IF(G4732="Sim",0,IF(OR(F4732="",D4732="",L4732=""),"",IF(L4732="Sim",ROUND(F4732-D4732,2),0)))</f>
        <v/>
      </c>
      <c r="K4732" s="97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inlineStr">
        <is>
          <t>Nao</t>
        </is>
      </c>
      <c r="W4732" s="110" t="inlineStr">
        <is>
          <t>PC em analise</t>
        </is>
      </c>
      <c r="X4732" s="110" t="inlineStr">
        <is>
          <t>Pedido de Compra</t>
        </is>
      </c>
      <c r="Y4732" s="111" t="inlineStr">
        <is>
          <t>Impacto Potencial</t>
        </is>
      </c>
      <c r="Z4732" s="111" t="inlineStr">
        <is>
          <t>PC</t>
        </is>
      </c>
      <c r="AA4732" s="111" t="inlineStr">
        <is>
          <t>Nao</t>
        </is>
      </c>
      <c r="AB4732" s="111" t="inlineStr">
        <is>
          <t>NAO_COMPUTADO</t>
        </is>
      </c>
      <c r="AC4732" s="112" t="inlineStr">
        <is>
          <t>Estrutura Fase 1: sem impacto no VTA oficial</t>
        </is>
      </c>
    </row>
    <row r="4733" ht="25.5" customHeight="1" s="289">
      <c r="A4733" s="205" t="n"/>
      <c r="B4733" s="207" t="n"/>
      <c r="C4733" s="104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348" t="n"/>
      <c r="E4733" s="349">
        <f>IF(C4733="","",IFERROR(VLOOKUP(C4733,parametros!$A$11:$E$15,5,0),""))</f>
        <v/>
      </c>
      <c r="F4733" s="335">
        <f>IF(OR(D4733="",E4733=""),"",ROUND(D4733*E4733,2))</f>
        <v/>
      </c>
      <c r="G4733" s="106" t="n"/>
      <c r="H4733" s="350">
        <f>IF(G4733="Sim",IF(OR(F4733="",D4733="",L4733=""),"",IF(L4733="Sim",ROUND(F4733-D4733,2),0)),0)</f>
        <v/>
      </c>
      <c r="I4733" s="350">
        <f>IF(G4733="Sim",0,IF(OR(F4733="",L4733=""),"",F4733))</f>
        <v/>
      </c>
      <c r="J4733" s="350">
        <f>IF(G4733="Sim",0,IF(OR(F4733="",D4733="",L4733=""),"",IF(L4733="Sim",ROUND(F4733-D4733,2),0)))</f>
        <v/>
      </c>
      <c r="K4733" s="97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inlineStr">
        <is>
          <t>Nao</t>
        </is>
      </c>
      <c r="W4733" s="110" t="inlineStr">
        <is>
          <t>PC em analise</t>
        </is>
      </c>
      <c r="X4733" s="110" t="inlineStr">
        <is>
          <t>Pedido de Compra</t>
        </is>
      </c>
      <c r="Y4733" s="111" t="inlineStr">
        <is>
          <t>Impacto Potencial</t>
        </is>
      </c>
      <c r="Z4733" s="111" t="inlineStr">
        <is>
          <t>PC</t>
        </is>
      </c>
      <c r="AA4733" s="111" t="inlineStr">
        <is>
          <t>Nao</t>
        </is>
      </c>
      <c r="AB4733" s="111" t="inlineStr">
        <is>
          <t>NAO_COMPUTADO</t>
        </is>
      </c>
      <c r="AC4733" s="112" t="inlineStr">
        <is>
          <t>Estrutura Fase 1: sem impacto no VTA oficial</t>
        </is>
      </c>
    </row>
    <row r="4734" ht="25.5" customHeight="1" s="289">
      <c r="A4734" s="205" t="n"/>
      <c r="B4734" s="207" t="n"/>
      <c r="C4734" s="104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348" t="n"/>
      <c r="E4734" s="349">
        <f>IF(C4734="","",IFERROR(VLOOKUP(C4734,parametros!$A$11:$E$15,5,0),""))</f>
        <v/>
      </c>
      <c r="F4734" s="335">
        <f>IF(OR(D4734="",E4734=""),"",ROUND(D4734*E4734,2))</f>
        <v/>
      </c>
      <c r="G4734" s="106" t="n"/>
      <c r="H4734" s="350">
        <f>IF(G4734="Sim",IF(OR(F4734="",D4734="",L4734=""),"",IF(L4734="Sim",ROUND(F4734-D4734,2),0)),0)</f>
        <v/>
      </c>
      <c r="I4734" s="350">
        <f>IF(G4734="Sim",0,IF(OR(F4734="",L4734=""),"",F4734))</f>
        <v/>
      </c>
      <c r="J4734" s="350">
        <f>IF(G4734="Sim",0,IF(OR(F4734="",D4734="",L4734=""),"",IF(L4734="Sim",ROUND(F4734-D4734,2),0)))</f>
        <v/>
      </c>
      <c r="K4734" s="97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inlineStr">
        <is>
          <t>Nao</t>
        </is>
      </c>
      <c r="W4734" s="110" t="inlineStr">
        <is>
          <t>PC em analise</t>
        </is>
      </c>
      <c r="X4734" s="110" t="inlineStr">
        <is>
          <t>Pedido de Compra</t>
        </is>
      </c>
      <c r="Y4734" s="111" t="inlineStr">
        <is>
          <t>Impacto Potencial</t>
        </is>
      </c>
      <c r="Z4734" s="111" t="inlineStr">
        <is>
          <t>PC</t>
        </is>
      </c>
      <c r="AA4734" s="111" t="inlineStr">
        <is>
          <t>Nao</t>
        </is>
      </c>
      <c r="AB4734" s="111" t="inlineStr">
        <is>
          <t>NAO_COMPUTADO</t>
        </is>
      </c>
      <c r="AC4734" s="112" t="inlineStr">
        <is>
          <t>Estrutura Fase 1: sem impacto no VTA oficial</t>
        </is>
      </c>
    </row>
    <row r="4735" ht="25.5" customHeight="1" s="289">
      <c r="A4735" s="205" t="n"/>
      <c r="B4735" s="207" t="n"/>
      <c r="C4735" s="104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348" t="n"/>
      <c r="E4735" s="349">
        <f>IF(C4735="","",IFERROR(VLOOKUP(C4735,parametros!$A$11:$E$15,5,0),""))</f>
        <v/>
      </c>
      <c r="F4735" s="335">
        <f>IF(OR(D4735="",E4735=""),"",ROUND(D4735*E4735,2))</f>
        <v/>
      </c>
      <c r="G4735" s="106" t="n"/>
      <c r="H4735" s="350">
        <f>IF(G4735="Sim",IF(OR(F4735="",D4735="",L4735=""),"",IF(L4735="Sim",ROUND(F4735-D4735,2),0)),0)</f>
        <v/>
      </c>
      <c r="I4735" s="350">
        <f>IF(G4735="Sim",0,IF(OR(F4735="",L4735=""),"",F4735))</f>
        <v/>
      </c>
      <c r="J4735" s="350">
        <f>IF(G4735="Sim",0,IF(OR(F4735="",D4735="",L4735=""),"",IF(L4735="Sim",ROUND(F4735-D4735,2),0)))</f>
        <v/>
      </c>
      <c r="K4735" s="97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inlineStr">
        <is>
          <t>Nao</t>
        </is>
      </c>
      <c r="W4735" s="110" t="inlineStr">
        <is>
          <t>PC em analise</t>
        </is>
      </c>
      <c r="X4735" s="110" t="inlineStr">
        <is>
          <t>Pedido de Compra</t>
        </is>
      </c>
      <c r="Y4735" s="111" t="inlineStr">
        <is>
          <t>Impacto Potencial</t>
        </is>
      </c>
      <c r="Z4735" s="111" t="inlineStr">
        <is>
          <t>PC</t>
        </is>
      </c>
      <c r="AA4735" s="111" t="inlineStr">
        <is>
          <t>Nao</t>
        </is>
      </c>
      <c r="AB4735" s="111" t="inlineStr">
        <is>
          <t>NAO_COMPUTADO</t>
        </is>
      </c>
      <c r="AC4735" s="112" t="inlineStr">
        <is>
          <t>Estrutura Fase 1: sem impacto no VTA oficial</t>
        </is>
      </c>
    </row>
    <row r="4736" ht="25.5" customHeight="1" s="289">
      <c r="A4736" s="205" t="n"/>
      <c r="B4736" s="207" t="n"/>
      <c r="C4736" s="104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348" t="n"/>
      <c r="E4736" s="349">
        <f>IF(C4736="","",IFERROR(VLOOKUP(C4736,parametros!$A$11:$E$15,5,0),""))</f>
        <v/>
      </c>
      <c r="F4736" s="335">
        <f>IF(OR(D4736="",E4736=""),"",ROUND(D4736*E4736,2))</f>
        <v/>
      </c>
      <c r="G4736" s="106" t="n"/>
      <c r="H4736" s="350">
        <f>IF(G4736="Sim",IF(OR(F4736="",D4736="",L4736=""),"",IF(L4736="Sim",ROUND(F4736-D4736,2),0)),0)</f>
        <v/>
      </c>
      <c r="I4736" s="350">
        <f>IF(G4736="Sim",0,IF(OR(F4736="",L4736=""),"",F4736))</f>
        <v/>
      </c>
      <c r="J4736" s="350">
        <f>IF(G4736="Sim",0,IF(OR(F4736="",D4736="",L4736=""),"",IF(L4736="Sim",ROUND(F4736-D4736,2),0)))</f>
        <v/>
      </c>
      <c r="K4736" s="97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inlineStr">
        <is>
          <t>Nao</t>
        </is>
      </c>
      <c r="W4736" s="110" t="inlineStr">
        <is>
          <t>PC em analise</t>
        </is>
      </c>
      <c r="X4736" s="110" t="inlineStr">
        <is>
          <t>Pedido de Compra</t>
        </is>
      </c>
      <c r="Y4736" s="111" t="inlineStr">
        <is>
          <t>Impacto Potencial</t>
        </is>
      </c>
      <c r="Z4736" s="111" t="inlineStr">
        <is>
          <t>PC</t>
        </is>
      </c>
      <c r="AA4736" s="111" t="inlineStr">
        <is>
          <t>Nao</t>
        </is>
      </c>
      <c r="AB4736" s="111" t="inlineStr">
        <is>
          <t>NAO_COMPUTADO</t>
        </is>
      </c>
      <c r="AC4736" s="112" t="inlineStr">
        <is>
          <t>Estrutura Fase 1: sem impacto no VTA oficial</t>
        </is>
      </c>
    </row>
    <row r="4737" ht="25.5" customHeight="1" s="289">
      <c r="A4737" s="205" t="n"/>
      <c r="B4737" s="207" t="n"/>
      <c r="C4737" s="104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348" t="n"/>
      <c r="E4737" s="349">
        <f>IF(C4737="","",IFERROR(VLOOKUP(C4737,parametros!$A$11:$E$15,5,0),""))</f>
        <v/>
      </c>
      <c r="F4737" s="335">
        <f>IF(OR(D4737="",E4737=""),"",ROUND(D4737*E4737,2))</f>
        <v/>
      </c>
      <c r="G4737" s="106" t="n"/>
      <c r="H4737" s="350">
        <f>IF(G4737="Sim",IF(OR(F4737="",D4737="",L4737=""),"",IF(L4737="Sim",ROUND(F4737-D4737,2),0)),0)</f>
        <v/>
      </c>
      <c r="I4737" s="350">
        <f>IF(G4737="Sim",0,IF(OR(F4737="",L4737=""),"",F4737))</f>
        <v/>
      </c>
      <c r="J4737" s="350">
        <f>IF(G4737="Sim",0,IF(OR(F4737="",D4737="",L4737=""),"",IF(L4737="Sim",ROUND(F4737-D4737,2),0)))</f>
        <v/>
      </c>
      <c r="K4737" s="97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inlineStr">
        <is>
          <t>Nao</t>
        </is>
      </c>
      <c r="W4737" s="110" t="inlineStr">
        <is>
          <t>PC em analise</t>
        </is>
      </c>
      <c r="X4737" s="110" t="inlineStr">
        <is>
          <t>Pedido de Compra</t>
        </is>
      </c>
      <c r="Y4737" s="111" t="inlineStr">
        <is>
          <t>Impacto Potencial</t>
        </is>
      </c>
      <c r="Z4737" s="111" t="inlineStr">
        <is>
          <t>PC</t>
        </is>
      </c>
      <c r="AA4737" s="111" t="inlineStr">
        <is>
          <t>Nao</t>
        </is>
      </c>
      <c r="AB4737" s="111" t="inlineStr">
        <is>
          <t>NAO_COMPUTADO</t>
        </is>
      </c>
      <c r="AC4737" s="112" t="inlineStr">
        <is>
          <t>Estrutura Fase 1: sem impacto no VTA oficial</t>
        </is>
      </c>
    </row>
    <row r="4738" ht="25.5" customHeight="1" s="289">
      <c r="A4738" s="205" t="n"/>
      <c r="B4738" s="207" t="n"/>
      <c r="C4738" s="104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348" t="n"/>
      <c r="E4738" s="349">
        <f>IF(C4738="","",IFERROR(VLOOKUP(C4738,parametros!$A$11:$E$15,5,0),""))</f>
        <v/>
      </c>
      <c r="F4738" s="335">
        <f>IF(OR(D4738="",E4738=""),"",ROUND(D4738*E4738,2))</f>
        <v/>
      </c>
      <c r="G4738" s="106" t="n"/>
      <c r="H4738" s="350">
        <f>IF(G4738="Sim",IF(OR(F4738="",D4738="",L4738=""),"",IF(L4738="Sim",ROUND(F4738-D4738,2),0)),0)</f>
        <v/>
      </c>
      <c r="I4738" s="350">
        <f>IF(G4738="Sim",0,IF(OR(F4738="",L4738=""),"",F4738))</f>
        <v/>
      </c>
      <c r="J4738" s="350">
        <f>IF(G4738="Sim",0,IF(OR(F4738="",D4738="",L4738=""),"",IF(L4738="Sim",ROUND(F4738-D4738,2),0)))</f>
        <v/>
      </c>
      <c r="K4738" s="97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inlineStr">
        <is>
          <t>Nao</t>
        </is>
      </c>
      <c r="W4738" s="110" t="inlineStr">
        <is>
          <t>PC em analise</t>
        </is>
      </c>
      <c r="X4738" s="110" t="inlineStr">
        <is>
          <t>Pedido de Compra</t>
        </is>
      </c>
      <c r="Y4738" s="111" t="inlineStr">
        <is>
          <t>Impacto Potencial</t>
        </is>
      </c>
      <c r="Z4738" s="111" t="inlineStr">
        <is>
          <t>PC</t>
        </is>
      </c>
      <c r="AA4738" s="111" t="inlineStr">
        <is>
          <t>Nao</t>
        </is>
      </c>
      <c r="AB4738" s="111" t="inlineStr">
        <is>
          <t>NAO_COMPUTADO</t>
        </is>
      </c>
      <c r="AC4738" s="112" t="inlineStr">
        <is>
          <t>Estrutura Fase 1: sem impacto no VTA oficial</t>
        </is>
      </c>
    </row>
    <row r="4739" ht="25.5" customHeight="1" s="289">
      <c r="A4739" s="205" t="n"/>
      <c r="B4739" s="207" t="n"/>
      <c r="C4739" s="104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348" t="n"/>
      <c r="E4739" s="349">
        <f>IF(C4739="","",IFERROR(VLOOKUP(C4739,parametros!$A$11:$E$15,5,0),""))</f>
        <v/>
      </c>
      <c r="F4739" s="335">
        <f>IF(OR(D4739="",E4739=""),"",ROUND(D4739*E4739,2))</f>
        <v/>
      </c>
      <c r="G4739" s="106" t="n"/>
      <c r="H4739" s="350">
        <f>IF(G4739="Sim",IF(OR(F4739="",D4739="",L4739=""),"",IF(L4739="Sim",ROUND(F4739-D4739,2),0)),0)</f>
        <v/>
      </c>
      <c r="I4739" s="350">
        <f>IF(G4739="Sim",0,IF(OR(F4739="",L4739=""),"",F4739))</f>
        <v/>
      </c>
      <c r="J4739" s="350">
        <f>IF(G4739="Sim",0,IF(OR(F4739="",D4739="",L4739=""),"",IF(L4739="Sim",ROUND(F4739-D4739,2),0)))</f>
        <v/>
      </c>
      <c r="K4739" s="97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inlineStr">
        <is>
          <t>Nao</t>
        </is>
      </c>
      <c r="W4739" s="110" t="inlineStr">
        <is>
          <t>PC em analise</t>
        </is>
      </c>
      <c r="X4739" s="110" t="inlineStr">
        <is>
          <t>Pedido de Compra</t>
        </is>
      </c>
      <c r="Y4739" s="111" t="inlineStr">
        <is>
          <t>Impacto Potencial</t>
        </is>
      </c>
      <c r="Z4739" s="111" t="inlineStr">
        <is>
          <t>PC</t>
        </is>
      </c>
      <c r="AA4739" s="111" t="inlineStr">
        <is>
          <t>Nao</t>
        </is>
      </c>
      <c r="AB4739" s="111" t="inlineStr">
        <is>
          <t>NAO_COMPUTADO</t>
        </is>
      </c>
      <c r="AC4739" s="112" t="inlineStr">
        <is>
          <t>Estrutura Fase 1: sem impacto no VTA oficial</t>
        </is>
      </c>
    </row>
    <row r="4740" ht="25.5" customHeight="1" s="289">
      <c r="A4740" s="205" t="n"/>
      <c r="B4740" s="207" t="n"/>
      <c r="C4740" s="104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348" t="n"/>
      <c r="E4740" s="349">
        <f>IF(C4740="","",IFERROR(VLOOKUP(C4740,parametros!$A$11:$E$15,5,0),""))</f>
        <v/>
      </c>
      <c r="F4740" s="335">
        <f>IF(OR(D4740="",E4740=""),"",ROUND(D4740*E4740,2))</f>
        <v/>
      </c>
      <c r="G4740" s="106" t="n"/>
      <c r="H4740" s="350">
        <f>IF(G4740="Sim",IF(OR(F4740="",D4740="",L4740=""),"",IF(L4740="Sim",ROUND(F4740-D4740,2),0)),0)</f>
        <v/>
      </c>
      <c r="I4740" s="350">
        <f>IF(G4740="Sim",0,IF(OR(F4740="",L4740=""),"",F4740))</f>
        <v/>
      </c>
      <c r="J4740" s="350">
        <f>IF(G4740="Sim",0,IF(OR(F4740="",D4740="",L4740=""),"",IF(L4740="Sim",ROUND(F4740-D4740,2),0)))</f>
        <v/>
      </c>
      <c r="K4740" s="97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inlineStr">
        <is>
          <t>Nao</t>
        </is>
      </c>
      <c r="W4740" s="110" t="inlineStr">
        <is>
          <t>PC em analise</t>
        </is>
      </c>
      <c r="X4740" s="110" t="inlineStr">
        <is>
          <t>Pedido de Compra</t>
        </is>
      </c>
      <c r="Y4740" s="111" t="inlineStr">
        <is>
          <t>Impacto Potencial</t>
        </is>
      </c>
      <c r="Z4740" s="111" t="inlineStr">
        <is>
          <t>PC</t>
        </is>
      </c>
      <c r="AA4740" s="111" t="inlineStr">
        <is>
          <t>Nao</t>
        </is>
      </c>
      <c r="AB4740" s="111" t="inlineStr">
        <is>
          <t>NAO_COMPUTADO</t>
        </is>
      </c>
      <c r="AC4740" s="112" t="inlineStr">
        <is>
          <t>Estrutura Fase 1: sem impacto no VTA oficial</t>
        </is>
      </c>
    </row>
    <row r="4741" ht="25.5" customHeight="1" s="289">
      <c r="A4741" s="205" t="n"/>
      <c r="B4741" s="207" t="n"/>
      <c r="C4741" s="104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348" t="n"/>
      <c r="E4741" s="349">
        <f>IF(C4741="","",IFERROR(VLOOKUP(C4741,parametros!$A$11:$E$15,5,0),""))</f>
        <v/>
      </c>
      <c r="F4741" s="335">
        <f>IF(OR(D4741="",E4741=""),"",ROUND(D4741*E4741,2))</f>
        <v/>
      </c>
      <c r="G4741" s="106" t="n"/>
      <c r="H4741" s="350">
        <f>IF(G4741="Sim",IF(OR(F4741="",D4741="",L4741=""),"",IF(L4741="Sim",ROUND(F4741-D4741,2),0)),0)</f>
        <v/>
      </c>
      <c r="I4741" s="350">
        <f>IF(G4741="Sim",0,IF(OR(F4741="",L4741=""),"",F4741))</f>
        <v/>
      </c>
      <c r="J4741" s="350">
        <f>IF(G4741="Sim",0,IF(OR(F4741="",D4741="",L4741=""),"",IF(L4741="Sim",ROUND(F4741-D4741,2),0)))</f>
        <v/>
      </c>
      <c r="K4741" s="97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inlineStr">
        <is>
          <t>Nao</t>
        </is>
      </c>
      <c r="W4741" s="110" t="inlineStr">
        <is>
          <t>PC em analise</t>
        </is>
      </c>
      <c r="X4741" s="110" t="inlineStr">
        <is>
          <t>Pedido de Compra</t>
        </is>
      </c>
      <c r="Y4741" s="111" t="inlineStr">
        <is>
          <t>Impacto Potencial</t>
        </is>
      </c>
      <c r="Z4741" s="111" t="inlineStr">
        <is>
          <t>PC</t>
        </is>
      </c>
      <c r="AA4741" s="111" t="inlineStr">
        <is>
          <t>Nao</t>
        </is>
      </c>
      <c r="AB4741" s="111" t="inlineStr">
        <is>
          <t>NAO_COMPUTADO</t>
        </is>
      </c>
      <c r="AC4741" s="112" t="inlineStr">
        <is>
          <t>Estrutura Fase 1: sem impacto no VTA oficial</t>
        </is>
      </c>
    </row>
    <row r="4742" ht="25.5" customHeight="1" s="289">
      <c r="A4742" s="205" t="n"/>
      <c r="B4742" s="207" t="n"/>
      <c r="C4742" s="104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348" t="n"/>
      <c r="E4742" s="349">
        <f>IF(C4742="","",IFERROR(VLOOKUP(C4742,parametros!$A$11:$E$15,5,0),""))</f>
        <v/>
      </c>
      <c r="F4742" s="335">
        <f>IF(OR(D4742="",E4742=""),"",ROUND(D4742*E4742,2))</f>
        <v/>
      </c>
      <c r="G4742" s="106" t="n"/>
      <c r="H4742" s="350">
        <f>IF(G4742="Sim",IF(OR(F4742="",D4742="",L4742=""),"",IF(L4742="Sim",ROUND(F4742-D4742,2),0)),0)</f>
        <v/>
      </c>
      <c r="I4742" s="350">
        <f>IF(G4742="Sim",0,IF(OR(F4742="",L4742=""),"",F4742))</f>
        <v/>
      </c>
      <c r="J4742" s="350">
        <f>IF(G4742="Sim",0,IF(OR(F4742="",D4742="",L4742=""),"",IF(L4742="Sim",ROUND(F4742-D4742,2),0)))</f>
        <v/>
      </c>
      <c r="K4742" s="97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inlineStr">
        <is>
          <t>Nao</t>
        </is>
      </c>
      <c r="W4742" s="110" t="inlineStr">
        <is>
          <t>PC em analise</t>
        </is>
      </c>
      <c r="X4742" s="110" t="inlineStr">
        <is>
          <t>Pedido de Compra</t>
        </is>
      </c>
      <c r="Y4742" s="111" t="inlineStr">
        <is>
          <t>Impacto Potencial</t>
        </is>
      </c>
      <c r="Z4742" s="111" t="inlineStr">
        <is>
          <t>PC</t>
        </is>
      </c>
      <c r="AA4742" s="111" t="inlineStr">
        <is>
          <t>Nao</t>
        </is>
      </c>
      <c r="AB4742" s="111" t="inlineStr">
        <is>
          <t>NAO_COMPUTADO</t>
        </is>
      </c>
      <c r="AC4742" s="112" t="inlineStr">
        <is>
          <t>Estrutura Fase 1: sem impacto no VTA oficial</t>
        </is>
      </c>
    </row>
    <row r="4743" ht="25.5" customHeight="1" s="289">
      <c r="A4743" s="205" t="n"/>
      <c r="B4743" s="207" t="n"/>
      <c r="C4743" s="104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348" t="n"/>
      <c r="E4743" s="349">
        <f>IF(C4743="","",IFERROR(VLOOKUP(C4743,parametros!$A$11:$E$15,5,0),""))</f>
        <v/>
      </c>
      <c r="F4743" s="335">
        <f>IF(OR(D4743="",E4743=""),"",ROUND(D4743*E4743,2))</f>
        <v/>
      </c>
      <c r="G4743" s="106" t="n"/>
      <c r="H4743" s="350">
        <f>IF(G4743="Sim",IF(OR(F4743="",D4743="",L4743=""),"",IF(L4743="Sim",ROUND(F4743-D4743,2),0)),0)</f>
        <v/>
      </c>
      <c r="I4743" s="350">
        <f>IF(G4743="Sim",0,IF(OR(F4743="",L4743=""),"",F4743))</f>
        <v/>
      </c>
      <c r="J4743" s="350">
        <f>IF(G4743="Sim",0,IF(OR(F4743="",D4743="",L4743=""),"",IF(L4743="Sim",ROUND(F4743-D4743,2),0)))</f>
        <v/>
      </c>
      <c r="K4743" s="97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inlineStr">
        <is>
          <t>Nao</t>
        </is>
      </c>
      <c r="W4743" s="110" t="inlineStr">
        <is>
          <t>PC em analise</t>
        </is>
      </c>
      <c r="X4743" s="110" t="inlineStr">
        <is>
          <t>Pedido de Compra</t>
        </is>
      </c>
      <c r="Y4743" s="111" t="inlineStr">
        <is>
          <t>Impacto Potencial</t>
        </is>
      </c>
      <c r="Z4743" s="111" t="inlineStr">
        <is>
          <t>PC</t>
        </is>
      </c>
      <c r="AA4743" s="111" t="inlineStr">
        <is>
          <t>Nao</t>
        </is>
      </c>
      <c r="AB4743" s="111" t="inlineStr">
        <is>
          <t>NAO_COMPUTADO</t>
        </is>
      </c>
      <c r="AC4743" s="112" t="inlineStr">
        <is>
          <t>Estrutura Fase 1: sem impacto no VTA oficial</t>
        </is>
      </c>
    </row>
    <row r="4744" ht="25.5" customHeight="1" s="289">
      <c r="A4744" s="205" t="n"/>
      <c r="B4744" s="207" t="n"/>
      <c r="C4744" s="104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348" t="n"/>
      <c r="E4744" s="349">
        <f>IF(C4744="","",IFERROR(VLOOKUP(C4744,parametros!$A$11:$E$15,5,0),""))</f>
        <v/>
      </c>
      <c r="F4744" s="335">
        <f>IF(OR(D4744="",E4744=""),"",ROUND(D4744*E4744,2))</f>
        <v/>
      </c>
      <c r="G4744" s="106" t="n"/>
      <c r="H4744" s="350">
        <f>IF(G4744="Sim",IF(OR(F4744="",D4744="",L4744=""),"",IF(L4744="Sim",ROUND(F4744-D4744,2),0)),0)</f>
        <v/>
      </c>
      <c r="I4744" s="350">
        <f>IF(G4744="Sim",0,IF(OR(F4744="",L4744=""),"",F4744))</f>
        <v/>
      </c>
      <c r="J4744" s="350">
        <f>IF(G4744="Sim",0,IF(OR(F4744="",D4744="",L4744=""),"",IF(L4744="Sim",ROUND(F4744-D4744,2),0)))</f>
        <v/>
      </c>
      <c r="K4744" s="97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inlineStr">
        <is>
          <t>Nao</t>
        </is>
      </c>
      <c r="W4744" s="110" t="inlineStr">
        <is>
          <t>PC em analise</t>
        </is>
      </c>
      <c r="X4744" s="110" t="inlineStr">
        <is>
          <t>Pedido de Compra</t>
        </is>
      </c>
      <c r="Y4744" s="111" t="inlineStr">
        <is>
          <t>Impacto Potencial</t>
        </is>
      </c>
      <c r="Z4744" s="111" t="inlineStr">
        <is>
          <t>PC</t>
        </is>
      </c>
      <c r="AA4744" s="111" t="inlineStr">
        <is>
          <t>Nao</t>
        </is>
      </c>
      <c r="AB4744" s="111" t="inlineStr">
        <is>
          <t>NAO_COMPUTADO</t>
        </is>
      </c>
      <c r="AC4744" s="112" t="inlineStr">
        <is>
          <t>Estrutura Fase 1: sem impacto no VTA oficial</t>
        </is>
      </c>
    </row>
    <row r="4745" ht="25.5" customHeight="1" s="289">
      <c r="A4745" s="205" t="n"/>
      <c r="B4745" s="207" t="n"/>
      <c r="C4745" s="104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348" t="n"/>
      <c r="E4745" s="349">
        <f>IF(C4745="","",IFERROR(VLOOKUP(C4745,parametros!$A$11:$E$15,5,0),""))</f>
        <v/>
      </c>
      <c r="F4745" s="335">
        <f>IF(OR(D4745="",E4745=""),"",ROUND(D4745*E4745,2))</f>
        <v/>
      </c>
      <c r="G4745" s="106" t="n"/>
      <c r="H4745" s="350">
        <f>IF(G4745="Sim",IF(OR(F4745="",D4745="",L4745=""),"",IF(L4745="Sim",ROUND(F4745-D4745,2),0)),0)</f>
        <v/>
      </c>
      <c r="I4745" s="350">
        <f>IF(G4745="Sim",0,IF(OR(F4745="",L4745=""),"",F4745))</f>
        <v/>
      </c>
      <c r="J4745" s="350">
        <f>IF(G4745="Sim",0,IF(OR(F4745="",D4745="",L4745=""),"",IF(L4745="Sim",ROUND(F4745-D4745,2),0)))</f>
        <v/>
      </c>
      <c r="K4745" s="97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inlineStr">
        <is>
          <t>Nao</t>
        </is>
      </c>
      <c r="W4745" s="110" t="inlineStr">
        <is>
          <t>PC em analise</t>
        </is>
      </c>
      <c r="X4745" s="110" t="inlineStr">
        <is>
          <t>Pedido de Compra</t>
        </is>
      </c>
      <c r="Y4745" s="111" t="inlineStr">
        <is>
          <t>Impacto Potencial</t>
        </is>
      </c>
      <c r="Z4745" s="111" t="inlineStr">
        <is>
          <t>PC</t>
        </is>
      </c>
      <c r="AA4745" s="111" t="inlineStr">
        <is>
          <t>Nao</t>
        </is>
      </c>
      <c r="AB4745" s="111" t="inlineStr">
        <is>
          <t>NAO_COMPUTADO</t>
        </is>
      </c>
      <c r="AC4745" s="112" t="inlineStr">
        <is>
          <t>Estrutura Fase 1: sem impacto no VTA oficial</t>
        </is>
      </c>
    </row>
    <row r="4746" ht="25.5" customHeight="1" s="289">
      <c r="A4746" s="205" t="n"/>
      <c r="B4746" s="207" t="n"/>
      <c r="C4746" s="104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348" t="n"/>
      <c r="E4746" s="349">
        <f>IF(C4746="","",IFERROR(VLOOKUP(C4746,parametros!$A$11:$E$15,5,0),""))</f>
        <v/>
      </c>
      <c r="F4746" s="335">
        <f>IF(OR(D4746="",E4746=""),"",ROUND(D4746*E4746,2))</f>
        <v/>
      </c>
      <c r="G4746" s="106" t="n"/>
      <c r="H4746" s="350">
        <f>IF(G4746="Sim",IF(OR(F4746="",D4746="",L4746=""),"",IF(L4746="Sim",ROUND(F4746-D4746,2),0)),0)</f>
        <v/>
      </c>
      <c r="I4746" s="350">
        <f>IF(G4746="Sim",0,IF(OR(F4746="",L4746=""),"",F4746))</f>
        <v/>
      </c>
      <c r="J4746" s="350">
        <f>IF(G4746="Sim",0,IF(OR(F4746="",D4746="",L4746=""),"",IF(L4746="Sim",ROUND(F4746-D4746,2),0)))</f>
        <v/>
      </c>
      <c r="K4746" s="97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inlineStr">
        <is>
          <t>Nao</t>
        </is>
      </c>
      <c r="W4746" s="110" t="inlineStr">
        <is>
          <t>PC em analise</t>
        </is>
      </c>
      <c r="X4746" s="110" t="inlineStr">
        <is>
          <t>Pedido de Compra</t>
        </is>
      </c>
      <c r="Y4746" s="111" t="inlineStr">
        <is>
          <t>Impacto Potencial</t>
        </is>
      </c>
      <c r="Z4746" s="111" t="inlineStr">
        <is>
          <t>PC</t>
        </is>
      </c>
      <c r="AA4746" s="111" t="inlineStr">
        <is>
          <t>Nao</t>
        </is>
      </c>
      <c r="AB4746" s="111" t="inlineStr">
        <is>
          <t>NAO_COMPUTADO</t>
        </is>
      </c>
      <c r="AC4746" s="112" t="inlineStr">
        <is>
          <t>Estrutura Fase 1: sem impacto no VTA oficial</t>
        </is>
      </c>
    </row>
    <row r="4747" ht="25.5" customHeight="1" s="289">
      <c r="A4747" s="205" t="n"/>
      <c r="B4747" s="207" t="n"/>
      <c r="C4747" s="104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348" t="n"/>
      <c r="E4747" s="349">
        <f>IF(C4747="","",IFERROR(VLOOKUP(C4747,parametros!$A$11:$E$15,5,0),""))</f>
        <v/>
      </c>
      <c r="F4747" s="335">
        <f>IF(OR(D4747="",E4747=""),"",ROUND(D4747*E4747,2))</f>
        <v/>
      </c>
      <c r="G4747" s="106" t="n"/>
      <c r="H4747" s="350">
        <f>IF(G4747="Sim",IF(OR(F4747="",D4747="",L4747=""),"",IF(L4747="Sim",ROUND(F4747-D4747,2),0)),0)</f>
        <v/>
      </c>
      <c r="I4747" s="350">
        <f>IF(G4747="Sim",0,IF(OR(F4747="",L4747=""),"",F4747))</f>
        <v/>
      </c>
      <c r="J4747" s="350">
        <f>IF(G4747="Sim",0,IF(OR(F4747="",D4747="",L4747=""),"",IF(L4747="Sim",ROUND(F4747-D4747,2),0)))</f>
        <v/>
      </c>
      <c r="K4747" s="97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inlineStr">
        <is>
          <t>Nao</t>
        </is>
      </c>
      <c r="W4747" s="110" t="inlineStr">
        <is>
          <t>PC em analise</t>
        </is>
      </c>
      <c r="X4747" s="110" t="inlineStr">
        <is>
          <t>Pedido de Compra</t>
        </is>
      </c>
      <c r="Y4747" s="111" t="inlineStr">
        <is>
          <t>Impacto Potencial</t>
        </is>
      </c>
      <c r="Z4747" s="111" t="inlineStr">
        <is>
          <t>PC</t>
        </is>
      </c>
      <c r="AA4747" s="111" t="inlineStr">
        <is>
          <t>Nao</t>
        </is>
      </c>
      <c r="AB4747" s="111" t="inlineStr">
        <is>
          <t>NAO_COMPUTADO</t>
        </is>
      </c>
      <c r="AC4747" s="112" t="inlineStr">
        <is>
          <t>Estrutura Fase 1: sem impacto no VTA oficial</t>
        </is>
      </c>
    </row>
    <row r="4748" ht="25.5" customHeight="1" s="289">
      <c r="A4748" s="205" t="n"/>
      <c r="B4748" s="207" t="n"/>
      <c r="C4748" s="104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348" t="n"/>
      <c r="E4748" s="349">
        <f>IF(C4748="","",IFERROR(VLOOKUP(C4748,parametros!$A$11:$E$15,5,0),""))</f>
        <v/>
      </c>
      <c r="F4748" s="335">
        <f>IF(OR(D4748="",E4748=""),"",ROUND(D4748*E4748,2))</f>
        <v/>
      </c>
      <c r="G4748" s="106" t="n"/>
      <c r="H4748" s="350">
        <f>IF(G4748="Sim",IF(OR(F4748="",D4748="",L4748=""),"",IF(L4748="Sim",ROUND(F4748-D4748,2),0)),0)</f>
        <v/>
      </c>
      <c r="I4748" s="350">
        <f>IF(G4748="Sim",0,IF(OR(F4748="",L4748=""),"",F4748))</f>
        <v/>
      </c>
      <c r="J4748" s="350">
        <f>IF(G4748="Sim",0,IF(OR(F4748="",D4748="",L4748=""),"",IF(L4748="Sim",ROUND(F4748-D4748,2),0)))</f>
        <v/>
      </c>
      <c r="K4748" s="97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inlineStr">
        <is>
          <t>Nao</t>
        </is>
      </c>
      <c r="W4748" s="110" t="inlineStr">
        <is>
          <t>PC em analise</t>
        </is>
      </c>
      <c r="X4748" s="110" t="inlineStr">
        <is>
          <t>Pedido de Compra</t>
        </is>
      </c>
      <c r="Y4748" s="111" t="inlineStr">
        <is>
          <t>Impacto Potencial</t>
        </is>
      </c>
      <c r="Z4748" s="111" t="inlineStr">
        <is>
          <t>PC</t>
        </is>
      </c>
      <c r="AA4748" s="111" t="inlineStr">
        <is>
          <t>Nao</t>
        </is>
      </c>
      <c r="AB4748" s="111" t="inlineStr">
        <is>
          <t>NAO_COMPUTADO</t>
        </is>
      </c>
      <c r="AC4748" s="112" t="inlineStr">
        <is>
          <t>Estrutura Fase 1: sem impacto no VTA oficial</t>
        </is>
      </c>
    </row>
    <row r="4749" ht="25.5" customHeight="1" s="289">
      <c r="A4749" s="205" t="n"/>
      <c r="B4749" s="207" t="n"/>
      <c r="C4749" s="104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348" t="n"/>
      <c r="E4749" s="349">
        <f>IF(C4749="","",IFERROR(VLOOKUP(C4749,parametros!$A$11:$E$15,5,0),""))</f>
        <v/>
      </c>
      <c r="F4749" s="335">
        <f>IF(OR(D4749="",E4749=""),"",ROUND(D4749*E4749,2))</f>
        <v/>
      </c>
      <c r="G4749" s="106" t="n"/>
      <c r="H4749" s="350">
        <f>IF(G4749="Sim",IF(OR(F4749="",D4749="",L4749=""),"",IF(L4749="Sim",ROUND(F4749-D4749,2),0)),0)</f>
        <v/>
      </c>
      <c r="I4749" s="350">
        <f>IF(G4749="Sim",0,IF(OR(F4749="",L4749=""),"",F4749))</f>
        <v/>
      </c>
      <c r="J4749" s="350">
        <f>IF(G4749="Sim",0,IF(OR(F4749="",D4749="",L4749=""),"",IF(L4749="Sim",ROUND(F4749-D4749,2),0)))</f>
        <v/>
      </c>
      <c r="K4749" s="97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inlineStr">
        <is>
          <t>Nao</t>
        </is>
      </c>
      <c r="W4749" s="110" t="inlineStr">
        <is>
          <t>PC em analise</t>
        </is>
      </c>
      <c r="X4749" s="110" t="inlineStr">
        <is>
          <t>Pedido de Compra</t>
        </is>
      </c>
      <c r="Y4749" s="111" t="inlineStr">
        <is>
          <t>Impacto Potencial</t>
        </is>
      </c>
      <c r="Z4749" s="111" t="inlineStr">
        <is>
          <t>PC</t>
        </is>
      </c>
      <c r="AA4749" s="111" t="inlineStr">
        <is>
          <t>Nao</t>
        </is>
      </c>
      <c r="AB4749" s="111" t="inlineStr">
        <is>
          <t>NAO_COMPUTADO</t>
        </is>
      </c>
      <c r="AC4749" s="112" t="inlineStr">
        <is>
          <t>Estrutura Fase 1: sem impacto no VTA oficial</t>
        </is>
      </c>
    </row>
    <row r="4750" ht="25.5" customHeight="1" s="289">
      <c r="A4750" s="205" t="n"/>
      <c r="B4750" s="207" t="n"/>
      <c r="C4750" s="104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348" t="n"/>
      <c r="E4750" s="349">
        <f>IF(C4750="","",IFERROR(VLOOKUP(C4750,parametros!$A$11:$E$15,5,0),""))</f>
        <v/>
      </c>
      <c r="F4750" s="335">
        <f>IF(OR(D4750="",E4750=""),"",ROUND(D4750*E4750,2))</f>
        <v/>
      </c>
      <c r="G4750" s="106" t="n"/>
      <c r="H4750" s="350">
        <f>IF(G4750="Sim",IF(OR(F4750="",D4750="",L4750=""),"",IF(L4750="Sim",ROUND(F4750-D4750,2),0)),0)</f>
        <v/>
      </c>
      <c r="I4750" s="350">
        <f>IF(G4750="Sim",0,IF(OR(F4750="",L4750=""),"",F4750))</f>
        <v/>
      </c>
      <c r="J4750" s="350">
        <f>IF(G4750="Sim",0,IF(OR(F4750="",D4750="",L4750=""),"",IF(L4750="Sim",ROUND(F4750-D4750,2),0)))</f>
        <v/>
      </c>
      <c r="K4750" s="97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inlineStr">
        <is>
          <t>Nao</t>
        </is>
      </c>
      <c r="W4750" s="110" t="inlineStr">
        <is>
          <t>PC em analise</t>
        </is>
      </c>
      <c r="X4750" s="110" t="inlineStr">
        <is>
          <t>Pedido de Compra</t>
        </is>
      </c>
      <c r="Y4750" s="111" t="inlineStr">
        <is>
          <t>Impacto Potencial</t>
        </is>
      </c>
      <c r="Z4750" s="111" t="inlineStr">
        <is>
          <t>PC</t>
        </is>
      </c>
      <c r="AA4750" s="111" t="inlineStr">
        <is>
          <t>Nao</t>
        </is>
      </c>
      <c r="AB4750" s="111" t="inlineStr">
        <is>
          <t>NAO_COMPUTADO</t>
        </is>
      </c>
      <c r="AC4750" s="112" t="inlineStr">
        <is>
          <t>Estrutura Fase 1: sem impacto no VTA oficial</t>
        </is>
      </c>
    </row>
    <row r="4751" ht="25.5" customHeight="1" s="289">
      <c r="A4751" s="205" t="n"/>
      <c r="B4751" s="207" t="n"/>
      <c r="C4751" s="104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348" t="n"/>
      <c r="E4751" s="349">
        <f>IF(C4751="","",IFERROR(VLOOKUP(C4751,parametros!$A$11:$E$15,5,0),""))</f>
        <v/>
      </c>
      <c r="F4751" s="335">
        <f>IF(OR(D4751="",E4751=""),"",ROUND(D4751*E4751,2))</f>
        <v/>
      </c>
      <c r="G4751" s="106" t="n"/>
      <c r="H4751" s="350">
        <f>IF(G4751="Sim",IF(OR(F4751="",D4751="",L4751=""),"",IF(L4751="Sim",ROUND(F4751-D4751,2),0)),0)</f>
        <v/>
      </c>
      <c r="I4751" s="350">
        <f>IF(G4751="Sim",0,IF(OR(F4751="",L4751=""),"",F4751))</f>
        <v/>
      </c>
      <c r="J4751" s="350">
        <f>IF(G4751="Sim",0,IF(OR(F4751="",D4751="",L4751=""),"",IF(L4751="Sim",ROUND(F4751-D4751,2),0)))</f>
        <v/>
      </c>
      <c r="K4751" s="97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inlineStr">
        <is>
          <t>Nao</t>
        </is>
      </c>
      <c r="W4751" s="110" t="inlineStr">
        <is>
          <t>PC em analise</t>
        </is>
      </c>
      <c r="X4751" s="110" t="inlineStr">
        <is>
          <t>Pedido de Compra</t>
        </is>
      </c>
      <c r="Y4751" s="111" t="inlineStr">
        <is>
          <t>Impacto Potencial</t>
        </is>
      </c>
      <c r="Z4751" s="111" t="inlineStr">
        <is>
          <t>PC</t>
        </is>
      </c>
      <c r="AA4751" s="111" t="inlineStr">
        <is>
          <t>Nao</t>
        </is>
      </c>
      <c r="AB4751" s="111" t="inlineStr">
        <is>
          <t>NAO_COMPUTADO</t>
        </is>
      </c>
      <c r="AC4751" s="112" t="inlineStr">
        <is>
          <t>Estrutura Fase 1: sem impacto no VTA oficial</t>
        </is>
      </c>
    </row>
    <row r="4752" ht="25.5" customHeight="1" s="289">
      <c r="A4752" s="205" t="n"/>
      <c r="B4752" s="207" t="n"/>
      <c r="C4752" s="104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348" t="n"/>
      <c r="E4752" s="349">
        <f>IF(C4752="","",IFERROR(VLOOKUP(C4752,parametros!$A$11:$E$15,5,0),""))</f>
        <v/>
      </c>
      <c r="F4752" s="335">
        <f>IF(OR(D4752="",E4752=""),"",ROUND(D4752*E4752,2))</f>
        <v/>
      </c>
      <c r="G4752" s="106" t="n"/>
      <c r="H4752" s="350">
        <f>IF(G4752="Sim",IF(OR(F4752="",D4752="",L4752=""),"",IF(L4752="Sim",ROUND(F4752-D4752,2),0)),0)</f>
        <v/>
      </c>
      <c r="I4752" s="350">
        <f>IF(G4752="Sim",0,IF(OR(F4752="",L4752=""),"",F4752))</f>
        <v/>
      </c>
      <c r="J4752" s="350">
        <f>IF(G4752="Sim",0,IF(OR(F4752="",D4752="",L4752=""),"",IF(L4752="Sim",ROUND(F4752-D4752,2),0)))</f>
        <v/>
      </c>
      <c r="K4752" s="97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inlineStr">
        <is>
          <t>Nao</t>
        </is>
      </c>
      <c r="W4752" s="110" t="inlineStr">
        <is>
          <t>PC em analise</t>
        </is>
      </c>
      <c r="X4752" s="110" t="inlineStr">
        <is>
          <t>Pedido de Compra</t>
        </is>
      </c>
      <c r="Y4752" s="111" t="inlineStr">
        <is>
          <t>Impacto Potencial</t>
        </is>
      </c>
      <c r="Z4752" s="111" t="inlineStr">
        <is>
          <t>PC</t>
        </is>
      </c>
      <c r="AA4752" s="111" t="inlineStr">
        <is>
          <t>Nao</t>
        </is>
      </c>
      <c r="AB4752" s="111" t="inlineStr">
        <is>
          <t>NAO_COMPUTADO</t>
        </is>
      </c>
      <c r="AC4752" s="112" t="inlineStr">
        <is>
          <t>Estrutura Fase 1: sem impacto no VTA oficial</t>
        </is>
      </c>
    </row>
    <row r="4753" ht="25.5" customHeight="1" s="289">
      <c r="A4753" s="205" t="n"/>
      <c r="B4753" s="207" t="n"/>
      <c r="C4753" s="104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348" t="n"/>
      <c r="E4753" s="349">
        <f>IF(C4753="","",IFERROR(VLOOKUP(C4753,parametros!$A$11:$E$15,5,0),""))</f>
        <v/>
      </c>
      <c r="F4753" s="335">
        <f>IF(OR(D4753="",E4753=""),"",ROUND(D4753*E4753,2))</f>
        <v/>
      </c>
      <c r="G4753" s="106" t="n"/>
      <c r="H4753" s="350">
        <f>IF(G4753="Sim",IF(OR(F4753="",D4753="",L4753=""),"",IF(L4753="Sim",ROUND(F4753-D4753,2),0)),0)</f>
        <v/>
      </c>
      <c r="I4753" s="350">
        <f>IF(G4753="Sim",0,IF(OR(F4753="",L4753=""),"",F4753))</f>
        <v/>
      </c>
      <c r="J4753" s="350">
        <f>IF(G4753="Sim",0,IF(OR(F4753="",D4753="",L4753=""),"",IF(L4753="Sim",ROUND(F4753-D4753,2),0)))</f>
        <v/>
      </c>
      <c r="K4753" s="97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inlineStr">
        <is>
          <t>Nao</t>
        </is>
      </c>
      <c r="W4753" s="110" t="inlineStr">
        <is>
          <t>PC em analise</t>
        </is>
      </c>
      <c r="X4753" s="110" t="inlineStr">
        <is>
          <t>Pedido de Compra</t>
        </is>
      </c>
      <c r="Y4753" s="111" t="inlineStr">
        <is>
          <t>Impacto Potencial</t>
        </is>
      </c>
      <c r="Z4753" s="111" t="inlineStr">
        <is>
          <t>PC</t>
        </is>
      </c>
      <c r="AA4753" s="111" t="inlineStr">
        <is>
          <t>Nao</t>
        </is>
      </c>
      <c r="AB4753" s="111" t="inlineStr">
        <is>
          <t>NAO_COMPUTADO</t>
        </is>
      </c>
      <c r="AC4753" s="112" t="inlineStr">
        <is>
          <t>Estrutura Fase 1: sem impacto no VTA oficial</t>
        </is>
      </c>
    </row>
    <row r="4754" ht="25.5" customHeight="1" s="289">
      <c r="A4754" s="205" t="n"/>
      <c r="B4754" s="207" t="n"/>
      <c r="C4754" s="104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348" t="n"/>
      <c r="E4754" s="349">
        <f>IF(C4754="","",IFERROR(VLOOKUP(C4754,parametros!$A$11:$E$15,5,0),""))</f>
        <v/>
      </c>
      <c r="F4754" s="335">
        <f>IF(OR(D4754="",E4754=""),"",ROUND(D4754*E4754,2))</f>
        <v/>
      </c>
      <c r="G4754" s="106" t="n"/>
      <c r="H4754" s="350">
        <f>IF(G4754="Sim",IF(OR(F4754="",D4754="",L4754=""),"",IF(L4754="Sim",ROUND(F4754-D4754,2),0)),0)</f>
        <v/>
      </c>
      <c r="I4754" s="350">
        <f>IF(G4754="Sim",0,IF(OR(F4754="",L4754=""),"",F4754))</f>
        <v/>
      </c>
      <c r="J4754" s="350">
        <f>IF(G4754="Sim",0,IF(OR(F4754="",D4754="",L4754=""),"",IF(L4754="Sim",ROUND(F4754-D4754,2),0)))</f>
        <v/>
      </c>
      <c r="K4754" s="97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inlineStr">
        <is>
          <t>Nao</t>
        </is>
      </c>
      <c r="W4754" s="110" t="inlineStr">
        <is>
          <t>PC em analise</t>
        </is>
      </c>
      <c r="X4754" s="110" t="inlineStr">
        <is>
          <t>Pedido de Compra</t>
        </is>
      </c>
      <c r="Y4754" s="111" t="inlineStr">
        <is>
          <t>Impacto Potencial</t>
        </is>
      </c>
      <c r="Z4754" s="111" t="inlineStr">
        <is>
          <t>PC</t>
        </is>
      </c>
      <c r="AA4754" s="111" t="inlineStr">
        <is>
          <t>Nao</t>
        </is>
      </c>
      <c r="AB4754" s="111" t="inlineStr">
        <is>
          <t>NAO_COMPUTADO</t>
        </is>
      </c>
      <c r="AC4754" s="112" t="inlineStr">
        <is>
          <t>Estrutura Fase 1: sem impacto no VTA oficial</t>
        </is>
      </c>
    </row>
    <row r="4755" ht="25.5" customHeight="1" s="289">
      <c r="A4755" s="205" t="n"/>
      <c r="B4755" s="207" t="n"/>
      <c r="C4755" s="104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348" t="n"/>
      <c r="E4755" s="349">
        <f>IF(C4755="","",IFERROR(VLOOKUP(C4755,parametros!$A$11:$E$15,5,0),""))</f>
        <v/>
      </c>
      <c r="F4755" s="335">
        <f>IF(OR(D4755="",E4755=""),"",ROUND(D4755*E4755,2))</f>
        <v/>
      </c>
      <c r="G4755" s="106" t="n"/>
      <c r="H4755" s="350">
        <f>IF(G4755="Sim",IF(OR(F4755="",D4755="",L4755=""),"",IF(L4755="Sim",ROUND(F4755-D4755,2),0)),0)</f>
        <v/>
      </c>
      <c r="I4755" s="350">
        <f>IF(G4755="Sim",0,IF(OR(F4755="",L4755=""),"",F4755))</f>
        <v/>
      </c>
      <c r="J4755" s="350">
        <f>IF(G4755="Sim",0,IF(OR(F4755="",D4755="",L4755=""),"",IF(L4755="Sim",ROUND(F4755-D4755,2),0)))</f>
        <v/>
      </c>
      <c r="K4755" s="97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inlineStr">
        <is>
          <t>Nao</t>
        </is>
      </c>
      <c r="W4755" s="110" t="inlineStr">
        <is>
          <t>PC em analise</t>
        </is>
      </c>
      <c r="X4755" s="110" t="inlineStr">
        <is>
          <t>Pedido de Compra</t>
        </is>
      </c>
      <c r="Y4755" s="111" t="inlineStr">
        <is>
          <t>Impacto Potencial</t>
        </is>
      </c>
      <c r="Z4755" s="111" t="inlineStr">
        <is>
          <t>PC</t>
        </is>
      </c>
      <c r="AA4755" s="111" t="inlineStr">
        <is>
          <t>Nao</t>
        </is>
      </c>
      <c r="AB4755" s="111" t="inlineStr">
        <is>
          <t>NAO_COMPUTADO</t>
        </is>
      </c>
      <c r="AC4755" s="112" t="inlineStr">
        <is>
          <t>Estrutura Fase 1: sem impacto no VTA oficial</t>
        </is>
      </c>
    </row>
    <row r="4756" ht="25.5" customHeight="1" s="289">
      <c r="A4756" s="205" t="n"/>
      <c r="B4756" s="207" t="n"/>
      <c r="C4756" s="104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348" t="n"/>
      <c r="E4756" s="349">
        <f>IF(C4756="","",IFERROR(VLOOKUP(C4756,parametros!$A$11:$E$15,5,0),""))</f>
        <v/>
      </c>
      <c r="F4756" s="335">
        <f>IF(OR(D4756="",E4756=""),"",ROUND(D4756*E4756,2))</f>
        <v/>
      </c>
      <c r="G4756" s="106" t="n"/>
      <c r="H4756" s="350">
        <f>IF(G4756="Sim",IF(OR(F4756="",D4756="",L4756=""),"",IF(L4756="Sim",ROUND(F4756-D4756,2),0)),0)</f>
        <v/>
      </c>
      <c r="I4756" s="350">
        <f>IF(G4756="Sim",0,IF(OR(F4756="",L4756=""),"",F4756))</f>
        <v/>
      </c>
      <c r="J4756" s="350">
        <f>IF(G4756="Sim",0,IF(OR(F4756="",D4756="",L4756=""),"",IF(L4756="Sim",ROUND(F4756-D4756,2),0)))</f>
        <v/>
      </c>
      <c r="K4756" s="97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inlineStr">
        <is>
          <t>Nao</t>
        </is>
      </c>
      <c r="W4756" s="110" t="inlineStr">
        <is>
          <t>PC em analise</t>
        </is>
      </c>
      <c r="X4756" s="110" t="inlineStr">
        <is>
          <t>Pedido de Compra</t>
        </is>
      </c>
      <c r="Y4756" s="111" t="inlineStr">
        <is>
          <t>Impacto Potencial</t>
        </is>
      </c>
      <c r="Z4756" s="111" t="inlineStr">
        <is>
          <t>PC</t>
        </is>
      </c>
      <c r="AA4756" s="111" t="inlineStr">
        <is>
          <t>Nao</t>
        </is>
      </c>
      <c r="AB4756" s="111" t="inlineStr">
        <is>
          <t>NAO_COMPUTADO</t>
        </is>
      </c>
      <c r="AC4756" s="112" t="inlineStr">
        <is>
          <t>Estrutura Fase 1: sem impacto no VTA oficial</t>
        </is>
      </c>
    </row>
    <row r="4757" ht="25.5" customHeight="1" s="289">
      <c r="A4757" s="205" t="n"/>
      <c r="B4757" s="207" t="n"/>
      <c r="C4757" s="104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348" t="n"/>
      <c r="E4757" s="349">
        <f>IF(C4757="","",IFERROR(VLOOKUP(C4757,parametros!$A$11:$E$15,5,0),""))</f>
        <v/>
      </c>
      <c r="F4757" s="335">
        <f>IF(OR(D4757="",E4757=""),"",ROUND(D4757*E4757,2))</f>
        <v/>
      </c>
      <c r="G4757" s="106" t="n"/>
      <c r="H4757" s="350">
        <f>IF(G4757="Sim",IF(OR(F4757="",D4757="",L4757=""),"",IF(L4757="Sim",ROUND(F4757-D4757,2),0)),0)</f>
        <v/>
      </c>
      <c r="I4757" s="350">
        <f>IF(G4757="Sim",0,IF(OR(F4757="",L4757=""),"",F4757))</f>
        <v/>
      </c>
      <c r="J4757" s="350">
        <f>IF(G4757="Sim",0,IF(OR(F4757="",D4757="",L4757=""),"",IF(L4757="Sim",ROUND(F4757-D4757,2),0)))</f>
        <v/>
      </c>
      <c r="K4757" s="97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inlineStr">
        <is>
          <t>Nao</t>
        </is>
      </c>
      <c r="W4757" s="110" t="inlineStr">
        <is>
          <t>PC em analise</t>
        </is>
      </c>
      <c r="X4757" s="110" t="inlineStr">
        <is>
          <t>Pedido de Compra</t>
        </is>
      </c>
      <c r="Y4757" s="111" t="inlineStr">
        <is>
          <t>Impacto Potencial</t>
        </is>
      </c>
      <c r="Z4757" s="111" t="inlineStr">
        <is>
          <t>PC</t>
        </is>
      </c>
      <c r="AA4757" s="111" t="inlineStr">
        <is>
          <t>Nao</t>
        </is>
      </c>
      <c r="AB4757" s="111" t="inlineStr">
        <is>
          <t>NAO_COMPUTADO</t>
        </is>
      </c>
      <c r="AC4757" s="112" t="inlineStr">
        <is>
          <t>Estrutura Fase 1: sem impacto no VTA oficial</t>
        </is>
      </c>
    </row>
    <row r="4758" ht="25.5" customHeight="1" s="289">
      <c r="A4758" s="205" t="n"/>
      <c r="B4758" s="207" t="n"/>
      <c r="C4758" s="104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348" t="n"/>
      <c r="E4758" s="349">
        <f>IF(C4758="","",IFERROR(VLOOKUP(C4758,parametros!$A$11:$E$15,5,0),""))</f>
        <v/>
      </c>
      <c r="F4758" s="335">
        <f>IF(OR(D4758="",E4758=""),"",ROUND(D4758*E4758,2))</f>
        <v/>
      </c>
      <c r="G4758" s="106" t="n"/>
      <c r="H4758" s="350">
        <f>IF(G4758="Sim",IF(OR(F4758="",D4758="",L4758=""),"",IF(L4758="Sim",ROUND(F4758-D4758,2),0)),0)</f>
        <v/>
      </c>
      <c r="I4758" s="350">
        <f>IF(G4758="Sim",0,IF(OR(F4758="",L4758=""),"",F4758))</f>
        <v/>
      </c>
      <c r="J4758" s="350">
        <f>IF(G4758="Sim",0,IF(OR(F4758="",D4758="",L4758=""),"",IF(L4758="Sim",ROUND(F4758-D4758,2),0)))</f>
        <v/>
      </c>
      <c r="K4758" s="97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inlineStr">
        <is>
          <t>Nao</t>
        </is>
      </c>
      <c r="W4758" s="110" t="inlineStr">
        <is>
          <t>PC em analise</t>
        </is>
      </c>
      <c r="X4758" s="110" t="inlineStr">
        <is>
          <t>Pedido de Compra</t>
        </is>
      </c>
      <c r="Y4758" s="111" t="inlineStr">
        <is>
          <t>Impacto Potencial</t>
        </is>
      </c>
      <c r="Z4758" s="111" t="inlineStr">
        <is>
          <t>PC</t>
        </is>
      </c>
      <c r="AA4758" s="111" t="inlineStr">
        <is>
          <t>Nao</t>
        </is>
      </c>
      <c r="AB4758" s="111" t="inlineStr">
        <is>
          <t>NAO_COMPUTADO</t>
        </is>
      </c>
      <c r="AC4758" s="112" t="inlineStr">
        <is>
          <t>Estrutura Fase 1: sem impacto no VTA oficial</t>
        </is>
      </c>
    </row>
    <row r="4759" ht="25.5" customHeight="1" s="289">
      <c r="A4759" s="205" t="n"/>
      <c r="B4759" s="207" t="n"/>
      <c r="C4759" s="104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348" t="n"/>
      <c r="E4759" s="349">
        <f>IF(C4759="","",IFERROR(VLOOKUP(C4759,parametros!$A$11:$E$15,5,0),""))</f>
        <v/>
      </c>
      <c r="F4759" s="335">
        <f>IF(OR(D4759="",E4759=""),"",ROUND(D4759*E4759,2))</f>
        <v/>
      </c>
      <c r="G4759" s="106" t="n"/>
      <c r="H4759" s="350">
        <f>IF(G4759="Sim",IF(OR(F4759="",D4759="",L4759=""),"",IF(L4759="Sim",ROUND(F4759-D4759,2),0)),0)</f>
        <v/>
      </c>
      <c r="I4759" s="350">
        <f>IF(G4759="Sim",0,IF(OR(F4759="",L4759=""),"",F4759))</f>
        <v/>
      </c>
      <c r="J4759" s="350">
        <f>IF(G4759="Sim",0,IF(OR(F4759="",D4759="",L4759=""),"",IF(L4759="Sim",ROUND(F4759-D4759,2),0)))</f>
        <v/>
      </c>
      <c r="K4759" s="97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inlineStr">
        <is>
          <t>Nao</t>
        </is>
      </c>
      <c r="W4759" s="110" t="inlineStr">
        <is>
          <t>PC em analise</t>
        </is>
      </c>
      <c r="X4759" s="110" t="inlineStr">
        <is>
          <t>Pedido de Compra</t>
        </is>
      </c>
      <c r="Y4759" s="111" t="inlineStr">
        <is>
          <t>Impacto Potencial</t>
        </is>
      </c>
      <c r="Z4759" s="111" t="inlineStr">
        <is>
          <t>PC</t>
        </is>
      </c>
      <c r="AA4759" s="111" t="inlineStr">
        <is>
          <t>Nao</t>
        </is>
      </c>
      <c r="AB4759" s="111" t="inlineStr">
        <is>
          <t>NAO_COMPUTADO</t>
        </is>
      </c>
      <c r="AC4759" s="112" t="inlineStr">
        <is>
          <t>Estrutura Fase 1: sem impacto no VTA oficial</t>
        </is>
      </c>
    </row>
    <row r="4760" ht="25.5" customHeight="1" s="289">
      <c r="A4760" s="205" t="n"/>
      <c r="B4760" s="207" t="n"/>
      <c r="C4760" s="104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348" t="n"/>
      <c r="E4760" s="349">
        <f>IF(C4760="","",IFERROR(VLOOKUP(C4760,parametros!$A$11:$E$15,5,0),""))</f>
        <v/>
      </c>
      <c r="F4760" s="335">
        <f>IF(OR(D4760="",E4760=""),"",ROUND(D4760*E4760,2))</f>
        <v/>
      </c>
      <c r="G4760" s="106" t="n"/>
      <c r="H4760" s="350">
        <f>IF(G4760="Sim",IF(OR(F4760="",D4760="",L4760=""),"",IF(L4760="Sim",ROUND(F4760-D4760,2),0)),0)</f>
        <v/>
      </c>
      <c r="I4760" s="350">
        <f>IF(G4760="Sim",0,IF(OR(F4760="",L4760=""),"",F4760))</f>
        <v/>
      </c>
      <c r="J4760" s="350">
        <f>IF(G4760="Sim",0,IF(OR(F4760="",D4760="",L4760=""),"",IF(L4760="Sim",ROUND(F4760-D4760,2),0)))</f>
        <v/>
      </c>
      <c r="K4760" s="97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inlineStr">
        <is>
          <t>Nao</t>
        </is>
      </c>
      <c r="W4760" s="110" t="inlineStr">
        <is>
          <t>PC em analise</t>
        </is>
      </c>
      <c r="X4760" s="110" t="inlineStr">
        <is>
          <t>Pedido de Compra</t>
        </is>
      </c>
      <c r="Y4760" s="111" t="inlineStr">
        <is>
          <t>Impacto Potencial</t>
        </is>
      </c>
      <c r="Z4760" s="111" t="inlineStr">
        <is>
          <t>PC</t>
        </is>
      </c>
      <c r="AA4760" s="111" t="inlineStr">
        <is>
          <t>Nao</t>
        </is>
      </c>
      <c r="AB4760" s="111" t="inlineStr">
        <is>
          <t>NAO_COMPUTADO</t>
        </is>
      </c>
      <c r="AC4760" s="112" t="inlineStr">
        <is>
          <t>Estrutura Fase 1: sem impacto no VTA oficial</t>
        </is>
      </c>
    </row>
    <row r="4761" ht="25.5" customHeight="1" s="289">
      <c r="A4761" s="205" t="n"/>
      <c r="B4761" s="207" t="n"/>
      <c r="C4761" s="104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348" t="n"/>
      <c r="E4761" s="349">
        <f>IF(C4761="","",IFERROR(VLOOKUP(C4761,parametros!$A$11:$E$15,5,0),""))</f>
        <v/>
      </c>
      <c r="F4761" s="335">
        <f>IF(OR(D4761="",E4761=""),"",ROUND(D4761*E4761,2))</f>
        <v/>
      </c>
      <c r="G4761" s="106" t="n"/>
      <c r="H4761" s="350">
        <f>IF(G4761="Sim",IF(OR(F4761="",D4761="",L4761=""),"",IF(L4761="Sim",ROUND(F4761-D4761,2),0)),0)</f>
        <v/>
      </c>
      <c r="I4761" s="350">
        <f>IF(G4761="Sim",0,IF(OR(F4761="",L4761=""),"",F4761))</f>
        <v/>
      </c>
      <c r="J4761" s="350">
        <f>IF(G4761="Sim",0,IF(OR(F4761="",D4761="",L4761=""),"",IF(L4761="Sim",ROUND(F4761-D4761,2),0)))</f>
        <v/>
      </c>
      <c r="K4761" s="97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inlineStr">
        <is>
          <t>Nao</t>
        </is>
      </c>
      <c r="W4761" s="110" t="inlineStr">
        <is>
          <t>PC em analise</t>
        </is>
      </c>
      <c r="X4761" s="110" t="inlineStr">
        <is>
          <t>Pedido de Compra</t>
        </is>
      </c>
      <c r="Y4761" s="111" t="inlineStr">
        <is>
          <t>Impacto Potencial</t>
        </is>
      </c>
      <c r="Z4761" s="111" t="inlineStr">
        <is>
          <t>PC</t>
        </is>
      </c>
      <c r="AA4761" s="111" t="inlineStr">
        <is>
          <t>Nao</t>
        </is>
      </c>
      <c r="AB4761" s="111" t="inlineStr">
        <is>
          <t>NAO_COMPUTADO</t>
        </is>
      </c>
      <c r="AC4761" s="112" t="inlineStr">
        <is>
          <t>Estrutura Fase 1: sem impacto no VTA oficial</t>
        </is>
      </c>
    </row>
    <row r="4762" ht="25.5" customHeight="1" s="289">
      <c r="A4762" s="205" t="n"/>
      <c r="B4762" s="207" t="n"/>
      <c r="C4762" s="104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348" t="n"/>
      <c r="E4762" s="349">
        <f>IF(C4762="","",IFERROR(VLOOKUP(C4762,parametros!$A$11:$E$15,5,0),""))</f>
        <v/>
      </c>
      <c r="F4762" s="335">
        <f>IF(OR(D4762="",E4762=""),"",ROUND(D4762*E4762,2))</f>
        <v/>
      </c>
      <c r="G4762" s="106" t="n"/>
      <c r="H4762" s="350">
        <f>IF(G4762="Sim",IF(OR(F4762="",D4762="",L4762=""),"",IF(L4762="Sim",ROUND(F4762-D4762,2),0)),0)</f>
        <v/>
      </c>
      <c r="I4762" s="350">
        <f>IF(G4762="Sim",0,IF(OR(F4762="",L4762=""),"",F4762))</f>
        <v/>
      </c>
      <c r="J4762" s="350">
        <f>IF(G4762="Sim",0,IF(OR(F4762="",D4762="",L4762=""),"",IF(L4762="Sim",ROUND(F4762-D4762,2),0)))</f>
        <v/>
      </c>
      <c r="K4762" s="97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inlineStr">
        <is>
          <t>Nao</t>
        </is>
      </c>
      <c r="W4762" s="110" t="inlineStr">
        <is>
          <t>PC em analise</t>
        </is>
      </c>
      <c r="X4762" s="110" t="inlineStr">
        <is>
          <t>Pedido de Compra</t>
        </is>
      </c>
      <c r="Y4762" s="111" t="inlineStr">
        <is>
          <t>Impacto Potencial</t>
        </is>
      </c>
      <c r="Z4762" s="111" t="inlineStr">
        <is>
          <t>PC</t>
        </is>
      </c>
      <c r="AA4762" s="111" t="inlineStr">
        <is>
          <t>Nao</t>
        </is>
      </c>
      <c r="AB4762" s="111" t="inlineStr">
        <is>
          <t>NAO_COMPUTADO</t>
        </is>
      </c>
      <c r="AC4762" s="112" t="inlineStr">
        <is>
          <t>Estrutura Fase 1: sem impacto no VTA oficial</t>
        </is>
      </c>
    </row>
    <row r="4763" ht="25.5" customHeight="1" s="289">
      <c r="A4763" s="205" t="n"/>
      <c r="B4763" s="207" t="n"/>
      <c r="C4763" s="104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348" t="n"/>
      <c r="E4763" s="349">
        <f>IF(C4763="","",IFERROR(VLOOKUP(C4763,parametros!$A$11:$E$15,5,0),""))</f>
        <v/>
      </c>
      <c r="F4763" s="335">
        <f>IF(OR(D4763="",E4763=""),"",ROUND(D4763*E4763,2))</f>
        <v/>
      </c>
      <c r="G4763" s="106" t="n"/>
      <c r="H4763" s="350">
        <f>IF(G4763="Sim",IF(OR(F4763="",D4763="",L4763=""),"",IF(L4763="Sim",ROUND(F4763-D4763,2),0)),0)</f>
        <v/>
      </c>
      <c r="I4763" s="350">
        <f>IF(G4763="Sim",0,IF(OR(F4763="",L4763=""),"",F4763))</f>
        <v/>
      </c>
      <c r="J4763" s="350">
        <f>IF(G4763="Sim",0,IF(OR(F4763="",D4763="",L4763=""),"",IF(L4763="Sim",ROUND(F4763-D4763,2),0)))</f>
        <v/>
      </c>
      <c r="K4763" s="97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inlineStr">
        <is>
          <t>Nao</t>
        </is>
      </c>
      <c r="W4763" s="110" t="inlineStr">
        <is>
          <t>PC em analise</t>
        </is>
      </c>
      <c r="X4763" s="110" t="inlineStr">
        <is>
          <t>Pedido de Compra</t>
        </is>
      </c>
      <c r="Y4763" s="111" t="inlineStr">
        <is>
          <t>Impacto Potencial</t>
        </is>
      </c>
      <c r="Z4763" s="111" t="inlineStr">
        <is>
          <t>PC</t>
        </is>
      </c>
      <c r="AA4763" s="111" t="inlineStr">
        <is>
          <t>Nao</t>
        </is>
      </c>
      <c r="AB4763" s="111" t="inlineStr">
        <is>
          <t>NAO_COMPUTADO</t>
        </is>
      </c>
      <c r="AC4763" s="112" t="inlineStr">
        <is>
          <t>Estrutura Fase 1: sem impacto no VTA oficial</t>
        </is>
      </c>
    </row>
    <row r="4764" ht="25.5" customHeight="1" s="289">
      <c r="A4764" s="205" t="n"/>
      <c r="B4764" s="207" t="n"/>
      <c r="C4764" s="104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348" t="n"/>
      <c r="E4764" s="349">
        <f>IF(C4764="","",IFERROR(VLOOKUP(C4764,parametros!$A$11:$E$15,5,0),""))</f>
        <v/>
      </c>
      <c r="F4764" s="335">
        <f>IF(OR(D4764="",E4764=""),"",ROUND(D4764*E4764,2))</f>
        <v/>
      </c>
      <c r="G4764" s="106" t="n"/>
      <c r="H4764" s="350">
        <f>IF(G4764="Sim",IF(OR(F4764="",D4764="",L4764=""),"",IF(L4764="Sim",ROUND(F4764-D4764,2),0)),0)</f>
        <v/>
      </c>
      <c r="I4764" s="350">
        <f>IF(G4764="Sim",0,IF(OR(F4764="",L4764=""),"",F4764))</f>
        <v/>
      </c>
      <c r="J4764" s="350">
        <f>IF(G4764="Sim",0,IF(OR(F4764="",D4764="",L4764=""),"",IF(L4764="Sim",ROUND(F4764-D4764,2),0)))</f>
        <v/>
      </c>
      <c r="K4764" s="97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inlineStr">
        <is>
          <t>Nao</t>
        </is>
      </c>
      <c r="W4764" s="110" t="inlineStr">
        <is>
          <t>PC em analise</t>
        </is>
      </c>
      <c r="X4764" s="110" t="inlineStr">
        <is>
          <t>Pedido de Compra</t>
        </is>
      </c>
      <c r="Y4764" s="111" t="inlineStr">
        <is>
          <t>Impacto Potencial</t>
        </is>
      </c>
      <c r="Z4764" s="111" t="inlineStr">
        <is>
          <t>PC</t>
        </is>
      </c>
      <c r="AA4764" s="111" t="inlineStr">
        <is>
          <t>Nao</t>
        </is>
      </c>
      <c r="AB4764" s="111" t="inlineStr">
        <is>
          <t>NAO_COMPUTADO</t>
        </is>
      </c>
      <c r="AC4764" s="112" t="inlineStr">
        <is>
          <t>Estrutura Fase 1: sem impacto no VTA oficial</t>
        </is>
      </c>
    </row>
    <row r="4765" ht="25.5" customHeight="1" s="289">
      <c r="A4765" s="205" t="n"/>
      <c r="B4765" s="207" t="n"/>
      <c r="C4765" s="104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348" t="n"/>
      <c r="E4765" s="349">
        <f>IF(C4765="","",IFERROR(VLOOKUP(C4765,parametros!$A$11:$E$15,5,0),""))</f>
        <v/>
      </c>
      <c r="F4765" s="335">
        <f>IF(OR(D4765="",E4765=""),"",ROUND(D4765*E4765,2))</f>
        <v/>
      </c>
      <c r="G4765" s="106" t="n"/>
      <c r="H4765" s="350">
        <f>IF(G4765="Sim",IF(OR(F4765="",D4765="",L4765=""),"",IF(L4765="Sim",ROUND(F4765-D4765,2),0)),0)</f>
        <v/>
      </c>
      <c r="I4765" s="350">
        <f>IF(G4765="Sim",0,IF(OR(F4765="",L4765=""),"",F4765))</f>
        <v/>
      </c>
      <c r="J4765" s="350">
        <f>IF(G4765="Sim",0,IF(OR(F4765="",D4765="",L4765=""),"",IF(L4765="Sim",ROUND(F4765-D4765,2),0)))</f>
        <v/>
      </c>
      <c r="K4765" s="97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inlineStr">
        <is>
          <t>Nao</t>
        </is>
      </c>
      <c r="W4765" s="110" t="inlineStr">
        <is>
          <t>PC em analise</t>
        </is>
      </c>
      <c r="X4765" s="110" t="inlineStr">
        <is>
          <t>Pedido de Compra</t>
        </is>
      </c>
      <c r="Y4765" s="111" t="inlineStr">
        <is>
          <t>Impacto Potencial</t>
        </is>
      </c>
      <c r="Z4765" s="111" t="inlineStr">
        <is>
          <t>PC</t>
        </is>
      </c>
      <c r="AA4765" s="111" t="inlineStr">
        <is>
          <t>Nao</t>
        </is>
      </c>
      <c r="AB4765" s="111" t="inlineStr">
        <is>
          <t>NAO_COMPUTADO</t>
        </is>
      </c>
      <c r="AC4765" s="112" t="inlineStr">
        <is>
          <t>Estrutura Fase 1: sem impacto no VTA oficial</t>
        </is>
      </c>
    </row>
    <row r="4766" ht="25.5" customHeight="1" s="289">
      <c r="A4766" s="205" t="n"/>
      <c r="B4766" s="207" t="n"/>
      <c r="C4766" s="104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348" t="n"/>
      <c r="E4766" s="349">
        <f>IF(C4766="","",IFERROR(VLOOKUP(C4766,parametros!$A$11:$E$15,5,0),""))</f>
        <v/>
      </c>
      <c r="F4766" s="335">
        <f>IF(OR(D4766="",E4766=""),"",ROUND(D4766*E4766,2))</f>
        <v/>
      </c>
      <c r="G4766" s="106" t="n"/>
      <c r="H4766" s="350">
        <f>IF(G4766="Sim",IF(OR(F4766="",D4766="",L4766=""),"",IF(L4766="Sim",ROUND(F4766-D4766,2),0)),0)</f>
        <v/>
      </c>
      <c r="I4766" s="350">
        <f>IF(G4766="Sim",0,IF(OR(F4766="",L4766=""),"",F4766))</f>
        <v/>
      </c>
      <c r="J4766" s="350">
        <f>IF(G4766="Sim",0,IF(OR(F4766="",D4766="",L4766=""),"",IF(L4766="Sim",ROUND(F4766-D4766,2),0)))</f>
        <v/>
      </c>
      <c r="K4766" s="97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inlineStr">
        <is>
          <t>Nao</t>
        </is>
      </c>
      <c r="W4766" s="110" t="inlineStr">
        <is>
          <t>PC em analise</t>
        </is>
      </c>
      <c r="X4766" s="110" t="inlineStr">
        <is>
          <t>Pedido de Compra</t>
        </is>
      </c>
      <c r="Y4766" s="111" t="inlineStr">
        <is>
          <t>Impacto Potencial</t>
        </is>
      </c>
      <c r="Z4766" s="111" t="inlineStr">
        <is>
          <t>PC</t>
        </is>
      </c>
      <c r="AA4766" s="111" t="inlineStr">
        <is>
          <t>Nao</t>
        </is>
      </c>
      <c r="AB4766" s="111" t="inlineStr">
        <is>
          <t>NAO_COMPUTADO</t>
        </is>
      </c>
      <c r="AC4766" s="112" t="inlineStr">
        <is>
          <t>Estrutura Fase 1: sem impacto no VTA oficial</t>
        </is>
      </c>
    </row>
    <row r="4767" ht="25.5" customHeight="1" s="289">
      <c r="A4767" s="205" t="n"/>
      <c r="B4767" s="207" t="n"/>
      <c r="C4767" s="104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348" t="n"/>
      <c r="E4767" s="349">
        <f>IF(C4767="","",IFERROR(VLOOKUP(C4767,parametros!$A$11:$E$15,5,0),""))</f>
        <v/>
      </c>
      <c r="F4767" s="335">
        <f>IF(OR(D4767="",E4767=""),"",ROUND(D4767*E4767,2))</f>
        <v/>
      </c>
      <c r="G4767" s="106" t="n"/>
      <c r="H4767" s="350">
        <f>IF(G4767="Sim",IF(OR(F4767="",D4767="",L4767=""),"",IF(L4767="Sim",ROUND(F4767-D4767,2),0)),0)</f>
        <v/>
      </c>
      <c r="I4767" s="350">
        <f>IF(G4767="Sim",0,IF(OR(F4767="",L4767=""),"",F4767))</f>
        <v/>
      </c>
      <c r="J4767" s="350">
        <f>IF(G4767="Sim",0,IF(OR(F4767="",D4767="",L4767=""),"",IF(L4767="Sim",ROUND(F4767-D4767,2),0)))</f>
        <v/>
      </c>
      <c r="K4767" s="97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inlineStr">
        <is>
          <t>Nao</t>
        </is>
      </c>
      <c r="W4767" s="110" t="inlineStr">
        <is>
          <t>PC em analise</t>
        </is>
      </c>
      <c r="X4767" s="110" t="inlineStr">
        <is>
          <t>Pedido de Compra</t>
        </is>
      </c>
      <c r="Y4767" s="111" t="inlineStr">
        <is>
          <t>Impacto Potencial</t>
        </is>
      </c>
      <c r="Z4767" s="111" t="inlineStr">
        <is>
          <t>PC</t>
        </is>
      </c>
      <c r="AA4767" s="111" t="inlineStr">
        <is>
          <t>Nao</t>
        </is>
      </c>
      <c r="AB4767" s="111" t="inlineStr">
        <is>
          <t>NAO_COMPUTADO</t>
        </is>
      </c>
      <c r="AC4767" s="112" t="inlineStr">
        <is>
          <t>Estrutura Fase 1: sem impacto no VTA oficial</t>
        </is>
      </c>
    </row>
    <row r="4768" ht="25.5" customHeight="1" s="289">
      <c r="A4768" s="205" t="n"/>
      <c r="B4768" s="207" t="n"/>
      <c r="C4768" s="104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348" t="n"/>
      <c r="E4768" s="349">
        <f>IF(C4768="","",IFERROR(VLOOKUP(C4768,parametros!$A$11:$E$15,5,0),""))</f>
        <v/>
      </c>
      <c r="F4768" s="335">
        <f>IF(OR(D4768="",E4768=""),"",ROUND(D4768*E4768,2))</f>
        <v/>
      </c>
      <c r="G4768" s="106" t="n"/>
      <c r="H4768" s="350">
        <f>IF(G4768="Sim",IF(OR(F4768="",D4768="",L4768=""),"",IF(L4768="Sim",ROUND(F4768-D4768,2),0)),0)</f>
        <v/>
      </c>
      <c r="I4768" s="350">
        <f>IF(G4768="Sim",0,IF(OR(F4768="",L4768=""),"",F4768))</f>
        <v/>
      </c>
      <c r="J4768" s="350">
        <f>IF(G4768="Sim",0,IF(OR(F4768="",D4768="",L4768=""),"",IF(L4768="Sim",ROUND(F4768-D4768,2),0)))</f>
        <v/>
      </c>
      <c r="K4768" s="97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inlineStr">
        <is>
          <t>Nao</t>
        </is>
      </c>
      <c r="W4768" s="110" t="inlineStr">
        <is>
          <t>PC em analise</t>
        </is>
      </c>
      <c r="X4768" s="110" t="inlineStr">
        <is>
          <t>Pedido de Compra</t>
        </is>
      </c>
      <c r="Y4768" s="111" t="inlineStr">
        <is>
          <t>Impacto Potencial</t>
        </is>
      </c>
      <c r="Z4768" s="111" t="inlineStr">
        <is>
          <t>PC</t>
        </is>
      </c>
      <c r="AA4768" s="111" t="inlineStr">
        <is>
          <t>Nao</t>
        </is>
      </c>
      <c r="AB4768" s="111" t="inlineStr">
        <is>
          <t>NAO_COMPUTADO</t>
        </is>
      </c>
      <c r="AC4768" s="112" t="inlineStr">
        <is>
          <t>Estrutura Fase 1: sem impacto no VTA oficial</t>
        </is>
      </c>
    </row>
    <row r="4769" ht="25.5" customHeight="1" s="289">
      <c r="A4769" s="205" t="n"/>
      <c r="B4769" s="207" t="n"/>
      <c r="C4769" s="104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348" t="n"/>
      <c r="E4769" s="349">
        <f>IF(C4769="","",IFERROR(VLOOKUP(C4769,parametros!$A$11:$E$15,5,0),""))</f>
        <v/>
      </c>
      <c r="F4769" s="335">
        <f>IF(OR(D4769="",E4769=""),"",ROUND(D4769*E4769,2))</f>
        <v/>
      </c>
      <c r="G4769" s="106" t="n"/>
      <c r="H4769" s="350">
        <f>IF(G4769="Sim",IF(OR(F4769="",D4769="",L4769=""),"",IF(L4769="Sim",ROUND(F4769-D4769,2),0)),0)</f>
        <v/>
      </c>
      <c r="I4769" s="350">
        <f>IF(G4769="Sim",0,IF(OR(F4769="",L4769=""),"",F4769))</f>
        <v/>
      </c>
      <c r="J4769" s="350">
        <f>IF(G4769="Sim",0,IF(OR(F4769="",D4769="",L4769=""),"",IF(L4769="Sim",ROUND(F4769-D4769,2),0)))</f>
        <v/>
      </c>
      <c r="K4769" s="97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inlineStr">
        <is>
          <t>Nao</t>
        </is>
      </c>
      <c r="W4769" s="110" t="inlineStr">
        <is>
          <t>PC em analise</t>
        </is>
      </c>
      <c r="X4769" s="110" t="inlineStr">
        <is>
          <t>Pedido de Compra</t>
        </is>
      </c>
      <c r="Y4769" s="111" t="inlineStr">
        <is>
          <t>Impacto Potencial</t>
        </is>
      </c>
      <c r="Z4769" s="111" t="inlineStr">
        <is>
          <t>PC</t>
        </is>
      </c>
      <c r="AA4769" s="111" t="inlineStr">
        <is>
          <t>Nao</t>
        </is>
      </c>
      <c r="AB4769" s="111" t="inlineStr">
        <is>
          <t>NAO_COMPUTADO</t>
        </is>
      </c>
      <c r="AC4769" s="112" t="inlineStr">
        <is>
          <t>Estrutura Fase 1: sem impacto no VTA oficial</t>
        </is>
      </c>
    </row>
    <row r="4770" ht="25.5" customHeight="1" s="289">
      <c r="A4770" s="205" t="n"/>
      <c r="B4770" s="207" t="n"/>
      <c r="C4770" s="104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348" t="n"/>
      <c r="E4770" s="349">
        <f>IF(C4770="","",IFERROR(VLOOKUP(C4770,parametros!$A$11:$E$15,5,0),""))</f>
        <v/>
      </c>
      <c r="F4770" s="335">
        <f>IF(OR(D4770="",E4770=""),"",ROUND(D4770*E4770,2))</f>
        <v/>
      </c>
      <c r="G4770" s="106" t="n"/>
      <c r="H4770" s="350">
        <f>IF(G4770="Sim",IF(OR(F4770="",D4770="",L4770=""),"",IF(L4770="Sim",ROUND(F4770-D4770,2),0)),0)</f>
        <v/>
      </c>
      <c r="I4770" s="350">
        <f>IF(G4770="Sim",0,IF(OR(F4770="",L4770=""),"",F4770))</f>
        <v/>
      </c>
      <c r="J4770" s="350">
        <f>IF(G4770="Sim",0,IF(OR(F4770="",D4770="",L4770=""),"",IF(L4770="Sim",ROUND(F4770-D4770,2),0)))</f>
        <v/>
      </c>
      <c r="K4770" s="97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inlineStr">
        <is>
          <t>Nao</t>
        </is>
      </c>
      <c r="W4770" s="110" t="inlineStr">
        <is>
          <t>PC em analise</t>
        </is>
      </c>
      <c r="X4770" s="110" t="inlineStr">
        <is>
          <t>Pedido de Compra</t>
        </is>
      </c>
      <c r="Y4770" s="111" t="inlineStr">
        <is>
          <t>Impacto Potencial</t>
        </is>
      </c>
      <c r="Z4770" s="111" t="inlineStr">
        <is>
          <t>PC</t>
        </is>
      </c>
      <c r="AA4770" s="111" t="inlineStr">
        <is>
          <t>Nao</t>
        </is>
      </c>
      <c r="AB4770" s="111" t="inlineStr">
        <is>
          <t>NAO_COMPUTADO</t>
        </is>
      </c>
      <c r="AC4770" s="112" t="inlineStr">
        <is>
          <t>Estrutura Fase 1: sem impacto no VTA oficial</t>
        </is>
      </c>
    </row>
    <row r="4771" ht="25.5" customHeight="1" s="289">
      <c r="A4771" s="205" t="n"/>
      <c r="B4771" s="207" t="n"/>
      <c r="C4771" s="104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348" t="n"/>
      <c r="E4771" s="349">
        <f>IF(C4771="","",IFERROR(VLOOKUP(C4771,parametros!$A$11:$E$15,5,0),""))</f>
        <v/>
      </c>
      <c r="F4771" s="335">
        <f>IF(OR(D4771="",E4771=""),"",ROUND(D4771*E4771,2))</f>
        <v/>
      </c>
      <c r="G4771" s="106" t="n"/>
      <c r="H4771" s="350">
        <f>IF(G4771="Sim",IF(OR(F4771="",D4771="",L4771=""),"",IF(L4771="Sim",ROUND(F4771-D4771,2),0)),0)</f>
        <v/>
      </c>
      <c r="I4771" s="350">
        <f>IF(G4771="Sim",0,IF(OR(F4771="",L4771=""),"",F4771))</f>
        <v/>
      </c>
      <c r="J4771" s="350">
        <f>IF(G4771="Sim",0,IF(OR(F4771="",D4771="",L4771=""),"",IF(L4771="Sim",ROUND(F4771-D4771,2),0)))</f>
        <v/>
      </c>
      <c r="K4771" s="97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inlineStr">
        <is>
          <t>Nao</t>
        </is>
      </c>
      <c r="W4771" s="110" t="inlineStr">
        <is>
          <t>PC em analise</t>
        </is>
      </c>
      <c r="X4771" s="110" t="inlineStr">
        <is>
          <t>Pedido de Compra</t>
        </is>
      </c>
      <c r="Y4771" s="111" t="inlineStr">
        <is>
          <t>Impacto Potencial</t>
        </is>
      </c>
      <c r="Z4771" s="111" t="inlineStr">
        <is>
          <t>PC</t>
        </is>
      </c>
      <c r="AA4771" s="111" t="inlineStr">
        <is>
          <t>Nao</t>
        </is>
      </c>
      <c r="AB4771" s="111" t="inlineStr">
        <is>
          <t>NAO_COMPUTADO</t>
        </is>
      </c>
      <c r="AC4771" s="112" t="inlineStr">
        <is>
          <t>Estrutura Fase 1: sem impacto no VTA oficial</t>
        </is>
      </c>
    </row>
    <row r="4772" ht="25.5" customHeight="1" s="289">
      <c r="A4772" s="205" t="n"/>
      <c r="B4772" s="207" t="n"/>
      <c r="C4772" s="104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348" t="n"/>
      <c r="E4772" s="349">
        <f>IF(C4772="","",IFERROR(VLOOKUP(C4772,parametros!$A$11:$E$15,5,0),""))</f>
        <v/>
      </c>
      <c r="F4772" s="335">
        <f>IF(OR(D4772="",E4772=""),"",ROUND(D4772*E4772,2))</f>
        <v/>
      </c>
      <c r="G4772" s="106" t="n"/>
      <c r="H4772" s="350">
        <f>IF(G4772="Sim",IF(OR(F4772="",D4772="",L4772=""),"",IF(L4772="Sim",ROUND(F4772-D4772,2),0)),0)</f>
        <v/>
      </c>
      <c r="I4772" s="350">
        <f>IF(G4772="Sim",0,IF(OR(F4772="",L4772=""),"",F4772))</f>
        <v/>
      </c>
      <c r="J4772" s="350">
        <f>IF(G4772="Sim",0,IF(OR(F4772="",D4772="",L4772=""),"",IF(L4772="Sim",ROUND(F4772-D4772,2),0)))</f>
        <v/>
      </c>
      <c r="K4772" s="97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inlineStr">
        <is>
          <t>Nao</t>
        </is>
      </c>
      <c r="W4772" s="110" t="inlineStr">
        <is>
          <t>PC em analise</t>
        </is>
      </c>
      <c r="X4772" s="110" t="inlineStr">
        <is>
          <t>Pedido de Compra</t>
        </is>
      </c>
      <c r="Y4772" s="111" t="inlineStr">
        <is>
          <t>Impacto Potencial</t>
        </is>
      </c>
      <c r="Z4772" s="111" t="inlineStr">
        <is>
          <t>PC</t>
        </is>
      </c>
      <c r="AA4772" s="111" t="inlineStr">
        <is>
          <t>Nao</t>
        </is>
      </c>
      <c r="AB4772" s="111" t="inlineStr">
        <is>
          <t>NAO_COMPUTADO</t>
        </is>
      </c>
      <c r="AC4772" s="112" t="inlineStr">
        <is>
          <t>Estrutura Fase 1: sem impacto no VTA oficial</t>
        </is>
      </c>
    </row>
    <row r="4773" ht="25.5" customHeight="1" s="289">
      <c r="A4773" s="205" t="n"/>
      <c r="B4773" s="207" t="n"/>
      <c r="C4773" s="104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348" t="n"/>
      <c r="E4773" s="349">
        <f>IF(C4773="","",IFERROR(VLOOKUP(C4773,parametros!$A$11:$E$15,5,0),""))</f>
        <v/>
      </c>
      <c r="F4773" s="335">
        <f>IF(OR(D4773="",E4773=""),"",ROUND(D4773*E4773,2))</f>
        <v/>
      </c>
      <c r="G4773" s="106" t="n"/>
      <c r="H4773" s="350">
        <f>IF(G4773="Sim",IF(OR(F4773="",D4773="",L4773=""),"",IF(L4773="Sim",ROUND(F4773-D4773,2),0)),0)</f>
        <v/>
      </c>
      <c r="I4773" s="350">
        <f>IF(G4773="Sim",0,IF(OR(F4773="",L4773=""),"",F4773))</f>
        <v/>
      </c>
      <c r="J4773" s="350">
        <f>IF(G4773="Sim",0,IF(OR(F4773="",D4773="",L4773=""),"",IF(L4773="Sim",ROUND(F4773-D4773,2),0)))</f>
        <v/>
      </c>
      <c r="K4773" s="97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inlineStr">
        <is>
          <t>Nao</t>
        </is>
      </c>
      <c r="W4773" s="110" t="inlineStr">
        <is>
          <t>PC em analise</t>
        </is>
      </c>
      <c r="X4773" s="110" t="inlineStr">
        <is>
          <t>Pedido de Compra</t>
        </is>
      </c>
      <c r="Y4773" s="111" t="inlineStr">
        <is>
          <t>Impacto Potencial</t>
        </is>
      </c>
      <c r="Z4773" s="111" t="inlineStr">
        <is>
          <t>PC</t>
        </is>
      </c>
      <c r="AA4773" s="111" t="inlineStr">
        <is>
          <t>Nao</t>
        </is>
      </c>
      <c r="AB4773" s="111" t="inlineStr">
        <is>
          <t>NAO_COMPUTADO</t>
        </is>
      </c>
      <c r="AC4773" s="112" t="inlineStr">
        <is>
          <t>Estrutura Fase 1: sem impacto no VTA oficial</t>
        </is>
      </c>
    </row>
    <row r="4774" ht="25.5" customHeight="1" s="289">
      <c r="A4774" s="205" t="n"/>
      <c r="B4774" s="207" t="n"/>
      <c r="C4774" s="104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348" t="n"/>
      <c r="E4774" s="349">
        <f>IF(C4774="","",IFERROR(VLOOKUP(C4774,parametros!$A$11:$E$15,5,0),""))</f>
        <v/>
      </c>
      <c r="F4774" s="335">
        <f>IF(OR(D4774="",E4774=""),"",ROUND(D4774*E4774,2))</f>
        <v/>
      </c>
      <c r="G4774" s="106" t="n"/>
      <c r="H4774" s="350">
        <f>IF(G4774="Sim",IF(OR(F4774="",D4774="",L4774=""),"",IF(L4774="Sim",ROUND(F4774-D4774,2),0)),0)</f>
        <v/>
      </c>
      <c r="I4774" s="350">
        <f>IF(G4774="Sim",0,IF(OR(F4774="",L4774=""),"",F4774))</f>
        <v/>
      </c>
      <c r="J4774" s="350">
        <f>IF(G4774="Sim",0,IF(OR(F4774="",D4774="",L4774=""),"",IF(L4774="Sim",ROUND(F4774-D4774,2),0)))</f>
        <v/>
      </c>
      <c r="K4774" s="97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inlineStr">
        <is>
          <t>Nao</t>
        </is>
      </c>
      <c r="W4774" s="110" t="inlineStr">
        <is>
          <t>PC em analise</t>
        </is>
      </c>
      <c r="X4774" s="110" t="inlineStr">
        <is>
          <t>Pedido de Compra</t>
        </is>
      </c>
      <c r="Y4774" s="111" t="inlineStr">
        <is>
          <t>Impacto Potencial</t>
        </is>
      </c>
      <c r="Z4774" s="111" t="inlineStr">
        <is>
          <t>PC</t>
        </is>
      </c>
      <c r="AA4774" s="111" t="inlineStr">
        <is>
          <t>Nao</t>
        </is>
      </c>
      <c r="AB4774" s="111" t="inlineStr">
        <is>
          <t>NAO_COMPUTADO</t>
        </is>
      </c>
      <c r="AC4774" s="112" t="inlineStr">
        <is>
          <t>Estrutura Fase 1: sem impacto no VTA oficial</t>
        </is>
      </c>
    </row>
    <row r="4775" ht="25.5" customHeight="1" s="289">
      <c r="A4775" s="205" t="n"/>
      <c r="B4775" s="207" t="n"/>
      <c r="C4775" s="104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348" t="n"/>
      <c r="E4775" s="349">
        <f>IF(C4775="","",IFERROR(VLOOKUP(C4775,parametros!$A$11:$E$15,5,0),""))</f>
        <v/>
      </c>
      <c r="F4775" s="335">
        <f>IF(OR(D4775="",E4775=""),"",ROUND(D4775*E4775,2))</f>
        <v/>
      </c>
      <c r="G4775" s="106" t="n"/>
      <c r="H4775" s="350">
        <f>IF(G4775="Sim",IF(OR(F4775="",D4775="",L4775=""),"",IF(L4775="Sim",ROUND(F4775-D4775,2),0)),0)</f>
        <v/>
      </c>
      <c r="I4775" s="350">
        <f>IF(G4775="Sim",0,IF(OR(F4775="",L4775=""),"",F4775))</f>
        <v/>
      </c>
      <c r="J4775" s="350">
        <f>IF(G4775="Sim",0,IF(OR(F4775="",D4775="",L4775=""),"",IF(L4775="Sim",ROUND(F4775-D4775,2),0)))</f>
        <v/>
      </c>
      <c r="K4775" s="97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inlineStr">
        <is>
          <t>Nao</t>
        </is>
      </c>
      <c r="W4775" s="110" t="inlineStr">
        <is>
          <t>PC em analise</t>
        </is>
      </c>
      <c r="X4775" s="110" t="inlineStr">
        <is>
          <t>Pedido de Compra</t>
        </is>
      </c>
      <c r="Y4775" s="111" t="inlineStr">
        <is>
          <t>Impacto Potencial</t>
        </is>
      </c>
      <c r="Z4775" s="111" t="inlineStr">
        <is>
          <t>PC</t>
        </is>
      </c>
      <c r="AA4775" s="111" t="inlineStr">
        <is>
          <t>Nao</t>
        </is>
      </c>
      <c r="AB4775" s="111" t="inlineStr">
        <is>
          <t>NAO_COMPUTADO</t>
        </is>
      </c>
      <c r="AC4775" s="112" t="inlineStr">
        <is>
          <t>Estrutura Fase 1: sem impacto no VTA oficial</t>
        </is>
      </c>
    </row>
    <row r="4776" ht="25.5" customHeight="1" s="289">
      <c r="A4776" s="205" t="n"/>
      <c r="B4776" s="207" t="n"/>
      <c r="C4776" s="104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348" t="n"/>
      <c r="E4776" s="349">
        <f>IF(C4776="","",IFERROR(VLOOKUP(C4776,parametros!$A$11:$E$15,5,0),""))</f>
        <v/>
      </c>
      <c r="F4776" s="335">
        <f>IF(OR(D4776="",E4776=""),"",ROUND(D4776*E4776,2))</f>
        <v/>
      </c>
      <c r="G4776" s="106" t="n"/>
      <c r="H4776" s="350">
        <f>IF(G4776="Sim",IF(OR(F4776="",D4776="",L4776=""),"",IF(L4776="Sim",ROUND(F4776-D4776,2),0)),0)</f>
        <v/>
      </c>
      <c r="I4776" s="350">
        <f>IF(G4776="Sim",0,IF(OR(F4776="",L4776=""),"",F4776))</f>
        <v/>
      </c>
      <c r="J4776" s="350">
        <f>IF(G4776="Sim",0,IF(OR(F4776="",D4776="",L4776=""),"",IF(L4776="Sim",ROUND(F4776-D4776,2),0)))</f>
        <v/>
      </c>
      <c r="K4776" s="97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inlineStr">
        <is>
          <t>Nao</t>
        </is>
      </c>
      <c r="W4776" s="110" t="inlineStr">
        <is>
          <t>PC em analise</t>
        </is>
      </c>
      <c r="X4776" s="110" t="inlineStr">
        <is>
          <t>Pedido de Compra</t>
        </is>
      </c>
      <c r="Y4776" s="111" t="inlineStr">
        <is>
          <t>Impacto Potencial</t>
        </is>
      </c>
      <c r="Z4776" s="111" t="inlineStr">
        <is>
          <t>PC</t>
        </is>
      </c>
      <c r="AA4776" s="111" t="inlineStr">
        <is>
          <t>Nao</t>
        </is>
      </c>
      <c r="AB4776" s="111" t="inlineStr">
        <is>
          <t>NAO_COMPUTADO</t>
        </is>
      </c>
      <c r="AC4776" s="112" t="inlineStr">
        <is>
          <t>Estrutura Fase 1: sem impacto no VTA oficial</t>
        </is>
      </c>
    </row>
    <row r="4777" ht="25.5" customHeight="1" s="289">
      <c r="A4777" s="205" t="n"/>
      <c r="B4777" s="207" t="n"/>
      <c r="C4777" s="104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348" t="n"/>
      <c r="E4777" s="349">
        <f>IF(C4777="","",IFERROR(VLOOKUP(C4777,parametros!$A$11:$E$15,5,0),""))</f>
        <v/>
      </c>
      <c r="F4777" s="335">
        <f>IF(OR(D4777="",E4777=""),"",ROUND(D4777*E4777,2))</f>
        <v/>
      </c>
      <c r="G4777" s="106" t="n"/>
      <c r="H4777" s="350">
        <f>IF(G4777="Sim",IF(OR(F4777="",D4777="",L4777=""),"",IF(L4777="Sim",ROUND(F4777-D4777,2),0)),0)</f>
        <v/>
      </c>
      <c r="I4777" s="350">
        <f>IF(G4777="Sim",0,IF(OR(F4777="",L4777=""),"",F4777))</f>
        <v/>
      </c>
      <c r="J4777" s="350">
        <f>IF(G4777="Sim",0,IF(OR(F4777="",D4777="",L4777=""),"",IF(L4777="Sim",ROUND(F4777-D4777,2),0)))</f>
        <v/>
      </c>
      <c r="K4777" s="97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inlineStr">
        <is>
          <t>Nao</t>
        </is>
      </c>
      <c r="W4777" s="110" t="inlineStr">
        <is>
          <t>PC em analise</t>
        </is>
      </c>
      <c r="X4777" s="110" t="inlineStr">
        <is>
          <t>Pedido de Compra</t>
        </is>
      </c>
      <c r="Y4777" s="111" t="inlineStr">
        <is>
          <t>Impacto Potencial</t>
        </is>
      </c>
      <c r="Z4777" s="111" t="inlineStr">
        <is>
          <t>PC</t>
        </is>
      </c>
      <c r="AA4777" s="111" t="inlineStr">
        <is>
          <t>Nao</t>
        </is>
      </c>
      <c r="AB4777" s="111" t="inlineStr">
        <is>
          <t>NAO_COMPUTADO</t>
        </is>
      </c>
      <c r="AC4777" s="112" t="inlineStr">
        <is>
          <t>Estrutura Fase 1: sem impacto no VTA oficial</t>
        </is>
      </c>
    </row>
    <row r="4778" ht="25.5" customHeight="1" s="289">
      <c r="A4778" s="205" t="n"/>
      <c r="B4778" s="207" t="n"/>
      <c r="C4778" s="104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348" t="n"/>
      <c r="E4778" s="349">
        <f>IF(C4778="","",IFERROR(VLOOKUP(C4778,parametros!$A$11:$E$15,5,0),""))</f>
        <v/>
      </c>
      <c r="F4778" s="335">
        <f>IF(OR(D4778="",E4778=""),"",ROUND(D4778*E4778,2))</f>
        <v/>
      </c>
      <c r="G4778" s="106" t="n"/>
      <c r="H4778" s="350">
        <f>IF(G4778="Sim",IF(OR(F4778="",D4778="",L4778=""),"",IF(L4778="Sim",ROUND(F4778-D4778,2),0)),0)</f>
        <v/>
      </c>
      <c r="I4778" s="350">
        <f>IF(G4778="Sim",0,IF(OR(F4778="",L4778=""),"",F4778))</f>
        <v/>
      </c>
      <c r="J4778" s="350">
        <f>IF(G4778="Sim",0,IF(OR(F4778="",D4778="",L4778=""),"",IF(L4778="Sim",ROUND(F4778-D4778,2),0)))</f>
        <v/>
      </c>
      <c r="K4778" s="97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inlineStr">
        <is>
          <t>Nao</t>
        </is>
      </c>
      <c r="W4778" s="110" t="inlineStr">
        <is>
          <t>PC em analise</t>
        </is>
      </c>
      <c r="X4778" s="110" t="inlineStr">
        <is>
          <t>Pedido de Compra</t>
        </is>
      </c>
      <c r="Y4778" s="111" t="inlineStr">
        <is>
          <t>Impacto Potencial</t>
        </is>
      </c>
      <c r="Z4778" s="111" t="inlineStr">
        <is>
          <t>PC</t>
        </is>
      </c>
      <c r="AA4778" s="111" t="inlineStr">
        <is>
          <t>Nao</t>
        </is>
      </c>
      <c r="AB4778" s="111" t="inlineStr">
        <is>
          <t>NAO_COMPUTADO</t>
        </is>
      </c>
      <c r="AC4778" s="112" t="inlineStr">
        <is>
          <t>Estrutura Fase 1: sem impacto no VTA oficial</t>
        </is>
      </c>
    </row>
    <row r="4779" ht="25.5" customHeight="1" s="289">
      <c r="A4779" s="205" t="n"/>
      <c r="B4779" s="207" t="n"/>
      <c r="C4779" s="104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348" t="n"/>
      <c r="E4779" s="349">
        <f>IF(C4779="","",IFERROR(VLOOKUP(C4779,parametros!$A$11:$E$15,5,0),""))</f>
        <v/>
      </c>
      <c r="F4779" s="335">
        <f>IF(OR(D4779="",E4779=""),"",ROUND(D4779*E4779,2))</f>
        <v/>
      </c>
      <c r="G4779" s="106" t="n"/>
      <c r="H4779" s="350">
        <f>IF(G4779="Sim",IF(OR(F4779="",D4779="",L4779=""),"",IF(L4779="Sim",ROUND(F4779-D4779,2),0)),0)</f>
        <v/>
      </c>
      <c r="I4779" s="350">
        <f>IF(G4779="Sim",0,IF(OR(F4779="",L4779=""),"",F4779))</f>
        <v/>
      </c>
      <c r="J4779" s="350">
        <f>IF(G4779="Sim",0,IF(OR(F4779="",D4779="",L4779=""),"",IF(L4779="Sim",ROUND(F4779-D4779,2),0)))</f>
        <v/>
      </c>
      <c r="K4779" s="97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inlineStr">
        <is>
          <t>Nao</t>
        </is>
      </c>
      <c r="W4779" s="110" t="inlineStr">
        <is>
          <t>PC em analise</t>
        </is>
      </c>
      <c r="X4779" s="110" t="inlineStr">
        <is>
          <t>Pedido de Compra</t>
        </is>
      </c>
      <c r="Y4779" s="111" t="inlineStr">
        <is>
          <t>Impacto Potencial</t>
        </is>
      </c>
      <c r="Z4779" s="111" t="inlineStr">
        <is>
          <t>PC</t>
        </is>
      </c>
      <c r="AA4779" s="111" t="inlineStr">
        <is>
          <t>Nao</t>
        </is>
      </c>
      <c r="AB4779" s="111" t="inlineStr">
        <is>
          <t>NAO_COMPUTADO</t>
        </is>
      </c>
      <c r="AC4779" s="112" t="inlineStr">
        <is>
          <t>Estrutura Fase 1: sem impacto no VTA oficial</t>
        </is>
      </c>
    </row>
    <row r="4780" ht="25.5" customHeight="1" s="289">
      <c r="A4780" s="205" t="n"/>
      <c r="B4780" s="207" t="n"/>
      <c r="C4780" s="104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348" t="n"/>
      <c r="E4780" s="349">
        <f>IF(C4780="","",IFERROR(VLOOKUP(C4780,parametros!$A$11:$E$15,5,0),""))</f>
        <v/>
      </c>
      <c r="F4780" s="335">
        <f>IF(OR(D4780="",E4780=""),"",ROUND(D4780*E4780,2))</f>
        <v/>
      </c>
      <c r="G4780" s="106" t="n"/>
      <c r="H4780" s="350">
        <f>IF(G4780="Sim",IF(OR(F4780="",D4780="",L4780=""),"",IF(L4780="Sim",ROUND(F4780-D4780,2),0)),0)</f>
        <v/>
      </c>
      <c r="I4780" s="350">
        <f>IF(G4780="Sim",0,IF(OR(F4780="",L4780=""),"",F4780))</f>
        <v/>
      </c>
      <c r="J4780" s="350">
        <f>IF(G4780="Sim",0,IF(OR(F4780="",D4780="",L4780=""),"",IF(L4780="Sim",ROUND(F4780-D4780,2),0)))</f>
        <v/>
      </c>
      <c r="K4780" s="97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inlineStr">
        <is>
          <t>Nao</t>
        </is>
      </c>
      <c r="W4780" s="110" t="inlineStr">
        <is>
          <t>PC em analise</t>
        </is>
      </c>
      <c r="X4780" s="110" t="inlineStr">
        <is>
          <t>Pedido de Compra</t>
        </is>
      </c>
      <c r="Y4780" s="111" t="inlineStr">
        <is>
          <t>Impacto Potencial</t>
        </is>
      </c>
      <c r="Z4780" s="111" t="inlineStr">
        <is>
          <t>PC</t>
        </is>
      </c>
      <c r="AA4780" s="111" t="inlineStr">
        <is>
          <t>Nao</t>
        </is>
      </c>
      <c r="AB4780" s="111" t="inlineStr">
        <is>
          <t>NAO_COMPUTADO</t>
        </is>
      </c>
      <c r="AC4780" s="112" t="inlineStr">
        <is>
          <t>Estrutura Fase 1: sem impacto no VTA oficial</t>
        </is>
      </c>
    </row>
    <row r="4781" ht="25.5" customHeight="1" s="289">
      <c r="A4781" s="205" t="n"/>
      <c r="B4781" s="207" t="n"/>
      <c r="C4781" s="104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348" t="n"/>
      <c r="E4781" s="349">
        <f>IF(C4781="","",IFERROR(VLOOKUP(C4781,parametros!$A$11:$E$15,5,0),""))</f>
        <v/>
      </c>
      <c r="F4781" s="335">
        <f>IF(OR(D4781="",E4781=""),"",ROUND(D4781*E4781,2))</f>
        <v/>
      </c>
      <c r="G4781" s="106" t="n"/>
      <c r="H4781" s="350">
        <f>IF(G4781="Sim",IF(OR(F4781="",D4781="",L4781=""),"",IF(L4781="Sim",ROUND(F4781-D4781,2),0)),0)</f>
        <v/>
      </c>
      <c r="I4781" s="350">
        <f>IF(G4781="Sim",0,IF(OR(F4781="",L4781=""),"",F4781))</f>
        <v/>
      </c>
      <c r="J4781" s="350">
        <f>IF(G4781="Sim",0,IF(OR(F4781="",D4781="",L4781=""),"",IF(L4781="Sim",ROUND(F4781-D4781,2),0)))</f>
        <v/>
      </c>
      <c r="K4781" s="97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inlineStr">
        <is>
          <t>Nao</t>
        </is>
      </c>
      <c r="W4781" s="110" t="inlineStr">
        <is>
          <t>PC em analise</t>
        </is>
      </c>
      <c r="X4781" s="110" t="inlineStr">
        <is>
          <t>Pedido de Compra</t>
        </is>
      </c>
      <c r="Y4781" s="111" t="inlineStr">
        <is>
          <t>Impacto Potencial</t>
        </is>
      </c>
      <c r="Z4781" s="111" t="inlineStr">
        <is>
          <t>PC</t>
        </is>
      </c>
      <c r="AA4781" s="111" t="inlineStr">
        <is>
          <t>Nao</t>
        </is>
      </c>
      <c r="AB4781" s="111" t="inlineStr">
        <is>
          <t>NAO_COMPUTADO</t>
        </is>
      </c>
      <c r="AC4781" s="112" t="inlineStr">
        <is>
          <t>Estrutura Fase 1: sem impacto no VTA oficial</t>
        </is>
      </c>
    </row>
    <row r="4782" ht="25.5" customHeight="1" s="289">
      <c r="A4782" s="205" t="n"/>
      <c r="B4782" s="207" t="n"/>
      <c r="C4782" s="104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348" t="n"/>
      <c r="E4782" s="349">
        <f>IF(C4782="","",IFERROR(VLOOKUP(C4782,parametros!$A$11:$E$15,5,0),""))</f>
        <v/>
      </c>
      <c r="F4782" s="335">
        <f>IF(OR(D4782="",E4782=""),"",ROUND(D4782*E4782,2))</f>
        <v/>
      </c>
      <c r="G4782" s="106" t="n"/>
      <c r="H4782" s="350">
        <f>IF(G4782="Sim",IF(OR(F4782="",D4782="",L4782=""),"",IF(L4782="Sim",ROUND(F4782-D4782,2),0)),0)</f>
        <v/>
      </c>
      <c r="I4782" s="350">
        <f>IF(G4782="Sim",0,IF(OR(F4782="",L4782=""),"",F4782))</f>
        <v/>
      </c>
      <c r="J4782" s="350">
        <f>IF(G4782="Sim",0,IF(OR(F4782="",D4782="",L4782=""),"",IF(L4782="Sim",ROUND(F4782-D4782,2),0)))</f>
        <v/>
      </c>
      <c r="K4782" s="97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inlineStr">
        <is>
          <t>Nao</t>
        </is>
      </c>
      <c r="W4782" s="110" t="inlineStr">
        <is>
          <t>PC em analise</t>
        </is>
      </c>
      <c r="X4782" s="110" t="inlineStr">
        <is>
          <t>Pedido de Compra</t>
        </is>
      </c>
      <c r="Y4782" s="111" t="inlineStr">
        <is>
          <t>Impacto Potencial</t>
        </is>
      </c>
      <c r="Z4782" s="111" t="inlineStr">
        <is>
          <t>PC</t>
        </is>
      </c>
      <c r="AA4782" s="111" t="inlineStr">
        <is>
          <t>Nao</t>
        </is>
      </c>
      <c r="AB4782" s="111" t="inlineStr">
        <is>
          <t>NAO_COMPUTADO</t>
        </is>
      </c>
      <c r="AC4782" s="112" t="inlineStr">
        <is>
          <t>Estrutura Fase 1: sem impacto no VTA oficial</t>
        </is>
      </c>
    </row>
    <row r="4783" ht="25.5" customHeight="1" s="289">
      <c r="A4783" s="205" t="n"/>
      <c r="B4783" s="207" t="n"/>
      <c r="C4783" s="104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348" t="n"/>
      <c r="E4783" s="349">
        <f>IF(C4783="","",IFERROR(VLOOKUP(C4783,parametros!$A$11:$E$15,5,0),""))</f>
        <v/>
      </c>
      <c r="F4783" s="335">
        <f>IF(OR(D4783="",E4783=""),"",ROUND(D4783*E4783,2))</f>
        <v/>
      </c>
      <c r="G4783" s="106" t="n"/>
      <c r="H4783" s="350">
        <f>IF(G4783="Sim",IF(OR(F4783="",D4783="",L4783=""),"",IF(L4783="Sim",ROUND(F4783-D4783,2),0)),0)</f>
        <v/>
      </c>
      <c r="I4783" s="350">
        <f>IF(G4783="Sim",0,IF(OR(F4783="",L4783=""),"",F4783))</f>
        <v/>
      </c>
      <c r="J4783" s="350">
        <f>IF(G4783="Sim",0,IF(OR(F4783="",D4783="",L4783=""),"",IF(L4783="Sim",ROUND(F4783-D4783,2),0)))</f>
        <v/>
      </c>
      <c r="K4783" s="97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inlineStr">
        <is>
          <t>Nao</t>
        </is>
      </c>
      <c r="W4783" s="110" t="inlineStr">
        <is>
          <t>PC em analise</t>
        </is>
      </c>
      <c r="X4783" s="110" t="inlineStr">
        <is>
          <t>Pedido de Compra</t>
        </is>
      </c>
      <c r="Y4783" s="111" t="inlineStr">
        <is>
          <t>Impacto Potencial</t>
        </is>
      </c>
      <c r="Z4783" s="111" t="inlineStr">
        <is>
          <t>PC</t>
        </is>
      </c>
      <c r="AA4783" s="111" t="inlineStr">
        <is>
          <t>Nao</t>
        </is>
      </c>
      <c r="AB4783" s="111" t="inlineStr">
        <is>
          <t>NAO_COMPUTADO</t>
        </is>
      </c>
      <c r="AC4783" s="112" t="inlineStr">
        <is>
          <t>Estrutura Fase 1: sem impacto no VTA oficial</t>
        </is>
      </c>
    </row>
    <row r="4784" ht="25.5" customHeight="1" s="289">
      <c r="A4784" s="205" t="n"/>
      <c r="B4784" s="207" t="n"/>
      <c r="C4784" s="104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348" t="n"/>
      <c r="E4784" s="349">
        <f>IF(C4784="","",IFERROR(VLOOKUP(C4784,parametros!$A$11:$E$15,5,0),""))</f>
        <v/>
      </c>
      <c r="F4784" s="335">
        <f>IF(OR(D4784="",E4784=""),"",ROUND(D4784*E4784,2))</f>
        <v/>
      </c>
      <c r="G4784" s="106" t="n"/>
      <c r="H4784" s="350">
        <f>IF(G4784="Sim",IF(OR(F4784="",D4784="",L4784=""),"",IF(L4784="Sim",ROUND(F4784-D4784,2),0)),0)</f>
        <v/>
      </c>
      <c r="I4784" s="350">
        <f>IF(G4784="Sim",0,IF(OR(F4784="",L4784=""),"",F4784))</f>
        <v/>
      </c>
      <c r="J4784" s="350">
        <f>IF(G4784="Sim",0,IF(OR(F4784="",D4784="",L4784=""),"",IF(L4784="Sim",ROUND(F4784-D4784,2),0)))</f>
        <v/>
      </c>
      <c r="K4784" s="97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inlineStr">
        <is>
          <t>Nao</t>
        </is>
      </c>
      <c r="W4784" s="110" t="inlineStr">
        <is>
          <t>PC em analise</t>
        </is>
      </c>
      <c r="X4784" s="110" t="inlineStr">
        <is>
          <t>Pedido de Compra</t>
        </is>
      </c>
      <c r="Y4784" s="111" t="inlineStr">
        <is>
          <t>Impacto Potencial</t>
        </is>
      </c>
      <c r="Z4784" s="111" t="inlineStr">
        <is>
          <t>PC</t>
        </is>
      </c>
      <c r="AA4784" s="111" t="inlineStr">
        <is>
          <t>Nao</t>
        </is>
      </c>
      <c r="AB4784" s="111" t="inlineStr">
        <is>
          <t>NAO_COMPUTADO</t>
        </is>
      </c>
      <c r="AC4784" s="112" t="inlineStr">
        <is>
          <t>Estrutura Fase 1: sem impacto no VTA oficial</t>
        </is>
      </c>
    </row>
    <row r="4785" ht="25.5" customHeight="1" s="289">
      <c r="A4785" s="205" t="n"/>
      <c r="B4785" s="207" t="n"/>
      <c r="C4785" s="104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348" t="n"/>
      <c r="E4785" s="349">
        <f>IF(C4785="","",IFERROR(VLOOKUP(C4785,parametros!$A$11:$E$15,5,0),""))</f>
        <v/>
      </c>
      <c r="F4785" s="335">
        <f>IF(OR(D4785="",E4785=""),"",ROUND(D4785*E4785,2))</f>
        <v/>
      </c>
      <c r="G4785" s="106" t="n"/>
      <c r="H4785" s="350">
        <f>IF(G4785="Sim",IF(OR(F4785="",D4785="",L4785=""),"",IF(L4785="Sim",ROUND(F4785-D4785,2),0)),0)</f>
        <v/>
      </c>
      <c r="I4785" s="350">
        <f>IF(G4785="Sim",0,IF(OR(F4785="",L4785=""),"",F4785))</f>
        <v/>
      </c>
      <c r="J4785" s="350">
        <f>IF(G4785="Sim",0,IF(OR(F4785="",D4785="",L4785=""),"",IF(L4785="Sim",ROUND(F4785-D4785,2),0)))</f>
        <v/>
      </c>
      <c r="K4785" s="97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inlineStr">
        <is>
          <t>Nao</t>
        </is>
      </c>
      <c r="W4785" s="110" t="inlineStr">
        <is>
          <t>PC em analise</t>
        </is>
      </c>
      <c r="X4785" s="110" t="inlineStr">
        <is>
          <t>Pedido de Compra</t>
        </is>
      </c>
      <c r="Y4785" s="111" t="inlineStr">
        <is>
          <t>Impacto Potencial</t>
        </is>
      </c>
      <c r="Z4785" s="111" t="inlineStr">
        <is>
          <t>PC</t>
        </is>
      </c>
      <c r="AA4785" s="111" t="inlineStr">
        <is>
          <t>Nao</t>
        </is>
      </c>
      <c r="AB4785" s="111" t="inlineStr">
        <is>
          <t>NAO_COMPUTADO</t>
        </is>
      </c>
      <c r="AC4785" s="112" t="inlineStr">
        <is>
          <t>Estrutura Fase 1: sem impacto no VTA oficial</t>
        </is>
      </c>
    </row>
    <row r="4786" ht="25.5" customHeight="1" s="289">
      <c r="A4786" s="205" t="n"/>
      <c r="B4786" s="207" t="n"/>
      <c r="C4786" s="104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348" t="n"/>
      <c r="E4786" s="349">
        <f>IF(C4786="","",IFERROR(VLOOKUP(C4786,parametros!$A$11:$E$15,5,0),""))</f>
        <v/>
      </c>
      <c r="F4786" s="335">
        <f>IF(OR(D4786="",E4786=""),"",ROUND(D4786*E4786,2))</f>
        <v/>
      </c>
      <c r="G4786" s="106" t="n"/>
      <c r="H4786" s="350">
        <f>IF(G4786="Sim",IF(OR(F4786="",D4786="",L4786=""),"",IF(L4786="Sim",ROUND(F4786-D4786,2),0)),0)</f>
        <v/>
      </c>
      <c r="I4786" s="350">
        <f>IF(G4786="Sim",0,IF(OR(F4786="",L4786=""),"",F4786))</f>
        <v/>
      </c>
      <c r="J4786" s="350">
        <f>IF(G4786="Sim",0,IF(OR(F4786="",D4786="",L4786=""),"",IF(L4786="Sim",ROUND(F4786-D4786,2),0)))</f>
        <v/>
      </c>
      <c r="K4786" s="97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inlineStr">
        <is>
          <t>Nao</t>
        </is>
      </c>
      <c r="W4786" s="110" t="inlineStr">
        <is>
          <t>PC em analise</t>
        </is>
      </c>
      <c r="X4786" s="110" t="inlineStr">
        <is>
          <t>Pedido de Compra</t>
        </is>
      </c>
      <c r="Y4786" s="111" t="inlineStr">
        <is>
          <t>Impacto Potencial</t>
        </is>
      </c>
      <c r="Z4786" s="111" t="inlineStr">
        <is>
          <t>PC</t>
        </is>
      </c>
      <c r="AA4786" s="111" t="inlineStr">
        <is>
          <t>Nao</t>
        </is>
      </c>
      <c r="AB4786" s="111" t="inlineStr">
        <is>
          <t>NAO_COMPUTADO</t>
        </is>
      </c>
      <c r="AC4786" s="112" t="inlineStr">
        <is>
          <t>Estrutura Fase 1: sem impacto no VTA oficial</t>
        </is>
      </c>
    </row>
    <row r="4787" ht="25.5" customHeight="1" s="289">
      <c r="A4787" s="205" t="n"/>
      <c r="B4787" s="207" t="n"/>
      <c r="C4787" s="104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348" t="n"/>
      <c r="E4787" s="349">
        <f>IF(C4787="","",IFERROR(VLOOKUP(C4787,parametros!$A$11:$E$15,5,0),""))</f>
        <v/>
      </c>
      <c r="F4787" s="335">
        <f>IF(OR(D4787="",E4787=""),"",ROUND(D4787*E4787,2))</f>
        <v/>
      </c>
      <c r="G4787" s="106" t="n"/>
      <c r="H4787" s="350">
        <f>IF(G4787="Sim",IF(OR(F4787="",D4787="",L4787=""),"",IF(L4787="Sim",ROUND(F4787-D4787,2),0)),0)</f>
        <v/>
      </c>
      <c r="I4787" s="350">
        <f>IF(G4787="Sim",0,IF(OR(F4787="",L4787=""),"",F4787))</f>
        <v/>
      </c>
      <c r="J4787" s="350">
        <f>IF(G4787="Sim",0,IF(OR(F4787="",D4787="",L4787=""),"",IF(L4787="Sim",ROUND(F4787-D4787,2),0)))</f>
        <v/>
      </c>
      <c r="K4787" s="97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inlineStr">
        <is>
          <t>Nao</t>
        </is>
      </c>
      <c r="W4787" s="110" t="inlineStr">
        <is>
          <t>PC em analise</t>
        </is>
      </c>
      <c r="X4787" s="110" t="inlineStr">
        <is>
          <t>Pedido de Compra</t>
        </is>
      </c>
      <c r="Y4787" s="111" t="inlineStr">
        <is>
          <t>Impacto Potencial</t>
        </is>
      </c>
      <c r="Z4787" s="111" t="inlineStr">
        <is>
          <t>PC</t>
        </is>
      </c>
      <c r="AA4787" s="111" t="inlineStr">
        <is>
          <t>Nao</t>
        </is>
      </c>
      <c r="AB4787" s="111" t="inlineStr">
        <is>
          <t>NAO_COMPUTADO</t>
        </is>
      </c>
      <c r="AC4787" s="112" t="inlineStr">
        <is>
          <t>Estrutura Fase 1: sem impacto no VTA oficial</t>
        </is>
      </c>
    </row>
    <row r="4788" ht="25.5" customHeight="1" s="289">
      <c r="A4788" s="205" t="n"/>
      <c r="B4788" s="207" t="n"/>
      <c r="C4788" s="104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348" t="n"/>
      <c r="E4788" s="349">
        <f>IF(C4788="","",IFERROR(VLOOKUP(C4788,parametros!$A$11:$E$15,5,0),""))</f>
        <v/>
      </c>
      <c r="F4788" s="335">
        <f>IF(OR(D4788="",E4788=""),"",ROUND(D4788*E4788,2))</f>
        <v/>
      </c>
      <c r="G4788" s="106" t="n"/>
      <c r="H4788" s="350">
        <f>IF(G4788="Sim",IF(OR(F4788="",D4788="",L4788=""),"",IF(L4788="Sim",ROUND(F4788-D4788,2),0)),0)</f>
        <v/>
      </c>
      <c r="I4788" s="350">
        <f>IF(G4788="Sim",0,IF(OR(F4788="",L4788=""),"",F4788))</f>
        <v/>
      </c>
      <c r="J4788" s="350">
        <f>IF(G4788="Sim",0,IF(OR(F4788="",D4788="",L4788=""),"",IF(L4788="Sim",ROUND(F4788-D4788,2),0)))</f>
        <v/>
      </c>
      <c r="K4788" s="97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inlineStr">
        <is>
          <t>Nao</t>
        </is>
      </c>
      <c r="W4788" s="110" t="inlineStr">
        <is>
          <t>PC em analise</t>
        </is>
      </c>
      <c r="X4788" s="110" t="inlineStr">
        <is>
          <t>Pedido de Compra</t>
        </is>
      </c>
      <c r="Y4788" s="111" t="inlineStr">
        <is>
          <t>Impacto Potencial</t>
        </is>
      </c>
      <c r="Z4788" s="111" t="inlineStr">
        <is>
          <t>PC</t>
        </is>
      </c>
      <c r="AA4788" s="111" t="inlineStr">
        <is>
          <t>Nao</t>
        </is>
      </c>
      <c r="AB4788" s="111" t="inlineStr">
        <is>
          <t>NAO_COMPUTADO</t>
        </is>
      </c>
      <c r="AC4788" s="112" t="inlineStr">
        <is>
          <t>Estrutura Fase 1: sem impacto no VTA oficial</t>
        </is>
      </c>
    </row>
    <row r="4789" ht="25.5" customHeight="1" s="289">
      <c r="A4789" s="205" t="n"/>
      <c r="B4789" s="207" t="n"/>
      <c r="C4789" s="104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348" t="n"/>
      <c r="E4789" s="349">
        <f>IF(C4789="","",IFERROR(VLOOKUP(C4789,parametros!$A$11:$E$15,5,0),""))</f>
        <v/>
      </c>
      <c r="F4789" s="335">
        <f>IF(OR(D4789="",E4789=""),"",ROUND(D4789*E4789,2))</f>
        <v/>
      </c>
      <c r="G4789" s="106" t="n"/>
      <c r="H4789" s="350">
        <f>IF(G4789="Sim",IF(OR(F4789="",D4789="",L4789=""),"",IF(L4789="Sim",ROUND(F4789-D4789,2),0)),0)</f>
        <v/>
      </c>
      <c r="I4789" s="350">
        <f>IF(G4789="Sim",0,IF(OR(F4789="",L4789=""),"",F4789))</f>
        <v/>
      </c>
      <c r="J4789" s="350">
        <f>IF(G4789="Sim",0,IF(OR(F4789="",D4789="",L4789=""),"",IF(L4789="Sim",ROUND(F4789-D4789,2),0)))</f>
        <v/>
      </c>
      <c r="K4789" s="97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inlineStr">
        <is>
          <t>Nao</t>
        </is>
      </c>
      <c r="W4789" s="110" t="inlineStr">
        <is>
          <t>PC em analise</t>
        </is>
      </c>
      <c r="X4789" s="110" t="inlineStr">
        <is>
          <t>Pedido de Compra</t>
        </is>
      </c>
      <c r="Y4789" s="111" t="inlineStr">
        <is>
          <t>Impacto Potencial</t>
        </is>
      </c>
      <c r="Z4789" s="111" t="inlineStr">
        <is>
          <t>PC</t>
        </is>
      </c>
      <c r="AA4789" s="111" t="inlineStr">
        <is>
          <t>Nao</t>
        </is>
      </c>
      <c r="AB4789" s="111" t="inlineStr">
        <is>
          <t>NAO_COMPUTADO</t>
        </is>
      </c>
      <c r="AC4789" s="112" t="inlineStr">
        <is>
          <t>Estrutura Fase 1: sem impacto no VTA oficial</t>
        </is>
      </c>
    </row>
    <row r="4790" ht="25.5" customHeight="1" s="289">
      <c r="A4790" s="205" t="n"/>
      <c r="B4790" s="207" t="n"/>
      <c r="C4790" s="104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348" t="n"/>
      <c r="E4790" s="349">
        <f>IF(C4790="","",IFERROR(VLOOKUP(C4790,parametros!$A$11:$E$15,5,0),""))</f>
        <v/>
      </c>
      <c r="F4790" s="335">
        <f>IF(OR(D4790="",E4790=""),"",ROUND(D4790*E4790,2))</f>
        <v/>
      </c>
      <c r="G4790" s="106" t="n"/>
      <c r="H4790" s="350">
        <f>IF(G4790="Sim",IF(OR(F4790="",D4790="",L4790=""),"",IF(L4790="Sim",ROUND(F4790-D4790,2),0)),0)</f>
        <v/>
      </c>
      <c r="I4790" s="350">
        <f>IF(G4790="Sim",0,IF(OR(F4790="",L4790=""),"",F4790))</f>
        <v/>
      </c>
      <c r="J4790" s="350">
        <f>IF(G4790="Sim",0,IF(OR(F4790="",D4790="",L4790=""),"",IF(L4790="Sim",ROUND(F4790-D4790,2),0)))</f>
        <v/>
      </c>
      <c r="K4790" s="97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inlineStr">
        <is>
          <t>Nao</t>
        </is>
      </c>
      <c r="W4790" s="110" t="inlineStr">
        <is>
          <t>PC em analise</t>
        </is>
      </c>
      <c r="X4790" s="110" t="inlineStr">
        <is>
          <t>Pedido de Compra</t>
        </is>
      </c>
      <c r="Y4790" s="111" t="inlineStr">
        <is>
          <t>Impacto Potencial</t>
        </is>
      </c>
      <c r="Z4790" s="111" t="inlineStr">
        <is>
          <t>PC</t>
        </is>
      </c>
      <c r="AA4790" s="111" t="inlineStr">
        <is>
          <t>Nao</t>
        </is>
      </c>
      <c r="AB4790" s="111" t="inlineStr">
        <is>
          <t>NAO_COMPUTADO</t>
        </is>
      </c>
      <c r="AC4790" s="112" t="inlineStr">
        <is>
          <t>Estrutura Fase 1: sem impacto no VTA oficial</t>
        </is>
      </c>
    </row>
    <row r="4791" ht="25.5" customHeight="1" s="289">
      <c r="A4791" s="205" t="n"/>
      <c r="B4791" s="207" t="n"/>
      <c r="C4791" s="104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348" t="n"/>
      <c r="E4791" s="349">
        <f>IF(C4791="","",IFERROR(VLOOKUP(C4791,parametros!$A$11:$E$15,5,0),""))</f>
        <v/>
      </c>
      <c r="F4791" s="335">
        <f>IF(OR(D4791="",E4791=""),"",ROUND(D4791*E4791,2))</f>
        <v/>
      </c>
      <c r="G4791" s="106" t="n"/>
      <c r="H4791" s="350">
        <f>IF(G4791="Sim",IF(OR(F4791="",D4791="",L4791=""),"",IF(L4791="Sim",ROUND(F4791-D4791,2),0)),0)</f>
        <v/>
      </c>
      <c r="I4791" s="350">
        <f>IF(G4791="Sim",0,IF(OR(F4791="",L4791=""),"",F4791))</f>
        <v/>
      </c>
      <c r="J4791" s="350">
        <f>IF(G4791="Sim",0,IF(OR(F4791="",D4791="",L4791=""),"",IF(L4791="Sim",ROUND(F4791-D4791,2),0)))</f>
        <v/>
      </c>
      <c r="K4791" s="97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inlineStr">
        <is>
          <t>Nao</t>
        </is>
      </c>
      <c r="W4791" s="110" t="inlineStr">
        <is>
          <t>PC em analise</t>
        </is>
      </c>
      <c r="X4791" s="110" t="inlineStr">
        <is>
          <t>Pedido de Compra</t>
        </is>
      </c>
      <c r="Y4791" s="111" t="inlineStr">
        <is>
          <t>Impacto Potencial</t>
        </is>
      </c>
      <c r="Z4791" s="111" t="inlineStr">
        <is>
          <t>PC</t>
        </is>
      </c>
      <c r="AA4791" s="111" t="inlineStr">
        <is>
          <t>Nao</t>
        </is>
      </c>
      <c r="AB4791" s="111" t="inlineStr">
        <is>
          <t>NAO_COMPUTADO</t>
        </is>
      </c>
      <c r="AC4791" s="112" t="inlineStr">
        <is>
          <t>Estrutura Fase 1: sem impacto no VTA oficial</t>
        </is>
      </c>
    </row>
    <row r="4792" ht="25.5" customHeight="1" s="289">
      <c r="A4792" s="205" t="n"/>
      <c r="B4792" s="207" t="n"/>
      <c r="C4792" s="104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348" t="n"/>
      <c r="E4792" s="349">
        <f>IF(C4792="","",IFERROR(VLOOKUP(C4792,parametros!$A$11:$E$15,5,0),""))</f>
        <v/>
      </c>
      <c r="F4792" s="335">
        <f>IF(OR(D4792="",E4792=""),"",ROUND(D4792*E4792,2))</f>
        <v/>
      </c>
      <c r="G4792" s="106" t="n"/>
      <c r="H4792" s="350">
        <f>IF(G4792="Sim",IF(OR(F4792="",D4792="",L4792=""),"",IF(L4792="Sim",ROUND(F4792-D4792,2),0)),0)</f>
        <v/>
      </c>
      <c r="I4792" s="350">
        <f>IF(G4792="Sim",0,IF(OR(F4792="",L4792=""),"",F4792))</f>
        <v/>
      </c>
      <c r="J4792" s="350">
        <f>IF(G4792="Sim",0,IF(OR(F4792="",D4792="",L4792=""),"",IF(L4792="Sim",ROUND(F4792-D4792,2),0)))</f>
        <v/>
      </c>
      <c r="K4792" s="97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inlineStr">
        <is>
          <t>Nao</t>
        </is>
      </c>
      <c r="W4792" s="110" t="inlineStr">
        <is>
          <t>PC em analise</t>
        </is>
      </c>
      <c r="X4792" s="110" t="inlineStr">
        <is>
          <t>Pedido de Compra</t>
        </is>
      </c>
      <c r="Y4792" s="111" t="inlineStr">
        <is>
          <t>Impacto Potencial</t>
        </is>
      </c>
      <c r="Z4792" s="111" t="inlineStr">
        <is>
          <t>PC</t>
        </is>
      </c>
      <c r="AA4792" s="111" t="inlineStr">
        <is>
          <t>Nao</t>
        </is>
      </c>
      <c r="AB4792" s="111" t="inlineStr">
        <is>
          <t>NAO_COMPUTADO</t>
        </is>
      </c>
      <c r="AC4792" s="112" t="inlineStr">
        <is>
          <t>Estrutura Fase 1: sem impacto no VTA oficial</t>
        </is>
      </c>
    </row>
    <row r="4793" ht="25.5" customHeight="1" s="289">
      <c r="A4793" s="205" t="n"/>
      <c r="B4793" s="207" t="n"/>
      <c r="C4793" s="104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348" t="n"/>
      <c r="E4793" s="349">
        <f>IF(C4793="","",IFERROR(VLOOKUP(C4793,parametros!$A$11:$E$15,5,0),""))</f>
        <v/>
      </c>
      <c r="F4793" s="335">
        <f>IF(OR(D4793="",E4793=""),"",ROUND(D4793*E4793,2))</f>
        <v/>
      </c>
      <c r="G4793" s="106" t="n"/>
      <c r="H4793" s="350">
        <f>IF(G4793="Sim",IF(OR(F4793="",D4793="",L4793=""),"",IF(L4793="Sim",ROUND(F4793-D4793,2),0)),0)</f>
        <v/>
      </c>
      <c r="I4793" s="350">
        <f>IF(G4793="Sim",0,IF(OR(F4793="",L4793=""),"",F4793))</f>
        <v/>
      </c>
      <c r="J4793" s="350">
        <f>IF(G4793="Sim",0,IF(OR(F4793="",D4793="",L4793=""),"",IF(L4793="Sim",ROUND(F4793-D4793,2),0)))</f>
        <v/>
      </c>
      <c r="K4793" s="97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inlineStr">
        <is>
          <t>Nao</t>
        </is>
      </c>
      <c r="W4793" s="110" t="inlineStr">
        <is>
          <t>PC em analise</t>
        </is>
      </c>
      <c r="X4793" s="110" t="inlineStr">
        <is>
          <t>Pedido de Compra</t>
        </is>
      </c>
      <c r="Y4793" s="111" t="inlineStr">
        <is>
          <t>Impacto Potencial</t>
        </is>
      </c>
      <c r="Z4793" s="111" t="inlineStr">
        <is>
          <t>PC</t>
        </is>
      </c>
      <c r="AA4793" s="111" t="inlineStr">
        <is>
          <t>Nao</t>
        </is>
      </c>
      <c r="AB4793" s="111" t="inlineStr">
        <is>
          <t>NAO_COMPUTADO</t>
        </is>
      </c>
      <c r="AC4793" s="112" t="inlineStr">
        <is>
          <t>Estrutura Fase 1: sem impacto no VTA oficial</t>
        </is>
      </c>
    </row>
    <row r="4794" ht="25.5" customHeight="1" s="289">
      <c r="A4794" s="205" t="n"/>
      <c r="B4794" s="207" t="n"/>
      <c r="C4794" s="104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348" t="n"/>
      <c r="E4794" s="349">
        <f>IF(C4794="","",IFERROR(VLOOKUP(C4794,parametros!$A$11:$E$15,5,0),""))</f>
        <v/>
      </c>
      <c r="F4794" s="335">
        <f>IF(OR(D4794="",E4794=""),"",ROUND(D4794*E4794,2))</f>
        <v/>
      </c>
      <c r="G4794" s="106" t="n"/>
      <c r="H4794" s="350">
        <f>IF(G4794="Sim",IF(OR(F4794="",D4794="",L4794=""),"",IF(L4794="Sim",ROUND(F4794-D4794,2),0)),0)</f>
        <v/>
      </c>
      <c r="I4794" s="350">
        <f>IF(G4794="Sim",0,IF(OR(F4794="",L4794=""),"",F4794))</f>
        <v/>
      </c>
      <c r="J4794" s="350">
        <f>IF(G4794="Sim",0,IF(OR(F4794="",D4794="",L4794=""),"",IF(L4794="Sim",ROUND(F4794-D4794,2),0)))</f>
        <v/>
      </c>
      <c r="K4794" s="97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inlineStr">
        <is>
          <t>Nao</t>
        </is>
      </c>
      <c r="W4794" s="110" t="inlineStr">
        <is>
          <t>PC em analise</t>
        </is>
      </c>
      <c r="X4794" s="110" t="inlineStr">
        <is>
          <t>Pedido de Compra</t>
        </is>
      </c>
      <c r="Y4794" s="111" t="inlineStr">
        <is>
          <t>Impacto Potencial</t>
        </is>
      </c>
      <c r="Z4794" s="111" t="inlineStr">
        <is>
          <t>PC</t>
        </is>
      </c>
      <c r="AA4794" s="111" t="inlineStr">
        <is>
          <t>Nao</t>
        </is>
      </c>
      <c r="AB4794" s="111" t="inlineStr">
        <is>
          <t>NAO_COMPUTADO</t>
        </is>
      </c>
      <c r="AC4794" s="112" t="inlineStr">
        <is>
          <t>Estrutura Fase 1: sem impacto no VTA oficial</t>
        </is>
      </c>
    </row>
    <row r="4795" ht="25.5" customHeight="1" s="289">
      <c r="A4795" s="205" t="n"/>
      <c r="B4795" s="207" t="n"/>
      <c r="C4795" s="104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348" t="n"/>
      <c r="E4795" s="349">
        <f>IF(C4795="","",IFERROR(VLOOKUP(C4795,parametros!$A$11:$E$15,5,0),""))</f>
        <v/>
      </c>
      <c r="F4795" s="335">
        <f>IF(OR(D4795="",E4795=""),"",ROUND(D4795*E4795,2))</f>
        <v/>
      </c>
      <c r="G4795" s="106" t="n"/>
      <c r="H4795" s="350">
        <f>IF(G4795="Sim",IF(OR(F4795="",D4795="",L4795=""),"",IF(L4795="Sim",ROUND(F4795-D4795,2),0)),0)</f>
        <v/>
      </c>
      <c r="I4795" s="350">
        <f>IF(G4795="Sim",0,IF(OR(F4795="",L4795=""),"",F4795))</f>
        <v/>
      </c>
      <c r="J4795" s="350">
        <f>IF(G4795="Sim",0,IF(OR(F4795="",D4795="",L4795=""),"",IF(L4795="Sim",ROUND(F4795-D4795,2),0)))</f>
        <v/>
      </c>
      <c r="K4795" s="97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inlineStr">
        <is>
          <t>Nao</t>
        </is>
      </c>
      <c r="W4795" s="110" t="inlineStr">
        <is>
          <t>PC em analise</t>
        </is>
      </c>
      <c r="X4795" s="110" t="inlineStr">
        <is>
          <t>Pedido de Compra</t>
        </is>
      </c>
      <c r="Y4795" s="111" t="inlineStr">
        <is>
          <t>Impacto Potencial</t>
        </is>
      </c>
      <c r="Z4795" s="111" t="inlineStr">
        <is>
          <t>PC</t>
        </is>
      </c>
      <c r="AA4795" s="111" t="inlineStr">
        <is>
          <t>Nao</t>
        </is>
      </c>
      <c r="AB4795" s="111" t="inlineStr">
        <is>
          <t>NAO_COMPUTADO</t>
        </is>
      </c>
      <c r="AC4795" s="112" t="inlineStr">
        <is>
          <t>Estrutura Fase 1: sem impacto no VTA oficial</t>
        </is>
      </c>
    </row>
    <row r="4796" ht="25.5" customHeight="1" s="289">
      <c r="A4796" s="205" t="n"/>
      <c r="B4796" s="207" t="n"/>
      <c r="C4796" s="104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348" t="n"/>
      <c r="E4796" s="349">
        <f>IF(C4796="","",IFERROR(VLOOKUP(C4796,parametros!$A$11:$E$15,5,0),""))</f>
        <v/>
      </c>
      <c r="F4796" s="335">
        <f>IF(OR(D4796="",E4796=""),"",ROUND(D4796*E4796,2))</f>
        <v/>
      </c>
      <c r="G4796" s="106" t="n"/>
      <c r="H4796" s="350">
        <f>IF(G4796="Sim",IF(OR(F4796="",D4796="",L4796=""),"",IF(L4796="Sim",ROUND(F4796-D4796,2),0)),0)</f>
        <v/>
      </c>
      <c r="I4796" s="350">
        <f>IF(G4796="Sim",0,IF(OR(F4796="",L4796=""),"",F4796))</f>
        <v/>
      </c>
      <c r="J4796" s="350">
        <f>IF(G4796="Sim",0,IF(OR(F4796="",D4796="",L4796=""),"",IF(L4796="Sim",ROUND(F4796-D4796,2),0)))</f>
        <v/>
      </c>
      <c r="K4796" s="97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inlineStr">
        <is>
          <t>Nao</t>
        </is>
      </c>
      <c r="W4796" s="110" t="inlineStr">
        <is>
          <t>PC em analise</t>
        </is>
      </c>
      <c r="X4796" s="110" t="inlineStr">
        <is>
          <t>Pedido de Compra</t>
        </is>
      </c>
      <c r="Y4796" s="111" t="inlineStr">
        <is>
          <t>Impacto Potencial</t>
        </is>
      </c>
      <c r="Z4796" s="111" t="inlineStr">
        <is>
          <t>PC</t>
        </is>
      </c>
      <c r="AA4796" s="111" t="inlineStr">
        <is>
          <t>Nao</t>
        </is>
      </c>
      <c r="AB4796" s="111" t="inlineStr">
        <is>
          <t>NAO_COMPUTADO</t>
        </is>
      </c>
      <c r="AC4796" s="112" t="inlineStr">
        <is>
          <t>Estrutura Fase 1: sem impacto no VTA oficial</t>
        </is>
      </c>
    </row>
    <row r="4797" ht="25.5" customHeight="1" s="289">
      <c r="A4797" s="205" t="n"/>
      <c r="B4797" s="207" t="n"/>
      <c r="C4797" s="104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348" t="n"/>
      <c r="E4797" s="349">
        <f>IF(C4797="","",IFERROR(VLOOKUP(C4797,parametros!$A$11:$E$15,5,0),""))</f>
        <v/>
      </c>
      <c r="F4797" s="335">
        <f>IF(OR(D4797="",E4797=""),"",ROUND(D4797*E4797,2))</f>
        <v/>
      </c>
      <c r="G4797" s="106" t="n"/>
      <c r="H4797" s="350">
        <f>IF(G4797="Sim",IF(OR(F4797="",D4797="",L4797=""),"",IF(L4797="Sim",ROUND(F4797-D4797,2),0)),0)</f>
        <v/>
      </c>
      <c r="I4797" s="350">
        <f>IF(G4797="Sim",0,IF(OR(F4797="",L4797=""),"",F4797))</f>
        <v/>
      </c>
      <c r="J4797" s="350">
        <f>IF(G4797="Sim",0,IF(OR(F4797="",D4797="",L4797=""),"",IF(L4797="Sim",ROUND(F4797-D4797,2),0)))</f>
        <v/>
      </c>
      <c r="K4797" s="97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inlineStr">
        <is>
          <t>Nao</t>
        </is>
      </c>
      <c r="W4797" s="110" t="inlineStr">
        <is>
          <t>PC em analise</t>
        </is>
      </c>
      <c r="X4797" s="110" t="inlineStr">
        <is>
          <t>Pedido de Compra</t>
        </is>
      </c>
      <c r="Y4797" s="111" t="inlineStr">
        <is>
          <t>Impacto Potencial</t>
        </is>
      </c>
      <c r="Z4797" s="111" t="inlineStr">
        <is>
          <t>PC</t>
        </is>
      </c>
      <c r="AA4797" s="111" t="inlineStr">
        <is>
          <t>Nao</t>
        </is>
      </c>
      <c r="AB4797" s="111" t="inlineStr">
        <is>
          <t>NAO_COMPUTADO</t>
        </is>
      </c>
      <c r="AC4797" s="112" t="inlineStr">
        <is>
          <t>Estrutura Fase 1: sem impacto no VTA oficial</t>
        </is>
      </c>
    </row>
    <row r="4798" ht="25.5" customHeight="1" s="289">
      <c r="A4798" s="205" t="n"/>
      <c r="B4798" s="207" t="n"/>
      <c r="C4798" s="104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348" t="n"/>
      <c r="E4798" s="349">
        <f>IF(C4798="","",IFERROR(VLOOKUP(C4798,parametros!$A$11:$E$15,5,0),""))</f>
        <v/>
      </c>
      <c r="F4798" s="335">
        <f>IF(OR(D4798="",E4798=""),"",ROUND(D4798*E4798,2))</f>
        <v/>
      </c>
      <c r="G4798" s="106" t="n"/>
      <c r="H4798" s="350">
        <f>IF(G4798="Sim",IF(OR(F4798="",D4798="",L4798=""),"",IF(L4798="Sim",ROUND(F4798-D4798,2),0)),0)</f>
        <v/>
      </c>
      <c r="I4798" s="350">
        <f>IF(G4798="Sim",0,IF(OR(F4798="",L4798=""),"",F4798))</f>
        <v/>
      </c>
      <c r="J4798" s="350">
        <f>IF(G4798="Sim",0,IF(OR(F4798="",D4798="",L4798=""),"",IF(L4798="Sim",ROUND(F4798-D4798,2),0)))</f>
        <v/>
      </c>
      <c r="K4798" s="97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inlineStr">
        <is>
          <t>Nao</t>
        </is>
      </c>
      <c r="W4798" s="110" t="inlineStr">
        <is>
          <t>PC em analise</t>
        </is>
      </c>
      <c r="X4798" s="110" t="inlineStr">
        <is>
          <t>Pedido de Compra</t>
        </is>
      </c>
      <c r="Y4798" s="111" t="inlineStr">
        <is>
          <t>Impacto Potencial</t>
        </is>
      </c>
      <c r="Z4798" s="111" t="inlineStr">
        <is>
          <t>PC</t>
        </is>
      </c>
      <c r="AA4798" s="111" t="inlineStr">
        <is>
          <t>Nao</t>
        </is>
      </c>
      <c r="AB4798" s="111" t="inlineStr">
        <is>
          <t>NAO_COMPUTADO</t>
        </is>
      </c>
      <c r="AC4798" s="112" t="inlineStr">
        <is>
          <t>Estrutura Fase 1: sem impacto no VTA oficial</t>
        </is>
      </c>
    </row>
    <row r="4799" ht="25.5" customHeight="1" s="289">
      <c r="A4799" s="205" t="n"/>
      <c r="B4799" s="207" t="n"/>
      <c r="C4799" s="104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348" t="n"/>
      <c r="E4799" s="349">
        <f>IF(C4799="","",IFERROR(VLOOKUP(C4799,parametros!$A$11:$E$15,5,0),""))</f>
        <v/>
      </c>
      <c r="F4799" s="335">
        <f>IF(OR(D4799="",E4799=""),"",ROUND(D4799*E4799,2))</f>
        <v/>
      </c>
      <c r="G4799" s="106" t="n"/>
      <c r="H4799" s="350">
        <f>IF(G4799="Sim",IF(OR(F4799="",D4799="",L4799=""),"",IF(L4799="Sim",ROUND(F4799-D4799,2),0)),0)</f>
        <v/>
      </c>
      <c r="I4799" s="350">
        <f>IF(G4799="Sim",0,IF(OR(F4799="",L4799=""),"",F4799))</f>
        <v/>
      </c>
      <c r="J4799" s="350">
        <f>IF(G4799="Sim",0,IF(OR(F4799="",D4799="",L4799=""),"",IF(L4799="Sim",ROUND(F4799-D4799,2),0)))</f>
        <v/>
      </c>
      <c r="K4799" s="97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inlineStr">
        <is>
          <t>Nao</t>
        </is>
      </c>
      <c r="W4799" s="110" t="inlineStr">
        <is>
          <t>PC em analise</t>
        </is>
      </c>
      <c r="X4799" s="110" t="inlineStr">
        <is>
          <t>Pedido de Compra</t>
        </is>
      </c>
      <c r="Y4799" s="111" t="inlineStr">
        <is>
          <t>Impacto Potencial</t>
        </is>
      </c>
      <c r="Z4799" s="111" t="inlineStr">
        <is>
          <t>PC</t>
        </is>
      </c>
      <c r="AA4799" s="111" t="inlineStr">
        <is>
          <t>Nao</t>
        </is>
      </c>
      <c r="AB4799" s="111" t="inlineStr">
        <is>
          <t>NAO_COMPUTADO</t>
        </is>
      </c>
      <c r="AC4799" s="112" t="inlineStr">
        <is>
          <t>Estrutura Fase 1: sem impacto no VTA oficial</t>
        </is>
      </c>
    </row>
    <row r="4800" ht="25.5" customHeight="1" s="289">
      <c r="A4800" s="205" t="n"/>
      <c r="B4800" s="207" t="n"/>
      <c r="C4800" s="104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348" t="n"/>
      <c r="E4800" s="349">
        <f>IF(C4800="","",IFERROR(VLOOKUP(C4800,parametros!$A$11:$E$15,5,0),""))</f>
        <v/>
      </c>
      <c r="F4800" s="335">
        <f>IF(OR(D4800="",E4800=""),"",ROUND(D4800*E4800,2))</f>
        <v/>
      </c>
      <c r="G4800" s="106" t="n"/>
      <c r="H4800" s="350">
        <f>IF(G4800="Sim",IF(OR(F4800="",D4800="",L4800=""),"",IF(L4800="Sim",ROUND(F4800-D4800,2),0)),0)</f>
        <v/>
      </c>
      <c r="I4800" s="350">
        <f>IF(G4800="Sim",0,IF(OR(F4800="",L4800=""),"",F4800))</f>
        <v/>
      </c>
      <c r="J4800" s="350">
        <f>IF(G4800="Sim",0,IF(OR(F4800="",D4800="",L4800=""),"",IF(L4800="Sim",ROUND(F4800-D4800,2),0)))</f>
        <v/>
      </c>
      <c r="K4800" s="97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inlineStr">
        <is>
          <t>Nao</t>
        </is>
      </c>
      <c r="W4800" s="110" t="inlineStr">
        <is>
          <t>PC em analise</t>
        </is>
      </c>
      <c r="X4800" s="110" t="inlineStr">
        <is>
          <t>Pedido de Compra</t>
        </is>
      </c>
      <c r="Y4800" s="111" t="inlineStr">
        <is>
          <t>Impacto Potencial</t>
        </is>
      </c>
      <c r="Z4800" s="111" t="inlineStr">
        <is>
          <t>PC</t>
        </is>
      </c>
      <c r="AA4800" s="111" t="inlineStr">
        <is>
          <t>Nao</t>
        </is>
      </c>
      <c r="AB4800" s="111" t="inlineStr">
        <is>
          <t>NAO_COMPUTADO</t>
        </is>
      </c>
      <c r="AC4800" s="112" t="inlineStr">
        <is>
          <t>Estrutura Fase 1: sem impacto no VTA oficial</t>
        </is>
      </c>
    </row>
    <row r="4801" ht="25.5" customHeight="1" s="289">
      <c r="A4801" s="205" t="n"/>
      <c r="B4801" s="207" t="n"/>
      <c r="C4801" s="104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348" t="n"/>
      <c r="E4801" s="349">
        <f>IF(C4801="","",IFERROR(VLOOKUP(C4801,parametros!$A$11:$E$15,5,0),""))</f>
        <v/>
      </c>
      <c r="F4801" s="335">
        <f>IF(OR(D4801="",E4801=""),"",ROUND(D4801*E4801,2))</f>
        <v/>
      </c>
      <c r="G4801" s="106" t="n"/>
      <c r="H4801" s="350">
        <f>IF(G4801="Sim",IF(OR(F4801="",D4801="",L4801=""),"",IF(L4801="Sim",ROUND(F4801-D4801,2),0)),0)</f>
        <v/>
      </c>
      <c r="I4801" s="350">
        <f>IF(G4801="Sim",0,IF(OR(F4801="",L4801=""),"",F4801))</f>
        <v/>
      </c>
      <c r="J4801" s="350">
        <f>IF(G4801="Sim",0,IF(OR(F4801="",D4801="",L4801=""),"",IF(L4801="Sim",ROUND(F4801-D4801,2),0)))</f>
        <v/>
      </c>
      <c r="K4801" s="97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inlineStr">
        <is>
          <t>Nao</t>
        </is>
      </c>
      <c r="W4801" s="110" t="inlineStr">
        <is>
          <t>PC em analise</t>
        </is>
      </c>
      <c r="X4801" s="110" t="inlineStr">
        <is>
          <t>Pedido de Compra</t>
        </is>
      </c>
      <c r="Y4801" s="111" t="inlineStr">
        <is>
          <t>Impacto Potencial</t>
        </is>
      </c>
      <c r="Z4801" s="111" t="inlineStr">
        <is>
          <t>PC</t>
        </is>
      </c>
      <c r="AA4801" s="111" t="inlineStr">
        <is>
          <t>Nao</t>
        </is>
      </c>
      <c r="AB4801" s="111" t="inlineStr">
        <is>
          <t>NAO_COMPUTADO</t>
        </is>
      </c>
      <c r="AC4801" s="112" t="inlineStr">
        <is>
          <t>Estrutura Fase 1: sem impacto no VTA oficial</t>
        </is>
      </c>
    </row>
    <row r="4802" ht="25.5" customHeight="1" s="289">
      <c r="A4802" s="205" t="n"/>
      <c r="B4802" s="207" t="n"/>
      <c r="C4802" s="104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348" t="n"/>
      <c r="E4802" s="349">
        <f>IF(C4802="","",IFERROR(VLOOKUP(C4802,parametros!$A$11:$E$15,5,0),""))</f>
        <v/>
      </c>
      <c r="F4802" s="335">
        <f>IF(OR(D4802="",E4802=""),"",ROUND(D4802*E4802,2))</f>
        <v/>
      </c>
      <c r="G4802" s="106" t="n"/>
      <c r="H4802" s="350">
        <f>IF(G4802="Sim",IF(OR(F4802="",D4802="",L4802=""),"",IF(L4802="Sim",ROUND(F4802-D4802,2),0)),0)</f>
        <v/>
      </c>
      <c r="I4802" s="350">
        <f>IF(G4802="Sim",0,IF(OR(F4802="",L4802=""),"",F4802))</f>
        <v/>
      </c>
      <c r="J4802" s="350">
        <f>IF(G4802="Sim",0,IF(OR(F4802="",D4802="",L4802=""),"",IF(L4802="Sim",ROUND(F4802-D4802,2),0)))</f>
        <v/>
      </c>
      <c r="K4802" s="97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inlineStr">
        <is>
          <t>Nao</t>
        </is>
      </c>
      <c r="W4802" s="110" t="inlineStr">
        <is>
          <t>PC em analise</t>
        </is>
      </c>
      <c r="X4802" s="110" t="inlineStr">
        <is>
          <t>Pedido de Compra</t>
        </is>
      </c>
      <c r="Y4802" s="111" t="inlineStr">
        <is>
          <t>Impacto Potencial</t>
        </is>
      </c>
      <c r="Z4802" s="111" t="inlineStr">
        <is>
          <t>PC</t>
        </is>
      </c>
      <c r="AA4802" s="111" t="inlineStr">
        <is>
          <t>Nao</t>
        </is>
      </c>
      <c r="AB4802" s="111" t="inlineStr">
        <is>
          <t>NAO_COMPUTADO</t>
        </is>
      </c>
      <c r="AC4802" s="112" t="inlineStr">
        <is>
          <t>Estrutura Fase 1: sem impacto no VTA oficial</t>
        </is>
      </c>
    </row>
    <row r="4803" ht="25.5" customHeight="1" s="289">
      <c r="A4803" s="205" t="n"/>
      <c r="B4803" s="207" t="n"/>
      <c r="C4803" s="104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348" t="n"/>
      <c r="E4803" s="349">
        <f>IF(C4803="","",IFERROR(VLOOKUP(C4803,parametros!$A$11:$E$15,5,0),""))</f>
        <v/>
      </c>
      <c r="F4803" s="335">
        <f>IF(OR(D4803="",E4803=""),"",ROUND(D4803*E4803,2))</f>
        <v/>
      </c>
      <c r="G4803" s="106" t="n"/>
      <c r="H4803" s="350">
        <f>IF(G4803="Sim",IF(OR(F4803="",D4803="",L4803=""),"",IF(L4803="Sim",ROUND(F4803-D4803,2),0)),0)</f>
        <v/>
      </c>
      <c r="I4803" s="350">
        <f>IF(G4803="Sim",0,IF(OR(F4803="",L4803=""),"",F4803))</f>
        <v/>
      </c>
      <c r="J4803" s="350">
        <f>IF(G4803="Sim",0,IF(OR(F4803="",D4803="",L4803=""),"",IF(L4803="Sim",ROUND(F4803-D4803,2),0)))</f>
        <v/>
      </c>
      <c r="K4803" s="97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inlineStr">
        <is>
          <t>Nao</t>
        </is>
      </c>
      <c r="W4803" s="110" t="inlineStr">
        <is>
          <t>PC em analise</t>
        </is>
      </c>
      <c r="X4803" s="110" t="inlineStr">
        <is>
          <t>Pedido de Compra</t>
        </is>
      </c>
      <c r="Y4803" s="111" t="inlineStr">
        <is>
          <t>Impacto Potencial</t>
        </is>
      </c>
      <c r="Z4803" s="111" t="inlineStr">
        <is>
          <t>PC</t>
        </is>
      </c>
      <c r="AA4803" s="111" t="inlineStr">
        <is>
          <t>Nao</t>
        </is>
      </c>
      <c r="AB4803" s="111" t="inlineStr">
        <is>
          <t>NAO_COMPUTADO</t>
        </is>
      </c>
      <c r="AC4803" s="112" t="inlineStr">
        <is>
          <t>Estrutura Fase 1: sem impacto no VTA oficial</t>
        </is>
      </c>
    </row>
    <row r="4804" ht="25.5" customHeight="1" s="289">
      <c r="A4804" s="205" t="n"/>
      <c r="B4804" s="207" t="n"/>
      <c r="C4804" s="104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348" t="n"/>
      <c r="E4804" s="349">
        <f>IF(C4804="","",IFERROR(VLOOKUP(C4804,parametros!$A$11:$E$15,5,0),""))</f>
        <v/>
      </c>
      <c r="F4804" s="335">
        <f>IF(OR(D4804="",E4804=""),"",ROUND(D4804*E4804,2))</f>
        <v/>
      </c>
      <c r="G4804" s="106" t="n"/>
      <c r="H4804" s="350">
        <f>IF(G4804="Sim",IF(OR(F4804="",D4804="",L4804=""),"",IF(L4804="Sim",ROUND(F4804-D4804,2),0)),0)</f>
        <v/>
      </c>
      <c r="I4804" s="350">
        <f>IF(G4804="Sim",0,IF(OR(F4804="",L4804=""),"",F4804))</f>
        <v/>
      </c>
      <c r="J4804" s="350">
        <f>IF(G4804="Sim",0,IF(OR(F4804="",D4804="",L4804=""),"",IF(L4804="Sim",ROUND(F4804-D4804,2),0)))</f>
        <v/>
      </c>
      <c r="K4804" s="97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inlineStr">
        <is>
          <t>Nao</t>
        </is>
      </c>
      <c r="W4804" s="110" t="inlineStr">
        <is>
          <t>PC em analise</t>
        </is>
      </c>
      <c r="X4804" s="110" t="inlineStr">
        <is>
          <t>Pedido de Compra</t>
        </is>
      </c>
      <c r="Y4804" s="111" t="inlineStr">
        <is>
          <t>Impacto Potencial</t>
        </is>
      </c>
      <c r="Z4804" s="111" t="inlineStr">
        <is>
          <t>PC</t>
        </is>
      </c>
      <c r="AA4804" s="111" t="inlineStr">
        <is>
          <t>Nao</t>
        </is>
      </c>
      <c r="AB4804" s="111" t="inlineStr">
        <is>
          <t>NAO_COMPUTADO</t>
        </is>
      </c>
      <c r="AC4804" s="112" t="inlineStr">
        <is>
          <t>Estrutura Fase 1: sem impacto no VTA oficial</t>
        </is>
      </c>
    </row>
    <row r="4805" ht="25.5" customHeight="1" s="289">
      <c r="A4805" s="205" t="n"/>
      <c r="B4805" s="207" t="n"/>
      <c r="C4805" s="104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348" t="n"/>
      <c r="E4805" s="349">
        <f>IF(C4805="","",IFERROR(VLOOKUP(C4805,parametros!$A$11:$E$15,5,0),""))</f>
        <v/>
      </c>
      <c r="F4805" s="335">
        <f>IF(OR(D4805="",E4805=""),"",ROUND(D4805*E4805,2))</f>
        <v/>
      </c>
      <c r="G4805" s="106" t="n"/>
      <c r="H4805" s="350">
        <f>IF(G4805="Sim",IF(OR(F4805="",D4805="",L4805=""),"",IF(L4805="Sim",ROUND(F4805-D4805,2),0)),0)</f>
        <v/>
      </c>
      <c r="I4805" s="350">
        <f>IF(G4805="Sim",0,IF(OR(F4805="",L4805=""),"",F4805))</f>
        <v/>
      </c>
      <c r="J4805" s="350">
        <f>IF(G4805="Sim",0,IF(OR(F4805="",D4805="",L4805=""),"",IF(L4805="Sim",ROUND(F4805-D4805,2),0)))</f>
        <v/>
      </c>
      <c r="K4805" s="97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inlineStr">
        <is>
          <t>Nao</t>
        </is>
      </c>
      <c r="W4805" s="110" t="inlineStr">
        <is>
          <t>PC em analise</t>
        </is>
      </c>
      <c r="X4805" s="110" t="inlineStr">
        <is>
          <t>Pedido de Compra</t>
        </is>
      </c>
      <c r="Y4805" s="111" t="inlineStr">
        <is>
          <t>Impacto Potencial</t>
        </is>
      </c>
      <c r="Z4805" s="111" t="inlineStr">
        <is>
          <t>PC</t>
        </is>
      </c>
      <c r="AA4805" s="111" t="inlineStr">
        <is>
          <t>Nao</t>
        </is>
      </c>
      <c r="AB4805" s="111" t="inlineStr">
        <is>
          <t>NAO_COMPUTADO</t>
        </is>
      </c>
      <c r="AC4805" s="112" t="inlineStr">
        <is>
          <t>Estrutura Fase 1: sem impacto no VTA oficial</t>
        </is>
      </c>
    </row>
    <row r="4806" ht="25.5" customHeight="1" s="289">
      <c r="A4806" s="205" t="n"/>
      <c r="B4806" s="207" t="n"/>
      <c r="C4806" s="104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348" t="n"/>
      <c r="E4806" s="349">
        <f>IF(C4806="","",IFERROR(VLOOKUP(C4806,parametros!$A$11:$E$15,5,0),""))</f>
        <v/>
      </c>
      <c r="F4806" s="335">
        <f>IF(OR(D4806="",E4806=""),"",ROUND(D4806*E4806,2))</f>
        <v/>
      </c>
      <c r="G4806" s="106" t="n"/>
      <c r="H4806" s="350">
        <f>IF(G4806="Sim",IF(OR(F4806="",D4806="",L4806=""),"",IF(L4806="Sim",ROUND(F4806-D4806,2),0)),0)</f>
        <v/>
      </c>
      <c r="I4806" s="350">
        <f>IF(G4806="Sim",0,IF(OR(F4806="",L4806=""),"",F4806))</f>
        <v/>
      </c>
      <c r="J4806" s="350">
        <f>IF(G4806="Sim",0,IF(OR(F4806="",D4806="",L4806=""),"",IF(L4806="Sim",ROUND(F4806-D4806,2),0)))</f>
        <v/>
      </c>
      <c r="K4806" s="97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inlineStr">
        <is>
          <t>Nao</t>
        </is>
      </c>
      <c r="W4806" s="110" t="inlineStr">
        <is>
          <t>PC em analise</t>
        </is>
      </c>
      <c r="X4806" s="110" t="inlineStr">
        <is>
          <t>Pedido de Compra</t>
        </is>
      </c>
      <c r="Y4806" s="111" t="inlineStr">
        <is>
          <t>Impacto Potencial</t>
        </is>
      </c>
      <c r="Z4806" s="111" t="inlineStr">
        <is>
          <t>PC</t>
        </is>
      </c>
      <c r="AA4806" s="111" t="inlineStr">
        <is>
          <t>Nao</t>
        </is>
      </c>
      <c r="AB4806" s="111" t="inlineStr">
        <is>
          <t>NAO_COMPUTADO</t>
        </is>
      </c>
      <c r="AC4806" s="112" t="inlineStr">
        <is>
          <t>Estrutura Fase 1: sem impacto no VTA oficial</t>
        </is>
      </c>
    </row>
    <row r="4807" ht="25.5" customHeight="1" s="289">
      <c r="A4807" s="205" t="n"/>
      <c r="B4807" s="207" t="n"/>
      <c r="C4807" s="104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348" t="n"/>
      <c r="E4807" s="349">
        <f>IF(C4807="","",IFERROR(VLOOKUP(C4807,parametros!$A$11:$E$15,5,0),""))</f>
        <v/>
      </c>
      <c r="F4807" s="335">
        <f>IF(OR(D4807="",E4807=""),"",ROUND(D4807*E4807,2))</f>
        <v/>
      </c>
      <c r="G4807" s="106" t="n"/>
      <c r="H4807" s="350">
        <f>IF(G4807="Sim",IF(OR(F4807="",D4807="",L4807=""),"",IF(L4807="Sim",ROUND(F4807-D4807,2),0)),0)</f>
        <v/>
      </c>
      <c r="I4807" s="350">
        <f>IF(G4807="Sim",0,IF(OR(F4807="",L4807=""),"",F4807))</f>
        <v/>
      </c>
      <c r="J4807" s="350">
        <f>IF(G4807="Sim",0,IF(OR(F4807="",D4807="",L4807=""),"",IF(L4807="Sim",ROUND(F4807-D4807,2),0)))</f>
        <v/>
      </c>
      <c r="K4807" s="97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inlineStr">
        <is>
          <t>Nao</t>
        </is>
      </c>
      <c r="W4807" s="110" t="inlineStr">
        <is>
          <t>PC em analise</t>
        </is>
      </c>
      <c r="X4807" s="110" t="inlineStr">
        <is>
          <t>Pedido de Compra</t>
        </is>
      </c>
      <c r="Y4807" s="111" t="inlineStr">
        <is>
          <t>Impacto Potencial</t>
        </is>
      </c>
      <c r="Z4807" s="111" t="inlineStr">
        <is>
          <t>PC</t>
        </is>
      </c>
      <c r="AA4807" s="111" t="inlineStr">
        <is>
          <t>Nao</t>
        </is>
      </c>
      <c r="AB4807" s="111" t="inlineStr">
        <is>
          <t>NAO_COMPUTADO</t>
        </is>
      </c>
      <c r="AC4807" s="112" t="inlineStr">
        <is>
          <t>Estrutura Fase 1: sem impacto no VTA oficial</t>
        </is>
      </c>
    </row>
    <row r="4808" ht="25.5" customHeight="1" s="289">
      <c r="A4808" s="205" t="n"/>
      <c r="B4808" s="207" t="n"/>
      <c r="C4808" s="104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348" t="n"/>
      <c r="E4808" s="349">
        <f>IF(C4808="","",IFERROR(VLOOKUP(C4808,parametros!$A$11:$E$15,5,0),""))</f>
        <v/>
      </c>
      <c r="F4808" s="335">
        <f>IF(OR(D4808="",E4808=""),"",ROUND(D4808*E4808,2))</f>
        <v/>
      </c>
      <c r="G4808" s="106" t="n"/>
      <c r="H4808" s="350">
        <f>IF(G4808="Sim",IF(OR(F4808="",D4808="",L4808=""),"",IF(L4808="Sim",ROUND(F4808-D4808,2),0)),0)</f>
        <v/>
      </c>
      <c r="I4808" s="350">
        <f>IF(G4808="Sim",0,IF(OR(F4808="",L4808=""),"",F4808))</f>
        <v/>
      </c>
      <c r="J4808" s="350">
        <f>IF(G4808="Sim",0,IF(OR(F4808="",D4808="",L4808=""),"",IF(L4808="Sim",ROUND(F4808-D4808,2),0)))</f>
        <v/>
      </c>
      <c r="K4808" s="97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inlineStr">
        <is>
          <t>Nao</t>
        </is>
      </c>
      <c r="W4808" s="110" t="inlineStr">
        <is>
          <t>PC em analise</t>
        </is>
      </c>
      <c r="X4808" s="110" t="inlineStr">
        <is>
          <t>Pedido de Compra</t>
        </is>
      </c>
      <c r="Y4808" s="111" t="inlineStr">
        <is>
          <t>Impacto Potencial</t>
        </is>
      </c>
      <c r="Z4808" s="111" t="inlineStr">
        <is>
          <t>PC</t>
        </is>
      </c>
      <c r="AA4808" s="111" t="inlineStr">
        <is>
          <t>Nao</t>
        </is>
      </c>
      <c r="AB4808" s="111" t="inlineStr">
        <is>
          <t>NAO_COMPUTADO</t>
        </is>
      </c>
      <c r="AC4808" s="112" t="inlineStr">
        <is>
          <t>Estrutura Fase 1: sem impacto no VTA oficial</t>
        </is>
      </c>
    </row>
    <row r="4809" ht="25.5" customHeight="1" s="289">
      <c r="A4809" s="205" t="n"/>
      <c r="B4809" s="207" t="n"/>
      <c r="C4809" s="104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348" t="n"/>
      <c r="E4809" s="349">
        <f>IF(C4809="","",IFERROR(VLOOKUP(C4809,parametros!$A$11:$E$15,5,0),""))</f>
        <v/>
      </c>
      <c r="F4809" s="335">
        <f>IF(OR(D4809="",E4809=""),"",ROUND(D4809*E4809,2))</f>
        <v/>
      </c>
      <c r="G4809" s="106" t="n"/>
      <c r="H4809" s="350">
        <f>IF(G4809="Sim",IF(OR(F4809="",D4809="",L4809=""),"",IF(L4809="Sim",ROUND(F4809-D4809,2),0)),0)</f>
        <v/>
      </c>
      <c r="I4809" s="350">
        <f>IF(G4809="Sim",0,IF(OR(F4809="",L4809=""),"",F4809))</f>
        <v/>
      </c>
      <c r="J4809" s="350">
        <f>IF(G4809="Sim",0,IF(OR(F4809="",D4809="",L4809=""),"",IF(L4809="Sim",ROUND(F4809-D4809,2),0)))</f>
        <v/>
      </c>
      <c r="K4809" s="97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inlineStr">
        <is>
          <t>Nao</t>
        </is>
      </c>
      <c r="W4809" s="110" t="inlineStr">
        <is>
          <t>PC em analise</t>
        </is>
      </c>
      <c r="X4809" s="110" t="inlineStr">
        <is>
          <t>Pedido de Compra</t>
        </is>
      </c>
      <c r="Y4809" s="111" t="inlineStr">
        <is>
          <t>Impacto Potencial</t>
        </is>
      </c>
      <c r="Z4809" s="111" t="inlineStr">
        <is>
          <t>PC</t>
        </is>
      </c>
      <c r="AA4809" s="111" t="inlineStr">
        <is>
          <t>Nao</t>
        </is>
      </c>
      <c r="AB4809" s="111" t="inlineStr">
        <is>
          <t>NAO_COMPUTADO</t>
        </is>
      </c>
      <c r="AC4809" s="112" t="inlineStr">
        <is>
          <t>Estrutura Fase 1: sem impacto no VTA oficial</t>
        </is>
      </c>
    </row>
    <row r="4810" ht="25.5" customHeight="1" s="289">
      <c r="A4810" s="205" t="n"/>
      <c r="B4810" s="207" t="n"/>
      <c r="C4810" s="104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348" t="n"/>
      <c r="E4810" s="349">
        <f>IF(C4810="","",IFERROR(VLOOKUP(C4810,parametros!$A$11:$E$15,5,0),""))</f>
        <v/>
      </c>
      <c r="F4810" s="335">
        <f>IF(OR(D4810="",E4810=""),"",ROUND(D4810*E4810,2))</f>
        <v/>
      </c>
      <c r="G4810" s="106" t="n"/>
      <c r="H4810" s="350">
        <f>IF(G4810="Sim",IF(OR(F4810="",D4810="",L4810=""),"",IF(L4810="Sim",ROUND(F4810-D4810,2),0)),0)</f>
        <v/>
      </c>
      <c r="I4810" s="350">
        <f>IF(G4810="Sim",0,IF(OR(F4810="",L4810=""),"",F4810))</f>
        <v/>
      </c>
      <c r="J4810" s="350">
        <f>IF(G4810="Sim",0,IF(OR(F4810="",D4810="",L4810=""),"",IF(L4810="Sim",ROUND(F4810-D4810,2),0)))</f>
        <v/>
      </c>
      <c r="K4810" s="97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inlineStr">
        <is>
          <t>Nao</t>
        </is>
      </c>
      <c r="W4810" s="110" t="inlineStr">
        <is>
          <t>PC em analise</t>
        </is>
      </c>
      <c r="X4810" s="110" t="inlineStr">
        <is>
          <t>Pedido de Compra</t>
        </is>
      </c>
      <c r="Y4810" s="111" t="inlineStr">
        <is>
          <t>Impacto Potencial</t>
        </is>
      </c>
      <c r="Z4810" s="111" t="inlineStr">
        <is>
          <t>PC</t>
        </is>
      </c>
      <c r="AA4810" s="111" t="inlineStr">
        <is>
          <t>Nao</t>
        </is>
      </c>
      <c r="AB4810" s="111" t="inlineStr">
        <is>
          <t>NAO_COMPUTADO</t>
        </is>
      </c>
      <c r="AC4810" s="112" t="inlineStr">
        <is>
          <t>Estrutura Fase 1: sem impacto no VTA oficial</t>
        </is>
      </c>
    </row>
    <row r="4811" ht="25.5" customHeight="1" s="289">
      <c r="A4811" s="205" t="n"/>
      <c r="B4811" s="207" t="n"/>
      <c r="C4811" s="104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348" t="n"/>
      <c r="E4811" s="349">
        <f>IF(C4811="","",IFERROR(VLOOKUP(C4811,parametros!$A$11:$E$15,5,0),""))</f>
        <v/>
      </c>
      <c r="F4811" s="335">
        <f>IF(OR(D4811="",E4811=""),"",ROUND(D4811*E4811,2))</f>
        <v/>
      </c>
      <c r="G4811" s="106" t="n"/>
      <c r="H4811" s="350">
        <f>IF(G4811="Sim",IF(OR(F4811="",D4811="",L4811=""),"",IF(L4811="Sim",ROUND(F4811-D4811,2),0)),0)</f>
        <v/>
      </c>
      <c r="I4811" s="350">
        <f>IF(G4811="Sim",0,IF(OR(F4811="",L4811=""),"",F4811))</f>
        <v/>
      </c>
      <c r="J4811" s="350">
        <f>IF(G4811="Sim",0,IF(OR(F4811="",D4811="",L4811=""),"",IF(L4811="Sim",ROUND(F4811-D4811,2),0)))</f>
        <v/>
      </c>
      <c r="K4811" s="97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inlineStr">
        <is>
          <t>Nao</t>
        </is>
      </c>
      <c r="W4811" s="110" t="inlineStr">
        <is>
          <t>PC em analise</t>
        </is>
      </c>
      <c r="X4811" s="110" t="inlineStr">
        <is>
          <t>Pedido de Compra</t>
        </is>
      </c>
      <c r="Y4811" s="111" t="inlineStr">
        <is>
          <t>Impacto Potencial</t>
        </is>
      </c>
      <c r="Z4811" s="111" t="inlineStr">
        <is>
          <t>PC</t>
        </is>
      </c>
      <c r="AA4811" s="111" t="inlineStr">
        <is>
          <t>Nao</t>
        </is>
      </c>
      <c r="AB4811" s="111" t="inlineStr">
        <is>
          <t>NAO_COMPUTADO</t>
        </is>
      </c>
      <c r="AC4811" s="112" t="inlineStr">
        <is>
          <t>Estrutura Fase 1: sem impacto no VTA oficial</t>
        </is>
      </c>
    </row>
    <row r="4812" ht="25.5" customHeight="1" s="289">
      <c r="A4812" s="205" t="n"/>
      <c r="B4812" s="207" t="n"/>
      <c r="C4812" s="104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348" t="n"/>
      <c r="E4812" s="349">
        <f>IF(C4812="","",IFERROR(VLOOKUP(C4812,parametros!$A$11:$E$15,5,0),""))</f>
        <v/>
      </c>
      <c r="F4812" s="335">
        <f>IF(OR(D4812="",E4812=""),"",ROUND(D4812*E4812,2))</f>
        <v/>
      </c>
      <c r="G4812" s="106" t="n"/>
      <c r="H4812" s="350">
        <f>IF(G4812="Sim",IF(OR(F4812="",D4812="",L4812=""),"",IF(L4812="Sim",ROUND(F4812-D4812,2),0)),0)</f>
        <v/>
      </c>
      <c r="I4812" s="350">
        <f>IF(G4812="Sim",0,IF(OR(F4812="",L4812=""),"",F4812))</f>
        <v/>
      </c>
      <c r="J4812" s="350">
        <f>IF(G4812="Sim",0,IF(OR(F4812="",D4812="",L4812=""),"",IF(L4812="Sim",ROUND(F4812-D4812,2),0)))</f>
        <v/>
      </c>
      <c r="K4812" s="97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inlineStr">
        <is>
          <t>Nao</t>
        </is>
      </c>
      <c r="W4812" s="110" t="inlineStr">
        <is>
          <t>PC em analise</t>
        </is>
      </c>
      <c r="X4812" s="110" t="inlineStr">
        <is>
          <t>Pedido de Compra</t>
        </is>
      </c>
      <c r="Y4812" s="111" t="inlineStr">
        <is>
          <t>Impacto Potencial</t>
        </is>
      </c>
      <c r="Z4812" s="111" t="inlineStr">
        <is>
          <t>PC</t>
        </is>
      </c>
      <c r="AA4812" s="111" t="inlineStr">
        <is>
          <t>Nao</t>
        </is>
      </c>
      <c r="AB4812" s="111" t="inlineStr">
        <is>
          <t>NAO_COMPUTADO</t>
        </is>
      </c>
      <c r="AC4812" s="112" t="inlineStr">
        <is>
          <t>Estrutura Fase 1: sem impacto no VTA oficial</t>
        </is>
      </c>
    </row>
    <row r="4813" ht="25.5" customHeight="1" s="289">
      <c r="A4813" s="205" t="n"/>
      <c r="B4813" s="207" t="n"/>
      <c r="C4813" s="104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348" t="n"/>
      <c r="E4813" s="349">
        <f>IF(C4813="","",IFERROR(VLOOKUP(C4813,parametros!$A$11:$E$15,5,0),""))</f>
        <v/>
      </c>
      <c r="F4813" s="335">
        <f>IF(OR(D4813="",E4813=""),"",ROUND(D4813*E4813,2))</f>
        <v/>
      </c>
      <c r="G4813" s="106" t="n"/>
      <c r="H4813" s="350">
        <f>IF(G4813="Sim",IF(OR(F4813="",D4813="",L4813=""),"",IF(L4813="Sim",ROUND(F4813-D4813,2),0)),0)</f>
        <v/>
      </c>
      <c r="I4813" s="350">
        <f>IF(G4813="Sim",0,IF(OR(F4813="",L4813=""),"",F4813))</f>
        <v/>
      </c>
      <c r="J4813" s="350">
        <f>IF(G4813="Sim",0,IF(OR(F4813="",D4813="",L4813=""),"",IF(L4813="Sim",ROUND(F4813-D4813,2),0)))</f>
        <v/>
      </c>
      <c r="K4813" s="97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inlineStr">
        <is>
          <t>Nao</t>
        </is>
      </c>
      <c r="W4813" s="110" t="inlineStr">
        <is>
          <t>PC em analise</t>
        </is>
      </c>
      <c r="X4813" s="110" t="inlineStr">
        <is>
          <t>Pedido de Compra</t>
        </is>
      </c>
      <c r="Y4813" s="111" t="inlineStr">
        <is>
          <t>Impacto Potencial</t>
        </is>
      </c>
      <c r="Z4813" s="111" t="inlineStr">
        <is>
          <t>PC</t>
        </is>
      </c>
      <c r="AA4813" s="111" t="inlineStr">
        <is>
          <t>Nao</t>
        </is>
      </c>
      <c r="AB4813" s="111" t="inlineStr">
        <is>
          <t>NAO_COMPUTADO</t>
        </is>
      </c>
      <c r="AC4813" s="112" t="inlineStr">
        <is>
          <t>Estrutura Fase 1: sem impacto no VTA oficial</t>
        </is>
      </c>
    </row>
    <row r="4814" ht="25.5" customHeight="1" s="289">
      <c r="A4814" s="205" t="n"/>
      <c r="B4814" s="207" t="n"/>
      <c r="C4814" s="104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348" t="n"/>
      <c r="E4814" s="349">
        <f>IF(C4814="","",IFERROR(VLOOKUP(C4814,parametros!$A$11:$E$15,5,0),""))</f>
        <v/>
      </c>
      <c r="F4814" s="335">
        <f>IF(OR(D4814="",E4814=""),"",ROUND(D4814*E4814,2))</f>
        <v/>
      </c>
      <c r="G4814" s="106" t="n"/>
      <c r="H4814" s="350">
        <f>IF(G4814="Sim",IF(OR(F4814="",D4814="",L4814=""),"",IF(L4814="Sim",ROUND(F4814-D4814,2),0)),0)</f>
        <v/>
      </c>
      <c r="I4814" s="350">
        <f>IF(G4814="Sim",0,IF(OR(F4814="",L4814=""),"",F4814))</f>
        <v/>
      </c>
      <c r="J4814" s="350">
        <f>IF(G4814="Sim",0,IF(OR(F4814="",D4814="",L4814=""),"",IF(L4814="Sim",ROUND(F4814-D4814,2),0)))</f>
        <v/>
      </c>
      <c r="K4814" s="97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inlineStr">
        <is>
          <t>Nao</t>
        </is>
      </c>
      <c r="W4814" s="110" t="inlineStr">
        <is>
          <t>PC em analise</t>
        </is>
      </c>
      <c r="X4814" s="110" t="inlineStr">
        <is>
          <t>Pedido de Compra</t>
        </is>
      </c>
      <c r="Y4814" s="111" t="inlineStr">
        <is>
          <t>Impacto Potencial</t>
        </is>
      </c>
      <c r="Z4814" s="111" t="inlineStr">
        <is>
          <t>PC</t>
        </is>
      </c>
      <c r="AA4814" s="111" t="inlineStr">
        <is>
          <t>Nao</t>
        </is>
      </c>
      <c r="AB4814" s="111" t="inlineStr">
        <is>
          <t>NAO_COMPUTADO</t>
        </is>
      </c>
      <c r="AC4814" s="112" t="inlineStr">
        <is>
          <t>Estrutura Fase 1: sem impacto no VTA oficial</t>
        </is>
      </c>
    </row>
    <row r="4815" ht="25.5" customHeight="1" s="289">
      <c r="A4815" s="205" t="n"/>
      <c r="B4815" s="207" t="n"/>
      <c r="C4815" s="104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348" t="n"/>
      <c r="E4815" s="349">
        <f>IF(C4815="","",IFERROR(VLOOKUP(C4815,parametros!$A$11:$E$15,5,0),""))</f>
        <v/>
      </c>
      <c r="F4815" s="335">
        <f>IF(OR(D4815="",E4815=""),"",ROUND(D4815*E4815,2))</f>
        <v/>
      </c>
      <c r="G4815" s="106" t="n"/>
      <c r="H4815" s="350">
        <f>IF(G4815="Sim",IF(OR(F4815="",D4815="",L4815=""),"",IF(L4815="Sim",ROUND(F4815-D4815,2),0)),0)</f>
        <v/>
      </c>
      <c r="I4815" s="350">
        <f>IF(G4815="Sim",0,IF(OR(F4815="",L4815=""),"",F4815))</f>
        <v/>
      </c>
      <c r="J4815" s="350">
        <f>IF(G4815="Sim",0,IF(OR(F4815="",D4815="",L4815=""),"",IF(L4815="Sim",ROUND(F4815-D4815,2),0)))</f>
        <v/>
      </c>
      <c r="K4815" s="97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inlineStr">
        <is>
          <t>Nao</t>
        </is>
      </c>
      <c r="W4815" s="110" t="inlineStr">
        <is>
          <t>PC em analise</t>
        </is>
      </c>
      <c r="X4815" s="110" t="inlineStr">
        <is>
          <t>Pedido de Compra</t>
        </is>
      </c>
      <c r="Y4815" s="111" t="inlineStr">
        <is>
          <t>Impacto Potencial</t>
        </is>
      </c>
      <c r="Z4815" s="111" t="inlineStr">
        <is>
          <t>PC</t>
        </is>
      </c>
      <c r="AA4815" s="111" t="inlineStr">
        <is>
          <t>Nao</t>
        </is>
      </c>
      <c r="AB4815" s="111" t="inlineStr">
        <is>
          <t>NAO_COMPUTADO</t>
        </is>
      </c>
      <c r="AC4815" s="112" t="inlineStr">
        <is>
          <t>Estrutura Fase 1: sem impacto no VTA oficial</t>
        </is>
      </c>
    </row>
    <row r="4816" ht="25.5" customHeight="1" s="289">
      <c r="A4816" s="205" t="n"/>
      <c r="B4816" s="207" t="n"/>
      <c r="C4816" s="104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348" t="n"/>
      <c r="E4816" s="349">
        <f>IF(C4816="","",IFERROR(VLOOKUP(C4816,parametros!$A$11:$E$15,5,0),""))</f>
        <v/>
      </c>
      <c r="F4816" s="335">
        <f>IF(OR(D4816="",E4816=""),"",ROUND(D4816*E4816,2))</f>
        <v/>
      </c>
      <c r="G4816" s="106" t="n"/>
      <c r="H4816" s="350">
        <f>IF(G4816="Sim",IF(OR(F4816="",D4816="",L4816=""),"",IF(L4816="Sim",ROUND(F4816-D4816,2),0)),0)</f>
        <v/>
      </c>
      <c r="I4816" s="350">
        <f>IF(G4816="Sim",0,IF(OR(F4816="",L4816=""),"",F4816))</f>
        <v/>
      </c>
      <c r="J4816" s="350">
        <f>IF(G4816="Sim",0,IF(OR(F4816="",D4816="",L4816=""),"",IF(L4816="Sim",ROUND(F4816-D4816,2),0)))</f>
        <v/>
      </c>
      <c r="K4816" s="97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inlineStr">
        <is>
          <t>Nao</t>
        </is>
      </c>
      <c r="W4816" s="110" t="inlineStr">
        <is>
          <t>PC em analise</t>
        </is>
      </c>
      <c r="X4816" s="110" t="inlineStr">
        <is>
          <t>Pedido de Compra</t>
        </is>
      </c>
      <c r="Y4816" s="111" t="inlineStr">
        <is>
          <t>Impacto Potencial</t>
        </is>
      </c>
      <c r="Z4816" s="111" t="inlineStr">
        <is>
          <t>PC</t>
        </is>
      </c>
      <c r="AA4816" s="111" t="inlineStr">
        <is>
          <t>Nao</t>
        </is>
      </c>
      <c r="AB4816" s="111" t="inlineStr">
        <is>
          <t>NAO_COMPUTADO</t>
        </is>
      </c>
      <c r="AC4816" s="112" t="inlineStr">
        <is>
          <t>Estrutura Fase 1: sem impacto no VTA oficial</t>
        </is>
      </c>
    </row>
    <row r="4817" ht="25.5" customHeight="1" s="289">
      <c r="A4817" s="205" t="n"/>
      <c r="B4817" s="207" t="n"/>
      <c r="C4817" s="104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348" t="n"/>
      <c r="E4817" s="349">
        <f>IF(C4817="","",IFERROR(VLOOKUP(C4817,parametros!$A$11:$E$15,5,0),""))</f>
        <v/>
      </c>
      <c r="F4817" s="335">
        <f>IF(OR(D4817="",E4817=""),"",ROUND(D4817*E4817,2))</f>
        <v/>
      </c>
      <c r="G4817" s="106" t="n"/>
      <c r="H4817" s="350">
        <f>IF(G4817="Sim",IF(OR(F4817="",D4817="",L4817=""),"",IF(L4817="Sim",ROUND(F4817-D4817,2),0)),0)</f>
        <v/>
      </c>
      <c r="I4817" s="350">
        <f>IF(G4817="Sim",0,IF(OR(F4817="",L4817=""),"",F4817))</f>
        <v/>
      </c>
      <c r="J4817" s="350">
        <f>IF(G4817="Sim",0,IF(OR(F4817="",D4817="",L4817=""),"",IF(L4817="Sim",ROUND(F4817-D4817,2),0)))</f>
        <v/>
      </c>
      <c r="K4817" s="97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inlineStr">
        <is>
          <t>Nao</t>
        </is>
      </c>
      <c r="W4817" s="110" t="inlineStr">
        <is>
          <t>PC em analise</t>
        </is>
      </c>
      <c r="X4817" s="110" t="inlineStr">
        <is>
          <t>Pedido de Compra</t>
        </is>
      </c>
      <c r="Y4817" s="111" t="inlineStr">
        <is>
          <t>Impacto Potencial</t>
        </is>
      </c>
      <c r="Z4817" s="111" t="inlineStr">
        <is>
          <t>PC</t>
        </is>
      </c>
      <c r="AA4817" s="111" t="inlineStr">
        <is>
          <t>Nao</t>
        </is>
      </c>
      <c r="AB4817" s="111" t="inlineStr">
        <is>
          <t>NAO_COMPUTADO</t>
        </is>
      </c>
      <c r="AC4817" s="112" t="inlineStr">
        <is>
          <t>Estrutura Fase 1: sem impacto no VTA oficial</t>
        </is>
      </c>
    </row>
    <row r="4818" ht="25.5" customHeight="1" s="289">
      <c r="A4818" s="205" t="n"/>
      <c r="B4818" s="207" t="n"/>
      <c r="C4818" s="104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348" t="n"/>
      <c r="E4818" s="349">
        <f>IF(C4818="","",IFERROR(VLOOKUP(C4818,parametros!$A$11:$E$15,5,0),""))</f>
        <v/>
      </c>
      <c r="F4818" s="335">
        <f>IF(OR(D4818="",E4818=""),"",ROUND(D4818*E4818,2))</f>
        <v/>
      </c>
      <c r="G4818" s="106" t="n"/>
      <c r="H4818" s="350">
        <f>IF(G4818="Sim",IF(OR(F4818="",D4818="",L4818=""),"",IF(L4818="Sim",ROUND(F4818-D4818,2),0)),0)</f>
        <v/>
      </c>
      <c r="I4818" s="350">
        <f>IF(G4818="Sim",0,IF(OR(F4818="",L4818=""),"",F4818))</f>
        <v/>
      </c>
      <c r="J4818" s="350">
        <f>IF(G4818="Sim",0,IF(OR(F4818="",D4818="",L4818=""),"",IF(L4818="Sim",ROUND(F4818-D4818,2),0)))</f>
        <v/>
      </c>
      <c r="K4818" s="97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inlineStr">
        <is>
          <t>Nao</t>
        </is>
      </c>
      <c r="W4818" s="110" t="inlineStr">
        <is>
          <t>PC em analise</t>
        </is>
      </c>
      <c r="X4818" s="110" t="inlineStr">
        <is>
          <t>Pedido de Compra</t>
        </is>
      </c>
      <c r="Y4818" s="111" t="inlineStr">
        <is>
          <t>Impacto Potencial</t>
        </is>
      </c>
      <c r="Z4818" s="111" t="inlineStr">
        <is>
          <t>PC</t>
        </is>
      </c>
      <c r="AA4818" s="111" t="inlineStr">
        <is>
          <t>Nao</t>
        </is>
      </c>
      <c r="AB4818" s="111" t="inlineStr">
        <is>
          <t>NAO_COMPUTADO</t>
        </is>
      </c>
      <c r="AC4818" s="112" t="inlineStr">
        <is>
          <t>Estrutura Fase 1: sem impacto no VTA oficial</t>
        </is>
      </c>
    </row>
    <row r="4819" ht="25.5" customHeight="1" s="289">
      <c r="A4819" s="205" t="n"/>
      <c r="B4819" s="207" t="n"/>
      <c r="C4819" s="104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348" t="n"/>
      <c r="E4819" s="349">
        <f>IF(C4819="","",IFERROR(VLOOKUP(C4819,parametros!$A$11:$E$15,5,0),""))</f>
        <v/>
      </c>
      <c r="F4819" s="335">
        <f>IF(OR(D4819="",E4819=""),"",ROUND(D4819*E4819,2))</f>
        <v/>
      </c>
      <c r="G4819" s="106" t="n"/>
      <c r="H4819" s="350">
        <f>IF(G4819="Sim",IF(OR(F4819="",D4819="",L4819=""),"",IF(L4819="Sim",ROUND(F4819-D4819,2),0)),0)</f>
        <v/>
      </c>
      <c r="I4819" s="350">
        <f>IF(G4819="Sim",0,IF(OR(F4819="",L4819=""),"",F4819))</f>
        <v/>
      </c>
      <c r="J4819" s="350">
        <f>IF(G4819="Sim",0,IF(OR(F4819="",D4819="",L4819=""),"",IF(L4819="Sim",ROUND(F4819-D4819,2),0)))</f>
        <v/>
      </c>
      <c r="K4819" s="97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inlineStr">
        <is>
          <t>Nao</t>
        </is>
      </c>
      <c r="W4819" s="110" t="inlineStr">
        <is>
          <t>PC em analise</t>
        </is>
      </c>
      <c r="X4819" s="110" t="inlineStr">
        <is>
          <t>Pedido de Compra</t>
        </is>
      </c>
      <c r="Y4819" s="111" t="inlineStr">
        <is>
          <t>Impacto Potencial</t>
        </is>
      </c>
      <c r="Z4819" s="111" t="inlineStr">
        <is>
          <t>PC</t>
        </is>
      </c>
      <c r="AA4819" s="111" t="inlineStr">
        <is>
          <t>Nao</t>
        </is>
      </c>
      <c r="AB4819" s="111" t="inlineStr">
        <is>
          <t>NAO_COMPUTADO</t>
        </is>
      </c>
      <c r="AC4819" s="112" t="inlineStr">
        <is>
          <t>Estrutura Fase 1: sem impacto no VTA oficial</t>
        </is>
      </c>
    </row>
    <row r="4820" ht="25.5" customHeight="1" s="289">
      <c r="A4820" s="205" t="n"/>
      <c r="B4820" s="207" t="n"/>
      <c r="C4820" s="104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348" t="n"/>
      <c r="E4820" s="349">
        <f>IF(C4820="","",IFERROR(VLOOKUP(C4820,parametros!$A$11:$E$15,5,0),""))</f>
        <v/>
      </c>
      <c r="F4820" s="335">
        <f>IF(OR(D4820="",E4820=""),"",ROUND(D4820*E4820,2))</f>
        <v/>
      </c>
      <c r="G4820" s="106" t="n"/>
      <c r="H4820" s="350">
        <f>IF(G4820="Sim",IF(OR(F4820="",D4820="",L4820=""),"",IF(L4820="Sim",ROUND(F4820-D4820,2),0)),0)</f>
        <v/>
      </c>
      <c r="I4820" s="350">
        <f>IF(G4820="Sim",0,IF(OR(F4820="",L4820=""),"",F4820))</f>
        <v/>
      </c>
      <c r="J4820" s="350">
        <f>IF(G4820="Sim",0,IF(OR(F4820="",D4820="",L4820=""),"",IF(L4820="Sim",ROUND(F4820-D4820,2),0)))</f>
        <v/>
      </c>
      <c r="K4820" s="97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inlineStr">
        <is>
          <t>Nao</t>
        </is>
      </c>
      <c r="W4820" s="110" t="inlineStr">
        <is>
          <t>PC em analise</t>
        </is>
      </c>
      <c r="X4820" s="110" t="inlineStr">
        <is>
          <t>Pedido de Compra</t>
        </is>
      </c>
      <c r="Y4820" s="111" t="inlineStr">
        <is>
          <t>Impacto Potencial</t>
        </is>
      </c>
      <c r="Z4820" s="111" t="inlineStr">
        <is>
          <t>PC</t>
        </is>
      </c>
      <c r="AA4820" s="111" t="inlineStr">
        <is>
          <t>Nao</t>
        </is>
      </c>
      <c r="AB4820" s="111" t="inlineStr">
        <is>
          <t>NAO_COMPUTADO</t>
        </is>
      </c>
      <c r="AC4820" s="112" t="inlineStr">
        <is>
          <t>Estrutura Fase 1: sem impacto no VTA oficial</t>
        </is>
      </c>
    </row>
    <row r="4821" ht="25.5" customHeight="1" s="289">
      <c r="A4821" s="205" t="n"/>
      <c r="B4821" s="207" t="n"/>
      <c r="C4821" s="104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348" t="n"/>
      <c r="E4821" s="349">
        <f>IF(C4821="","",IFERROR(VLOOKUP(C4821,parametros!$A$11:$E$15,5,0),""))</f>
        <v/>
      </c>
      <c r="F4821" s="335">
        <f>IF(OR(D4821="",E4821=""),"",ROUND(D4821*E4821,2))</f>
        <v/>
      </c>
      <c r="G4821" s="106" t="n"/>
      <c r="H4821" s="350">
        <f>IF(G4821="Sim",IF(OR(F4821="",D4821="",L4821=""),"",IF(L4821="Sim",ROUND(F4821-D4821,2),0)),0)</f>
        <v/>
      </c>
      <c r="I4821" s="350">
        <f>IF(G4821="Sim",0,IF(OR(F4821="",L4821=""),"",F4821))</f>
        <v/>
      </c>
      <c r="J4821" s="350">
        <f>IF(G4821="Sim",0,IF(OR(F4821="",D4821="",L4821=""),"",IF(L4821="Sim",ROUND(F4821-D4821,2),0)))</f>
        <v/>
      </c>
      <c r="K4821" s="97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inlineStr">
        <is>
          <t>Nao</t>
        </is>
      </c>
      <c r="W4821" s="110" t="inlineStr">
        <is>
          <t>PC em analise</t>
        </is>
      </c>
      <c r="X4821" s="110" t="inlineStr">
        <is>
          <t>Pedido de Compra</t>
        </is>
      </c>
      <c r="Y4821" s="111" t="inlineStr">
        <is>
          <t>Impacto Potencial</t>
        </is>
      </c>
      <c r="Z4821" s="111" t="inlineStr">
        <is>
          <t>PC</t>
        </is>
      </c>
      <c r="AA4821" s="111" t="inlineStr">
        <is>
          <t>Nao</t>
        </is>
      </c>
      <c r="AB4821" s="111" t="inlineStr">
        <is>
          <t>NAO_COMPUTADO</t>
        </is>
      </c>
      <c r="AC4821" s="112" t="inlineStr">
        <is>
          <t>Estrutura Fase 1: sem impacto no VTA oficial</t>
        </is>
      </c>
    </row>
    <row r="4822" ht="25.5" customHeight="1" s="289">
      <c r="A4822" s="205" t="n"/>
      <c r="B4822" s="207" t="n"/>
      <c r="C4822" s="104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348" t="n"/>
      <c r="E4822" s="349">
        <f>IF(C4822="","",IFERROR(VLOOKUP(C4822,parametros!$A$11:$E$15,5,0),""))</f>
        <v/>
      </c>
      <c r="F4822" s="335">
        <f>IF(OR(D4822="",E4822=""),"",ROUND(D4822*E4822,2))</f>
        <v/>
      </c>
      <c r="G4822" s="106" t="n"/>
      <c r="H4822" s="350">
        <f>IF(G4822="Sim",IF(OR(F4822="",D4822="",L4822=""),"",IF(L4822="Sim",ROUND(F4822-D4822,2),0)),0)</f>
        <v/>
      </c>
      <c r="I4822" s="350">
        <f>IF(G4822="Sim",0,IF(OR(F4822="",L4822=""),"",F4822))</f>
        <v/>
      </c>
      <c r="J4822" s="350">
        <f>IF(G4822="Sim",0,IF(OR(F4822="",D4822="",L4822=""),"",IF(L4822="Sim",ROUND(F4822-D4822,2),0)))</f>
        <v/>
      </c>
      <c r="K4822" s="97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inlineStr">
        <is>
          <t>Nao</t>
        </is>
      </c>
      <c r="W4822" s="110" t="inlineStr">
        <is>
          <t>PC em analise</t>
        </is>
      </c>
      <c r="X4822" s="110" t="inlineStr">
        <is>
          <t>Pedido de Compra</t>
        </is>
      </c>
      <c r="Y4822" s="111" t="inlineStr">
        <is>
          <t>Impacto Potencial</t>
        </is>
      </c>
      <c r="Z4822" s="111" t="inlineStr">
        <is>
          <t>PC</t>
        </is>
      </c>
      <c r="AA4822" s="111" t="inlineStr">
        <is>
          <t>Nao</t>
        </is>
      </c>
      <c r="AB4822" s="111" t="inlineStr">
        <is>
          <t>NAO_COMPUTADO</t>
        </is>
      </c>
      <c r="AC4822" s="112" t="inlineStr">
        <is>
          <t>Estrutura Fase 1: sem impacto no VTA oficial</t>
        </is>
      </c>
    </row>
    <row r="4823" ht="25.5" customHeight="1" s="289">
      <c r="A4823" s="205" t="n"/>
      <c r="B4823" s="207" t="n"/>
      <c r="C4823" s="104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348" t="n"/>
      <c r="E4823" s="349">
        <f>IF(C4823="","",IFERROR(VLOOKUP(C4823,parametros!$A$11:$E$15,5,0),""))</f>
        <v/>
      </c>
      <c r="F4823" s="335">
        <f>IF(OR(D4823="",E4823=""),"",ROUND(D4823*E4823,2))</f>
        <v/>
      </c>
      <c r="G4823" s="106" t="n"/>
      <c r="H4823" s="350">
        <f>IF(G4823="Sim",IF(OR(F4823="",D4823="",L4823=""),"",IF(L4823="Sim",ROUND(F4823-D4823,2),0)),0)</f>
        <v/>
      </c>
      <c r="I4823" s="350">
        <f>IF(G4823="Sim",0,IF(OR(F4823="",L4823=""),"",F4823))</f>
        <v/>
      </c>
      <c r="J4823" s="350">
        <f>IF(G4823="Sim",0,IF(OR(F4823="",D4823="",L4823=""),"",IF(L4823="Sim",ROUND(F4823-D4823,2),0)))</f>
        <v/>
      </c>
      <c r="K4823" s="97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inlineStr">
        <is>
          <t>Nao</t>
        </is>
      </c>
      <c r="W4823" s="110" t="inlineStr">
        <is>
          <t>PC em analise</t>
        </is>
      </c>
      <c r="X4823" s="110" t="inlineStr">
        <is>
          <t>Pedido de Compra</t>
        </is>
      </c>
      <c r="Y4823" s="111" t="inlineStr">
        <is>
          <t>Impacto Potencial</t>
        </is>
      </c>
      <c r="Z4823" s="111" t="inlineStr">
        <is>
          <t>PC</t>
        </is>
      </c>
      <c r="AA4823" s="111" t="inlineStr">
        <is>
          <t>Nao</t>
        </is>
      </c>
      <c r="AB4823" s="111" t="inlineStr">
        <is>
          <t>NAO_COMPUTADO</t>
        </is>
      </c>
      <c r="AC4823" s="112" t="inlineStr">
        <is>
          <t>Estrutura Fase 1: sem impacto no VTA oficial</t>
        </is>
      </c>
    </row>
    <row r="4824" ht="25.5" customHeight="1" s="289">
      <c r="A4824" s="205" t="n"/>
      <c r="B4824" s="207" t="n"/>
      <c r="C4824" s="104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348" t="n"/>
      <c r="E4824" s="349">
        <f>IF(C4824="","",IFERROR(VLOOKUP(C4824,parametros!$A$11:$E$15,5,0),""))</f>
        <v/>
      </c>
      <c r="F4824" s="335">
        <f>IF(OR(D4824="",E4824=""),"",ROUND(D4824*E4824,2))</f>
        <v/>
      </c>
      <c r="G4824" s="106" t="n"/>
      <c r="H4824" s="350">
        <f>IF(G4824="Sim",IF(OR(F4824="",D4824="",L4824=""),"",IF(L4824="Sim",ROUND(F4824-D4824,2),0)),0)</f>
        <v/>
      </c>
      <c r="I4824" s="350">
        <f>IF(G4824="Sim",0,IF(OR(F4824="",L4824=""),"",F4824))</f>
        <v/>
      </c>
      <c r="J4824" s="350">
        <f>IF(G4824="Sim",0,IF(OR(F4824="",D4824="",L4824=""),"",IF(L4824="Sim",ROUND(F4824-D4824,2),0)))</f>
        <v/>
      </c>
      <c r="K4824" s="97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inlineStr">
        <is>
          <t>Nao</t>
        </is>
      </c>
      <c r="W4824" s="110" t="inlineStr">
        <is>
          <t>PC em analise</t>
        </is>
      </c>
      <c r="X4824" s="110" t="inlineStr">
        <is>
          <t>Pedido de Compra</t>
        </is>
      </c>
      <c r="Y4824" s="111" t="inlineStr">
        <is>
          <t>Impacto Potencial</t>
        </is>
      </c>
      <c r="Z4824" s="111" t="inlineStr">
        <is>
          <t>PC</t>
        </is>
      </c>
      <c r="AA4824" s="111" t="inlineStr">
        <is>
          <t>Nao</t>
        </is>
      </c>
      <c r="AB4824" s="111" t="inlineStr">
        <is>
          <t>NAO_COMPUTADO</t>
        </is>
      </c>
      <c r="AC4824" s="112" t="inlineStr">
        <is>
          <t>Estrutura Fase 1: sem impacto no VTA oficial</t>
        </is>
      </c>
    </row>
    <row r="4825" ht="25.5" customHeight="1" s="289">
      <c r="A4825" s="205" t="n"/>
      <c r="B4825" s="207" t="n"/>
      <c r="C4825" s="104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348" t="n"/>
      <c r="E4825" s="349">
        <f>IF(C4825="","",IFERROR(VLOOKUP(C4825,parametros!$A$11:$E$15,5,0),""))</f>
        <v/>
      </c>
      <c r="F4825" s="335">
        <f>IF(OR(D4825="",E4825=""),"",ROUND(D4825*E4825,2))</f>
        <v/>
      </c>
      <c r="G4825" s="106" t="n"/>
      <c r="H4825" s="350">
        <f>IF(G4825="Sim",IF(OR(F4825="",D4825="",L4825=""),"",IF(L4825="Sim",ROUND(F4825-D4825,2),0)),0)</f>
        <v/>
      </c>
      <c r="I4825" s="350">
        <f>IF(G4825="Sim",0,IF(OR(F4825="",L4825=""),"",F4825))</f>
        <v/>
      </c>
      <c r="J4825" s="350">
        <f>IF(G4825="Sim",0,IF(OR(F4825="",D4825="",L4825=""),"",IF(L4825="Sim",ROUND(F4825-D4825,2),0)))</f>
        <v/>
      </c>
      <c r="K4825" s="97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inlineStr">
        <is>
          <t>Nao</t>
        </is>
      </c>
      <c r="W4825" s="110" t="inlineStr">
        <is>
          <t>PC em analise</t>
        </is>
      </c>
      <c r="X4825" s="110" t="inlineStr">
        <is>
          <t>Pedido de Compra</t>
        </is>
      </c>
      <c r="Y4825" s="111" t="inlineStr">
        <is>
          <t>Impacto Potencial</t>
        </is>
      </c>
      <c r="Z4825" s="111" t="inlineStr">
        <is>
          <t>PC</t>
        </is>
      </c>
      <c r="AA4825" s="111" t="inlineStr">
        <is>
          <t>Nao</t>
        </is>
      </c>
      <c r="AB4825" s="111" t="inlineStr">
        <is>
          <t>NAO_COMPUTADO</t>
        </is>
      </c>
      <c r="AC4825" s="112" t="inlineStr">
        <is>
          <t>Estrutura Fase 1: sem impacto no VTA oficial</t>
        </is>
      </c>
    </row>
    <row r="4826" ht="25.5" customHeight="1" s="289">
      <c r="A4826" s="205" t="n"/>
      <c r="B4826" s="207" t="n"/>
      <c r="C4826" s="104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348" t="n"/>
      <c r="E4826" s="349">
        <f>IF(C4826="","",IFERROR(VLOOKUP(C4826,parametros!$A$11:$E$15,5,0),""))</f>
        <v/>
      </c>
      <c r="F4826" s="335">
        <f>IF(OR(D4826="",E4826=""),"",ROUND(D4826*E4826,2))</f>
        <v/>
      </c>
      <c r="G4826" s="106" t="n"/>
      <c r="H4826" s="350">
        <f>IF(G4826="Sim",IF(OR(F4826="",D4826="",L4826=""),"",IF(L4826="Sim",ROUND(F4826-D4826,2),0)),0)</f>
        <v/>
      </c>
      <c r="I4826" s="350">
        <f>IF(G4826="Sim",0,IF(OR(F4826="",L4826=""),"",F4826))</f>
        <v/>
      </c>
      <c r="J4826" s="350">
        <f>IF(G4826="Sim",0,IF(OR(F4826="",D4826="",L4826=""),"",IF(L4826="Sim",ROUND(F4826-D4826,2),0)))</f>
        <v/>
      </c>
      <c r="K4826" s="97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inlineStr">
        <is>
          <t>Nao</t>
        </is>
      </c>
      <c r="W4826" s="110" t="inlineStr">
        <is>
          <t>PC em analise</t>
        </is>
      </c>
      <c r="X4826" s="110" t="inlineStr">
        <is>
          <t>Pedido de Compra</t>
        </is>
      </c>
      <c r="Y4826" s="111" t="inlineStr">
        <is>
          <t>Impacto Potencial</t>
        </is>
      </c>
      <c r="Z4826" s="111" t="inlineStr">
        <is>
          <t>PC</t>
        </is>
      </c>
      <c r="AA4826" s="111" t="inlineStr">
        <is>
          <t>Nao</t>
        </is>
      </c>
      <c r="AB4826" s="111" t="inlineStr">
        <is>
          <t>NAO_COMPUTADO</t>
        </is>
      </c>
      <c r="AC4826" s="112" t="inlineStr">
        <is>
          <t>Estrutura Fase 1: sem impacto no VTA oficial</t>
        </is>
      </c>
    </row>
    <row r="4827" ht="25.5" customHeight="1" s="289">
      <c r="A4827" s="205" t="n"/>
      <c r="B4827" s="207" t="n"/>
      <c r="C4827" s="104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348" t="n"/>
      <c r="E4827" s="349">
        <f>IF(C4827="","",IFERROR(VLOOKUP(C4827,parametros!$A$11:$E$15,5,0),""))</f>
        <v/>
      </c>
      <c r="F4827" s="335">
        <f>IF(OR(D4827="",E4827=""),"",ROUND(D4827*E4827,2))</f>
        <v/>
      </c>
      <c r="G4827" s="106" t="n"/>
      <c r="H4827" s="350">
        <f>IF(G4827="Sim",IF(OR(F4827="",D4827="",L4827=""),"",IF(L4827="Sim",ROUND(F4827-D4827,2),0)),0)</f>
        <v/>
      </c>
      <c r="I4827" s="350">
        <f>IF(G4827="Sim",0,IF(OR(F4827="",L4827=""),"",F4827))</f>
        <v/>
      </c>
      <c r="J4827" s="350">
        <f>IF(G4827="Sim",0,IF(OR(F4827="",D4827="",L4827=""),"",IF(L4827="Sim",ROUND(F4827-D4827,2),0)))</f>
        <v/>
      </c>
      <c r="K4827" s="97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inlineStr">
        <is>
          <t>Nao</t>
        </is>
      </c>
      <c r="W4827" s="110" t="inlineStr">
        <is>
          <t>PC em analise</t>
        </is>
      </c>
      <c r="X4827" s="110" t="inlineStr">
        <is>
          <t>Pedido de Compra</t>
        </is>
      </c>
      <c r="Y4827" s="111" t="inlineStr">
        <is>
          <t>Impacto Potencial</t>
        </is>
      </c>
      <c r="Z4827" s="111" t="inlineStr">
        <is>
          <t>PC</t>
        </is>
      </c>
      <c r="AA4827" s="111" t="inlineStr">
        <is>
          <t>Nao</t>
        </is>
      </c>
      <c r="AB4827" s="111" t="inlineStr">
        <is>
          <t>NAO_COMPUTADO</t>
        </is>
      </c>
      <c r="AC4827" s="112" t="inlineStr">
        <is>
          <t>Estrutura Fase 1: sem impacto no VTA oficial</t>
        </is>
      </c>
    </row>
    <row r="4828" ht="25.5" customHeight="1" s="289">
      <c r="A4828" s="205" t="n"/>
      <c r="B4828" s="207" t="n"/>
      <c r="C4828" s="104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348" t="n"/>
      <c r="E4828" s="349">
        <f>IF(C4828="","",IFERROR(VLOOKUP(C4828,parametros!$A$11:$E$15,5,0),""))</f>
        <v/>
      </c>
      <c r="F4828" s="335">
        <f>IF(OR(D4828="",E4828=""),"",ROUND(D4828*E4828,2))</f>
        <v/>
      </c>
      <c r="G4828" s="106" t="n"/>
      <c r="H4828" s="350">
        <f>IF(G4828="Sim",IF(OR(F4828="",D4828="",L4828=""),"",IF(L4828="Sim",ROUND(F4828-D4828,2),0)),0)</f>
        <v/>
      </c>
      <c r="I4828" s="350">
        <f>IF(G4828="Sim",0,IF(OR(F4828="",L4828=""),"",F4828))</f>
        <v/>
      </c>
      <c r="J4828" s="350">
        <f>IF(G4828="Sim",0,IF(OR(F4828="",D4828="",L4828=""),"",IF(L4828="Sim",ROUND(F4828-D4828,2),0)))</f>
        <v/>
      </c>
      <c r="K4828" s="97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inlineStr">
        <is>
          <t>Nao</t>
        </is>
      </c>
      <c r="W4828" s="110" t="inlineStr">
        <is>
          <t>PC em analise</t>
        </is>
      </c>
      <c r="X4828" s="110" t="inlineStr">
        <is>
          <t>Pedido de Compra</t>
        </is>
      </c>
      <c r="Y4828" s="111" t="inlineStr">
        <is>
          <t>Impacto Potencial</t>
        </is>
      </c>
      <c r="Z4828" s="111" t="inlineStr">
        <is>
          <t>PC</t>
        </is>
      </c>
      <c r="AA4828" s="111" t="inlineStr">
        <is>
          <t>Nao</t>
        </is>
      </c>
      <c r="AB4828" s="111" t="inlineStr">
        <is>
          <t>NAO_COMPUTADO</t>
        </is>
      </c>
      <c r="AC4828" s="112" t="inlineStr">
        <is>
          <t>Estrutura Fase 1: sem impacto no VTA oficial</t>
        </is>
      </c>
    </row>
    <row r="4829" ht="25.5" customHeight="1" s="289">
      <c r="A4829" s="205" t="n"/>
      <c r="B4829" s="207" t="n"/>
      <c r="C4829" s="104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348" t="n"/>
      <c r="E4829" s="349">
        <f>IF(C4829="","",IFERROR(VLOOKUP(C4829,parametros!$A$11:$E$15,5,0),""))</f>
        <v/>
      </c>
      <c r="F4829" s="335">
        <f>IF(OR(D4829="",E4829=""),"",ROUND(D4829*E4829,2))</f>
        <v/>
      </c>
      <c r="G4829" s="106" t="n"/>
      <c r="H4829" s="350">
        <f>IF(G4829="Sim",IF(OR(F4829="",D4829="",L4829=""),"",IF(L4829="Sim",ROUND(F4829-D4829,2),0)),0)</f>
        <v/>
      </c>
      <c r="I4829" s="350">
        <f>IF(G4829="Sim",0,IF(OR(F4829="",L4829=""),"",F4829))</f>
        <v/>
      </c>
      <c r="J4829" s="350">
        <f>IF(G4829="Sim",0,IF(OR(F4829="",D4829="",L4829=""),"",IF(L4829="Sim",ROUND(F4829-D4829,2),0)))</f>
        <v/>
      </c>
      <c r="K4829" s="97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inlineStr">
        <is>
          <t>Nao</t>
        </is>
      </c>
      <c r="W4829" s="110" t="inlineStr">
        <is>
          <t>PC em analise</t>
        </is>
      </c>
      <c r="X4829" s="110" t="inlineStr">
        <is>
          <t>Pedido de Compra</t>
        </is>
      </c>
      <c r="Y4829" s="111" t="inlineStr">
        <is>
          <t>Impacto Potencial</t>
        </is>
      </c>
      <c r="Z4829" s="111" t="inlineStr">
        <is>
          <t>PC</t>
        </is>
      </c>
      <c r="AA4829" s="111" t="inlineStr">
        <is>
          <t>Nao</t>
        </is>
      </c>
      <c r="AB4829" s="111" t="inlineStr">
        <is>
          <t>NAO_COMPUTADO</t>
        </is>
      </c>
      <c r="AC4829" s="112" t="inlineStr">
        <is>
          <t>Estrutura Fase 1: sem impacto no VTA oficial</t>
        </is>
      </c>
    </row>
    <row r="4830" ht="25.5" customHeight="1" s="289">
      <c r="A4830" s="205" t="n"/>
      <c r="B4830" s="207" t="n"/>
      <c r="C4830" s="104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348" t="n"/>
      <c r="E4830" s="349">
        <f>IF(C4830="","",IFERROR(VLOOKUP(C4830,parametros!$A$11:$E$15,5,0),""))</f>
        <v/>
      </c>
      <c r="F4830" s="335">
        <f>IF(OR(D4830="",E4830=""),"",ROUND(D4830*E4830,2))</f>
        <v/>
      </c>
      <c r="G4830" s="106" t="n"/>
      <c r="H4830" s="350">
        <f>IF(G4830="Sim",IF(OR(F4830="",D4830="",L4830=""),"",IF(L4830="Sim",ROUND(F4830-D4830,2),0)),0)</f>
        <v/>
      </c>
      <c r="I4830" s="350">
        <f>IF(G4830="Sim",0,IF(OR(F4830="",L4830=""),"",F4830))</f>
        <v/>
      </c>
      <c r="J4830" s="350">
        <f>IF(G4830="Sim",0,IF(OR(F4830="",D4830="",L4830=""),"",IF(L4830="Sim",ROUND(F4830-D4830,2),0)))</f>
        <v/>
      </c>
      <c r="K4830" s="97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inlineStr">
        <is>
          <t>Nao</t>
        </is>
      </c>
      <c r="W4830" s="110" t="inlineStr">
        <is>
          <t>PC em analise</t>
        </is>
      </c>
      <c r="X4830" s="110" t="inlineStr">
        <is>
          <t>Pedido de Compra</t>
        </is>
      </c>
      <c r="Y4830" s="111" t="inlineStr">
        <is>
          <t>Impacto Potencial</t>
        </is>
      </c>
      <c r="Z4830" s="111" t="inlineStr">
        <is>
          <t>PC</t>
        </is>
      </c>
      <c r="AA4830" s="111" t="inlineStr">
        <is>
          <t>Nao</t>
        </is>
      </c>
      <c r="AB4830" s="111" t="inlineStr">
        <is>
          <t>NAO_COMPUTADO</t>
        </is>
      </c>
      <c r="AC4830" s="112" t="inlineStr">
        <is>
          <t>Estrutura Fase 1: sem impacto no VTA oficial</t>
        </is>
      </c>
    </row>
    <row r="4831" ht="25.5" customHeight="1" s="289">
      <c r="A4831" s="205" t="n"/>
      <c r="B4831" s="207" t="n"/>
      <c r="C4831" s="104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348" t="n"/>
      <c r="E4831" s="349">
        <f>IF(C4831="","",IFERROR(VLOOKUP(C4831,parametros!$A$11:$E$15,5,0),""))</f>
        <v/>
      </c>
      <c r="F4831" s="335">
        <f>IF(OR(D4831="",E4831=""),"",ROUND(D4831*E4831,2))</f>
        <v/>
      </c>
      <c r="G4831" s="106" t="n"/>
      <c r="H4831" s="350">
        <f>IF(G4831="Sim",IF(OR(F4831="",D4831="",L4831=""),"",IF(L4831="Sim",ROUND(F4831-D4831,2),0)),0)</f>
        <v/>
      </c>
      <c r="I4831" s="350">
        <f>IF(G4831="Sim",0,IF(OR(F4831="",L4831=""),"",F4831))</f>
        <v/>
      </c>
      <c r="J4831" s="350">
        <f>IF(G4831="Sim",0,IF(OR(F4831="",D4831="",L4831=""),"",IF(L4831="Sim",ROUND(F4831-D4831,2),0)))</f>
        <v/>
      </c>
      <c r="K4831" s="97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inlineStr">
        <is>
          <t>Nao</t>
        </is>
      </c>
      <c r="W4831" s="110" t="inlineStr">
        <is>
          <t>PC em analise</t>
        </is>
      </c>
      <c r="X4831" s="110" t="inlineStr">
        <is>
          <t>Pedido de Compra</t>
        </is>
      </c>
      <c r="Y4831" s="111" t="inlineStr">
        <is>
          <t>Impacto Potencial</t>
        </is>
      </c>
      <c r="Z4831" s="111" t="inlineStr">
        <is>
          <t>PC</t>
        </is>
      </c>
      <c r="AA4831" s="111" t="inlineStr">
        <is>
          <t>Nao</t>
        </is>
      </c>
      <c r="AB4831" s="111" t="inlineStr">
        <is>
          <t>NAO_COMPUTADO</t>
        </is>
      </c>
      <c r="AC4831" s="112" t="inlineStr">
        <is>
          <t>Estrutura Fase 1: sem impacto no VTA oficial</t>
        </is>
      </c>
    </row>
    <row r="4832" ht="25.5" customHeight="1" s="289">
      <c r="A4832" s="205" t="n"/>
      <c r="B4832" s="207" t="n"/>
      <c r="C4832" s="104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348" t="n"/>
      <c r="E4832" s="349">
        <f>IF(C4832="","",IFERROR(VLOOKUP(C4832,parametros!$A$11:$E$15,5,0),""))</f>
        <v/>
      </c>
      <c r="F4832" s="335">
        <f>IF(OR(D4832="",E4832=""),"",ROUND(D4832*E4832,2))</f>
        <v/>
      </c>
      <c r="G4832" s="106" t="n"/>
      <c r="H4832" s="350">
        <f>IF(G4832="Sim",IF(OR(F4832="",D4832="",L4832=""),"",IF(L4832="Sim",ROUND(F4832-D4832,2),0)),0)</f>
        <v/>
      </c>
      <c r="I4832" s="350">
        <f>IF(G4832="Sim",0,IF(OR(F4832="",L4832=""),"",F4832))</f>
        <v/>
      </c>
      <c r="J4832" s="350">
        <f>IF(G4832="Sim",0,IF(OR(F4832="",D4832="",L4832=""),"",IF(L4832="Sim",ROUND(F4832-D4832,2),0)))</f>
        <v/>
      </c>
      <c r="K4832" s="97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inlineStr">
        <is>
          <t>Nao</t>
        </is>
      </c>
      <c r="W4832" s="110" t="inlineStr">
        <is>
          <t>PC em analise</t>
        </is>
      </c>
      <c r="X4832" s="110" t="inlineStr">
        <is>
          <t>Pedido de Compra</t>
        </is>
      </c>
      <c r="Y4832" s="111" t="inlineStr">
        <is>
          <t>Impacto Potencial</t>
        </is>
      </c>
      <c r="Z4832" s="111" t="inlineStr">
        <is>
          <t>PC</t>
        </is>
      </c>
      <c r="AA4832" s="111" t="inlineStr">
        <is>
          <t>Nao</t>
        </is>
      </c>
      <c r="AB4832" s="111" t="inlineStr">
        <is>
          <t>NAO_COMPUTADO</t>
        </is>
      </c>
      <c r="AC4832" s="112" t="inlineStr">
        <is>
          <t>Estrutura Fase 1: sem impacto no VTA oficial</t>
        </is>
      </c>
    </row>
    <row r="4833" ht="25.5" customHeight="1" s="289">
      <c r="A4833" s="205" t="n"/>
      <c r="B4833" s="207" t="n"/>
      <c r="C4833" s="104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348" t="n"/>
      <c r="E4833" s="349">
        <f>IF(C4833="","",IFERROR(VLOOKUP(C4833,parametros!$A$11:$E$15,5,0),""))</f>
        <v/>
      </c>
      <c r="F4833" s="335">
        <f>IF(OR(D4833="",E4833=""),"",ROUND(D4833*E4833,2))</f>
        <v/>
      </c>
      <c r="G4833" s="106" t="n"/>
      <c r="H4833" s="350">
        <f>IF(G4833="Sim",IF(OR(F4833="",D4833="",L4833=""),"",IF(L4833="Sim",ROUND(F4833-D4833,2),0)),0)</f>
        <v/>
      </c>
      <c r="I4833" s="350">
        <f>IF(G4833="Sim",0,IF(OR(F4833="",L4833=""),"",F4833))</f>
        <v/>
      </c>
      <c r="J4833" s="350">
        <f>IF(G4833="Sim",0,IF(OR(F4833="",D4833="",L4833=""),"",IF(L4833="Sim",ROUND(F4833-D4833,2),0)))</f>
        <v/>
      </c>
      <c r="K4833" s="97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inlineStr">
        <is>
          <t>Nao</t>
        </is>
      </c>
      <c r="W4833" s="110" t="inlineStr">
        <is>
          <t>PC em analise</t>
        </is>
      </c>
      <c r="X4833" s="110" t="inlineStr">
        <is>
          <t>Pedido de Compra</t>
        </is>
      </c>
      <c r="Y4833" s="111" t="inlineStr">
        <is>
          <t>Impacto Potencial</t>
        </is>
      </c>
      <c r="Z4833" s="111" t="inlineStr">
        <is>
          <t>PC</t>
        </is>
      </c>
      <c r="AA4833" s="111" t="inlineStr">
        <is>
          <t>Nao</t>
        </is>
      </c>
      <c r="AB4833" s="111" t="inlineStr">
        <is>
          <t>NAO_COMPUTADO</t>
        </is>
      </c>
      <c r="AC4833" s="112" t="inlineStr">
        <is>
          <t>Estrutura Fase 1: sem impacto no VTA oficial</t>
        </is>
      </c>
    </row>
    <row r="4834" ht="25.5" customHeight="1" s="289">
      <c r="A4834" s="205" t="n"/>
      <c r="B4834" s="207" t="n"/>
      <c r="C4834" s="104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348" t="n"/>
      <c r="E4834" s="349">
        <f>IF(C4834="","",IFERROR(VLOOKUP(C4834,parametros!$A$11:$E$15,5,0),""))</f>
        <v/>
      </c>
      <c r="F4834" s="335">
        <f>IF(OR(D4834="",E4834=""),"",ROUND(D4834*E4834,2))</f>
        <v/>
      </c>
      <c r="G4834" s="106" t="n"/>
      <c r="H4834" s="350">
        <f>IF(G4834="Sim",IF(OR(F4834="",D4834="",L4834=""),"",IF(L4834="Sim",ROUND(F4834-D4834,2),0)),0)</f>
        <v/>
      </c>
      <c r="I4834" s="350">
        <f>IF(G4834="Sim",0,IF(OR(F4834="",L4834=""),"",F4834))</f>
        <v/>
      </c>
      <c r="J4834" s="350">
        <f>IF(G4834="Sim",0,IF(OR(F4834="",D4834="",L4834=""),"",IF(L4834="Sim",ROUND(F4834-D4834,2),0)))</f>
        <v/>
      </c>
      <c r="K4834" s="97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inlineStr">
        <is>
          <t>Nao</t>
        </is>
      </c>
      <c r="W4834" s="110" t="inlineStr">
        <is>
          <t>PC em analise</t>
        </is>
      </c>
      <c r="X4834" s="110" t="inlineStr">
        <is>
          <t>Pedido de Compra</t>
        </is>
      </c>
      <c r="Y4834" s="111" t="inlineStr">
        <is>
          <t>Impacto Potencial</t>
        </is>
      </c>
      <c r="Z4834" s="111" t="inlineStr">
        <is>
          <t>PC</t>
        </is>
      </c>
      <c r="AA4834" s="111" t="inlineStr">
        <is>
          <t>Nao</t>
        </is>
      </c>
      <c r="AB4834" s="111" t="inlineStr">
        <is>
          <t>NAO_COMPUTADO</t>
        </is>
      </c>
      <c r="AC4834" s="112" t="inlineStr">
        <is>
          <t>Estrutura Fase 1: sem impacto no VTA oficial</t>
        </is>
      </c>
    </row>
    <row r="4835" ht="25.5" customHeight="1" s="289">
      <c r="A4835" s="205" t="n"/>
      <c r="B4835" s="207" t="n"/>
      <c r="C4835" s="104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348" t="n"/>
      <c r="E4835" s="349">
        <f>IF(C4835="","",IFERROR(VLOOKUP(C4835,parametros!$A$11:$E$15,5,0),""))</f>
        <v/>
      </c>
      <c r="F4835" s="335">
        <f>IF(OR(D4835="",E4835=""),"",ROUND(D4835*E4835,2))</f>
        <v/>
      </c>
      <c r="G4835" s="106" t="n"/>
      <c r="H4835" s="350">
        <f>IF(G4835="Sim",IF(OR(F4835="",D4835="",L4835=""),"",IF(L4835="Sim",ROUND(F4835-D4835,2),0)),0)</f>
        <v/>
      </c>
      <c r="I4835" s="350">
        <f>IF(G4835="Sim",0,IF(OR(F4835="",L4835=""),"",F4835))</f>
        <v/>
      </c>
      <c r="J4835" s="350">
        <f>IF(G4835="Sim",0,IF(OR(F4835="",D4835="",L4835=""),"",IF(L4835="Sim",ROUND(F4835-D4835,2),0)))</f>
        <v/>
      </c>
      <c r="K4835" s="97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inlineStr">
        <is>
          <t>Nao</t>
        </is>
      </c>
      <c r="W4835" s="110" t="inlineStr">
        <is>
          <t>PC em analise</t>
        </is>
      </c>
      <c r="X4835" s="110" t="inlineStr">
        <is>
          <t>Pedido de Compra</t>
        </is>
      </c>
      <c r="Y4835" s="111" t="inlineStr">
        <is>
          <t>Impacto Potencial</t>
        </is>
      </c>
      <c r="Z4835" s="111" t="inlineStr">
        <is>
          <t>PC</t>
        </is>
      </c>
      <c r="AA4835" s="111" t="inlineStr">
        <is>
          <t>Nao</t>
        </is>
      </c>
      <c r="AB4835" s="111" t="inlineStr">
        <is>
          <t>NAO_COMPUTADO</t>
        </is>
      </c>
      <c r="AC4835" s="112" t="inlineStr">
        <is>
          <t>Estrutura Fase 1: sem impacto no VTA oficial</t>
        </is>
      </c>
    </row>
    <row r="4836" ht="25.5" customHeight="1" s="289">
      <c r="A4836" s="205" t="n"/>
      <c r="B4836" s="207" t="n"/>
      <c r="C4836" s="104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348" t="n"/>
      <c r="E4836" s="349">
        <f>IF(C4836="","",IFERROR(VLOOKUP(C4836,parametros!$A$11:$E$15,5,0),""))</f>
        <v/>
      </c>
      <c r="F4836" s="335">
        <f>IF(OR(D4836="",E4836=""),"",ROUND(D4836*E4836,2))</f>
        <v/>
      </c>
      <c r="G4836" s="106" t="n"/>
      <c r="H4836" s="350">
        <f>IF(G4836="Sim",IF(OR(F4836="",D4836="",L4836=""),"",IF(L4836="Sim",ROUND(F4836-D4836,2),0)),0)</f>
        <v/>
      </c>
      <c r="I4836" s="350">
        <f>IF(G4836="Sim",0,IF(OR(F4836="",L4836=""),"",F4836))</f>
        <v/>
      </c>
      <c r="J4836" s="350">
        <f>IF(G4836="Sim",0,IF(OR(F4836="",D4836="",L4836=""),"",IF(L4836="Sim",ROUND(F4836-D4836,2),0)))</f>
        <v/>
      </c>
      <c r="K4836" s="97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inlineStr">
        <is>
          <t>Nao</t>
        </is>
      </c>
      <c r="W4836" s="110" t="inlineStr">
        <is>
          <t>PC em analise</t>
        </is>
      </c>
      <c r="X4836" s="110" t="inlineStr">
        <is>
          <t>Pedido de Compra</t>
        </is>
      </c>
      <c r="Y4836" s="111" t="inlineStr">
        <is>
          <t>Impacto Potencial</t>
        </is>
      </c>
      <c r="Z4836" s="111" t="inlineStr">
        <is>
          <t>PC</t>
        </is>
      </c>
      <c r="AA4836" s="111" t="inlineStr">
        <is>
          <t>Nao</t>
        </is>
      </c>
      <c r="AB4836" s="111" t="inlineStr">
        <is>
          <t>NAO_COMPUTADO</t>
        </is>
      </c>
      <c r="AC4836" s="112" t="inlineStr">
        <is>
          <t>Estrutura Fase 1: sem impacto no VTA oficial</t>
        </is>
      </c>
    </row>
    <row r="4837" ht="25.5" customHeight="1" s="289">
      <c r="A4837" s="205" t="n"/>
      <c r="B4837" s="207" t="n"/>
      <c r="C4837" s="104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348" t="n"/>
      <c r="E4837" s="349">
        <f>IF(C4837="","",IFERROR(VLOOKUP(C4837,parametros!$A$11:$E$15,5,0),""))</f>
        <v/>
      </c>
      <c r="F4837" s="335">
        <f>IF(OR(D4837="",E4837=""),"",ROUND(D4837*E4837,2))</f>
        <v/>
      </c>
      <c r="G4837" s="106" t="n"/>
      <c r="H4837" s="350">
        <f>IF(G4837="Sim",IF(OR(F4837="",D4837="",L4837=""),"",IF(L4837="Sim",ROUND(F4837-D4837,2),0)),0)</f>
        <v/>
      </c>
      <c r="I4837" s="350">
        <f>IF(G4837="Sim",0,IF(OR(F4837="",L4837=""),"",F4837))</f>
        <v/>
      </c>
      <c r="J4837" s="350">
        <f>IF(G4837="Sim",0,IF(OR(F4837="",D4837="",L4837=""),"",IF(L4837="Sim",ROUND(F4837-D4837,2),0)))</f>
        <v/>
      </c>
      <c r="K4837" s="97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inlineStr">
        <is>
          <t>Nao</t>
        </is>
      </c>
      <c r="W4837" s="110" t="inlineStr">
        <is>
          <t>PC em analise</t>
        </is>
      </c>
      <c r="X4837" s="110" t="inlineStr">
        <is>
          <t>Pedido de Compra</t>
        </is>
      </c>
      <c r="Y4837" s="111" t="inlineStr">
        <is>
          <t>Impacto Potencial</t>
        </is>
      </c>
      <c r="Z4837" s="111" t="inlineStr">
        <is>
          <t>PC</t>
        </is>
      </c>
      <c r="AA4837" s="111" t="inlineStr">
        <is>
          <t>Nao</t>
        </is>
      </c>
      <c r="AB4837" s="111" t="inlineStr">
        <is>
          <t>NAO_COMPUTADO</t>
        </is>
      </c>
      <c r="AC4837" s="112" t="inlineStr">
        <is>
          <t>Estrutura Fase 1: sem impacto no VTA oficial</t>
        </is>
      </c>
    </row>
    <row r="4838" ht="25.5" customHeight="1" s="289">
      <c r="A4838" s="205" t="n"/>
      <c r="B4838" s="207" t="n"/>
      <c r="C4838" s="104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348" t="n"/>
      <c r="E4838" s="349">
        <f>IF(C4838="","",IFERROR(VLOOKUP(C4838,parametros!$A$11:$E$15,5,0),""))</f>
        <v/>
      </c>
      <c r="F4838" s="335">
        <f>IF(OR(D4838="",E4838=""),"",ROUND(D4838*E4838,2))</f>
        <v/>
      </c>
      <c r="G4838" s="106" t="n"/>
      <c r="H4838" s="350">
        <f>IF(G4838="Sim",IF(OR(F4838="",D4838="",L4838=""),"",IF(L4838="Sim",ROUND(F4838-D4838,2),0)),0)</f>
        <v/>
      </c>
      <c r="I4838" s="350">
        <f>IF(G4838="Sim",0,IF(OR(F4838="",L4838=""),"",F4838))</f>
        <v/>
      </c>
      <c r="J4838" s="350">
        <f>IF(G4838="Sim",0,IF(OR(F4838="",D4838="",L4838=""),"",IF(L4838="Sim",ROUND(F4838-D4838,2),0)))</f>
        <v/>
      </c>
      <c r="K4838" s="97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inlineStr">
        <is>
          <t>Nao</t>
        </is>
      </c>
      <c r="W4838" s="110" t="inlineStr">
        <is>
          <t>PC em analise</t>
        </is>
      </c>
      <c r="X4838" s="110" t="inlineStr">
        <is>
          <t>Pedido de Compra</t>
        </is>
      </c>
      <c r="Y4838" s="111" t="inlineStr">
        <is>
          <t>Impacto Potencial</t>
        </is>
      </c>
      <c r="Z4838" s="111" t="inlineStr">
        <is>
          <t>PC</t>
        </is>
      </c>
      <c r="AA4838" s="111" t="inlineStr">
        <is>
          <t>Nao</t>
        </is>
      </c>
      <c r="AB4838" s="111" t="inlineStr">
        <is>
          <t>NAO_COMPUTADO</t>
        </is>
      </c>
      <c r="AC4838" s="112" t="inlineStr">
        <is>
          <t>Estrutura Fase 1: sem impacto no VTA oficial</t>
        </is>
      </c>
    </row>
    <row r="4839" ht="25.5" customHeight="1" s="289">
      <c r="A4839" s="205" t="n"/>
      <c r="B4839" s="207" t="n"/>
      <c r="C4839" s="104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348" t="n"/>
      <c r="E4839" s="349">
        <f>IF(C4839="","",IFERROR(VLOOKUP(C4839,parametros!$A$11:$E$15,5,0),""))</f>
        <v/>
      </c>
      <c r="F4839" s="335">
        <f>IF(OR(D4839="",E4839=""),"",ROUND(D4839*E4839,2))</f>
        <v/>
      </c>
      <c r="G4839" s="106" t="n"/>
      <c r="H4839" s="350">
        <f>IF(G4839="Sim",IF(OR(F4839="",D4839="",L4839=""),"",IF(L4839="Sim",ROUND(F4839-D4839,2),0)),0)</f>
        <v/>
      </c>
      <c r="I4839" s="350">
        <f>IF(G4839="Sim",0,IF(OR(F4839="",L4839=""),"",F4839))</f>
        <v/>
      </c>
      <c r="J4839" s="350">
        <f>IF(G4839="Sim",0,IF(OR(F4839="",D4839="",L4839=""),"",IF(L4839="Sim",ROUND(F4839-D4839,2),0)))</f>
        <v/>
      </c>
      <c r="K4839" s="97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inlineStr">
        <is>
          <t>Nao</t>
        </is>
      </c>
      <c r="W4839" s="110" t="inlineStr">
        <is>
          <t>PC em analise</t>
        </is>
      </c>
      <c r="X4839" s="110" t="inlineStr">
        <is>
          <t>Pedido de Compra</t>
        </is>
      </c>
      <c r="Y4839" s="111" t="inlineStr">
        <is>
          <t>Impacto Potencial</t>
        </is>
      </c>
      <c r="Z4839" s="111" t="inlineStr">
        <is>
          <t>PC</t>
        </is>
      </c>
      <c r="AA4839" s="111" t="inlineStr">
        <is>
          <t>Nao</t>
        </is>
      </c>
      <c r="AB4839" s="111" t="inlineStr">
        <is>
          <t>NAO_COMPUTADO</t>
        </is>
      </c>
      <c r="AC4839" s="112" t="inlineStr">
        <is>
          <t>Estrutura Fase 1: sem impacto no VTA oficial</t>
        </is>
      </c>
    </row>
    <row r="4840" ht="25.5" customHeight="1" s="289">
      <c r="A4840" s="205" t="n"/>
      <c r="B4840" s="207" t="n"/>
      <c r="C4840" s="104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348" t="n"/>
      <c r="E4840" s="349">
        <f>IF(C4840="","",IFERROR(VLOOKUP(C4840,parametros!$A$11:$E$15,5,0),""))</f>
        <v/>
      </c>
      <c r="F4840" s="335">
        <f>IF(OR(D4840="",E4840=""),"",ROUND(D4840*E4840,2))</f>
        <v/>
      </c>
      <c r="G4840" s="106" t="n"/>
      <c r="H4840" s="350">
        <f>IF(G4840="Sim",IF(OR(F4840="",D4840="",L4840=""),"",IF(L4840="Sim",ROUND(F4840-D4840,2),0)),0)</f>
        <v/>
      </c>
      <c r="I4840" s="350">
        <f>IF(G4840="Sim",0,IF(OR(F4840="",L4840=""),"",F4840))</f>
        <v/>
      </c>
      <c r="J4840" s="350">
        <f>IF(G4840="Sim",0,IF(OR(F4840="",D4840="",L4840=""),"",IF(L4840="Sim",ROUND(F4840-D4840,2),0)))</f>
        <v/>
      </c>
      <c r="K4840" s="97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inlineStr">
        <is>
          <t>Nao</t>
        </is>
      </c>
      <c r="W4840" s="110" t="inlineStr">
        <is>
          <t>PC em analise</t>
        </is>
      </c>
      <c r="X4840" s="110" t="inlineStr">
        <is>
          <t>Pedido de Compra</t>
        </is>
      </c>
      <c r="Y4840" s="111" t="inlineStr">
        <is>
          <t>Impacto Potencial</t>
        </is>
      </c>
      <c r="Z4840" s="111" t="inlineStr">
        <is>
          <t>PC</t>
        </is>
      </c>
      <c r="AA4840" s="111" t="inlineStr">
        <is>
          <t>Nao</t>
        </is>
      </c>
      <c r="AB4840" s="111" t="inlineStr">
        <is>
          <t>NAO_COMPUTADO</t>
        </is>
      </c>
      <c r="AC4840" s="112" t="inlineStr">
        <is>
          <t>Estrutura Fase 1: sem impacto no VTA oficial</t>
        </is>
      </c>
    </row>
    <row r="4841" ht="25.5" customHeight="1" s="289">
      <c r="A4841" s="205" t="n"/>
      <c r="B4841" s="207" t="n"/>
      <c r="C4841" s="104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348" t="n"/>
      <c r="E4841" s="349">
        <f>IF(C4841="","",IFERROR(VLOOKUP(C4841,parametros!$A$11:$E$15,5,0),""))</f>
        <v/>
      </c>
      <c r="F4841" s="335">
        <f>IF(OR(D4841="",E4841=""),"",ROUND(D4841*E4841,2))</f>
        <v/>
      </c>
      <c r="G4841" s="106" t="n"/>
      <c r="H4841" s="350">
        <f>IF(G4841="Sim",IF(OR(F4841="",D4841="",L4841=""),"",IF(L4841="Sim",ROUND(F4841-D4841,2),0)),0)</f>
        <v/>
      </c>
      <c r="I4841" s="350">
        <f>IF(G4841="Sim",0,IF(OR(F4841="",L4841=""),"",F4841))</f>
        <v/>
      </c>
      <c r="J4841" s="350">
        <f>IF(G4841="Sim",0,IF(OR(F4841="",D4841="",L4841=""),"",IF(L4841="Sim",ROUND(F4841-D4841,2),0)))</f>
        <v/>
      </c>
      <c r="K4841" s="97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inlineStr">
        <is>
          <t>Nao</t>
        </is>
      </c>
      <c r="W4841" s="110" t="inlineStr">
        <is>
          <t>PC em analise</t>
        </is>
      </c>
      <c r="X4841" s="110" t="inlineStr">
        <is>
          <t>Pedido de Compra</t>
        </is>
      </c>
      <c r="Y4841" s="111" t="inlineStr">
        <is>
          <t>Impacto Potencial</t>
        </is>
      </c>
      <c r="Z4841" s="111" t="inlineStr">
        <is>
          <t>PC</t>
        </is>
      </c>
      <c r="AA4841" s="111" t="inlineStr">
        <is>
          <t>Nao</t>
        </is>
      </c>
      <c r="AB4841" s="111" t="inlineStr">
        <is>
          <t>NAO_COMPUTADO</t>
        </is>
      </c>
      <c r="AC4841" s="112" t="inlineStr">
        <is>
          <t>Estrutura Fase 1: sem impacto no VTA oficial</t>
        </is>
      </c>
    </row>
    <row r="4842" ht="25.5" customHeight="1" s="289">
      <c r="A4842" s="205" t="n"/>
      <c r="B4842" s="207" t="n"/>
      <c r="C4842" s="104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348" t="n"/>
      <c r="E4842" s="349">
        <f>IF(C4842="","",IFERROR(VLOOKUP(C4842,parametros!$A$11:$E$15,5,0),""))</f>
        <v/>
      </c>
      <c r="F4842" s="335">
        <f>IF(OR(D4842="",E4842=""),"",ROUND(D4842*E4842,2))</f>
        <v/>
      </c>
      <c r="G4842" s="106" t="n"/>
      <c r="H4842" s="350">
        <f>IF(G4842="Sim",IF(OR(F4842="",D4842="",L4842=""),"",IF(L4842="Sim",ROUND(F4842-D4842,2),0)),0)</f>
        <v/>
      </c>
      <c r="I4842" s="350">
        <f>IF(G4842="Sim",0,IF(OR(F4842="",L4842=""),"",F4842))</f>
        <v/>
      </c>
      <c r="J4842" s="350">
        <f>IF(G4842="Sim",0,IF(OR(F4842="",D4842="",L4842=""),"",IF(L4842="Sim",ROUND(F4842-D4842,2),0)))</f>
        <v/>
      </c>
      <c r="K4842" s="97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inlineStr">
        <is>
          <t>Nao</t>
        </is>
      </c>
      <c r="W4842" s="110" t="inlineStr">
        <is>
          <t>PC em analise</t>
        </is>
      </c>
      <c r="X4842" s="110" t="inlineStr">
        <is>
          <t>Pedido de Compra</t>
        </is>
      </c>
      <c r="Y4842" s="111" t="inlineStr">
        <is>
          <t>Impacto Potencial</t>
        </is>
      </c>
      <c r="Z4842" s="111" t="inlineStr">
        <is>
          <t>PC</t>
        </is>
      </c>
      <c r="AA4842" s="111" t="inlineStr">
        <is>
          <t>Nao</t>
        </is>
      </c>
      <c r="AB4842" s="111" t="inlineStr">
        <is>
          <t>NAO_COMPUTADO</t>
        </is>
      </c>
      <c r="AC4842" s="112" t="inlineStr">
        <is>
          <t>Estrutura Fase 1: sem impacto no VTA oficial</t>
        </is>
      </c>
    </row>
    <row r="4843" ht="25.5" customHeight="1" s="289">
      <c r="A4843" s="205" t="n"/>
      <c r="B4843" s="207" t="n"/>
      <c r="C4843" s="104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348" t="n"/>
      <c r="E4843" s="349">
        <f>IF(C4843="","",IFERROR(VLOOKUP(C4843,parametros!$A$11:$E$15,5,0),""))</f>
        <v/>
      </c>
      <c r="F4843" s="335">
        <f>IF(OR(D4843="",E4843=""),"",ROUND(D4843*E4843,2))</f>
        <v/>
      </c>
      <c r="G4843" s="106" t="n"/>
      <c r="H4843" s="350">
        <f>IF(G4843="Sim",IF(OR(F4843="",D4843="",L4843=""),"",IF(L4843="Sim",ROUND(F4843-D4843,2),0)),0)</f>
        <v/>
      </c>
      <c r="I4843" s="350">
        <f>IF(G4843="Sim",0,IF(OR(F4843="",L4843=""),"",F4843))</f>
        <v/>
      </c>
      <c r="J4843" s="350">
        <f>IF(G4843="Sim",0,IF(OR(F4843="",D4843="",L4843=""),"",IF(L4843="Sim",ROUND(F4843-D4843,2),0)))</f>
        <v/>
      </c>
      <c r="K4843" s="97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inlineStr">
        <is>
          <t>Nao</t>
        </is>
      </c>
      <c r="W4843" s="110" t="inlineStr">
        <is>
          <t>PC em analise</t>
        </is>
      </c>
      <c r="X4843" s="110" t="inlineStr">
        <is>
          <t>Pedido de Compra</t>
        </is>
      </c>
      <c r="Y4843" s="111" t="inlineStr">
        <is>
          <t>Impacto Potencial</t>
        </is>
      </c>
      <c r="Z4843" s="111" t="inlineStr">
        <is>
          <t>PC</t>
        </is>
      </c>
      <c r="AA4843" s="111" t="inlineStr">
        <is>
          <t>Nao</t>
        </is>
      </c>
      <c r="AB4843" s="111" t="inlineStr">
        <is>
          <t>NAO_COMPUTADO</t>
        </is>
      </c>
      <c r="AC4843" s="112" t="inlineStr">
        <is>
          <t>Estrutura Fase 1: sem impacto no VTA oficial</t>
        </is>
      </c>
    </row>
    <row r="4844" ht="25.5" customHeight="1" s="289">
      <c r="A4844" s="205" t="n"/>
      <c r="B4844" s="207" t="n"/>
      <c r="C4844" s="104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348" t="n"/>
      <c r="E4844" s="349">
        <f>IF(C4844="","",IFERROR(VLOOKUP(C4844,parametros!$A$11:$E$15,5,0),""))</f>
        <v/>
      </c>
      <c r="F4844" s="335">
        <f>IF(OR(D4844="",E4844=""),"",ROUND(D4844*E4844,2))</f>
        <v/>
      </c>
      <c r="G4844" s="106" t="n"/>
      <c r="H4844" s="350">
        <f>IF(G4844="Sim",IF(OR(F4844="",D4844="",L4844=""),"",IF(L4844="Sim",ROUND(F4844-D4844,2),0)),0)</f>
        <v/>
      </c>
      <c r="I4844" s="350">
        <f>IF(G4844="Sim",0,IF(OR(F4844="",L4844=""),"",F4844))</f>
        <v/>
      </c>
      <c r="J4844" s="350">
        <f>IF(G4844="Sim",0,IF(OR(F4844="",D4844="",L4844=""),"",IF(L4844="Sim",ROUND(F4844-D4844,2),0)))</f>
        <v/>
      </c>
      <c r="K4844" s="97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inlineStr">
        <is>
          <t>Nao</t>
        </is>
      </c>
      <c r="W4844" s="110" t="inlineStr">
        <is>
          <t>PC em analise</t>
        </is>
      </c>
      <c r="X4844" s="110" t="inlineStr">
        <is>
          <t>Pedido de Compra</t>
        </is>
      </c>
      <c r="Y4844" s="111" t="inlineStr">
        <is>
          <t>Impacto Potencial</t>
        </is>
      </c>
      <c r="Z4844" s="111" t="inlineStr">
        <is>
          <t>PC</t>
        </is>
      </c>
      <c r="AA4844" s="111" t="inlineStr">
        <is>
          <t>Nao</t>
        </is>
      </c>
      <c r="AB4844" s="111" t="inlineStr">
        <is>
          <t>NAO_COMPUTADO</t>
        </is>
      </c>
      <c r="AC4844" s="112" t="inlineStr">
        <is>
          <t>Estrutura Fase 1: sem impacto no VTA oficial</t>
        </is>
      </c>
    </row>
    <row r="4845" ht="25.5" customHeight="1" s="289">
      <c r="A4845" s="205" t="n"/>
      <c r="B4845" s="207" t="n"/>
      <c r="C4845" s="104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348" t="n"/>
      <c r="E4845" s="349">
        <f>IF(C4845="","",IFERROR(VLOOKUP(C4845,parametros!$A$11:$E$15,5,0),""))</f>
        <v/>
      </c>
      <c r="F4845" s="335">
        <f>IF(OR(D4845="",E4845=""),"",ROUND(D4845*E4845,2))</f>
        <v/>
      </c>
      <c r="G4845" s="106" t="n"/>
      <c r="H4845" s="350">
        <f>IF(G4845="Sim",IF(OR(F4845="",D4845="",L4845=""),"",IF(L4845="Sim",ROUND(F4845-D4845,2),0)),0)</f>
        <v/>
      </c>
      <c r="I4845" s="350">
        <f>IF(G4845="Sim",0,IF(OR(F4845="",L4845=""),"",F4845))</f>
        <v/>
      </c>
      <c r="J4845" s="350">
        <f>IF(G4845="Sim",0,IF(OR(F4845="",D4845="",L4845=""),"",IF(L4845="Sim",ROUND(F4845-D4845,2),0)))</f>
        <v/>
      </c>
      <c r="K4845" s="97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inlineStr">
        <is>
          <t>Nao</t>
        </is>
      </c>
      <c r="W4845" s="110" t="inlineStr">
        <is>
          <t>PC em analise</t>
        </is>
      </c>
      <c r="X4845" s="110" t="inlineStr">
        <is>
          <t>Pedido de Compra</t>
        </is>
      </c>
      <c r="Y4845" s="111" t="inlineStr">
        <is>
          <t>Impacto Potencial</t>
        </is>
      </c>
      <c r="Z4845" s="111" t="inlineStr">
        <is>
          <t>PC</t>
        </is>
      </c>
      <c r="AA4845" s="111" t="inlineStr">
        <is>
          <t>Nao</t>
        </is>
      </c>
      <c r="AB4845" s="111" t="inlineStr">
        <is>
          <t>NAO_COMPUTADO</t>
        </is>
      </c>
      <c r="AC4845" s="112" t="inlineStr">
        <is>
          <t>Estrutura Fase 1: sem impacto no VTA oficial</t>
        </is>
      </c>
    </row>
    <row r="4846" ht="25.5" customHeight="1" s="289">
      <c r="A4846" s="205" t="n"/>
      <c r="B4846" s="207" t="n"/>
      <c r="C4846" s="104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348" t="n"/>
      <c r="E4846" s="349">
        <f>IF(C4846="","",IFERROR(VLOOKUP(C4846,parametros!$A$11:$E$15,5,0),""))</f>
        <v/>
      </c>
      <c r="F4846" s="335">
        <f>IF(OR(D4846="",E4846=""),"",ROUND(D4846*E4846,2))</f>
        <v/>
      </c>
      <c r="G4846" s="106" t="n"/>
      <c r="H4846" s="350">
        <f>IF(G4846="Sim",IF(OR(F4846="",D4846="",L4846=""),"",IF(L4846="Sim",ROUND(F4846-D4846,2),0)),0)</f>
        <v/>
      </c>
      <c r="I4846" s="350">
        <f>IF(G4846="Sim",0,IF(OR(F4846="",L4846=""),"",F4846))</f>
        <v/>
      </c>
      <c r="J4846" s="350">
        <f>IF(G4846="Sim",0,IF(OR(F4846="",D4846="",L4846=""),"",IF(L4846="Sim",ROUND(F4846-D4846,2),0)))</f>
        <v/>
      </c>
      <c r="K4846" s="97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inlineStr">
        <is>
          <t>Nao</t>
        </is>
      </c>
      <c r="W4846" s="110" t="inlineStr">
        <is>
          <t>PC em analise</t>
        </is>
      </c>
      <c r="X4846" s="110" t="inlineStr">
        <is>
          <t>Pedido de Compra</t>
        </is>
      </c>
      <c r="Y4846" s="111" t="inlineStr">
        <is>
          <t>Impacto Potencial</t>
        </is>
      </c>
      <c r="Z4846" s="111" t="inlineStr">
        <is>
          <t>PC</t>
        </is>
      </c>
      <c r="AA4846" s="111" t="inlineStr">
        <is>
          <t>Nao</t>
        </is>
      </c>
      <c r="AB4846" s="111" t="inlineStr">
        <is>
          <t>NAO_COMPUTADO</t>
        </is>
      </c>
      <c r="AC4846" s="112" t="inlineStr">
        <is>
          <t>Estrutura Fase 1: sem impacto no VTA oficial</t>
        </is>
      </c>
    </row>
    <row r="4847" ht="25.5" customHeight="1" s="289">
      <c r="A4847" s="205" t="n"/>
      <c r="B4847" s="207" t="n"/>
      <c r="C4847" s="104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348" t="n"/>
      <c r="E4847" s="349">
        <f>IF(C4847="","",IFERROR(VLOOKUP(C4847,parametros!$A$11:$E$15,5,0),""))</f>
        <v/>
      </c>
      <c r="F4847" s="335">
        <f>IF(OR(D4847="",E4847=""),"",ROUND(D4847*E4847,2))</f>
        <v/>
      </c>
      <c r="G4847" s="106" t="n"/>
      <c r="H4847" s="350">
        <f>IF(G4847="Sim",IF(OR(F4847="",D4847="",L4847=""),"",IF(L4847="Sim",ROUND(F4847-D4847,2),0)),0)</f>
        <v/>
      </c>
      <c r="I4847" s="350">
        <f>IF(G4847="Sim",0,IF(OR(F4847="",L4847=""),"",F4847))</f>
        <v/>
      </c>
      <c r="J4847" s="350">
        <f>IF(G4847="Sim",0,IF(OR(F4847="",D4847="",L4847=""),"",IF(L4847="Sim",ROUND(F4847-D4847,2),0)))</f>
        <v/>
      </c>
      <c r="K4847" s="97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inlineStr">
        <is>
          <t>Nao</t>
        </is>
      </c>
      <c r="W4847" s="110" t="inlineStr">
        <is>
          <t>PC em analise</t>
        </is>
      </c>
      <c r="X4847" s="110" t="inlineStr">
        <is>
          <t>Pedido de Compra</t>
        </is>
      </c>
      <c r="Y4847" s="111" t="inlineStr">
        <is>
          <t>Impacto Potencial</t>
        </is>
      </c>
      <c r="Z4847" s="111" t="inlineStr">
        <is>
          <t>PC</t>
        </is>
      </c>
      <c r="AA4847" s="111" t="inlineStr">
        <is>
          <t>Nao</t>
        </is>
      </c>
      <c r="AB4847" s="111" t="inlineStr">
        <is>
          <t>NAO_COMPUTADO</t>
        </is>
      </c>
      <c r="AC4847" s="112" t="inlineStr">
        <is>
          <t>Estrutura Fase 1: sem impacto no VTA oficial</t>
        </is>
      </c>
    </row>
    <row r="4848" ht="25.5" customHeight="1" s="289">
      <c r="A4848" s="205" t="n"/>
      <c r="B4848" s="207" t="n"/>
      <c r="C4848" s="104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348" t="n"/>
      <c r="E4848" s="349">
        <f>IF(C4848="","",IFERROR(VLOOKUP(C4848,parametros!$A$11:$E$15,5,0),""))</f>
        <v/>
      </c>
      <c r="F4848" s="335">
        <f>IF(OR(D4848="",E4848=""),"",ROUND(D4848*E4848,2))</f>
        <v/>
      </c>
      <c r="G4848" s="106" t="n"/>
      <c r="H4848" s="350">
        <f>IF(G4848="Sim",IF(OR(F4848="",D4848="",L4848=""),"",IF(L4848="Sim",ROUND(F4848-D4848,2),0)),0)</f>
        <v/>
      </c>
      <c r="I4848" s="350">
        <f>IF(G4848="Sim",0,IF(OR(F4848="",L4848=""),"",F4848))</f>
        <v/>
      </c>
      <c r="J4848" s="350">
        <f>IF(G4848="Sim",0,IF(OR(F4848="",D4848="",L4848=""),"",IF(L4848="Sim",ROUND(F4848-D4848,2),0)))</f>
        <v/>
      </c>
      <c r="K4848" s="97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inlineStr">
        <is>
          <t>Nao</t>
        </is>
      </c>
      <c r="W4848" s="110" t="inlineStr">
        <is>
          <t>PC em analise</t>
        </is>
      </c>
      <c r="X4848" s="110" t="inlineStr">
        <is>
          <t>Pedido de Compra</t>
        </is>
      </c>
      <c r="Y4848" s="111" t="inlineStr">
        <is>
          <t>Impacto Potencial</t>
        </is>
      </c>
      <c r="Z4848" s="111" t="inlineStr">
        <is>
          <t>PC</t>
        </is>
      </c>
      <c r="AA4848" s="111" t="inlineStr">
        <is>
          <t>Nao</t>
        </is>
      </c>
      <c r="AB4848" s="111" t="inlineStr">
        <is>
          <t>NAO_COMPUTADO</t>
        </is>
      </c>
      <c r="AC4848" s="112" t="inlineStr">
        <is>
          <t>Estrutura Fase 1: sem impacto no VTA oficial</t>
        </is>
      </c>
    </row>
    <row r="4849" ht="25.5" customHeight="1" s="289">
      <c r="A4849" s="205" t="n"/>
      <c r="B4849" s="207" t="n"/>
      <c r="C4849" s="104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348" t="n"/>
      <c r="E4849" s="349">
        <f>IF(C4849="","",IFERROR(VLOOKUP(C4849,parametros!$A$11:$E$15,5,0),""))</f>
        <v/>
      </c>
      <c r="F4849" s="335">
        <f>IF(OR(D4849="",E4849=""),"",ROUND(D4849*E4849,2))</f>
        <v/>
      </c>
      <c r="G4849" s="106" t="n"/>
      <c r="H4849" s="350">
        <f>IF(G4849="Sim",IF(OR(F4849="",D4849="",L4849=""),"",IF(L4849="Sim",ROUND(F4849-D4849,2),0)),0)</f>
        <v/>
      </c>
      <c r="I4849" s="350">
        <f>IF(G4849="Sim",0,IF(OR(F4849="",L4849=""),"",F4849))</f>
        <v/>
      </c>
      <c r="J4849" s="350">
        <f>IF(G4849="Sim",0,IF(OR(F4849="",D4849="",L4849=""),"",IF(L4849="Sim",ROUND(F4849-D4849,2),0)))</f>
        <v/>
      </c>
      <c r="K4849" s="97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inlineStr">
        <is>
          <t>Nao</t>
        </is>
      </c>
      <c r="W4849" s="110" t="inlineStr">
        <is>
          <t>PC em analise</t>
        </is>
      </c>
      <c r="X4849" s="110" t="inlineStr">
        <is>
          <t>Pedido de Compra</t>
        </is>
      </c>
      <c r="Y4849" s="111" t="inlineStr">
        <is>
          <t>Impacto Potencial</t>
        </is>
      </c>
      <c r="Z4849" s="111" t="inlineStr">
        <is>
          <t>PC</t>
        </is>
      </c>
      <c r="AA4849" s="111" t="inlineStr">
        <is>
          <t>Nao</t>
        </is>
      </c>
      <c r="AB4849" s="111" t="inlineStr">
        <is>
          <t>NAO_COMPUTADO</t>
        </is>
      </c>
      <c r="AC4849" s="112" t="inlineStr">
        <is>
          <t>Estrutura Fase 1: sem impacto no VTA oficial</t>
        </is>
      </c>
    </row>
    <row r="4850" ht="25.5" customHeight="1" s="289">
      <c r="A4850" s="205" t="n"/>
      <c r="B4850" s="207" t="n"/>
      <c r="C4850" s="104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348" t="n"/>
      <c r="E4850" s="349">
        <f>IF(C4850="","",IFERROR(VLOOKUP(C4850,parametros!$A$11:$E$15,5,0),""))</f>
        <v/>
      </c>
      <c r="F4850" s="335">
        <f>IF(OR(D4850="",E4850=""),"",ROUND(D4850*E4850,2))</f>
        <v/>
      </c>
      <c r="G4850" s="106" t="n"/>
      <c r="H4850" s="350">
        <f>IF(G4850="Sim",IF(OR(F4850="",D4850="",L4850=""),"",IF(L4850="Sim",ROUND(F4850-D4850,2),0)),0)</f>
        <v/>
      </c>
      <c r="I4850" s="350">
        <f>IF(G4850="Sim",0,IF(OR(F4850="",L4850=""),"",F4850))</f>
        <v/>
      </c>
      <c r="J4850" s="350">
        <f>IF(G4850="Sim",0,IF(OR(F4850="",D4850="",L4850=""),"",IF(L4850="Sim",ROUND(F4850-D4850,2),0)))</f>
        <v/>
      </c>
      <c r="K4850" s="97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inlineStr">
        <is>
          <t>Nao</t>
        </is>
      </c>
      <c r="W4850" s="110" t="inlineStr">
        <is>
          <t>PC em analise</t>
        </is>
      </c>
      <c r="X4850" s="110" t="inlineStr">
        <is>
          <t>Pedido de Compra</t>
        </is>
      </c>
      <c r="Y4850" s="111" t="inlineStr">
        <is>
          <t>Impacto Potencial</t>
        </is>
      </c>
      <c r="Z4850" s="111" t="inlineStr">
        <is>
          <t>PC</t>
        </is>
      </c>
      <c r="AA4850" s="111" t="inlineStr">
        <is>
          <t>Nao</t>
        </is>
      </c>
      <c r="AB4850" s="111" t="inlineStr">
        <is>
          <t>NAO_COMPUTADO</t>
        </is>
      </c>
      <c r="AC4850" s="112" t="inlineStr">
        <is>
          <t>Estrutura Fase 1: sem impacto no VTA oficial</t>
        </is>
      </c>
    </row>
    <row r="4851" ht="25.5" customHeight="1" s="289">
      <c r="A4851" s="205" t="n"/>
      <c r="B4851" s="207" t="n"/>
      <c r="C4851" s="104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348" t="n"/>
      <c r="E4851" s="349">
        <f>IF(C4851="","",IFERROR(VLOOKUP(C4851,parametros!$A$11:$E$15,5,0),""))</f>
        <v/>
      </c>
      <c r="F4851" s="335">
        <f>IF(OR(D4851="",E4851=""),"",ROUND(D4851*E4851,2))</f>
        <v/>
      </c>
      <c r="G4851" s="106" t="n"/>
      <c r="H4851" s="350">
        <f>IF(G4851="Sim",IF(OR(F4851="",D4851="",L4851=""),"",IF(L4851="Sim",ROUND(F4851-D4851,2),0)),0)</f>
        <v/>
      </c>
      <c r="I4851" s="350">
        <f>IF(G4851="Sim",0,IF(OR(F4851="",L4851=""),"",F4851))</f>
        <v/>
      </c>
      <c r="J4851" s="350">
        <f>IF(G4851="Sim",0,IF(OR(F4851="",D4851="",L4851=""),"",IF(L4851="Sim",ROUND(F4851-D4851,2),0)))</f>
        <v/>
      </c>
      <c r="K4851" s="97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inlineStr">
        <is>
          <t>Nao</t>
        </is>
      </c>
      <c r="W4851" s="110" t="inlineStr">
        <is>
          <t>PC em analise</t>
        </is>
      </c>
      <c r="X4851" s="110" t="inlineStr">
        <is>
          <t>Pedido de Compra</t>
        </is>
      </c>
      <c r="Y4851" s="111" t="inlineStr">
        <is>
          <t>Impacto Potencial</t>
        </is>
      </c>
      <c r="Z4851" s="111" t="inlineStr">
        <is>
          <t>PC</t>
        </is>
      </c>
      <c r="AA4851" s="111" t="inlineStr">
        <is>
          <t>Nao</t>
        </is>
      </c>
      <c r="AB4851" s="111" t="inlineStr">
        <is>
          <t>NAO_COMPUTADO</t>
        </is>
      </c>
      <c r="AC4851" s="112" t="inlineStr">
        <is>
          <t>Estrutura Fase 1: sem impacto no VTA oficial</t>
        </is>
      </c>
    </row>
    <row r="4852" ht="25.5" customHeight="1" s="289">
      <c r="A4852" s="205" t="n"/>
      <c r="B4852" s="207" t="n"/>
      <c r="C4852" s="104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348" t="n"/>
      <c r="E4852" s="349">
        <f>IF(C4852="","",IFERROR(VLOOKUP(C4852,parametros!$A$11:$E$15,5,0),""))</f>
        <v/>
      </c>
      <c r="F4852" s="335">
        <f>IF(OR(D4852="",E4852=""),"",ROUND(D4852*E4852,2))</f>
        <v/>
      </c>
      <c r="G4852" s="106" t="n"/>
      <c r="H4852" s="350">
        <f>IF(G4852="Sim",IF(OR(F4852="",D4852="",L4852=""),"",IF(L4852="Sim",ROUND(F4852-D4852,2),0)),0)</f>
        <v/>
      </c>
      <c r="I4852" s="350">
        <f>IF(G4852="Sim",0,IF(OR(F4852="",L4852=""),"",F4852))</f>
        <v/>
      </c>
      <c r="J4852" s="350">
        <f>IF(G4852="Sim",0,IF(OR(F4852="",D4852="",L4852=""),"",IF(L4852="Sim",ROUND(F4852-D4852,2),0)))</f>
        <v/>
      </c>
      <c r="K4852" s="97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inlineStr">
        <is>
          <t>Nao</t>
        </is>
      </c>
      <c r="W4852" s="110" t="inlineStr">
        <is>
          <t>PC em analise</t>
        </is>
      </c>
      <c r="X4852" s="110" t="inlineStr">
        <is>
          <t>Pedido de Compra</t>
        </is>
      </c>
      <c r="Y4852" s="111" t="inlineStr">
        <is>
          <t>Impacto Potencial</t>
        </is>
      </c>
      <c r="Z4852" s="111" t="inlineStr">
        <is>
          <t>PC</t>
        </is>
      </c>
      <c r="AA4852" s="111" t="inlineStr">
        <is>
          <t>Nao</t>
        </is>
      </c>
      <c r="AB4852" s="111" t="inlineStr">
        <is>
          <t>NAO_COMPUTADO</t>
        </is>
      </c>
      <c r="AC4852" s="112" t="inlineStr">
        <is>
          <t>Estrutura Fase 1: sem impacto no VTA oficial</t>
        </is>
      </c>
    </row>
    <row r="4853" ht="25.5" customHeight="1" s="289">
      <c r="A4853" s="205" t="n"/>
      <c r="B4853" s="207" t="n"/>
      <c r="C4853" s="104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348" t="n"/>
      <c r="E4853" s="349">
        <f>IF(C4853="","",IFERROR(VLOOKUP(C4853,parametros!$A$11:$E$15,5,0),""))</f>
        <v/>
      </c>
      <c r="F4853" s="335">
        <f>IF(OR(D4853="",E4853=""),"",ROUND(D4853*E4853,2))</f>
        <v/>
      </c>
      <c r="G4853" s="106" t="n"/>
      <c r="H4853" s="350">
        <f>IF(G4853="Sim",IF(OR(F4853="",D4853="",L4853=""),"",IF(L4853="Sim",ROUND(F4853-D4853,2),0)),0)</f>
        <v/>
      </c>
      <c r="I4853" s="350">
        <f>IF(G4853="Sim",0,IF(OR(F4853="",L4853=""),"",F4853))</f>
        <v/>
      </c>
      <c r="J4853" s="350">
        <f>IF(G4853="Sim",0,IF(OR(F4853="",D4853="",L4853=""),"",IF(L4853="Sim",ROUND(F4853-D4853,2),0)))</f>
        <v/>
      </c>
      <c r="K4853" s="97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inlineStr">
        <is>
          <t>Nao</t>
        </is>
      </c>
      <c r="W4853" s="110" t="inlineStr">
        <is>
          <t>PC em analise</t>
        </is>
      </c>
      <c r="X4853" s="110" t="inlineStr">
        <is>
          <t>Pedido de Compra</t>
        </is>
      </c>
      <c r="Y4853" s="111" t="inlineStr">
        <is>
          <t>Impacto Potencial</t>
        </is>
      </c>
      <c r="Z4853" s="111" t="inlineStr">
        <is>
          <t>PC</t>
        </is>
      </c>
      <c r="AA4853" s="111" t="inlineStr">
        <is>
          <t>Nao</t>
        </is>
      </c>
      <c r="AB4853" s="111" t="inlineStr">
        <is>
          <t>NAO_COMPUTADO</t>
        </is>
      </c>
      <c r="AC4853" s="112" t="inlineStr">
        <is>
          <t>Estrutura Fase 1: sem impacto no VTA oficial</t>
        </is>
      </c>
    </row>
    <row r="4854" ht="25.5" customHeight="1" s="289">
      <c r="A4854" s="205" t="n"/>
      <c r="B4854" s="207" t="n"/>
      <c r="C4854" s="104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348" t="n"/>
      <c r="E4854" s="349">
        <f>IF(C4854="","",IFERROR(VLOOKUP(C4854,parametros!$A$11:$E$15,5,0),""))</f>
        <v/>
      </c>
      <c r="F4854" s="335">
        <f>IF(OR(D4854="",E4854=""),"",ROUND(D4854*E4854,2))</f>
        <v/>
      </c>
      <c r="G4854" s="106" t="n"/>
      <c r="H4854" s="350">
        <f>IF(G4854="Sim",IF(OR(F4854="",D4854="",L4854=""),"",IF(L4854="Sim",ROUND(F4854-D4854,2),0)),0)</f>
        <v/>
      </c>
      <c r="I4854" s="350">
        <f>IF(G4854="Sim",0,IF(OR(F4854="",L4854=""),"",F4854))</f>
        <v/>
      </c>
      <c r="J4854" s="350">
        <f>IF(G4854="Sim",0,IF(OR(F4854="",D4854="",L4854=""),"",IF(L4854="Sim",ROUND(F4854-D4854,2),0)))</f>
        <v/>
      </c>
      <c r="K4854" s="97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inlineStr">
        <is>
          <t>Nao</t>
        </is>
      </c>
      <c r="W4854" s="110" t="inlineStr">
        <is>
          <t>PC em analise</t>
        </is>
      </c>
      <c r="X4854" s="110" t="inlineStr">
        <is>
          <t>Pedido de Compra</t>
        </is>
      </c>
      <c r="Y4854" s="111" t="inlineStr">
        <is>
          <t>Impacto Potencial</t>
        </is>
      </c>
      <c r="Z4854" s="111" t="inlineStr">
        <is>
          <t>PC</t>
        </is>
      </c>
      <c r="AA4854" s="111" t="inlineStr">
        <is>
          <t>Nao</t>
        </is>
      </c>
      <c r="AB4854" s="111" t="inlineStr">
        <is>
          <t>NAO_COMPUTADO</t>
        </is>
      </c>
      <c r="AC4854" s="112" t="inlineStr">
        <is>
          <t>Estrutura Fase 1: sem impacto no VTA oficial</t>
        </is>
      </c>
    </row>
    <row r="4855" ht="25.5" customHeight="1" s="289">
      <c r="A4855" s="205" t="n"/>
      <c r="B4855" s="207" t="n"/>
      <c r="C4855" s="104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348" t="n"/>
      <c r="E4855" s="349">
        <f>IF(C4855="","",IFERROR(VLOOKUP(C4855,parametros!$A$11:$E$15,5,0),""))</f>
        <v/>
      </c>
      <c r="F4855" s="335">
        <f>IF(OR(D4855="",E4855=""),"",ROUND(D4855*E4855,2))</f>
        <v/>
      </c>
      <c r="G4855" s="106" t="n"/>
      <c r="H4855" s="350">
        <f>IF(G4855="Sim",IF(OR(F4855="",D4855="",L4855=""),"",IF(L4855="Sim",ROUND(F4855-D4855,2),0)),0)</f>
        <v/>
      </c>
      <c r="I4855" s="350">
        <f>IF(G4855="Sim",0,IF(OR(F4855="",L4855=""),"",F4855))</f>
        <v/>
      </c>
      <c r="J4855" s="350">
        <f>IF(G4855="Sim",0,IF(OR(F4855="",D4855="",L4855=""),"",IF(L4855="Sim",ROUND(F4855-D4855,2),0)))</f>
        <v/>
      </c>
      <c r="K4855" s="97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inlineStr">
        <is>
          <t>Nao</t>
        </is>
      </c>
      <c r="W4855" s="110" t="inlineStr">
        <is>
          <t>PC em analise</t>
        </is>
      </c>
      <c r="X4855" s="110" t="inlineStr">
        <is>
          <t>Pedido de Compra</t>
        </is>
      </c>
      <c r="Y4855" s="111" t="inlineStr">
        <is>
          <t>Impacto Potencial</t>
        </is>
      </c>
      <c r="Z4855" s="111" t="inlineStr">
        <is>
          <t>PC</t>
        </is>
      </c>
      <c r="AA4855" s="111" t="inlineStr">
        <is>
          <t>Nao</t>
        </is>
      </c>
      <c r="AB4855" s="111" t="inlineStr">
        <is>
          <t>NAO_COMPUTADO</t>
        </is>
      </c>
      <c r="AC4855" s="112" t="inlineStr">
        <is>
          <t>Estrutura Fase 1: sem impacto no VTA oficial</t>
        </is>
      </c>
    </row>
    <row r="4856" ht="25.5" customHeight="1" s="289">
      <c r="A4856" s="205" t="n"/>
      <c r="B4856" s="207" t="n"/>
      <c r="C4856" s="104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348" t="n"/>
      <c r="E4856" s="349">
        <f>IF(C4856="","",IFERROR(VLOOKUP(C4856,parametros!$A$11:$E$15,5,0),""))</f>
        <v/>
      </c>
      <c r="F4856" s="335">
        <f>IF(OR(D4856="",E4856=""),"",ROUND(D4856*E4856,2))</f>
        <v/>
      </c>
      <c r="G4856" s="106" t="n"/>
      <c r="H4856" s="350">
        <f>IF(G4856="Sim",IF(OR(F4856="",D4856="",L4856=""),"",IF(L4856="Sim",ROUND(F4856-D4856,2),0)),0)</f>
        <v/>
      </c>
      <c r="I4856" s="350">
        <f>IF(G4856="Sim",0,IF(OR(F4856="",L4856=""),"",F4856))</f>
        <v/>
      </c>
      <c r="J4856" s="350">
        <f>IF(G4856="Sim",0,IF(OR(F4856="",D4856="",L4856=""),"",IF(L4856="Sim",ROUND(F4856-D4856,2),0)))</f>
        <v/>
      </c>
      <c r="K4856" s="97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inlineStr">
        <is>
          <t>Nao</t>
        </is>
      </c>
      <c r="W4856" s="110" t="inlineStr">
        <is>
          <t>PC em analise</t>
        </is>
      </c>
      <c r="X4856" s="110" t="inlineStr">
        <is>
          <t>Pedido de Compra</t>
        </is>
      </c>
      <c r="Y4856" s="111" t="inlineStr">
        <is>
          <t>Impacto Potencial</t>
        </is>
      </c>
      <c r="Z4856" s="111" t="inlineStr">
        <is>
          <t>PC</t>
        </is>
      </c>
      <c r="AA4856" s="111" t="inlineStr">
        <is>
          <t>Nao</t>
        </is>
      </c>
      <c r="AB4856" s="111" t="inlineStr">
        <is>
          <t>NAO_COMPUTADO</t>
        </is>
      </c>
      <c r="AC4856" s="112" t="inlineStr">
        <is>
          <t>Estrutura Fase 1: sem impacto no VTA oficial</t>
        </is>
      </c>
    </row>
    <row r="4857" ht="25.5" customHeight="1" s="289">
      <c r="A4857" s="205" t="n"/>
      <c r="B4857" s="207" t="n"/>
      <c r="C4857" s="104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348" t="n"/>
      <c r="E4857" s="349">
        <f>IF(C4857="","",IFERROR(VLOOKUP(C4857,parametros!$A$11:$E$15,5,0),""))</f>
        <v/>
      </c>
      <c r="F4857" s="335">
        <f>IF(OR(D4857="",E4857=""),"",ROUND(D4857*E4857,2))</f>
        <v/>
      </c>
      <c r="G4857" s="106" t="n"/>
      <c r="H4857" s="350">
        <f>IF(G4857="Sim",IF(OR(F4857="",D4857="",L4857=""),"",IF(L4857="Sim",ROUND(F4857-D4857,2),0)),0)</f>
        <v/>
      </c>
      <c r="I4857" s="350">
        <f>IF(G4857="Sim",0,IF(OR(F4857="",L4857=""),"",F4857))</f>
        <v/>
      </c>
      <c r="J4857" s="350">
        <f>IF(G4857="Sim",0,IF(OR(F4857="",D4857="",L4857=""),"",IF(L4857="Sim",ROUND(F4857-D4857,2),0)))</f>
        <v/>
      </c>
      <c r="K4857" s="97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inlineStr">
        <is>
          <t>Nao</t>
        </is>
      </c>
      <c r="W4857" s="110" t="inlineStr">
        <is>
          <t>PC em analise</t>
        </is>
      </c>
      <c r="X4857" s="110" t="inlineStr">
        <is>
          <t>Pedido de Compra</t>
        </is>
      </c>
      <c r="Y4857" s="111" t="inlineStr">
        <is>
          <t>Impacto Potencial</t>
        </is>
      </c>
      <c r="Z4857" s="111" t="inlineStr">
        <is>
          <t>PC</t>
        </is>
      </c>
      <c r="AA4857" s="111" t="inlineStr">
        <is>
          <t>Nao</t>
        </is>
      </c>
      <c r="AB4857" s="111" t="inlineStr">
        <is>
          <t>NAO_COMPUTADO</t>
        </is>
      </c>
      <c r="AC4857" s="112" t="inlineStr">
        <is>
          <t>Estrutura Fase 1: sem impacto no VTA oficial</t>
        </is>
      </c>
    </row>
    <row r="4858" ht="25.5" customHeight="1" s="289">
      <c r="A4858" s="205" t="n"/>
      <c r="B4858" s="207" t="n"/>
      <c r="C4858" s="104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348" t="n"/>
      <c r="E4858" s="349">
        <f>IF(C4858="","",IFERROR(VLOOKUP(C4858,parametros!$A$11:$E$15,5,0),""))</f>
        <v/>
      </c>
      <c r="F4858" s="335">
        <f>IF(OR(D4858="",E4858=""),"",ROUND(D4858*E4858,2))</f>
        <v/>
      </c>
      <c r="G4858" s="106" t="n"/>
      <c r="H4858" s="350">
        <f>IF(G4858="Sim",IF(OR(F4858="",D4858="",L4858=""),"",IF(L4858="Sim",ROUND(F4858-D4858,2),0)),0)</f>
        <v/>
      </c>
      <c r="I4858" s="350">
        <f>IF(G4858="Sim",0,IF(OR(F4858="",L4858=""),"",F4858))</f>
        <v/>
      </c>
      <c r="J4858" s="350">
        <f>IF(G4858="Sim",0,IF(OR(F4858="",D4858="",L4858=""),"",IF(L4858="Sim",ROUND(F4858-D4858,2),0)))</f>
        <v/>
      </c>
      <c r="K4858" s="97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inlineStr">
        <is>
          <t>Nao</t>
        </is>
      </c>
      <c r="W4858" s="110" t="inlineStr">
        <is>
          <t>PC em analise</t>
        </is>
      </c>
      <c r="X4858" s="110" t="inlineStr">
        <is>
          <t>Pedido de Compra</t>
        </is>
      </c>
      <c r="Y4858" s="111" t="inlineStr">
        <is>
          <t>Impacto Potencial</t>
        </is>
      </c>
      <c r="Z4858" s="111" t="inlineStr">
        <is>
          <t>PC</t>
        </is>
      </c>
      <c r="AA4858" s="111" t="inlineStr">
        <is>
          <t>Nao</t>
        </is>
      </c>
      <c r="AB4858" s="111" t="inlineStr">
        <is>
          <t>NAO_COMPUTADO</t>
        </is>
      </c>
      <c r="AC4858" s="112" t="inlineStr">
        <is>
          <t>Estrutura Fase 1: sem impacto no VTA oficial</t>
        </is>
      </c>
    </row>
    <row r="4859" ht="25.5" customHeight="1" s="289">
      <c r="A4859" s="205" t="n"/>
      <c r="B4859" s="207" t="n"/>
      <c r="C4859" s="104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348" t="n"/>
      <c r="E4859" s="349">
        <f>IF(C4859="","",IFERROR(VLOOKUP(C4859,parametros!$A$11:$E$15,5,0),""))</f>
        <v/>
      </c>
      <c r="F4859" s="335">
        <f>IF(OR(D4859="",E4859=""),"",ROUND(D4859*E4859,2))</f>
        <v/>
      </c>
      <c r="G4859" s="106" t="n"/>
      <c r="H4859" s="350">
        <f>IF(G4859="Sim",IF(OR(F4859="",D4859="",L4859=""),"",IF(L4859="Sim",ROUND(F4859-D4859,2),0)),0)</f>
        <v/>
      </c>
      <c r="I4859" s="350">
        <f>IF(G4859="Sim",0,IF(OR(F4859="",L4859=""),"",F4859))</f>
        <v/>
      </c>
      <c r="J4859" s="350">
        <f>IF(G4859="Sim",0,IF(OR(F4859="",D4859="",L4859=""),"",IF(L4859="Sim",ROUND(F4859-D4859,2),0)))</f>
        <v/>
      </c>
      <c r="K4859" s="97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inlineStr">
        <is>
          <t>Nao</t>
        </is>
      </c>
      <c r="W4859" s="110" t="inlineStr">
        <is>
          <t>PC em analise</t>
        </is>
      </c>
      <c r="X4859" s="110" t="inlineStr">
        <is>
          <t>Pedido de Compra</t>
        </is>
      </c>
      <c r="Y4859" s="111" t="inlineStr">
        <is>
          <t>Impacto Potencial</t>
        </is>
      </c>
      <c r="Z4859" s="111" t="inlineStr">
        <is>
          <t>PC</t>
        </is>
      </c>
      <c r="AA4859" s="111" t="inlineStr">
        <is>
          <t>Nao</t>
        </is>
      </c>
      <c r="AB4859" s="111" t="inlineStr">
        <is>
          <t>NAO_COMPUTADO</t>
        </is>
      </c>
      <c r="AC4859" s="112" t="inlineStr">
        <is>
          <t>Estrutura Fase 1: sem impacto no VTA oficial</t>
        </is>
      </c>
    </row>
    <row r="4860" ht="25.5" customHeight="1" s="289">
      <c r="A4860" s="205" t="n"/>
      <c r="B4860" s="207" t="n"/>
      <c r="C4860" s="104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348" t="n"/>
      <c r="E4860" s="349">
        <f>IF(C4860="","",IFERROR(VLOOKUP(C4860,parametros!$A$11:$E$15,5,0),""))</f>
        <v/>
      </c>
      <c r="F4860" s="335">
        <f>IF(OR(D4860="",E4860=""),"",ROUND(D4860*E4860,2))</f>
        <v/>
      </c>
      <c r="G4860" s="106" t="n"/>
      <c r="H4860" s="350">
        <f>IF(G4860="Sim",IF(OR(F4860="",D4860="",L4860=""),"",IF(L4860="Sim",ROUND(F4860-D4860,2),0)),0)</f>
        <v/>
      </c>
      <c r="I4860" s="350">
        <f>IF(G4860="Sim",0,IF(OR(F4860="",L4860=""),"",F4860))</f>
        <v/>
      </c>
      <c r="J4860" s="350">
        <f>IF(G4860="Sim",0,IF(OR(F4860="",D4860="",L4860=""),"",IF(L4860="Sim",ROUND(F4860-D4860,2),0)))</f>
        <v/>
      </c>
      <c r="K4860" s="97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inlineStr">
        <is>
          <t>Nao</t>
        </is>
      </c>
      <c r="W4860" s="110" t="inlineStr">
        <is>
          <t>PC em analise</t>
        </is>
      </c>
      <c r="X4860" s="110" t="inlineStr">
        <is>
          <t>Pedido de Compra</t>
        </is>
      </c>
      <c r="Y4860" s="111" t="inlineStr">
        <is>
          <t>Impacto Potencial</t>
        </is>
      </c>
      <c r="Z4860" s="111" t="inlineStr">
        <is>
          <t>PC</t>
        </is>
      </c>
      <c r="AA4860" s="111" t="inlineStr">
        <is>
          <t>Nao</t>
        </is>
      </c>
      <c r="AB4860" s="111" t="inlineStr">
        <is>
          <t>NAO_COMPUTADO</t>
        </is>
      </c>
      <c r="AC4860" s="112" t="inlineStr">
        <is>
          <t>Estrutura Fase 1: sem impacto no VTA oficial</t>
        </is>
      </c>
    </row>
    <row r="4861" ht="25.5" customHeight="1" s="289">
      <c r="A4861" s="205" t="n"/>
      <c r="B4861" s="207" t="n"/>
      <c r="C4861" s="104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348" t="n"/>
      <c r="E4861" s="349">
        <f>IF(C4861="","",IFERROR(VLOOKUP(C4861,parametros!$A$11:$E$15,5,0),""))</f>
        <v/>
      </c>
      <c r="F4861" s="335">
        <f>IF(OR(D4861="",E4861=""),"",ROUND(D4861*E4861,2))</f>
        <v/>
      </c>
      <c r="G4861" s="106" t="n"/>
      <c r="H4861" s="350">
        <f>IF(G4861="Sim",IF(OR(F4861="",D4861="",L4861=""),"",IF(L4861="Sim",ROUND(F4861-D4861,2),0)),0)</f>
        <v/>
      </c>
      <c r="I4861" s="350">
        <f>IF(G4861="Sim",0,IF(OR(F4861="",L4861=""),"",F4861))</f>
        <v/>
      </c>
      <c r="J4861" s="350">
        <f>IF(G4861="Sim",0,IF(OR(F4861="",D4861="",L4861=""),"",IF(L4861="Sim",ROUND(F4861-D4861,2),0)))</f>
        <v/>
      </c>
      <c r="K4861" s="97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inlineStr">
        <is>
          <t>Nao</t>
        </is>
      </c>
      <c r="W4861" s="110" t="inlineStr">
        <is>
          <t>PC em analise</t>
        </is>
      </c>
      <c r="X4861" s="110" t="inlineStr">
        <is>
          <t>Pedido de Compra</t>
        </is>
      </c>
      <c r="Y4861" s="111" t="inlineStr">
        <is>
          <t>Impacto Potencial</t>
        </is>
      </c>
      <c r="Z4861" s="111" t="inlineStr">
        <is>
          <t>PC</t>
        </is>
      </c>
      <c r="AA4861" s="111" t="inlineStr">
        <is>
          <t>Nao</t>
        </is>
      </c>
      <c r="AB4861" s="111" t="inlineStr">
        <is>
          <t>NAO_COMPUTADO</t>
        </is>
      </c>
      <c r="AC4861" s="112" t="inlineStr">
        <is>
          <t>Estrutura Fase 1: sem impacto no VTA oficial</t>
        </is>
      </c>
    </row>
    <row r="4862" ht="25.5" customHeight="1" s="289">
      <c r="A4862" s="205" t="n"/>
      <c r="B4862" s="207" t="n"/>
      <c r="C4862" s="104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348" t="n"/>
      <c r="E4862" s="349">
        <f>IF(C4862="","",IFERROR(VLOOKUP(C4862,parametros!$A$11:$E$15,5,0),""))</f>
        <v/>
      </c>
      <c r="F4862" s="335">
        <f>IF(OR(D4862="",E4862=""),"",ROUND(D4862*E4862,2))</f>
        <v/>
      </c>
      <c r="G4862" s="106" t="n"/>
      <c r="H4862" s="350">
        <f>IF(G4862="Sim",IF(OR(F4862="",D4862="",L4862=""),"",IF(L4862="Sim",ROUND(F4862-D4862,2),0)),0)</f>
        <v/>
      </c>
      <c r="I4862" s="350">
        <f>IF(G4862="Sim",0,IF(OR(F4862="",L4862=""),"",F4862))</f>
        <v/>
      </c>
      <c r="J4862" s="350">
        <f>IF(G4862="Sim",0,IF(OR(F4862="",D4862="",L4862=""),"",IF(L4862="Sim",ROUND(F4862-D4862,2),0)))</f>
        <v/>
      </c>
      <c r="K4862" s="97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inlineStr">
        <is>
          <t>Nao</t>
        </is>
      </c>
      <c r="W4862" s="110" t="inlineStr">
        <is>
          <t>PC em analise</t>
        </is>
      </c>
      <c r="X4862" s="110" t="inlineStr">
        <is>
          <t>Pedido de Compra</t>
        </is>
      </c>
      <c r="Y4862" s="111" t="inlineStr">
        <is>
          <t>Impacto Potencial</t>
        </is>
      </c>
      <c r="Z4862" s="111" t="inlineStr">
        <is>
          <t>PC</t>
        </is>
      </c>
      <c r="AA4862" s="111" t="inlineStr">
        <is>
          <t>Nao</t>
        </is>
      </c>
      <c r="AB4862" s="111" t="inlineStr">
        <is>
          <t>NAO_COMPUTADO</t>
        </is>
      </c>
      <c r="AC4862" s="112" t="inlineStr">
        <is>
          <t>Estrutura Fase 1: sem impacto no VTA oficial</t>
        </is>
      </c>
    </row>
    <row r="4863" ht="25.5" customHeight="1" s="289">
      <c r="A4863" s="205" t="n"/>
      <c r="B4863" s="207" t="n"/>
      <c r="C4863" s="104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348" t="n"/>
      <c r="E4863" s="349">
        <f>IF(C4863="","",IFERROR(VLOOKUP(C4863,parametros!$A$11:$E$15,5,0),""))</f>
        <v/>
      </c>
      <c r="F4863" s="335">
        <f>IF(OR(D4863="",E4863=""),"",ROUND(D4863*E4863,2))</f>
        <v/>
      </c>
      <c r="G4863" s="106" t="n"/>
      <c r="H4863" s="350">
        <f>IF(G4863="Sim",IF(OR(F4863="",D4863="",L4863=""),"",IF(L4863="Sim",ROUND(F4863-D4863,2),0)),0)</f>
        <v/>
      </c>
      <c r="I4863" s="350">
        <f>IF(G4863="Sim",0,IF(OR(F4863="",L4863=""),"",F4863))</f>
        <v/>
      </c>
      <c r="J4863" s="350">
        <f>IF(G4863="Sim",0,IF(OR(F4863="",D4863="",L4863=""),"",IF(L4863="Sim",ROUND(F4863-D4863,2),0)))</f>
        <v/>
      </c>
      <c r="K4863" s="97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inlineStr">
        <is>
          <t>Nao</t>
        </is>
      </c>
      <c r="W4863" s="110" t="inlineStr">
        <is>
          <t>PC em analise</t>
        </is>
      </c>
      <c r="X4863" s="110" t="inlineStr">
        <is>
          <t>Pedido de Compra</t>
        </is>
      </c>
      <c r="Y4863" s="111" t="inlineStr">
        <is>
          <t>Impacto Potencial</t>
        </is>
      </c>
      <c r="Z4863" s="111" t="inlineStr">
        <is>
          <t>PC</t>
        </is>
      </c>
      <c r="AA4863" s="111" t="inlineStr">
        <is>
          <t>Nao</t>
        </is>
      </c>
      <c r="AB4863" s="111" t="inlineStr">
        <is>
          <t>NAO_COMPUTADO</t>
        </is>
      </c>
      <c r="AC4863" s="112" t="inlineStr">
        <is>
          <t>Estrutura Fase 1: sem impacto no VTA oficial</t>
        </is>
      </c>
    </row>
    <row r="4864" ht="25.5" customHeight="1" s="289">
      <c r="A4864" s="205" t="n"/>
      <c r="B4864" s="207" t="n"/>
      <c r="C4864" s="104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348" t="n"/>
      <c r="E4864" s="349">
        <f>IF(C4864="","",IFERROR(VLOOKUP(C4864,parametros!$A$11:$E$15,5,0),""))</f>
        <v/>
      </c>
      <c r="F4864" s="335">
        <f>IF(OR(D4864="",E4864=""),"",ROUND(D4864*E4864,2))</f>
        <v/>
      </c>
      <c r="G4864" s="106" t="n"/>
      <c r="H4864" s="350">
        <f>IF(G4864="Sim",IF(OR(F4864="",D4864="",L4864=""),"",IF(L4864="Sim",ROUND(F4864-D4864,2),0)),0)</f>
        <v/>
      </c>
      <c r="I4864" s="350">
        <f>IF(G4864="Sim",0,IF(OR(F4864="",L4864=""),"",F4864))</f>
        <v/>
      </c>
      <c r="J4864" s="350">
        <f>IF(G4864="Sim",0,IF(OR(F4864="",D4864="",L4864=""),"",IF(L4864="Sim",ROUND(F4864-D4864,2),0)))</f>
        <v/>
      </c>
      <c r="K4864" s="97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inlineStr">
        <is>
          <t>Nao</t>
        </is>
      </c>
      <c r="W4864" s="110" t="inlineStr">
        <is>
          <t>PC em analise</t>
        </is>
      </c>
      <c r="X4864" s="110" t="inlineStr">
        <is>
          <t>Pedido de Compra</t>
        </is>
      </c>
      <c r="Y4864" s="111" t="inlineStr">
        <is>
          <t>Impacto Potencial</t>
        </is>
      </c>
      <c r="Z4864" s="111" t="inlineStr">
        <is>
          <t>PC</t>
        </is>
      </c>
      <c r="AA4864" s="111" t="inlineStr">
        <is>
          <t>Nao</t>
        </is>
      </c>
      <c r="AB4864" s="111" t="inlineStr">
        <is>
          <t>NAO_COMPUTADO</t>
        </is>
      </c>
      <c r="AC4864" s="112" t="inlineStr">
        <is>
          <t>Estrutura Fase 1: sem impacto no VTA oficial</t>
        </is>
      </c>
    </row>
    <row r="4865" ht="25.5" customHeight="1" s="289">
      <c r="A4865" s="205" t="n"/>
      <c r="B4865" s="207" t="n"/>
      <c r="C4865" s="104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348" t="n"/>
      <c r="E4865" s="349">
        <f>IF(C4865="","",IFERROR(VLOOKUP(C4865,parametros!$A$11:$E$15,5,0),""))</f>
        <v/>
      </c>
      <c r="F4865" s="335">
        <f>IF(OR(D4865="",E4865=""),"",ROUND(D4865*E4865,2))</f>
        <v/>
      </c>
      <c r="G4865" s="106" t="n"/>
      <c r="H4865" s="350">
        <f>IF(G4865="Sim",IF(OR(F4865="",D4865="",L4865=""),"",IF(L4865="Sim",ROUND(F4865-D4865,2),0)),0)</f>
        <v/>
      </c>
      <c r="I4865" s="350">
        <f>IF(G4865="Sim",0,IF(OR(F4865="",L4865=""),"",F4865))</f>
        <v/>
      </c>
      <c r="J4865" s="350">
        <f>IF(G4865="Sim",0,IF(OR(F4865="",D4865="",L4865=""),"",IF(L4865="Sim",ROUND(F4865-D4865,2),0)))</f>
        <v/>
      </c>
      <c r="K4865" s="97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inlineStr">
        <is>
          <t>Nao</t>
        </is>
      </c>
      <c r="W4865" s="110" t="inlineStr">
        <is>
          <t>PC em analise</t>
        </is>
      </c>
      <c r="X4865" s="110" t="inlineStr">
        <is>
          <t>Pedido de Compra</t>
        </is>
      </c>
      <c r="Y4865" s="111" t="inlineStr">
        <is>
          <t>Impacto Potencial</t>
        </is>
      </c>
      <c r="Z4865" s="111" t="inlineStr">
        <is>
          <t>PC</t>
        </is>
      </c>
      <c r="AA4865" s="111" t="inlineStr">
        <is>
          <t>Nao</t>
        </is>
      </c>
      <c r="AB4865" s="111" t="inlineStr">
        <is>
          <t>NAO_COMPUTADO</t>
        </is>
      </c>
      <c r="AC4865" s="112" t="inlineStr">
        <is>
          <t>Estrutura Fase 1: sem impacto no VTA oficial</t>
        </is>
      </c>
    </row>
    <row r="4866" ht="25.5" customHeight="1" s="289">
      <c r="A4866" s="205" t="n"/>
      <c r="B4866" s="207" t="n"/>
      <c r="C4866" s="104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348" t="n"/>
      <c r="E4866" s="349">
        <f>IF(C4866="","",IFERROR(VLOOKUP(C4866,parametros!$A$11:$E$15,5,0),""))</f>
        <v/>
      </c>
      <c r="F4866" s="335">
        <f>IF(OR(D4866="",E4866=""),"",ROUND(D4866*E4866,2))</f>
        <v/>
      </c>
      <c r="G4866" s="106" t="n"/>
      <c r="H4866" s="350">
        <f>IF(G4866="Sim",IF(OR(F4866="",D4866="",L4866=""),"",IF(L4866="Sim",ROUND(F4866-D4866,2),0)),0)</f>
        <v/>
      </c>
      <c r="I4866" s="350">
        <f>IF(G4866="Sim",0,IF(OR(F4866="",L4866=""),"",F4866))</f>
        <v/>
      </c>
      <c r="J4866" s="350">
        <f>IF(G4866="Sim",0,IF(OR(F4866="",D4866="",L4866=""),"",IF(L4866="Sim",ROUND(F4866-D4866,2),0)))</f>
        <v/>
      </c>
      <c r="K4866" s="97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inlineStr">
        <is>
          <t>Nao</t>
        </is>
      </c>
      <c r="W4866" s="110" t="inlineStr">
        <is>
          <t>PC em analise</t>
        </is>
      </c>
      <c r="X4866" s="110" t="inlineStr">
        <is>
          <t>Pedido de Compra</t>
        </is>
      </c>
      <c r="Y4866" s="111" t="inlineStr">
        <is>
          <t>Impacto Potencial</t>
        </is>
      </c>
      <c r="Z4866" s="111" t="inlineStr">
        <is>
          <t>PC</t>
        </is>
      </c>
      <c r="AA4866" s="111" t="inlineStr">
        <is>
          <t>Nao</t>
        </is>
      </c>
      <c r="AB4866" s="111" t="inlineStr">
        <is>
          <t>NAO_COMPUTADO</t>
        </is>
      </c>
      <c r="AC4866" s="112" t="inlineStr">
        <is>
          <t>Estrutura Fase 1: sem impacto no VTA oficial</t>
        </is>
      </c>
    </row>
    <row r="4867" ht="25.5" customHeight="1" s="289">
      <c r="A4867" s="205" t="n"/>
      <c r="B4867" s="207" t="n"/>
      <c r="C4867" s="104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348" t="n"/>
      <c r="E4867" s="349">
        <f>IF(C4867="","",IFERROR(VLOOKUP(C4867,parametros!$A$11:$E$15,5,0),""))</f>
        <v/>
      </c>
      <c r="F4867" s="335">
        <f>IF(OR(D4867="",E4867=""),"",ROUND(D4867*E4867,2))</f>
        <v/>
      </c>
      <c r="G4867" s="106" t="n"/>
      <c r="H4867" s="350">
        <f>IF(G4867="Sim",IF(OR(F4867="",D4867="",L4867=""),"",IF(L4867="Sim",ROUND(F4867-D4867,2),0)),0)</f>
        <v/>
      </c>
      <c r="I4867" s="350">
        <f>IF(G4867="Sim",0,IF(OR(F4867="",L4867=""),"",F4867))</f>
        <v/>
      </c>
      <c r="J4867" s="350">
        <f>IF(G4867="Sim",0,IF(OR(F4867="",D4867="",L4867=""),"",IF(L4867="Sim",ROUND(F4867-D4867,2),0)))</f>
        <v/>
      </c>
      <c r="K4867" s="97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inlineStr">
        <is>
          <t>Nao</t>
        </is>
      </c>
      <c r="W4867" s="110" t="inlineStr">
        <is>
          <t>PC em analise</t>
        </is>
      </c>
      <c r="X4867" s="110" t="inlineStr">
        <is>
          <t>Pedido de Compra</t>
        </is>
      </c>
      <c r="Y4867" s="111" t="inlineStr">
        <is>
          <t>Impacto Potencial</t>
        </is>
      </c>
      <c r="Z4867" s="111" t="inlineStr">
        <is>
          <t>PC</t>
        </is>
      </c>
      <c r="AA4867" s="111" t="inlineStr">
        <is>
          <t>Nao</t>
        </is>
      </c>
      <c r="AB4867" s="111" t="inlineStr">
        <is>
          <t>NAO_COMPUTADO</t>
        </is>
      </c>
      <c r="AC4867" s="112" t="inlineStr">
        <is>
          <t>Estrutura Fase 1: sem impacto no VTA oficial</t>
        </is>
      </c>
    </row>
    <row r="4868" ht="25.5" customHeight="1" s="289">
      <c r="A4868" s="205" t="n"/>
      <c r="B4868" s="207" t="n"/>
      <c r="C4868" s="104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348" t="n"/>
      <c r="E4868" s="349">
        <f>IF(C4868="","",IFERROR(VLOOKUP(C4868,parametros!$A$11:$E$15,5,0),""))</f>
        <v/>
      </c>
      <c r="F4868" s="335">
        <f>IF(OR(D4868="",E4868=""),"",ROUND(D4868*E4868,2))</f>
        <v/>
      </c>
      <c r="G4868" s="106" t="n"/>
      <c r="H4868" s="350">
        <f>IF(G4868="Sim",IF(OR(F4868="",D4868="",L4868=""),"",IF(L4868="Sim",ROUND(F4868-D4868,2),0)),0)</f>
        <v/>
      </c>
      <c r="I4868" s="350">
        <f>IF(G4868="Sim",0,IF(OR(F4868="",L4868=""),"",F4868))</f>
        <v/>
      </c>
      <c r="J4868" s="350">
        <f>IF(G4868="Sim",0,IF(OR(F4868="",D4868="",L4868=""),"",IF(L4868="Sim",ROUND(F4868-D4868,2),0)))</f>
        <v/>
      </c>
      <c r="K4868" s="97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inlineStr">
        <is>
          <t>Nao</t>
        </is>
      </c>
      <c r="W4868" s="110" t="inlineStr">
        <is>
          <t>PC em analise</t>
        </is>
      </c>
      <c r="X4868" s="110" t="inlineStr">
        <is>
          <t>Pedido de Compra</t>
        </is>
      </c>
      <c r="Y4868" s="111" t="inlineStr">
        <is>
          <t>Impacto Potencial</t>
        </is>
      </c>
      <c r="Z4868" s="111" t="inlineStr">
        <is>
          <t>PC</t>
        </is>
      </c>
      <c r="AA4868" s="111" t="inlineStr">
        <is>
          <t>Nao</t>
        </is>
      </c>
      <c r="AB4868" s="111" t="inlineStr">
        <is>
          <t>NAO_COMPUTADO</t>
        </is>
      </c>
      <c r="AC4868" s="112" t="inlineStr">
        <is>
          <t>Estrutura Fase 1: sem impacto no VTA oficial</t>
        </is>
      </c>
    </row>
    <row r="4869" ht="25.5" customHeight="1" s="289">
      <c r="A4869" s="205" t="n"/>
      <c r="B4869" s="207" t="n"/>
      <c r="C4869" s="104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348" t="n"/>
      <c r="E4869" s="349">
        <f>IF(C4869="","",IFERROR(VLOOKUP(C4869,parametros!$A$11:$E$15,5,0),""))</f>
        <v/>
      </c>
      <c r="F4869" s="335">
        <f>IF(OR(D4869="",E4869=""),"",ROUND(D4869*E4869,2))</f>
        <v/>
      </c>
      <c r="G4869" s="106" t="n"/>
      <c r="H4869" s="350">
        <f>IF(G4869="Sim",IF(OR(F4869="",D4869="",L4869=""),"",IF(L4869="Sim",ROUND(F4869-D4869,2),0)),0)</f>
        <v/>
      </c>
      <c r="I4869" s="350">
        <f>IF(G4869="Sim",0,IF(OR(F4869="",L4869=""),"",F4869))</f>
        <v/>
      </c>
      <c r="J4869" s="350">
        <f>IF(G4869="Sim",0,IF(OR(F4869="",D4869="",L4869=""),"",IF(L4869="Sim",ROUND(F4869-D4869,2),0)))</f>
        <v/>
      </c>
      <c r="K4869" s="97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inlineStr">
        <is>
          <t>Nao</t>
        </is>
      </c>
      <c r="W4869" s="110" t="inlineStr">
        <is>
          <t>PC em analise</t>
        </is>
      </c>
      <c r="X4869" s="110" t="inlineStr">
        <is>
          <t>Pedido de Compra</t>
        </is>
      </c>
      <c r="Y4869" s="111" t="inlineStr">
        <is>
          <t>Impacto Potencial</t>
        </is>
      </c>
      <c r="Z4869" s="111" t="inlineStr">
        <is>
          <t>PC</t>
        </is>
      </c>
      <c r="AA4869" s="111" t="inlineStr">
        <is>
          <t>Nao</t>
        </is>
      </c>
      <c r="AB4869" s="111" t="inlineStr">
        <is>
          <t>NAO_COMPUTADO</t>
        </is>
      </c>
      <c r="AC4869" s="112" t="inlineStr">
        <is>
          <t>Estrutura Fase 1: sem impacto no VTA oficial</t>
        </is>
      </c>
    </row>
    <row r="4870" ht="25.5" customHeight="1" s="289">
      <c r="A4870" s="205" t="n"/>
      <c r="B4870" s="207" t="n"/>
      <c r="C4870" s="104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348" t="n"/>
      <c r="E4870" s="349">
        <f>IF(C4870="","",IFERROR(VLOOKUP(C4870,parametros!$A$11:$E$15,5,0),""))</f>
        <v/>
      </c>
      <c r="F4870" s="335">
        <f>IF(OR(D4870="",E4870=""),"",ROUND(D4870*E4870,2))</f>
        <v/>
      </c>
      <c r="G4870" s="106" t="n"/>
      <c r="H4870" s="350">
        <f>IF(G4870="Sim",IF(OR(F4870="",D4870="",L4870=""),"",IF(L4870="Sim",ROUND(F4870-D4870,2),0)),0)</f>
        <v/>
      </c>
      <c r="I4870" s="350">
        <f>IF(G4870="Sim",0,IF(OR(F4870="",L4870=""),"",F4870))</f>
        <v/>
      </c>
      <c r="J4870" s="350">
        <f>IF(G4870="Sim",0,IF(OR(F4870="",D4870="",L4870=""),"",IF(L4870="Sim",ROUND(F4870-D4870,2),0)))</f>
        <v/>
      </c>
      <c r="K4870" s="97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inlineStr">
        <is>
          <t>Nao</t>
        </is>
      </c>
      <c r="W4870" s="110" t="inlineStr">
        <is>
          <t>PC em analise</t>
        </is>
      </c>
      <c r="X4870" s="110" t="inlineStr">
        <is>
          <t>Pedido de Compra</t>
        </is>
      </c>
      <c r="Y4870" s="111" t="inlineStr">
        <is>
          <t>Impacto Potencial</t>
        </is>
      </c>
      <c r="Z4870" s="111" t="inlineStr">
        <is>
          <t>PC</t>
        </is>
      </c>
      <c r="AA4870" s="111" t="inlineStr">
        <is>
          <t>Nao</t>
        </is>
      </c>
      <c r="AB4870" s="111" t="inlineStr">
        <is>
          <t>NAO_COMPUTADO</t>
        </is>
      </c>
      <c r="AC4870" s="112" t="inlineStr">
        <is>
          <t>Estrutura Fase 1: sem impacto no VTA oficial</t>
        </is>
      </c>
    </row>
    <row r="4871" ht="25.5" customHeight="1" s="289">
      <c r="A4871" s="205" t="n"/>
      <c r="B4871" s="207" t="n"/>
      <c r="C4871" s="104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348" t="n"/>
      <c r="E4871" s="349">
        <f>IF(C4871="","",IFERROR(VLOOKUP(C4871,parametros!$A$11:$E$15,5,0),""))</f>
        <v/>
      </c>
      <c r="F4871" s="335">
        <f>IF(OR(D4871="",E4871=""),"",ROUND(D4871*E4871,2))</f>
        <v/>
      </c>
      <c r="G4871" s="106" t="n"/>
      <c r="H4871" s="350">
        <f>IF(G4871="Sim",IF(OR(F4871="",D4871="",L4871=""),"",IF(L4871="Sim",ROUND(F4871-D4871,2),0)),0)</f>
        <v/>
      </c>
      <c r="I4871" s="350">
        <f>IF(G4871="Sim",0,IF(OR(F4871="",L4871=""),"",F4871))</f>
        <v/>
      </c>
      <c r="J4871" s="350">
        <f>IF(G4871="Sim",0,IF(OR(F4871="",D4871="",L4871=""),"",IF(L4871="Sim",ROUND(F4871-D4871,2),0)))</f>
        <v/>
      </c>
      <c r="K4871" s="97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inlineStr">
        <is>
          <t>Nao</t>
        </is>
      </c>
      <c r="W4871" s="110" t="inlineStr">
        <is>
          <t>PC em analise</t>
        </is>
      </c>
      <c r="X4871" s="110" t="inlineStr">
        <is>
          <t>Pedido de Compra</t>
        </is>
      </c>
      <c r="Y4871" s="111" t="inlineStr">
        <is>
          <t>Impacto Potencial</t>
        </is>
      </c>
      <c r="Z4871" s="111" t="inlineStr">
        <is>
          <t>PC</t>
        </is>
      </c>
      <c r="AA4871" s="111" t="inlineStr">
        <is>
          <t>Nao</t>
        </is>
      </c>
      <c r="AB4871" s="111" t="inlineStr">
        <is>
          <t>NAO_COMPUTADO</t>
        </is>
      </c>
      <c r="AC4871" s="112" t="inlineStr">
        <is>
          <t>Estrutura Fase 1: sem impacto no VTA oficial</t>
        </is>
      </c>
    </row>
    <row r="4872" ht="25.5" customHeight="1" s="289">
      <c r="A4872" s="205" t="n"/>
      <c r="B4872" s="207" t="n"/>
      <c r="C4872" s="104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348" t="n"/>
      <c r="E4872" s="349">
        <f>IF(C4872="","",IFERROR(VLOOKUP(C4872,parametros!$A$11:$E$15,5,0),""))</f>
        <v/>
      </c>
      <c r="F4872" s="335">
        <f>IF(OR(D4872="",E4872=""),"",ROUND(D4872*E4872,2))</f>
        <v/>
      </c>
      <c r="G4872" s="106" t="n"/>
      <c r="H4872" s="350">
        <f>IF(G4872="Sim",IF(OR(F4872="",D4872="",L4872=""),"",IF(L4872="Sim",ROUND(F4872-D4872,2),0)),0)</f>
        <v/>
      </c>
      <c r="I4872" s="350">
        <f>IF(G4872="Sim",0,IF(OR(F4872="",L4872=""),"",F4872))</f>
        <v/>
      </c>
      <c r="J4872" s="350">
        <f>IF(G4872="Sim",0,IF(OR(F4872="",D4872="",L4872=""),"",IF(L4872="Sim",ROUND(F4872-D4872,2),0)))</f>
        <v/>
      </c>
      <c r="K4872" s="97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inlineStr">
        <is>
          <t>Nao</t>
        </is>
      </c>
      <c r="W4872" s="110" t="inlineStr">
        <is>
          <t>PC em analise</t>
        </is>
      </c>
      <c r="X4872" s="110" t="inlineStr">
        <is>
          <t>Pedido de Compra</t>
        </is>
      </c>
      <c r="Y4872" s="111" t="inlineStr">
        <is>
          <t>Impacto Potencial</t>
        </is>
      </c>
      <c r="Z4872" s="111" t="inlineStr">
        <is>
          <t>PC</t>
        </is>
      </c>
      <c r="AA4872" s="111" t="inlineStr">
        <is>
          <t>Nao</t>
        </is>
      </c>
      <c r="AB4872" s="111" t="inlineStr">
        <is>
          <t>NAO_COMPUTADO</t>
        </is>
      </c>
      <c r="AC4872" s="112" t="inlineStr">
        <is>
          <t>Estrutura Fase 1: sem impacto no VTA oficial</t>
        </is>
      </c>
    </row>
    <row r="4873" ht="25.5" customHeight="1" s="289">
      <c r="A4873" s="205" t="n"/>
      <c r="B4873" s="207" t="n"/>
      <c r="C4873" s="104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348" t="n"/>
      <c r="E4873" s="349">
        <f>IF(C4873="","",IFERROR(VLOOKUP(C4873,parametros!$A$11:$E$15,5,0),""))</f>
        <v/>
      </c>
      <c r="F4873" s="335">
        <f>IF(OR(D4873="",E4873=""),"",ROUND(D4873*E4873,2))</f>
        <v/>
      </c>
      <c r="G4873" s="106" t="n"/>
      <c r="H4873" s="350">
        <f>IF(G4873="Sim",IF(OR(F4873="",D4873="",L4873=""),"",IF(L4873="Sim",ROUND(F4873-D4873,2),0)),0)</f>
        <v/>
      </c>
      <c r="I4873" s="350">
        <f>IF(G4873="Sim",0,IF(OR(F4873="",L4873=""),"",F4873))</f>
        <v/>
      </c>
      <c r="J4873" s="350">
        <f>IF(G4873="Sim",0,IF(OR(F4873="",D4873="",L4873=""),"",IF(L4873="Sim",ROUND(F4873-D4873,2),0)))</f>
        <v/>
      </c>
      <c r="K4873" s="97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inlineStr">
        <is>
          <t>Nao</t>
        </is>
      </c>
      <c r="W4873" s="110" t="inlineStr">
        <is>
          <t>PC em analise</t>
        </is>
      </c>
      <c r="X4873" s="110" t="inlineStr">
        <is>
          <t>Pedido de Compra</t>
        </is>
      </c>
      <c r="Y4873" s="111" t="inlineStr">
        <is>
          <t>Impacto Potencial</t>
        </is>
      </c>
      <c r="Z4873" s="111" t="inlineStr">
        <is>
          <t>PC</t>
        </is>
      </c>
      <c r="AA4873" s="111" t="inlineStr">
        <is>
          <t>Nao</t>
        </is>
      </c>
      <c r="AB4873" s="111" t="inlineStr">
        <is>
          <t>NAO_COMPUTADO</t>
        </is>
      </c>
      <c r="AC4873" s="112" t="inlineStr">
        <is>
          <t>Estrutura Fase 1: sem impacto no VTA oficial</t>
        </is>
      </c>
    </row>
    <row r="4874" ht="25.5" customHeight="1" s="289">
      <c r="A4874" s="205" t="n"/>
      <c r="B4874" s="207" t="n"/>
      <c r="C4874" s="104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348" t="n"/>
      <c r="E4874" s="349">
        <f>IF(C4874="","",IFERROR(VLOOKUP(C4874,parametros!$A$11:$E$15,5,0),""))</f>
        <v/>
      </c>
      <c r="F4874" s="335">
        <f>IF(OR(D4874="",E4874=""),"",ROUND(D4874*E4874,2))</f>
        <v/>
      </c>
      <c r="G4874" s="106" t="n"/>
      <c r="H4874" s="350">
        <f>IF(G4874="Sim",IF(OR(F4874="",D4874="",L4874=""),"",IF(L4874="Sim",ROUND(F4874-D4874,2),0)),0)</f>
        <v/>
      </c>
      <c r="I4874" s="350">
        <f>IF(G4874="Sim",0,IF(OR(F4874="",L4874=""),"",F4874))</f>
        <v/>
      </c>
      <c r="J4874" s="350">
        <f>IF(G4874="Sim",0,IF(OR(F4874="",D4874="",L4874=""),"",IF(L4874="Sim",ROUND(F4874-D4874,2),0)))</f>
        <v/>
      </c>
      <c r="K4874" s="97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inlineStr">
        <is>
          <t>Nao</t>
        </is>
      </c>
      <c r="W4874" s="110" t="inlineStr">
        <is>
          <t>PC em analise</t>
        </is>
      </c>
      <c r="X4874" s="110" t="inlineStr">
        <is>
          <t>Pedido de Compra</t>
        </is>
      </c>
      <c r="Y4874" s="111" t="inlineStr">
        <is>
          <t>Impacto Potencial</t>
        </is>
      </c>
      <c r="Z4874" s="111" t="inlineStr">
        <is>
          <t>PC</t>
        </is>
      </c>
      <c r="AA4874" s="111" t="inlineStr">
        <is>
          <t>Nao</t>
        </is>
      </c>
      <c r="AB4874" s="111" t="inlineStr">
        <is>
          <t>NAO_COMPUTADO</t>
        </is>
      </c>
      <c r="AC4874" s="112" t="inlineStr">
        <is>
          <t>Estrutura Fase 1: sem impacto no VTA oficial</t>
        </is>
      </c>
    </row>
    <row r="4875" ht="25.5" customHeight="1" s="289">
      <c r="A4875" s="205" t="n"/>
      <c r="B4875" s="207" t="n"/>
      <c r="C4875" s="104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348" t="n"/>
      <c r="E4875" s="349">
        <f>IF(C4875="","",IFERROR(VLOOKUP(C4875,parametros!$A$11:$E$15,5,0),""))</f>
        <v/>
      </c>
      <c r="F4875" s="335">
        <f>IF(OR(D4875="",E4875=""),"",ROUND(D4875*E4875,2))</f>
        <v/>
      </c>
      <c r="G4875" s="106" t="n"/>
      <c r="H4875" s="350">
        <f>IF(G4875="Sim",IF(OR(F4875="",D4875="",L4875=""),"",IF(L4875="Sim",ROUND(F4875-D4875,2),0)),0)</f>
        <v/>
      </c>
      <c r="I4875" s="350">
        <f>IF(G4875="Sim",0,IF(OR(F4875="",L4875=""),"",F4875))</f>
        <v/>
      </c>
      <c r="J4875" s="350">
        <f>IF(G4875="Sim",0,IF(OR(F4875="",D4875="",L4875=""),"",IF(L4875="Sim",ROUND(F4875-D4875,2),0)))</f>
        <v/>
      </c>
      <c r="K4875" s="97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inlineStr">
        <is>
          <t>Nao</t>
        </is>
      </c>
      <c r="W4875" s="110" t="inlineStr">
        <is>
          <t>PC em analise</t>
        </is>
      </c>
      <c r="X4875" s="110" t="inlineStr">
        <is>
          <t>Pedido de Compra</t>
        </is>
      </c>
      <c r="Y4875" s="111" t="inlineStr">
        <is>
          <t>Impacto Potencial</t>
        </is>
      </c>
      <c r="Z4875" s="111" t="inlineStr">
        <is>
          <t>PC</t>
        </is>
      </c>
      <c r="AA4875" s="111" t="inlineStr">
        <is>
          <t>Nao</t>
        </is>
      </c>
      <c r="AB4875" s="111" t="inlineStr">
        <is>
          <t>NAO_COMPUTADO</t>
        </is>
      </c>
      <c r="AC4875" s="112" t="inlineStr">
        <is>
          <t>Estrutura Fase 1: sem impacto no VTA oficial</t>
        </is>
      </c>
    </row>
    <row r="4876" ht="25.5" customHeight="1" s="289">
      <c r="A4876" s="205" t="n"/>
      <c r="B4876" s="207" t="n"/>
      <c r="C4876" s="104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348" t="n"/>
      <c r="E4876" s="349">
        <f>IF(C4876="","",IFERROR(VLOOKUP(C4876,parametros!$A$11:$E$15,5,0),""))</f>
        <v/>
      </c>
      <c r="F4876" s="335">
        <f>IF(OR(D4876="",E4876=""),"",ROUND(D4876*E4876,2))</f>
        <v/>
      </c>
      <c r="G4876" s="106" t="n"/>
      <c r="H4876" s="350">
        <f>IF(G4876="Sim",IF(OR(F4876="",D4876="",L4876=""),"",IF(L4876="Sim",ROUND(F4876-D4876,2),0)),0)</f>
        <v/>
      </c>
      <c r="I4876" s="350">
        <f>IF(G4876="Sim",0,IF(OR(F4876="",L4876=""),"",F4876))</f>
        <v/>
      </c>
      <c r="J4876" s="350">
        <f>IF(G4876="Sim",0,IF(OR(F4876="",D4876="",L4876=""),"",IF(L4876="Sim",ROUND(F4876-D4876,2),0)))</f>
        <v/>
      </c>
      <c r="K4876" s="97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inlineStr">
        <is>
          <t>Nao</t>
        </is>
      </c>
      <c r="W4876" s="110" t="inlineStr">
        <is>
          <t>PC em analise</t>
        </is>
      </c>
      <c r="X4876" s="110" t="inlineStr">
        <is>
          <t>Pedido de Compra</t>
        </is>
      </c>
      <c r="Y4876" s="111" t="inlineStr">
        <is>
          <t>Impacto Potencial</t>
        </is>
      </c>
      <c r="Z4876" s="111" t="inlineStr">
        <is>
          <t>PC</t>
        </is>
      </c>
      <c r="AA4876" s="111" t="inlineStr">
        <is>
          <t>Nao</t>
        </is>
      </c>
      <c r="AB4876" s="111" t="inlineStr">
        <is>
          <t>NAO_COMPUTADO</t>
        </is>
      </c>
      <c r="AC4876" s="112" t="inlineStr">
        <is>
          <t>Estrutura Fase 1: sem impacto no VTA oficial</t>
        </is>
      </c>
    </row>
    <row r="4877" ht="25.5" customHeight="1" s="289">
      <c r="A4877" s="205" t="n"/>
      <c r="B4877" s="207" t="n"/>
      <c r="C4877" s="104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348" t="n"/>
      <c r="E4877" s="349">
        <f>IF(C4877="","",IFERROR(VLOOKUP(C4877,parametros!$A$11:$E$15,5,0),""))</f>
        <v/>
      </c>
      <c r="F4877" s="335">
        <f>IF(OR(D4877="",E4877=""),"",ROUND(D4877*E4877,2))</f>
        <v/>
      </c>
      <c r="G4877" s="106" t="n"/>
      <c r="H4877" s="350">
        <f>IF(G4877="Sim",IF(OR(F4877="",D4877="",L4877=""),"",IF(L4877="Sim",ROUND(F4877-D4877,2),0)),0)</f>
        <v/>
      </c>
      <c r="I4877" s="350">
        <f>IF(G4877="Sim",0,IF(OR(F4877="",L4877=""),"",F4877))</f>
        <v/>
      </c>
      <c r="J4877" s="350">
        <f>IF(G4877="Sim",0,IF(OR(F4877="",D4877="",L4877=""),"",IF(L4877="Sim",ROUND(F4877-D4877,2),0)))</f>
        <v/>
      </c>
      <c r="K4877" s="97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inlineStr">
        <is>
          <t>Nao</t>
        </is>
      </c>
      <c r="W4877" s="110" t="inlineStr">
        <is>
          <t>PC em analise</t>
        </is>
      </c>
      <c r="X4877" s="110" t="inlineStr">
        <is>
          <t>Pedido de Compra</t>
        </is>
      </c>
      <c r="Y4877" s="111" t="inlineStr">
        <is>
          <t>Impacto Potencial</t>
        </is>
      </c>
      <c r="Z4877" s="111" t="inlineStr">
        <is>
          <t>PC</t>
        </is>
      </c>
      <c r="AA4877" s="111" t="inlineStr">
        <is>
          <t>Nao</t>
        </is>
      </c>
      <c r="AB4877" s="111" t="inlineStr">
        <is>
          <t>NAO_COMPUTADO</t>
        </is>
      </c>
      <c r="AC4877" s="112" t="inlineStr">
        <is>
          <t>Estrutura Fase 1: sem impacto no VTA oficial</t>
        </is>
      </c>
    </row>
    <row r="4878" ht="25.5" customHeight="1" s="289">
      <c r="A4878" s="205" t="n"/>
      <c r="B4878" s="207" t="n"/>
      <c r="C4878" s="104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348" t="n"/>
      <c r="E4878" s="349">
        <f>IF(C4878="","",IFERROR(VLOOKUP(C4878,parametros!$A$11:$E$15,5,0),""))</f>
        <v/>
      </c>
      <c r="F4878" s="335">
        <f>IF(OR(D4878="",E4878=""),"",ROUND(D4878*E4878,2))</f>
        <v/>
      </c>
      <c r="G4878" s="106" t="n"/>
      <c r="H4878" s="350">
        <f>IF(G4878="Sim",IF(OR(F4878="",D4878="",L4878=""),"",IF(L4878="Sim",ROUND(F4878-D4878,2),0)),0)</f>
        <v/>
      </c>
      <c r="I4878" s="350">
        <f>IF(G4878="Sim",0,IF(OR(F4878="",L4878=""),"",F4878))</f>
        <v/>
      </c>
      <c r="J4878" s="350">
        <f>IF(G4878="Sim",0,IF(OR(F4878="",D4878="",L4878=""),"",IF(L4878="Sim",ROUND(F4878-D4878,2),0)))</f>
        <v/>
      </c>
      <c r="K4878" s="97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inlineStr">
        <is>
          <t>Nao</t>
        </is>
      </c>
      <c r="W4878" s="110" t="inlineStr">
        <is>
          <t>PC em analise</t>
        </is>
      </c>
      <c r="X4878" s="110" t="inlineStr">
        <is>
          <t>Pedido de Compra</t>
        </is>
      </c>
      <c r="Y4878" s="111" t="inlineStr">
        <is>
          <t>Impacto Potencial</t>
        </is>
      </c>
      <c r="Z4878" s="111" t="inlineStr">
        <is>
          <t>PC</t>
        </is>
      </c>
      <c r="AA4878" s="111" t="inlineStr">
        <is>
          <t>Nao</t>
        </is>
      </c>
      <c r="AB4878" s="111" t="inlineStr">
        <is>
          <t>NAO_COMPUTADO</t>
        </is>
      </c>
      <c r="AC4878" s="112" t="inlineStr">
        <is>
          <t>Estrutura Fase 1: sem impacto no VTA oficial</t>
        </is>
      </c>
    </row>
    <row r="4879" ht="25.5" customHeight="1" s="289">
      <c r="A4879" s="205" t="n"/>
      <c r="B4879" s="207" t="n"/>
      <c r="C4879" s="104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348" t="n"/>
      <c r="E4879" s="349">
        <f>IF(C4879="","",IFERROR(VLOOKUP(C4879,parametros!$A$11:$E$15,5,0),""))</f>
        <v/>
      </c>
      <c r="F4879" s="335">
        <f>IF(OR(D4879="",E4879=""),"",ROUND(D4879*E4879,2))</f>
        <v/>
      </c>
      <c r="G4879" s="106" t="n"/>
      <c r="H4879" s="350">
        <f>IF(G4879="Sim",IF(OR(F4879="",D4879="",L4879=""),"",IF(L4879="Sim",ROUND(F4879-D4879,2),0)),0)</f>
        <v/>
      </c>
      <c r="I4879" s="350">
        <f>IF(G4879="Sim",0,IF(OR(F4879="",L4879=""),"",F4879))</f>
        <v/>
      </c>
      <c r="J4879" s="350">
        <f>IF(G4879="Sim",0,IF(OR(F4879="",D4879="",L4879=""),"",IF(L4879="Sim",ROUND(F4879-D4879,2),0)))</f>
        <v/>
      </c>
      <c r="K4879" s="97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inlineStr">
        <is>
          <t>Nao</t>
        </is>
      </c>
      <c r="W4879" s="110" t="inlineStr">
        <is>
          <t>PC em analise</t>
        </is>
      </c>
      <c r="X4879" s="110" t="inlineStr">
        <is>
          <t>Pedido de Compra</t>
        </is>
      </c>
      <c r="Y4879" s="111" t="inlineStr">
        <is>
          <t>Impacto Potencial</t>
        </is>
      </c>
      <c r="Z4879" s="111" t="inlineStr">
        <is>
          <t>PC</t>
        </is>
      </c>
      <c r="AA4879" s="111" t="inlineStr">
        <is>
          <t>Nao</t>
        </is>
      </c>
      <c r="AB4879" s="111" t="inlineStr">
        <is>
          <t>NAO_COMPUTADO</t>
        </is>
      </c>
      <c r="AC4879" s="112" t="inlineStr">
        <is>
          <t>Estrutura Fase 1: sem impacto no VTA oficial</t>
        </is>
      </c>
    </row>
    <row r="4880" ht="25.5" customHeight="1" s="289">
      <c r="A4880" s="205" t="n"/>
      <c r="B4880" s="207" t="n"/>
      <c r="C4880" s="104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348" t="n"/>
      <c r="E4880" s="349">
        <f>IF(C4880="","",IFERROR(VLOOKUP(C4880,parametros!$A$11:$E$15,5,0),""))</f>
        <v/>
      </c>
      <c r="F4880" s="335">
        <f>IF(OR(D4880="",E4880=""),"",ROUND(D4880*E4880,2))</f>
        <v/>
      </c>
      <c r="G4880" s="106" t="n"/>
      <c r="H4880" s="350">
        <f>IF(G4880="Sim",IF(OR(F4880="",D4880="",L4880=""),"",IF(L4880="Sim",ROUND(F4880-D4880,2),0)),0)</f>
        <v/>
      </c>
      <c r="I4880" s="350">
        <f>IF(G4880="Sim",0,IF(OR(F4880="",L4880=""),"",F4880))</f>
        <v/>
      </c>
      <c r="J4880" s="350">
        <f>IF(G4880="Sim",0,IF(OR(F4880="",D4880="",L4880=""),"",IF(L4880="Sim",ROUND(F4880-D4880,2),0)))</f>
        <v/>
      </c>
      <c r="K4880" s="97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inlineStr">
        <is>
          <t>Nao</t>
        </is>
      </c>
      <c r="W4880" s="110" t="inlineStr">
        <is>
          <t>PC em analise</t>
        </is>
      </c>
      <c r="X4880" s="110" t="inlineStr">
        <is>
          <t>Pedido de Compra</t>
        </is>
      </c>
      <c r="Y4880" s="111" t="inlineStr">
        <is>
          <t>Impacto Potencial</t>
        </is>
      </c>
      <c r="Z4880" s="111" t="inlineStr">
        <is>
          <t>PC</t>
        </is>
      </c>
      <c r="AA4880" s="111" t="inlineStr">
        <is>
          <t>Nao</t>
        </is>
      </c>
      <c r="AB4880" s="111" t="inlineStr">
        <is>
          <t>NAO_COMPUTADO</t>
        </is>
      </c>
      <c r="AC4880" s="112" t="inlineStr">
        <is>
          <t>Estrutura Fase 1: sem impacto no VTA oficial</t>
        </is>
      </c>
    </row>
    <row r="4881" ht="25.5" customHeight="1" s="289">
      <c r="A4881" s="205" t="n"/>
      <c r="B4881" s="207" t="n"/>
      <c r="C4881" s="104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348" t="n"/>
      <c r="E4881" s="349">
        <f>IF(C4881="","",IFERROR(VLOOKUP(C4881,parametros!$A$11:$E$15,5,0),""))</f>
        <v/>
      </c>
      <c r="F4881" s="335">
        <f>IF(OR(D4881="",E4881=""),"",ROUND(D4881*E4881,2))</f>
        <v/>
      </c>
      <c r="G4881" s="106" t="n"/>
      <c r="H4881" s="350">
        <f>IF(G4881="Sim",IF(OR(F4881="",D4881="",L4881=""),"",IF(L4881="Sim",ROUND(F4881-D4881,2),0)),0)</f>
        <v/>
      </c>
      <c r="I4881" s="350">
        <f>IF(G4881="Sim",0,IF(OR(F4881="",L4881=""),"",F4881))</f>
        <v/>
      </c>
      <c r="J4881" s="350">
        <f>IF(G4881="Sim",0,IF(OR(F4881="",D4881="",L4881=""),"",IF(L4881="Sim",ROUND(F4881-D4881,2),0)))</f>
        <v/>
      </c>
      <c r="K4881" s="97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inlineStr">
        <is>
          <t>Nao</t>
        </is>
      </c>
      <c r="W4881" s="110" t="inlineStr">
        <is>
          <t>PC em analise</t>
        </is>
      </c>
      <c r="X4881" s="110" t="inlineStr">
        <is>
          <t>Pedido de Compra</t>
        </is>
      </c>
      <c r="Y4881" s="111" t="inlineStr">
        <is>
          <t>Impacto Potencial</t>
        </is>
      </c>
      <c r="Z4881" s="111" t="inlineStr">
        <is>
          <t>PC</t>
        </is>
      </c>
      <c r="AA4881" s="111" t="inlineStr">
        <is>
          <t>Nao</t>
        </is>
      </c>
      <c r="AB4881" s="111" t="inlineStr">
        <is>
          <t>NAO_COMPUTADO</t>
        </is>
      </c>
      <c r="AC4881" s="112" t="inlineStr">
        <is>
          <t>Estrutura Fase 1: sem impacto no VTA oficial</t>
        </is>
      </c>
    </row>
    <row r="4882" ht="25.5" customHeight="1" s="289">
      <c r="A4882" s="205" t="n"/>
      <c r="B4882" s="207" t="n"/>
      <c r="C4882" s="104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348" t="n"/>
      <c r="E4882" s="349">
        <f>IF(C4882="","",IFERROR(VLOOKUP(C4882,parametros!$A$11:$E$15,5,0),""))</f>
        <v/>
      </c>
      <c r="F4882" s="335">
        <f>IF(OR(D4882="",E4882=""),"",ROUND(D4882*E4882,2))</f>
        <v/>
      </c>
      <c r="G4882" s="106" t="n"/>
      <c r="H4882" s="350">
        <f>IF(G4882="Sim",IF(OR(F4882="",D4882="",L4882=""),"",IF(L4882="Sim",ROUND(F4882-D4882,2),0)),0)</f>
        <v/>
      </c>
      <c r="I4882" s="350">
        <f>IF(G4882="Sim",0,IF(OR(F4882="",L4882=""),"",F4882))</f>
        <v/>
      </c>
      <c r="J4882" s="350">
        <f>IF(G4882="Sim",0,IF(OR(F4882="",D4882="",L4882=""),"",IF(L4882="Sim",ROUND(F4882-D4882,2),0)))</f>
        <v/>
      </c>
      <c r="K4882" s="97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inlineStr">
        <is>
          <t>Nao</t>
        </is>
      </c>
      <c r="W4882" s="110" t="inlineStr">
        <is>
          <t>PC em analise</t>
        </is>
      </c>
      <c r="X4882" s="110" t="inlineStr">
        <is>
          <t>Pedido de Compra</t>
        </is>
      </c>
      <c r="Y4882" s="111" t="inlineStr">
        <is>
          <t>Impacto Potencial</t>
        </is>
      </c>
      <c r="Z4882" s="111" t="inlineStr">
        <is>
          <t>PC</t>
        </is>
      </c>
      <c r="AA4882" s="111" t="inlineStr">
        <is>
          <t>Nao</t>
        </is>
      </c>
      <c r="AB4882" s="111" t="inlineStr">
        <is>
          <t>NAO_COMPUTADO</t>
        </is>
      </c>
      <c r="AC4882" s="112" t="inlineStr">
        <is>
          <t>Estrutura Fase 1: sem impacto no VTA oficial</t>
        </is>
      </c>
    </row>
    <row r="4883" ht="25.5" customHeight="1" s="289">
      <c r="A4883" s="205" t="n"/>
      <c r="B4883" s="207" t="n"/>
      <c r="C4883" s="104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348" t="n"/>
      <c r="E4883" s="349">
        <f>IF(C4883="","",IFERROR(VLOOKUP(C4883,parametros!$A$11:$E$15,5,0),""))</f>
        <v/>
      </c>
      <c r="F4883" s="335">
        <f>IF(OR(D4883="",E4883=""),"",ROUND(D4883*E4883,2))</f>
        <v/>
      </c>
      <c r="G4883" s="106" t="n"/>
      <c r="H4883" s="350">
        <f>IF(G4883="Sim",IF(OR(F4883="",D4883="",L4883=""),"",IF(L4883="Sim",ROUND(F4883-D4883,2),0)),0)</f>
        <v/>
      </c>
      <c r="I4883" s="350">
        <f>IF(G4883="Sim",0,IF(OR(F4883="",L4883=""),"",F4883))</f>
        <v/>
      </c>
      <c r="J4883" s="350">
        <f>IF(G4883="Sim",0,IF(OR(F4883="",D4883="",L4883=""),"",IF(L4883="Sim",ROUND(F4883-D4883,2),0)))</f>
        <v/>
      </c>
      <c r="K4883" s="97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inlineStr">
        <is>
          <t>Nao</t>
        </is>
      </c>
      <c r="W4883" s="110" t="inlineStr">
        <is>
          <t>PC em analise</t>
        </is>
      </c>
      <c r="X4883" s="110" t="inlineStr">
        <is>
          <t>Pedido de Compra</t>
        </is>
      </c>
      <c r="Y4883" s="111" t="inlineStr">
        <is>
          <t>Impacto Potencial</t>
        </is>
      </c>
      <c r="Z4883" s="111" t="inlineStr">
        <is>
          <t>PC</t>
        </is>
      </c>
      <c r="AA4883" s="111" t="inlineStr">
        <is>
          <t>Nao</t>
        </is>
      </c>
      <c r="AB4883" s="111" t="inlineStr">
        <is>
          <t>NAO_COMPUTADO</t>
        </is>
      </c>
      <c r="AC4883" s="112" t="inlineStr">
        <is>
          <t>Estrutura Fase 1: sem impacto no VTA oficial</t>
        </is>
      </c>
    </row>
    <row r="4884" ht="25.5" customHeight="1" s="289">
      <c r="A4884" s="205" t="n"/>
      <c r="B4884" s="207" t="n"/>
      <c r="C4884" s="104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348" t="n"/>
      <c r="E4884" s="349">
        <f>IF(C4884="","",IFERROR(VLOOKUP(C4884,parametros!$A$11:$E$15,5,0),""))</f>
        <v/>
      </c>
      <c r="F4884" s="335">
        <f>IF(OR(D4884="",E4884=""),"",ROUND(D4884*E4884,2))</f>
        <v/>
      </c>
      <c r="G4884" s="106" t="n"/>
      <c r="H4884" s="350">
        <f>IF(G4884="Sim",IF(OR(F4884="",D4884="",L4884=""),"",IF(L4884="Sim",ROUND(F4884-D4884,2),0)),0)</f>
        <v/>
      </c>
      <c r="I4884" s="350">
        <f>IF(G4884="Sim",0,IF(OR(F4884="",L4884=""),"",F4884))</f>
        <v/>
      </c>
      <c r="J4884" s="350">
        <f>IF(G4884="Sim",0,IF(OR(F4884="",D4884="",L4884=""),"",IF(L4884="Sim",ROUND(F4884-D4884,2),0)))</f>
        <v/>
      </c>
      <c r="K4884" s="97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inlineStr">
        <is>
          <t>Nao</t>
        </is>
      </c>
      <c r="W4884" s="110" t="inlineStr">
        <is>
          <t>PC em analise</t>
        </is>
      </c>
      <c r="X4884" s="110" t="inlineStr">
        <is>
          <t>Pedido de Compra</t>
        </is>
      </c>
      <c r="Y4884" s="111" t="inlineStr">
        <is>
          <t>Impacto Potencial</t>
        </is>
      </c>
      <c r="Z4884" s="111" t="inlineStr">
        <is>
          <t>PC</t>
        </is>
      </c>
      <c r="AA4884" s="111" t="inlineStr">
        <is>
          <t>Nao</t>
        </is>
      </c>
      <c r="AB4884" s="111" t="inlineStr">
        <is>
          <t>NAO_COMPUTADO</t>
        </is>
      </c>
      <c r="AC4884" s="112" t="inlineStr">
        <is>
          <t>Estrutura Fase 1: sem impacto no VTA oficial</t>
        </is>
      </c>
    </row>
    <row r="4885" ht="25.5" customHeight="1" s="289">
      <c r="A4885" s="205" t="n"/>
      <c r="B4885" s="207" t="n"/>
      <c r="C4885" s="104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348" t="n"/>
      <c r="E4885" s="349">
        <f>IF(C4885="","",IFERROR(VLOOKUP(C4885,parametros!$A$11:$E$15,5,0),""))</f>
        <v/>
      </c>
      <c r="F4885" s="335">
        <f>IF(OR(D4885="",E4885=""),"",ROUND(D4885*E4885,2))</f>
        <v/>
      </c>
      <c r="G4885" s="106" t="n"/>
      <c r="H4885" s="350">
        <f>IF(G4885="Sim",IF(OR(F4885="",D4885="",L4885=""),"",IF(L4885="Sim",ROUND(F4885-D4885,2),0)),0)</f>
        <v/>
      </c>
      <c r="I4885" s="350">
        <f>IF(G4885="Sim",0,IF(OR(F4885="",L4885=""),"",F4885))</f>
        <v/>
      </c>
      <c r="J4885" s="350">
        <f>IF(G4885="Sim",0,IF(OR(F4885="",D4885="",L4885=""),"",IF(L4885="Sim",ROUND(F4885-D4885,2),0)))</f>
        <v/>
      </c>
      <c r="K4885" s="97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inlineStr">
        <is>
          <t>Nao</t>
        </is>
      </c>
      <c r="W4885" s="110" t="inlineStr">
        <is>
          <t>PC em analise</t>
        </is>
      </c>
      <c r="X4885" s="110" t="inlineStr">
        <is>
          <t>Pedido de Compra</t>
        </is>
      </c>
      <c r="Y4885" s="111" t="inlineStr">
        <is>
          <t>Impacto Potencial</t>
        </is>
      </c>
      <c r="Z4885" s="111" t="inlineStr">
        <is>
          <t>PC</t>
        </is>
      </c>
      <c r="AA4885" s="111" t="inlineStr">
        <is>
          <t>Nao</t>
        </is>
      </c>
      <c r="AB4885" s="111" t="inlineStr">
        <is>
          <t>NAO_COMPUTADO</t>
        </is>
      </c>
      <c r="AC4885" s="112" t="inlineStr">
        <is>
          <t>Estrutura Fase 1: sem impacto no VTA oficial</t>
        </is>
      </c>
    </row>
    <row r="4886" ht="25.5" customHeight="1" s="289">
      <c r="A4886" s="205" t="n"/>
      <c r="B4886" s="207" t="n"/>
      <c r="C4886" s="104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348" t="n"/>
      <c r="E4886" s="349">
        <f>IF(C4886="","",IFERROR(VLOOKUP(C4886,parametros!$A$11:$E$15,5,0),""))</f>
        <v/>
      </c>
      <c r="F4886" s="335">
        <f>IF(OR(D4886="",E4886=""),"",ROUND(D4886*E4886,2))</f>
        <v/>
      </c>
      <c r="G4886" s="106" t="n"/>
      <c r="H4886" s="350">
        <f>IF(G4886="Sim",IF(OR(F4886="",D4886="",L4886=""),"",IF(L4886="Sim",ROUND(F4886-D4886,2),0)),0)</f>
        <v/>
      </c>
      <c r="I4886" s="350">
        <f>IF(G4886="Sim",0,IF(OR(F4886="",L4886=""),"",F4886))</f>
        <v/>
      </c>
      <c r="J4886" s="350">
        <f>IF(G4886="Sim",0,IF(OR(F4886="",D4886="",L4886=""),"",IF(L4886="Sim",ROUND(F4886-D4886,2),0)))</f>
        <v/>
      </c>
      <c r="K4886" s="97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inlineStr">
        <is>
          <t>Nao</t>
        </is>
      </c>
      <c r="W4886" s="110" t="inlineStr">
        <is>
          <t>PC em analise</t>
        </is>
      </c>
      <c r="X4886" s="110" t="inlineStr">
        <is>
          <t>Pedido de Compra</t>
        </is>
      </c>
      <c r="Y4886" s="111" t="inlineStr">
        <is>
          <t>Impacto Potencial</t>
        </is>
      </c>
      <c r="Z4886" s="111" t="inlineStr">
        <is>
          <t>PC</t>
        </is>
      </c>
      <c r="AA4886" s="111" t="inlineStr">
        <is>
          <t>Nao</t>
        </is>
      </c>
      <c r="AB4886" s="111" t="inlineStr">
        <is>
          <t>NAO_COMPUTADO</t>
        </is>
      </c>
      <c r="AC4886" s="112" t="inlineStr">
        <is>
          <t>Estrutura Fase 1: sem impacto no VTA oficial</t>
        </is>
      </c>
    </row>
    <row r="4887" ht="25.5" customHeight="1" s="289">
      <c r="A4887" s="205" t="n"/>
      <c r="B4887" s="207" t="n"/>
      <c r="C4887" s="104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348" t="n"/>
      <c r="E4887" s="349">
        <f>IF(C4887="","",IFERROR(VLOOKUP(C4887,parametros!$A$11:$E$15,5,0),""))</f>
        <v/>
      </c>
      <c r="F4887" s="335">
        <f>IF(OR(D4887="",E4887=""),"",ROUND(D4887*E4887,2))</f>
        <v/>
      </c>
      <c r="G4887" s="106" t="n"/>
      <c r="H4887" s="350">
        <f>IF(G4887="Sim",IF(OR(F4887="",D4887="",L4887=""),"",IF(L4887="Sim",ROUND(F4887-D4887,2),0)),0)</f>
        <v/>
      </c>
      <c r="I4887" s="350">
        <f>IF(G4887="Sim",0,IF(OR(F4887="",L4887=""),"",F4887))</f>
        <v/>
      </c>
      <c r="J4887" s="350">
        <f>IF(G4887="Sim",0,IF(OR(F4887="",D4887="",L4887=""),"",IF(L4887="Sim",ROUND(F4887-D4887,2),0)))</f>
        <v/>
      </c>
      <c r="K4887" s="97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inlineStr">
        <is>
          <t>Nao</t>
        </is>
      </c>
      <c r="W4887" s="110" t="inlineStr">
        <is>
          <t>PC em analise</t>
        </is>
      </c>
      <c r="X4887" s="110" t="inlineStr">
        <is>
          <t>Pedido de Compra</t>
        </is>
      </c>
      <c r="Y4887" s="111" t="inlineStr">
        <is>
          <t>Impacto Potencial</t>
        </is>
      </c>
      <c r="Z4887" s="111" t="inlineStr">
        <is>
          <t>PC</t>
        </is>
      </c>
      <c r="AA4887" s="111" t="inlineStr">
        <is>
          <t>Nao</t>
        </is>
      </c>
      <c r="AB4887" s="111" t="inlineStr">
        <is>
          <t>NAO_COMPUTADO</t>
        </is>
      </c>
      <c r="AC4887" s="112" t="inlineStr">
        <is>
          <t>Estrutura Fase 1: sem impacto no VTA oficial</t>
        </is>
      </c>
    </row>
    <row r="4888" ht="25.5" customHeight="1" s="289">
      <c r="A4888" s="205" t="n"/>
      <c r="B4888" s="207" t="n"/>
      <c r="C4888" s="104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348" t="n"/>
      <c r="E4888" s="349">
        <f>IF(C4888="","",IFERROR(VLOOKUP(C4888,parametros!$A$11:$E$15,5,0),""))</f>
        <v/>
      </c>
      <c r="F4888" s="335">
        <f>IF(OR(D4888="",E4888=""),"",ROUND(D4888*E4888,2))</f>
        <v/>
      </c>
      <c r="G4888" s="106" t="n"/>
      <c r="H4888" s="350">
        <f>IF(G4888="Sim",IF(OR(F4888="",D4888="",L4888=""),"",IF(L4888="Sim",ROUND(F4888-D4888,2),0)),0)</f>
        <v/>
      </c>
      <c r="I4888" s="350">
        <f>IF(G4888="Sim",0,IF(OR(F4888="",L4888=""),"",F4888))</f>
        <v/>
      </c>
      <c r="J4888" s="350">
        <f>IF(G4888="Sim",0,IF(OR(F4888="",D4888="",L4888=""),"",IF(L4888="Sim",ROUND(F4888-D4888,2),0)))</f>
        <v/>
      </c>
      <c r="K4888" s="97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inlineStr">
        <is>
          <t>Nao</t>
        </is>
      </c>
      <c r="W4888" s="110" t="inlineStr">
        <is>
          <t>PC em analise</t>
        </is>
      </c>
      <c r="X4888" s="110" t="inlineStr">
        <is>
          <t>Pedido de Compra</t>
        </is>
      </c>
      <c r="Y4888" s="111" t="inlineStr">
        <is>
          <t>Impacto Potencial</t>
        </is>
      </c>
      <c r="Z4888" s="111" t="inlineStr">
        <is>
          <t>PC</t>
        </is>
      </c>
      <c r="AA4888" s="111" t="inlineStr">
        <is>
          <t>Nao</t>
        </is>
      </c>
      <c r="AB4888" s="111" t="inlineStr">
        <is>
          <t>NAO_COMPUTADO</t>
        </is>
      </c>
      <c r="AC4888" s="112" t="inlineStr">
        <is>
          <t>Estrutura Fase 1: sem impacto no VTA oficial</t>
        </is>
      </c>
    </row>
    <row r="4889" ht="25.5" customHeight="1" s="289">
      <c r="A4889" s="205" t="n"/>
      <c r="B4889" s="207" t="n"/>
      <c r="C4889" s="104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348" t="n"/>
      <c r="E4889" s="349">
        <f>IF(C4889="","",IFERROR(VLOOKUP(C4889,parametros!$A$11:$E$15,5,0),""))</f>
        <v/>
      </c>
      <c r="F4889" s="335">
        <f>IF(OR(D4889="",E4889=""),"",ROUND(D4889*E4889,2))</f>
        <v/>
      </c>
      <c r="G4889" s="106" t="n"/>
      <c r="H4889" s="350">
        <f>IF(G4889="Sim",IF(OR(F4889="",D4889="",L4889=""),"",IF(L4889="Sim",ROUND(F4889-D4889,2),0)),0)</f>
        <v/>
      </c>
      <c r="I4889" s="350">
        <f>IF(G4889="Sim",0,IF(OR(F4889="",L4889=""),"",F4889))</f>
        <v/>
      </c>
      <c r="J4889" s="350">
        <f>IF(G4889="Sim",0,IF(OR(F4889="",D4889="",L4889=""),"",IF(L4889="Sim",ROUND(F4889-D4889,2),0)))</f>
        <v/>
      </c>
      <c r="K4889" s="97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inlineStr">
        <is>
          <t>Nao</t>
        </is>
      </c>
      <c r="W4889" s="110" t="inlineStr">
        <is>
          <t>PC em analise</t>
        </is>
      </c>
      <c r="X4889" s="110" t="inlineStr">
        <is>
          <t>Pedido de Compra</t>
        </is>
      </c>
      <c r="Y4889" s="111" t="inlineStr">
        <is>
          <t>Impacto Potencial</t>
        </is>
      </c>
      <c r="Z4889" s="111" t="inlineStr">
        <is>
          <t>PC</t>
        </is>
      </c>
      <c r="AA4889" s="111" t="inlineStr">
        <is>
          <t>Nao</t>
        </is>
      </c>
      <c r="AB4889" s="111" t="inlineStr">
        <is>
          <t>NAO_COMPUTADO</t>
        </is>
      </c>
      <c r="AC4889" s="112" t="inlineStr">
        <is>
          <t>Estrutura Fase 1: sem impacto no VTA oficial</t>
        </is>
      </c>
    </row>
    <row r="4890" ht="25.5" customHeight="1" s="289">
      <c r="A4890" s="205" t="n"/>
      <c r="B4890" s="207" t="n"/>
      <c r="C4890" s="104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348" t="n"/>
      <c r="E4890" s="349">
        <f>IF(C4890="","",IFERROR(VLOOKUP(C4890,parametros!$A$11:$E$15,5,0),""))</f>
        <v/>
      </c>
      <c r="F4890" s="335">
        <f>IF(OR(D4890="",E4890=""),"",ROUND(D4890*E4890,2))</f>
        <v/>
      </c>
      <c r="G4890" s="106" t="n"/>
      <c r="H4890" s="350">
        <f>IF(G4890="Sim",IF(OR(F4890="",D4890="",L4890=""),"",IF(L4890="Sim",ROUND(F4890-D4890,2),0)),0)</f>
        <v/>
      </c>
      <c r="I4890" s="350">
        <f>IF(G4890="Sim",0,IF(OR(F4890="",L4890=""),"",F4890))</f>
        <v/>
      </c>
      <c r="J4890" s="350">
        <f>IF(G4890="Sim",0,IF(OR(F4890="",D4890="",L4890=""),"",IF(L4890="Sim",ROUND(F4890-D4890,2),0)))</f>
        <v/>
      </c>
      <c r="K4890" s="97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inlineStr">
        <is>
          <t>Nao</t>
        </is>
      </c>
      <c r="W4890" s="110" t="inlineStr">
        <is>
          <t>PC em analise</t>
        </is>
      </c>
      <c r="X4890" s="110" t="inlineStr">
        <is>
          <t>Pedido de Compra</t>
        </is>
      </c>
      <c r="Y4890" s="111" t="inlineStr">
        <is>
          <t>Impacto Potencial</t>
        </is>
      </c>
      <c r="Z4890" s="111" t="inlineStr">
        <is>
          <t>PC</t>
        </is>
      </c>
      <c r="AA4890" s="111" t="inlineStr">
        <is>
          <t>Nao</t>
        </is>
      </c>
      <c r="AB4890" s="111" t="inlineStr">
        <is>
          <t>NAO_COMPUTADO</t>
        </is>
      </c>
      <c r="AC4890" s="112" t="inlineStr">
        <is>
          <t>Estrutura Fase 1: sem impacto no VTA oficial</t>
        </is>
      </c>
    </row>
    <row r="4891" ht="25.5" customHeight="1" s="289">
      <c r="A4891" s="205" t="n"/>
      <c r="B4891" s="207" t="n"/>
      <c r="C4891" s="104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348" t="n"/>
      <c r="E4891" s="349">
        <f>IF(C4891="","",IFERROR(VLOOKUP(C4891,parametros!$A$11:$E$15,5,0),""))</f>
        <v/>
      </c>
      <c r="F4891" s="335">
        <f>IF(OR(D4891="",E4891=""),"",ROUND(D4891*E4891,2))</f>
        <v/>
      </c>
      <c r="G4891" s="106" t="n"/>
      <c r="H4891" s="350">
        <f>IF(G4891="Sim",IF(OR(F4891="",D4891="",L4891=""),"",IF(L4891="Sim",ROUND(F4891-D4891,2),0)),0)</f>
        <v/>
      </c>
      <c r="I4891" s="350">
        <f>IF(G4891="Sim",0,IF(OR(F4891="",L4891=""),"",F4891))</f>
        <v/>
      </c>
      <c r="J4891" s="350">
        <f>IF(G4891="Sim",0,IF(OR(F4891="",D4891="",L4891=""),"",IF(L4891="Sim",ROUND(F4891-D4891,2),0)))</f>
        <v/>
      </c>
      <c r="K4891" s="97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inlineStr">
        <is>
          <t>Nao</t>
        </is>
      </c>
      <c r="W4891" s="110" t="inlineStr">
        <is>
          <t>PC em analise</t>
        </is>
      </c>
      <c r="X4891" s="110" t="inlineStr">
        <is>
          <t>Pedido de Compra</t>
        </is>
      </c>
      <c r="Y4891" s="111" t="inlineStr">
        <is>
          <t>Impacto Potencial</t>
        </is>
      </c>
      <c r="Z4891" s="111" t="inlineStr">
        <is>
          <t>PC</t>
        </is>
      </c>
      <c r="AA4891" s="111" t="inlineStr">
        <is>
          <t>Nao</t>
        </is>
      </c>
      <c r="AB4891" s="111" t="inlineStr">
        <is>
          <t>NAO_COMPUTADO</t>
        </is>
      </c>
      <c r="AC4891" s="112" t="inlineStr">
        <is>
          <t>Estrutura Fase 1: sem impacto no VTA oficial</t>
        </is>
      </c>
    </row>
    <row r="4892" ht="25.5" customHeight="1" s="289">
      <c r="A4892" s="205" t="n"/>
      <c r="B4892" s="207" t="n"/>
      <c r="C4892" s="104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348" t="n"/>
      <c r="E4892" s="349">
        <f>IF(C4892="","",IFERROR(VLOOKUP(C4892,parametros!$A$11:$E$15,5,0),""))</f>
        <v/>
      </c>
      <c r="F4892" s="335">
        <f>IF(OR(D4892="",E4892=""),"",ROUND(D4892*E4892,2))</f>
        <v/>
      </c>
      <c r="G4892" s="106" t="n"/>
      <c r="H4892" s="350">
        <f>IF(G4892="Sim",IF(OR(F4892="",D4892="",L4892=""),"",IF(L4892="Sim",ROUND(F4892-D4892,2),0)),0)</f>
        <v/>
      </c>
      <c r="I4892" s="350">
        <f>IF(G4892="Sim",0,IF(OR(F4892="",L4892=""),"",F4892))</f>
        <v/>
      </c>
      <c r="J4892" s="350">
        <f>IF(G4892="Sim",0,IF(OR(F4892="",D4892="",L4892=""),"",IF(L4892="Sim",ROUND(F4892-D4892,2),0)))</f>
        <v/>
      </c>
      <c r="K4892" s="97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inlineStr">
        <is>
          <t>Nao</t>
        </is>
      </c>
      <c r="W4892" s="110" t="inlineStr">
        <is>
          <t>PC em analise</t>
        </is>
      </c>
      <c r="X4892" s="110" t="inlineStr">
        <is>
          <t>Pedido de Compra</t>
        </is>
      </c>
      <c r="Y4892" s="111" t="inlineStr">
        <is>
          <t>Impacto Potencial</t>
        </is>
      </c>
      <c r="Z4892" s="111" t="inlineStr">
        <is>
          <t>PC</t>
        </is>
      </c>
      <c r="AA4892" s="111" t="inlineStr">
        <is>
          <t>Nao</t>
        </is>
      </c>
      <c r="AB4892" s="111" t="inlineStr">
        <is>
          <t>NAO_COMPUTADO</t>
        </is>
      </c>
      <c r="AC4892" s="112" t="inlineStr">
        <is>
          <t>Estrutura Fase 1: sem impacto no VTA oficial</t>
        </is>
      </c>
    </row>
    <row r="4893" ht="25.5" customHeight="1" s="289">
      <c r="A4893" s="205" t="n"/>
      <c r="B4893" s="207" t="n"/>
      <c r="C4893" s="104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348" t="n"/>
      <c r="E4893" s="349">
        <f>IF(C4893="","",IFERROR(VLOOKUP(C4893,parametros!$A$11:$E$15,5,0),""))</f>
        <v/>
      </c>
      <c r="F4893" s="335">
        <f>IF(OR(D4893="",E4893=""),"",ROUND(D4893*E4893,2))</f>
        <v/>
      </c>
      <c r="G4893" s="106" t="n"/>
      <c r="H4893" s="350">
        <f>IF(G4893="Sim",IF(OR(F4893="",D4893="",L4893=""),"",IF(L4893="Sim",ROUND(F4893-D4893,2),0)),0)</f>
        <v/>
      </c>
      <c r="I4893" s="350">
        <f>IF(G4893="Sim",0,IF(OR(F4893="",L4893=""),"",F4893))</f>
        <v/>
      </c>
      <c r="J4893" s="350">
        <f>IF(G4893="Sim",0,IF(OR(F4893="",D4893="",L4893=""),"",IF(L4893="Sim",ROUND(F4893-D4893,2),0)))</f>
        <v/>
      </c>
      <c r="K4893" s="97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inlineStr">
        <is>
          <t>Nao</t>
        </is>
      </c>
      <c r="W4893" s="110" t="inlineStr">
        <is>
          <t>PC em analise</t>
        </is>
      </c>
      <c r="X4893" s="110" t="inlineStr">
        <is>
          <t>Pedido de Compra</t>
        </is>
      </c>
      <c r="Y4893" s="111" t="inlineStr">
        <is>
          <t>Impacto Potencial</t>
        </is>
      </c>
      <c r="Z4893" s="111" t="inlineStr">
        <is>
          <t>PC</t>
        </is>
      </c>
      <c r="AA4893" s="111" t="inlineStr">
        <is>
          <t>Nao</t>
        </is>
      </c>
      <c r="AB4893" s="111" t="inlineStr">
        <is>
          <t>NAO_COMPUTADO</t>
        </is>
      </c>
      <c r="AC4893" s="112" t="inlineStr">
        <is>
          <t>Estrutura Fase 1: sem impacto no VTA oficial</t>
        </is>
      </c>
    </row>
    <row r="4894" ht="25.5" customHeight="1" s="289">
      <c r="A4894" s="205" t="n"/>
      <c r="B4894" s="207" t="n"/>
      <c r="C4894" s="104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348" t="n"/>
      <c r="E4894" s="349">
        <f>IF(C4894="","",IFERROR(VLOOKUP(C4894,parametros!$A$11:$E$15,5,0),""))</f>
        <v/>
      </c>
      <c r="F4894" s="335">
        <f>IF(OR(D4894="",E4894=""),"",ROUND(D4894*E4894,2))</f>
        <v/>
      </c>
      <c r="G4894" s="106" t="n"/>
      <c r="H4894" s="350">
        <f>IF(G4894="Sim",IF(OR(F4894="",D4894="",L4894=""),"",IF(L4894="Sim",ROUND(F4894-D4894,2),0)),0)</f>
        <v/>
      </c>
      <c r="I4894" s="350">
        <f>IF(G4894="Sim",0,IF(OR(F4894="",L4894=""),"",F4894))</f>
        <v/>
      </c>
      <c r="J4894" s="350">
        <f>IF(G4894="Sim",0,IF(OR(F4894="",D4894="",L4894=""),"",IF(L4894="Sim",ROUND(F4894-D4894,2),0)))</f>
        <v/>
      </c>
      <c r="K4894" s="97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inlineStr">
        <is>
          <t>Nao</t>
        </is>
      </c>
      <c r="W4894" s="110" t="inlineStr">
        <is>
          <t>PC em analise</t>
        </is>
      </c>
      <c r="X4894" s="110" t="inlineStr">
        <is>
          <t>Pedido de Compra</t>
        </is>
      </c>
      <c r="Y4894" s="111" t="inlineStr">
        <is>
          <t>Impacto Potencial</t>
        </is>
      </c>
      <c r="Z4894" s="111" t="inlineStr">
        <is>
          <t>PC</t>
        </is>
      </c>
      <c r="AA4894" s="111" t="inlineStr">
        <is>
          <t>Nao</t>
        </is>
      </c>
      <c r="AB4894" s="111" t="inlineStr">
        <is>
          <t>NAO_COMPUTADO</t>
        </is>
      </c>
      <c r="AC4894" s="112" t="inlineStr">
        <is>
          <t>Estrutura Fase 1: sem impacto no VTA oficial</t>
        </is>
      </c>
    </row>
    <row r="4895" ht="25.5" customHeight="1" s="289">
      <c r="A4895" s="205" t="n"/>
      <c r="B4895" s="207" t="n"/>
      <c r="C4895" s="104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348" t="n"/>
      <c r="E4895" s="349">
        <f>IF(C4895="","",IFERROR(VLOOKUP(C4895,parametros!$A$11:$E$15,5,0),""))</f>
        <v/>
      </c>
      <c r="F4895" s="335">
        <f>IF(OR(D4895="",E4895=""),"",ROUND(D4895*E4895,2))</f>
        <v/>
      </c>
      <c r="G4895" s="106" t="n"/>
      <c r="H4895" s="350">
        <f>IF(G4895="Sim",IF(OR(F4895="",D4895="",L4895=""),"",IF(L4895="Sim",ROUND(F4895-D4895,2),0)),0)</f>
        <v/>
      </c>
      <c r="I4895" s="350">
        <f>IF(G4895="Sim",0,IF(OR(F4895="",L4895=""),"",F4895))</f>
        <v/>
      </c>
      <c r="J4895" s="350">
        <f>IF(G4895="Sim",0,IF(OR(F4895="",D4895="",L4895=""),"",IF(L4895="Sim",ROUND(F4895-D4895,2),0)))</f>
        <v/>
      </c>
      <c r="K4895" s="97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inlineStr">
        <is>
          <t>Nao</t>
        </is>
      </c>
      <c r="W4895" s="110" t="inlineStr">
        <is>
          <t>PC em analise</t>
        </is>
      </c>
      <c r="X4895" s="110" t="inlineStr">
        <is>
          <t>Pedido de Compra</t>
        </is>
      </c>
      <c r="Y4895" s="111" t="inlineStr">
        <is>
          <t>Impacto Potencial</t>
        </is>
      </c>
      <c r="Z4895" s="111" t="inlineStr">
        <is>
          <t>PC</t>
        </is>
      </c>
      <c r="AA4895" s="111" t="inlineStr">
        <is>
          <t>Nao</t>
        </is>
      </c>
      <c r="AB4895" s="111" t="inlineStr">
        <is>
          <t>NAO_COMPUTADO</t>
        </is>
      </c>
      <c r="AC4895" s="112" t="inlineStr">
        <is>
          <t>Estrutura Fase 1: sem impacto no VTA oficial</t>
        </is>
      </c>
    </row>
    <row r="4896" ht="25.5" customHeight="1" s="289">
      <c r="A4896" s="205" t="n"/>
      <c r="B4896" s="207" t="n"/>
      <c r="C4896" s="104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348" t="n"/>
      <c r="E4896" s="349">
        <f>IF(C4896="","",IFERROR(VLOOKUP(C4896,parametros!$A$11:$E$15,5,0),""))</f>
        <v/>
      </c>
      <c r="F4896" s="335">
        <f>IF(OR(D4896="",E4896=""),"",ROUND(D4896*E4896,2))</f>
        <v/>
      </c>
      <c r="G4896" s="106" t="n"/>
      <c r="H4896" s="350">
        <f>IF(G4896="Sim",IF(OR(F4896="",D4896="",L4896=""),"",IF(L4896="Sim",ROUND(F4896-D4896,2),0)),0)</f>
        <v/>
      </c>
      <c r="I4896" s="350">
        <f>IF(G4896="Sim",0,IF(OR(F4896="",L4896=""),"",F4896))</f>
        <v/>
      </c>
      <c r="J4896" s="350">
        <f>IF(G4896="Sim",0,IF(OR(F4896="",D4896="",L4896=""),"",IF(L4896="Sim",ROUND(F4896-D4896,2),0)))</f>
        <v/>
      </c>
      <c r="K4896" s="97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inlineStr">
        <is>
          <t>Nao</t>
        </is>
      </c>
      <c r="W4896" s="110" t="inlineStr">
        <is>
          <t>PC em analise</t>
        </is>
      </c>
      <c r="X4896" s="110" t="inlineStr">
        <is>
          <t>Pedido de Compra</t>
        </is>
      </c>
      <c r="Y4896" s="111" t="inlineStr">
        <is>
          <t>Impacto Potencial</t>
        </is>
      </c>
      <c r="Z4896" s="111" t="inlineStr">
        <is>
          <t>PC</t>
        </is>
      </c>
      <c r="AA4896" s="111" t="inlineStr">
        <is>
          <t>Nao</t>
        </is>
      </c>
      <c r="AB4896" s="111" t="inlineStr">
        <is>
          <t>NAO_COMPUTADO</t>
        </is>
      </c>
      <c r="AC4896" s="112" t="inlineStr">
        <is>
          <t>Estrutura Fase 1: sem impacto no VTA oficial</t>
        </is>
      </c>
    </row>
    <row r="4897" ht="25.5" customHeight="1" s="289">
      <c r="A4897" s="205" t="n"/>
      <c r="B4897" s="207" t="n"/>
      <c r="C4897" s="104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348" t="n"/>
      <c r="E4897" s="349">
        <f>IF(C4897="","",IFERROR(VLOOKUP(C4897,parametros!$A$11:$E$15,5,0),""))</f>
        <v/>
      </c>
      <c r="F4897" s="335">
        <f>IF(OR(D4897="",E4897=""),"",ROUND(D4897*E4897,2))</f>
        <v/>
      </c>
      <c r="G4897" s="106" t="n"/>
      <c r="H4897" s="350">
        <f>IF(G4897="Sim",IF(OR(F4897="",D4897="",L4897=""),"",IF(L4897="Sim",ROUND(F4897-D4897,2),0)),0)</f>
        <v/>
      </c>
      <c r="I4897" s="350">
        <f>IF(G4897="Sim",0,IF(OR(F4897="",L4897=""),"",F4897))</f>
        <v/>
      </c>
      <c r="J4897" s="350">
        <f>IF(G4897="Sim",0,IF(OR(F4897="",D4897="",L4897=""),"",IF(L4897="Sim",ROUND(F4897-D4897,2),0)))</f>
        <v/>
      </c>
      <c r="K4897" s="97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inlineStr">
        <is>
          <t>Nao</t>
        </is>
      </c>
      <c r="W4897" s="110" t="inlineStr">
        <is>
          <t>PC em analise</t>
        </is>
      </c>
      <c r="X4897" s="110" t="inlineStr">
        <is>
          <t>Pedido de Compra</t>
        </is>
      </c>
      <c r="Y4897" s="111" t="inlineStr">
        <is>
          <t>Impacto Potencial</t>
        </is>
      </c>
      <c r="Z4897" s="111" t="inlineStr">
        <is>
          <t>PC</t>
        </is>
      </c>
      <c r="AA4897" s="111" t="inlineStr">
        <is>
          <t>Nao</t>
        </is>
      </c>
      <c r="AB4897" s="111" t="inlineStr">
        <is>
          <t>NAO_COMPUTADO</t>
        </is>
      </c>
      <c r="AC4897" s="112" t="inlineStr">
        <is>
          <t>Estrutura Fase 1: sem impacto no VTA oficial</t>
        </is>
      </c>
    </row>
    <row r="4898" ht="25.5" customHeight="1" s="289">
      <c r="A4898" s="205" t="n"/>
      <c r="B4898" s="207" t="n"/>
      <c r="C4898" s="104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348" t="n"/>
      <c r="E4898" s="349">
        <f>IF(C4898="","",IFERROR(VLOOKUP(C4898,parametros!$A$11:$E$15,5,0),""))</f>
        <v/>
      </c>
      <c r="F4898" s="335">
        <f>IF(OR(D4898="",E4898=""),"",ROUND(D4898*E4898,2))</f>
        <v/>
      </c>
      <c r="G4898" s="106" t="n"/>
      <c r="H4898" s="350">
        <f>IF(G4898="Sim",IF(OR(F4898="",D4898="",L4898=""),"",IF(L4898="Sim",ROUND(F4898-D4898,2),0)),0)</f>
        <v/>
      </c>
      <c r="I4898" s="350">
        <f>IF(G4898="Sim",0,IF(OR(F4898="",L4898=""),"",F4898))</f>
        <v/>
      </c>
      <c r="J4898" s="350">
        <f>IF(G4898="Sim",0,IF(OR(F4898="",D4898="",L4898=""),"",IF(L4898="Sim",ROUND(F4898-D4898,2),0)))</f>
        <v/>
      </c>
      <c r="K4898" s="97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inlineStr">
        <is>
          <t>Nao</t>
        </is>
      </c>
      <c r="W4898" s="110" t="inlineStr">
        <is>
          <t>PC em analise</t>
        </is>
      </c>
      <c r="X4898" s="110" t="inlineStr">
        <is>
          <t>Pedido de Compra</t>
        </is>
      </c>
      <c r="Y4898" s="111" t="inlineStr">
        <is>
          <t>Impacto Potencial</t>
        </is>
      </c>
      <c r="Z4898" s="111" t="inlineStr">
        <is>
          <t>PC</t>
        </is>
      </c>
      <c r="AA4898" s="111" t="inlineStr">
        <is>
          <t>Nao</t>
        </is>
      </c>
      <c r="AB4898" s="111" t="inlineStr">
        <is>
          <t>NAO_COMPUTADO</t>
        </is>
      </c>
      <c r="AC4898" s="112" t="inlineStr">
        <is>
          <t>Estrutura Fase 1: sem impacto no VTA oficial</t>
        </is>
      </c>
    </row>
    <row r="4899" ht="25.5" customHeight="1" s="289">
      <c r="A4899" s="205" t="n"/>
      <c r="B4899" s="207" t="n"/>
      <c r="C4899" s="104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348" t="n"/>
      <c r="E4899" s="349">
        <f>IF(C4899="","",IFERROR(VLOOKUP(C4899,parametros!$A$11:$E$15,5,0),""))</f>
        <v/>
      </c>
      <c r="F4899" s="335">
        <f>IF(OR(D4899="",E4899=""),"",ROUND(D4899*E4899,2))</f>
        <v/>
      </c>
      <c r="G4899" s="106" t="n"/>
      <c r="H4899" s="350">
        <f>IF(G4899="Sim",IF(OR(F4899="",D4899="",L4899=""),"",IF(L4899="Sim",ROUND(F4899-D4899,2),0)),0)</f>
        <v/>
      </c>
      <c r="I4899" s="350">
        <f>IF(G4899="Sim",0,IF(OR(F4899="",L4899=""),"",F4899))</f>
        <v/>
      </c>
      <c r="J4899" s="350">
        <f>IF(G4899="Sim",0,IF(OR(F4899="",D4899="",L4899=""),"",IF(L4899="Sim",ROUND(F4899-D4899,2),0)))</f>
        <v/>
      </c>
      <c r="K4899" s="97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inlineStr">
        <is>
          <t>Nao</t>
        </is>
      </c>
      <c r="W4899" s="110" t="inlineStr">
        <is>
          <t>PC em analise</t>
        </is>
      </c>
      <c r="X4899" s="110" t="inlineStr">
        <is>
          <t>Pedido de Compra</t>
        </is>
      </c>
      <c r="Y4899" s="111" t="inlineStr">
        <is>
          <t>Impacto Potencial</t>
        </is>
      </c>
      <c r="Z4899" s="111" t="inlineStr">
        <is>
          <t>PC</t>
        </is>
      </c>
      <c r="AA4899" s="111" t="inlineStr">
        <is>
          <t>Nao</t>
        </is>
      </c>
      <c r="AB4899" s="111" t="inlineStr">
        <is>
          <t>NAO_COMPUTADO</t>
        </is>
      </c>
      <c r="AC4899" s="112" t="inlineStr">
        <is>
          <t>Estrutura Fase 1: sem impacto no VTA oficial</t>
        </is>
      </c>
    </row>
    <row r="4900" ht="25.5" customHeight="1" s="289">
      <c r="A4900" s="205" t="n"/>
      <c r="B4900" s="207" t="n"/>
      <c r="C4900" s="104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348" t="n"/>
      <c r="E4900" s="349">
        <f>IF(C4900="","",IFERROR(VLOOKUP(C4900,parametros!$A$11:$E$15,5,0),""))</f>
        <v/>
      </c>
      <c r="F4900" s="335">
        <f>IF(OR(D4900="",E4900=""),"",ROUND(D4900*E4900,2))</f>
        <v/>
      </c>
      <c r="G4900" s="106" t="n"/>
      <c r="H4900" s="350">
        <f>IF(G4900="Sim",IF(OR(F4900="",D4900="",L4900=""),"",IF(L4900="Sim",ROUND(F4900-D4900,2),0)),0)</f>
        <v/>
      </c>
      <c r="I4900" s="350">
        <f>IF(G4900="Sim",0,IF(OR(F4900="",L4900=""),"",F4900))</f>
        <v/>
      </c>
      <c r="J4900" s="350">
        <f>IF(G4900="Sim",0,IF(OR(F4900="",D4900="",L4900=""),"",IF(L4900="Sim",ROUND(F4900-D4900,2),0)))</f>
        <v/>
      </c>
      <c r="K4900" s="97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inlineStr">
        <is>
          <t>Nao</t>
        </is>
      </c>
      <c r="W4900" s="110" t="inlineStr">
        <is>
          <t>PC em analise</t>
        </is>
      </c>
      <c r="X4900" s="110" t="inlineStr">
        <is>
          <t>Pedido de Compra</t>
        </is>
      </c>
      <c r="Y4900" s="111" t="inlineStr">
        <is>
          <t>Impacto Potencial</t>
        </is>
      </c>
      <c r="Z4900" s="111" t="inlineStr">
        <is>
          <t>PC</t>
        </is>
      </c>
      <c r="AA4900" s="111" t="inlineStr">
        <is>
          <t>Nao</t>
        </is>
      </c>
      <c r="AB4900" s="111" t="inlineStr">
        <is>
          <t>NAO_COMPUTADO</t>
        </is>
      </c>
      <c r="AC4900" s="112" t="inlineStr">
        <is>
          <t>Estrutura Fase 1: sem impacto no VTA oficial</t>
        </is>
      </c>
    </row>
    <row r="4901" ht="25.5" customHeight="1" s="289">
      <c r="A4901" s="205" t="n"/>
      <c r="B4901" s="207" t="n"/>
      <c r="C4901" s="104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348" t="n"/>
      <c r="E4901" s="349">
        <f>IF(C4901="","",IFERROR(VLOOKUP(C4901,parametros!$A$11:$E$15,5,0),""))</f>
        <v/>
      </c>
      <c r="F4901" s="335">
        <f>IF(OR(D4901="",E4901=""),"",ROUND(D4901*E4901,2))</f>
        <v/>
      </c>
      <c r="G4901" s="106" t="n"/>
      <c r="H4901" s="350">
        <f>IF(G4901="Sim",IF(OR(F4901="",D4901="",L4901=""),"",IF(L4901="Sim",ROUND(F4901-D4901,2),0)),0)</f>
        <v/>
      </c>
      <c r="I4901" s="350">
        <f>IF(G4901="Sim",0,IF(OR(F4901="",L4901=""),"",F4901))</f>
        <v/>
      </c>
      <c r="J4901" s="350">
        <f>IF(G4901="Sim",0,IF(OR(F4901="",D4901="",L4901=""),"",IF(L4901="Sim",ROUND(F4901-D4901,2),0)))</f>
        <v/>
      </c>
      <c r="K4901" s="97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inlineStr">
        <is>
          <t>Nao</t>
        </is>
      </c>
      <c r="W4901" s="110" t="inlineStr">
        <is>
          <t>PC em analise</t>
        </is>
      </c>
      <c r="X4901" s="110" t="inlineStr">
        <is>
          <t>Pedido de Compra</t>
        </is>
      </c>
      <c r="Y4901" s="111" t="inlineStr">
        <is>
          <t>Impacto Potencial</t>
        </is>
      </c>
      <c r="Z4901" s="111" t="inlineStr">
        <is>
          <t>PC</t>
        </is>
      </c>
      <c r="AA4901" s="111" t="inlineStr">
        <is>
          <t>Nao</t>
        </is>
      </c>
      <c r="AB4901" s="111" t="inlineStr">
        <is>
          <t>NAO_COMPUTADO</t>
        </is>
      </c>
      <c r="AC4901" s="112" t="inlineStr">
        <is>
          <t>Estrutura Fase 1: sem impacto no VTA oficial</t>
        </is>
      </c>
    </row>
    <row r="4902" ht="25.5" customHeight="1" s="289">
      <c r="A4902" s="205" t="n"/>
      <c r="B4902" s="207" t="n"/>
      <c r="C4902" s="104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348" t="n"/>
      <c r="E4902" s="349">
        <f>IF(C4902="","",IFERROR(VLOOKUP(C4902,parametros!$A$11:$E$15,5,0),""))</f>
        <v/>
      </c>
      <c r="F4902" s="335">
        <f>IF(OR(D4902="",E4902=""),"",ROUND(D4902*E4902,2))</f>
        <v/>
      </c>
      <c r="G4902" s="106" t="n"/>
      <c r="H4902" s="350">
        <f>IF(G4902="Sim",IF(OR(F4902="",D4902="",L4902=""),"",IF(L4902="Sim",ROUND(F4902-D4902,2),0)),0)</f>
        <v/>
      </c>
      <c r="I4902" s="350">
        <f>IF(G4902="Sim",0,IF(OR(F4902="",L4902=""),"",F4902))</f>
        <v/>
      </c>
      <c r="J4902" s="350">
        <f>IF(G4902="Sim",0,IF(OR(F4902="",D4902="",L4902=""),"",IF(L4902="Sim",ROUND(F4902-D4902,2),0)))</f>
        <v/>
      </c>
      <c r="K4902" s="97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inlineStr">
        <is>
          <t>Nao</t>
        </is>
      </c>
      <c r="W4902" s="110" t="inlineStr">
        <is>
          <t>PC em analise</t>
        </is>
      </c>
      <c r="X4902" s="110" t="inlineStr">
        <is>
          <t>Pedido de Compra</t>
        </is>
      </c>
      <c r="Y4902" s="111" t="inlineStr">
        <is>
          <t>Impacto Potencial</t>
        </is>
      </c>
      <c r="Z4902" s="111" t="inlineStr">
        <is>
          <t>PC</t>
        </is>
      </c>
      <c r="AA4902" s="111" t="inlineStr">
        <is>
          <t>Nao</t>
        </is>
      </c>
      <c r="AB4902" s="111" t="inlineStr">
        <is>
          <t>NAO_COMPUTADO</t>
        </is>
      </c>
      <c r="AC4902" s="112" t="inlineStr">
        <is>
          <t>Estrutura Fase 1: sem impacto no VTA oficial</t>
        </is>
      </c>
    </row>
    <row r="4903" ht="25.5" customHeight="1" s="289">
      <c r="A4903" s="205" t="n"/>
      <c r="B4903" s="207" t="n"/>
      <c r="C4903" s="104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348" t="n"/>
      <c r="E4903" s="349">
        <f>IF(C4903="","",IFERROR(VLOOKUP(C4903,parametros!$A$11:$E$15,5,0),""))</f>
        <v/>
      </c>
      <c r="F4903" s="335">
        <f>IF(OR(D4903="",E4903=""),"",ROUND(D4903*E4903,2))</f>
        <v/>
      </c>
      <c r="G4903" s="106" t="n"/>
      <c r="H4903" s="350">
        <f>IF(G4903="Sim",IF(OR(F4903="",D4903="",L4903=""),"",IF(L4903="Sim",ROUND(F4903-D4903,2),0)),0)</f>
        <v/>
      </c>
      <c r="I4903" s="350">
        <f>IF(G4903="Sim",0,IF(OR(F4903="",L4903=""),"",F4903))</f>
        <v/>
      </c>
      <c r="J4903" s="350">
        <f>IF(G4903="Sim",0,IF(OR(F4903="",D4903="",L4903=""),"",IF(L4903="Sim",ROUND(F4903-D4903,2),0)))</f>
        <v/>
      </c>
      <c r="K4903" s="97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inlineStr">
        <is>
          <t>Nao</t>
        </is>
      </c>
      <c r="W4903" s="110" t="inlineStr">
        <is>
          <t>PC em analise</t>
        </is>
      </c>
      <c r="X4903" s="110" t="inlineStr">
        <is>
          <t>Pedido de Compra</t>
        </is>
      </c>
      <c r="Y4903" s="111" t="inlineStr">
        <is>
          <t>Impacto Potencial</t>
        </is>
      </c>
      <c r="Z4903" s="111" t="inlineStr">
        <is>
          <t>PC</t>
        </is>
      </c>
      <c r="AA4903" s="111" t="inlineStr">
        <is>
          <t>Nao</t>
        </is>
      </c>
      <c r="AB4903" s="111" t="inlineStr">
        <is>
          <t>NAO_COMPUTADO</t>
        </is>
      </c>
      <c r="AC4903" s="112" t="inlineStr">
        <is>
          <t>Estrutura Fase 1: sem impacto no VTA oficial</t>
        </is>
      </c>
    </row>
    <row r="4904" ht="25.5" customHeight="1" s="289">
      <c r="A4904" s="205" t="n"/>
      <c r="B4904" s="207" t="n"/>
      <c r="C4904" s="104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348" t="n"/>
      <c r="E4904" s="349">
        <f>IF(C4904="","",IFERROR(VLOOKUP(C4904,parametros!$A$11:$E$15,5,0),""))</f>
        <v/>
      </c>
      <c r="F4904" s="335">
        <f>IF(OR(D4904="",E4904=""),"",ROUND(D4904*E4904,2))</f>
        <v/>
      </c>
      <c r="G4904" s="106" t="n"/>
      <c r="H4904" s="350">
        <f>IF(G4904="Sim",IF(OR(F4904="",D4904="",L4904=""),"",IF(L4904="Sim",ROUND(F4904-D4904,2),0)),0)</f>
        <v/>
      </c>
      <c r="I4904" s="350">
        <f>IF(G4904="Sim",0,IF(OR(F4904="",L4904=""),"",F4904))</f>
        <v/>
      </c>
      <c r="J4904" s="350">
        <f>IF(G4904="Sim",0,IF(OR(F4904="",D4904="",L4904=""),"",IF(L4904="Sim",ROUND(F4904-D4904,2),0)))</f>
        <v/>
      </c>
      <c r="K4904" s="97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inlineStr">
        <is>
          <t>Nao</t>
        </is>
      </c>
      <c r="W4904" s="110" t="inlineStr">
        <is>
          <t>PC em analise</t>
        </is>
      </c>
      <c r="X4904" s="110" t="inlineStr">
        <is>
          <t>Pedido de Compra</t>
        </is>
      </c>
      <c r="Y4904" s="111" t="inlineStr">
        <is>
          <t>Impacto Potencial</t>
        </is>
      </c>
      <c r="Z4904" s="111" t="inlineStr">
        <is>
          <t>PC</t>
        </is>
      </c>
      <c r="AA4904" s="111" t="inlineStr">
        <is>
          <t>Nao</t>
        </is>
      </c>
      <c r="AB4904" s="111" t="inlineStr">
        <is>
          <t>NAO_COMPUTADO</t>
        </is>
      </c>
      <c r="AC4904" s="112" t="inlineStr">
        <is>
          <t>Estrutura Fase 1: sem impacto no VTA oficial</t>
        </is>
      </c>
    </row>
    <row r="4905" ht="25.5" customHeight="1" s="289">
      <c r="A4905" s="205" t="n"/>
      <c r="B4905" s="207" t="n"/>
      <c r="C4905" s="104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348" t="n"/>
      <c r="E4905" s="349">
        <f>IF(C4905="","",IFERROR(VLOOKUP(C4905,parametros!$A$11:$E$15,5,0),""))</f>
        <v/>
      </c>
      <c r="F4905" s="335">
        <f>IF(OR(D4905="",E4905=""),"",ROUND(D4905*E4905,2))</f>
        <v/>
      </c>
      <c r="G4905" s="106" t="n"/>
      <c r="H4905" s="350">
        <f>IF(G4905="Sim",IF(OR(F4905="",D4905="",L4905=""),"",IF(L4905="Sim",ROUND(F4905-D4905,2),0)),0)</f>
        <v/>
      </c>
      <c r="I4905" s="350">
        <f>IF(G4905="Sim",0,IF(OR(F4905="",L4905=""),"",F4905))</f>
        <v/>
      </c>
      <c r="J4905" s="350">
        <f>IF(G4905="Sim",0,IF(OR(F4905="",D4905="",L4905=""),"",IF(L4905="Sim",ROUND(F4905-D4905,2),0)))</f>
        <v/>
      </c>
      <c r="K4905" s="97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inlineStr">
        <is>
          <t>Nao</t>
        </is>
      </c>
      <c r="W4905" s="110" t="inlineStr">
        <is>
          <t>PC em analise</t>
        </is>
      </c>
      <c r="X4905" s="110" t="inlineStr">
        <is>
          <t>Pedido de Compra</t>
        </is>
      </c>
      <c r="Y4905" s="111" t="inlineStr">
        <is>
          <t>Impacto Potencial</t>
        </is>
      </c>
      <c r="Z4905" s="111" t="inlineStr">
        <is>
          <t>PC</t>
        </is>
      </c>
      <c r="AA4905" s="111" t="inlineStr">
        <is>
          <t>Nao</t>
        </is>
      </c>
      <c r="AB4905" s="111" t="inlineStr">
        <is>
          <t>NAO_COMPUTADO</t>
        </is>
      </c>
      <c r="AC4905" s="112" t="inlineStr">
        <is>
          <t>Estrutura Fase 1: sem impacto no VTA oficial</t>
        </is>
      </c>
    </row>
    <row r="4906" ht="25.5" customHeight="1" s="289">
      <c r="A4906" s="205" t="n"/>
      <c r="B4906" s="207" t="n"/>
      <c r="C4906" s="104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348" t="n"/>
      <c r="E4906" s="349">
        <f>IF(C4906="","",IFERROR(VLOOKUP(C4906,parametros!$A$11:$E$15,5,0),""))</f>
        <v/>
      </c>
      <c r="F4906" s="335">
        <f>IF(OR(D4906="",E4906=""),"",ROUND(D4906*E4906,2))</f>
        <v/>
      </c>
      <c r="G4906" s="106" t="n"/>
      <c r="H4906" s="350">
        <f>IF(G4906="Sim",IF(OR(F4906="",D4906="",L4906=""),"",IF(L4906="Sim",ROUND(F4906-D4906,2),0)),0)</f>
        <v/>
      </c>
      <c r="I4906" s="350">
        <f>IF(G4906="Sim",0,IF(OR(F4906="",L4906=""),"",F4906))</f>
        <v/>
      </c>
      <c r="J4906" s="350">
        <f>IF(G4906="Sim",0,IF(OR(F4906="",D4906="",L4906=""),"",IF(L4906="Sim",ROUND(F4906-D4906,2),0)))</f>
        <v/>
      </c>
      <c r="K4906" s="97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inlineStr">
        <is>
          <t>Nao</t>
        </is>
      </c>
      <c r="W4906" s="110" t="inlineStr">
        <is>
          <t>PC em analise</t>
        </is>
      </c>
      <c r="X4906" s="110" t="inlineStr">
        <is>
          <t>Pedido de Compra</t>
        </is>
      </c>
      <c r="Y4906" s="111" t="inlineStr">
        <is>
          <t>Impacto Potencial</t>
        </is>
      </c>
      <c r="Z4906" s="111" t="inlineStr">
        <is>
          <t>PC</t>
        </is>
      </c>
      <c r="AA4906" s="111" t="inlineStr">
        <is>
          <t>Nao</t>
        </is>
      </c>
      <c r="AB4906" s="111" t="inlineStr">
        <is>
          <t>NAO_COMPUTADO</t>
        </is>
      </c>
      <c r="AC4906" s="112" t="inlineStr">
        <is>
          <t>Estrutura Fase 1: sem impacto no VTA oficial</t>
        </is>
      </c>
    </row>
    <row r="4907" ht="25.5" customHeight="1" s="289">
      <c r="A4907" s="205" t="n"/>
      <c r="B4907" s="207" t="n"/>
      <c r="C4907" s="104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348" t="n"/>
      <c r="E4907" s="349">
        <f>IF(C4907="","",IFERROR(VLOOKUP(C4907,parametros!$A$11:$E$15,5,0),""))</f>
        <v/>
      </c>
      <c r="F4907" s="335">
        <f>IF(OR(D4907="",E4907=""),"",ROUND(D4907*E4907,2))</f>
        <v/>
      </c>
      <c r="G4907" s="106" t="n"/>
      <c r="H4907" s="350">
        <f>IF(G4907="Sim",IF(OR(F4907="",D4907="",L4907=""),"",IF(L4907="Sim",ROUND(F4907-D4907,2),0)),0)</f>
        <v/>
      </c>
      <c r="I4907" s="350">
        <f>IF(G4907="Sim",0,IF(OR(F4907="",L4907=""),"",F4907))</f>
        <v/>
      </c>
      <c r="J4907" s="350">
        <f>IF(G4907="Sim",0,IF(OR(F4907="",D4907="",L4907=""),"",IF(L4907="Sim",ROUND(F4907-D4907,2),0)))</f>
        <v/>
      </c>
      <c r="K4907" s="97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inlineStr">
        <is>
          <t>Nao</t>
        </is>
      </c>
      <c r="W4907" s="110" t="inlineStr">
        <is>
          <t>PC em analise</t>
        </is>
      </c>
      <c r="X4907" s="110" t="inlineStr">
        <is>
          <t>Pedido de Compra</t>
        </is>
      </c>
      <c r="Y4907" s="111" t="inlineStr">
        <is>
          <t>Impacto Potencial</t>
        </is>
      </c>
      <c r="Z4907" s="111" t="inlineStr">
        <is>
          <t>PC</t>
        </is>
      </c>
      <c r="AA4907" s="111" t="inlineStr">
        <is>
          <t>Nao</t>
        </is>
      </c>
      <c r="AB4907" s="111" t="inlineStr">
        <is>
          <t>NAO_COMPUTADO</t>
        </is>
      </c>
      <c r="AC4907" s="112" t="inlineStr">
        <is>
          <t>Estrutura Fase 1: sem impacto no VTA oficial</t>
        </is>
      </c>
    </row>
    <row r="4908" ht="25.5" customHeight="1" s="289">
      <c r="A4908" s="205" t="n"/>
      <c r="B4908" s="207" t="n"/>
      <c r="C4908" s="104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348" t="n"/>
      <c r="E4908" s="349">
        <f>IF(C4908="","",IFERROR(VLOOKUP(C4908,parametros!$A$11:$E$15,5,0),""))</f>
        <v/>
      </c>
      <c r="F4908" s="335">
        <f>IF(OR(D4908="",E4908=""),"",ROUND(D4908*E4908,2))</f>
        <v/>
      </c>
      <c r="G4908" s="106" t="n"/>
      <c r="H4908" s="350">
        <f>IF(G4908="Sim",IF(OR(F4908="",D4908="",L4908=""),"",IF(L4908="Sim",ROUND(F4908-D4908,2),0)),0)</f>
        <v/>
      </c>
      <c r="I4908" s="350">
        <f>IF(G4908="Sim",0,IF(OR(F4908="",L4908=""),"",F4908))</f>
        <v/>
      </c>
      <c r="J4908" s="350">
        <f>IF(G4908="Sim",0,IF(OR(F4908="",D4908="",L4908=""),"",IF(L4908="Sim",ROUND(F4908-D4908,2),0)))</f>
        <v/>
      </c>
      <c r="K4908" s="97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inlineStr">
        <is>
          <t>Nao</t>
        </is>
      </c>
      <c r="W4908" s="110" t="inlineStr">
        <is>
          <t>PC em analise</t>
        </is>
      </c>
      <c r="X4908" s="110" t="inlineStr">
        <is>
          <t>Pedido de Compra</t>
        </is>
      </c>
      <c r="Y4908" s="111" t="inlineStr">
        <is>
          <t>Impacto Potencial</t>
        </is>
      </c>
      <c r="Z4908" s="111" t="inlineStr">
        <is>
          <t>PC</t>
        </is>
      </c>
      <c r="AA4908" s="111" t="inlineStr">
        <is>
          <t>Nao</t>
        </is>
      </c>
      <c r="AB4908" s="111" t="inlineStr">
        <is>
          <t>NAO_COMPUTADO</t>
        </is>
      </c>
      <c r="AC4908" s="112" t="inlineStr">
        <is>
          <t>Estrutura Fase 1: sem impacto no VTA oficial</t>
        </is>
      </c>
    </row>
    <row r="4909" ht="25.5" customHeight="1" s="289">
      <c r="A4909" s="205" t="n"/>
      <c r="B4909" s="207" t="n"/>
      <c r="C4909" s="104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348" t="n"/>
      <c r="E4909" s="349">
        <f>IF(C4909="","",IFERROR(VLOOKUP(C4909,parametros!$A$11:$E$15,5,0),""))</f>
        <v/>
      </c>
      <c r="F4909" s="335">
        <f>IF(OR(D4909="",E4909=""),"",ROUND(D4909*E4909,2))</f>
        <v/>
      </c>
      <c r="G4909" s="106" t="n"/>
      <c r="H4909" s="350">
        <f>IF(G4909="Sim",IF(OR(F4909="",D4909="",L4909=""),"",IF(L4909="Sim",ROUND(F4909-D4909,2),0)),0)</f>
        <v/>
      </c>
      <c r="I4909" s="350">
        <f>IF(G4909="Sim",0,IF(OR(F4909="",L4909=""),"",F4909))</f>
        <v/>
      </c>
      <c r="J4909" s="350">
        <f>IF(G4909="Sim",0,IF(OR(F4909="",D4909="",L4909=""),"",IF(L4909="Sim",ROUND(F4909-D4909,2),0)))</f>
        <v/>
      </c>
      <c r="K4909" s="97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inlineStr">
        <is>
          <t>Nao</t>
        </is>
      </c>
      <c r="W4909" s="110" t="inlineStr">
        <is>
          <t>PC em analise</t>
        </is>
      </c>
      <c r="X4909" s="110" t="inlineStr">
        <is>
          <t>Pedido de Compra</t>
        </is>
      </c>
      <c r="Y4909" s="111" t="inlineStr">
        <is>
          <t>Impacto Potencial</t>
        </is>
      </c>
      <c r="Z4909" s="111" t="inlineStr">
        <is>
          <t>PC</t>
        </is>
      </c>
      <c r="AA4909" s="111" t="inlineStr">
        <is>
          <t>Nao</t>
        </is>
      </c>
      <c r="AB4909" s="111" t="inlineStr">
        <is>
          <t>NAO_COMPUTADO</t>
        </is>
      </c>
      <c r="AC4909" s="112" t="inlineStr">
        <is>
          <t>Estrutura Fase 1: sem impacto no VTA oficial</t>
        </is>
      </c>
    </row>
    <row r="4910" ht="25.5" customHeight="1" s="289">
      <c r="A4910" s="205" t="n"/>
      <c r="B4910" s="207" t="n"/>
      <c r="C4910" s="104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348" t="n"/>
      <c r="E4910" s="349">
        <f>IF(C4910="","",IFERROR(VLOOKUP(C4910,parametros!$A$11:$E$15,5,0),""))</f>
        <v/>
      </c>
      <c r="F4910" s="335">
        <f>IF(OR(D4910="",E4910=""),"",ROUND(D4910*E4910,2))</f>
        <v/>
      </c>
      <c r="G4910" s="106" t="n"/>
      <c r="H4910" s="350">
        <f>IF(G4910="Sim",IF(OR(F4910="",D4910="",L4910=""),"",IF(L4910="Sim",ROUND(F4910-D4910,2),0)),0)</f>
        <v/>
      </c>
      <c r="I4910" s="350">
        <f>IF(G4910="Sim",0,IF(OR(F4910="",L4910=""),"",F4910))</f>
        <v/>
      </c>
      <c r="J4910" s="350">
        <f>IF(G4910="Sim",0,IF(OR(F4910="",D4910="",L4910=""),"",IF(L4910="Sim",ROUND(F4910-D4910,2),0)))</f>
        <v/>
      </c>
      <c r="K4910" s="97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inlineStr">
        <is>
          <t>Nao</t>
        </is>
      </c>
      <c r="W4910" s="110" t="inlineStr">
        <is>
          <t>PC em analise</t>
        </is>
      </c>
      <c r="X4910" s="110" t="inlineStr">
        <is>
          <t>Pedido de Compra</t>
        </is>
      </c>
      <c r="Y4910" s="111" t="inlineStr">
        <is>
          <t>Impacto Potencial</t>
        </is>
      </c>
      <c r="Z4910" s="111" t="inlineStr">
        <is>
          <t>PC</t>
        </is>
      </c>
      <c r="AA4910" s="111" t="inlineStr">
        <is>
          <t>Nao</t>
        </is>
      </c>
      <c r="AB4910" s="111" t="inlineStr">
        <is>
          <t>NAO_COMPUTADO</t>
        </is>
      </c>
      <c r="AC4910" s="112" t="inlineStr">
        <is>
          <t>Estrutura Fase 1: sem impacto no VTA oficial</t>
        </is>
      </c>
    </row>
    <row r="4911" ht="25.5" customHeight="1" s="289">
      <c r="A4911" s="205" t="n"/>
      <c r="B4911" s="207" t="n"/>
      <c r="C4911" s="104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348" t="n"/>
      <c r="E4911" s="349">
        <f>IF(C4911="","",IFERROR(VLOOKUP(C4911,parametros!$A$11:$E$15,5,0),""))</f>
        <v/>
      </c>
      <c r="F4911" s="335">
        <f>IF(OR(D4911="",E4911=""),"",ROUND(D4911*E4911,2))</f>
        <v/>
      </c>
      <c r="G4911" s="106" t="n"/>
      <c r="H4911" s="350">
        <f>IF(G4911="Sim",IF(OR(F4911="",D4911="",L4911=""),"",IF(L4911="Sim",ROUND(F4911-D4911,2),0)),0)</f>
        <v/>
      </c>
      <c r="I4911" s="350">
        <f>IF(G4911="Sim",0,IF(OR(F4911="",L4911=""),"",F4911))</f>
        <v/>
      </c>
      <c r="J4911" s="350">
        <f>IF(G4911="Sim",0,IF(OR(F4911="",D4911="",L4911=""),"",IF(L4911="Sim",ROUND(F4911-D4911,2),0)))</f>
        <v/>
      </c>
      <c r="K4911" s="97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inlineStr">
        <is>
          <t>Nao</t>
        </is>
      </c>
      <c r="W4911" s="110" t="inlineStr">
        <is>
          <t>PC em analise</t>
        </is>
      </c>
      <c r="X4911" s="110" t="inlineStr">
        <is>
          <t>Pedido de Compra</t>
        </is>
      </c>
      <c r="Y4911" s="111" t="inlineStr">
        <is>
          <t>Impacto Potencial</t>
        </is>
      </c>
      <c r="Z4911" s="111" t="inlineStr">
        <is>
          <t>PC</t>
        </is>
      </c>
      <c r="AA4911" s="111" t="inlineStr">
        <is>
          <t>Nao</t>
        </is>
      </c>
      <c r="AB4911" s="111" t="inlineStr">
        <is>
          <t>NAO_COMPUTADO</t>
        </is>
      </c>
      <c r="AC4911" s="112" t="inlineStr">
        <is>
          <t>Estrutura Fase 1: sem impacto no VTA oficial</t>
        </is>
      </c>
    </row>
    <row r="4912" ht="25.5" customHeight="1" s="289">
      <c r="A4912" s="205" t="n"/>
      <c r="B4912" s="207" t="n"/>
      <c r="C4912" s="104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348" t="n"/>
      <c r="E4912" s="349">
        <f>IF(C4912="","",IFERROR(VLOOKUP(C4912,parametros!$A$11:$E$15,5,0),""))</f>
        <v/>
      </c>
      <c r="F4912" s="335">
        <f>IF(OR(D4912="",E4912=""),"",ROUND(D4912*E4912,2))</f>
        <v/>
      </c>
      <c r="G4912" s="106" t="n"/>
      <c r="H4912" s="350">
        <f>IF(G4912="Sim",IF(OR(F4912="",D4912="",L4912=""),"",IF(L4912="Sim",ROUND(F4912-D4912,2),0)),0)</f>
        <v/>
      </c>
      <c r="I4912" s="350">
        <f>IF(G4912="Sim",0,IF(OR(F4912="",L4912=""),"",F4912))</f>
        <v/>
      </c>
      <c r="J4912" s="350">
        <f>IF(G4912="Sim",0,IF(OR(F4912="",D4912="",L4912=""),"",IF(L4912="Sim",ROUND(F4912-D4912,2),0)))</f>
        <v/>
      </c>
      <c r="K4912" s="97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inlineStr">
        <is>
          <t>Nao</t>
        </is>
      </c>
      <c r="W4912" s="110" t="inlineStr">
        <is>
          <t>PC em analise</t>
        </is>
      </c>
      <c r="X4912" s="110" t="inlineStr">
        <is>
          <t>Pedido de Compra</t>
        </is>
      </c>
      <c r="Y4912" s="111" t="inlineStr">
        <is>
          <t>Impacto Potencial</t>
        </is>
      </c>
      <c r="Z4912" s="111" t="inlineStr">
        <is>
          <t>PC</t>
        </is>
      </c>
      <c r="AA4912" s="111" t="inlineStr">
        <is>
          <t>Nao</t>
        </is>
      </c>
      <c r="AB4912" s="111" t="inlineStr">
        <is>
          <t>NAO_COMPUTADO</t>
        </is>
      </c>
      <c r="AC4912" s="112" t="inlineStr">
        <is>
          <t>Estrutura Fase 1: sem impacto no VTA oficial</t>
        </is>
      </c>
    </row>
    <row r="4913" ht="25.5" customHeight="1" s="289">
      <c r="A4913" s="205" t="n"/>
      <c r="B4913" s="207" t="n"/>
      <c r="C4913" s="104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348" t="n"/>
      <c r="E4913" s="349">
        <f>IF(C4913="","",IFERROR(VLOOKUP(C4913,parametros!$A$11:$E$15,5,0),""))</f>
        <v/>
      </c>
      <c r="F4913" s="335">
        <f>IF(OR(D4913="",E4913=""),"",ROUND(D4913*E4913,2))</f>
        <v/>
      </c>
      <c r="G4913" s="106" t="n"/>
      <c r="H4913" s="350">
        <f>IF(G4913="Sim",IF(OR(F4913="",D4913="",L4913=""),"",IF(L4913="Sim",ROUND(F4913-D4913,2),0)),0)</f>
        <v/>
      </c>
      <c r="I4913" s="350">
        <f>IF(G4913="Sim",0,IF(OR(F4913="",L4913=""),"",F4913))</f>
        <v/>
      </c>
      <c r="J4913" s="350">
        <f>IF(G4913="Sim",0,IF(OR(F4913="",D4913="",L4913=""),"",IF(L4913="Sim",ROUND(F4913-D4913,2),0)))</f>
        <v/>
      </c>
      <c r="K4913" s="97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inlineStr">
        <is>
          <t>Nao</t>
        </is>
      </c>
      <c r="W4913" s="110" t="inlineStr">
        <is>
          <t>PC em analise</t>
        </is>
      </c>
      <c r="X4913" s="110" t="inlineStr">
        <is>
          <t>Pedido de Compra</t>
        </is>
      </c>
      <c r="Y4913" s="111" t="inlineStr">
        <is>
          <t>Impacto Potencial</t>
        </is>
      </c>
      <c r="Z4913" s="111" t="inlineStr">
        <is>
          <t>PC</t>
        </is>
      </c>
      <c r="AA4913" s="111" t="inlineStr">
        <is>
          <t>Nao</t>
        </is>
      </c>
      <c r="AB4913" s="111" t="inlineStr">
        <is>
          <t>NAO_COMPUTADO</t>
        </is>
      </c>
      <c r="AC4913" s="112" t="inlineStr">
        <is>
          <t>Estrutura Fase 1: sem impacto no VTA oficial</t>
        </is>
      </c>
    </row>
    <row r="4914" ht="25.5" customHeight="1" s="289">
      <c r="A4914" s="205" t="n"/>
      <c r="B4914" s="207" t="n"/>
      <c r="C4914" s="104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348" t="n"/>
      <c r="E4914" s="349">
        <f>IF(C4914="","",IFERROR(VLOOKUP(C4914,parametros!$A$11:$E$15,5,0),""))</f>
        <v/>
      </c>
      <c r="F4914" s="335">
        <f>IF(OR(D4914="",E4914=""),"",ROUND(D4914*E4914,2))</f>
        <v/>
      </c>
      <c r="G4914" s="106" t="n"/>
      <c r="H4914" s="350">
        <f>IF(G4914="Sim",IF(OR(F4914="",D4914="",L4914=""),"",IF(L4914="Sim",ROUND(F4914-D4914,2),0)),0)</f>
        <v/>
      </c>
      <c r="I4914" s="350">
        <f>IF(G4914="Sim",0,IF(OR(F4914="",L4914=""),"",F4914))</f>
        <v/>
      </c>
      <c r="J4914" s="350">
        <f>IF(G4914="Sim",0,IF(OR(F4914="",D4914="",L4914=""),"",IF(L4914="Sim",ROUND(F4914-D4914,2),0)))</f>
        <v/>
      </c>
      <c r="K4914" s="97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inlineStr">
        <is>
          <t>Nao</t>
        </is>
      </c>
      <c r="W4914" s="110" t="inlineStr">
        <is>
          <t>PC em analise</t>
        </is>
      </c>
      <c r="X4914" s="110" t="inlineStr">
        <is>
          <t>Pedido de Compra</t>
        </is>
      </c>
      <c r="Y4914" s="111" t="inlineStr">
        <is>
          <t>Impacto Potencial</t>
        </is>
      </c>
      <c r="Z4914" s="111" t="inlineStr">
        <is>
          <t>PC</t>
        </is>
      </c>
      <c r="AA4914" s="111" t="inlineStr">
        <is>
          <t>Nao</t>
        </is>
      </c>
      <c r="AB4914" s="111" t="inlineStr">
        <is>
          <t>NAO_COMPUTADO</t>
        </is>
      </c>
      <c r="AC4914" s="112" t="inlineStr">
        <is>
          <t>Estrutura Fase 1: sem impacto no VTA oficial</t>
        </is>
      </c>
    </row>
    <row r="4915" ht="25.5" customHeight="1" s="289">
      <c r="A4915" s="205" t="n"/>
      <c r="B4915" s="207" t="n"/>
      <c r="C4915" s="104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348" t="n"/>
      <c r="E4915" s="349">
        <f>IF(C4915="","",IFERROR(VLOOKUP(C4915,parametros!$A$11:$E$15,5,0),""))</f>
        <v/>
      </c>
      <c r="F4915" s="335">
        <f>IF(OR(D4915="",E4915=""),"",ROUND(D4915*E4915,2))</f>
        <v/>
      </c>
      <c r="G4915" s="106" t="n"/>
      <c r="H4915" s="350">
        <f>IF(G4915="Sim",IF(OR(F4915="",D4915="",L4915=""),"",IF(L4915="Sim",ROUND(F4915-D4915,2),0)),0)</f>
        <v/>
      </c>
      <c r="I4915" s="350">
        <f>IF(G4915="Sim",0,IF(OR(F4915="",L4915=""),"",F4915))</f>
        <v/>
      </c>
      <c r="J4915" s="350">
        <f>IF(G4915="Sim",0,IF(OR(F4915="",D4915="",L4915=""),"",IF(L4915="Sim",ROUND(F4915-D4915,2),0)))</f>
        <v/>
      </c>
      <c r="K4915" s="97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inlineStr">
        <is>
          <t>Nao</t>
        </is>
      </c>
      <c r="W4915" s="110" t="inlineStr">
        <is>
          <t>PC em analise</t>
        </is>
      </c>
      <c r="X4915" s="110" t="inlineStr">
        <is>
          <t>Pedido de Compra</t>
        </is>
      </c>
      <c r="Y4915" s="111" t="inlineStr">
        <is>
          <t>Impacto Potencial</t>
        </is>
      </c>
      <c r="Z4915" s="111" t="inlineStr">
        <is>
          <t>PC</t>
        </is>
      </c>
      <c r="AA4915" s="111" t="inlineStr">
        <is>
          <t>Nao</t>
        </is>
      </c>
      <c r="AB4915" s="111" t="inlineStr">
        <is>
          <t>NAO_COMPUTADO</t>
        </is>
      </c>
      <c r="AC4915" s="112" t="inlineStr">
        <is>
          <t>Estrutura Fase 1: sem impacto no VTA oficial</t>
        </is>
      </c>
    </row>
    <row r="4916" ht="25.5" customHeight="1" s="289">
      <c r="A4916" s="205" t="n"/>
      <c r="B4916" s="207" t="n"/>
      <c r="C4916" s="104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348" t="n"/>
      <c r="E4916" s="349">
        <f>IF(C4916="","",IFERROR(VLOOKUP(C4916,parametros!$A$11:$E$15,5,0),""))</f>
        <v/>
      </c>
      <c r="F4916" s="335">
        <f>IF(OR(D4916="",E4916=""),"",ROUND(D4916*E4916,2))</f>
        <v/>
      </c>
      <c r="G4916" s="106" t="n"/>
      <c r="H4916" s="350">
        <f>IF(G4916="Sim",IF(OR(F4916="",D4916="",L4916=""),"",IF(L4916="Sim",ROUND(F4916-D4916,2),0)),0)</f>
        <v/>
      </c>
      <c r="I4916" s="350">
        <f>IF(G4916="Sim",0,IF(OR(F4916="",L4916=""),"",F4916))</f>
        <v/>
      </c>
      <c r="J4916" s="350">
        <f>IF(G4916="Sim",0,IF(OR(F4916="",D4916="",L4916=""),"",IF(L4916="Sim",ROUND(F4916-D4916,2),0)))</f>
        <v/>
      </c>
      <c r="K4916" s="97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inlineStr">
        <is>
          <t>Nao</t>
        </is>
      </c>
      <c r="W4916" s="110" t="inlineStr">
        <is>
          <t>PC em analise</t>
        </is>
      </c>
      <c r="X4916" s="110" t="inlineStr">
        <is>
          <t>Pedido de Compra</t>
        </is>
      </c>
      <c r="Y4916" s="111" t="inlineStr">
        <is>
          <t>Impacto Potencial</t>
        </is>
      </c>
      <c r="Z4916" s="111" t="inlineStr">
        <is>
          <t>PC</t>
        </is>
      </c>
      <c r="AA4916" s="111" t="inlineStr">
        <is>
          <t>Nao</t>
        </is>
      </c>
      <c r="AB4916" s="111" t="inlineStr">
        <is>
          <t>NAO_COMPUTADO</t>
        </is>
      </c>
      <c r="AC4916" s="112" t="inlineStr">
        <is>
          <t>Estrutura Fase 1: sem impacto no VTA oficial</t>
        </is>
      </c>
    </row>
    <row r="4917" ht="25.5" customHeight="1" s="289">
      <c r="A4917" s="205" t="n"/>
      <c r="B4917" s="207" t="n"/>
      <c r="C4917" s="104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348" t="n"/>
      <c r="E4917" s="349">
        <f>IF(C4917="","",IFERROR(VLOOKUP(C4917,parametros!$A$11:$E$15,5,0),""))</f>
        <v/>
      </c>
      <c r="F4917" s="335">
        <f>IF(OR(D4917="",E4917=""),"",ROUND(D4917*E4917,2))</f>
        <v/>
      </c>
      <c r="G4917" s="106" t="n"/>
      <c r="H4917" s="350">
        <f>IF(G4917="Sim",IF(OR(F4917="",D4917="",L4917=""),"",IF(L4917="Sim",ROUND(F4917-D4917,2),0)),0)</f>
        <v/>
      </c>
      <c r="I4917" s="350">
        <f>IF(G4917="Sim",0,IF(OR(F4917="",L4917=""),"",F4917))</f>
        <v/>
      </c>
      <c r="J4917" s="350">
        <f>IF(G4917="Sim",0,IF(OR(F4917="",D4917="",L4917=""),"",IF(L4917="Sim",ROUND(F4917-D4917,2),0)))</f>
        <v/>
      </c>
      <c r="K4917" s="97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inlineStr">
        <is>
          <t>Nao</t>
        </is>
      </c>
      <c r="W4917" s="110" t="inlineStr">
        <is>
          <t>PC em analise</t>
        </is>
      </c>
      <c r="X4917" s="110" t="inlineStr">
        <is>
          <t>Pedido de Compra</t>
        </is>
      </c>
      <c r="Y4917" s="111" t="inlineStr">
        <is>
          <t>Impacto Potencial</t>
        </is>
      </c>
      <c r="Z4917" s="111" t="inlineStr">
        <is>
          <t>PC</t>
        </is>
      </c>
      <c r="AA4917" s="111" t="inlineStr">
        <is>
          <t>Nao</t>
        </is>
      </c>
      <c r="AB4917" s="111" t="inlineStr">
        <is>
          <t>NAO_COMPUTADO</t>
        </is>
      </c>
      <c r="AC4917" s="112" t="inlineStr">
        <is>
          <t>Estrutura Fase 1: sem impacto no VTA oficial</t>
        </is>
      </c>
    </row>
    <row r="4918" ht="25.5" customHeight="1" s="289">
      <c r="A4918" s="205" t="n"/>
      <c r="B4918" s="207" t="n"/>
      <c r="C4918" s="104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348" t="n"/>
      <c r="E4918" s="349">
        <f>IF(C4918="","",IFERROR(VLOOKUP(C4918,parametros!$A$11:$E$15,5,0),""))</f>
        <v/>
      </c>
      <c r="F4918" s="335">
        <f>IF(OR(D4918="",E4918=""),"",ROUND(D4918*E4918,2))</f>
        <v/>
      </c>
      <c r="G4918" s="106" t="n"/>
      <c r="H4918" s="350">
        <f>IF(G4918="Sim",IF(OR(F4918="",D4918="",L4918=""),"",IF(L4918="Sim",ROUND(F4918-D4918,2),0)),0)</f>
        <v/>
      </c>
      <c r="I4918" s="350">
        <f>IF(G4918="Sim",0,IF(OR(F4918="",L4918=""),"",F4918))</f>
        <v/>
      </c>
      <c r="J4918" s="350">
        <f>IF(G4918="Sim",0,IF(OR(F4918="",D4918="",L4918=""),"",IF(L4918="Sim",ROUND(F4918-D4918,2),0)))</f>
        <v/>
      </c>
      <c r="K4918" s="97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inlineStr">
        <is>
          <t>Nao</t>
        </is>
      </c>
      <c r="W4918" s="110" t="inlineStr">
        <is>
          <t>PC em analise</t>
        </is>
      </c>
      <c r="X4918" s="110" t="inlineStr">
        <is>
          <t>Pedido de Compra</t>
        </is>
      </c>
      <c r="Y4918" s="111" t="inlineStr">
        <is>
          <t>Impacto Potencial</t>
        </is>
      </c>
      <c r="Z4918" s="111" t="inlineStr">
        <is>
          <t>PC</t>
        </is>
      </c>
      <c r="AA4918" s="111" t="inlineStr">
        <is>
          <t>Nao</t>
        </is>
      </c>
      <c r="AB4918" s="111" t="inlineStr">
        <is>
          <t>NAO_COMPUTADO</t>
        </is>
      </c>
      <c r="AC4918" s="112" t="inlineStr">
        <is>
          <t>Estrutura Fase 1: sem impacto no VTA oficial</t>
        </is>
      </c>
    </row>
    <row r="4919" ht="25.5" customHeight="1" s="289">
      <c r="A4919" s="205" t="n"/>
      <c r="B4919" s="207" t="n"/>
      <c r="C4919" s="104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348" t="n"/>
      <c r="E4919" s="349">
        <f>IF(C4919="","",IFERROR(VLOOKUP(C4919,parametros!$A$11:$E$15,5,0),""))</f>
        <v/>
      </c>
      <c r="F4919" s="335">
        <f>IF(OR(D4919="",E4919=""),"",ROUND(D4919*E4919,2))</f>
        <v/>
      </c>
      <c r="G4919" s="106" t="n"/>
      <c r="H4919" s="350">
        <f>IF(G4919="Sim",IF(OR(F4919="",D4919="",L4919=""),"",IF(L4919="Sim",ROUND(F4919-D4919,2),0)),0)</f>
        <v/>
      </c>
      <c r="I4919" s="350">
        <f>IF(G4919="Sim",0,IF(OR(F4919="",L4919=""),"",F4919))</f>
        <v/>
      </c>
      <c r="J4919" s="350">
        <f>IF(G4919="Sim",0,IF(OR(F4919="",D4919="",L4919=""),"",IF(L4919="Sim",ROUND(F4919-D4919,2),0)))</f>
        <v/>
      </c>
      <c r="K4919" s="97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inlineStr">
        <is>
          <t>Nao</t>
        </is>
      </c>
      <c r="W4919" s="110" t="inlineStr">
        <is>
          <t>PC em analise</t>
        </is>
      </c>
      <c r="X4919" s="110" t="inlineStr">
        <is>
          <t>Pedido de Compra</t>
        </is>
      </c>
      <c r="Y4919" s="111" t="inlineStr">
        <is>
          <t>Impacto Potencial</t>
        </is>
      </c>
      <c r="Z4919" s="111" t="inlineStr">
        <is>
          <t>PC</t>
        </is>
      </c>
      <c r="AA4919" s="111" t="inlineStr">
        <is>
          <t>Nao</t>
        </is>
      </c>
      <c r="AB4919" s="111" t="inlineStr">
        <is>
          <t>NAO_COMPUTADO</t>
        </is>
      </c>
      <c r="AC4919" s="112" t="inlineStr">
        <is>
          <t>Estrutura Fase 1: sem impacto no VTA oficial</t>
        </is>
      </c>
    </row>
    <row r="4920" ht="25.5" customHeight="1" s="289">
      <c r="A4920" s="205" t="n"/>
      <c r="B4920" s="207" t="n"/>
      <c r="C4920" s="104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348" t="n"/>
      <c r="E4920" s="349">
        <f>IF(C4920="","",IFERROR(VLOOKUP(C4920,parametros!$A$11:$E$15,5,0),""))</f>
        <v/>
      </c>
      <c r="F4920" s="335">
        <f>IF(OR(D4920="",E4920=""),"",ROUND(D4920*E4920,2))</f>
        <v/>
      </c>
      <c r="G4920" s="106" t="n"/>
      <c r="H4920" s="350">
        <f>IF(G4920="Sim",IF(OR(F4920="",D4920="",L4920=""),"",IF(L4920="Sim",ROUND(F4920-D4920,2),0)),0)</f>
        <v/>
      </c>
      <c r="I4920" s="350">
        <f>IF(G4920="Sim",0,IF(OR(F4920="",L4920=""),"",F4920))</f>
        <v/>
      </c>
      <c r="J4920" s="350">
        <f>IF(G4920="Sim",0,IF(OR(F4920="",D4920="",L4920=""),"",IF(L4920="Sim",ROUND(F4920-D4920,2),0)))</f>
        <v/>
      </c>
      <c r="K4920" s="97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inlineStr">
        <is>
          <t>Nao</t>
        </is>
      </c>
      <c r="W4920" s="110" t="inlineStr">
        <is>
          <t>PC em analise</t>
        </is>
      </c>
      <c r="X4920" s="110" t="inlineStr">
        <is>
          <t>Pedido de Compra</t>
        </is>
      </c>
      <c r="Y4920" s="111" t="inlineStr">
        <is>
          <t>Impacto Potencial</t>
        </is>
      </c>
      <c r="Z4920" s="111" t="inlineStr">
        <is>
          <t>PC</t>
        </is>
      </c>
      <c r="AA4920" s="111" t="inlineStr">
        <is>
          <t>Nao</t>
        </is>
      </c>
      <c r="AB4920" s="111" t="inlineStr">
        <is>
          <t>NAO_COMPUTADO</t>
        </is>
      </c>
      <c r="AC4920" s="112" t="inlineStr">
        <is>
          <t>Estrutura Fase 1: sem impacto no VTA oficial</t>
        </is>
      </c>
    </row>
    <row r="4921" ht="25.5" customHeight="1" s="289">
      <c r="A4921" s="205" t="n"/>
      <c r="B4921" s="207" t="n"/>
      <c r="C4921" s="104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348" t="n"/>
      <c r="E4921" s="349">
        <f>IF(C4921="","",IFERROR(VLOOKUP(C4921,parametros!$A$11:$E$15,5,0),""))</f>
        <v/>
      </c>
      <c r="F4921" s="335">
        <f>IF(OR(D4921="",E4921=""),"",ROUND(D4921*E4921,2))</f>
        <v/>
      </c>
      <c r="G4921" s="106" t="n"/>
      <c r="H4921" s="350">
        <f>IF(G4921="Sim",IF(OR(F4921="",D4921="",L4921=""),"",IF(L4921="Sim",ROUND(F4921-D4921,2),0)),0)</f>
        <v/>
      </c>
      <c r="I4921" s="350">
        <f>IF(G4921="Sim",0,IF(OR(F4921="",L4921=""),"",F4921))</f>
        <v/>
      </c>
      <c r="J4921" s="350">
        <f>IF(G4921="Sim",0,IF(OR(F4921="",D4921="",L4921=""),"",IF(L4921="Sim",ROUND(F4921-D4921,2),0)))</f>
        <v/>
      </c>
      <c r="K4921" s="97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inlineStr">
        <is>
          <t>Nao</t>
        </is>
      </c>
      <c r="W4921" s="110" t="inlineStr">
        <is>
          <t>PC em analise</t>
        </is>
      </c>
      <c r="X4921" s="110" t="inlineStr">
        <is>
          <t>Pedido de Compra</t>
        </is>
      </c>
      <c r="Y4921" s="111" t="inlineStr">
        <is>
          <t>Impacto Potencial</t>
        </is>
      </c>
      <c r="Z4921" s="111" t="inlineStr">
        <is>
          <t>PC</t>
        </is>
      </c>
      <c r="AA4921" s="111" t="inlineStr">
        <is>
          <t>Nao</t>
        </is>
      </c>
      <c r="AB4921" s="111" t="inlineStr">
        <is>
          <t>NAO_COMPUTADO</t>
        </is>
      </c>
      <c r="AC4921" s="112" t="inlineStr">
        <is>
          <t>Estrutura Fase 1: sem impacto no VTA oficial</t>
        </is>
      </c>
    </row>
    <row r="4922" ht="25.5" customHeight="1" s="289">
      <c r="A4922" s="205" t="n"/>
      <c r="B4922" s="207" t="n"/>
      <c r="C4922" s="104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348" t="n"/>
      <c r="E4922" s="349">
        <f>IF(C4922="","",IFERROR(VLOOKUP(C4922,parametros!$A$11:$E$15,5,0),""))</f>
        <v/>
      </c>
      <c r="F4922" s="335">
        <f>IF(OR(D4922="",E4922=""),"",ROUND(D4922*E4922,2))</f>
        <v/>
      </c>
      <c r="G4922" s="106" t="n"/>
      <c r="H4922" s="350">
        <f>IF(G4922="Sim",IF(OR(F4922="",D4922="",L4922=""),"",IF(L4922="Sim",ROUND(F4922-D4922,2),0)),0)</f>
        <v/>
      </c>
      <c r="I4922" s="350">
        <f>IF(G4922="Sim",0,IF(OR(F4922="",L4922=""),"",F4922))</f>
        <v/>
      </c>
      <c r="J4922" s="350">
        <f>IF(G4922="Sim",0,IF(OR(F4922="",D4922="",L4922=""),"",IF(L4922="Sim",ROUND(F4922-D4922,2),0)))</f>
        <v/>
      </c>
      <c r="K4922" s="97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inlineStr">
        <is>
          <t>Nao</t>
        </is>
      </c>
      <c r="W4922" s="110" t="inlineStr">
        <is>
          <t>PC em analise</t>
        </is>
      </c>
      <c r="X4922" s="110" t="inlineStr">
        <is>
          <t>Pedido de Compra</t>
        </is>
      </c>
      <c r="Y4922" s="111" t="inlineStr">
        <is>
          <t>Impacto Potencial</t>
        </is>
      </c>
      <c r="Z4922" s="111" t="inlineStr">
        <is>
          <t>PC</t>
        </is>
      </c>
      <c r="AA4922" s="111" t="inlineStr">
        <is>
          <t>Nao</t>
        </is>
      </c>
      <c r="AB4922" s="111" t="inlineStr">
        <is>
          <t>NAO_COMPUTADO</t>
        </is>
      </c>
      <c r="AC4922" s="112" t="inlineStr">
        <is>
          <t>Estrutura Fase 1: sem impacto no VTA oficial</t>
        </is>
      </c>
    </row>
    <row r="4923" ht="25.5" customHeight="1" s="289">
      <c r="A4923" s="205" t="n"/>
      <c r="B4923" s="207" t="n"/>
      <c r="C4923" s="104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348" t="n"/>
      <c r="E4923" s="349">
        <f>IF(C4923="","",IFERROR(VLOOKUP(C4923,parametros!$A$11:$E$15,5,0),""))</f>
        <v/>
      </c>
      <c r="F4923" s="335">
        <f>IF(OR(D4923="",E4923=""),"",ROUND(D4923*E4923,2))</f>
        <v/>
      </c>
      <c r="G4923" s="106" t="n"/>
      <c r="H4923" s="350">
        <f>IF(G4923="Sim",IF(OR(F4923="",D4923="",L4923=""),"",IF(L4923="Sim",ROUND(F4923-D4923,2),0)),0)</f>
        <v/>
      </c>
      <c r="I4923" s="350">
        <f>IF(G4923="Sim",0,IF(OR(F4923="",L4923=""),"",F4923))</f>
        <v/>
      </c>
      <c r="J4923" s="350">
        <f>IF(G4923="Sim",0,IF(OR(F4923="",D4923="",L4923=""),"",IF(L4923="Sim",ROUND(F4923-D4923,2),0)))</f>
        <v/>
      </c>
      <c r="K4923" s="97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inlineStr">
        <is>
          <t>Nao</t>
        </is>
      </c>
      <c r="W4923" s="110" t="inlineStr">
        <is>
          <t>PC em analise</t>
        </is>
      </c>
      <c r="X4923" s="110" t="inlineStr">
        <is>
          <t>Pedido de Compra</t>
        </is>
      </c>
      <c r="Y4923" s="111" t="inlineStr">
        <is>
          <t>Impacto Potencial</t>
        </is>
      </c>
      <c r="Z4923" s="111" t="inlineStr">
        <is>
          <t>PC</t>
        </is>
      </c>
      <c r="AA4923" s="111" t="inlineStr">
        <is>
          <t>Nao</t>
        </is>
      </c>
      <c r="AB4923" s="111" t="inlineStr">
        <is>
          <t>NAO_COMPUTADO</t>
        </is>
      </c>
      <c r="AC4923" s="112" t="inlineStr">
        <is>
          <t>Estrutura Fase 1: sem impacto no VTA oficial</t>
        </is>
      </c>
    </row>
    <row r="4924" ht="25.5" customHeight="1" s="289">
      <c r="A4924" s="205" t="n"/>
      <c r="B4924" s="207" t="n"/>
      <c r="C4924" s="104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348" t="n"/>
      <c r="E4924" s="349">
        <f>IF(C4924="","",IFERROR(VLOOKUP(C4924,parametros!$A$11:$E$15,5,0),""))</f>
        <v/>
      </c>
      <c r="F4924" s="335">
        <f>IF(OR(D4924="",E4924=""),"",ROUND(D4924*E4924,2))</f>
        <v/>
      </c>
      <c r="G4924" s="106" t="n"/>
      <c r="H4924" s="350">
        <f>IF(G4924="Sim",IF(OR(F4924="",D4924="",L4924=""),"",IF(L4924="Sim",ROUND(F4924-D4924,2),0)),0)</f>
        <v/>
      </c>
      <c r="I4924" s="350">
        <f>IF(G4924="Sim",0,IF(OR(F4924="",L4924=""),"",F4924))</f>
        <v/>
      </c>
      <c r="J4924" s="350">
        <f>IF(G4924="Sim",0,IF(OR(F4924="",D4924="",L4924=""),"",IF(L4924="Sim",ROUND(F4924-D4924,2),0)))</f>
        <v/>
      </c>
      <c r="K4924" s="97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inlineStr">
        <is>
          <t>Nao</t>
        </is>
      </c>
      <c r="W4924" s="110" t="inlineStr">
        <is>
          <t>PC em analise</t>
        </is>
      </c>
      <c r="X4924" s="110" t="inlineStr">
        <is>
          <t>Pedido de Compra</t>
        </is>
      </c>
      <c r="Y4924" s="111" t="inlineStr">
        <is>
          <t>Impacto Potencial</t>
        </is>
      </c>
      <c r="Z4924" s="111" t="inlineStr">
        <is>
          <t>PC</t>
        </is>
      </c>
      <c r="AA4924" s="111" t="inlineStr">
        <is>
          <t>Nao</t>
        </is>
      </c>
      <c r="AB4924" s="111" t="inlineStr">
        <is>
          <t>NAO_COMPUTADO</t>
        </is>
      </c>
      <c r="AC4924" s="112" t="inlineStr">
        <is>
          <t>Estrutura Fase 1: sem impacto no VTA oficial</t>
        </is>
      </c>
    </row>
    <row r="4925" ht="25.5" customHeight="1" s="289">
      <c r="A4925" s="205" t="n"/>
      <c r="B4925" s="207" t="n"/>
      <c r="C4925" s="104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348" t="n"/>
      <c r="E4925" s="349">
        <f>IF(C4925="","",IFERROR(VLOOKUP(C4925,parametros!$A$11:$E$15,5,0),""))</f>
        <v/>
      </c>
      <c r="F4925" s="335">
        <f>IF(OR(D4925="",E4925=""),"",ROUND(D4925*E4925,2))</f>
        <v/>
      </c>
      <c r="G4925" s="106" t="n"/>
      <c r="H4925" s="350">
        <f>IF(G4925="Sim",IF(OR(F4925="",D4925="",L4925=""),"",IF(L4925="Sim",ROUND(F4925-D4925,2),0)),0)</f>
        <v/>
      </c>
      <c r="I4925" s="350">
        <f>IF(G4925="Sim",0,IF(OR(F4925="",L4925=""),"",F4925))</f>
        <v/>
      </c>
      <c r="J4925" s="350">
        <f>IF(G4925="Sim",0,IF(OR(F4925="",D4925="",L4925=""),"",IF(L4925="Sim",ROUND(F4925-D4925,2),0)))</f>
        <v/>
      </c>
      <c r="K4925" s="97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inlineStr">
        <is>
          <t>Nao</t>
        </is>
      </c>
      <c r="W4925" s="110" t="inlineStr">
        <is>
          <t>PC em analise</t>
        </is>
      </c>
      <c r="X4925" s="110" t="inlineStr">
        <is>
          <t>Pedido de Compra</t>
        </is>
      </c>
      <c r="Y4925" s="111" t="inlineStr">
        <is>
          <t>Impacto Potencial</t>
        </is>
      </c>
      <c r="Z4925" s="111" t="inlineStr">
        <is>
          <t>PC</t>
        </is>
      </c>
      <c r="AA4925" s="111" t="inlineStr">
        <is>
          <t>Nao</t>
        </is>
      </c>
      <c r="AB4925" s="111" t="inlineStr">
        <is>
          <t>NAO_COMPUTADO</t>
        </is>
      </c>
      <c r="AC4925" s="112" t="inlineStr">
        <is>
          <t>Estrutura Fase 1: sem impacto no VTA oficial</t>
        </is>
      </c>
    </row>
    <row r="4926" ht="25.5" customHeight="1" s="289">
      <c r="A4926" s="205" t="n"/>
      <c r="B4926" s="207" t="n"/>
      <c r="C4926" s="104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348" t="n"/>
      <c r="E4926" s="349">
        <f>IF(C4926="","",IFERROR(VLOOKUP(C4926,parametros!$A$11:$E$15,5,0),""))</f>
        <v/>
      </c>
      <c r="F4926" s="335">
        <f>IF(OR(D4926="",E4926=""),"",ROUND(D4926*E4926,2))</f>
        <v/>
      </c>
      <c r="G4926" s="106" t="n"/>
      <c r="H4926" s="350">
        <f>IF(G4926="Sim",IF(OR(F4926="",D4926="",L4926=""),"",IF(L4926="Sim",ROUND(F4926-D4926,2),0)),0)</f>
        <v/>
      </c>
      <c r="I4926" s="350">
        <f>IF(G4926="Sim",0,IF(OR(F4926="",L4926=""),"",F4926))</f>
        <v/>
      </c>
      <c r="J4926" s="350">
        <f>IF(G4926="Sim",0,IF(OR(F4926="",D4926="",L4926=""),"",IF(L4926="Sim",ROUND(F4926-D4926,2),0)))</f>
        <v/>
      </c>
      <c r="K4926" s="97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inlineStr">
        <is>
          <t>Nao</t>
        </is>
      </c>
      <c r="W4926" s="110" t="inlineStr">
        <is>
          <t>PC em analise</t>
        </is>
      </c>
      <c r="X4926" s="110" t="inlineStr">
        <is>
          <t>Pedido de Compra</t>
        </is>
      </c>
      <c r="Y4926" s="111" t="inlineStr">
        <is>
          <t>Impacto Potencial</t>
        </is>
      </c>
      <c r="Z4926" s="111" t="inlineStr">
        <is>
          <t>PC</t>
        </is>
      </c>
      <c r="AA4926" s="111" t="inlineStr">
        <is>
          <t>Nao</t>
        </is>
      </c>
      <c r="AB4926" s="111" t="inlineStr">
        <is>
          <t>NAO_COMPUTADO</t>
        </is>
      </c>
      <c r="AC4926" s="112" t="inlineStr">
        <is>
          <t>Estrutura Fase 1: sem impacto no VTA oficial</t>
        </is>
      </c>
    </row>
    <row r="4927" ht="25.5" customHeight="1" s="289">
      <c r="A4927" s="205" t="n"/>
      <c r="B4927" s="207" t="n"/>
      <c r="C4927" s="104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348" t="n"/>
      <c r="E4927" s="349">
        <f>IF(C4927="","",IFERROR(VLOOKUP(C4927,parametros!$A$11:$E$15,5,0),""))</f>
        <v/>
      </c>
      <c r="F4927" s="335">
        <f>IF(OR(D4927="",E4927=""),"",ROUND(D4927*E4927,2))</f>
        <v/>
      </c>
      <c r="G4927" s="106" t="n"/>
      <c r="H4927" s="350">
        <f>IF(G4927="Sim",IF(OR(F4927="",D4927="",L4927=""),"",IF(L4927="Sim",ROUND(F4927-D4927,2),0)),0)</f>
        <v/>
      </c>
      <c r="I4927" s="350">
        <f>IF(G4927="Sim",0,IF(OR(F4927="",L4927=""),"",F4927))</f>
        <v/>
      </c>
      <c r="J4927" s="350">
        <f>IF(G4927="Sim",0,IF(OR(F4927="",D4927="",L4927=""),"",IF(L4927="Sim",ROUND(F4927-D4927,2),0)))</f>
        <v/>
      </c>
      <c r="K4927" s="97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inlineStr">
        <is>
          <t>Nao</t>
        </is>
      </c>
      <c r="W4927" s="110" t="inlineStr">
        <is>
          <t>PC em analise</t>
        </is>
      </c>
      <c r="X4927" s="110" t="inlineStr">
        <is>
          <t>Pedido de Compra</t>
        </is>
      </c>
      <c r="Y4927" s="111" t="inlineStr">
        <is>
          <t>Impacto Potencial</t>
        </is>
      </c>
      <c r="Z4927" s="111" t="inlineStr">
        <is>
          <t>PC</t>
        </is>
      </c>
      <c r="AA4927" s="111" t="inlineStr">
        <is>
          <t>Nao</t>
        </is>
      </c>
      <c r="AB4927" s="111" t="inlineStr">
        <is>
          <t>NAO_COMPUTADO</t>
        </is>
      </c>
      <c r="AC4927" s="112" t="inlineStr">
        <is>
          <t>Estrutura Fase 1: sem impacto no VTA oficial</t>
        </is>
      </c>
    </row>
    <row r="4928" ht="25.5" customHeight="1" s="289">
      <c r="A4928" s="205" t="n"/>
      <c r="B4928" s="207" t="n"/>
      <c r="C4928" s="104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348" t="n"/>
      <c r="E4928" s="349">
        <f>IF(C4928="","",IFERROR(VLOOKUP(C4928,parametros!$A$11:$E$15,5,0),""))</f>
        <v/>
      </c>
      <c r="F4928" s="335">
        <f>IF(OR(D4928="",E4928=""),"",ROUND(D4928*E4928,2))</f>
        <v/>
      </c>
      <c r="G4928" s="106" t="n"/>
      <c r="H4928" s="350">
        <f>IF(G4928="Sim",IF(OR(F4928="",D4928="",L4928=""),"",IF(L4928="Sim",ROUND(F4928-D4928,2),0)),0)</f>
        <v/>
      </c>
      <c r="I4928" s="350">
        <f>IF(G4928="Sim",0,IF(OR(F4928="",L4928=""),"",F4928))</f>
        <v/>
      </c>
      <c r="J4928" s="350">
        <f>IF(G4928="Sim",0,IF(OR(F4928="",D4928="",L4928=""),"",IF(L4928="Sim",ROUND(F4928-D4928,2),0)))</f>
        <v/>
      </c>
      <c r="K4928" s="97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inlineStr">
        <is>
          <t>Nao</t>
        </is>
      </c>
      <c r="W4928" s="110" t="inlineStr">
        <is>
          <t>PC em analise</t>
        </is>
      </c>
      <c r="X4928" s="110" t="inlineStr">
        <is>
          <t>Pedido de Compra</t>
        </is>
      </c>
      <c r="Y4928" s="111" t="inlineStr">
        <is>
          <t>Impacto Potencial</t>
        </is>
      </c>
      <c r="Z4928" s="111" t="inlineStr">
        <is>
          <t>PC</t>
        </is>
      </c>
      <c r="AA4928" s="111" t="inlineStr">
        <is>
          <t>Nao</t>
        </is>
      </c>
      <c r="AB4928" s="111" t="inlineStr">
        <is>
          <t>NAO_COMPUTADO</t>
        </is>
      </c>
      <c r="AC4928" s="112" t="inlineStr">
        <is>
          <t>Estrutura Fase 1: sem impacto no VTA oficial</t>
        </is>
      </c>
    </row>
    <row r="4929" ht="25.5" customHeight="1" s="289">
      <c r="A4929" s="205" t="n"/>
      <c r="B4929" s="207" t="n"/>
      <c r="C4929" s="104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348" t="n"/>
      <c r="E4929" s="349">
        <f>IF(C4929="","",IFERROR(VLOOKUP(C4929,parametros!$A$11:$E$15,5,0),""))</f>
        <v/>
      </c>
      <c r="F4929" s="335">
        <f>IF(OR(D4929="",E4929=""),"",ROUND(D4929*E4929,2))</f>
        <v/>
      </c>
      <c r="G4929" s="106" t="n"/>
      <c r="H4929" s="350">
        <f>IF(G4929="Sim",IF(OR(F4929="",D4929="",L4929=""),"",IF(L4929="Sim",ROUND(F4929-D4929,2),0)),0)</f>
        <v/>
      </c>
      <c r="I4929" s="350">
        <f>IF(G4929="Sim",0,IF(OR(F4929="",L4929=""),"",F4929))</f>
        <v/>
      </c>
      <c r="J4929" s="350">
        <f>IF(G4929="Sim",0,IF(OR(F4929="",D4929="",L4929=""),"",IF(L4929="Sim",ROUND(F4929-D4929,2),0)))</f>
        <v/>
      </c>
      <c r="K4929" s="97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inlineStr">
        <is>
          <t>Nao</t>
        </is>
      </c>
      <c r="W4929" s="110" t="inlineStr">
        <is>
          <t>PC em analise</t>
        </is>
      </c>
      <c r="X4929" s="110" t="inlineStr">
        <is>
          <t>Pedido de Compra</t>
        </is>
      </c>
      <c r="Y4929" s="111" t="inlineStr">
        <is>
          <t>Impacto Potencial</t>
        </is>
      </c>
      <c r="Z4929" s="111" t="inlineStr">
        <is>
          <t>PC</t>
        </is>
      </c>
      <c r="AA4929" s="111" t="inlineStr">
        <is>
          <t>Nao</t>
        </is>
      </c>
      <c r="AB4929" s="111" t="inlineStr">
        <is>
          <t>NAO_COMPUTADO</t>
        </is>
      </c>
      <c r="AC4929" s="112" t="inlineStr">
        <is>
          <t>Estrutura Fase 1: sem impacto no VTA oficial</t>
        </is>
      </c>
    </row>
    <row r="4930" ht="25.5" customHeight="1" s="289">
      <c r="A4930" s="205" t="n"/>
      <c r="B4930" s="207" t="n"/>
      <c r="C4930" s="104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348" t="n"/>
      <c r="E4930" s="349">
        <f>IF(C4930="","",IFERROR(VLOOKUP(C4930,parametros!$A$11:$E$15,5,0),""))</f>
        <v/>
      </c>
      <c r="F4930" s="335">
        <f>IF(OR(D4930="",E4930=""),"",ROUND(D4930*E4930,2))</f>
        <v/>
      </c>
      <c r="G4930" s="106" t="n"/>
      <c r="H4930" s="350">
        <f>IF(G4930="Sim",IF(OR(F4930="",D4930="",L4930=""),"",IF(L4930="Sim",ROUND(F4930-D4930,2),0)),0)</f>
        <v/>
      </c>
      <c r="I4930" s="350">
        <f>IF(G4930="Sim",0,IF(OR(F4930="",L4930=""),"",F4930))</f>
        <v/>
      </c>
      <c r="J4930" s="350">
        <f>IF(G4930="Sim",0,IF(OR(F4930="",D4930="",L4930=""),"",IF(L4930="Sim",ROUND(F4930-D4930,2),0)))</f>
        <v/>
      </c>
      <c r="K4930" s="97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inlineStr">
        <is>
          <t>Nao</t>
        </is>
      </c>
      <c r="W4930" s="110" t="inlineStr">
        <is>
          <t>PC em analise</t>
        </is>
      </c>
      <c r="X4930" s="110" t="inlineStr">
        <is>
          <t>Pedido de Compra</t>
        </is>
      </c>
      <c r="Y4930" s="111" t="inlineStr">
        <is>
          <t>Impacto Potencial</t>
        </is>
      </c>
      <c r="Z4930" s="111" t="inlineStr">
        <is>
          <t>PC</t>
        </is>
      </c>
      <c r="AA4930" s="111" t="inlineStr">
        <is>
          <t>Nao</t>
        </is>
      </c>
      <c r="AB4930" s="111" t="inlineStr">
        <is>
          <t>NAO_COMPUTADO</t>
        </is>
      </c>
      <c r="AC4930" s="112" t="inlineStr">
        <is>
          <t>Estrutura Fase 1: sem impacto no VTA oficial</t>
        </is>
      </c>
    </row>
    <row r="4931" ht="25.5" customHeight="1" s="289">
      <c r="A4931" s="205" t="n"/>
      <c r="B4931" s="207" t="n"/>
      <c r="C4931" s="104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348" t="n"/>
      <c r="E4931" s="349">
        <f>IF(C4931="","",IFERROR(VLOOKUP(C4931,parametros!$A$11:$E$15,5,0),""))</f>
        <v/>
      </c>
      <c r="F4931" s="335">
        <f>IF(OR(D4931="",E4931=""),"",ROUND(D4931*E4931,2))</f>
        <v/>
      </c>
      <c r="G4931" s="106" t="n"/>
      <c r="H4931" s="350">
        <f>IF(G4931="Sim",IF(OR(F4931="",D4931="",L4931=""),"",IF(L4931="Sim",ROUND(F4931-D4931,2),0)),0)</f>
        <v/>
      </c>
      <c r="I4931" s="350">
        <f>IF(G4931="Sim",0,IF(OR(F4931="",L4931=""),"",F4931))</f>
        <v/>
      </c>
      <c r="J4931" s="350">
        <f>IF(G4931="Sim",0,IF(OR(F4931="",D4931="",L4931=""),"",IF(L4931="Sim",ROUND(F4931-D4931,2),0)))</f>
        <v/>
      </c>
      <c r="K4931" s="97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inlineStr">
        <is>
          <t>Nao</t>
        </is>
      </c>
      <c r="W4931" s="110" t="inlineStr">
        <is>
          <t>PC em analise</t>
        </is>
      </c>
      <c r="X4931" s="110" t="inlineStr">
        <is>
          <t>Pedido de Compra</t>
        </is>
      </c>
      <c r="Y4931" s="111" t="inlineStr">
        <is>
          <t>Impacto Potencial</t>
        </is>
      </c>
      <c r="Z4931" s="111" t="inlineStr">
        <is>
          <t>PC</t>
        </is>
      </c>
      <c r="AA4931" s="111" t="inlineStr">
        <is>
          <t>Nao</t>
        </is>
      </c>
      <c r="AB4931" s="111" t="inlineStr">
        <is>
          <t>NAO_COMPUTADO</t>
        </is>
      </c>
      <c r="AC4931" s="112" t="inlineStr">
        <is>
          <t>Estrutura Fase 1: sem impacto no VTA oficial</t>
        </is>
      </c>
    </row>
    <row r="4932" ht="25.5" customHeight="1" s="289">
      <c r="A4932" s="205" t="n"/>
      <c r="B4932" s="207" t="n"/>
      <c r="C4932" s="104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348" t="n"/>
      <c r="E4932" s="349">
        <f>IF(C4932="","",IFERROR(VLOOKUP(C4932,parametros!$A$11:$E$15,5,0),""))</f>
        <v/>
      </c>
      <c r="F4932" s="335">
        <f>IF(OR(D4932="",E4932=""),"",ROUND(D4932*E4932,2))</f>
        <v/>
      </c>
      <c r="G4932" s="106" t="n"/>
      <c r="H4932" s="350">
        <f>IF(G4932="Sim",IF(OR(F4932="",D4932="",L4932=""),"",IF(L4932="Sim",ROUND(F4932-D4932,2),0)),0)</f>
        <v/>
      </c>
      <c r="I4932" s="350">
        <f>IF(G4932="Sim",0,IF(OR(F4932="",L4932=""),"",F4932))</f>
        <v/>
      </c>
      <c r="J4932" s="350">
        <f>IF(G4932="Sim",0,IF(OR(F4932="",D4932="",L4932=""),"",IF(L4932="Sim",ROUND(F4932-D4932,2),0)))</f>
        <v/>
      </c>
      <c r="K4932" s="97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inlineStr">
        <is>
          <t>Nao</t>
        </is>
      </c>
      <c r="W4932" s="110" t="inlineStr">
        <is>
          <t>PC em analise</t>
        </is>
      </c>
      <c r="X4932" s="110" t="inlineStr">
        <is>
          <t>Pedido de Compra</t>
        </is>
      </c>
      <c r="Y4932" s="111" t="inlineStr">
        <is>
          <t>Impacto Potencial</t>
        </is>
      </c>
      <c r="Z4932" s="111" t="inlineStr">
        <is>
          <t>PC</t>
        </is>
      </c>
      <c r="AA4932" s="111" t="inlineStr">
        <is>
          <t>Nao</t>
        </is>
      </c>
      <c r="AB4932" s="111" t="inlineStr">
        <is>
          <t>NAO_COMPUTADO</t>
        </is>
      </c>
      <c r="AC4932" s="112" t="inlineStr">
        <is>
          <t>Estrutura Fase 1: sem impacto no VTA oficial</t>
        </is>
      </c>
    </row>
    <row r="4933" ht="25.5" customHeight="1" s="289">
      <c r="A4933" s="205" t="n"/>
      <c r="B4933" s="207" t="n"/>
      <c r="C4933" s="104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348" t="n"/>
      <c r="E4933" s="349">
        <f>IF(C4933="","",IFERROR(VLOOKUP(C4933,parametros!$A$11:$E$15,5,0),""))</f>
        <v/>
      </c>
      <c r="F4933" s="335">
        <f>IF(OR(D4933="",E4933=""),"",ROUND(D4933*E4933,2))</f>
        <v/>
      </c>
      <c r="G4933" s="106" t="n"/>
      <c r="H4933" s="350">
        <f>IF(G4933="Sim",IF(OR(F4933="",D4933="",L4933=""),"",IF(L4933="Sim",ROUND(F4933-D4933,2),0)),0)</f>
        <v/>
      </c>
      <c r="I4933" s="350">
        <f>IF(G4933="Sim",0,IF(OR(F4933="",L4933=""),"",F4933))</f>
        <v/>
      </c>
      <c r="J4933" s="350">
        <f>IF(G4933="Sim",0,IF(OR(F4933="",D4933="",L4933=""),"",IF(L4933="Sim",ROUND(F4933-D4933,2),0)))</f>
        <v/>
      </c>
      <c r="K4933" s="97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inlineStr">
        <is>
          <t>Nao</t>
        </is>
      </c>
      <c r="W4933" s="110" t="inlineStr">
        <is>
          <t>PC em analise</t>
        </is>
      </c>
      <c r="X4933" s="110" t="inlineStr">
        <is>
          <t>Pedido de Compra</t>
        </is>
      </c>
      <c r="Y4933" s="111" t="inlineStr">
        <is>
          <t>Impacto Potencial</t>
        </is>
      </c>
      <c r="Z4933" s="111" t="inlineStr">
        <is>
          <t>PC</t>
        </is>
      </c>
      <c r="AA4933" s="111" t="inlineStr">
        <is>
          <t>Nao</t>
        </is>
      </c>
      <c r="AB4933" s="111" t="inlineStr">
        <is>
          <t>NAO_COMPUTADO</t>
        </is>
      </c>
      <c r="AC4933" s="112" t="inlineStr">
        <is>
          <t>Estrutura Fase 1: sem impacto no VTA oficial</t>
        </is>
      </c>
    </row>
    <row r="4934" ht="25.5" customHeight="1" s="289">
      <c r="A4934" s="205" t="n"/>
      <c r="B4934" s="207" t="n"/>
      <c r="C4934" s="104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348" t="n"/>
      <c r="E4934" s="349">
        <f>IF(C4934="","",IFERROR(VLOOKUP(C4934,parametros!$A$11:$E$15,5,0),""))</f>
        <v/>
      </c>
      <c r="F4934" s="335">
        <f>IF(OR(D4934="",E4934=""),"",ROUND(D4934*E4934,2))</f>
        <v/>
      </c>
      <c r="G4934" s="106" t="n"/>
      <c r="H4934" s="350">
        <f>IF(G4934="Sim",IF(OR(F4934="",D4934="",L4934=""),"",IF(L4934="Sim",ROUND(F4934-D4934,2),0)),0)</f>
        <v/>
      </c>
      <c r="I4934" s="350">
        <f>IF(G4934="Sim",0,IF(OR(F4934="",L4934=""),"",F4934))</f>
        <v/>
      </c>
      <c r="J4934" s="350">
        <f>IF(G4934="Sim",0,IF(OR(F4934="",D4934="",L4934=""),"",IF(L4934="Sim",ROUND(F4934-D4934,2),0)))</f>
        <v/>
      </c>
      <c r="K4934" s="97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inlineStr">
        <is>
          <t>Nao</t>
        </is>
      </c>
      <c r="W4934" s="110" t="inlineStr">
        <is>
          <t>PC em analise</t>
        </is>
      </c>
      <c r="X4934" s="110" t="inlineStr">
        <is>
          <t>Pedido de Compra</t>
        </is>
      </c>
      <c r="Y4934" s="111" t="inlineStr">
        <is>
          <t>Impacto Potencial</t>
        </is>
      </c>
      <c r="Z4934" s="111" t="inlineStr">
        <is>
          <t>PC</t>
        </is>
      </c>
      <c r="AA4934" s="111" t="inlineStr">
        <is>
          <t>Nao</t>
        </is>
      </c>
      <c r="AB4934" s="111" t="inlineStr">
        <is>
          <t>NAO_COMPUTADO</t>
        </is>
      </c>
      <c r="AC4934" s="112" t="inlineStr">
        <is>
          <t>Estrutura Fase 1: sem impacto no VTA oficial</t>
        </is>
      </c>
    </row>
    <row r="4935" ht="25.5" customHeight="1" s="289">
      <c r="A4935" s="205" t="n"/>
      <c r="B4935" s="207" t="n"/>
      <c r="C4935" s="104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348" t="n"/>
      <c r="E4935" s="349">
        <f>IF(C4935="","",IFERROR(VLOOKUP(C4935,parametros!$A$11:$E$15,5,0),""))</f>
        <v/>
      </c>
      <c r="F4935" s="335">
        <f>IF(OR(D4935="",E4935=""),"",ROUND(D4935*E4935,2))</f>
        <v/>
      </c>
      <c r="G4935" s="106" t="n"/>
      <c r="H4935" s="350">
        <f>IF(G4935="Sim",IF(OR(F4935="",D4935="",L4935=""),"",IF(L4935="Sim",ROUND(F4935-D4935,2),0)),0)</f>
        <v/>
      </c>
      <c r="I4935" s="350">
        <f>IF(G4935="Sim",0,IF(OR(F4935="",L4935=""),"",F4935))</f>
        <v/>
      </c>
      <c r="J4935" s="350">
        <f>IF(G4935="Sim",0,IF(OR(F4935="",D4935="",L4935=""),"",IF(L4935="Sim",ROUND(F4935-D4935,2),0)))</f>
        <v/>
      </c>
      <c r="K4935" s="97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inlineStr">
        <is>
          <t>Nao</t>
        </is>
      </c>
      <c r="W4935" s="110" t="inlineStr">
        <is>
          <t>PC em analise</t>
        </is>
      </c>
      <c r="X4935" s="110" t="inlineStr">
        <is>
          <t>Pedido de Compra</t>
        </is>
      </c>
      <c r="Y4935" s="111" t="inlineStr">
        <is>
          <t>Impacto Potencial</t>
        </is>
      </c>
      <c r="Z4935" s="111" t="inlineStr">
        <is>
          <t>PC</t>
        </is>
      </c>
      <c r="AA4935" s="111" t="inlineStr">
        <is>
          <t>Nao</t>
        </is>
      </c>
      <c r="AB4935" s="111" t="inlineStr">
        <is>
          <t>NAO_COMPUTADO</t>
        </is>
      </c>
      <c r="AC4935" s="112" t="inlineStr">
        <is>
          <t>Estrutura Fase 1: sem impacto no VTA oficial</t>
        </is>
      </c>
    </row>
    <row r="4936" ht="25.5" customHeight="1" s="289">
      <c r="A4936" s="205" t="n"/>
      <c r="B4936" s="207" t="n"/>
      <c r="C4936" s="104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348" t="n"/>
      <c r="E4936" s="349">
        <f>IF(C4936="","",IFERROR(VLOOKUP(C4936,parametros!$A$11:$E$15,5,0),""))</f>
        <v/>
      </c>
      <c r="F4936" s="335">
        <f>IF(OR(D4936="",E4936=""),"",ROUND(D4936*E4936,2))</f>
        <v/>
      </c>
      <c r="G4936" s="106" t="n"/>
      <c r="H4936" s="350">
        <f>IF(G4936="Sim",IF(OR(F4936="",D4936="",L4936=""),"",IF(L4936="Sim",ROUND(F4936-D4936,2),0)),0)</f>
        <v/>
      </c>
      <c r="I4936" s="350">
        <f>IF(G4936="Sim",0,IF(OR(F4936="",L4936=""),"",F4936))</f>
        <v/>
      </c>
      <c r="J4936" s="350">
        <f>IF(G4936="Sim",0,IF(OR(F4936="",D4936="",L4936=""),"",IF(L4936="Sim",ROUND(F4936-D4936,2),0)))</f>
        <v/>
      </c>
      <c r="K4936" s="97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inlineStr">
        <is>
          <t>Nao</t>
        </is>
      </c>
      <c r="W4936" s="110" t="inlineStr">
        <is>
          <t>PC em analise</t>
        </is>
      </c>
      <c r="X4936" s="110" t="inlineStr">
        <is>
          <t>Pedido de Compra</t>
        </is>
      </c>
      <c r="Y4936" s="111" t="inlineStr">
        <is>
          <t>Impacto Potencial</t>
        </is>
      </c>
      <c r="Z4936" s="111" t="inlineStr">
        <is>
          <t>PC</t>
        </is>
      </c>
      <c r="AA4936" s="111" t="inlineStr">
        <is>
          <t>Nao</t>
        </is>
      </c>
      <c r="AB4936" s="111" t="inlineStr">
        <is>
          <t>NAO_COMPUTADO</t>
        </is>
      </c>
      <c r="AC4936" s="112" t="inlineStr">
        <is>
          <t>Estrutura Fase 1: sem impacto no VTA oficial</t>
        </is>
      </c>
    </row>
    <row r="4937" ht="25.5" customHeight="1" s="289">
      <c r="A4937" s="205" t="n"/>
      <c r="B4937" s="207" t="n"/>
      <c r="C4937" s="104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348" t="n"/>
      <c r="E4937" s="349">
        <f>IF(C4937="","",IFERROR(VLOOKUP(C4937,parametros!$A$11:$E$15,5,0),""))</f>
        <v/>
      </c>
      <c r="F4937" s="335">
        <f>IF(OR(D4937="",E4937=""),"",ROUND(D4937*E4937,2))</f>
        <v/>
      </c>
      <c r="G4937" s="106" t="n"/>
      <c r="H4937" s="350">
        <f>IF(G4937="Sim",IF(OR(F4937="",D4937="",L4937=""),"",IF(L4937="Sim",ROUND(F4937-D4937,2),0)),0)</f>
        <v/>
      </c>
      <c r="I4937" s="350">
        <f>IF(G4937="Sim",0,IF(OR(F4937="",L4937=""),"",F4937))</f>
        <v/>
      </c>
      <c r="J4937" s="350">
        <f>IF(G4937="Sim",0,IF(OR(F4937="",D4937="",L4937=""),"",IF(L4937="Sim",ROUND(F4937-D4937,2),0)))</f>
        <v/>
      </c>
      <c r="K4937" s="97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inlineStr">
        <is>
          <t>Nao</t>
        </is>
      </c>
      <c r="W4937" s="110" t="inlineStr">
        <is>
          <t>PC em analise</t>
        </is>
      </c>
      <c r="X4937" s="110" t="inlineStr">
        <is>
          <t>Pedido de Compra</t>
        </is>
      </c>
      <c r="Y4937" s="111" t="inlineStr">
        <is>
          <t>Impacto Potencial</t>
        </is>
      </c>
      <c r="Z4937" s="111" t="inlineStr">
        <is>
          <t>PC</t>
        </is>
      </c>
      <c r="AA4937" s="111" t="inlineStr">
        <is>
          <t>Nao</t>
        </is>
      </c>
      <c r="AB4937" s="111" t="inlineStr">
        <is>
          <t>NAO_COMPUTADO</t>
        </is>
      </c>
      <c r="AC4937" s="112" t="inlineStr">
        <is>
          <t>Estrutura Fase 1: sem impacto no VTA oficial</t>
        </is>
      </c>
    </row>
    <row r="4938" ht="25.5" customHeight="1" s="289">
      <c r="A4938" s="205" t="n"/>
      <c r="B4938" s="207" t="n"/>
      <c r="C4938" s="104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348" t="n"/>
      <c r="E4938" s="349">
        <f>IF(C4938="","",IFERROR(VLOOKUP(C4938,parametros!$A$11:$E$15,5,0),""))</f>
        <v/>
      </c>
      <c r="F4938" s="335">
        <f>IF(OR(D4938="",E4938=""),"",ROUND(D4938*E4938,2))</f>
        <v/>
      </c>
      <c r="G4938" s="106" t="n"/>
      <c r="H4938" s="350">
        <f>IF(G4938="Sim",IF(OR(F4938="",D4938="",L4938=""),"",IF(L4938="Sim",ROUND(F4938-D4938,2),0)),0)</f>
        <v/>
      </c>
      <c r="I4938" s="350">
        <f>IF(G4938="Sim",0,IF(OR(F4938="",L4938=""),"",F4938))</f>
        <v/>
      </c>
      <c r="J4938" s="350">
        <f>IF(G4938="Sim",0,IF(OR(F4938="",D4938="",L4938=""),"",IF(L4938="Sim",ROUND(F4938-D4938,2),0)))</f>
        <v/>
      </c>
      <c r="K4938" s="97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inlineStr">
        <is>
          <t>Nao</t>
        </is>
      </c>
      <c r="W4938" s="110" t="inlineStr">
        <is>
          <t>PC em analise</t>
        </is>
      </c>
      <c r="X4938" s="110" t="inlineStr">
        <is>
          <t>Pedido de Compra</t>
        </is>
      </c>
      <c r="Y4938" s="111" t="inlineStr">
        <is>
          <t>Impacto Potencial</t>
        </is>
      </c>
      <c r="Z4938" s="111" t="inlineStr">
        <is>
          <t>PC</t>
        </is>
      </c>
      <c r="AA4938" s="111" t="inlineStr">
        <is>
          <t>Nao</t>
        </is>
      </c>
      <c r="AB4938" s="111" t="inlineStr">
        <is>
          <t>NAO_COMPUTADO</t>
        </is>
      </c>
      <c r="AC4938" s="112" t="inlineStr">
        <is>
          <t>Estrutura Fase 1: sem impacto no VTA oficial</t>
        </is>
      </c>
    </row>
    <row r="4939" ht="25.5" customHeight="1" s="289">
      <c r="A4939" s="205" t="n"/>
      <c r="B4939" s="207" t="n"/>
      <c r="C4939" s="104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348" t="n"/>
      <c r="E4939" s="349">
        <f>IF(C4939="","",IFERROR(VLOOKUP(C4939,parametros!$A$11:$E$15,5,0),""))</f>
        <v/>
      </c>
      <c r="F4939" s="335">
        <f>IF(OR(D4939="",E4939=""),"",ROUND(D4939*E4939,2))</f>
        <v/>
      </c>
      <c r="G4939" s="106" t="n"/>
      <c r="H4939" s="350">
        <f>IF(G4939="Sim",IF(OR(F4939="",D4939="",L4939=""),"",IF(L4939="Sim",ROUND(F4939-D4939,2),0)),0)</f>
        <v/>
      </c>
      <c r="I4939" s="350">
        <f>IF(G4939="Sim",0,IF(OR(F4939="",L4939=""),"",F4939))</f>
        <v/>
      </c>
      <c r="J4939" s="350">
        <f>IF(G4939="Sim",0,IF(OR(F4939="",D4939="",L4939=""),"",IF(L4939="Sim",ROUND(F4939-D4939,2),0)))</f>
        <v/>
      </c>
      <c r="K4939" s="97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inlineStr">
        <is>
          <t>Nao</t>
        </is>
      </c>
      <c r="W4939" s="110" t="inlineStr">
        <is>
          <t>PC em analise</t>
        </is>
      </c>
      <c r="X4939" s="110" t="inlineStr">
        <is>
          <t>Pedido de Compra</t>
        </is>
      </c>
      <c r="Y4939" s="111" t="inlineStr">
        <is>
          <t>Impacto Potencial</t>
        </is>
      </c>
      <c r="Z4939" s="111" t="inlineStr">
        <is>
          <t>PC</t>
        </is>
      </c>
      <c r="AA4939" s="111" t="inlineStr">
        <is>
          <t>Nao</t>
        </is>
      </c>
      <c r="AB4939" s="111" t="inlineStr">
        <is>
          <t>NAO_COMPUTADO</t>
        </is>
      </c>
      <c r="AC4939" s="112" t="inlineStr">
        <is>
          <t>Estrutura Fase 1: sem impacto no VTA oficial</t>
        </is>
      </c>
    </row>
    <row r="4940" ht="25.5" customHeight="1" s="289">
      <c r="A4940" s="205" t="n"/>
      <c r="B4940" s="207" t="n"/>
      <c r="C4940" s="104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348" t="n"/>
      <c r="E4940" s="349">
        <f>IF(C4940="","",IFERROR(VLOOKUP(C4940,parametros!$A$11:$E$15,5,0),""))</f>
        <v/>
      </c>
      <c r="F4940" s="335">
        <f>IF(OR(D4940="",E4940=""),"",ROUND(D4940*E4940,2))</f>
        <v/>
      </c>
      <c r="G4940" s="106" t="n"/>
      <c r="H4940" s="350">
        <f>IF(G4940="Sim",IF(OR(F4940="",D4940="",L4940=""),"",IF(L4940="Sim",ROUND(F4940-D4940,2),0)),0)</f>
        <v/>
      </c>
      <c r="I4940" s="350">
        <f>IF(G4940="Sim",0,IF(OR(F4940="",L4940=""),"",F4940))</f>
        <v/>
      </c>
      <c r="J4940" s="350">
        <f>IF(G4940="Sim",0,IF(OR(F4940="",D4940="",L4940=""),"",IF(L4940="Sim",ROUND(F4940-D4940,2),0)))</f>
        <v/>
      </c>
      <c r="K4940" s="97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inlineStr">
        <is>
          <t>Nao</t>
        </is>
      </c>
      <c r="W4940" s="110" t="inlineStr">
        <is>
          <t>PC em analise</t>
        </is>
      </c>
      <c r="X4940" s="110" t="inlineStr">
        <is>
          <t>Pedido de Compra</t>
        </is>
      </c>
      <c r="Y4940" s="111" t="inlineStr">
        <is>
          <t>Impacto Potencial</t>
        </is>
      </c>
      <c r="Z4940" s="111" t="inlineStr">
        <is>
          <t>PC</t>
        </is>
      </c>
      <c r="AA4940" s="111" t="inlineStr">
        <is>
          <t>Nao</t>
        </is>
      </c>
      <c r="AB4940" s="111" t="inlineStr">
        <is>
          <t>NAO_COMPUTADO</t>
        </is>
      </c>
      <c r="AC4940" s="112" t="inlineStr">
        <is>
          <t>Estrutura Fase 1: sem impacto no VTA oficial</t>
        </is>
      </c>
    </row>
    <row r="4941" ht="25.5" customHeight="1" s="289">
      <c r="A4941" s="205" t="n"/>
      <c r="B4941" s="207" t="n"/>
      <c r="C4941" s="104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348" t="n"/>
      <c r="E4941" s="349">
        <f>IF(C4941="","",IFERROR(VLOOKUP(C4941,parametros!$A$11:$E$15,5,0),""))</f>
        <v/>
      </c>
      <c r="F4941" s="335">
        <f>IF(OR(D4941="",E4941=""),"",ROUND(D4941*E4941,2))</f>
        <v/>
      </c>
      <c r="G4941" s="106" t="n"/>
      <c r="H4941" s="350">
        <f>IF(G4941="Sim",IF(OR(F4941="",D4941="",L4941=""),"",IF(L4941="Sim",ROUND(F4941-D4941,2),0)),0)</f>
        <v/>
      </c>
      <c r="I4941" s="350">
        <f>IF(G4941="Sim",0,IF(OR(F4941="",L4941=""),"",F4941))</f>
        <v/>
      </c>
      <c r="J4941" s="350">
        <f>IF(G4941="Sim",0,IF(OR(F4941="",D4941="",L4941=""),"",IF(L4941="Sim",ROUND(F4941-D4941,2),0)))</f>
        <v/>
      </c>
      <c r="K4941" s="97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inlineStr">
        <is>
          <t>Nao</t>
        </is>
      </c>
      <c r="W4941" s="110" t="inlineStr">
        <is>
          <t>PC em analise</t>
        </is>
      </c>
      <c r="X4941" s="110" t="inlineStr">
        <is>
          <t>Pedido de Compra</t>
        </is>
      </c>
      <c r="Y4941" s="111" t="inlineStr">
        <is>
          <t>Impacto Potencial</t>
        </is>
      </c>
      <c r="Z4941" s="111" t="inlineStr">
        <is>
          <t>PC</t>
        </is>
      </c>
      <c r="AA4941" s="111" t="inlineStr">
        <is>
          <t>Nao</t>
        </is>
      </c>
      <c r="AB4941" s="111" t="inlineStr">
        <is>
          <t>NAO_COMPUTADO</t>
        </is>
      </c>
      <c r="AC4941" s="112" t="inlineStr">
        <is>
          <t>Estrutura Fase 1: sem impacto no VTA oficial</t>
        </is>
      </c>
    </row>
    <row r="4942" ht="25.5" customHeight="1" s="289">
      <c r="A4942" s="205" t="n"/>
      <c r="B4942" s="207" t="n"/>
      <c r="C4942" s="104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348" t="n"/>
      <c r="E4942" s="349">
        <f>IF(C4942="","",IFERROR(VLOOKUP(C4942,parametros!$A$11:$E$15,5,0),""))</f>
        <v/>
      </c>
      <c r="F4942" s="335">
        <f>IF(OR(D4942="",E4942=""),"",ROUND(D4942*E4942,2))</f>
        <v/>
      </c>
      <c r="G4942" s="106" t="n"/>
      <c r="H4942" s="350">
        <f>IF(G4942="Sim",IF(OR(F4942="",D4942="",L4942=""),"",IF(L4942="Sim",ROUND(F4942-D4942,2),0)),0)</f>
        <v/>
      </c>
      <c r="I4942" s="350">
        <f>IF(G4942="Sim",0,IF(OR(F4942="",L4942=""),"",F4942))</f>
        <v/>
      </c>
      <c r="J4942" s="350">
        <f>IF(G4942="Sim",0,IF(OR(F4942="",D4942="",L4942=""),"",IF(L4942="Sim",ROUND(F4942-D4942,2),0)))</f>
        <v/>
      </c>
      <c r="K4942" s="97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inlineStr">
        <is>
          <t>Nao</t>
        </is>
      </c>
      <c r="W4942" s="110" t="inlineStr">
        <is>
          <t>PC em analise</t>
        </is>
      </c>
      <c r="X4942" s="110" t="inlineStr">
        <is>
          <t>Pedido de Compra</t>
        </is>
      </c>
      <c r="Y4942" s="111" t="inlineStr">
        <is>
          <t>Impacto Potencial</t>
        </is>
      </c>
      <c r="Z4942" s="111" t="inlineStr">
        <is>
          <t>PC</t>
        </is>
      </c>
      <c r="AA4942" s="111" t="inlineStr">
        <is>
          <t>Nao</t>
        </is>
      </c>
      <c r="AB4942" s="111" t="inlineStr">
        <is>
          <t>NAO_COMPUTADO</t>
        </is>
      </c>
      <c r="AC4942" s="112" t="inlineStr">
        <is>
          <t>Estrutura Fase 1: sem impacto no VTA oficial</t>
        </is>
      </c>
    </row>
    <row r="4943" ht="25.5" customHeight="1" s="289">
      <c r="A4943" s="205" t="n"/>
      <c r="B4943" s="207" t="n"/>
      <c r="C4943" s="104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348" t="n"/>
      <c r="E4943" s="349">
        <f>IF(C4943="","",IFERROR(VLOOKUP(C4943,parametros!$A$11:$E$15,5,0),""))</f>
        <v/>
      </c>
      <c r="F4943" s="335">
        <f>IF(OR(D4943="",E4943=""),"",ROUND(D4943*E4943,2))</f>
        <v/>
      </c>
      <c r="G4943" s="106" t="n"/>
      <c r="H4943" s="350">
        <f>IF(G4943="Sim",IF(OR(F4943="",D4943="",L4943=""),"",IF(L4943="Sim",ROUND(F4943-D4943,2),0)),0)</f>
        <v/>
      </c>
      <c r="I4943" s="350">
        <f>IF(G4943="Sim",0,IF(OR(F4943="",L4943=""),"",F4943))</f>
        <v/>
      </c>
      <c r="J4943" s="350">
        <f>IF(G4943="Sim",0,IF(OR(F4943="",D4943="",L4943=""),"",IF(L4943="Sim",ROUND(F4943-D4943,2),0)))</f>
        <v/>
      </c>
      <c r="K4943" s="97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inlineStr">
        <is>
          <t>Nao</t>
        </is>
      </c>
      <c r="W4943" s="110" t="inlineStr">
        <is>
          <t>PC em analise</t>
        </is>
      </c>
      <c r="X4943" s="110" t="inlineStr">
        <is>
          <t>Pedido de Compra</t>
        </is>
      </c>
      <c r="Y4943" s="111" t="inlineStr">
        <is>
          <t>Impacto Potencial</t>
        </is>
      </c>
      <c r="Z4943" s="111" t="inlineStr">
        <is>
          <t>PC</t>
        </is>
      </c>
      <c r="AA4943" s="111" t="inlineStr">
        <is>
          <t>Nao</t>
        </is>
      </c>
      <c r="AB4943" s="111" t="inlineStr">
        <is>
          <t>NAO_COMPUTADO</t>
        </is>
      </c>
      <c r="AC4943" s="112" t="inlineStr">
        <is>
          <t>Estrutura Fase 1: sem impacto no VTA oficial</t>
        </is>
      </c>
    </row>
    <row r="4944" ht="25.5" customHeight="1" s="289">
      <c r="A4944" s="205" t="n"/>
      <c r="B4944" s="207" t="n"/>
      <c r="C4944" s="104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348" t="n"/>
      <c r="E4944" s="349">
        <f>IF(C4944="","",IFERROR(VLOOKUP(C4944,parametros!$A$11:$E$15,5,0),""))</f>
        <v/>
      </c>
      <c r="F4944" s="335">
        <f>IF(OR(D4944="",E4944=""),"",ROUND(D4944*E4944,2))</f>
        <v/>
      </c>
      <c r="G4944" s="106" t="n"/>
      <c r="H4944" s="350">
        <f>IF(G4944="Sim",IF(OR(F4944="",D4944="",L4944=""),"",IF(L4944="Sim",ROUND(F4944-D4944,2),0)),0)</f>
        <v/>
      </c>
      <c r="I4944" s="350">
        <f>IF(G4944="Sim",0,IF(OR(F4944="",L4944=""),"",F4944))</f>
        <v/>
      </c>
      <c r="J4944" s="350">
        <f>IF(G4944="Sim",0,IF(OR(F4944="",D4944="",L4944=""),"",IF(L4944="Sim",ROUND(F4944-D4944,2),0)))</f>
        <v/>
      </c>
      <c r="K4944" s="97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inlineStr">
        <is>
          <t>Nao</t>
        </is>
      </c>
      <c r="W4944" s="110" t="inlineStr">
        <is>
          <t>PC em analise</t>
        </is>
      </c>
      <c r="X4944" s="110" t="inlineStr">
        <is>
          <t>Pedido de Compra</t>
        </is>
      </c>
      <c r="Y4944" s="111" t="inlineStr">
        <is>
          <t>Impacto Potencial</t>
        </is>
      </c>
      <c r="Z4944" s="111" t="inlineStr">
        <is>
          <t>PC</t>
        </is>
      </c>
      <c r="AA4944" s="111" t="inlineStr">
        <is>
          <t>Nao</t>
        </is>
      </c>
      <c r="AB4944" s="111" t="inlineStr">
        <is>
          <t>NAO_COMPUTADO</t>
        </is>
      </c>
      <c r="AC4944" s="112" t="inlineStr">
        <is>
          <t>Estrutura Fase 1: sem impacto no VTA oficial</t>
        </is>
      </c>
    </row>
    <row r="4945" ht="25.5" customHeight="1" s="289">
      <c r="A4945" s="205" t="n"/>
      <c r="B4945" s="207" t="n"/>
      <c r="C4945" s="104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348" t="n"/>
      <c r="E4945" s="349">
        <f>IF(C4945="","",IFERROR(VLOOKUP(C4945,parametros!$A$11:$E$15,5,0),""))</f>
        <v/>
      </c>
      <c r="F4945" s="335">
        <f>IF(OR(D4945="",E4945=""),"",ROUND(D4945*E4945,2))</f>
        <v/>
      </c>
      <c r="G4945" s="106" t="n"/>
      <c r="H4945" s="350">
        <f>IF(G4945="Sim",IF(OR(F4945="",D4945="",L4945=""),"",IF(L4945="Sim",ROUND(F4945-D4945,2),0)),0)</f>
        <v/>
      </c>
      <c r="I4945" s="350">
        <f>IF(G4945="Sim",0,IF(OR(F4945="",L4945=""),"",F4945))</f>
        <v/>
      </c>
      <c r="J4945" s="350">
        <f>IF(G4945="Sim",0,IF(OR(F4945="",D4945="",L4945=""),"",IF(L4945="Sim",ROUND(F4945-D4945,2),0)))</f>
        <v/>
      </c>
      <c r="K4945" s="97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inlineStr">
        <is>
          <t>Nao</t>
        </is>
      </c>
      <c r="W4945" s="110" t="inlineStr">
        <is>
          <t>PC em analise</t>
        </is>
      </c>
      <c r="X4945" s="110" t="inlineStr">
        <is>
          <t>Pedido de Compra</t>
        </is>
      </c>
      <c r="Y4945" s="111" t="inlineStr">
        <is>
          <t>Impacto Potencial</t>
        </is>
      </c>
      <c r="Z4945" s="111" t="inlineStr">
        <is>
          <t>PC</t>
        </is>
      </c>
      <c r="AA4945" s="111" t="inlineStr">
        <is>
          <t>Nao</t>
        </is>
      </c>
      <c r="AB4945" s="111" t="inlineStr">
        <is>
          <t>NAO_COMPUTADO</t>
        </is>
      </c>
      <c r="AC4945" s="112" t="inlineStr">
        <is>
          <t>Estrutura Fase 1: sem impacto no VTA oficial</t>
        </is>
      </c>
    </row>
    <row r="4946" ht="25.5" customHeight="1" s="289">
      <c r="A4946" s="205" t="n"/>
      <c r="B4946" s="207" t="n"/>
      <c r="C4946" s="104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348" t="n"/>
      <c r="E4946" s="349">
        <f>IF(C4946="","",IFERROR(VLOOKUP(C4946,parametros!$A$11:$E$15,5,0),""))</f>
        <v/>
      </c>
      <c r="F4946" s="335">
        <f>IF(OR(D4946="",E4946=""),"",ROUND(D4946*E4946,2))</f>
        <v/>
      </c>
      <c r="G4946" s="106" t="n"/>
      <c r="H4946" s="350">
        <f>IF(G4946="Sim",IF(OR(F4946="",D4946="",L4946=""),"",IF(L4946="Sim",ROUND(F4946-D4946,2),0)),0)</f>
        <v/>
      </c>
      <c r="I4946" s="350">
        <f>IF(G4946="Sim",0,IF(OR(F4946="",L4946=""),"",F4946))</f>
        <v/>
      </c>
      <c r="J4946" s="350">
        <f>IF(G4946="Sim",0,IF(OR(F4946="",D4946="",L4946=""),"",IF(L4946="Sim",ROUND(F4946-D4946,2),0)))</f>
        <v/>
      </c>
      <c r="K4946" s="97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inlineStr">
        <is>
          <t>Nao</t>
        </is>
      </c>
      <c r="W4946" s="110" t="inlineStr">
        <is>
          <t>PC em analise</t>
        </is>
      </c>
      <c r="X4946" s="110" t="inlineStr">
        <is>
          <t>Pedido de Compra</t>
        </is>
      </c>
      <c r="Y4946" s="111" t="inlineStr">
        <is>
          <t>Impacto Potencial</t>
        </is>
      </c>
      <c r="Z4946" s="111" t="inlineStr">
        <is>
          <t>PC</t>
        </is>
      </c>
      <c r="AA4946" s="111" t="inlineStr">
        <is>
          <t>Nao</t>
        </is>
      </c>
      <c r="AB4946" s="111" t="inlineStr">
        <is>
          <t>NAO_COMPUTADO</t>
        </is>
      </c>
      <c r="AC4946" s="112" t="inlineStr">
        <is>
          <t>Estrutura Fase 1: sem impacto no VTA oficial</t>
        </is>
      </c>
    </row>
    <row r="4947" ht="25.5" customHeight="1" s="289">
      <c r="A4947" s="205" t="n"/>
      <c r="B4947" s="207" t="n"/>
      <c r="C4947" s="104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348" t="n"/>
      <c r="E4947" s="349">
        <f>IF(C4947="","",IFERROR(VLOOKUP(C4947,parametros!$A$11:$E$15,5,0),""))</f>
        <v/>
      </c>
      <c r="F4947" s="335">
        <f>IF(OR(D4947="",E4947=""),"",ROUND(D4947*E4947,2))</f>
        <v/>
      </c>
      <c r="G4947" s="106" t="n"/>
      <c r="H4947" s="350">
        <f>IF(G4947="Sim",IF(OR(F4947="",D4947="",L4947=""),"",IF(L4947="Sim",ROUND(F4947-D4947,2),0)),0)</f>
        <v/>
      </c>
      <c r="I4947" s="350">
        <f>IF(G4947="Sim",0,IF(OR(F4947="",L4947=""),"",F4947))</f>
        <v/>
      </c>
      <c r="J4947" s="350">
        <f>IF(G4947="Sim",0,IF(OR(F4947="",D4947="",L4947=""),"",IF(L4947="Sim",ROUND(F4947-D4947,2),0)))</f>
        <v/>
      </c>
      <c r="K4947" s="97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inlineStr">
        <is>
          <t>Nao</t>
        </is>
      </c>
      <c r="W4947" s="110" t="inlineStr">
        <is>
          <t>PC em analise</t>
        </is>
      </c>
      <c r="X4947" s="110" t="inlineStr">
        <is>
          <t>Pedido de Compra</t>
        </is>
      </c>
      <c r="Y4947" s="111" t="inlineStr">
        <is>
          <t>Impacto Potencial</t>
        </is>
      </c>
      <c r="Z4947" s="111" t="inlineStr">
        <is>
          <t>PC</t>
        </is>
      </c>
      <c r="AA4947" s="111" t="inlineStr">
        <is>
          <t>Nao</t>
        </is>
      </c>
      <c r="AB4947" s="111" t="inlineStr">
        <is>
          <t>NAO_COMPUTADO</t>
        </is>
      </c>
      <c r="AC4947" s="112" t="inlineStr">
        <is>
          <t>Estrutura Fase 1: sem impacto no VTA oficial</t>
        </is>
      </c>
    </row>
    <row r="4948" ht="25.5" customHeight="1" s="289">
      <c r="A4948" s="205" t="n"/>
      <c r="B4948" s="207" t="n"/>
      <c r="C4948" s="104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348" t="n"/>
      <c r="E4948" s="349">
        <f>IF(C4948="","",IFERROR(VLOOKUP(C4948,parametros!$A$11:$E$15,5,0),""))</f>
        <v/>
      </c>
      <c r="F4948" s="335">
        <f>IF(OR(D4948="",E4948=""),"",ROUND(D4948*E4948,2))</f>
        <v/>
      </c>
      <c r="G4948" s="106" t="n"/>
      <c r="H4948" s="350">
        <f>IF(G4948="Sim",IF(OR(F4948="",D4948="",L4948=""),"",IF(L4948="Sim",ROUND(F4948-D4948,2),0)),0)</f>
        <v/>
      </c>
      <c r="I4948" s="350">
        <f>IF(G4948="Sim",0,IF(OR(F4948="",L4948=""),"",F4948))</f>
        <v/>
      </c>
      <c r="J4948" s="350">
        <f>IF(G4948="Sim",0,IF(OR(F4948="",D4948="",L4948=""),"",IF(L4948="Sim",ROUND(F4948-D4948,2),0)))</f>
        <v/>
      </c>
      <c r="K4948" s="97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inlineStr">
        <is>
          <t>Nao</t>
        </is>
      </c>
      <c r="W4948" s="110" t="inlineStr">
        <is>
          <t>PC em analise</t>
        </is>
      </c>
      <c r="X4948" s="110" t="inlineStr">
        <is>
          <t>Pedido de Compra</t>
        </is>
      </c>
      <c r="Y4948" s="111" t="inlineStr">
        <is>
          <t>Impacto Potencial</t>
        </is>
      </c>
      <c r="Z4948" s="111" t="inlineStr">
        <is>
          <t>PC</t>
        </is>
      </c>
      <c r="AA4948" s="111" t="inlineStr">
        <is>
          <t>Nao</t>
        </is>
      </c>
      <c r="AB4948" s="111" t="inlineStr">
        <is>
          <t>NAO_COMPUTADO</t>
        </is>
      </c>
      <c r="AC4948" s="112" t="inlineStr">
        <is>
          <t>Estrutura Fase 1: sem impacto no VTA oficial</t>
        </is>
      </c>
    </row>
    <row r="4949" ht="25.5" customHeight="1" s="289">
      <c r="A4949" s="205" t="n"/>
      <c r="B4949" s="207" t="n"/>
      <c r="C4949" s="104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348" t="n"/>
      <c r="E4949" s="349">
        <f>IF(C4949="","",IFERROR(VLOOKUP(C4949,parametros!$A$11:$E$15,5,0),""))</f>
        <v/>
      </c>
      <c r="F4949" s="335">
        <f>IF(OR(D4949="",E4949=""),"",ROUND(D4949*E4949,2))</f>
        <v/>
      </c>
      <c r="G4949" s="106" t="n"/>
      <c r="H4949" s="350">
        <f>IF(G4949="Sim",IF(OR(F4949="",D4949="",L4949=""),"",IF(L4949="Sim",ROUND(F4949-D4949,2),0)),0)</f>
        <v/>
      </c>
      <c r="I4949" s="350">
        <f>IF(G4949="Sim",0,IF(OR(F4949="",L4949=""),"",F4949))</f>
        <v/>
      </c>
      <c r="J4949" s="350">
        <f>IF(G4949="Sim",0,IF(OR(F4949="",D4949="",L4949=""),"",IF(L4949="Sim",ROUND(F4949-D4949,2),0)))</f>
        <v/>
      </c>
      <c r="K4949" s="97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inlineStr">
        <is>
          <t>Nao</t>
        </is>
      </c>
      <c r="W4949" s="110" t="inlineStr">
        <is>
          <t>PC em analise</t>
        </is>
      </c>
      <c r="X4949" s="110" t="inlineStr">
        <is>
          <t>Pedido de Compra</t>
        </is>
      </c>
      <c r="Y4949" s="111" t="inlineStr">
        <is>
          <t>Impacto Potencial</t>
        </is>
      </c>
      <c r="Z4949" s="111" t="inlineStr">
        <is>
          <t>PC</t>
        </is>
      </c>
      <c r="AA4949" s="111" t="inlineStr">
        <is>
          <t>Nao</t>
        </is>
      </c>
      <c r="AB4949" s="111" t="inlineStr">
        <is>
          <t>NAO_COMPUTADO</t>
        </is>
      </c>
      <c r="AC4949" s="112" t="inlineStr">
        <is>
          <t>Estrutura Fase 1: sem impacto no VTA oficial</t>
        </is>
      </c>
    </row>
    <row r="4950" ht="25.5" customHeight="1" s="289">
      <c r="A4950" s="205" t="n"/>
      <c r="B4950" s="207" t="n"/>
      <c r="C4950" s="104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348" t="n"/>
      <c r="E4950" s="349">
        <f>IF(C4950="","",IFERROR(VLOOKUP(C4950,parametros!$A$11:$E$15,5,0),""))</f>
        <v/>
      </c>
      <c r="F4950" s="335">
        <f>IF(OR(D4950="",E4950=""),"",ROUND(D4950*E4950,2))</f>
        <v/>
      </c>
      <c r="G4950" s="106" t="n"/>
      <c r="H4950" s="350">
        <f>IF(G4950="Sim",IF(OR(F4950="",D4950="",L4950=""),"",IF(L4950="Sim",ROUND(F4950-D4950,2),0)),0)</f>
        <v/>
      </c>
      <c r="I4950" s="350">
        <f>IF(G4950="Sim",0,IF(OR(F4950="",L4950=""),"",F4950))</f>
        <v/>
      </c>
      <c r="J4950" s="350">
        <f>IF(G4950="Sim",0,IF(OR(F4950="",D4950="",L4950=""),"",IF(L4950="Sim",ROUND(F4950-D4950,2),0)))</f>
        <v/>
      </c>
      <c r="K4950" s="97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inlineStr">
        <is>
          <t>Nao</t>
        </is>
      </c>
      <c r="W4950" s="110" t="inlineStr">
        <is>
          <t>PC em analise</t>
        </is>
      </c>
      <c r="X4950" s="110" t="inlineStr">
        <is>
          <t>Pedido de Compra</t>
        </is>
      </c>
      <c r="Y4950" s="111" t="inlineStr">
        <is>
          <t>Impacto Potencial</t>
        </is>
      </c>
      <c r="Z4950" s="111" t="inlineStr">
        <is>
          <t>PC</t>
        </is>
      </c>
      <c r="AA4950" s="111" t="inlineStr">
        <is>
          <t>Nao</t>
        </is>
      </c>
      <c r="AB4950" s="111" t="inlineStr">
        <is>
          <t>NAO_COMPUTADO</t>
        </is>
      </c>
      <c r="AC4950" s="112" t="inlineStr">
        <is>
          <t>Estrutura Fase 1: sem impacto no VTA oficial</t>
        </is>
      </c>
    </row>
    <row r="4951" ht="25.5" customHeight="1" s="289">
      <c r="A4951" s="205" t="n"/>
      <c r="B4951" s="207" t="n"/>
      <c r="C4951" s="104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348" t="n"/>
      <c r="E4951" s="349">
        <f>IF(C4951="","",IFERROR(VLOOKUP(C4951,parametros!$A$11:$E$15,5,0),""))</f>
        <v/>
      </c>
      <c r="F4951" s="335">
        <f>IF(OR(D4951="",E4951=""),"",ROUND(D4951*E4951,2))</f>
        <v/>
      </c>
      <c r="G4951" s="106" t="n"/>
      <c r="H4951" s="350">
        <f>IF(G4951="Sim",IF(OR(F4951="",D4951="",L4951=""),"",IF(L4951="Sim",ROUND(F4951-D4951,2),0)),0)</f>
        <v/>
      </c>
      <c r="I4951" s="350">
        <f>IF(G4951="Sim",0,IF(OR(F4951="",L4951=""),"",F4951))</f>
        <v/>
      </c>
      <c r="J4951" s="350">
        <f>IF(G4951="Sim",0,IF(OR(F4951="",D4951="",L4951=""),"",IF(L4951="Sim",ROUND(F4951-D4951,2),0)))</f>
        <v/>
      </c>
      <c r="K4951" s="97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inlineStr">
        <is>
          <t>Nao</t>
        </is>
      </c>
      <c r="W4951" s="110" t="inlineStr">
        <is>
          <t>PC em analise</t>
        </is>
      </c>
      <c r="X4951" s="110" t="inlineStr">
        <is>
          <t>Pedido de Compra</t>
        </is>
      </c>
      <c r="Y4951" s="111" t="inlineStr">
        <is>
          <t>Impacto Potencial</t>
        </is>
      </c>
      <c r="Z4951" s="111" t="inlineStr">
        <is>
          <t>PC</t>
        </is>
      </c>
      <c r="AA4951" s="111" t="inlineStr">
        <is>
          <t>Nao</t>
        </is>
      </c>
      <c r="AB4951" s="111" t="inlineStr">
        <is>
          <t>NAO_COMPUTADO</t>
        </is>
      </c>
      <c r="AC4951" s="112" t="inlineStr">
        <is>
          <t>Estrutura Fase 1: sem impacto no VTA oficial</t>
        </is>
      </c>
    </row>
    <row r="4952" ht="25.5" customHeight="1" s="289">
      <c r="A4952" s="205" t="n"/>
      <c r="B4952" s="207" t="n"/>
      <c r="C4952" s="104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348" t="n"/>
      <c r="E4952" s="349">
        <f>IF(C4952="","",IFERROR(VLOOKUP(C4952,parametros!$A$11:$E$15,5,0),""))</f>
        <v/>
      </c>
      <c r="F4952" s="335">
        <f>IF(OR(D4952="",E4952=""),"",ROUND(D4952*E4952,2))</f>
        <v/>
      </c>
      <c r="G4952" s="106" t="n"/>
      <c r="H4952" s="350">
        <f>IF(G4952="Sim",IF(OR(F4952="",D4952="",L4952=""),"",IF(L4952="Sim",ROUND(F4952-D4952,2),0)),0)</f>
        <v/>
      </c>
      <c r="I4952" s="350">
        <f>IF(G4952="Sim",0,IF(OR(F4952="",L4952=""),"",F4952))</f>
        <v/>
      </c>
      <c r="J4952" s="350">
        <f>IF(G4952="Sim",0,IF(OR(F4952="",D4952="",L4952=""),"",IF(L4952="Sim",ROUND(F4952-D4952,2),0)))</f>
        <v/>
      </c>
      <c r="K4952" s="97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inlineStr">
        <is>
          <t>Nao</t>
        </is>
      </c>
      <c r="W4952" s="110" t="inlineStr">
        <is>
          <t>PC em analise</t>
        </is>
      </c>
      <c r="X4952" s="110" t="inlineStr">
        <is>
          <t>Pedido de Compra</t>
        </is>
      </c>
      <c r="Y4952" s="111" t="inlineStr">
        <is>
          <t>Impacto Potencial</t>
        </is>
      </c>
      <c r="Z4952" s="111" t="inlineStr">
        <is>
          <t>PC</t>
        </is>
      </c>
      <c r="AA4952" s="111" t="inlineStr">
        <is>
          <t>Nao</t>
        </is>
      </c>
      <c r="AB4952" s="111" t="inlineStr">
        <is>
          <t>NAO_COMPUTADO</t>
        </is>
      </c>
      <c r="AC4952" s="112" t="inlineStr">
        <is>
          <t>Estrutura Fase 1: sem impacto no VTA oficial</t>
        </is>
      </c>
    </row>
    <row r="4953" ht="25.5" customHeight="1" s="289">
      <c r="A4953" s="205" t="n"/>
      <c r="B4953" s="207" t="n"/>
      <c r="C4953" s="104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348" t="n"/>
      <c r="E4953" s="349">
        <f>IF(C4953="","",IFERROR(VLOOKUP(C4953,parametros!$A$11:$E$15,5,0),""))</f>
        <v/>
      </c>
      <c r="F4953" s="335">
        <f>IF(OR(D4953="",E4953=""),"",ROUND(D4953*E4953,2))</f>
        <v/>
      </c>
      <c r="G4953" s="106" t="n"/>
      <c r="H4953" s="350">
        <f>IF(G4953="Sim",IF(OR(F4953="",D4953="",L4953=""),"",IF(L4953="Sim",ROUND(F4953-D4953,2),0)),0)</f>
        <v/>
      </c>
      <c r="I4953" s="350">
        <f>IF(G4953="Sim",0,IF(OR(F4953="",L4953=""),"",F4953))</f>
        <v/>
      </c>
      <c r="J4953" s="350">
        <f>IF(G4953="Sim",0,IF(OR(F4953="",D4953="",L4953=""),"",IF(L4953="Sim",ROUND(F4953-D4953,2),0)))</f>
        <v/>
      </c>
      <c r="K4953" s="97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inlineStr">
        <is>
          <t>Nao</t>
        </is>
      </c>
      <c r="W4953" s="110" t="inlineStr">
        <is>
          <t>PC em analise</t>
        </is>
      </c>
      <c r="X4953" s="110" t="inlineStr">
        <is>
          <t>Pedido de Compra</t>
        </is>
      </c>
      <c r="Y4953" s="111" t="inlineStr">
        <is>
          <t>Impacto Potencial</t>
        </is>
      </c>
      <c r="Z4953" s="111" t="inlineStr">
        <is>
          <t>PC</t>
        </is>
      </c>
      <c r="AA4953" s="111" t="inlineStr">
        <is>
          <t>Nao</t>
        </is>
      </c>
      <c r="AB4953" s="111" t="inlineStr">
        <is>
          <t>NAO_COMPUTADO</t>
        </is>
      </c>
      <c r="AC4953" s="112" t="inlineStr">
        <is>
          <t>Estrutura Fase 1: sem impacto no VTA oficial</t>
        </is>
      </c>
    </row>
    <row r="4954" ht="25.5" customHeight="1" s="289">
      <c r="A4954" s="205" t="n"/>
      <c r="B4954" s="207" t="n"/>
      <c r="C4954" s="104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348" t="n"/>
      <c r="E4954" s="349">
        <f>IF(C4954="","",IFERROR(VLOOKUP(C4954,parametros!$A$11:$E$15,5,0),""))</f>
        <v/>
      </c>
      <c r="F4954" s="335">
        <f>IF(OR(D4954="",E4954=""),"",ROUND(D4954*E4954,2))</f>
        <v/>
      </c>
      <c r="G4954" s="106" t="n"/>
      <c r="H4954" s="350">
        <f>IF(G4954="Sim",IF(OR(F4954="",D4954="",L4954=""),"",IF(L4954="Sim",ROUND(F4954-D4954,2),0)),0)</f>
        <v/>
      </c>
      <c r="I4954" s="350">
        <f>IF(G4954="Sim",0,IF(OR(F4954="",L4954=""),"",F4954))</f>
        <v/>
      </c>
      <c r="J4954" s="350">
        <f>IF(G4954="Sim",0,IF(OR(F4954="",D4954="",L4954=""),"",IF(L4954="Sim",ROUND(F4954-D4954,2),0)))</f>
        <v/>
      </c>
      <c r="K4954" s="97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inlineStr">
        <is>
          <t>Nao</t>
        </is>
      </c>
      <c r="W4954" s="110" t="inlineStr">
        <is>
          <t>PC em analise</t>
        </is>
      </c>
      <c r="X4954" s="110" t="inlineStr">
        <is>
          <t>Pedido de Compra</t>
        </is>
      </c>
      <c r="Y4954" s="111" t="inlineStr">
        <is>
          <t>Impacto Potencial</t>
        </is>
      </c>
      <c r="Z4954" s="111" t="inlineStr">
        <is>
          <t>PC</t>
        </is>
      </c>
      <c r="AA4954" s="111" t="inlineStr">
        <is>
          <t>Nao</t>
        </is>
      </c>
      <c r="AB4954" s="111" t="inlineStr">
        <is>
          <t>NAO_COMPUTADO</t>
        </is>
      </c>
      <c r="AC4954" s="112" t="inlineStr">
        <is>
          <t>Estrutura Fase 1: sem impacto no VTA oficial</t>
        </is>
      </c>
    </row>
    <row r="4955" ht="25.5" customHeight="1" s="289">
      <c r="A4955" s="205" t="n"/>
      <c r="B4955" s="207" t="n"/>
      <c r="C4955" s="104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348" t="n"/>
      <c r="E4955" s="349">
        <f>IF(C4955="","",IFERROR(VLOOKUP(C4955,parametros!$A$11:$E$15,5,0),""))</f>
        <v/>
      </c>
      <c r="F4955" s="335">
        <f>IF(OR(D4955="",E4955=""),"",ROUND(D4955*E4955,2))</f>
        <v/>
      </c>
      <c r="G4955" s="106" t="n"/>
      <c r="H4955" s="350">
        <f>IF(G4955="Sim",IF(OR(F4955="",D4955="",L4955=""),"",IF(L4955="Sim",ROUND(F4955-D4955,2),0)),0)</f>
        <v/>
      </c>
      <c r="I4955" s="350">
        <f>IF(G4955="Sim",0,IF(OR(F4955="",L4955=""),"",F4955))</f>
        <v/>
      </c>
      <c r="J4955" s="350">
        <f>IF(G4955="Sim",0,IF(OR(F4955="",D4955="",L4955=""),"",IF(L4955="Sim",ROUND(F4955-D4955,2),0)))</f>
        <v/>
      </c>
      <c r="K4955" s="97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inlineStr">
        <is>
          <t>Nao</t>
        </is>
      </c>
      <c r="W4955" s="110" t="inlineStr">
        <is>
          <t>PC em analise</t>
        </is>
      </c>
      <c r="X4955" s="110" t="inlineStr">
        <is>
          <t>Pedido de Compra</t>
        </is>
      </c>
      <c r="Y4955" s="111" t="inlineStr">
        <is>
          <t>Impacto Potencial</t>
        </is>
      </c>
      <c r="Z4955" s="111" t="inlineStr">
        <is>
          <t>PC</t>
        </is>
      </c>
      <c r="AA4955" s="111" t="inlineStr">
        <is>
          <t>Nao</t>
        </is>
      </c>
      <c r="AB4955" s="111" t="inlineStr">
        <is>
          <t>NAO_COMPUTADO</t>
        </is>
      </c>
      <c r="AC4955" s="112" t="inlineStr">
        <is>
          <t>Estrutura Fase 1: sem impacto no VTA oficial</t>
        </is>
      </c>
    </row>
    <row r="4956" ht="25.5" customHeight="1" s="289">
      <c r="A4956" s="205" t="n"/>
      <c r="B4956" s="207" t="n"/>
      <c r="C4956" s="104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348" t="n"/>
      <c r="E4956" s="349">
        <f>IF(C4956="","",IFERROR(VLOOKUP(C4956,parametros!$A$11:$E$15,5,0),""))</f>
        <v/>
      </c>
      <c r="F4956" s="335">
        <f>IF(OR(D4956="",E4956=""),"",ROUND(D4956*E4956,2))</f>
        <v/>
      </c>
      <c r="G4956" s="106" t="n"/>
      <c r="H4956" s="350">
        <f>IF(G4956="Sim",IF(OR(F4956="",D4956="",L4956=""),"",IF(L4956="Sim",ROUND(F4956-D4956,2),0)),0)</f>
        <v/>
      </c>
      <c r="I4956" s="350">
        <f>IF(G4956="Sim",0,IF(OR(F4956="",L4956=""),"",F4956))</f>
        <v/>
      </c>
      <c r="J4956" s="350">
        <f>IF(G4956="Sim",0,IF(OR(F4956="",D4956="",L4956=""),"",IF(L4956="Sim",ROUND(F4956-D4956,2),0)))</f>
        <v/>
      </c>
      <c r="K4956" s="97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inlineStr">
        <is>
          <t>Nao</t>
        </is>
      </c>
      <c r="W4956" s="110" t="inlineStr">
        <is>
          <t>PC em analise</t>
        </is>
      </c>
      <c r="X4956" s="110" t="inlineStr">
        <is>
          <t>Pedido de Compra</t>
        </is>
      </c>
      <c r="Y4956" s="111" t="inlineStr">
        <is>
          <t>Impacto Potencial</t>
        </is>
      </c>
      <c r="Z4956" s="111" t="inlineStr">
        <is>
          <t>PC</t>
        </is>
      </c>
      <c r="AA4956" s="111" t="inlineStr">
        <is>
          <t>Nao</t>
        </is>
      </c>
      <c r="AB4956" s="111" t="inlineStr">
        <is>
          <t>NAO_COMPUTADO</t>
        </is>
      </c>
      <c r="AC4956" s="112" t="inlineStr">
        <is>
          <t>Estrutura Fase 1: sem impacto no VTA oficial</t>
        </is>
      </c>
    </row>
    <row r="4957" ht="25.5" customHeight="1" s="289">
      <c r="A4957" s="205" t="n"/>
      <c r="B4957" s="207" t="n"/>
      <c r="C4957" s="104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348" t="n"/>
      <c r="E4957" s="349">
        <f>IF(C4957="","",IFERROR(VLOOKUP(C4957,parametros!$A$11:$E$15,5,0),""))</f>
        <v/>
      </c>
      <c r="F4957" s="335">
        <f>IF(OR(D4957="",E4957=""),"",ROUND(D4957*E4957,2))</f>
        <v/>
      </c>
      <c r="G4957" s="106" t="n"/>
      <c r="H4957" s="350">
        <f>IF(G4957="Sim",IF(OR(F4957="",D4957="",L4957=""),"",IF(L4957="Sim",ROUND(F4957-D4957,2),0)),0)</f>
        <v/>
      </c>
      <c r="I4957" s="350">
        <f>IF(G4957="Sim",0,IF(OR(F4957="",L4957=""),"",F4957))</f>
        <v/>
      </c>
      <c r="J4957" s="350">
        <f>IF(G4957="Sim",0,IF(OR(F4957="",D4957="",L4957=""),"",IF(L4957="Sim",ROUND(F4957-D4957,2),0)))</f>
        <v/>
      </c>
      <c r="K4957" s="97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inlineStr">
        <is>
          <t>Nao</t>
        </is>
      </c>
      <c r="W4957" s="110" t="inlineStr">
        <is>
          <t>PC em analise</t>
        </is>
      </c>
      <c r="X4957" s="110" t="inlineStr">
        <is>
          <t>Pedido de Compra</t>
        </is>
      </c>
      <c r="Y4957" s="111" t="inlineStr">
        <is>
          <t>Impacto Potencial</t>
        </is>
      </c>
      <c r="Z4957" s="111" t="inlineStr">
        <is>
          <t>PC</t>
        </is>
      </c>
      <c r="AA4957" s="111" t="inlineStr">
        <is>
          <t>Nao</t>
        </is>
      </c>
      <c r="AB4957" s="111" t="inlineStr">
        <is>
          <t>NAO_COMPUTADO</t>
        </is>
      </c>
      <c r="AC4957" s="112" t="inlineStr">
        <is>
          <t>Estrutura Fase 1: sem impacto no VTA oficial</t>
        </is>
      </c>
    </row>
    <row r="4958" ht="25.5" customHeight="1" s="289">
      <c r="A4958" s="205" t="n"/>
      <c r="B4958" s="207" t="n"/>
      <c r="C4958" s="104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348" t="n"/>
      <c r="E4958" s="349">
        <f>IF(C4958="","",IFERROR(VLOOKUP(C4958,parametros!$A$11:$E$15,5,0),""))</f>
        <v/>
      </c>
      <c r="F4958" s="335">
        <f>IF(OR(D4958="",E4958=""),"",ROUND(D4958*E4958,2))</f>
        <v/>
      </c>
      <c r="G4958" s="106" t="n"/>
      <c r="H4958" s="350">
        <f>IF(G4958="Sim",IF(OR(F4958="",D4958="",L4958=""),"",IF(L4958="Sim",ROUND(F4958-D4958,2),0)),0)</f>
        <v/>
      </c>
      <c r="I4958" s="350">
        <f>IF(G4958="Sim",0,IF(OR(F4958="",L4958=""),"",F4958))</f>
        <v/>
      </c>
      <c r="J4958" s="350">
        <f>IF(G4958="Sim",0,IF(OR(F4958="",D4958="",L4958=""),"",IF(L4958="Sim",ROUND(F4958-D4958,2),0)))</f>
        <v/>
      </c>
      <c r="K4958" s="97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inlineStr">
        <is>
          <t>Nao</t>
        </is>
      </c>
      <c r="W4958" s="110" t="inlineStr">
        <is>
          <t>PC em analise</t>
        </is>
      </c>
      <c r="X4958" s="110" t="inlineStr">
        <is>
          <t>Pedido de Compra</t>
        </is>
      </c>
      <c r="Y4958" s="111" t="inlineStr">
        <is>
          <t>Impacto Potencial</t>
        </is>
      </c>
      <c r="Z4958" s="111" t="inlineStr">
        <is>
          <t>PC</t>
        </is>
      </c>
      <c r="AA4958" s="111" t="inlineStr">
        <is>
          <t>Nao</t>
        </is>
      </c>
      <c r="AB4958" s="111" t="inlineStr">
        <is>
          <t>NAO_COMPUTADO</t>
        </is>
      </c>
      <c r="AC4958" s="112" t="inlineStr">
        <is>
          <t>Estrutura Fase 1: sem impacto no VTA oficial</t>
        </is>
      </c>
    </row>
    <row r="4959" ht="25.5" customHeight="1" s="289">
      <c r="A4959" s="205" t="n"/>
      <c r="B4959" s="207" t="n"/>
      <c r="C4959" s="104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348" t="n"/>
      <c r="E4959" s="349">
        <f>IF(C4959="","",IFERROR(VLOOKUP(C4959,parametros!$A$11:$E$15,5,0),""))</f>
        <v/>
      </c>
      <c r="F4959" s="335">
        <f>IF(OR(D4959="",E4959=""),"",ROUND(D4959*E4959,2))</f>
        <v/>
      </c>
      <c r="G4959" s="106" t="n"/>
      <c r="H4959" s="350">
        <f>IF(G4959="Sim",IF(OR(F4959="",D4959="",L4959=""),"",IF(L4959="Sim",ROUND(F4959-D4959,2),0)),0)</f>
        <v/>
      </c>
      <c r="I4959" s="350">
        <f>IF(G4959="Sim",0,IF(OR(F4959="",L4959=""),"",F4959))</f>
        <v/>
      </c>
      <c r="J4959" s="350">
        <f>IF(G4959="Sim",0,IF(OR(F4959="",D4959="",L4959=""),"",IF(L4959="Sim",ROUND(F4959-D4959,2),0)))</f>
        <v/>
      </c>
      <c r="K4959" s="97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inlineStr">
        <is>
          <t>Nao</t>
        </is>
      </c>
      <c r="W4959" s="110" t="inlineStr">
        <is>
          <t>PC em analise</t>
        </is>
      </c>
      <c r="X4959" s="110" t="inlineStr">
        <is>
          <t>Pedido de Compra</t>
        </is>
      </c>
      <c r="Y4959" s="111" t="inlineStr">
        <is>
          <t>Impacto Potencial</t>
        </is>
      </c>
      <c r="Z4959" s="111" t="inlineStr">
        <is>
          <t>PC</t>
        </is>
      </c>
      <c r="AA4959" s="111" t="inlineStr">
        <is>
          <t>Nao</t>
        </is>
      </c>
      <c r="AB4959" s="111" t="inlineStr">
        <is>
          <t>NAO_COMPUTADO</t>
        </is>
      </c>
      <c r="AC4959" s="112" t="inlineStr">
        <is>
          <t>Estrutura Fase 1: sem impacto no VTA oficial</t>
        </is>
      </c>
    </row>
    <row r="4960" ht="25.5" customHeight="1" s="289">
      <c r="A4960" s="205" t="n"/>
      <c r="B4960" s="207" t="n"/>
      <c r="C4960" s="104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348" t="n"/>
      <c r="E4960" s="349">
        <f>IF(C4960="","",IFERROR(VLOOKUP(C4960,parametros!$A$11:$E$15,5,0),""))</f>
        <v/>
      </c>
      <c r="F4960" s="335">
        <f>IF(OR(D4960="",E4960=""),"",ROUND(D4960*E4960,2))</f>
        <v/>
      </c>
      <c r="G4960" s="106" t="n"/>
      <c r="H4960" s="350">
        <f>IF(G4960="Sim",IF(OR(F4960="",D4960="",L4960=""),"",IF(L4960="Sim",ROUND(F4960-D4960,2),0)),0)</f>
        <v/>
      </c>
      <c r="I4960" s="350">
        <f>IF(G4960="Sim",0,IF(OR(F4960="",L4960=""),"",F4960))</f>
        <v/>
      </c>
      <c r="J4960" s="350">
        <f>IF(G4960="Sim",0,IF(OR(F4960="",D4960="",L4960=""),"",IF(L4960="Sim",ROUND(F4960-D4960,2),0)))</f>
        <v/>
      </c>
      <c r="K4960" s="97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inlineStr">
        <is>
          <t>Nao</t>
        </is>
      </c>
      <c r="W4960" s="110" t="inlineStr">
        <is>
          <t>PC em analise</t>
        </is>
      </c>
      <c r="X4960" s="110" t="inlineStr">
        <is>
          <t>Pedido de Compra</t>
        </is>
      </c>
      <c r="Y4960" s="111" t="inlineStr">
        <is>
          <t>Impacto Potencial</t>
        </is>
      </c>
      <c r="Z4960" s="111" t="inlineStr">
        <is>
          <t>PC</t>
        </is>
      </c>
      <c r="AA4960" s="111" t="inlineStr">
        <is>
          <t>Nao</t>
        </is>
      </c>
      <c r="AB4960" s="111" t="inlineStr">
        <is>
          <t>NAO_COMPUTADO</t>
        </is>
      </c>
      <c r="AC4960" s="112" t="inlineStr">
        <is>
          <t>Estrutura Fase 1: sem impacto no VTA oficial</t>
        </is>
      </c>
    </row>
    <row r="4961" ht="25.5" customHeight="1" s="289">
      <c r="A4961" s="205" t="n"/>
      <c r="B4961" s="207" t="n"/>
      <c r="C4961" s="104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348" t="n"/>
      <c r="E4961" s="349">
        <f>IF(C4961="","",IFERROR(VLOOKUP(C4961,parametros!$A$11:$E$15,5,0),""))</f>
        <v/>
      </c>
      <c r="F4961" s="335">
        <f>IF(OR(D4961="",E4961=""),"",ROUND(D4961*E4961,2))</f>
        <v/>
      </c>
      <c r="G4961" s="106" t="n"/>
      <c r="H4961" s="350">
        <f>IF(G4961="Sim",IF(OR(F4961="",D4961="",L4961=""),"",IF(L4961="Sim",ROUND(F4961-D4961,2),0)),0)</f>
        <v/>
      </c>
      <c r="I4961" s="350">
        <f>IF(G4961="Sim",0,IF(OR(F4961="",L4961=""),"",F4961))</f>
        <v/>
      </c>
      <c r="J4961" s="350">
        <f>IF(G4961="Sim",0,IF(OR(F4961="",D4961="",L4961=""),"",IF(L4961="Sim",ROUND(F4961-D4961,2),0)))</f>
        <v/>
      </c>
      <c r="K4961" s="97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inlineStr">
        <is>
          <t>Nao</t>
        </is>
      </c>
      <c r="W4961" s="110" t="inlineStr">
        <is>
          <t>PC em analise</t>
        </is>
      </c>
      <c r="X4961" s="110" t="inlineStr">
        <is>
          <t>Pedido de Compra</t>
        </is>
      </c>
      <c r="Y4961" s="111" t="inlineStr">
        <is>
          <t>Impacto Potencial</t>
        </is>
      </c>
      <c r="Z4961" s="111" t="inlineStr">
        <is>
          <t>PC</t>
        </is>
      </c>
      <c r="AA4961" s="111" t="inlineStr">
        <is>
          <t>Nao</t>
        </is>
      </c>
      <c r="AB4961" s="111" t="inlineStr">
        <is>
          <t>NAO_COMPUTADO</t>
        </is>
      </c>
      <c r="AC4961" s="112" t="inlineStr">
        <is>
          <t>Estrutura Fase 1: sem impacto no VTA oficial</t>
        </is>
      </c>
    </row>
    <row r="4962" ht="25.5" customHeight="1" s="289">
      <c r="A4962" s="205" t="n"/>
      <c r="B4962" s="207" t="n"/>
      <c r="C4962" s="104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348" t="n"/>
      <c r="E4962" s="349">
        <f>IF(C4962="","",IFERROR(VLOOKUP(C4962,parametros!$A$11:$E$15,5,0),""))</f>
        <v/>
      </c>
      <c r="F4962" s="335">
        <f>IF(OR(D4962="",E4962=""),"",ROUND(D4962*E4962,2))</f>
        <v/>
      </c>
      <c r="G4962" s="106" t="n"/>
      <c r="H4962" s="350">
        <f>IF(G4962="Sim",IF(OR(F4962="",D4962="",L4962=""),"",IF(L4962="Sim",ROUND(F4962-D4962,2),0)),0)</f>
        <v/>
      </c>
      <c r="I4962" s="350">
        <f>IF(G4962="Sim",0,IF(OR(F4962="",L4962=""),"",F4962))</f>
        <v/>
      </c>
      <c r="J4962" s="350">
        <f>IF(G4962="Sim",0,IF(OR(F4962="",D4962="",L4962=""),"",IF(L4962="Sim",ROUND(F4962-D4962,2),0)))</f>
        <v/>
      </c>
      <c r="K4962" s="97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inlineStr">
        <is>
          <t>Nao</t>
        </is>
      </c>
      <c r="W4962" s="110" t="inlineStr">
        <is>
          <t>PC em analise</t>
        </is>
      </c>
      <c r="X4962" s="110" t="inlineStr">
        <is>
          <t>Pedido de Compra</t>
        </is>
      </c>
      <c r="Y4962" s="111" t="inlineStr">
        <is>
          <t>Impacto Potencial</t>
        </is>
      </c>
      <c r="Z4962" s="111" t="inlineStr">
        <is>
          <t>PC</t>
        </is>
      </c>
      <c r="AA4962" s="111" t="inlineStr">
        <is>
          <t>Nao</t>
        </is>
      </c>
      <c r="AB4962" s="111" t="inlineStr">
        <is>
          <t>NAO_COMPUTADO</t>
        </is>
      </c>
      <c r="AC4962" s="112" t="inlineStr">
        <is>
          <t>Estrutura Fase 1: sem impacto no VTA oficial</t>
        </is>
      </c>
    </row>
    <row r="4963" ht="25.5" customHeight="1" s="289">
      <c r="A4963" s="205" t="n"/>
      <c r="B4963" s="207" t="n"/>
      <c r="C4963" s="104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348" t="n"/>
      <c r="E4963" s="349">
        <f>IF(C4963="","",IFERROR(VLOOKUP(C4963,parametros!$A$11:$E$15,5,0),""))</f>
        <v/>
      </c>
      <c r="F4963" s="335">
        <f>IF(OR(D4963="",E4963=""),"",ROUND(D4963*E4963,2))</f>
        <v/>
      </c>
      <c r="G4963" s="106" t="n"/>
      <c r="H4963" s="350">
        <f>IF(G4963="Sim",IF(OR(F4963="",D4963="",L4963=""),"",IF(L4963="Sim",ROUND(F4963-D4963,2),0)),0)</f>
        <v/>
      </c>
      <c r="I4963" s="350">
        <f>IF(G4963="Sim",0,IF(OR(F4963="",L4963=""),"",F4963))</f>
        <v/>
      </c>
      <c r="J4963" s="350">
        <f>IF(G4963="Sim",0,IF(OR(F4963="",D4963="",L4963=""),"",IF(L4963="Sim",ROUND(F4963-D4963,2),0)))</f>
        <v/>
      </c>
      <c r="K4963" s="97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inlineStr">
        <is>
          <t>Nao</t>
        </is>
      </c>
      <c r="W4963" s="110" t="inlineStr">
        <is>
          <t>PC em analise</t>
        </is>
      </c>
      <c r="X4963" s="110" t="inlineStr">
        <is>
          <t>Pedido de Compra</t>
        </is>
      </c>
      <c r="Y4963" s="111" t="inlineStr">
        <is>
          <t>Impacto Potencial</t>
        </is>
      </c>
      <c r="Z4963" s="111" t="inlineStr">
        <is>
          <t>PC</t>
        </is>
      </c>
      <c r="AA4963" s="111" t="inlineStr">
        <is>
          <t>Nao</t>
        </is>
      </c>
      <c r="AB4963" s="111" t="inlineStr">
        <is>
          <t>NAO_COMPUTADO</t>
        </is>
      </c>
      <c r="AC4963" s="112" t="inlineStr">
        <is>
          <t>Estrutura Fase 1: sem impacto no VTA oficial</t>
        </is>
      </c>
    </row>
    <row r="4964" ht="25.5" customHeight="1" s="289">
      <c r="A4964" s="205" t="n"/>
      <c r="B4964" s="207" t="n"/>
      <c r="C4964" s="104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348" t="n"/>
      <c r="E4964" s="349">
        <f>IF(C4964="","",IFERROR(VLOOKUP(C4964,parametros!$A$11:$E$15,5,0),""))</f>
        <v/>
      </c>
      <c r="F4964" s="335">
        <f>IF(OR(D4964="",E4964=""),"",ROUND(D4964*E4964,2))</f>
        <v/>
      </c>
      <c r="G4964" s="106" t="n"/>
      <c r="H4964" s="350">
        <f>IF(G4964="Sim",IF(OR(F4964="",D4964="",L4964=""),"",IF(L4964="Sim",ROUND(F4964-D4964,2),0)),0)</f>
        <v/>
      </c>
      <c r="I4964" s="350">
        <f>IF(G4964="Sim",0,IF(OR(F4964="",L4964=""),"",F4964))</f>
        <v/>
      </c>
      <c r="J4964" s="350">
        <f>IF(G4964="Sim",0,IF(OR(F4964="",D4964="",L4964=""),"",IF(L4964="Sim",ROUND(F4964-D4964,2),0)))</f>
        <v/>
      </c>
      <c r="K4964" s="97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inlineStr">
        <is>
          <t>Nao</t>
        </is>
      </c>
      <c r="W4964" s="110" t="inlineStr">
        <is>
          <t>PC em analise</t>
        </is>
      </c>
      <c r="X4964" s="110" t="inlineStr">
        <is>
          <t>Pedido de Compra</t>
        </is>
      </c>
      <c r="Y4964" s="111" t="inlineStr">
        <is>
          <t>Impacto Potencial</t>
        </is>
      </c>
      <c r="Z4964" s="111" t="inlineStr">
        <is>
          <t>PC</t>
        </is>
      </c>
      <c r="AA4964" s="111" t="inlineStr">
        <is>
          <t>Nao</t>
        </is>
      </c>
      <c r="AB4964" s="111" t="inlineStr">
        <is>
          <t>NAO_COMPUTADO</t>
        </is>
      </c>
      <c r="AC4964" s="112" t="inlineStr">
        <is>
          <t>Estrutura Fase 1: sem impacto no VTA oficial</t>
        </is>
      </c>
    </row>
    <row r="4965" ht="25.5" customHeight="1" s="289">
      <c r="A4965" s="205" t="n"/>
      <c r="B4965" s="207" t="n"/>
      <c r="C4965" s="104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348" t="n"/>
      <c r="E4965" s="349">
        <f>IF(C4965="","",IFERROR(VLOOKUP(C4965,parametros!$A$11:$E$15,5,0),""))</f>
        <v/>
      </c>
      <c r="F4965" s="335">
        <f>IF(OR(D4965="",E4965=""),"",ROUND(D4965*E4965,2))</f>
        <v/>
      </c>
      <c r="G4965" s="106" t="n"/>
      <c r="H4965" s="350">
        <f>IF(G4965="Sim",IF(OR(F4965="",D4965="",L4965=""),"",IF(L4965="Sim",ROUND(F4965-D4965,2),0)),0)</f>
        <v/>
      </c>
      <c r="I4965" s="350">
        <f>IF(G4965="Sim",0,IF(OR(F4965="",L4965=""),"",F4965))</f>
        <v/>
      </c>
      <c r="J4965" s="350">
        <f>IF(G4965="Sim",0,IF(OR(F4965="",D4965="",L4965=""),"",IF(L4965="Sim",ROUND(F4965-D4965,2),0)))</f>
        <v/>
      </c>
      <c r="K4965" s="97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inlineStr">
        <is>
          <t>Nao</t>
        </is>
      </c>
      <c r="W4965" s="110" t="inlineStr">
        <is>
          <t>PC em analise</t>
        </is>
      </c>
      <c r="X4965" s="110" t="inlineStr">
        <is>
          <t>Pedido de Compra</t>
        </is>
      </c>
      <c r="Y4965" s="111" t="inlineStr">
        <is>
          <t>Impacto Potencial</t>
        </is>
      </c>
      <c r="Z4965" s="111" t="inlineStr">
        <is>
          <t>PC</t>
        </is>
      </c>
      <c r="AA4965" s="111" t="inlineStr">
        <is>
          <t>Nao</t>
        </is>
      </c>
      <c r="AB4965" s="111" t="inlineStr">
        <is>
          <t>NAO_COMPUTADO</t>
        </is>
      </c>
      <c r="AC4965" s="112" t="inlineStr">
        <is>
          <t>Estrutura Fase 1: sem impacto no VTA oficial</t>
        </is>
      </c>
    </row>
    <row r="4966" ht="25.5" customHeight="1" s="289">
      <c r="A4966" s="205" t="n"/>
      <c r="B4966" s="207" t="n"/>
      <c r="C4966" s="104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348" t="n"/>
      <c r="E4966" s="349">
        <f>IF(C4966="","",IFERROR(VLOOKUP(C4966,parametros!$A$11:$E$15,5,0),""))</f>
        <v/>
      </c>
      <c r="F4966" s="335">
        <f>IF(OR(D4966="",E4966=""),"",ROUND(D4966*E4966,2))</f>
        <v/>
      </c>
      <c r="G4966" s="106" t="n"/>
      <c r="H4966" s="350">
        <f>IF(G4966="Sim",IF(OR(F4966="",D4966="",L4966=""),"",IF(L4966="Sim",ROUND(F4966-D4966,2),0)),0)</f>
        <v/>
      </c>
      <c r="I4966" s="350">
        <f>IF(G4966="Sim",0,IF(OR(F4966="",L4966=""),"",F4966))</f>
        <v/>
      </c>
      <c r="J4966" s="350">
        <f>IF(G4966="Sim",0,IF(OR(F4966="",D4966="",L4966=""),"",IF(L4966="Sim",ROUND(F4966-D4966,2),0)))</f>
        <v/>
      </c>
      <c r="K4966" s="97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inlineStr">
        <is>
          <t>Nao</t>
        </is>
      </c>
      <c r="W4966" s="110" t="inlineStr">
        <is>
          <t>PC em analise</t>
        </is>
      </c>
      <c r="X4966" s="110" t="inlineStr">
        <is>
          <t>Pedido de Compra</t>
        </is>
      </c>
      <c r="Y4966" s="111" t="inlineStr">
        <is>
          <t>Impacto Potencial</t>
        </is>
      </c>
      <c r="Z4966" s="111" t="inlineStr">
        <is>
          <t>PC</t>
        </is>
      </c>
      <c r="AA4966" s="111" t="inlineStr">
        <is>
          <t>Nao</t>
        </is>
      </c>
      <c r="AB4966" s="111" t="inlineStr">
        <is>
          <t>NAO_COMPUTADO</t>
        </is>
      </c>
      <c r="AC4966" s="112" t="inlineStr">
        <is>
          <t>Estrutura Fase 1: sem impacto no VTA oficial</t>
        </is>
      </c>
    </row>
    <row r="4967" ht="25.5" customHeight="1" s="289">
      <c r="A4967" s="205" t="n"/>
      <c r="B4967" s="207" t="n"/>
      <c r="C4967" s="104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348" t="n"/>
      <c r="E4967" s="349">
        <f>IF(C4967="","",IFERROR(VLOOKUP(C4967,parametros!$A$11:$E$15,5,0),""))</f>
        <v/>
      </c>
      <c r="F4967" s="335">
        <f>IF(OR(D4967="",E4967=""),"",ROUND(D4967*E4967,2))</f>
        <v/>
      </c>
      <c r="G4967" s="106" t="n"/>
      <c r="H4967" s="350">
        <f>IF(G4967="Sim",IF(OR(F4967="",D4967="",L4967=""),"",IF(L4967="Sim",ROUND(F4967-D4967,2),0)),0)</f>
        <v/>
      </c>
      <c r="I4967" s="350">
        <f>IF(G4967="Sim",0,IF(OR(F4967="",L4967=""),"",F4967))</f>
        <v/>
      </c>
      <c r="J4967" s="350">
        <f>IF(G4967="Sim",0,IF(OR(F4967="",D4967="",L4967=""),"",IF(L4967="Sim",ROUND(F4967-D4967,2),0)))</f>
        <v/>
      </c>
      <c r="K4967" s="97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inlineStr">
        <is>
          <t>Nao</t>
        </is>
      </c>
      <c r="W4967" s="110" t="inlineStr">
        <is>
          <t>PC em analise</t>
        </is>
      </c>
      <c r="X4967" s="110" t="inlineStr">
        <is>
          <t>Pedido de Compra</t>
        </is>
      </c>
      <c r="Y4967" s="111" t="inlineStr">
        <is>
          <t>Impacto Potencial</t>
        </is>
      </c>
      <c r="Z4967" s="111" t="inlineStr">
        <is>
          <t>PC</t>
        </is>
      </c>
      <c r="AA4967" s="111" t="inlineStr">
        <is>
          <t>Nao</t>
        </is>
      </c>
      <c r="AB4967" s="111" t="inlineStr">
        <is>
          <t>NAO_COMPUTADO</t>
        </is>
      </c>
      <c r="AC4967" s="112" t="inlineStr">
        <is>
          <t>Estrutura Fase 1: sem impacto no VTA oficial</t>
        </is>
      </c>
    </row>
    <row r="4968" ht="25.5" customHeight="1" s="289">
      <c r="A4968" s="205" t="n"/>
      <c r="B4968" s="207" t="n"/>
      <c r="C4968" s="104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348" t="n"/>
      <c r="E4968" s="349">
        <f>IF(C4968="","",IFERROR(VLOOKUP(C4968,parametros!$A$11:$E$15,5,0),""))</f>
        <v/>
      </c>
      <c r="F4968" s="335">
        <f>IF(OR(D4968="",E4968=""),"",ROUND(D4968*E4968,2))</f>
        <v/>
      </c>
      <c r="G4968" s="106" t="n"/>
      <c r="H4968" s="350">
        <f>IF(G4968="Sim",IF(OR(F4968="",D4968="",L4968=""),"",IF(L4968="Sim",ROUND(F4968-D4968,2),0)),0)</f>
        <v/>
      </c>
      <c r="I4968" s="350">
        <f>IF(G4968="Sim",0,IF(OR(F4968="",L4968=""),"",F4968))</f>
        <v/>
      </c>
      <c r="J4968" s="350">
        <f>IF(G4968="Sim",0,IF(OR(F4968="",D4968="",L4968=""),"",IF(L4968="Sim",ROUND(F4968-D4968,2),0)))</f>
        <v/>
      </c>
      <c r="K4968" s="97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inlineStr">
        <is>
          <t>Nao</t>
        </is>
      </c>
      <c r="W4968" s="110" t="inlineStr">
        <is>
          <t>PC em analise</t>
        </is>
      </c>
      <c r="X4968" s="110" t="inlineStr">
        <is>
          <t>Pedido de Compra</t>
        </is>
      </c>
      <c r="Y4968" s="111" t="inlineStr">
        <is>
          <t>Impacto Potencial</t>
        </is>
      </c>
      <c r="Z4968" s="111" t="inlineStr">
        <is>
          <t>PC</t>
        </is>
      </c>
      <c r="AA4968" s="111" t="inlineStr">
        <is>
          <t>Nao</t>
        </is>
      </c>
      <c r="AB4968" s="111" t="inlineStr">
        <is>
          <t>NAO_COMPUTADO</t>
        </is>
      </c>
      <c r="AC4968" s="112" t="inlineStr">
        <is>
          <t>Estrutura Fase 1: sem impacto no VTA oficial</t>
        </is>
      </c>
    </row>
    <row r="4969" ht="25.5" customHeight="1" s="289">
      <c r="A4969" s="205" t="n"/>
      <c r="B4969" s="207" t="n"/>
      <c r="C4969" s="104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348" t="n"/>
      <c r="E4969" s="349">
        <f>IF(C4969="","",IFERROR(VLOOKUP(C4969,parametros!$A$11:$E$15,5,0),""))</f>
        <v/>
      </c>
      <c r="F4969" s="335">
        <f>IF(OR(D4969="",E4969=""),"",ROUND(D4969*E4969,2))</f>
        <v/>
      </c>
      <c r="G4969" s="106" t="n"/>
      <c r="H4969" s="350">
        <f>IF(G4969="Sim",IF(OR(F4969="",D4969="",L4969=""),"",IF(L4969="Sim",ROUND(F4969-D4969,2),0)),0)</f>
        <v/>
      </c>
      <c r="I4969" s="350">
        <f>IF(G4969="Sim",0,IF(OR(F4969="",L4969=""),"",F4969))</f>
        <v/>
      </c>
      <c r="J4969" s="350">
        <f>IF(G4969="Sim",0,IF(OR(F4969="",D4969="",L4969=""),"",IF(L4969="Sim",ROUND(F4969-D4969,2),0)))</f>
        <v/>
      </c>
      <c r="K4969" s="97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inlineStr">
        <is>
          <t>Nao</t>
        </is>
      </c>
      <c r="W4969" s="110" t="inlineStr">
        <is>
          <t>PC em analise</t>
        </is>
      </c>
      <c r="X4969" s="110" t="inlineStr">
        <is>
          <t>Pedido de Compra</t>
        </is>
      </c>
      <c r="Y4969" s="111" t="inlineStr">
        <is>
          <t>Impacto Potencial</t>
        </is>
      </c>
      <c r="Z4969" s="111" t="inlineStr">
        <is>
          <t>PC</t>
        </is>
      </c>
      <c r="AA4969" s="111" t="inlineStr">
        <is>
          <t>Nao</t>
        </is>
      </c>
      <c r="AB4969" s="111" t="inlineStr">
        <is>
          <t>NAO_COMPUTADO</t>
        </is>
      </c>
      <c r="AC4969" s="112" t="inlineStr">
        <is>
          <t>Estrutura Fase 1: sem impacto no VTA oficial</t>
        </is>
      </c>
    </row>
    <row r="4970" ht="25.5" customHeight="1" s="289">
      <c r="A4970" s="205" t="n"/>
      <c r="B4970" s="207" t="n"/>
      <c r="C4970" s="104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348" t="n"/>
      <c r="E4970" s="349">
        <f>IF(C4970="","",IFERROR(VLOOKUP(C4970,parametros!$A$11:$E$15,5,0),""))</f>
        <v/>
      </c>
      <c r="F4970" s="335">
        <f>IF(OR(D4970="",E4970=""),"",ROUND(D4970*E4970,2))</f>
        <v/>
      </c>
      <c r="G4970" s="106" t="n"/>
      <c r="H4970" s="350">
        <f>IF(G4970="Sim",IF(OR(F4970="",D4970="",L4970=""),"",IF(L4970="Sim",ROUND(F4970-D4970,2),0)),0)</f>
        <v/>
      </c>
      <c r="I4970" s="350">
        <f>IF(G4970="Sim",0,IF(OR(F4970="",L4970=""),"",F4970))</f>
        <v/>
      </c>
      <c r="J4970" s="350">
        <f>IF(G4970="Sim",0,IF(OR(F4970="",D4970="",L4970=""),"",IF(L4970="Sim",ROUND(F4970-D4970,2),0)))</f>
        <v/>
      </c>
      <c r="K4970" s="97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inlineStr">
        <is>
          <t>Nao</t>
        </is>
      </c>
      <c r="W4970" s="110" t="inlineStr">
        <is>
          <t>PC em analise</t>
        </is>
      </c>
      <c r="X4970" s="110" t="inlineStr">
        <is>
          <t>Pedido de Compra</t>
        </is>
      </c>
      <c r="Y4970" s="111" t="inlineStr">
        <is>
          <t>Impacto Potencial</t>
        </is>
      </c>
      <c r="Z4970" s="111" t="inlineStr">
        <is>
          <t>PC</t>
        </is>
      </c>
      <c r="AA4970" s="111" t="inlineStr">
        <is>
          <t>Nao</t>
        </is>
      </c>
      <c r="AB4970" s="111" t="inlineStr">
        <is>
          <t>NAO_COMPUTADO</t>
        </is>
      </c>
      <c r="AC4970" s="112" t="inlineStr">
        <is>
          <t>Estrutura Fase 1: sem impacto no VTA oficial</t>
        </is>
      </c>
    </row>
    <row r="4971" ht="25.5" customHeight="1" s="289">
      <c r="A4971" s="205" t="n"/>
      <c r="B4971" s="207" t="n"/>
      <c r="C4971" s="104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348" t="n"/>
      <c r="E4971" s="349">
        <f>IF(C4971="","",IFERROR(VLOOKUP(C4971,parametros!$A$11:$E$15,5,0),""))</f>
        <v/>
      </c>
      <c r="F4971" s="335">
        <f>IF(OR(D4971="",E4971=""),"",ROUND(D4971*E4971,2))</f>
        <v/>
      </c>
      <c r="G4971" s="106" t="n"/>
      <c r="H4971" s="350">
        <f>IF(G4971="Sim",IF(OR(F4971="",D4971="",L4971=""),"",IF(L4971="Sim",ROUND(F4971-D4971,2),0)),0)</f>
        <v/>
      </c>
      <c r="I4971" s="350">
        <f>IF(G4971="Sim",0,IF(OR(F4971="",L4971=""),"",F4971))</f>
        <v/>
      </c>
      <c r="J4971" s="350">
        <f>IF(G4971="Sim",0,IF(OR(F4971="",D4971="",L4971=""),"",IF(L4971="Sim",ROUND(F4971-D4971,2),0)))</f>
        <v/>
      </c>
      <c r="K4971" s="97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inlineStr">
        <is>
          <t>Nao</t>
        </is>
      </c>
      <c r="W4971" s="110" t="inlineStr">
        <is>
          <t>PC em analise</t>
        </is>
      </c>
      <c r="X4971" s="110" t="inlineStr">
        <is>
          <t>Pedido de Compra</t>
        </is>
      </c>
      <c r="Y4971" s="111" t="inlineStr">
        <is>
          <t>Impacto Potencial</t>
        </is>
      </c>
      <c r="Z4971" s="111" t="inlineStr">
        <is>
          <t>PC</t>
        </is>
      </c>
      <c r="AA4971" s="111" t="inlineStr">
        <is>
          <t>Nao</t>
        </is>
      </c>
      <c r="AB4971" s="111" t="inlineStr">
        <is>
          <t>NAO_COMPUTADO</t>
        </is>
      </c>
      <c r="AC4971" s="112" t="inlineStr">
        <is>
          <t>Estrutura Fase 1: sem impacto no VTA oficial</t>
        </is>
      </c>
    </row>
    <row r="4972" ht="25.5" customHeight="1" s="289">
      <c r="A4972" s="205" t="n"/>
      <c r="B4972" s="207" t="n"/>
      <c r="C4972" s="104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348" t="n"/>
      <c r="E4972" s="349">
        <f>IF(C4972="","",IFERROR(VLOOKUP(C4972,parametros!$A$11:$E$15,5,0),""))</f>
        <v/>
      </c>
      <c r="F4972" s="335">
        <f>IF(OR(D4972="",E4972=""),"",ROUND(D4972*E4972,2))</f>
        <v/>
      </c>
      <c r="G4972" s="106" t="n"/>
      <c r="H4972" s="350">
        <f>IF(G4972="Sim",IF(OR(F4972="",D4972="",L4972=""),"",IF(L4972="Sim",ROUND(F4972-D4972,2),0)),0)</f>
        <v/>
      </c>
      <c r="I4972" s="350">
        <f>IF(G4972="Sim",0,IF(OR(F4972="",L4972=""),"",F4972))</f>
        <v/>
      </c>
      <c r="J4972" s="350">
        <f>IF(G4972="Sim",0,IF(OR(F4972="",D4972="",L4972=""),"",IF(L4972="Sim",ROUND(F4972-D4972,2),0)))</f>
        <v/>
      </c>
      <c r="K4972" s="97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inlineStr">
        <is>
          <t>Nao</t>
        </is>
      </c>
      <c r="W4972" s="110" t="inlineStr">
        <is>
          <t>PC em analise</t>
        </is>
      </c>
      <c r="X4972" s="110" t="inlineStr">
        <is>
          <t>Pedido de Compra</t>
        </is>
      </c>
      <c r="Y4972" s="111" t="inlineStr">
        <is>
          <t>Impacto Potencial</t>
        </is>
      </c>
      <c r="Z4972" s="111" t="inlineStr">
        <is>
          <t>PC</t>
        </is>
      </c>
      <c r="AA4972" s="111" t="inlineStr">
        <is>
          <t>Nao</t>
        </is>
      </c>
      <c r="AB4972" s="111" t="inlineStr">
        <is>
          <t>NAO_COMPUTADO</t>
        </is>
      </c>
      <c r="AC4972" s="112" t="inlineStr">
        <is>
          <t>Estrutura Fase 1: sem impacto no VTA oficial</t>
        </is>
      </c>
    </row>
    <row r="4973" ht="25.5" customHeight="1" s="289">
      <c r="A4973" s="205" t="n"/>
      <c r="B4973" s="207" t="n"/>
      <c r="C4973" s="104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348" t="n"/>
      <c r="E4973" s="349">
        <f>IF(C4973="","",IFERROR(VLOOKUP(C4973,parametros!$A$11:$E$15,5,0),""))</f>
        <v/>
      </c>
      <c r="F4973" s="335">
        <f>IF(OR(D4973="",E4973=""),"",ROUND(D4973*E4973,2))</f>
        <v/>
      </c>
      <c r="G4973" s="106" t="n"/>
      <c r="H4973" s="350">
        <f>IF(G4973="Sim",IF(OR(F4973="",D4973="",L4973=""),"",IF(L4973="Sim",ROUND(F4973-D4973,2),0)),0)</f>
        <v/>
      </c>
      <c r="I4973" s="350">
        <f>IF(G4973="Sim",0,IF(OR(F4973="",L4973=""),"",F4973))</f>
        <v/>
      </c>
      <c r="J4973" s="350">
        <f>IF(G4973="Sim",0,IF(OR(F4973="",D4973="",L4973=""),"",IF(L4973="Sim",ROUND(F4973-D4973,2),0)))</f>
        <v/>
      </c>
      <c r="K4973" s="97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inlineStr">
        <is>
          <t>Nao</t>
        </is>
      </c>
      <c r="W4973" s="110" t="inlineStr">
        <is>
          <t>PC em analise</t>
        </is>
      </c>
      <c r="X4973" s="110" t="inlineStr">
        <is>
          <t>Pedido de Compra</t>
        </is>
      </c>
      <c r="Y4973" s="111" t="inlineStr">
        <is>
          <t>Impacto Potencial</t>
        </is>
      </c>
      <c r="Z4973" s="111" t="inlineStr">
        <is>
          <t>PC</t>
        </is>
      </c>
      <c r="AA4973" s="111" t="inlineStr">
        <is>
          <t>Nao</t>
        </is>
      </c>
      <c r="AB4973" s="111" t="inlineStr">
        <is>
          <t>NAO_COMPUTADO</t>
        </is>
      </c>
      <c r="AC4973" s="112" t="inlineStr">
        <is>
          <t>Estrutura Fase 1: sem impacto no VTA oficial</t>
        </is>
      </c>
    </row>
    <row r="4974" ht="25.5" customHeight="1" s="289">
      <c r="A4974" s="205" t="n"/>
      <c r="B4974" s="207" t="n"/>
      <c r="C4974" s="104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348" t="n"/>
      <c r="E4974" s="349">
        <f>IF(C4974="","",IFERROR(VLOOKUP(C4974,parametros!$A$11:$E$15,5,0),""))</f>
        <v/>
      </c>
      <c r="F4974" s="335">
        <f>IF(OR(D4974="",E4974=""),"",ROUND(D4974*E4974,2))</f>
        <v/>
      </c>
      <c r="G4974" s="106" t="n"/>
      <c r="H4974" s="350">
        <f>IF(G4974="Sim",IF(OR(F4974="",D4974="",L4974=""),"",IF(L4974="Sim",ROUND(F4974-D4974,2),0)),0)</f>
        <v/>
      </c>
      <c r="I4974" s="350">
        <f>IF(G4974="Sim",0,IF(OR(F4974="",L4974=""),"",F4974))</f>
        <v/>
      </c>
      <c r="J4974" s="350">
        <f>IF(G4974="Sim",0,IF(OR(F4974="",D4974="",L4974=""),"",IF(L4974="Sim",ROUND(F4974-D4974,2),0)))</f>
        <v/>
      </c>
      <c r="K4974" s="97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inlineStr">
        <is>
          <t>Nao</t>
        </is>
      </c>
      <c r="W4974" s="110" t="inlineStr">
        <is>
          <t>PC em analise</t>
        </is>
      </c>
      <c r="X4974" s="110" t="inlineStr">
        <is>
          <t>Pedido de Compra</t>
        </is>
      </c>
      <c r="Y4974" s="111" t="inlineStr">
        <is>
          <t>Impacto Potencial</t>
        </is>
      </c>
      <c r="Z4974" s="111" t="inlineStr">
        <is>
          <t>PC</t>
        </is>
      </c>
      <c r="AA4974" s="111" t="inlineStr">
        <is>
          <t>Nao</t>
        </is>
      </c>
      <c r="AB4974" s="111" t="inlineStr">
        <is>
          <t>NAO_COMPUTADO</t>
        </is>
      </c>
      <c r="AC4974" s="112" t="inlineStr">
        <is>
          <t>Estrutura Fase 1: sem impacto no VTA oficial</t>
        </is>
      </c>
    </row>
    <row r="4975" ht="25.5" customHeight="1" s="289">
      <c r="A4975" s="205" t="n"/>
      <c r="B4975" s="207" t="n"/>
      <c r="C4975" s="104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348" t="n"/>
      <c r="E4975" s="349">
        <f>IF(C4975="","",IFERROR(VLOOKUP(C4975,parametros!$A$11:$E$15,5,0),""))</f>
        <v/>
      </c>
      <c r="F4975" s="335">
        <f>IF(OR(D4975="",E4975=""),"",ROUND(D4975*E4975,2))</f>
        <v/>
      </c>
      <c r="G4975" s="106" t="n"/>
      <c r="H4975" s="350">
        <f>IF(G4975="Sim",IF(OR(F4975="",D4975="",L4975=""),"",IF(L4975="Sim",ROUND(F4975-D4975,2),0)),0)</f>
        <v/>
      </c>
      <c r="I4975" s="350">
        <f>IF(G4975="Sim",0,IF(OR(F4975="",L4975=""),"",F4975))</f>
        <v/>
      </c>
      <c r="J4975" s="350">
        <f>IF(G4975="Sim",0,IF(OR(F4975="",D4975="",L4975=""),"",IF(L4975="Sim",ROUND(F4975-D4975,2),0)))</f>
        <v/>
      </c>
      <c r="K4975" s="97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inlineStr">
        <is>
          <t>Nao</t>
        </is>
      </c>
      <c r="W4975" s="110" t="inlineStr">
        <is>
          <t>PC em analise</t>
        </is>
      </c>
      <c r="X4975" s="110" t="inlineStr">
        <is>
          <t>Pedido de Compra</t>
        </is>
      </c>
      <c r="Y4975" s="111" t="inlineStr">
        <is>
          <t>Impacto Potencial</t>
        </is>
      </c>
      <c r="Z4975" s="111" t="inlineStr">
        <is>
          <t>PC</t>
        </is>
      </c>
      <c r="AA4975" s="111" t="inlineStr">
        <is>
          <t>Nao</t>
        </is>
      </c>
      <c r="AB4975" s="111" t="inlineStr">
        <is>
          <t>NAO_COMPUTADO</t>
        </is>
      </c>
      <c r="AC4975" s="112" t="inlineStr">
        <is>
          <t>Estrutura Fase 1: sem impacto no VTA oficial</t>
        </is>
      </c>
    </row>
    <row r="4976" ht="25.5" customHeight="1" s="289">
      <c r="A4976" s="205" t="n"/>
      <c r="B4976" s="207" t="n"/>
      <c r="C4976" s="104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348" t="n"/>
      <c r="E4976" s="349">
        <f>IF(C4976="","",IFERROR(VLOOKUP(C4976,parametros!$A$11:$E$15,5,0),""))</f>
        <v/>
      </c>
      <c r="F4976" s="335">
        <f>IF(OR(D4976="",E4976=""),"",ROUND(D4976*E4976,2))</f>
        <v/>
      </c>
      <c r="G4976" s="106" t="n"/>
      <c r="H4976" s="350">
        <f>IF(G4976="Sim",IF(OR(F4976="",D4976="",L4976=""),"",IF(L4976="Sim",ROUND(F4976-D4976,2),0)),0)</f>
        <v/>
      </c>
      <c r="I4976" s="350">
        <f>IF(G4976="Sim",0,IF(OR(F4976="",L4976=""),"",F4976))</f>
        <v/>
      </c>
      <c r="J4976" s="350">
        <f>IF(G4976="Sim",0,IF(OR(F4976="",D4976="",L4976=""),"",IF(L4976="Sim",ROUND(F4976-D4976,2),0)))</f>
        <v/>
      </c>
      <c r="K4976" s="97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inlineStr">
        <is>
          <t>Nao</t>
        </is>
      </c>
      <c r="W4976" s="110" t="inlineStr">
        <is>
          <t>PC em analise</t>
        </is>
      </c>
      <c r="X4976" s="110" t="inlineStr">
        <is>
          <t>Pedido de Compra</t>
        </is>
      </c>
      <c r="Y4976" s="111" t="inlineStr">
        <is>
          <t>Impacto Potencial</t>
        </is>
      </c>
      <c r="Z4976" s="111" t="inlineStr">
        <is>
          <t>PC</t>
        </is>
      </c>
      <c r="AA4976" s="111" t="inlineStr">
        <is>
          <t>Nao</t>
        </is>
      </c>
      <c r="AB4976" s="111" t="inlineStr">
        <is>
          <t>NAO_COMPUTADO</t>
        </is>
      </c>
      <c r="AC4976" s="112" t="inlineStr">
        <is>
          <t>Estrutura Fase 1: sem impacto no VTA oficial</t>
        </is>
      </c>
    </row>
    <row r="4977" ht="25.5" customHeight="1" s="289">
      <c r="A4977" s="205" t="n"/>
      <c r="B4977" s="207" t="n"/>
      <c r="C4977" s="104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348" t="n"/>
      <c r="E4977" s="349">
        <f>IF(C4977="","",IFERROR(VLOOKUP(C4977,parametros!$A$11:$E$15,5,0),""))</f>
        <v/>
      </c>
      <c r="F4977" s="335">
        <f>IF(OR(D4977="",E4977=""),"",ROUND(D4977*E4977,2))</f>
        <v/>
      </c>
      <c r="G4977" s="106" t="n"/>
      <c r="H4977" s="350">
        <f>IF(G4977="Sim",IF(OR(F4977="",D4977="",L4977=""),"",IF(L4977="Sim",ROUND(F4977-D4977,2),0)),0)</f>
        <v/>
      </c>
      <c r="I4977" s="350">
        <f>IF(G4977="Sim",0,IF(OR(F4977="",L4977=""),"",F4977))</f>
        <v/>
      </c>
      <c r="J4977" s="350">
        <f>IF(G4977="Sim",0,IF(OR(F4977="",D4977="",L4977=""),"",IF(L4977="Sim",ROUND(F4977-D4977,2),0)))</f>
        <v/>
      </c>
      <c r="K4977" s="97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inlineStr">
        <is>
          <t>Nao</t>
        </is>
      </c>
      <c r="W4977" s="110" t="inlineStr">
        <is>
          <t>PC em analise</t>
        </is>
      </c>
      <c r="X4977" s="110" t="inlineStr">
        <is>
          <t>Pedido de Compra</t>
        </is>
      </c>
      <c r="Y4977" s="111" t="inlineStr">
        <is>
          <t>Impacto Potencial</t>
        </is>
      </c>
      <c r="Z4977" s="111" t="inlineStr">
        <is>
          <t>PC</t>
        </is>
      </c>
      <c r="AA4977" s="111" t="inlineStr">
        <is>
          <t>Nao</t>
        </is>
      </c>
      <c r="AB4977" s="111" t="inlineStr">
        <is>
          <t>NAO_COMPUTADO</t>
        </is>
      </c>
      <c r="AC4977" s="112" t="inlineStr">
        <is>
          <t>Estrutura Fase 1: sem impacto no VTA oficial</t>
        </is>
      </c>
    </row>
    <row r="4978" ht="25.5" customHeight="1" s="289">
      <c r="A4978" s="205" t="n"/>
      <c r="B4978" s="207" t="n"/>
      <c r="C4978" s="104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348" t="n"/>
      <c r="E4978" s="349">
        <f>IF(C4978="","",IFERROR(VLOOKUP(C4978,parametros!$A$11:$E$15,5,0),""))</f>
        <v/>
      </c>
      <c r="F4978" s="335">
        <f>IF(OR(D4978="",E4978=""),"",ROUND(D4978*E4978,2))</f>
        <v/>
      </c>
      <c r="G4978" s="106" t="n"/>
      <c r="H4978" s="350">
        <f>IF(G4978="Sim",IF(OR(F4978="",D4978="",L4978=""),"",IF(L4978="Sim",ROUND(F4978-D4978,2),0)),0)</f>
        <v/>
      </c>
      <c r="I4978" s="350">
        <f>IF(G4978="Sim",0,IF(OR(F4978="",L4978=""),"",F4978))</f>
        <v/>
      </c>
      <c r="J4978" s="350">
        <f>IF(G4978="Sim",0,IF(OR(F4978="",D4978="",L4978=""),"",IF(L4978="Sim",ROUND(F4978-D4978,2),0)))</f>
        <v/>
      </c>
      <c r="K4978" s="97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inlineStr">
        <is>
          <t>Nao</t>
        </is>
      </c>
      <c r="W4978" s="110" t="inlineStr">
        <is>
          <t>PC em analise</t>
        </is>
      </c>
      <c r="X4978" s="110" t="inlineStr">
        <is>
          <t>Pedido de Compra</t>
        </is>
      </c>
      <c r="Y4978" s="111" t="inlineStr">
        <is>
          <t>Impacto Potencial</t>
        </is>
      </c>
      <c r="Z4978" s="111" t="inlineStr">
        <is>
          <t>PC</t>
        </is>
      </c>
      <c r="AA4978" s="111" t="inlineStr">
        <is>
          <t>Nao</t>
        </is>
      </c>
      <c r="AB4978" s="111" t="inlineStr">
        <is>
          <t>NAO_COMPUTADO</t>
        </is>
      </c>
      <c r="AC4978" s="112" t="inlineStr">
        <is>
          <t>Estrutura Fase 1: sem impacto no VTA oficial</t>
        </is>
      </c>
    </row>
    <row r="4979" ht="25.5" customHeight="1" s="289">
      <c r="A4979" s="205" t="n"/>
      <c r="B4979" s="207" t="n"/>
      <c r="C4979" s="104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348" t="n"/>
      <c r="E4979" s="349">
        <f>IF(C4979="","",IFERROR(VLOOKUP(C4979,parametros!$A$11:$E$15,5,0),""))</f>
        <v/>
      </c>
      <c r="F4979" s="335">
        <f>IF(OR(D4979="",E4979=""),"",ROUND(D4979*E4979,2))</f>
        <v/>
      </c>
      <c r="G4979" s="106" t="n"/>
      <c r="H4979" s="350">
        <f>IF(G4979="Sim",IF(OR(F4979="",D4979="",L4979=""),"",IF(L4979="Sim",ROUND(F4979-D4979,2),0)),0)</f>
        <v/>
      </c>
      <c r="I4979" s="350">
        <f>IF(G4979="Sim",0,IF(OR(F4979="",L4979=""),"",F4979))</f>
        <v/>
      </c>
      <c r="J4979" s="350">
        <f>IF(G4979="Sim",0,IF(OR(F4979="",D4979="",L4979=""),"",IF(L4979="Sim",ROUND(F4979-D4979,2),0)))</f>
        <v/>
      </c>
      <c r="K4979" s="97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inlineStr">
        <is>
          <t>Nao</t>
        </is>
      </c>
      <c r="W4979" s="110" t="inlineStr">
        <is>
          <t>PC em analise</t>
        </is>
      </c>
      <c r="X4979" s="110" t="inlineStr">
        <is>
          <t>Pedido de Compra</t>
        </is>
      </c>
      <c r="Y4979" s="111" t="inlineStr">
        <is>
          <t>Impacto Potencial</t>
        </is>
      </c>
      <c r="Z4979" s="111" t="inlineStr">
        <is>
          <t>PC</t>
        </is>
      </c>
      <c r="AA4979" s="111" t="inlineStr">
        <is>
          <t>Nao</t>
        </is>
      </c>
      <c r="AB4979" s="111" t="inlineStr">
        <is>
          <t>NAO_COMPUTADO</t>
        </is>
      </c>
      <c r="AC4979" s="112" t="inlineStr">
        <is>
          <t>Estrutura Fase 1: sem impacto no VTA oficial</t>
        </is>
      </c>
    </row>
    <row r="4980" ht="25.5" customHeight="1" s="289">
      <c r="A4980" s="205" t="n"/>
      <c r="B4980" s="207" t="n"/>
      <c r="C4980" s="104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348" t="n"/>
      <c r="E4980" s="349">
        <f>IF(C4980="","",IFERROR(VLOOKUP(C4980,parametros!$A$11:$E$15,5,0),""))</f>
        <v/>
      </c>
      <c r="F4980" s="335">
        <f>IF(OR(D4980="",E4980=""),"",ROUND(D4980*E4980,2))</f>
        <v/>
      </c>
      <c r="G4980" s="106" t="n"/>
      <c r="H4980" s="350">
        <f>IF(G4980="Sim",IF(OR(F4980="",D4980="",L4980=""),"",IF(L4980="Sim",ROUND(F4980-D4980,2),0)),0)</f>
        <v/>
      </c>
      <c r="I4980" s="350">
        <f>IF(G4980="Sim",0,IF(OR(F4980="",L4980=""),"",F4980))</f>
        <v/>
      </c>
      <c r="J4980" s="350">
        <f>IF(G4980="Sim",0,IF(OR(F4980="",D4980="",L4980=""),"",IF(L4980="Sim",ROUND(F4980-D4980,2),0)))</f>
        <v/>
      </c>
      <c r="K4980" s="97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inlineStr">
        <is>
          <t>Nao</t>
        </is>
      </c>
      <c r="W4980" s="110" t="inlineStr">
        <is>
          <t>PC em analise</t>
        </is>
      </c>
      <c r="X4980" s="110" t="inlineStr">
        <is>
          <t>Pedido de Compra</t>
        </is>
      </c>
      <c r="Y4980" s="111" t="inlineStr">
        <is>
          <t>Impacto Potencial</t>
        </is>
      </c>
      <c r="Z4980" s="111" t="inlineStr">
        <is>
          <t>PC</t>
        </is>
      </c>
      <c r="AA4980" s="111" t="inlineStr">
        <is>
          <t>Nao</t>
        </is>
      </c>
      <c r="AB4980" s="111" t="inlineStr">
        <is>
          <t>NAO_COMPUTADO</t>
        </is>
      </c>
      <c r="AC4980" s="112" t="inlineStr">
        <is>
          <t>Estrutura Fase 1: sem impacto no VTA oficial</t>
        </is>
      </c>
    </row>
    <row r="4981" ht="25.5" customHeight="1" s="289">
      <c r="A4981" s="205" t="n"/>
      <c r="B4981" s="207" t="n"/>
      <c r="C4981" s="104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348" t="n"/>
      <c r="E4981" s="349">
        <f>IF(C4981="","",IFERROR(VLOOKUP(C4981,parametros!$A$11:$E$15,5,0),""))</f>
        <v/>
      </c>
      <c r="F4981" s="335">
        <f>IF(OR(D4981="",E4981=""),"",ROUND(D4981*E4981,2))</f>
        <v/>
      </c>
      <c r="G4981" s="106" t="n"/>
      <c r="H4981" s="350">
        <f>IF(G4981="Sim",IF(OR(F4981="",D4981="",L4981=""),"",IF(L4981="Sim",ROUND(F4981-D4981,2),0)),0)</f>
        <v/>
      </c>
      <c r="I4981" s="350">
        <f>IF(G4981="Sim",0,IF(OR(F4981="",L4981=""),"",F4981))</f>
        <v/>
      </c>
      <c r="J4981" s="350">
        <f>IF(G4981="Sim",0,IF(OR(F4981="",D4981="",L4981=""),"",IF(L4981="Sim",ROUND(F4981-D4981,2),0)))</f>
        <v/>
      </c>
      <c r="K4981" s="97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inlineStr">
        <is>
          <t>Nao</t>
        </is>
      </c>
      <c r="W4981" s="110" t="inlineStr">
        <is>
          <t>PC em analise</t>
        </is>
      </c>
      <c r="X4981" s="110" t="inlineStr">
        <is>
          <t>Pedido de Compra</t>
        </is>
      </c>
      <c r="Y4981" s="111" t="inlineStr">
        <is>
          <t>Impacto Potencial</t>
        </is>
      </c>
      <c r="Z4981" s="111" t="inlineStr">
        <is>
          <t>PC</t>
        </is>
      </c>
      <c r="AA4981" s="111" t="inlineStr">
        <is>
          <t>Nao</t>
        </is>
      </c>
      <c r="AB4981" s="111" t="inlineStr">
        <is>
          <t>NAO_COMPUTADO</t>
        </is>
      </c>
      <c r="AC4981" s="112" t="inlineStr">
        <is>
          <t>Estrutura Fase 1: sem impacto no VTA oficial</t>
        </is>
      </c>
    </row>
    <row r="4982" ht="25.5" customHeight="1" s="289">
      <c r="A4982" s="205" t="n"/>
      <c r="B4982" s="207" t="n"/>
      <c r="C4982" s="104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348" t="n"/>
      <c r="E4982" s="349">
        <f>IF(C4982="","",IFERROR(VLOOKUP(C4982,parametros!$A$11:$E$15,5,0),""))</f>
        <v/>
      </c>
      <c r="F4982" s="335">
        <f>IF(OR(D4982="",E4982=""),"",ROUND(D4982*E4982,2))</f>
        <v/>
      </c>
      <c r="G4982" s="106" t="n"/>
      <c r="H4982" s="350">
        <f>IF(G4982="Sim",IF(OR(F4982="",D4982="",L4982=""),"",IF(L4982="Sim",ROUND(F4982-D4982,2),0)),0)</f>
        <v/>
      </c>
      <c r="I4982" s="350">
        <f>IF(G4982="Sim",0,IF(OR(F4982="",L4982=""),"",F4982))</f>
        <v/>
      </c>
      <c r="J4982" s="350">
        <f>IF(G4982="Sim",0,IF(OR(F4982="",D4982="",L4982=""),"",IF(L4982="Sim",ROUND(F4982-D4982,2),0)))</f>
        <v/>
      </c>
      <c r="K4982" s="97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inlineStr">
        <is>
          <t>Nao</t>
        </is>
      </c>
      <c r="W4982" s="110" t="inlineStr">
        <is>
          <t>PC em analise</t>
        </is>
      </c>
      <c r="X4982" s="110" t="inlineStr">
        <is>
          <t>Pedido de Compra</t>
        </is>
      </c>
      <c r="Y4982" s="111" t="inlineStr">
        <is>
          <t>Impacto Potencial</t>
        </is>
      </c>
      <c r="Z4982" s="111" t="inlineStr">
        <is>
          <t>PC</t>
        </is>
      </c>
      <c r="AA4982" s="111" t="inlineStr">
        <is>
          <t>Nao</t>
        </is>
      </c>
      <c r="AB4982" s="111" t="inlineStr">
        <is>
          <t>NAO_COMPUTADO</t>
        </is>
      </c>
      <c r="AC4982" s="112" t="inlineStr">
        <is>
          <t>Estrutura Fase 1: sem impacto no VTA oficial</t>
        </is>
      </c>
    </row>
    <row r="4983" ht="25.5" customHeight="1" s="289">
      <c r="A4983" s="205" t="n"/>
      <c r="B4983" s="207" t="n"/>
      <c r="C4983" s="104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348" t="n"/>
      <c r="E4983" s="349">
        <f>IF(C4983="","",IFERROR(VLOOKUP(C4983,parametros!$A$11:$E$15,5,0),""))</f>
        <v/>
      </c>
      <c r="F4983" s="335">
        <f>IF(OR(D4983="",E4983=""),"",ROUND(D4983*E4983,2))</f>
        <v/>
      </c>
      <c r="G4983" s="106" t="n"/>
      <c r="H4983" s="350">
        <f>IF(G4983="Sim",IF(OR(F4983="",D4983="",L4983=""),"",IF(L4983="Sim",ROUND(F4983-D4983,2),0)),0)</f>
        <v/>
      </c>
      <c r="I4983" s="350">
        <f>IF(G4983="Sim",0,IF(OR(F4983="",L4983=""),"",F4983))</f>
        <v/>
      </c>
      <c r="J4983" s="350">
        <f>IF(G4983="Sim",0,IF(OR(F4983="",D4983="",L4983=""),"",IF(L4983="Sim",ROUND(F4983-D4983,2),0)))</f>
        <v/>
      </c>
      <c r="K4983" s="97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inlineStr">
        <is>
          <t>Nao</t>
        </is>
      </c>
      <c r="W4983" s="110" t="inlineStr">
        <is>
          <t>PC em analise</t>
        </is>
      </c>
      <c r="X4983" s="110" t="inlineStr">
        <is>
          <t>Pedido de Compra</t>
        </is>
      </c>
      <c r="Y4983" s="111" t="inlineStr">
        <is>
          <t>Impacto Potencial</t>
        </is>
      </c>
      <c r="Z4983" s="111" t="inlineStr">
        <is>
          <t>PC</t>
        </is>
      </c>
      <c r="AA4983" s="111" t="inlineStr">
        <is>
          <t>Nao</t>
        </is>
      </c>
      <c r="AB4983" s="111" t="inlineStr">
        <is>
          <t>NAO_COMPUTADO</t>
        </is>
      </c>
      <c r="AC4983" s="112" t="inlineStr">
        <is>
          <t>Estrutura Fase 1: sem impacto no VTA oficial</t>
        </is>
      </c>
    </row>
    <row r="4984" ht="25.5" customHeight="1" s="289">
      <c r="A4984" s="205" t="n"/>
      <c r="B4984" s="207" t="n"/>
      <c r="C4984" s="104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348" t="n"/>
      <c r="E4984" s="349">
        <f>IF(C4984="","",IFERROR(VLOOKUP(C4984,parametros!$A$11:$E$15,5,0),""))</f>
        <v/>
      </c>
      <c r="F4984" s="335">
        <f>IF(OR(D4984="",E4984=""),"",ROUND(D4984*E4984,2))</f>
        <v/>
      </c>
      <c r="G4984" s="106" t="n"/>
      <c r="H4984" s="350">
        <f>IF(G4984="Sim",IF(OR(F4984="",D4984="",L4984=""),"",IF(L4984="Sim",ROUND(F4984-D4984,2),0)),0)</f>
        <v/>
      </c>
      <c r="I4984" s="350">
        <f>IF(G4984="Sim",0,IF(OR(F4984="",L4984=""),"",F4984))</f>
        <v/>
      </c>
      <c r="J4984" s="350">
        <f>IF(G4984="Sim",0,IF(OR(F4984="",D4984="",L4984=""),"",IF(L4984="Sim",ROUND(F4984-D4984,2),0)))</f>
        <v/>
      </c>
      <c r="K4984" s="97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inlineStr">
        <is>
          <t>Nao</t>
        </is>
      </c>
      <c r="W4984" s="110" t="inlineStr">
        <is>
          <t>PC em analise</t>
        </is>
      </c>
      <c r="X4984" s="110" t="inlineStr">
        <is>
          <t>Pedido de Compra</t>
        </is>
      </c>
      <c r="Y4984" s="111" t="inlineStr">
        <is>
          <t>Impacto Potencial</t>
        </is>
      </c>
      <c r="Z4984" s="111" t="inlineStr">
        <is>
          <t>PC</t>
        </is>
      </c>
      <c r="AA4984" s="111" t="inlineStr">
        <is>
          <t>Nao</t>
        </is>
      </c>
      <c r="AB4984" s="111" t="inlineStr">
        <is>
          <t>NAO_COMPUTADO</t>
        </is>
      </c>
      <c r="AC4984" s="112" t="inlineStr">
        <is>
          <t>Estrutura Fase 1: sem impacto no VTA oficial</t>
        </is>
      </c>
    </row>
    <row r="4985" ht="25.5" customHeight="1" s="289">
      <c r="A4985" s="205" t="n"/>
      <c r="B4985" s="207" t="n"/>
      <c r="C4985" s="104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348" t="n"/>
      <c r="E4985" s="349">
        <f>IF(C4985="","",IFERROR(VLOOKUP(C4985,parametros!$A$11:$E$15,5,0),""))</f>
        <v/>
      </c>
      <c r="F4985" s="335">
        <f>IF(OR(D4985="",E4985=""),"",ROUND(D4985*E4985,2))</f>
        <v/>
      </c>
      <c r="G4985" s="106" t="n"/>
      <c r="H4985" s="350">
        <f>IF(G4985="Sim",IF(OR(F4985="",D4985="",L4985=""),"",IF(L4985="Sim",ROUND(F4985-D4985,2),0)),0)</f>
        <v/>
      </c>
      <c r="I4985" s="350">
        <f>IF(G4985="Sim",0,IF(OR(F4985="",L4985=""),"",F4985))</f>
        <v/>
      </c>
      <c r="J4985" s="350">
        <f>IF(G4985="Sim",0,IF(OR(F4985="",D4985="",L4985=""),"",IF(L4985="Sim",ROUND(F4985-D4985,2),0)))</f>
        <v/>
      </c>
      <c r="K4985" s="97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inlineStr">
        <is>
          <t>Nao</t>
        </is>
      </c>
      <c r="W4985" s="110" t="inlineStr">
        <is>
          <t>PC em analise</t>
        </is>
      </c>
      <c r="X4985" s="110" t="inlineStr">
        <is>
          <t>Pedido de Compra</t>
        </is>
      </c>
      <c r="Y4985" s="111" t="inlineStr">
        <is>
          <t>Impacto Potencial</t>
        </is>
      </c>
      <c r="Z4985" s="111" t="inlineStr">
        <is>
          <t>PC</t>
        </is>
      </c>
      <c r="AA4985" s="111" t="inlineStr">
        <is>
          <t>Nao</t>
        </is>
      </c>
      <c r="AB4985" s="111" t="inlineStr">
        <is>
          <t>NAO_COMPUTADO</t>
        </is>
      </c>
      <c r="AC4985" s="112" t="inlineStr">
        <is>
          <t>Estrutura Fase 1: sem impacto no VTA oficial</t>
        </is>
      </c>
    </row>
    <row r="4986" ht="25.5" customHeight="1" s="289">
      <c r="A4986" s="205" t="n"/>
      <c r="B4986" s="207" t="n"/>
      <c r="C4986" s="104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348" t="n"/>
      <c r="E4986" s="349">
        <f>IF(C4986="","",IFERROR(VLOOKUP(C4986,parametros!$A$11:$E$15,5,0),""))</f>
        <v/>
      </c>
      <c r="F4986" s="335">
        <f>IF(OR(D4986="",E4986=""),"",ROUND(D4986*E4986,2))</f>
        <v/>
      </c>
      <c r="G4986" s="106" t="n"/>
      <c r="H4986" s="350">
        <f>IF(G4986="Sim",IF(OR(F4986="",D4986="",L4986=""),"",IF(L4986="Sim",ROUND(F4986-D4986,2),0)),0)</f>
        <v/>
      </c>
      <c r="I4986" s="350">
        <f>IF(G4986="Sim",0,IF(OR(F4986="",L4986=""),"",F4986))</f>
        <v/>
      </c>
      <c r="J4986" s="350">
        <f>IF(G4986="Sim",0,IF(OR(F4986="",D4986="",L4986=""),"",IF(L4986="Sim",ROUND(F4986-D4986,2),0)))</f>
        <v/>
      </c>
      <c r="K4986" s="97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inlineStr">
        <is>
          <t>Nao</t>
        </is>
      </c>
      <c r="W4986" s="110" t="inlineStr">
        <is>
          <t>PC em analise</t>
        </is>
      </c>
      <c r="X4986" s="110" t="inlineStr">
        <is>
          <t>Pedido de Compra</t>
        </is>
      </c>
      <c r="Y4986" s="111" t="inlineStr">
        <is>
          <t>Impacto Potencial</t>
        </is>
      </c>
      <c r="Z4986" s="111" t="inlineStr">
        <is>
          <t>PC</t>
        </is>
      </c>
      <c r="AA4986" s="111" t="inlineStr">
        <is>
          <t>Nao</t>
        </is>
      </c>
      <c r="AB4986" s="111" t="inlineStr">
        <is>
          <t>NAO_COMPUTADO</t>
        </is>
      </c>
      <c r="AC4986" s="112" t="inlineStr">
        <is>
          <t>Estrutura Fase 1: sem impacto no VTA oficial</t>
        </is>
      </c>
    </row>
    <row r="4987" ht="25.5" customHeight="1" s="289">
      <c r="A4987" s="205" t="n"/>
      <c r="B4987" s="207" t="n"/>
      <c r="C4987" s="104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348" t="n"/>
      <c r="E4987" s="349">
        <f>IF(C4987="","",IFERROR(VLOOKUP(C4987,parametros!$A$11:$E$15,5,0),""))</f>
        <v/>
      </c>
      <c r="F4987" s="335">
        <f>IF(OR(D4987="",E4987=""),"",ROUND(D4987*E4987,2))</f>
        <v/>
      </c>
      <c r="G4987" s="106" t="n"/>
      <c r="H4987" s="350">
        <f>IF(G4987="Sim",IF(OR(F4987="",D4987="",L4987=""),"",IF(L4987="Sim",ROUND(F4987-D4987,2),0)),0)</f>
        <v/>
      </c>
      <c r="I4987" s="350">
        <f>IF(G4987="Sim",0,IF(OR(F4987="",L4987=""),"",F4987))</f>
        <v/>
      </c>
      <c r="J4987" s="350">
        <f>IF(G4987="Sim",0,IF(OR(F4987="",D4987="",L4987=""),"",IF(L4987="Sim",ROUND(F4987-D4987,2),0)))</f>
        <v/>
      </c>
      <c r="K4987" s="97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inlineStr">
        <is>
          <t>Nao</t>
        </is>
      </c>
      <c r="W4987" s="110" t="inlineStr">
        <is>
          <t>PC em analise</t>
        </is>
      </c>
      <c r="X4987" s="110" t="inlineStr">
        <is>
          <t>Pedido de Compra</t>
        </is>
      </c>
      <c r="Y4987" s="111" t="inlineStr">
        <is>
          <t>Impacto Potencial</t>
        </is>
      </c>
      <c r="Z4987" s="111" t="inlineStr">
        <is>
          <t>PC</t>
        </is>
      </c>
      <c r="AA4987" s="111" t="inlineStr">
        <is>
          <t>Nao</t>
        </is>
      </c>
      <c r="AB4987" s="111" t="inlineStr">
        <is>
          <t>NAO_COMPUTADO</t>
        </is>
      </c>
      <c r="AC4987" s="112" t="inlineStr">
        <is>
          <t>Estrutura Fase 1: sem impacto no VTA oficial</t>
        </is>
      </c>
    </row>
    <row r="4988" ht="25.5" customHeight="1" s="289">
      <c r="A4988" s="205" t="n"/>
      <c r="B4988" s="207" t="n"/>
      <c r="C4988" s="104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348" t="n"/>
      <c r="E4988" s="349">
        <f>IF(C4988="","",IFERROR(VLOOKUP(C4988,parametros!$A$11:$E$15,5,0),""))</f>
        <v/>
      </c>
      <c r="F4988" s="335">
        <f>IF(OR(D4988="",E4988=""),"",ROUND(D4988*E4988,2))</f>
        <v/>
      </c>
      <c r="G4988" s="106" t="n"/>
      <c r="H4988" s="350">
        <f>IF(G4988="Sim",IF(OR(F4988="",D4988="",L4988=""),"",IF(L4988="Sim",ROUND(F4988-D4988,2),0)),0)</f>
        <v/>
      </c>
      <c r="I4988" s="350">
        <f>IF(G4988="Sim",0,IF(OR(F4988="",L4988=""),"",F4988))</f>
        <v/>
      </c>
      <c r="J4988" s="350">
        <f>IF(G4988="Sim",0,IF(OR(F4988="",D4988="",L4988=""),"",IF(L4988="Sim",ROUND(F4988-D4988,2),0)))</f>
        <v/>
      </c>
      <c r="K4988" s="97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inlineStr">
        <is>
          <t>Nao</t>
        </is>
      </c>
      <c r="W4988" s="110" t="inlineStr">
        <is>
          <t>PC em analise</t>
        </is>
      </c>
      <c r="X4988" s="110" t="inlineStr">
        <is>
          <t>Pedido de Compra</t>
        </is>
      </c>
      <c r="Y4988" s="111" t="inlineStr">
        <is>
          <t>Impacto Potencial</t>
        </is>
      </c>
      <c r="Z4988" s="111" t="inlineStr">
        <is>
          <t>PC</t>
        </is>
      </c>
      <c r="AA4988" s="111" t="inlineStr">
        <is>
          <t>Nao</t>
        </is>
      </c>
      <c r="AB4988" s="111" t="inlineStr">
        <is>
          <t>NAO_COMPUTADO</t>
        </is>
      </c>
      <c r="AC4988" s="112" t="inlineStr">
        <is>
          <t>Estrutura Fase 1: sem impacto no VTA oficial</t>
        </is>
      </c>
    </row>
    <row r="4989" ht="25.5" customHeight="1" s="289">
      <c r="A4989" s="205" t="n"/>
      <c r="B4989" s="207" t="n"/>
      <c r="C4989" s="104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348" t="n"/>
      <c r="E4989" s="349">
        <f>IF(C4989="","",IFERROR(VLOOKUP(C4989,parametros!$A$11:$E$15,5,0),""))</f>
        <v/>
      </c>
      <c r="F4989" s="335">
        <f>IF(OR(D4989="",E4989=""),"",ROUND(D4989*E4989,2))</f>
        <v/>
      </c>
      <c r="G4989" s="106" t="n"/>
      <c r="H4989" s="350">
        <f>IF(G4989="Sim",IF(OR(F4989="",D4989="",L4989=""),"",IF(L4989="Sim",ROUND(F4989-D4989,2),0)),0)</f>
        <v/>
      </c>
      <c r="I4989" s="350">
        <f>IF(G4989="Sim",0,IF(OR(F4989="",L4989=""),"",F4989))</f>
        <v/>
      </c>
      <c r="J4989" s="350">
        <f>IF(G4989="Sim",0,IF(OR(F4989="",D4989="",L4989=""),"",IF(L4989="Sim",ROUND(F4989-D4989,2),0)))</f>
        <v/>
      </c>
      <c r="K4989" s="97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inlineStr">
        <is>
          <t>Nao</t>
        </is>
      </c>
      <c r="W4989" s="110" t="inlineStr">
        <is>
          <t>PC em analise</t>
        </is>
      </c>
      <c r="X4989" s="110" t="inlineStr">
        <is>
          <t>Pedido de Compra</t>
        </is>
      </c>
      <c r="Y4989" s="111" t="inlineStr">
        <is>
          <t>Impacto Potencial</t>
        </is>
      </c>
      <c r="Z4989" s="111" t="inlineStr">
        <is>
          <t>PC</t>
        </is>
      </c>
      <c r="AA4989" s="111" t="inlineStr">
        <is>
          <t>Nao</t>
        </is>
      </c>
      <c r="AB4989" s="111" t="inlineStr">
        <is>
          <t>NAO_COMPUTADO</t>
        </is>
      </c>
      <c r="AC4989" s="112" t="inlineStr">
        <is>
          <t>Estrutura Fase 1: sem impacto no VTA oficial</t>
        </is>
      </c>
    </row>
    <row r="4990" ht="25.5" customHeight="1" s="289">
      <c r="A4990" s="205" t="n"/>
      <c r="B4990" s="207" t="n"/>
      <c r="C4990" s="104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348" t="n"/>
      <c r="E4990" s="349">
        <f>IF(C4990="","",IFERROR(VLOOKUP(C4990,parametros!$A$11:$E$15,5,0),""))</f>
        <v/>
      </c>
      <c r="F4990" s="335">
        <f>IF(OR(D4990="",E4990=""),"",ROUND(D4990*E4990,2))</f>
        <v/>
      </c>
      <c r="G4990" s="106" t="n"/>
      <c r="H4990" s="350">
        <f>IF(G4990="Sim",IF(OR(F4990="",D4990="",L4990=""),"",IF(L4990="Sim",ROUND(F4990-D4990,2),0)),0)</f>
        <v/>
      </c>
      <c r="I4990" s="350">
        <f>IF(G4990="Sim",0,IF(OR(F4990="",L4990=""),"",F4990))</f>
        <v/>
      </c>
      <c r="J4990" s="350">
        <f>IF(G4990="Sim",0,IF(OR(F4990="",D4990="",L4990=""),"",IF(L4990="Sim",ROUND(F4990-D4990,2),0)))</f>
        <v/>
      </c>
      <c r="K4990" s="97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inlineStr">
        <is>
          <t>Nao</t>
        </is>
      </c>
      <c r="W4990" s="110" t="inlineStr">
        <is>
          <t>PC em analise</t>
        </is>
      </c>
      <c r="X4990" s="110" t="inlineStr">
        <is>
          <t>Pedido de Compra</t>
        </is>
      </c>
      <c r="Y4990" s="111" t="inlineStr">
        <is>
          <t>Impacto Potencial</t>
        </is>
      </c>
      <c r="Z4990" s="111" t="inlineStr">
        <is>
          <t>PC</t>
        </is>
      </c>
      <c r="AA4990" s="111" t="inlineStr">
        <is>
          <t>Nao</t>
        </is>
      </c>
      <c r="AB4990" s="111" t="inlineStr">
        <is>
          <t>NAO_COMPUTADO</t>
        </is>
      </c>
      <c r="AC4990" s="112" t="inlineStr">
        <is>
          <t>Estrutura Fase 1: sem impacto no VTA oficial</t>
        </is>
      </c>
    </row>
    <row r="4991" ht="25.5" customHeight="1" s="289">
      <c r="A4991" s="205" t="n"/>
      <c r="B4991" s="207" t="n"/>
      <c r="C4991" s="104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348" t="n"/>
      <c r="E4991" s="349">
        <f>IF(C4991="","",IFERROR(VLOOKUP(C4991,parametros!$A$11:$E$15,5,0),""))</f>
        <v/>
      </c>
      <c r="F4991" s="335">
        <f>IF(OR(D4991="",E4991=""),"",ROUND(D4991*E4991,2))</f>
        <v/>
      </c>
      <c r="G4991" s="106" t="n"/>
      <c r="H4991" s="350">
        <f>IF(G4991="Sim",IF(OR(F4991="",D4991="",L4991=""),"",IF(L4991="Sim",ROUND(F4991-D4991,2),0)),0)</f>
        <v/>
      </c>
      <c r="I4991" s="350">
        <f>IF(G4991="Sim",0,IF(OR(F4991="",L4991=""),"",F4991))</f>
        <v/>
      </c>
      <c r="J4991" s="350">
        <f>IF(G4991="Sim",0,IF(OR(F4991="",D4991="",L4991=""),"",IF(L4991="Sim",ROUND(F4991-D4991,2),0)))</f>
        <v/>
      </c>
      <c r="K4991" s="97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inlineStr">
        <is>
          <t>Nao</t>
        </is>
      </c>
      <c r="W4991" s="110" t="inlineStr">
        <is>
          <t>PC em analise</t>
        </is>
      </c>
      <c r="X4991" s="110" t="inlineStr">
        <is>
          <t>Pedido de Compra</t>
        </is>
      </c>
      <c r="Y4991" s="111" t="inlineStr">
        <is>
          <t>Impacto Potencial</t>
        </is>
      </c>
      <c r="Z4991" s="111" t="inlineStr">
        <is>
          <t>PC</t>
        </is>
      </c>
      <c r="AA4991" s="111" t="inlineStr">
        <is>
          <t>Nao</t>
        </is>
      </c>
      <c r="AB4991" s="111" t="inlineStr">
        <is>
          <t>NAO_COMPUTADO</t>
        </is>
      </c>
      <c r="AC4991" s="112" t="inlineStr">
        <is>
          <t>Estrutura Fase 1: sem impacto no VTA oficial</t>
        </is>
      </c>
    </row>
    <row r="4992" ht="25.5" customHeight="1" s="289">
      <c r="A4992" s="205" t="n"/>
      <c r="B4992" s="207" t="n"/>
      <c r="C4992" s="104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348" t="n"/>
      <c r="E4992" s="349">
        <f>IF(C4992="","",IFERROR(VLOOKUP(C4992,parametros!$A$11:$E$15,5,0),""))</f>
        <v/>
      </c>
      <c r="F4992" s="335">
        <f>IF(OR(D4992="",E4992=""),"",ROUND(D4992*E4992,2))</f>
        <v/>
      </c>
      <c r="G4992" s="106" t="n"/>
      <c r="H4992" s="350">
        <f>IF(G4992="Sim",IF(OR(F4992="",D4992="",L4992=""),"",IF(L4992="Sim",ROUND(F4992-D4992,2),0)),0)</f>
        <v/>
      </c>
      <c r="I4992" s="350">
        <f>IF(G4992="Sim",0,IF(OR(F4992="",L4992=""),"",F4992))</f>
        <v/>
      </c>
      <c r="J4992" s="350">
        <f>IF(G4992="Sim",0,IF(OR(F4992="",D4992="",L4992=""),"",IF(L4992="Sim",ROUND(F4992-D4992,2),0)))</f>
        <v/>
      </c>
      <c r="K4992" s="97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inlineStr">
        <is>
          <t>Nao</t>
        </is>
      </c>
      <c r="W4992" s="110" t="inlineStr">
        <is>
          <t>PC em analise</t>
        </is>
      </c>
      <c r="X4992" s="110" t="inlineStr">
        <is>
          <t>Pedido de Compra</t>
        </is>
      </c>
      <c r="Y4992" s="111" t="inlineStr">
        <is>
          <t>Impacto Potencial</t>
        </is>
      </c>
      <c r="Z4992" s="111" t="inlineStr">
        <is>
          <t>PC</t>
        </is>
      </c>
      <c r="AA4992" s="111" t="inlineStr">
        <is>
          <t>Nao</t>
        </is>
      </c>
      <c r="AB4992" s="111" t="inlineStr">
        <is>
          <t>NAO_COMPUTADO</t>
        </is>
      </c>
      <c r="AC4992" s="112" t="inlineStr">
        <is>
          <t>Estrutura Fase 1: sem impacto no VTA oficial</t>
        </is>
      </c>
    </row>
    <row r="4993" ht="25.5" customHeight="1" s="289">
      <c r="A4993" s="205" t="n"/>
      <c r="B4993" s="207" t="n"/>
      <c r="C4993" s="104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348" t="n"/>
      <c r="E4993" s="349">
        <f>IF(C4993="","",IFERROR(VLOOKUP(C4993,parametros!$A$11:$E$15,5,0),""))</f>
        <v/>
      </c>
      <c r="F4993" s="335">
        <f>IF(OR(D4993="",E4993=""),"",ROUND(D4993*E4993,2))</f>
        <v/>
      </c>
      <c r="G4993" s="106" t="n"/>
      <c r="H4993" s="350">
        <f>IF(G4993="Sim",IF(OR(F4993="",D4993="",L4993=""),"",IF(L4993="Sim",ROUND(F4993-D4993,2),0)),0)</f>
        <v/>
      </c>
      <c r="I4993" s="350">
        <f>IF(G4993="Sim",0,IF(OR(F4993="",L4993=""),"",F4993))</f>
        <v/>
      </c>
      <c r="J4993" s="350">
        <f>IF(G4993="Sim",0,IF(OR(F4993="",D4993="",L4993=""),"",IF(L4993="Sim",ROUND(F4993-D4993,2),0)))</f>
        <v/>
      </c>
      <c r="K4993" s="97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inlineStr">
        <is>
          <t>Nao</t>
        </is>
      </c>
      <c r="W4993" s="110" t="inlineStr">
        <is>
          <t>PC em analise</t>
        </is>
      </c>
      <c r="X4993" s="110" t="inlineStr">
        <is>
          <t>Pedido de Compra</t>
        </is>
      </c>
      <c r="Y4993" s="111" t="inlineStr">
        <is>
          <t>Impacto Potencial</t>
        </is>
      </c>
      <c r="Z4993" s="111" t="inlineStr">
        <is>
          <t>PC</t>
        </is>
      </c>
      <c r="AA4993" s="111" t="inlineStr">
        <is>
          <t>Nao</t>
        </is>
      </c>
      <c r="AB4993" s="111" t="inlineStr">
        <is>
          <t>NAO_COMPUTADO</t>
        </is>
      </c>
      <c r="AC4993" s="112" t="inlineStr">
        <is>
          <t>Estrutura Fase 1: sem impacto no VTA oficial</t>
        </is>
      </c>
    </row>
    <row r="4994" ht="25.5" customHeight="1" s="289">
      <c r="A4994" s="205" t="n"/>
      <c r="B4994" s="207" t="n"/>
      <c r="C4994" s="104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348" t="n"/>
      <c r="E4994" s="349">
        <f>IF(C4994="","",IFERROR(VLOOKUP(C4994,parametros!$A$11:$E$15,5,0),""))</f>
        <v/>
      </c>
      <c r="F4994" s="335">
        <f>IF(OR(D4994="",E4994=""),"",ROUND(D4994*E4994,2))</f>
        <v/>
      </c>
      <c r="G4994" s="106" t="n"/>
      <c r="H4994" s="350">
        <f>IF(G4994="Sim",IF(OR(F4994="",D4994="",L4994=""),"",IF(L4994="Sim",ROUND(F4994-D4994,2),0)),0)</f>
        <v/>
      </c>
      <c r="I4994" s="350">
        <f>IF(G4994="Sim",0,IF(OR(F4994="",L4994=""),"",F4994))</f>
        <v/>
      </c>
      <c r="J4994" s="350">
        <f>IF(G4994="Sim",0,IF(OR(F4994="",D4994="",L4994=""),"",IF(L4994="Sim",ROUND(F4994-D4994,2),0)))</f>
        <v/>
      </c>
      <c r="K4994" s="97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inlineStr">
        <is>
          <t>Nao</t>
        </is>
      </c>
      <c r="W4994" s="110" t="inlineStr">
        <is>
          <t>PC em analise</t>
        </is>
      </c>
      <c r="X4994" s="110" t="inlineStr">
        <is>
          <t>Pedido de Compra</t>
        </is>
      </c>
      <c r="Y4994" s="111" t="inlineStr">
        <is>
          <t>Impacto Potencial</t>
        </is>
      </c>
      <c r="Z4994" s="111" t="inlineStr">
        <is>
          <t>PC</t>
        </is>
      </c>
      <c r="AA4994" s="111" t="inlineStr">
        <is>
          <t>Nao</t>
        </is>
      </c>
      <c r="AB4994" s="111" t="inlineStr">
        <is>
          <t>NAO_COMPUTADO</t>
        </is>
      </c>
      <c r="AC4994" s="112" t="inlineStr">
        <is>
          <t>Estrutura Fase 1: sem impacto no VTA oficial</t>
        </is>
      </c>
    </row>
    <row r="4995" ht="25.5" customHeight="1" s="289">
      <c r="A4995" s="205" t="n"/>
      <c r="B4995" s="207" t="n"/>
      <c r="C4995" s="104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348" t="n"/>
      <c r="E4995" s="349">
        <f>IF(C4995="","",IFERROR(VLOOKUP(C4995,parametros!$A$11:$E$15,5,0),""))</f>
        <v/>
      </c>
      <c r="F4995" s="335">
        <f>IF(OR(D4995="",E4995=""),"",ROUND(D4995*E4995,2))</f>
        <v/>
      </c>
      <c r="G4995" s="106" t="n"/>
      <c r="H4995" s="350">
        <f>IF(G4995="Sim",IF(OR(F4995="",D4995="",L4995=""),"",IF(L4995="Sim",ROUND(F4995-D4995,2),0)),0)</f>
        <v/>
      </c>
      <c r="I4995" s="350">
        <f>IF(G4995="Sim",0,IF(OR(F4995="",L4995=""),"",F4995))</f>
        <v/>
      </c>
      <c r="J4995" s="350">
        <f>IF(G4995="Sim",0,IF(OR(F4995="",D4995="",L4995=""),"",IF(L4995="Sim",ROUND(F4995-D4995,2),0)))</f>
        <v/>
      </c>
      <c r="K4995" s="97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inlineStr">
        <is>
          <t>Nao</t>
        </is>
      </c>
      <c r="W4995" s="110" t="inlineStr">
        <is>
          <t>PC em analise</t>
        </is>
      </c>
      <c r="X4995" s="110" t="inlineStr">
        <is>
          <t>Pedido de Compra</t>
        </is>
      </c>
      <c r="Y4995" s="111" t="inlineStr">
        <is>
          <t>Impacto Potencial</t>
        </is>
      </c>
      <c r="Z4995" s="111" t="inlineStr">
        <is>
          <t>PC</t>
        </is>
      </c>
      <c r="AA4995" s="111" t="inlineStr">
        <is>
          <t>Nao</t>
        </is>
      </c>
      <c r="AB4995" s="111" t="inlineStr">
        <is>
          <t>NAO_COMPUTADO</t>
        </is>
      </c>
      <c r="AC4995" s="112" t="inlineStr">
        <is>
          <t>Estrutura Fase 1: sem impacto no VTA oficial</t>
        </is>
      </c>
    </row>
    <row r="4996" ht="25.5" customHeight="1" s="289">
      <c r="A4996" s="205" t="n"/>
      <c r="B4996" s="207" t="n"/>
      <c r="C4996" s="104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348" t="n"/>
      <c r="E4996" s="349">
        <f>IF(C4996="","",IFERROR(VLOOKUP(C4996,parametros!$A$11:$E$15,5,0),""))</f>
        <v/>
      </c>
      <c r="F4996" s="335">
        <f>IF(OR(D4996="",E4996=""),"",ROUND(D4996*E4996,2))</f>
        <v/>
      </c>
      <c r="G4996" s="106" t="n"/>
      <c r="H4996" s="350">
        <f>IF(G4996="Sim",IF(OR(F4996="",D4996="",L4996=""),"",IF(L4996="Sim",ROUND(F4996-D4996,2),0)),0)</f>
        <v/>
      </c>
      <c r="I4996" s="350">
        <f>IF(G4996="Sim",0,IF(OR(F4996="",L4996=""),"",F4996))</f>
        <v/>
      </c>
      <c r="J4996" s="350">
        <f>IF(G4996="Sim",0,IF(OR(F4996="",D4996="",L4996=""),"",IF(L4996="Sim",ROUND(F4996-D4996,2),0)))</f>
        <v/>
      </c>
      <c r="K4996" s="97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inlineStr">
        <is>
          <t>Nao</t>
        </is>
      </c>
      <c r="W4996" s="110" t="inlineStr">
        <is>
          <t>PC em analise</t>
        </is>
      </c>
      <c r="X4996" s="110" t="inlineStr">
        <is>
          <t>Pedido de Compra</t>
        </is>
      </c>
      <c r="Y4996" s="111" t="inlineStr">
        <is>
          <t>Impacto Potencial</t>
        </is>
      </c>
      <c r="Z4996" s="111" t="inlineStr">
        <is>
          <t>PC</t>
        </is>
      </c>
      <c r="AA4996" s="111" t="inlineStr">
        <is>
          <t>Nao</t>
        </is>
      </c>
      <c r="AB4996" s="111" t="inlineStr">
        <is>
          <t>NAO_COMPUTADO</t>
        </is>
      </c>
      <c r="AC4996" s="112" t="inlineStr">
        <is>
          <t>Estrutura Fase 1: sem impacto no VTA oficial</t>
        </is>
      </c>
    </row>
    <row r="4997" ht="25.5" customHeight="1" s="289">
      <c r="A4997" s="205" t="n"/>
      <c r="B4997" s="207" t="n"/>
      <c r="C4997" s="104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348" t="n"/>
      <c r="E4997" s="349">
        <f>IF(C4997="","",IFERROR(VLOOKUP(C4997,parametros!$A$11:$E$15,5,0),""))</f>
        <v/>
      </c>
      <c r="F4997" s="335">
        <f>IF(OR(D4997="",E4997=""),"",ROUND(D4997*E4997,2))</f>
        <v/>
      </c>
      <c r="G4997" s="106" t="n"/>
      <c r="H4997" s="350">
        <f>IF(G4997="Sim",IF(OR(F4997="",D4997="",L4997=""),"",IF(L4997="Sim",ROUND(F4997-D4997,2),0)),0)</f>
        <v/>
      </c>
      <c r="I4997" s="350">
        <f>IF(G4997="Sim",0,IF(OR(F4997="",L4997=""),"",F4997))</f>
        <v/>
      </c>
      <c r="J4997" s="350">
        <f>IF(G4997="Sim",0,IF(OR(F4997="",D4997="",L4997=""),"",IF(L4997="Sim",ROUND(F4997-D4997,2),0)))</f>
        <v/>
      </c>
      <c r="K4997" s="97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inlineStr">
        <is>
          <t>Nao</t>
        </is>
      </c>
      <c r="W4997" s="110" t="inlineStr">
        <is>
          <t>PC em analise</t>
        </is>
      </c>
      <c r="X4997" s="110" t="inlineStr">
        <is>
          <t>Pedido de Compra</t>
        </is>
      </c>
      <c r="Y4997" s="111" t="inlineStr">
        <is>
          <t>Impacto Potencial</t>
        </is>
      </c>
      <c r="Z4997" s="111" t="inlineStr">
        <is>
          <t>PC</t>
        </is>
      </c>
      <c r="AA4997" s="111" t="inlineStr">
        <is>
          <t>Nao</t>
        </is>
      </c>
      <c r="AB4997" s="111" t="inlineStr">
        <is>
          <t>NAO_COMPUTADO</t>
        </is>
      </c>
      <c r="AC4997" s="112" t="inlineStr">
        <is>
          <t>Estrutura Fase 1: sem impacto no VTA oficial</t>
        </is>
      </c>
    </row>
    <row r="4998" ht="25.5" customHeight="1" s="289">
      <c r="A4998" s="205" t="n"/>
      <c r="B4998" s="207" t="n"/>
      <c r="C4998" s="104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348" t="n"/>
      <c r="E4998" s="349">
        <f>IF(C4998="","",IFERROR(VLOOKUP(C4998,parametros!$A$11:$E$15,5,0),""))</f>
        <v/>
      </c>
      <c r="F4998" s="335">
        <f>IF(OR(D4998="",E4998=""),"",ROUND(D4998*E4998,2))</f>
        <v/>
      </c>
      <c r="G4998" s="106" t="n"/>
      <c r="H4998" s="350">
        <f>IF(G4998="Sim",IF(OR(F4998="",D4998="",L4998=""),"",IF(L4998="Sim",ROUND(F4998-D4998,2),0)),0)</f>
        <v/>
      </c>
      <c r="I4998" s="350">
        <f>IF(G4998="Sim",0,IF(OR(F4998="",L4998=""),"",F4998))</f>
        <v/>
      </c>
      <c r="J4998" s="350">
        <f>IF(G4998="Sim",0,IF(OR(F4998="",D4998="",L4998=""),"",IF(L4998="Sim",ROUND(F4998-D4998,2),0)))</f>
        <v/>
      </c>
      <c r="K4998" s="97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inlineStr">
        <is>
          <t>Nao</t>
        </is>
      </c>
      <c r="W4998" s="110" t="inlineStr">
        <is>
          <t>PC em analise</t>
        </is>
      </c>
      <c r="X4998" s="110" t="inlineStr">
        <is>
          <t>Pedido de Compra</t>
        </is>
      </c>
      <c r="Y4998" s="111" t="inlineStr">
        <is>
          <t>Impacto Potencial</t>
        </is>
      </c>
      <c r="Z4998" s="111" t="inlineStr">
        <is>
          <t>PC</t>
        </is>
      </c>
      <c r="AA4998" s="111" t="inlineStr">
        <is>
          <t>Nao</t>
        </is>
      </c>
      <c r="AB4998" s="111" t="inlineStr">
        <is>
          <t>NAO_COMPUTADO</t>
        </is>
      </c>
      <c r="AC4998" s="112" t="inlineStr">
        <is>
          <t>Estrutura Fase 1: sem impacto no VTA oficial</t>
        </is>
      </c>
    </row>
    <row r="4999" ht="25.5" customHeight="1" s="289">
      <c r="A4999" s="205" t="n"/>
      <c r="B4999" s="207" t="n"/>
      <c r="C4999" s="104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348" t="n"/>
      <c r="E4999" s="349">
        <f>IF(C4999="","",IFERROR(VLOOKUP(C4999,parametros!$A$11:$E$15,5,0),""))</f>
        <v/>
      </c>
      <c r="F4999" s="335">
        <f>IF(OR(D4999="",E4999=""),"",ROUND(D4999*E4999,2))</f>
        <v/>
      </c>
      <c r="G4999" s="106" t="n"/>
      <c r="H4999" s="350">
        <f>IF(G4999="Sim",IF(OR(F4999="",D4999="",L4999=""),"",IF(L4999="Sim",ROUND(F4999-D4999,2),0)),0)</f>
        <v/>
      </c>
      <c r="I4999" s="350">
        <f>IF(G4999="Sim",0,IF(OR(F4999="",L4999=""),"",F4999))</f>
        <v/>
      </c>
      <c r="J4999" s="350">
        <f>IF(G4999="Sim",0,IF(OR(F4999="",D4999="",L4999=""),"",IF(L4999="Sim",ROUND(F4999-D4999,2),0)))</f>
        <v/>
      </c>
      <c r="K4999" s="97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inlineStr">
        <is>
          <t>Nao</t>
        </is>
      </c>
      <c r="W4999" s="110" t="inlineStr">
        <is>
          <t>PC em analise</t>
        </is>
      </c>
      <c r="X4999" s="110" t="inlineStr">
        <is>
          <t>Pedido de Compra</t>
        </is>
      </c>
      <c r="Y4999" s="111" t="inlineStr">
        <is>
          <t>Impacto Potencial</t>
        </is>
      </c>
      <c r="Z4999" s="111" t="inlineStr">
        <is>
          <t>PC</t>
        </is>
      </c>
      <c r="AA4999" s="111" t="inlineStr">
        <is>
          <t>Nao</t>
        </is>
      </c>
      <c r="AB4999" s="111" t="inlineStr">
        <is>
          <t>NAO_COMPUTADO</t>
        </is>
      </c>
      <c r="AC4999" s="112" t="inlineStr">
        <is>
          <t>Estrutura Fase 1: sem impacto no VTA oficial</t>
        </is>
      </c>
    </row>
    <row r="5000" ht="25.5" customHeight="1" s="289">
      <c r="A5000" s="205" t="n"/>
      <c r="B5000" s="207" t="n"/>
      <c r="C5000" s="104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348" t="n"/>
      <c r="E5000" s="349">
        <f>IF(C5000="","",IFERROR(VLOOKUP(C5000,parametros!$A$11:$E$15,5,0),""))</f>
        <v/>
      </c>
      <c r="F5000" s="335">
        <f>IF(OR(D5000="",E5000=""),"",ROUND(D5000*E5000,2))</f>
        <v/>
      </c>
      <c r="G5000" s="106" t="n"/>
      <c r="H5000" s="350">
        <f>IF(G5000="Sim",IF(OR(F5000="",D5000="",L5000=""),"",IF(L5000="Sim",ROUND(F5000-D5000,2),0)),0)</f>
        <v/>
      </c>
      <c r="I5000" s="350">
        <f>IF(G5000="Sim",0,IF(OR(F5000="",L5000=""),"",F5000))</f>
        <v/>
      </c>
      <c r="J5000" s="350">
        <f>IF(G5000="Sim",0,IF(OR(F5000="",D5000="",L5000=""),"",IF(L5000="Sim",ROUND(F5000-D5000,2),0)))</f>
        <v/>
      </c>
      <c r="K5000" s="97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inlineStr">
        <is>
          <t>Nao</t>
        </is>
      </c>
      <c r="W5000" s="110" t="inlineStr">
        <is>
          <t>PC em analise</t>
        </is>
      </c>
      <c r="X5000" s="110" t="inlineStr">
        <is>
          <t>Pedido de Compra</t>
        </is>
      </c>
      <c r="Y5000" s="111" t="inlineStr">
        <is>
          <t>Impacto Potencial</t>
        </is>
      </c>
      <c r="Z5000" s="111" t="inlineStr">
        <is>
          <t>PC</t>
        </is>
      </c>
      <c r="AA5000" s="111" t="inlineStr">
        <is>
          <t>Nao</t>
        </is>
      </c>
      <c r="AB5000" s="111" t="inlineStr">
        <is>
          <t>NAO_COMPUTADO</t>
        </is>
      </c>
      <c r="AC5000" s="112" t="inlineStr">
        <is>
          <t>Estrutura Fase 1: sem impacto no VTA oficial</t>
        </is>
      </c>
    </row>
    <row r="5001" ht="25.5" customHeight="1" s="289">
      <c r="A5001" s="205" t="n"/>
      <c r="B5001" s="207" t="n"/>
      <c r="C5001" s="104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348" t="n"/>
      <c r="E5001" s="349">
        <f>IF(C5001="","",IFERROR(VLOOKUP(C5001,parametros!$A$11:$E$15,5,0),""))</f>
        <v/>
      </c>
      <c r="F5001" s="335">
        <f>IF(OR(D5001="",E5001=""),"",ROUND(D5001*E5001,2))</f>
        <v/>
      </c>
      <c r="G5001" s="106" t="n"/>
      <c r="H5001" s="350">
        <f>IF(G5001="Sim",IF(OR(F5001="",D5001="",L5001=""),"",IF(L5001="Sim",ROUND(F5001-D5001,2),0)),0)</f>
        <v/>
      </c>
      <c r="I5001" s="350">
        <f>IF(G5001="Sim",0,IF(OR(F5001="",L5001=""),"",F5001))</f>
        <v/>
      </c>
      <c r="J5001" s="350">
        <f>IF(G5001="Sim",0,IF(OR(F5001="",D5001="",L5001=""),"",IF(L5001="Sim",ROUND(F5001-D5001,2),0)))</f>
        <v/>
      </c>
      <c r="K5001" s="97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inlineStr">
        <is>
          <t>Nao</t>
        </is>
      </c>
      <c r="W5001" s="110" t="inlineStr">
        <is>
          <t>PC em analise</t>
        </is>
      </c>
      <c r="X5001" s="110" t="inlineStr">
        <is>
          <t>Pedido de Compra</t>
        </is>
      </c>
      <c r="Y5001" s="111" t="inlineStr">
        <is>
          <t>Impacto Potencial</t>
        </is>
      </c>
      <c r="Z5001" s="111" t="inlineStr">
        <is>
          <t>PC</t>
        </is>
      </c>
      <c r="AA5001" s="111" t="inlineStr">
        <is>
          <t>Nao</t>
        </is>
      </c>
      <c r="AB5001" s="111" t="inlineStr">
        <is>
          <t>NAO_COMPUTADO</t>
        </is>
      </c>
      <c r="AC5001" s="112" t="inlineStr">
        <is>
          <t>Estrutura Fase 1: sem impacto no VTA oficial</t>
        </is>
      </c>
    </row>
  </sheetData>
  <conditionalFormatting sqref="A2:L5001">
    <cfRule type="expression" priority="1" dxfId="1" stopIfTrue="1">
      <formula>AND(OR($A2&lt;&gt;"",$B2&lt;&gt;"",$D2&lt;&gt;"",$G2&lt;&gt;""),$L2="")</formula>
    </cfRule>
    <cfRule type="expression" priority="2" dxfId="2">
      <formula>$L2="Nao"</formula>
    </cfRule>
  </conditionalFormatting>
  <dataValidations count="1">
    <dataValidation sqref="G2:G5001" showDropDown="0" showInputMessage="1" showErrorMessage="1" allowBlank="1" error="Selecione Sim ou Nao." type="list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8" defaultRowHeight="14.5"/>
  <cols>
    <col width="34" customWidth="1" style="289" min="1" max="1"/>
    <col width="18" customWidth="1" style="289" min="2" max="2"/>
    <col width="16" customWidth="1" style="289" min="3" max="3"/>
    <col width="32" customWidth="1" style="289" min="4" max="4"/>
    <col width="25" customWidth="1" style="289" min="5" max="5"/>
    <col width="22" customWidth="1" style="289" min="6" max="6"/>
    <col width="24" customWidth="1" style="289" min="7" max="8"/>
    <col width="22" customWidth="1" style="289" min="9" max="9"/>
    <col width="25" customWidth="1" style="289" min="10" max="10"/>
    <col width="32" customWidth="1" style="289" min="11" max="11"/>
    <col width="24" customWidth="1" style="289" min="12" max="12"/>
    <col width="45.6328125" customWidth="1" style="289" min="13" max="13"/>
  </cols>
  <sheetData>
    <row r="1" ht="58" customHeight="1" s="289">
      <c r="A1" s="279" t="inlineStr">
        <is>
          <t>ITEM
(NOVO ITEM: cadastrar em itens_Remanesc como N001, N002...; QTD_BASE_ORIGINAL fica 0 automaticamente; informar o VU_ORIGINAL)</t>
        </is>
      </c>
      <c r="B1" s="279" t="inlineStr">
        <is>
          <t>Data do aditivo</t>
        </is>
      </c>
      <c r="C1" s="279" t="inlineStr">
        <is>
          <t>Ciclo/Marco</t>
        </is>
      </c>
      <c r="D1" s="279" t="inlineStr">
        <is>
          <t>TIPO DE ALTERAÇÃO FORMALIZADA</t>
        </is>
      </c>
      <c r="E1" s="55" t="inlineStr">
        <is>
          <t>Quantidade acrescida/suprimida</t>
        </is>
      </c>
      <c r="F1" s="353" t="inlineStr">
        <is>
          <t>Valor unitario original</t>
        </is>
      </c>
      <c r="G1" s="353" t="inlineStr">
        <is>
          <t>Valor original da alteracao</t>
        </is>
      </c>
      <c r="H1" s="279" t="inlineStr">
        <is>
          <t>Aplicar reajuste? (Sim/Nao)</t>
        </is>
      </c>
      <c r="I1" s="279" t="inlineStr">
        <is>
          <t>Fator acumulado aplicavel</t>
        </is>
      </c>
      <c r="J1" s="353" t="inlineStr">
        <is>
          <t>Valor atualizado da alteracao</t>
        </is>
      </c>
      <c r="K1" s="279" t="inlineStr">
        <is>
          <t>CONSIDERADO NO CÁLCULO FINANCEIRO? (SIM/NÃO)</t>
        </is>
      </c>
      <c r="L1" s="68" t="inlineStr">
        <is>
          <t>DELTA_QTD_CONTRATUAL</t>
        </is>
      </c>
      <c r="M1" s="68" t="inlineStr">
        <is>
          <t>CHECK_POSICAO_CONTRATUAL</t>
        </is>
      </c>
    </row>
    <row r="2" ht="45" customHeight="1" s="289">
      <c r="A2" s="113" t="n"/>
      <c r="B2" s="206" t="n"/>
      <c r="C2" s="104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 t="n"/>
      <c r="E2" s="114" t="n"/>
      <c r="F2" s="354">
        <f>IF(A2="","",IFERROR(VLOOKUP(A2,itens_Remanesc!$A:$C,3,0),""))</f>
        <v/>
      </c>
      <c r="G2" s="354">
        <f>IF(OR(E2="",F2=""),"",ROUND(E2*F2,2))</f>
        <v/>
      </c>
      <c r="H2" s="113" t="n"/>
      <c r="I2" s="324">
        <f>IFERROR(VLOOKUP(C2,parametros!$B:$F,5,0),"")</f>
        <v/>
      </c>
      <c r="J2" s="354">
        <f>IF(OR(L2="",F2=""),"",ROUND(L2*F2*IF(AND(UPPER(H2)="SIM",ISNUMBER(I2)),I2,1),2))</f>
        <v/>
      </c>
      <c r="K2" s="113" t="n"/>
      <c r="L2" s="90">
        <f>IF(OR(A2="",C2="",D2="",NOT(ISNUMBER(E2))),"",IF(LEFT(UPPER(D2),3)="ACR",ROUND(ABS(E2),2),IF(OR(LEFT(UPPER(D2),4)="SUPR",LEFT(UPPER(D2),4)="DECR"),ROUND(-ABS(E2),2),"")))</f>
        <v/>
      </c>
      <c r="M2" s="266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ht="45" customHeight="1" s="289">
      <c r="A3" s="113" t="n"/>
      <c r="B3" s="206" t="n"/>
      <c r="C3" s="104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 t="n"/>
      <c r="E3" s="114" t="n"/>
      <c r="F3" s="354">
        <f>IF(A3="","",IFERROR(VLOOKUP(A3,itens_Remanesc!$A:$C,3,0),""))</f>
        <v/>
      </c>
      <c r="G3" s="354">
        <f>IF(OR(E3="",F3=""),"",ROUND(E3*F3,2))</f>
        <v/>
      </c>
      <c r="H3" s="113" t="n"/>
      <c r="I3" s="324">
        <f>IFERROR(VLOOKUP(C3,parametros!$B:$F,5,0),"")</f>
        <v/>
      </c>
      <c r="J3" s="354">
        <f>IF(OR(L3="",F3=""),"",ROUND(L3*F3*IF(AND(UPPER(H3)="SIM",ISNUMBER(I3)),I3,1),2))</f>
        <v/>
      </c>
      <c r="K3" s="113" t="n"/>
      <c r="L3" s="90">
        <f>IF(OR(A3="",C3="",D3="",NOT(ISNUMBER(E3))),"",IF(LEFT(UPPER(D3),3)="ACR",ROUND(ABS(E3),2),IF(OR(LEFT(UPPER(D3),4)="SUPR",LEFT(UPPER(D3),4)="DECR"),ROUND(-ABS(E3),2),"")))</f>
        <v/>
      </c>
      <c r="M3" s="266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ht="45" customHeight="1" s="289">
      <c r="A4" s="113" t="n"/>
      <c r="B4" s="206" t="n"/>
      <c r="C4" s="104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 t="n"/>
      <c r="E4" s="114" t="n"/>
      <c r="F4" s="354">
        <f>IF(A4="","",IFERROR(VLOOKUP(A4,itens_Remanesc!$A:$C,3,0),""))</f>
        <v/>
      </c>
      <c r="G4" s="354">
        <f>IF(OR(E4="",F4=""),"",ROUND(E4*F4,2))</f>
        <v/>
      </c>
      <c r="H4" s="113" t="n"/>
      <c r="I4" s="324">
        <f>IFERROR(VLOOKUP(C4,parametros!$B:$F,5,0),"")</f>
        <v/>
      </c>
      <c r="J4" s="354">
        <f>IF(OR(L4="",F4=""),"",ROUND(L4*F4*IF(AND(UPPER(H4)="SIM",ISNUMBER(I4)),I4,1),2))</f>
        <v/>
      </c>
      <c r="K4" s="113" t="n"/>
      <c r="L4" s="90">
        <f>IF(OR(A4="",C4="",D4="",NOT(ISNUMBER(E4))),"",IF(LEFT(UPPER(D4),3)="ACR",ROUND(ABS(E4),2),IF(OR(LEFT(UPPER(D4),4)="SUPR",LEFT(UPPER(D4),4)="DECR"),ROUND(-ABS(E4),2),"")))</f>
        <v/>
      </c>
      <c r="M4" s="266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ht="45" customHeight="1" s="289">
      <c r="A5" s="113" t="n"/>
      <c r="B5" s="206" t="n"/>
      <c r="C5" s="104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 t="n"/>
      <c r="E5" s="114" t="n"/>
      <c r="F5" s="354">
        <f>IF(A5="","",IFERROR(VLOOKUP(A5,itens_Remanesc!$A:$C,3,0),""))</f>
        <v/>
      </c>
      <c r="G5" s="354">
        <f>IF(OR(E5="",F5=""),"",ROUND(E5*F5,2))</f>
        <v/>
      </c>
      <c r="H5" s="113" t="n"/>
      <c r="I5" s="324">
        <f>IFERROR(VLOOKUP(C5,parametros!$B:$F,5,0),"")</f>
        <v/>
      </c>
      <c r="J5" s="354">
        <f>IF(OR(L5="",F5=""),"",ROUND(L5*F5*IF(AND(UPPER(H5)="SIM",ISNUMBER(I5)),I5,1),2))</f>
        <v/>
      </c>
      <c r="K5" s="113" t="n"/>
      <c r="L5" s="90">
        <f>IF(OR(A5="",C5="",D5="",NOT(ISNUMBER(E5))),"",IF(LEFT(UPPER(D5),3)="ACR",ROUND(ABS(E5),2),IF(OR(LEFT(UPPER(D5),4)="SUPR",LEFT(UPPER(D5),4)="DECR"),ROUND(-ABS(E5),2),"")))</f>
        <v/>
      </c>
      <c r="M5" s="266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ht="45" customHeight="1" s="289">
      <c r="A6" s="113" t="n"/>
      <c r="B6" s="206" t="n"/>
      <c r="C6" s="104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 t="n"/>
      <c r="E6" s="114" t="n"/>
      <c r="F6" s="354">
        <f>IF(A6="","",IFERROR(VLOOKUP(A6,itens_Remanesc!$A:$C,3,0),""))</f>
        <v/>
      </c>
      <c r="G6" s="354">
        <f>IF(OR(E6="",F6=""),"",ROUND(E6*F6,2))</f>
        <v/>
      </c>
      <c r="H6" s="113" t="n"/>
      <c r="I6" s="324">
        <f>IFERROR(VLOOKUP(C6,parametros!$B:$F,5,0),"")</f>
        <v/>
      </c>
      <c r="J6" s="354">
        <f>IF(OR(L6="",F6=""),"",ROUND(L6*F6*IF(AND(UPPER(H6)="SIM",ISNUMBER(I6)),I6,1),2))</f>
        <v/>
      </c>
      <c r="K6" s="113" t="n"/>
      <c r="L6" s="90">
        <f>IF(OR(A6="",C6="",D6="",NOT(ISNUMBER(E6))),"",IF(LEFT(UPPER(D6),3)="ACR",ROUND(ABS(E6),2),IF(OR(LEFT(UPPER(D6),4)="SUPR",LEFT(UPPER(D6),4)="DECR"),ROUND(-ABS(E6),2),"")))</f>
        <v/>
      </c>
      <c r="M6" s="266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ht="45" customHeight="1" s="289">
      <c r="A7" s="113" t="n"/>
      <c r="B7" s="206" t="n"/>
      <c r="C7" s="104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 t="n"/>
      <c r="E7" s="114" t="n"/>
      <c r="F7" s="354">
        <f>IF(A7="","",IFERROR(VLOOKUP(A7,itens_Remanesc!$A:$C,3,0),""))</f>
        <v/>
      </c>
      <c r="G7" s="354">
        <f>IF(OR(E7="",F7=""),"",ROUND(E7*F7,2))</f>
        <v/>
      </c>
      <c r="H7" s="113" t="n"/>
      <c r="I7" s="324">
        <f>IFERROR(VLOOKUP(C7,parametros!$B:$F,5,0),"")</f>
        <v/>
      </c>
      <c r="J7" s="354">
        <f>IF(OR(L7="",F7=""),"",ROUND(L7*F7*IF(AND(UPPER(H7)="SIM",ISNUMBER(I7)),I7,1),2))</f>
        <v/>
      </c>
      <c r="K7" s="113" t="n"/>
      <c r="L7" s="90">
        <f>IF(OR(A7="",C7="",D7="",NOT(ISNUMBER(E7))),"",IF(LEFT(UPPER(D7),3)="ACR",ROUND(ABS(E7),2),IF(OR(LEFT(UPPER(D7),4)="SUPR",LEFT(UPPER(D7),4)="DECR"),ROUND(-ABS(E7),2),"")))</f>
        <v/>
      </c>
      <c r="M7" s="266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ht="45" customHeight="1" s="289">
      <c r="A8" s="113" t="n"/>
      <c r="B8" s="206" t="n"/>
      <c r="C8" s="104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 t="n"/>
      <c r="E8" s="114" t="n"/>
      <c r="F8" s="354">
        <f>IF(A8="","",IFERROR(VLOOKUP(A8,itens_Remanesc!$A:$C,3,0),""))</f>
        <v/>
      </c>
      <c r="G8" s="354">
        <f>IF(OR(E8="",F8=""),"",ROUND(E8*F8,2))</f>
        <v/>
      </c>
      <c r="H8" s="113" t="n"/>
      <c r="I8" s="324">
        <f>IFERROR(VLOOKUP(C8,parametros!$B:$F,5,0),"")</f>
        <v/>
      </c>
      <c r="J8" s="354">
        <f>IF(OR(L8="",F8=""),"",ROUND(L8*F8*IF(AND(UPPER(H8)="SIM",ISNUMBER(I8)),I8,1),2))</f>
        <v/>
      </c>
      <c r="K8" s="113" t="n"/>
      <c r="L8" s="90">
        <f>IF(OR(A8="",C8="",D8="",NOT(ISNUMBER(E8))),"",IF(LEFT(UPPER(D8),3)="ACR",ROUND(ABS(E8),2),IF(OR(LEFT(UPPER(D8),4)="SUPR",LEFT(UPPER(D8),4)="DECR"),ROUND(-ABS(E8),2),"")))</f>
        <v/>
      </c>
      <c r="M8" s="266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ht="45" customHeight="1" s="289">
      <c r="A9" s="113" t="n"/>
      <c r="B9" s="206" t="n"/>
      <c r="C9" s="104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 t="n"/>
      <c r="E9" s="114" t="n"/>
      <c r="F9" s="354">
        <f>IF(A9="","",IFERROR(VLOOKUP(A9,itens_Remanesc!$A:$C,3,0),""))</f>
        <v/>
      </c>
      <c r="G9" s="354">
        <f>IF(OR(E9="",F9=""),"",ROUND(E9*F9,2))</f>
        <v/>
      </c>
      <c r="H9" s="113" t="n"/>
      <c r="I9" s="324">
        <f>IFERROR(VLOOKUP(C9,parametros!$B:$F,5,0),"")</f>
        <v/>
      </c>
      <c r="J9" s="354">
        <f>IF(OR(L9="",F9=""),"",ROUND(L9*F9*IF(AND(UPPER(H9)="SIM",ISNUMBER(I9)),I9,1),2))</f>
        <v/>
      </c>
      <c r="K9" s="113" t="n"/>
      <c r="L9" s="90">
        <f>IF(OR(A9="",C9="",D9="",NOT(ISNUMBER(E9))),"",IF(LEFT(UPPER(D9),3)="ACR",ROUND(ABS(E9),2),IF(OR(LEFT(UPPER(D9),4)="SUPR",LEFT(UPPER(D9),4)="DECR"),ROUND(-ABS(E9),2),"")))</f>
        <v/>
      </c>
      <c r="M9" s="266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ht="45" customHeight="1" s="289">
      <c r="A10" s="113" t="n"/>
      <c r="B10" s="206" t="n"/>
      <c r="C10" s="104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 t="n"/>
      <c r="E10" s="114" t="n"/>
      <c r="F10" s="354">
        <f>IF(A10="","",IFERROR(VLOOKUP(A10,itens_Remanesc!$A:$C,3,0),""))</f>
        <v/>
      </c>
      <c r="G10" s="354">
        <f>IF(OR(E10="",F10=""),"",ROUND(E10*F10,2))</f>
        <v/>
      </c>
      <c r="H10" s="113" t="n"/>
      <c r="I10" s="324">
        <f>IFERROR(VLOOKUP(C10,parametros!$B:$F,5,0),"")</f>
        <v/>
      </c>
      <c r="J10" s="354">
        <f>IF(OR(L10="",F10=""),"",ROUND(L10*F10*IF(AND(UPPER(H10)="SIM",ISNUMBER(I10)),I10,1),2))</f>
        <v/>
      </c>
      <c r="K10" s="113" t="n"/>
      <c r="L10" s="90">
        <f>IF(OR(A10="",C10="",D10="",NOT(ISNUMBER(E10))),"",IF(LEFT(UPPER(D10),3)="ACR",ROUND(ABS(E10),2),IF(OR(LEFT(UPPER(D10),4)="SUPR",LEFT(UPPER(D10),4)="DECR"),ROUND(-ABS(E10),2),"")))</f>
        <v/>
      </c>
      <c r="M10" s="266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ht="45" customHeight="1" s="289">
      <c r="A11" s="113" t="n"/>
      <c r="B11" s="206" t="n"/>
      <c r="C11" s="104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 t="n"/>
      <c r="E11" s="114" t="n"/>
      <c r="F11" s="354">
        <f>IF(A11="","",IFERROR(VLOOKUP(A11,itens_Remanesc!$A:$C,3,0),""))</f>
        <v/>
      </c>
      <c r="G11" s="354">
        <f>IF(OR(E11="",F11=""),"",ROUND(E11*F11,2))</f>
        <v/>
      </c>
      <c r="H11" s="113" t="n"/>
      <c r="I11" s="324">
        <f>IFERROR(VLOOKUP(C11,parametros!$B:$F,5,0),"")</f>
        <v/>
      </c>
      <c r="J11" s="354">
        <f>IF(OR(L11="",F11=""),"",ROUND(L11*F11*IF(AND(UPPER(H11)="SIM",ISNUMBER(I11)),I11,1),2))</f>
        <v/>
      </c>
      <c r="K11" s="113" t="n"/>
      <c r="L11" s="90">
        <f>IF(OR(A11="",C11="",D11="",NOT(ISNUMBER(E11))),"",IF(LEFT(UPPER(D11),3)="ACR",ROUND(ABS(E11),2),IF(OR(LEFT(UPPER(D11),4)="SUPR",LEFT(UPPER(D11),4)="DECR"),ROUND(-ABS(E11),2),"")))</f>
        <v/>
      </c>
      <c r="M11" s="266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ht="45" customHeight="1" s="289">
      <c r="A12" s="113" t="n"/>
      <c r="B12" s="206" t="n"/>
      <c r="C12" s="104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 t="n"/>
      <c r="E12" s="114" t="n"/>
      <c r="F12" s="354">
        <f>IF(A12="","",IFERROR(VLOOKUP(A12,itens_Remanesc!$A:$C,3,0),""))</f>
        <v/>
      </c>
      <c r="G12" s="354">
        <f>IF(OR(E12="",F12=""),"",ROUND(E12*F12,2))</f>
        <v/>
      </c>
      <c r="H12" s="113" t="n"/>
      <c r="I12" s="324">
        <f>IFERROR(VLOOKUP(C12,parametros!$B:$F,5,0),"")</f>
        <v/>
      </c>
      <c r="J12" s="354">
        <f>IF(OR(L12="",F12=""),"",ROUND(L12*F12*IF(AND(UPPER(H12)="SIM",ISNUMBER(I12)),I12,1),2))</f>
        <v/>
      </c>
      <c r="K12" s="113" t="n"/>
      <c r="L12" s="90">
        <f>IF(OR(A12="",C12="",D12="",NOT(ISNUMBER(E12))),"",IF(LEFT(UPPER(D12),3)="ACR",ROUND(ABS(E12),2),IF(OR(LEFT(UPPER(D12),4)="SUPR",LEFT(UPPER(D12),4)="DECR"),ROUND(-ABS(E12),2),"")))</f>
        <v/>
      </c>
      <c r="M12" s="266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ht="45" customHeight="1" s="289">
      <c r="A13" s="113" t="n"/>
      <c r="B13" s="206" t="n"/>
      <c r="C13" s="104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 t="n"/>
      <c r="E13" s="114" t="n"/>
      <c r="F13" s="354">
        <f>IF(A13="","",IFERROR(VLOOKUP(A13,itens_Remanesc!$A:$C,3,0),""))</f>
        <v/>
      </c>
      <c r="G13" s="354">
        <f>IF(OR(E13="",F13=""),"",ROUND(E13*F13,2))</f>
        <v/>
      </c>
      <c r="H13" s="113" t="n"/>
      <c r="I13" s="324">
        <f>IFERROR(VLOOKUP(C13,parametros!$B:$F,5,0),"")</f>
        <v/>
      </c>
      <c r="J13" s="354">
        <f>IF(OR(L13="",F13=""),"",ROUND(L13*F13*IF(AND(UPPER(H13)="SIM",ISNUMBER(I13)),I13,1),2))</f>
        <v/>
      </c>
      <c r="K13" s="113" t="n"/>
      <c r="L13" s="90">
        <f>IF(OR(A13="",C13="",D13="",NOT(ISNUMBER(E13))),"",IF(LEFT(UPPER(D13),3)="ACR",ROUND(ABS(E13),2),IF(OR(LEFT(UPPER(D13),4)="SUPR",LEFT(UPPER(D13),4)="DECR"),ROUND(-ABS(E13),2),"")))</f>
        <v/>
      </c>
      <c r="M13" s="266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ht="45" customHeight="1" s="289">
      <c r="A14" s="113" t="n"/>
      <c r="B14" s="206" t="n"/>
      <c r="C14" s="104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 t="n"/>
      <c r="E14" s="114" t="n"/>
      <c r="F14" s="354">
        <f>IF(A14="","",IFERROR(VLOOKUP(A14,itens_Remanesc!$A:$C,3,0),""))</f>
        <v/>
      </c>
      <c r="G14" s="354">
        <f>IF(OR(E14="",F14=""),"",ROUND(E14*F14,2))</f>
        <v/>
      </c>
      <c r="H14" s="113" t="n"/>
      <c r="I14" s="324">
        <f>IFERROR(VLOOKUP(C14,parametros!$B:$F,5,0),"")</f>
        <v/>
      </c>
      <c r="J14" s="354">
        <f>IF(OR(L14="",F14=""),"",ROUND(L14*F14*IF(AND(UPPER(H14)="SIM",ISNUMBER(I14)),I14,1),2))</f>
        <v/>
      </c>
      <c r="K14" s="113" t="n"/>
      <c r="L14" s="90">
        <f>IF(OR(A14="",C14="",D14="",NOT(ISNUMBER(E14))),"",IF(LEFT(UPPER(D14),3)="ACR",ROUND(ABS(E14),2),IF(OR(LEFT(UPPER(D14),4)="SUPR",LEFT(UPPER(D14),4)="DECR"),ROUND(-ABS(E14),2),"")))</f>
        <v/>
      </c>
      <c r="M14" s="266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ht="45" customHeight="1" s="289">
      <c r="A15" s="113" t="n"/>
      <c r="B15" s="206" t="n"/>
      <c r="C15" s="104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 t="n"/>
      <c r="E15" s="114" t="n"/>
      <c r="F15" s="354">
        <f>IF(A15="","",IFERROR(VLOOKUP(A15,itens_Remanesc!$A:$C,3,0),""))</f>
        <v/>
      </c>
      <c r="G15" s="354">
        <f>IF(OR(E15="",F15=""),"",ROUND(E15*F15,2))</f>
        <v/>
      </c>
      <c r="H15" s="113" t="n"/>
      <c r="I15" s="324">
        <f>IFERROR(VLOOKUP(C15,parametros!$B:$F,5,0),"")</f>
        <v/>
      </c>
      <c r="J15" s="354">
        <f>IF(OR(L15="",F15=""),"",ROUND(L15*F15*IF(AND(UPPER(H15)="SIM",ISNUMBER(I15)),I15,1),2))</f>
        <v/>
      </c>
      <c r="K15" s="113" t="n"/>
      <c r="L15" s="90">
        <f>IF(OR(A15="",C15="",D15="",NOT(ISNUMBER(E15))),"",IF(LEFT(UPPER(D15),3)="ACR",ROUND(ABS(E15),2),IF(OR(LEFT(UPPER(D15),4)="SUPR",LEFT(UPPER(D15),4)="DECR"),ROUND(-ABS(E15),2),"")))</f>
        <v/>
      </c>
      <c r="M15" s="266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ht="45" customHeight="1" s="289">
      <c r="A16" s="113" t="n"/>
      <c r="B16" s="206" t="n"/>
      <c r="C16" s="104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 t="n"/>
      <c r="E16" s="114" t="n"/>
      <c r="F16" s="354">
        <f>IF(A16="","",IFERROR(VLOOKUP(A16,itens_Remanesc!$A:$C,3,0),""))</f>
        <v/>
      </c>
      <c r="G16" s="354">
        <f>IF(OR(E16="",F16=""),"",ROUND(E16*F16,2))</f>
        <v/>
      </c>
      <c r="H16" s="113" t="n"/>
      <c r="I16" s="324">
        <f>IFERROR(VLOOKUP(C16,parametros!$B:$F,5,0),"")</f>
        <v/>
      </c>
      <c r="J16" s="354">
        <f>IF(OR(L16="",F16=""),"",ROUND(L16*F16*IF(AND(UPPER(H16)="SIM",ISNUMBER(I16)),I16,1),2))</f>
        <v/>
      </c>
      <c r="K16" s="113" t="n"/>
      <c r="L16" s="90">
        <f>IF(OR(A16="",C16="",D16="",NOT(ISNUMBER(E16))),"",IF(LEFT(UPPER(D16),3)="ACR",ROUND(ABS(E16),2),IF(OR(LEFT(UPPER(D16),4)="SUPR",LEFT(UPPER(D16),4)="DECR"),ROUND(-ABS(E16),2),"")))</f>
        <v/>
      </c>
      <c r="M16" s="266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ht="45" customHeight="1" s="289">
      <c r="A17" s="113" t="n"/>
      <c r="B17" s="206" t="n"/>
      <c r="C17" s="104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 t="n"/>
      <c r="E17" s="114" t="n"/>
      <c r="F17" s="354">
        <f>IF(A17="","",IFERROR(VLOOKUP(A17,itens_Remanesc!$A:$C,3,0),""))</f>
        <v/>
      </c>
      <c r="G17" s="354">
        <f>IF(OR(E17="",F17=""),"",ROUND(E17*F17,2))</f>
        <v/>
      </c>
      <c r="H17" s="113" t="n"/>
      <c r="I17" s="324">
        <f>IFERROR(VLOOKUP(C17,parametros!$B:$F,5,0),"")</f>
        <v/>
      </c>
      <c r="J17" s="354">
        <f>IF(OR(L17="",F17=""),"",ROUND(L17*F17*IF(AND(UPPER(H17)="SIM",ISNUMBER(I17)),I17,1),2))</f>
        <v/>
      </c>
      <c r="K17" s="113" t="n"/>
      <c r="L17" s="90">
        <f>IF(OR(A17="",C17="",D17="",NOT(ISNUMBER(E17))),"",IF(LEFT(UPPER(D17),3)="ACR",ROUND(ABS(E17),2),IF(OR(LEFT(UPPER(D17),4)="SUPR",LEFT(UPPER(D17),4)="DECR"),ROUND(-ABS(E17),2),"")))</f>
        <v/>
      </c>
      <c r="M17" s="266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ht="45" customHeight="1" s="289">
      <c r="A18" s="113" t="n"/>
      <c r="B18" s="206" t="n"/>
      <c r="C18" s="104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 t="n"/>
      <c r="E18" s="114" t="n"/>
      <c r="F18" s="354">
        <f>IF(A18="","",IFERROR(VLOOKUP(A18,itens_Remanesc!$A:$C,3,0),""))</f>
        <v/>
      </c>
      <c r="G18" s="354">
        <f>IF(OR(E18="",F18=""),"",ROUND(E18*F18,2))</f>
        <v/>
      </c>
      <c r="H18" s="113" t="n"/>
      <c r="I18" s="324">
        <f>IFERROR(VLOOKUP(C18,parametros!$B:$F,5,0),"")</f>
        <v/>
      </c>
      <c r="J18" s="354">
        <f>IF(OR(L18="",F18=""),"",ROUND(L18*F18*IF(AND(UPPER(H18)="SIM",ISNUMBER(I18)),I18,1),2))</f>
        <v/>
      </c>
      <c r="K18" s="113" t="n"/>
      <c r="L18" s="90">
        <f>IF(OR(A18="",C18="",D18="",NOT(ISNUMBER(E18))),"",IF(LEFT(UPPER(D18),3)="ACR",ROUND(ABS(E18),2),IF(OR(LEFT(UPPER(D18),4)="SUPR",LEFT(UPPER(D18),4)="DECR"),ROUND(-ABS(E18),2),"")))</f>
        <v/>
      </c>
      <c r="M18" s="266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ht="45" customHeight="1" s="289">
      <c r="A19" s="113" t="n"/>
      <c r="B19" s="206" t="n"/>
      <c r="C19" s="104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 t="n"/>
      <c r="E19" s="114" t="n"/>
      <c r="F19" s="354">
        <f>IF(A19="","",IFERROR(VLOOKUP(A19,itens_Remanesc!$A:$C,3,0),""))</f>
        <v/>
      </c>
      <c r="G19" s="354">
        <f>IF(OR(E19="",F19=""),"",ROUND(E19*F19,2))</f>
        <v/>
      </c>
      <c r="H19" s="113" t="n"/>
      <c r="I19" s="324">
        <f>IFERROR(VLOOKUP(C19,parametros!$B:$F,5,0),"")</f>
        <v/>
      </c>
      <c r="J19" s="354">
        <f>IF(OR(L19="",F19=""),"",ROUND(L19*F19*IF(AND(UPPER(H19)="SIM",ISNUMBER(I19)),I19,1),2))</f>
        <v/>
      </c>
      <c r="K19" s="113" t="n"/>
      <c r="L19" s="90">
        <f>IF(OR(A19="",C19="",D19="",NOT(ISNUMBER(E19))),"",IF(LEFT(UPPER(D19),3)="ACR",ROUND(ABS(E19),2),IF(OR(LEFT(UPPER(D19),4)="SUPR",LEFT(UPPER(D19),4)="DECR"),ROUND(-ABS(E19),2),"")))</f>
        <v/>
      </c>
      <c r="M19" s="266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ht="45" customHeight="1" s="289">
      <c r="A20" s="113" t="n"/>
      <c r="B20" s="206" t="n"/>
      <c r="C20" s="104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 t="n"/>
      <c r="E20" s="114" t="n"/>
      <c r="F20" s="354">
        <f>IF(A20="","",IFERROR(VLOOKUP(A20,itens_Remanesc!$A:$C,3,0),""))</f>
        <v/>
      </c>
      <c r="G20" s="354">
        <f>IF(OR(E20="",F20=""),"",ROUND(E20*F20,2))</f>
        <v/>
      </c>
      <c r="H20" s="113" t="n"/>
      <c r="I20" s="324">
        <f>IFERROR(VLOOKUP(C20,parametros!$B:$F,5,0),"")</f>
        <v/>
      </c>
      <c r="J20" s="354">
        <f>IF(OR(L20="",F20=""),"",ROUND(L20*F20*IF(AND(UPPER(H20)="SIM",ISNUMBER(I20)),I20,1),2))</f>
        <v/>
      </c>
      <c r="K20" s="113" t="n"/>
      <c r="L20" s="90">
        <f>IF(OR(A20="",C20="",D20="",NOT(ISNUMBER(E20))),"",IF(LEFT(UPPER(D20),3)="ACR",ROUND(ABS(E20),2),IF(OR(LEFT(UPPER(D20),4)="SUPR",LEFT(UPPER(D20),4)="DECR"),ROUND(-ABS(E20),2),"")))</f>
        <v/>
      </c>
      <c r="M20" s="266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ht="45" customHeight="1" s="289">
      <c r="A21" s="113" t="n"/>
      <c r="B21" s="206" t="n"/>
      <c r="C21" s="104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 t="n"/>
      <c r="E21" s="114" t="n"/>
      <c r="F21" s="354">
        <f>IF(A21="","",IFERROR(VLOOKUP(A21,itens_Remanesc!$A:$C,3,0),""))</f>
        <v/>
      </c>
      <c r="G21" s="354">
        <f>IF(OR(E21="",F21=""),"",ROUND(E21*F21,2))</f>
        <v/>
      </c>
      <c r="H21" s="113" t="n"/>
      <c r="I21" s="324">
        <f>IFERROR(VLOOKUP(C21,parametros!$B:$F,5,0),"")</f>
        <v/>
      </c>
      <c r="J21" s="354">
        <f>IF(OR(L21="",F21=""),"",ROUND(L21*F21*IF(AND(UPPER(H21)="SIM",ISNUMBER(I21)),I21,1),2))</f>
        <v/>
      </c>
      <c r="K21" s="113" t="n"/>
      <c r="L21" s="90">
        <f>IF(OR(A21="",C21="",D21="",NOT(ISNUMBER(E21))),"",IF(LEFT(UPPER(D21),3)="ACR",ROUND(ABS(E21),2),IF(OR(LEFT(UPPER(D21),4)="SUPR",LEFT(UPPER(D21),4)="DECR"),ROUND(-ABS(E21),2),"")))</f>
        <v/>
      </c>
      <c r="M21" s="266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ht="45" customHeight="1" s="289">
      <c r="A22" s="113" t="n"/>
      <c r="B22" s="206" t="n"/>
      <c r="C22" s="104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 t="n"/>
      <c r="E22" s="114" t="n"/>
      <c r="F22" s="354">
        <f>IF(A22="","",IFERROR(VLOOKUP(A22,itens_Remanesc!$A:$C,3,0),""))</f>
        <v/>
      </c>
      <c r="G22" s="354">
        <f>IF(OR(E22="",F22=""),"",ROUND(E22*F22,2))</f>
        <v/>
      </c>
      <c r="H22" s="113" t="n"/>
      <c r="I22" s="324">
        <f>IFERROR(VLOOKUP(C22,parametros!$B:$F,5,0),"")</f>
        <v/>
      </c>
      <c r="J22" s="354">
        <f>IF(OR(L22="",F22=""),"",ROUND(L22*F22*IF(AND(UPPER(H22)="SIM",ISNUMBER(I22)),I22,1),2))</f>
        <v/>
      </c>
      <c r="K22" s="113" t="n"/>
      <c r="L22" s="90">
        <f>IF(OR(A22="",C22="",D22="",NOT(ISNUMBER(E22))),"",IF(LEFT(UPPER(D22),3)="ACR",ROUND(ABS(E22),2),IF(OR(LEFT(UPPER(D22),4)="SUPR",LEFT(UPPER(D22),4)="DECR"),ROUND(-ABS(E22),2),"")))</f>
        <v/>
      </c>
      <c r="M22" s="266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ht="45" customHeight="1" s="289">
      <c r="A23" s="113" t="n"/>
      <c r="B23" s="206" t="n"/>
      <c r="C23" s="104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 t="n"/>
      <c r="E23" s="114" t="n"/>
      <c r="F23" s="354">
        <f>IF(A23="","",IFERROR(VLOOKUP(A23,itens_Remanesc!$A:$C,3,0),""))</f>
        <v/>
      </c>
      <c r="G23" s="354">
        <f>IF(OR(E23="",F23=""),"",ROUND(E23*F23,2))</f>
        <v/>
      </c>
      <c r="H23" s="113" t="n"/>
      <c r="I23" s="324">
        <f>IFERROR(VLOOKUP(C23,parametros!$B:$F,5,0),"")</f>
        <v/>
      </c>
      <c r="J23" s="354">
        <f>IF(OR(L23="",F23=""),"",ROUND(L23*F23*IF(AND(UPPER(H23)="SIM",ISNUMBER(I23)),I23,1),2))</f>
        <v/>
      </c>
      <c r="K23" s="113" t="n"/>
      <c r="L23" s="90">
        <f>IF(OR(A23="",C23="",D23="",NOT(ISNUMBER(E23))),"",IF(LEFT(UPPER(D23),3)="ACR",ROUND(ABS(E23),2),IF(OR(LEFT(UPPER(D23),4)="SUPR",LEFT(UPPER(D23),4)="DECR"),ROUND(-ABS(E23),2),"")))</f>
        <v/>
      </c>
      <c r="M23" s="266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ht="45" customHeight="1" s="289">
      <c r="A24" s="113" t="n"/>
      <c r="B24" s="206" t="n"/>
      <c r="C24" s="104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 t="n"/>
      <c r="E24" s="114" t="n"/>
      <c r="F24" s="354">
        <f>IF(A24="","",IFERROR(VLOOKUP(A24,itens_Remanesc!$A:$C,3,0),""))</f>
        <v/>
      </c>
      <c r="G24" s="354">
        <f>IF(OR(E24="",F24=""),"",ROUND(E24*F24,2))</f>
        <v/>
      </c>
      <c r="H24" s="113" t="n"/>
      <c r="I24" s="324">
        <f>IFERROR(VLOOKUP(C24,parametros!$B:$F,5,0),"")</f>
        <v/>
      </c>
      <c r="J24" s="354">
        <f>IF(OR(L24="",F24=""),"",ROUND(L24*F24*IF(AND(UPPER(H24)="SIM",ISNUMBER(I24)),I24,1),2))</f>
        <v/>
      </c>
      <c r="K24" s="113" t="n"/>
      <c r="L24" s="90">
        <f>IF(OR(A24="",C24="",D24="",NOT(ISNUMBER(E24))),"",IF(LEFT(UPPER(D24),3)="ACR",ROUND(ABS(E24),2),IF(OR(LEFT(UPPER(D24),4)="SUPR",LEFT(UPPER(D24),4)="DECR"),ROUND(-ABS(E24),2),"")))</f>
        <v/>
      </c>
      <c r="M24" s="266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ht="45" customHeight="1" s="289">
      <c r="A25" s="113" t="n"/>
      <c r="B25" s="206" t="n"/>
      <c r="C25" s="104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 t="n"/>
      <c r="E25" s="114" t="n"/>
      <c r="F25" s="354">
        <f>IF(A25="","",IFERROR(VLOOKUP(A25,itens_Remanesc!$A:$C,3,0),""))</f>
        <v/>
      </c>
      <c r="G25" s="354">
        <f>IF(OR(E25="",F25=""),"",ROUND(E25*F25,2))</f>
        <v/>
      </c>
      <c r="H25" s="113" t="n"/>
      <c r="I25" s="324">
        <f>IFERROR(VLOOKUP(C25,parametros!$B:$F,5,0),"")</f>
        <v/>
      </c>
      <c r="J25" s="354">
        <f>IF(OR(L25="",F25=""),"",ROUND(L25*F25*IF(AND(UPPER(H25)="SIM",ISNUMBER(I25)),I25,1),2))</f>
        <v/>
      </c>
      <c r="K25" s="113" t="n"/>
      <c r="L25" s="90">
        <f>IF(OR(A25="",C25="",D25="",NOT(ISNUMBER(E25))),"",IF(LEFT(UPPER(D25),3)="ACR",ROUND(ABS(E25),2),IF(OR(LEFT(UPPER(D25),4)="SUPR",LEFT(UPPER(D25),4)="DECR"),ROUND(-ABS(E25),2),"")))</f>
        <v/>
      </c>
      <c r="M25" s="266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ht="45" customHeight="1" s="289">
      <c r="A26" s="113" t="n"/>
      <c r="B26" s="206" t="n"/>
      <c r="C26" s="104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 t="n"/>
      <c r="E26" s="114" t="n"/>
      <c r="F26" s="354">
        <f>IF(A26="","",IFERROR(VLOOKUP(A26,itens_Remanesc!$A:$C,3,0),""))</f>
        <v/>
      </c>
      <c r="G26" s="354">
        <f>IF(OR(E26="",F26=""),"",ROUND(E26*F26,2))</f>
        <v/>
      </c>
      <c r="H26" s="113" t="n"/>
      <c r="I26" s="324">
        <f>IFERROR(VLOOKUP(C26,parametros!$B:$F,5,0),"")</f>
        <v/>
      </c>
      <c r="J26" s="354">
        <f>IF(OR(L26="",F26=""),"",ROUND(L26*F26*IF(AND(UPPER(H26)="SIM",ISNUMBER(I26)),I26,1),2))</f>
        <v/>
      </c>
      <c r="K26" s="113" t="n"/>
      <c r="L26" s="90">
        <f>IF(OR(A26="",C26="",D26="",NOT(ISNUMBER(E26))),"",IF(LEFT(UPPER(D26),3)="ACR",ROUND(ABS(E26),2),IF(OR(LEFT(UPPER(D26),4)="SUPR",LEFT(UPPER(D26),4)="DECR"),ROUND(-ABS(E26),2),"")))</f>
        <v/>
      </c>
      <c r="M26" s="266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ht="45" customHeight="1" s="289">
      <c r="A27" s="113" t="n"/>
      <c r="B27" s="206" t="n"/>
      <c r="C27" s="104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 t="n"/>
      <c r="E27" s="114" t="n"/>
      <c r="F27" s="354">
        <f>IF(A27="","",IFERROR(VLOOKUP(A27,itens_Remanesc!$A:$C,3,0),""))</f>
        <v/>
      </c>
      <c r="G27" s="354">
        <f>IF(OR(E27="",F27=""),"",ROUND(E27*F27,2))</f>
        <v/>
      </c>
      <c r="H27" s="113" t="n"/>
      <c r="I27" s="324">
        <f>IFERROR(VLOOKUP(C27,parametros!$B:$F,5,0),"")</f>
        <v/>
      </c>
      <c r="J27" s="354">
        <f>IF(OR(L27="",F27=""),"",ROUND(L27*F27*IF(AND(UPPER(H27)="SIM",ISNUMBER(I27)),I27,1),2))</f>
        <v/>
      </c>
      <c r="K27" s="113" t="n"/>
      <c r="L27" s="90">
        <f>IF(OR(A27="",C27="",D27="",NOT(ISNUMBER(E27))),"",IF(LEFT(UPPER(D27),3)="ACR",ROUND(ABS(E27),2),IF(OR(LEFT(UPPER(D27),4)="SUPR",LEFT(UPPER(D27),4)="DECR"),ROUND(-ABS(E27),2),"")))</f>
        <v/>
      </c>
      <c r="M27" s="266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ht="45" customHeight="1" s="289">
      <c r="A28" s="113" t="n"/>
      <c r="B28" s="206" t="n"/>
      <c r="C28" s="104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 t="n"/>
      <c r="E28" s="114" t="n"/>
      <c r="F28" s="354">
        <f>IF(A28="","",IFERROR(VLOOKUP(A28,itens_Remanesc!$A:$C,3,0),""))</f>
        <v/>
      </c>
      <c r="G28" s="354">
        <f>IF(OR(E28="",F28=""),"",ROUND(E28*F28,2))</f>
        <v/>
      </c>
      <c r="H28" s="113" t="n"/>
      <c r="I28" s="324">
        <f>IFERROR(VLOOKUP(C28,parametros!$B:$F,5,0),"")</f>
        <v/>
      </c>
      <c r="J28" s="354">
        <f>IF(OR(L28="",F28=""),"",ROUND(L28*F28*IF(AND(UPPER(H28)="SIM",ISNUMBER(I28)),I28,1),2))</f>
        <v/>
      </c>
      <c r="K28" s="113" t="n"/>
      <c r="L28" s="90">
        <f>IF(OR(A28="",C28="",D28="",NOT(ISNUMBER(E28))),"",IF(LEFT(UPPER(D28),3)="ACR",ROUND(ABS(E28),2),IF(OR(LEFT(UPPER(D28),4)="SUPR",LEFT(UPPER(D28),4)="DECR"),ROUND(-ABS(E28),2),"")))</f>
        <v/>
      </c>
      <c r="M28" s="266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ht="45" customHeight="1" s="289">
      <c r="A29" s="113" t="n"/>
      <c r="B29" s="206" t="n"/>
      <c r="C29" s="104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 t="n"/>
      <c r="E29" s="114" t="n"/>
      <c r="F29" s="354">
        <f>IF(A29="","",IFERROR(VLOOKUP(A29,itens_Remanesc!$A:$C,3,0),""))</f>
        <v/>
      </c>
      <c r="G29" s="354">
        <f>IF(OR(E29="",F29=""),"",ROUND(E29*F29,2))</f>
        <v/>
      </c>
      <c r="H29" s="113" t="n"/>
      <c r="I29" s="324">
        <f>IFERROR(VLOOKUP(C29,parametros!$B:$F,5,0),"")</f>
        <v/>
      </c>
      <c r="J29" s="354">
        <f>IF(OR(L29="",F29=""),"",ROUND(L29*F29*IF(AND(UPPER(H29)="SIM",ISNUMBER(I29)),I29,1),2))</f>
        <v/>
      </c>
      <c r="K29" s="113" t="n"/>
      <c r="L29" s="90">
        <f>IF(OR(A29="",C29="",D29="",NOT(ISNUMBER(E29))),"",IF(LEFT(UPPER(D29),3)="ACR",ROUND(ABS(E29),2),IF(OR(LEFT(UPPER(D29),4)="SUPR",LEFT(UPPER(D29),4)="DECR"),ROUND(-ABS(E29),2),"")))</f>
        <v/>
      </c>
      <c r="M29" s="266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ht="45" customHeight="1" s="289">
      <c r="A30" s="113" t="n"/>
      <c r="B30" s="206" t="n"/>
      <c r="C30" s="104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 t="n"/>
      <c r="E30" s="114" t="n"/>
      <c r="F30" s="354">
        <f>IF(A30="","",IFERROR(VLOOKUP(A30,itens_Remanesc!$A:$C,3,0),""))</f>
        <v/>
      </c>
      <c r="G30" s="354">
        <f>IF(OR(E30="",F30=""),"",ROUND(E30*F30,2))</f>
        <v/>
      </c>
      <c r="H30" s="113" t="n"/>
      <c r="I30" s="324">
        <f>IFERROR(VLOOKUP(C30,parametros!$B:$F,5,0),"")</f>
        <v/>
      </c>
      <c r="J30" s="354">
        <f>IF(OR(L30="",F30=""),"",ROUND(L30*F30*IF(AND(UPPER(H30)="SIM",ISNUMBER(I30)),I30,1),2))</f>
        <v/>
      </c>
      <c r="K30" s="113" t="n"/>
      <c r="L30" s="90">
        <f>IF(OR(A30="",C30="",D30="",NOT(ISNUMBER(E30))),"",IF(LEFT(UPPER(D30),3)="ACR",ROUND(ABS(E30),2),IF(OR(LEFT(UPPER(D30),4)="SUPR",LEFT(UPPER(D30),4)="DECR"),ROUND(-ABS(E30),2),"")))</f>
        <v/>
      </c>
      <c r="M30" s="266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ht="45" customHeight="1" s="289">
      <c r="A31" s="113" t="n"/>
      <c r="B31" s="206" t="n"/>
      <c r="C31" s="104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 t="n"/>
      <c r="E31" s="114" t="n"/>
      <c r="F31" s="354">
        <f>IF(A31="","",IFERROR(VLOOKUP(A31,itens_Remanesc!$A:$C,3,0),""))</f>
        <v/>
      </c>
      <c r="G31" s="354">
        <f>IF(OR(E31="",F31=""),"",ROUND(E31*F31,2))</f>
        <v/>
      </c>
      <c r="H31" s="113" t="n"/>
      <c r="I31" s="324">
        <f>IFERROR(VLOOKUP(C31,parametros!$B:$F,5,0),"")</f>
        <v/>
      </c>
      <c r="J31" s="354">
        <f>IF(OR(L31="",F31=""),"",ROUND(L31*F31*IF(AND(UPPER(H31)="SIM",ISNUMBER(I31)),I31,1),2))</f>
        <v/>
      </c>
      <c r="K31" s="113" t="n"/>
      <c r="L31" s="90">
        <f>IF(OR(A31="",C31="",D31="",NOT(ISNUMBER(E31))),"",IF(LEFT(UPPER(D31),3)="ACR",ROUND(ABS(E31),2),IF(OR(LEFT(UPPER(D31),4)="SUPR",LEFT(UPPER(D31),4)="DECR"),ROUND(-ABS(E31),2),"")))</f>
        <v/>
      </c>
      <c r="M31" s="266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ht="45" customHeight="1" s="289">
      <c r="A32" s="113" t="n"/>
      <c r="B32" s="206" t="n"/>
      <c r="C32" s="104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 t="n"/>
      <c r="E32" s="114" t="n"/>
      <c r="F32" s="354">
        <f>IF(A32="","",IFERROR(VLOOKUP(A32,itens_Remanesc!$A:$C,3,0),""))</f>
        <v/>
      </c>
      <c r="G32" s="354">
        <f>IF(OR(E32="",F32=""),"",ROUND(E32*F32,2))</f>
        <v/>
      </c>
      <c r="H32" s="113" t="n"/>
      <c r="I32" s="324">
        <f>IFERROR(VLOOKUP(C32,parametros!$B:$F,5,0),"")</f>
        <v/>
      </c>
      <c r="J32" s="354">
        <f>IF(OR(L32="",F32=""),"",ROUND(L32*F32*IF(AND(UPPER(H32)="SIM",ISNUMBER(I32)),I32,1),2))</f>
        <v/>
      </c>
      <c r="K32" s="113" t="n"/>
      <c r="L32" s="90">
        <f>IF(OR(A32="",C32="",D32="",NOT(ISNUMBER(E32))),"",IF(LEFT(UPPER(D32),3)="ACR",ROUND(ABS(E32),2),IF(OR(LEFT(UPPER(D32),4)="SUPR",LEFT(UPPER(D32),4)="DECR"),ROUND(-ABS(E32),2),"")))</f>
        <v/>
      </c>
      <c r="M32" s="266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ht="45" customHeight="1" s="289">
      <c r="A33" s="113" t="n"/>
      <c r="B33" s="206" t="n"/>
      <c r="C33" s="104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 t="n"/>
      <c r="E33" s="114" t="n"/>
      <c r="F33" s="354">
        <f>IF(A33="","",IFERROR(VLOOKUP(A33,itens_Remanesc!$A:$C,3,0),""))</f>
        <v/>
      </c>
      <c r="G33" s="354">
        <f>IF(OR(E33="",F33=""),"",ROUND(E33*F33,2))</f>
        <v/>
      </c>
      <c r="H33" s="113" t="n"/>
      <c r="I33" s="324">
        <f>IFERROR(VLOOKUP(C33,parametros!$B:$F,5,0),"")</f>
        <v/>
      </c>
      <c r="J33" s="354">
        <f>IF(OR(L33="",F33=""),"",ROUND(L33*F33*IF(AND(UPPER(H33)="SIM",ISNUMBER(I33)),I33,1),2))</f>
        <v/>
      </c>
      <c r="K33" s="113" t="n"/>
      <c r="L33" s="90">
        <f>IF(OR(A33="",C33="",D33="",NOT(ISNUMBER(E33))),"",IF(LEFT(UPPER(D33),3)="ACR",ROUND(ABS(E33),2),IF(OR(LEFT(UPPER(D33),4)="SUPR",LEFT(UPPER(D33),4)="DECR"),ROUND(-ABS(E33),2),"")))</f>
        <v/>
      </c>
      <c r="M33" s="266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ht="45" customHeight="1" s="289">
      <c r="A34" s="113" t="n"/>
      <c r="B34" s="206" t="n"/>
      <c r="C34" s="104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 t="n"/>
      <c r="E34" s="114" t="n"/>
      <c r="F34" s="354">
        <f>IF(A34="","",IFERROR(VLOOKUP(A34,itens_Remanesc!$A:$C,3,0),""))</f>
        <v/>
      </c>
      <c r="G34" s="354">
        <f>IF(OR(E34="",F34=""),"",ROUND(E34*F34,2))</f>
        <v/>
      </c>
      <c r="H34" s="113" t="n"/>
      <c r="I34" s="324">
        <f>IFERROR(VLOOKUP(C34,parametros!$B:$F,5,0),"")</f>
        <v/>
      </c>
      <c r="J34" s="354">
        <f>IF(OR(L34="",F34=""),"",ROUND(L34*F34*IF(AND(UPPER(H34)="SIM",ISNUMBER(I34)),I34,1),2))</f>
        <v/>
      </c>
      <c r="K34" s="113" t="n"/>
      <c r="L34" s="90">
        <f>IF(OR(A34="",C34="",D34="",NOT(ISNUMBER(E34))),"",IF(LEFT(UPPER(D34),3)="ACR",ROUND(ABS(E34),2),IF(OR(LEFT(UPPER(D34),4)="SUPR",LEFT(UPPER(D34),4)="DECR"),ROUND(-ABS(E34),2),"")))</f>
        <v/>
      </c>
      <c r="M34" s="266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ht="45" customHeight="1" s="289">
      <c r="A35" s="113" t="n"/>
      <c r="B35" s="206" t="n"/>
      <c r="C35" s="104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 t="n"/>
      <c r="E35" s="114" t="n"/>
      <c r="F35" s="354">
        <f>IF(A35="","",IFERROR(VLOOKUP(A35,itens_Remanesc!$A:$C,3,0),""))</f>
        <v/>
      </c>
      <c r="G35" s="354">
        <f>IF(OR(E35="",F35=""),"",ROUND(E35*F35,2))</f>
        <v/>
      </c>
      <c r="H35" s="113" t="n"/>
      <c r="I35" s="324">
        <f>IFERROR(VLOOKUP(C35,parametros!$B:$F,5,0),"")</f>
        <v/>
      </c>
      <c r="J35" s="354">
        <f>IF(OR(L35="",F35=""),"",ROUND(L35*F35*IF(AND(UPPER(H35)="SIM",ISNUMBER(I35)),I35,1),2))</f>
        <v/>
      </c>
      <c r="K35" s="113" t="n"/>
      <c r="L35" s="90">
        <f>IF(OR(A35="",C35="",D35="",NOT(ISNUMBER(E35))),"",IF(LEFT(UPPER(D35),3)="ACR",ROUND(ABS(E35),2),IF(OR(LEFT(UPPER(D35),4)="SUPR",LEFT(UPPER(D35),4)="DECR"),ROUND(-ABS(E35),2),"")))</f>
        <v/>
      </c>
      <c r="M35" s="266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ht="45" customHeight="1" s="289">
      <c r="A36" s="113" t="n"/>
      <c r="B36" s="206" t="n"/>
      <c r="C36" s="104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 t="n"/>
      <c r="E36" s="114" t="n"/>
      <c r="F36" s="354">
        <f>IF(A36="","",IFERROR(VLOOKUP(A36,itens_Remanesc!$A:$C,3,0),""))</f>
        <v/>
      </c>
      <c r="G36" s="354">
        <f>IF(OR(E36="",F36=""),"",ROUND(E36*F36,2))</f>
        <v/>
      </c>
      <c r="H36" s="113" t="n"/>
      <c r="I36" s="324">
        <f>IFERROR(VLOOKUP(C36,parametros!$B:$F,5,0),"")</f>
        <v/>
      </c>
      <c r="J36" s="354">
        <f>IF(OR(L36="",F36=""),"",ROUND(L36*F36*IF(AND(UPPER(H36)="SIM",ISNUMBER(I36)),I36,1),2))</f>
        <v/>
      </c>
      <c r="K36" s="113" t="n"/>
      <c r="L36" s="90">
        <f>IF(OR(A36="",C36="",D36="",NOT(ISNUMBER(E36))),"",IF(LEFT(UPPER(D36),3)="ACR",ROUND(ABS(E36),2),IF(OR(LEFT(UPPER(D36),4)="SUPR",LEFT(UPPER(D36),4)="DECR"),ROUND(-ABS(E36),2),"")))</f>
        <v/>
      </c>
      <c r="M36" s="266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ht="45" customHeight="1" s="289">
      <c r="A37" s="113" t="n"/>
      <c r="B37" s="206" t="n"/>
      <c r="C37" s="104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 t="n"/>
      <c r="E37" s="114" t="n"/>
      <c r="F37" s="354">
        <f>IF(A37="","",IFERROR(VLOOKUP(A37,itens_Remanesc!$A:$C,3,0),""))</f>
        <v/>
      </c>
      <c r="G37" s="354">
        <f>IF(OR(E37="",F37=""),"",ROUND(E37*F37,2))</f>
        <v/>
      </c>
      <c r="H37" s="113" t="n"/>
      <c r="I37" s="324">
        <f>IFERROR(VLOOKUP(C37,parametros!$B:$F,5,0),"")</f>
        <v/>
      </c>
      <c r="J37" s="354">
        <f>IF(OR(L37="",F37=""),"",ROUND(L37*F37*IF(AND(UPPER(H37)="SIM",ISNUMBER(I37)),I37,1),2))</f>
        <v/>
      </c>
      <c r="K37" s="113" t="n"/>
      <c r="L37" s="90">
        <f>IF(OR(A37="",C37="",D37="",NOT(ISNUMBER(E37))),"",IF(LEFT(UPPER(D37),3)="ACR",ROUND(ABS(E37),2),IF(OR(LEFT(UPPER(D37),4)="SUPR",LEFT(UPPER(D37),4)="DECR"),ROUND(-ABS(E37),2),"")))</f>
        <v/>
      </c>
      <c r="M37" s="266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ht="45" customHeight="1" s="289">
      <c r="A38" s="113" t="n"/>
      <c r="B38" s="206" t="n"/>
      <c r="C38" s="104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 t="n"/>
      <c r="E38" s="114" t="n"/>
      <c r="F38" s="354">
        <f>IF(A38="","",IFERROR(VLOOKUP(A38,itens_Remanesc!$A:$C,3,0),""))</f>
        <v/>
      </c>
      <c r="G38" s="354">
        <f>IF(OR(E38="",F38=""),"",ROUND(E38*F38,2))</f>
        <v/>
      </c>
      <c r="H38" s="113" t="n"/>
      <c r="I38" s="324">
        <f>IFERROR(VLOOKUP(C38,parametros!$B:$F,5,0),"")</f>
        <v/>
      </c>
      <c r="J38" s="354">
        <f>IF(OR(L38="",F38=""),"",ROUND(L38*F38*IF(AND(UPPER(H38)="SIM",ISNUMBER(I38)),I38,1),2))</f>
        <v/>
      </c>
      <c r="K38" s="113" t="n"/>
      <c r="L38" s="90">
        <f>IF(OR(A38="",C38="",D38="",NOT(ISNUMBER(E38))),"",IF(LEFT(UPPER(D38),3)="ACR",ROUND(ABS(E38),2),IF(OR(LEFT(UPPER(D38),4)="SUPR",LEFT(UPPER(D38),4)="DECR"),ROUND(-ABS(E38),2),"")))</f>
        <v/>
      </c>
      <c r="M38" s="266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ht="45" customHeight="1" s="289">
      <c r="A39" s="113" t="n"/>
      <c r="B39" s="206" t="n"/>
      <c r="C39" s="104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 t="n"/>
      <c r="E39" s="114" t="n"/>
      <c r="F39" s="354">
        <f>IF(A39="","",IFERROR(VLOOKUP(A39,itens_Remanesc!$A:$C,3,0),""))</f>
        <v/>
      </c>
      <c r="G39" s="354">
        <f>IF(OR(E39="",F39=""),"",ROUND(E39*F39,2))</f>
        <v/>
      </c>
      <c r="H39" s="113" t="n"/>
      <c r="I39" s="324">
        <f>IFERROR(VLOOKUP(C39,parametros!$B:$F,5,0),"")</f>
        <v/>
      </c>
      <c r="J39" s="354">
        <f>IF(OR(L39="",F39=""),"",ROUND(L39*F39*IF(AND(UPPER(H39)="SIM",ISNUMBER(I39)),I39,1),2))</f>
        <v/>
      </c>
      <c r="K39" s="113" t="n"/>
      <c r="L39" s="90">
        <f>IF(OR(A39="",C39="",D39="",NOT(ISNUMBER(E39))),"",IF(LEFT(UPPER(D39),3)="ACR",ROUND(ABS(E39),2),IF(OR(LEFT(UPPER(D39),4)="SUPR",LEFT(UPPER(D39),4)="DECR"),ROUND(-ABS(E39),2),"")))</f>
        <v/>
      </c>
      <c r="M39" s="266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ht="45" customHeight="1" s="289">
      <c r="A40" s="113" t="n"/>
      <c r="B40" s="206" t="n"/>
      <c r="C40" s="104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 t="n"/>
      <c r="E40" s="114" t="n"/>
      <c r="F40" s="354">
        <f>IF(A40="","",IFERROR(VLOOKUP(A40,itens_Remanesc!$A:$C,3,0),""))</f>
        <v/>
      </c>
      <c r="G40" s="354">
        <f>IF(OR(E40="",F40=""),"",ROUND(E40*F40,2))</f>
        <v/>
      </c>
      <c r="H40" s="113" t="n"/>
      <c r="I40" s="324">
        <f>IFERROR(VLOOKUP(C40,parametros!$B:$F,5,0),"")</f>
        <v/>
      </c>
      <c r="J40" s="354">
        <f>IF(OR(L40="",F40=""),"",ROUND(L40*F40*IF(AND(UPPER(H40)="SIM",ISNUMBER(I40)),I40,1),2))</f>
        <v/>
      </c>
      <c r="K40" s="113" t="n"/>
      <c r="L40" s="90">
        <f>IF(OR(A40="",C40="",D40="",NOT(ISNUMBER(E40))),"",IF(LEFT(UPPER(D40),3)="ACR",ROUND(ABS(E40),2),IF(OR(LEFT(UPPER(D40),4)="SUPR",LEFT(UPPER(D40),4)="DECR"),ROUND(-ABS(E40),2),"")))</f>
        <v/>
      </c>
      <c r="M40" s="266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ht="45" customHeight="1" s="289">
      <c r="A41" s="113" t="n"/>
      <c r="B41" s="206" t="n"/>
      <c r="C41" s="104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 t="n"/>
      <c r="E41" s="114" t="n"/>
      <c r="F41" s="354">
        <f>IF(A41="","",IFERROR(VLOOKUP(A41,itens_Remanesc!$A:$C,3,0),""))</f>
        <v/>
      </c>
      <c r="G41" s="354">
        <f>IF(OR(E41="",F41=""),"",ROUND(E41*F41,2))</f>
        <v/>
      </c>
      <c r="H41" s="113" t="n"/>
      <c r="I41" s="324">
        <f>IFERROR(VLOOKUP(C41,parametros!$B:$F,5,0),"")</f>
        <v/>
      </c>
      <c r="J41" s="354">
        <f>IF(OR(L41="",F41=""),"",ROUND(L41*F41*IF(AND(UPPER(H41)="SIM",ISNUMBER(I41)),I41,1),2))</f>
        <v/>
      </c>
      <c r="K41" s="113" t="n"/>
      <c r="L41" s="90">
        <f>IF(OR(A41="",C41="",D41="",NOT(ISNUMBER(E41))),"",IF(LEFT(UPPER(D41),3)="ACR",ROUND(ABS(E41),2),IF(OR(LEFT(UPPER(D41),4)="SUPR",LEFT(UPPER(D41),4)="DECR"),ROUND(-ABS(E41),2),"")))</f>
        <v/>
      </c>
      <c r="M41" s="266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ht="45" customHeight="1" s="289">
      <c r="A42" s="113" t="n"/>
      <c r="B42" s="206" t="n"/>
      <c r="C42" s="104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 t="n"/>
      <c r="E42" s="114" t="n"/>
      <c r="F42" s="354">
        <f>IF(A42="","",IFERROR(VLOOKUP(A42,itens_Remanesc!$A:$C,3,0),""))</f>
        <v/>
      </c>
      <c r="G42" s="354">
        <f>IF(OR(E42="",F42=""),"",ROUND(E42*F42,2))</f>
        <v/>
      </c>
      <c r="H42" s="113" t="n"/>
      <c r="I42" s="324">
        <f>IFERROR(VLOOKUP(C42,parametros!$B:$F,5,0),"")</f>
        <v/>
      </c>
      <c r="J42" s="354">
        <f>IF(OR(L42="",F42=""),"",ROUND(L42*F42*IF(AND(UPPER(H42)="SIM",ISNUMBER(I42)),I42,1),2))</f>
        <v/>
      </c>
      <c r="K42" s="113" t="n"/>
      <c r="L42" s="90">
        <f>IF(OR(A42="",C42="",D42="",NOT(ISNUMBER(E42))),"",IF(LEFT(UPPER(D42),3)="ACR",ROUND(ABS(E42),2),IF(OR(LEFT(UPPER(D42),4)="SUPR",LEFT(UPPER(D42),4)="DECR"),ROUND(-ABS(E42),2),"")))</f>
        <v/>
      </c>
      <c r="M42" s="266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ht="45" customHeight="1" s="289">
      <c r="A43" s="113" t="n"/>
      <c r="B43" s="206" t="n"/>
      <c r="C43" s="104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 t="n"/>
      <c r="E43" s="114" t="n"/>
      <c r="F43" s="354">
        <f>IF(A43="","",IFERROR(VLOOKUP(A43,itens_Remanesc!$A:$C,3,0),""))</f>
        <v/>
      </c>
      <c r="G43" s="354">
        <f>IF(OR(E43="",F43=""),"",ROUND(E43*F43,2))</f>
        <v/>
      </c>
      <c r="H43" s="113" t="n"/>
      <c r="I43" s="324">
        <f>IFERROR(VLOOKUP(C43,parametros!$B:$F,5,0),"")</f>
        <v/>
      </c>
      <c r="J43" s="354">
        <f>IF(OR(L43="",F43=""),"",ROUND(L43*F43*IF(AND(UPPER(H43)="SIM",ISNUMBER(I43)),I43,1),2))</f>
        <v/>
      </c>
      <c r="K43" s="113" t="n"/>
      <c r="L43" s="90">
        <f>IF(OR(A43="",C43="",D43="",NOT(ISNUMBER(E43))),"",IF(LEFT(UPPER(D43),3)="ACR",ROUND(ABS(E43),2),IF(OR(LEFT(UPPER(D43),4)="SUPR",LEFT(UPPER(D43),4)="DECR"),ROUND(-ABS(E43),2),"")))</f>
        <v/>
      </c>
      <c r="M43" s="266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ht="45" customHeight="1" s="289">
      <c r="A44" s="113" t="n"/>
      <c r="B44" s="206" t="n"/>
      <c r="C44" s="104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 t="n"/>
      <c r="E44" s="114" t="n"/>
      <c r="F44" s="354">
        <f>IF(A44="","",IFERROR(VLOOKUP(A44,itens_Remanesc!$A:$C,3,0),""))</f>
        <v/>
      </c>
      <c r="G44" s="354">
        <f>IF(OR(E44="",F44=""),"",ROUND(E44*F44,2))</f>
        <v/>
      </c>
      <c r="H44" s="113" t="n"/>
      <c r="I44" s="324">
        <f>IFERROR(VLOOKUP(C44,parametros!$B:$F,5,0),"")</f>
        <v/>
      </c>
      <c r="J44" s="354">
        <f>IF(OR(L44="",F44=""),"",ROUND(L44*F44*IF(AND(UPPER(H44)="SIM",ISNUMBER(I44)),I44,1),2))</f>
        <v/>
      </c>
      <c r="K44" s="113" t="n"/>
      <c r="L44" s="90">
        <f>IF(OR(A44="",C44="",D44="",NOT(ISNUMBER(E44))),"",IF(LEFT(UPPER(D44),3)="ACR",ROUND(ABS(E44),2),IF(OR(LEFT(UPPER(D44),4)="SUPR",LEFT(UPPER(D44),4)="DECR"),ROUND(-ABS(E44),2),"")))</f>
        <v/>
      </c>
      <c r="M44" s="266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ht="45" customHeight="1" s="289">
      <c r="A45" s="113" t="n"/>
      <c r="B45" s="206" t="n"/>
      <c r="C45" s="104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 t="n"/>
      <c r="E45" s="114" t="n"/>
      <c r="F45" s="354">
        <f>IF(A45="","",IFERROR(VLOOKUP(A45,itens_Remanesc!$A:$C,3,0),""))</f>
        <v/>
      </c>
      <c r="G45" s="354">
        <f>IF(OR(E45="",F45=""),"",ROUND(E45*F45,2))</f>
        <v/>
      </c>
      <c r="H45" s="113" t="n"/>
      <c r="I45" s="324">
        <f>IFERROR(VLOOKUP(C45,parametros!$B:$F,5,0),"")</f>
        <v/>
      </c>
      <c r="J45" s="354">
        <f>IF(OR(L45="",F45=""),"",ROUND(L45*F45*IF(AND(UPPER(H45)="SIM",ISNUMBER(I45)),I45,1),2))</f>
        <v/>
      </c>
      <c r="K45" s="113" t="n"/>
      <c r="L45" s="90">
        <f>IF(OR(A45="",C45="",D45="",NOT(ISNUMBER(E45))),"",IF(LEFT(UPPER(D45),3)="ACR",ROUND(ABS(E45),2),IF(OR(LEFT(UPPER(D45),4)="SUPR",LEFT(UPPER(D45),4)="DECR"),ROUND(-ABS(E45),2),"")))</f>
        <v/>
      </c>
      <c r="M45" s="266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ht="45" customHeight="1" s="289">
      <c r="A46" s="113" t="n"/>
      <c r="B46" s="206" t="n"/>
      <c r="C46" s="104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 t="n"/>
      <c r="E46" s="114" t="n"/>
      <c r="F46" s="354">
        <f>IF(A46="","",IFERROR(VLOOKUP(A46,itens_Remanesc!$A:$C,3,0),""))</f>
        <v/>
      </c>
      <c r="G46" s="354">
        <f>IF(OR(E46="",F46=""),"",ROUND(E46*F46,2))</f>
        <v/>
      </c>
      <c r="H46" s="113" t="n"/>
      <c r="I46" s="324">
        <f>IFERROR(VLOOKUP(C46,parametros!$B:$F,5,0),"")</f>
        <v/>
      </c>
      <c r="J46" s="354">
        <f>IF(OR(L46="",F46=""),"",ROUND(L46*F46*IF(AND(UPPER(H46)="SIM",ISNUMBER(I46)),I46,1),2))</f>
        <v/>
      </c>
      <c r="K46" s="113" t="n"/>
      <c r="L46" s="90">
        <f>IF(OR(A46="",C46="",D46="",NOT(ISNUMBER(E46))),"",IF(LEFT(UPPER(D46),3)="ACR",ROUND(ABS(E46),2),IF(OR(LEFT(UPPER(D46),4)="SUPR",LEFT(UPPER(D46),4)="DECR"),ROUND(-ABS(E46),2),"")))</f>
        <v/>
      </c>
      <c r="M46" s="266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ht="45" customHeight="1" s="289">
      <c r="A47" s="113" t="n"/>
      <c r="B47" s="206" t="n"/>
      <c r="C47" s="104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 t="n"/>
      <c r="E47" s="114" t="n"/>
      <c r="F47" s="354">
        <f>IF(A47="","",IFERROR(VLOOKUP(A47,itens_Remanesc!$A:$C,3,0),""))</f>
        <v/>
      </c>
      <c r="G47" s="354">
        <f>IF(OR(E47="",F47=""),"",ROUND(E47*F47,2))</f>
        <v/>
      </c>
      <c r="H47" s="113" t="n"/>
      <c r="I47" s="324">
        <f>IFERROR(VLOOKUP(C47,parametros!$B:$F,5,0),"")</f>
        <v/>
      </c>
      <c r="J47" s="354">
        <f>IF(OR(L47="",F47=""),"",ROUND(L47*F47*IF(AND(UPPER(H47)="SIM",ISNUMBER(I47)),I47,1),2))</f>
        <v/>
      </c>
      <c r="K47" s="113" t="n"/>
      <c r="L47" s="90">
        <f>IF(OR(A47="",C47="",D47="",NOT(ISNUMBER(E47))),"",IF(LEFT(UPPER(D47),3)="ACR",ROUND(ABS(E47),2),IF(OR(LEFT(UPPER(D47),4)="SUPR",LEFT(UPPER(D47),4)="DECR"),ROUND(-ABS(E47),2),"")))</f>
        <v/>
      </c>
      <c r="M47" s="266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ht="45" customHeight="1" s="289">
      <c r="A48" s="113" t="n"/>
      <c r="B48" s="206" t="n"/>
      <c r="C48" s="104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 t="n"/>
      <c r="E48" s="114" t="n"/>
      <c r="F48" s="354">
        <f>IF(A48="","",IFERROR(VLOOKUP(A48,itens_Remanesc!$A:$C,3,0),""))</f>
        <v/>
      </c>
      <c r="G48" s="354">
        <f>IF(OR(E48="",F48=""),"",ROUND(E48*F48,2))</f>
        <v/>
      </c>
      <c r="H48" s="113" t="n"/>
      <c r="I48" s="324">
        <f>IFERROR(VLOOKUP(C48,parametros!$B:$F,5,0),"")</f>
        <v/>
      </c>
      <c r="J48" s="354">
        <f>IF(OR(L48="",F48=""),"",ROUND(L48*F48*IF(AND(UPPER(H48)="SIM",ISNUMBER(I48)),I48,1),2))</f>
        <v/>
      </c>
      <c r="K48" s="113" t="n"/>
      <c r="L48" s="90">
        <f>IF(OR(A48="",C48="",D48="",NOT(ISNUMBER(E48))),"",IF(LEFT(UPPER(D48),3)="ACR",ROUND(ABS(E48),2),IF(OR(LEFT(UPPER(D48),4)="SUPR",LEFT(UPPER(D48),4)="DECR"),ROUND(-ABS(E48),2),"")))</f>
        <v/>
      </c>
      <c r="M48" s="266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ht="45" customHeight="1" s="289">
      <c r="A49" s="113" t="n"/>
      <c r="B49" s="206" t="n"/>
      <c r="C49" s="104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 t="n"/>
      <c r="E49" s="114" t="n"/>
      <c r="F49" s="354">
        <f>IF(A49="","",IFERROR(VLOOKUP(A49,itens_Remanesc!$A:$C,3,0),""))</f>
        <v/>
      </c>
      <c r="G49" s="354">
        <f>IF(OR(E49="",F49=""),"",ROUND(E49*F49,2))</f>
        <v/>
      </c>
      <c r="H49" s="113" t="n"/>
      <c r="I49" s="324">
        <f>IFERROR(VLOOKUP(C49,parametros!$B:$F,5,0),"")</f>
        <v/>
      </c>
      <c r="J49" s="354">
        <f>IF(OR(L49="",F49=""),"",ROUND(L49*F49*IF(AND(UPPER(H49)="SIM",ISNUMBER(I49)),I49,1),2))</f>
        <v/>
      </c>
      <c r="K49" s="113" t="n"/>
      <c r="L49" s="90">
        <f>IF(OR(A49="",C49="",D49="",NOT(ISNUMBER(E49))),"",IF(LEFT(UPPER(D49),3)="ACR",ROUND(ABS(E49),2),IF(OR(LEFT(UPPER(D49),4)="SUPR",LEFT(UPPER(D49),4)="DECR"),ROUND(-ABS(E49),2),"")))</f>
        <v/>
      </c>
      <c r="M49" s="266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ht="45" customHeight="1" s="289">
      <c r="A50" s="113" t="n"/>
      <c r="B50" s="206" t="n"/>
      <c r="C50" s="104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 t="n"/>
      <c r="E50" s="114" t="n"/>
      <c r="F50" s="354">
        <f>IF(A50="","",IFERROR(VLOOKUP(A50,itens_Remanesc!$A:$C,3,0),""))</f>
        <v/>
      </c>
      <c r="G50" s="354">
        <f>IF(OR(E50="",F50=""),"",ROUND(E50*F50,2))</f>
        <v/>
      </c>
      <c r="H50" s="113" t="n"/>
      <c r="I50" s="324">
        <f>IFERROR(VLOOKUP(C50,parametros!$B:$F,5,0),"")</f>
        <v/>
      </c>
      <c r="J50" s="354">
        <f>IF(OR(L50="",F50=""),"",ROUND(L50*F50*IF(AND(UPPER(H50)="SIM",ISNUMBER(I50)),I50,1),2))</f>
        <v/>
      </c>
      <c r="K50" s="113" t="n"/>
      <c r="L50" s="90">
        <f>IF(OR(A50="",C50="",D50="",NOT(ISNUMBER(E50))),"",IF(LEFT(UPPER(D50),3)="ACR",ROUND(ABS(E50),2),IF(OR(LEFT(UPPER(D50),4)="SUPR",LEFT(UPPER(D50),4)="DECR"),ROUND(-ABS(E50),2),"")))</f>
        <v/>
      </c>
      <c r="M50" s="266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ht="45" customHeight="1" s="289">
      <c r="A51" s="113" t="n"/>
      <c r="B51" s="206" t="n"/>
      <c r="C51" s="104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 t="n"/>
      <c r="E51" s="114" t="n"/>
      <c r="F51" s="354">
        <f>IF(A51="","",IFERROR(VLOOKUP(A51,itens_Remanesc!$A:$C,3,0),""))</f>
        <v/>
      </c>
      <c r="G51" s="354">
        <f>IF(OR(E51="",F51=""),"",ROUND(E51*F51,2))</f>
        <v/>
      </c>
      <c r="H51" s="113" t="n"/>
      <c r="I51" s="324">
        <f>IFERROR(VLOOKUP(C51,parametros!$B:$F,5,0),"")</f>
        <v/>
      </c>
      <c r="J51" s="354">
        <f>IF(OR(L51="",F51=""),"",ROUND(L51*F51*IF(AND(UPPER(H51)="SIM",ISNUMBER(I51)),I51,1),2))</f>
        <v/>
      </c>
      <c r="K51" s="113" t="n"/>
      <c r="L51" s="90">
        <f>IF(OR(A51="",C51="",D51="",NOT(ISNUMBER(E51))),"",IF(LEFT(UPPER(D51),3)="ACR",ROUND(ABS(E51),2),IF(OR(LEFT(UPPER(D51),4)="SUPR",LEFT(UPPER(D51),4)="DECR"),ROUND(-ABS(E51),2),"")))</f>
        <v/>
      </c>
      <c r="M51" s="266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ht="45" customHeight="1" s="289">
      <c r="A52" s="113" t="n"/>
      <c r="B52" s="206" t="n"/>
      <c r="C52" s="104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 t="n"/>
      <c r="E52" s="114" t="n"/>
      <c r="F52" s="354">
        <f>IF(A52="","",IFERROR(VLOOKUP(A52,itens_Remanesc!$A:$C,3,0),""))</f>
        <v/>
      </c>
      <c r="G52" s="354">
        <f>IF(OR(E52="",F52=""),"",ROUND(E52*F52,2))</f>
        <v/>
      </c>
      <c r="H52" s="113" t="n"/>
      <c r="I52" s="324">
        <f>IFERROR(VLOOKUP(C52,parametros!$B:$F,5,0),"")</f>
        <v/>
      </c>
      <c r="J52" s="354">
        <f>IF(OR(L52="",F52=""),"",ROUND(L52*F52*IF(AND(UPPER(H52)="SIM",ISNUMBER(I52)),I52,1),2))</f>
        <v/>
      </c>
      <c r="K52" s="113" t="n"/>
      <c r="L52" s="90">
        <f>IF(OR(A52="",C52="",D52="",NOT(ISNUMBER(E52))),"",IF(LEFT(UPPER(D52),3)="ACR",ROUND(ABS(E52),2),IF(OR(LEFT(UPPER(D52),4)="SUPR",LEFT(UPPER(D52),4)="DECR"),ROUND(-ABS(E52),2),"")))</f>
        <v/>
      </c>
      <c r="M52" s="266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ht="45" customHeight="1" s="289">
      <c r="A53" s="113" t="n"/>
      <c r="B53" s="206" t="n"/>
      <c r="C53" s="104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 t="n"/>
      <c r="E53" s="114" t="n"/>
      <c r="F53" s="354">
        <f>IF(A53="","",IFERROR(VLOOKUP(A53,itens_Remanesc!$A:$C,3,0),""))</f>
        <v/>
      </c>
      <c r="G53" s="354">
        <f>IF(OR(E53="",F53=""),"",ROUND(E53*F53,2))</f>
        <v/>
      </c>
      <c r="H53" s="113" t="n"/>
      <c r="I53" s="324">
        <f>IFERROR(VLOOKUP(C53,parametros!$B:$F,5,0),"")</f>
        <v/>
      </c>
      <c r="J53" s="354">
        <f>IF(OR(L53="",F53=""),"",ROUND(L53*F53*IF(AND(UPPER(H53)="SIM",ISNUMBER(I53)),I53,1),2))</f>
        <v/>
      </c>
      <c r="K53" s="113" t="n"/>
      <c r="L53" s="90">
        <f>IF(OR(A53="",C53="",D53="",NOT(ISNUMBER(E53))),"",IF(LEFT(UPPER(D53),3)="ACR",ROUND(ABS(E53),2),IF(OR(LEFT(UPPER(D53),4)="SUPR",LEFT(UPPER(D53),4)="DECR"),ROUND(-ABS(E53),2),"")))</f>
        <v/>
      </c>
      <c r="M53" s="266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ht="45" customHeight="1" s="289">
      <c r="A54" s="113" t="n"/>
      <c r="B54" s="206" t="n"/>
      <c r="C54" s="104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 t="n"/>
      <c r="E54" s="114" t="n"/>
      <c r="F54" s="354">
        <f>IF(A54="","",IFERROR(VLOOKUP(A54,itens_Remanesc!$A:$C,3,0),""))</f>
        <v/>
      </c>
      <c r="G54" s="354">
        <f>IF(OR(E54="",F54=""),"",ROUND(E54*F54,2))</f>
        <v/>
      </c>
      <c r="H54" s="113" t="n"/>
      <c r="I54" s="324">
        <f>IFERROR(VLOOKUP(C54,parametros!$B:$F,5,0),"")</f>
        <v/>
      </c>
      <c r="J54" s="354">
        <f>IF(OR(L54="",F54=""),"",ROUND(L54*F54*IF(AND(UPPER(H54)="SIM",ISNUMBER(I54)),I54,1),2))</f>
        <v/>
      </c>
      <c r="K54" s="113" t="n"/>
      <c r="L54" s="90">
        <f>IF(OR(A54="",C54="",D54="",NOT(ISNUMBER(E54))),"",IF(LEFT(UPPER(D54),3)="ACR",ROUND(ABS(E54),2),IF(OR(LEFT(UPPER(D54),4)="SUPR",LEFT(UPPER(D54),4)="DECR"),ROUND(-ABS(E54),2),"")))</f>
        <v/>
      </c>
      <c r="M54" s="266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ht="45" customHeight="1" s="289">
      <c r="A55" s="113" t="n"/>
      <c r="B55" s="206" t="n"/>
      <c r="C55" s="104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 t="n"/>
      <c r="E55" s="114" t="n"/>
      <c r="F55" s="354">
        <f>IF(A55="","",IFERROR(VLOOKUP(A55,itens_Remanesc!$A:$C,3,0),""))</f>
        <v/>
      </c>
      <c r="G55" s="354">
        <f>IF(OR(E55="",F55=""),"",ROUND(E55*F55,2))</f>
        <v/>
      </c>
      <c r="H55" s="113" t="n"/>
      <c r="I55" s="324">
        <f>IFERROR(VLOOKUP(C55,parametros!$B:$F,5,0),"")</f>
        <v/>
      </c>
      <c r="J55" s="354">
        <f>IF(OR(L55="",F55=""),"",ROUND(L55*F55*IF(AND(UPPER(H55)="SIM",ISNUMBER(I55)),I55,1),2))</f>
        <v/>
      </c>
      <c r="K55" s="113" t="n"/>
      <c r="L55" s="90">
        <f>IF(OR(A55="",C55="",D55="",NOT(ISNUMBER(E55))),"",IF(LEFT(UPPER(D55),3)="ACR",ROUND(ABS(E55),2),IF(OR(LEFT(UPPER(D55),4)="SUPR",LEFT(UPPER(D55),4)="DECR"),ROUND(-ABS(E55),2),"")))</f>
        <v/>
      </c>
      <c r="M55" s="266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ht="45" customHeight="1" s="289">
      <c r="A56" s="113" t="n"/>
      <c r="B56" s="206" t="n"/>
      <c r="C56" s="104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 t="n"/>
      <c r="E56" s="114" t="n"/>
      <c r="F56" s="354">
        <f>IF(A56="","",IFERROR(VLOOKUP(A56,itens_Remanesc!$A:$C,3,0),""))</f>
        <v/>
      </c>
      <c r="G56" s="354">
        <f>IF(OR(E56="",F56=""),"",ROUND(E56*F56,2))</f>
        <v/>
      </c>
      <c r="H56" s="113" t="n"/>
      <c r="I56" s="324">
        <f>IFERROR(VLOOKUP(C56,parametros!$B:$F,5,0),"")</f>
        <v/>
      </c>
      <c r="J56" s="354">
        <f>IF(OR(L56="",F56=""),"",ROUND(L56*F56*IF(AND(UPPER(H56)="SIM",ISNUMBER(I56)),I56,1),2))</f>
        <v/>
      </c>
      <c r="K56" s="113" t="n"/>
      <c r="L56" s="90">
        <f>IF(OR(A56="",C56="",D56="",NOT(ISNUMBER(E56))),"",IF(LEFT(UPPER(D56),3)="ACR",ROUND(ABS(E56),2),IF(OR(LEFT(UPPER(D56),4)="SUPR",LEFT(UPPER(D56),4)="DECR"),ROUND(-ABS(E56),2),"")))</f>
        <v/>
      </c>
      <c r="M56" s="266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ht="45" customHeight="1" s="289">
      <c r="A57" s="113" t="n"/>
      <c r="B57" s="206" t="n"/>
      <c r="C57" s="104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 t="n"/>
      <c r="E57" s="114" t="n"/>
      <c r="F57" s="354">
        <f>IF(A57="","",IFERROR(VLOOKUP(A57,itens_Remanesc!$A:$C,3,0),""))</f>
        <v/>
      </c>
      <c r="G57" s="354">
        <f>IF(OR(E57="",F57=""),"",ROUND(E57*F57,2))</f>
        <v/>
      </c>
      <c r="H57" s="113" t="n"/>
      <c r="I57" s="324">
        <f>IFERROR(VLOOKUP(C57,parametros!$B:$F,5,0),"")</f>
        <v/>
      </c>
      <c r="J57" s="354">
        <f>IF(OR(L57="",F57=""),"",ROUND(L57*F57*IF(AND(UPPER(H57)="SIM",ISNUMBER(I57)),I57,1),2))</f>
        <v/>
      </c>
      <c r="K57" s="113" t="n"/>
      <c r="L57" s="90">
        <f>IF(OR(A57="",C57="",D57="",NOT(ISNUMBER(E57))),"",IF(LEFT(UPPER(D57),3)="ACR",ROUND(ABS(E57),2),IF(OR(LEFT(UPPER(D57),4)="SUPR",LEFT(UPPER(D57),4)="DECR"),ROUND(-ABS(E57),2),"")))</f>
        <v/>
      </c>
      <c r="M57" s="266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ht="45" customHeight="1" s="289">
      <c r="A58" s="113" t="n"/>
      <c r="B58" s="206" t="n"/>
      <c r="C58" s="104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 t="n"/>
      <c r="E58" s="114" t="n"/>
      <c r="F58" s="354">
        <f>IF(A58="","",IFERROR(VLOOKUP(A58,itens_Remanesc!$A:$C,3,0),""))</f>
        <v/>
      </c>
      <c r="G58" s="354">
        <f>IF(OR(E58="",F58=""),"",ROUND(E58*F58,2))</f>
        <v/>
      </c>
      <c r="H58" s="113" t="n"/>
      <c r="I58" s="324">
        <f>IFERROR(VLOOKUP(C58,parametros!$B:$F,5,0),"")</f>
        <v/>
      </c>
      <c r="J58" s="354">
        <f>IF(OR(L58="",F58=""),"",ROUND(L58*F58*IF(AND(UPPER(H58)="SIM",ISNUMBER(I58)),I58,1),2))</f>
        <v/>
      </c>
      <c r="K58" s="113" t="n"/>
      <c r="L58" s="90">
        <f>IF(OR(A58="",C58="",D58="",NOT(ISNUMBER(E58))),"",IF(LEFT(UPPER(D58),3)="ACR",ROUND(ABS(E58),2),IF(OR(LEFT(UPPER(D58),4)="SUPR",LEFT(UPPER(D58),4)="DECR"),ROUND(-ABS(E58),2),"")))</f>
        <v/>
      </c>
      <c r="M58" s="266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ht="45" customHeight="1" s="289">
      <c r="A59" s="113" t="n"/>
      <c r="B59" s="206" t="n"/>
      <c r="C59" s="104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 t="n"/>
      <c r="E59" s="114" t="n"/>
      <c r="F59" s="354">
        <f>IF(A59="","",IFERROR(VLOOKUP(A59,itens_Remanesc!$A:$C,3,0),""))</f>
        <v/>
      </c>
      <c r="G59" s="354">
        <f>IF(OR(E59="",F59=""),"",ROUND(E59*F59,2))</f>
        <v/>
      </c>
      <c r="H59" s="113" t="n"/>
      <c r="I59" s="324">
        <f>IFERROR(VLOOKUP(C59,parametros!$B:$F,5,0),"")</f>
        <v/>
      </c>
      <c r="J59" s="354">
        <f>IF(OR(L59="",F59=""),"",ROUND(L59*F59*IF(AND(UPPER(H59)="SIM",ISNUMBER(I59)),I59,1),2))</f>
        <v/>
      </c>
      <c r="K59" s="113" t="n"/>
      <c r="L59" s="90">
        <f>IF(OR(A59="",C59="",D59="",NOT(ISNUMBER(E59))),"",IF(LEFT(UPPER(D59),3)="ACR",ROUND(ABS(E59),2),IF(OR(LEFT(UPPER(D59),4)="SUPR",LEFT(UPPER(D59),4)="DECR"),ROUND(-ABS(E59),2),"")))</f>
        <v/>
      </c>
      <c r="M59" s="266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ht="45" customHeight="1" s="289">
      <c r="A60" s="113" t="n"/>
      <c r="B60" s="206" t="n"/>
      <c r="C60" s="104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 t="n"/>
      <c r="E60" s="114" t="n"/>
      <c r="F60" s="354">
        <f>IF(A60="","",IFERROR(VLOOKUP(A60,itens_Remanesc!$A:$C,3,0),""))</f>
        <v/>
      </c>
      <c r="G60" s="354">
        <f>IF(OR(E60="",F60=""),"",ROUND(E60*F60,2))</f>
        <v/>
      </c>
      <c r="H60" s="113" t="n"/>
      <c r="I60" s="324">
        <f>IFERROR(VLOOKUP(C60,parametros!$B:$F,5,0),"")</f>
        <v/>
      </c>
      <c r="J60" s="354">
        <f>IF(OR(L60="",F60=""),"",ROUND(L60*F60*IF(AND(UPPER(H60)="SIM",ISNUMBER(I60)),I60,1),2))</f>
        <v/>
      </c>
      <c r="K60" s="113" t="n"/>
      <c r="L60" s="90">
        <f>IF(OR(A60="",C60="",D60="",NOT(ISNUMBER(E60))),"",IF(LEFT(UPPER(D60),3)="ACR",ROUND(ABS(E60),2),IF(OR(LEFT(UPPER(D60),4)="SUPR",LEFT(UPPER(D60),4)="DECR"),ROUND(-ABS(E60),2),"")))</f>
        <v/>
      </c>
      <c r="M60" s="266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ht="45" customHeight="1" s="289">
      <c r="A61" s="113" t="n"/>
      <c r="B61" s="206" t="n"/>
      <c r="C61" s="104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 t="n"/>
      <c r="E61" s="114" t="n"/>
      <c r="F61" s="354">
        <f>IF(A61="","",IFERROR(VLOOKUP(A61,itens_Remanesc!$A:$C,3,0),""))</f>
        <v/>
      </c>
      <c r="G61" s="354">
        <f>IF(OR(E61="",F61=""),"",ROUND(E61*F61,2))</f>
        <v/>
      </c>
      <c r="H61" s="113" t="n"/>
      <c r="I61" s="324">
        <f>IFERROR(VLOOKUP(C61,parametros!$B:$F,5,0),"")</f>
        <v/>
      </c>
      <c r="J61" s="354">
        <f>IF(OR(L61="",F61=""),"",ROUND(L61*F61*IF(AND(UPPER(H61)="SIM",ISNUMBER(I61)),I61,1),2))</f>
        <v/>
      </c>
      <c r="K61" s="113" t="n"/>
      <c r="L61" s="90">
        <f>IF(OR(A61="",C61="",D61="",NOT(ISNUMBER(E61))),"",IF(LEFT(UPPER(D61),3)="ACR",ROUND(ABS(E61),2),IF(OR(LEFT(UPPER(D61),4)="SUPR",LEFT(UPPER(D61),4)="DECR"),ROUND(-ABS(E61),2),"")))</f>
        <v/>
      </c>
      <c r="M61" s="266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ht="45" customHeight="1" s="289">
      <c r="A62" s="113" t="n"/>
      <c r="B62" s="206" t="n"/>
      <c r="C62" s="104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 t="n"/>
      <c r="E62" s="114" t="n"/>
      <c r="F62" s="354">
        <f>IF(A62="","",IFERROR(VLOOKUP(A62,itens_Remanesc!$A:$C,3,0),""))</f>
        <v/>
      </c>
      <c r="G62" s="354">
        <f>IF(OR(E62="",F62=""),"",ROUND(E62*F62,2))</f>
        <v/>
      </c>
      <c r="H62" s="113" t="n"/>
      <c r="I62" s="324">
        <f>IFERROR(VLOOKUP(C62,parametros!$B:$F,5,0),"")</f>
        <v/>
      </c>
      <c r="J62" s="354">
        <f>IF(OR(L62="",F62=""),"",ROUND(L62*F62*IF(AND(UPPER(H62)="SIM",ISNUMBER(I62)),I62,1),2))</f>
        <v/>
      </c>
      <c r="K62" s="113" t="n"/>
      <c r="L62" s="90">
        <f>IF(OR(A62="",C62="",D62="",NOT(ISNUMBER(E62))),"",IF(LEFT(UPPER(D62),3)="ACR",ROUND(ABS(E62),2),IF(OR(LEFT(UPPER(D62),4)="SUPR",LEFT(UPPER(D62),4)="DECR"),ROUND(-ABS(E62),2),"")))</f>
        <v/>
      </c>
      <c r="M62" s="266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ht="45" customHeight="1" s="289">
      <c r="A63" s="113" t="n"/>
      <c r="B63" s="206" t="n"/>
      <c r="C63" s="104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 t="n"/>
      <c r="E63" s="114" t="n"/>
      <c r="F63" s="354">
        <f>IF(A63="","",IFERROR(VLOOKUP(A63,itens_Remanesc!$A:$C,3,0),""))</f>
        <v/>
      </c>
      <c r="G63" s="354">
        <f>IF(OR(E63="",F63=""),"",ROUND(E63*F63,2))</f>
        <v/>
      </c>
      <c r="H63" s="113" t="n"/>
      <c r="I63" s="324">
        <f>IFERROR(VLOOKUP(C63,parametros!$B:$F,5,0),"")</f>
        <v/>
      </c>
      <c r="J63" s="354">
        <f>IF(OR(L63="",F63=""),"",ROUND(L63*F63*IF(AND(UPPER(H63)="SIM",ISNUMBER(I63)),I63,1),2))</f>
        <v/>
      </c>
      <c r="K63" s="113" t="n"/>
      <c r="L63" s="90">
        <f>IF(OR(A63="",C63="",D63="",NOT(ISNUMBER(E63))),"",IF(LEFT(UPPER(D63),3)="ACR",ROUND(ABS(E63),2),IF(OR(LEFT(UPPER(D63),4)="SUPR",LEFT(UPPER(D63),4)="DECR"),ROUND(-ABS(E63),2),"")))</f>
        <v/>
      </c>
      <c r="M63" s="266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ht="45" customHeight="1" s="289">
      <c r="A64" s="113" t="n"/>
      <c r="B64" s="206" t="n"/>
      <c r="C64" s="104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 t="n"/>
      <c r="E64" s="114" t="n"/>
      <c r="F64" s="354">
        <f>IF(A64="","",IFERROR(VLOOKUP(A64,itens_Remanesc!$A:$C,3,0),""))</f>
        <v/>
      </c>
      <c r="G64" s="354">
        <f>IF(OR(E64="",F64=""),"",ROUND(E64*F64,2))</f>
        <v/>
      </c>
      <c r="H64" s="113" t="n"/>
      <c r="I64" s="324">
        <f>IFERROR(VLOOKUP(C64,parametros!$B:$F,5,0),"")</f>
        <v/>
      </c>
      <c r="J64" s="354">
        <f>IF(OR(L64="",F64=""),"",ROUND(L64*F64*IF(AND(UPPER(H64)="SIM",ISNUMBER(I64)),I64,1),2))</f>
        <v/>
      </c>
      <c r="K64" s="113" t="n"/>
      <c r="L64" s="90">
        <f>IF(OR(A64="",C64="",D64="",NOT(ISNUMBER(E64))),"",IF(LEFT(UPPER(D64),3)="ACR",ROUND(ABS(E64),2),IF(OR(LEFT(UPPER(D64),4)="SUPR",LEFT(UPPER(D64),4)="DECR"),ROUND(-ABS(E64),2),"")))</f>
        <v/>
      </c>
      <c r="M64" s="266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ht="45" customHeight="1" s="289">
      <c r="A65" s="113" t="n"/>
      <c r="B65" s="206" t="n"/>
      <c r="C65" s="104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 t="n"/>
      <c r="E65" s="114" t="n"/>
      <c r="F65" s="354">
        <f>IF(A65="","",IFERROR(VLOOKUP(A65,itens_Remanesc!$A:$C,3,0),""))</f>
        <v/>
      </c>
      <c r="G65" s="354">
        <f>IF(OR(E65="",F65=""),"",ROUND(E65*F65,2))</f>
        <v/>
      </c>
      <c r="H65" s="113" t="n"/>
      <c r="I65" s="324">
        <f>IFERROR(VLOOKUP(C65,parametros!$B:$F,5,0),"")</f>
        <v/>
      </c>
      <c r="J65" s="354">
        <f>IF(OR(L65="",F65=""),"",ROUND(L65*F65*IF(AND(UPPER(H65)="SIM",ISNUMBER(I65)),I65,1),2))</f>
        <v/>
      </c>
      <c r="K65" s="113" t="n"/>
      <c r="L65" s="90">
        <f>IF(OR(A65="",C65="",D65="",NOT(ISNUMBER(E65))),"",IF(LEFT(UPPER(D65),3)="ACR",ROUND(ABS(E65),2),IF(OR(LEFT(UPPER(D65),4)="SUPR",LEFT(UPPER(D65),4)="DECR"),ROUND(-ABS(E65),2),"")))</f>
        <v/>
      </c>
      <c r="M65" s="266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ht="45" customHeight="1" s="289">
      <c r="A66" s="113" t="n"/>
      <c r="B66" s="206" t="n"/>
      <c r="C66" s="104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 t="n"/>
      <c r="E66" s="114" t="n"/>
      <c r="F66" s="354">
        <f>IF(A66="","",IFERROR(VLOOKUP(A66,itens_Remanesc!$A:$C,3,0),""))</f>
        <v/>
      </c>
      <c r="G66" s="354">
        <f>IF(OR(E66="",F66=""),"",ROUND(E66*F66,2))</f>
        <v/>
      </c>
      <c r="H66" s="113" t="n"/>
      <c r="I66" s="324">
        <f>IFERROR(VLOOKUP(C66,parametros!$B:$F,5,0),"")</f>
        <v/>
      </c>
      <c r="J66" s="354">
        <f>IF(OR(L66="",F66=""),"",ROUND(L66*F66*IF(AND(UPPER(H66)="SIM",ISNUMBER(I66)),I66,1),2))</f>
        <v/>
      </c>
      <c r="K66" s="113" t="n"/>
      <c r="L66" s="90">
        <f>IF(OR(A66="",C66="",D66="",NOT(ISNUMBER(E66))),"",IF(LEFT(UPPER(D66),3)="ACR",ROUND(ABS(E66),2),IF(OR(LEFT(UPPER(D66),4)="SUPR",LEFT(UPPER(D66),4)="DECR"),ROUND(-ABS(E66),2),"")))</f>
        <v/>
      </c>
      <c r="M66" s="266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ht="45" customHeight="1" s="289">
      <c r="A67" s="113" t="n"/>
      <c r="B67" s="206" t="n"/>
      <c r="C67" s="104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 t="n"/>
      <c r="E67" s="114" t="n"/>
      <c r="F67" s="354">
        <f>IF(A67="","",IFERROR(VLOOKUP(A67,itens_Remanesc!$A:$C,3,0),""))</f>
        <v/>
      </c>
      <c r="G67" s="354">
        <f>IF(OR(E67="",F67=""),"",ROUND(E67*F67,2))</f>
        <v/>
      </c>
      <c r="H67" s="113" t="n"/>
      <c r="I67" s="324">
        <f>IFERROR(VLOOKUP(C67,parametros!$B:$F,5,0),"")</f>
        <v/>
      </c>
      <c r="J67" s="354">
        <f>IF(OR(L67="",F67=""),"",ROUND(L67*F67*IF(AND(UPPER(H67)="SIM",ISNUMBER(I67)),I67,1),2))</f>
        <v/>
      </c>
      <c r="K67" s="113" t="n"/>
      <c r="L67" s="90">
        <f>IF(OR(A67="",C67="",D67="",NOT(ISNUMBER(E67))),"",IF(LEFT(UPPER(D67),3)="ACR",ROUND(ABS(E67),2),IF(OR(LEFT(UPPER(D67),4)="SUPR",LEFT(UPPER(D67),4)="DECR"),ROUND(-ABS(E67),2),"")))</f>
        <v/>
      </c>
      <c r="M67" s="266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ht="45" customHeight="1" s="289">
      <c r="A68" s="113" t="n"/>
      <c r="B68" s="206" t="n"/>
      <c r="C68" s="104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 t="n"/>
      <c r="E68" s="114" t="n"/>
      <c r="F68" s="354">
        <f>IF(A68="","",IFERROR(VLOOKUP(A68,itens_Remanesc!$A:$C,3,0),""))</f>
        <v/>
      </c>
      <c r="G68" s="354">
        <f>IF(OR(E68="",F68=""),"",ROUND(E68*F68,2))</f>
        <v/>
      </c>
      <c r="H68" s="113" t="n"/>
      <c r="I68" s="324">
        <f>IFERROR(VLOOKUP(C68,parametros!$B:$F,5,0),"")</f>
        <v/>
      </c>
      <c r="J68" s="354">
        <f>IF(OR(L68="",F68=""),"",ROUND(L68*F68*IF(AND(UPPER(H68)="SIM",ISNUMBER(I68)),I68,1),2))</f>
        <v/>
      </c>
      <c r="K68" s="113" t="n"/>
      <c r="L68" s="90">
        <f>IF(OR(A68="",C68="",D68="",NOT(ISNUMBER(E68))),"",IF(LEFT(UPPER(D68),3)="ACR",ROUND(ABS(E68),2),IF(OR(LEFT(UPPER(D68),4)="SUPR",LEFT(UPPER(D68),4)="DECR"),ROUND(-ABS(E68),2),"")))</f>
        <v/>
      </c>
      <c r="M68" s="266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ht="45" customHeight="1" s="289">
      <c r="A69" s="113" t="n"/>
      <c r="B69" s="206" t="n"/>
      <c r="C69" s="104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 t="n"/>
      <c r="E69" s="114" t="n"/>
      <c r="F69" s="354">
        <f>IF(A69="","",IFERROR(VLOOKUP(A69,itens_Remanesc!$A:$C,3,0),""))</f>
        <v/>
      </c>
      <c r="G69" s="354">
        <f>IF(OR(E69="",F69=""),"",ROUND(E69*F69,2))</f>
        <v/>
      </c>
      <c r="H69" s="113" t="n"/>
      <c r="I69" s="324">
        <f>IFERROR(VLOOKUP(C69,parametros!$B:$F,5,0),"")</f>
        <v/>
      </c>
      <c r="J69" s="354">
        <f>IF(OR(L69="",F69=""),"",ROUND(L69*F69*IF(AND(UPPER(H69)="SIM",ISNUMBER(I69)),I69,1),2))</f>
        <v/>
      </c>
      <c r="K69" s="113" t="n"/>
      <c r="L69" s="90">
        <f>IF(OR(A69="",C69="",D69="",NOT(ISNUMBER(E69))),"",IF(LEFT(UPPER(D69),3)="ACR",ROUND(ABS(E69),2),IF(OR(LEFT(UPPER(D69),4)="SUPR",LEFT(UPPER(D69),4)="DECR"),ROUND(-ABS(E69),2),"")))</f>
        <v/>
      </c>
      <c r="M69" s="266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ht="45" customHeight="1" s="289">
      <c r="A70" s="113" t="n"/>
      <c r="B70" s="206" t="n"/>
      <c r="C70" s="104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 t="n"/>
      <c r="E70" s="114" t="n"/>
      <c r="F70" s="354">
        <f>IF(A70="","",IFERROR(VLOOKUP(A70,itens_Remanesc!$A:$C,3,0),""))</f>
        <v/>
      </c>
      <c r="G70" s="354">
        <f>IF(OR(E70="",F70=""),"",ROUND(E70*F70,2))</f>
        <v/>
      </c>
      <c r="H70" s="113" t="n"/>
      <c r="I70" s="324">
        <f>IFERROR(VLOOKUP(C70,parametros!$B:$F,5,0),"")</f>
        <v/>
      </c>
      <c r="J70" s="354">
        <f>IF(OR(L70="",F70=""),"",ROUND(L70*F70*IF(AND(UPPER(H70)="SIM",ISNUMBER(I70)),I70,1),2))</f>
        <v/>
      </c>
      <c r="K70" s="113" t="n"/>
      <c r="L70" s="90">
        <f>IF(OR(A70="",C70="",D70="",NOT(ISNUMBER(E70))),"",IF(LEFT(UPPER(D70),3)="ACR",ROUND(ABS(E70),2),IF(OR(LEFT(UPPER(D70),4)="SUPR",LEFT(UPPER(D70),4)="DECR"),ROUND(-ABS(E70),2),"")))</f>
        <v/>
      </c>
      <c r="M70" s="266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ht="45" customHeight="1" s="289">
      <c r="A71" s="113" t="n"/>
      <c r="B71" s="206" t="n"/>
      <c r="C71" s="104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 t="n"/>
      <c r="E71" s="114" t="n"/>
      <c r="F71" s="354">
        <f>IF(A71="","",IFERROR(VLOOKUP(A71,itens_Remanesc!$A:$C,3,0),""))</f>
        <v/>
      </c>
      <c r="G71" s="354">
        <f>IF(OR(E71="",F71=""),"",ROUND(E71*F71,2))</f>
        <v/>
      </c>
      <c r="H71" s="113" t="n"/>
      <c r="I71" s="324">
        <f>IFERROR(VLOOKUP(C71,parametros!$B:$F,5,0),"")</f>
        <v/>
      </c>
      <c r="J71" s="354">
        <f>IF(OR(L71="",F71=""),"",ROUND(L71*F71*IF(AND(UPPER(H71)="SIM",ISNUMBER(I71)),I71,1),2))</f>
        <v/>
      </c>
      <c r="K71" s="113" t="n"/>
      <c r="L71" s="90">
        <f>IF(OR(A71="",C71="",D71="",NOT(ISNUMBER(E71))),"",IF(LEFT(UPPER(D71),3)="ACR",ROUND(ABS(E71),2),IF(OR(LEFT(UPPER(D71),4)="SUPR",LEFT(UPPER(D71),4)="DECR"),ROUND(-ABS(E71),2),"")))</f>
        <v/>
      </c>
      <c r="M71" s="266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ht="45" customHeight="1" s="289">
      <c r="A72" s="113" t="n"/>
      <c r="B72" s="206" t="n"/>
      <c r="C72" s="104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 t="n"/>
      <c r="E72" s="114" t="n"/>
      <c r="F72" s="354">
        <f>IF(A72="","",IFERROR(VLOOKUP(A72,itens_Remanesc!$A:$C,3,0),""))</f>
        <v/>
      </c>
      <c r="G72" s="354">
        <f>IF(OR(E72="",F72=""),"",ROUND(E72*F72,2))</f>
        <v/>
      </c>
      <c r="H72" s="113" t="n"/>
      <c r="I72" s="324">
        <f>IFERROR(VLOOKUP(C72,parametros!$B:$F,5,0),"")</f>
        <v/>
      </c>
      <c r="J72" s="354">
        <f>IF(OR(L72="",F72=""),"",ROUND(L72*F72*IF(AND(UPPER(H72)="SIM",ISNUMBER(I72)),I72,1),2))</f>
        <v/>
      </c>
      <c r="K72" s="113" t="n"/>
      <c r="L72" s="90">
        <f>IF(OR(A72="",C72="",D72="",NOT(ISNUMBER(E72))),"",IF(LEFT(UPPER(D72),3)="ACR",ROUND(ABS(E72),2),IF(OR(LEFT(UPPER(D72),4)="SUPR",LEFT(UPPER(D72),4)="DECR"),ROUND(-ABS(E72),2),"")))</f>
        <v/>
      </c>
      <c r="M72" s="266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ht="45" customHeight="1" s="289">
      <c r="A73" s="113" t="n"/>
      <c r="B73" s="206" t="n"/>
      <c r="C73" s="104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 t="n"/>
      <c r="E73" s="114" t="n"/>
      <c r="F73" s="354">
        <f>IF(A73="","",IFERROR(VLOOKUP(A73,itens_Remanesc!$A:$C,3,0),""))</f>
        <v/>
      </c>
      <c r="G73" s="354">
        <f>IF(OR(E73="",F73=""),"",ROUND(E73*F73,2))</f>
        <v/>
      </c>
      <c r="H73" s="113" t="n"/>
      <c r="I73" s="324">
        <f>IFERROR(VLOOKUP(C73,parametros!$B:$F,5,0),"")</f>
        <v/>
      </c>
      <c r="J73" s="354">
        <f>IF(OR(L73="",F73=""),"",ROUND(L73*F73*IF(AND(UPPER(H73)="SIM",ISNUMBER(I73)),I73,1),2))</f>
        <v/>
      </c>
      <c r="K73" s="113" t="n"/>
      <c r="L73" s="90">
        <f>IF(OR(A73="",C73="",D73="",NOT(ISNUMBER(E73))),"",IF(LEFT(UPPER(D73),3)="ACR",ROUND(ABS(E73),2),IF(OR(LEFT(UPPER(D73),4)="SUPR",LEFT(UPPER(D73),4)="DECR"),ROUND(-ABS(E73),2),"")))</f>
        <v/>
      </c>
      <c r="M73" s="266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ht="45" customHeight="1" s="289">
      <c r="A74" s="113" t="n"/>
      <c r="B74" s="206" t="n"/>
      <c r="C74" s="104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 t="n"/>
      <c r="E74" s="114" t="n"/>
      <c r="F74" s="354">
        <f>IF(A74="","",IFERROR(VLOOKUP(A74,itens_Remanesc!$A:$C,3,0),""))</f>
        <v/>
      </c>
      <c r="G74" s="354">
        <f>IF(OR(E74="",F74=""),"",ROUND(E74*F74,2))</f>
        <v/>
      </c>
      <c r="H74" s="113" t="n"/>
      <c r="I74" s="324">
        <f>IFERROR(VLOOKUP(C74,parametros!$B:$F,5,0),"")</f>
        <v/>
      </c>
      <c r="J74" s="354">
        <f>IF(OR(L74="",F74=""),"",ROUND(L74*F74*IF(AND(UPPER(H74)="SIM",ISNUMBER(I74)),I74,1),2))</f>
        <v/>
      </c>
      <c r="K74" s="113" t="n"/>
      <c r="L74" s="90">
        <f>IF(OR(A74="",C74="",D74="",NOT(ISNUMBER(E74))),"",IF(LEFT(UPPER(D74),3)="ACR",ROUND(ABS(E74),2),IF(OR(LEFT(UPPER(D74),4)="SUPR",LEFT(UPPER(D74),4)="DECR"),ROUND(-ABS(E74),2),"")))</f>
        <v/>
      </c>
      <c r="M74" s="266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ht="45" customHeight="1" s="289">
      <c r="A75" s="113" t="n"/>
      <c r="B75" s="206" t="n"/>
      <c r="C75" s="104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 t="n"/>
      <c r="E75" s="114" t="n"/>
      <c r="F75" s="354">
        <f>IF(A75="","",IFERROR(VLOOKUP(A75,itens_Remanesc!$A:$C,3,0),""))</f>
        <v/>
      </c>
      <c r="G75" s="354">
        <f>IF(OR(E75="",F75=""),"",ROUND(E75*F75,2))</f>
        <v/>
      </c>
      <c r="H75" s="113" t="n"/>
      <c r="I75" s="324">
        <f>IFERROR(VLOOKUP(C75,parametros!$B:$F,5,0),"")</f>
        <v/>
      </c>
      <c r="J75" s="354">
        <f>IF(OR(L75="",F75=""),"",ROUND(L75*F75*IF(AND(UPPER(H75)="SIM",ISNUMBER(I75)),I75,1),2))</f>
        <v/>
      </c>
      <c r="K75" s="113" t="n"/>
      <c r="L75" s="90">
        <f>IF(OR(A75="",C75="",D75="",NOT(ISNUMBER(E75))),"",IF(LEFT(UPPER(D75),3)="ACR",ROUND(ABS(E75),2),IF(OR(LEFT(UPPER(D75),4)="SUPR",LEFT(UPPER(D75),4)="DECR"),ROUND(-ABS(E75),2),"")))</f>
        <v/>
      </c>
      <c r="M75" s="266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ht="45" customHeight="1" s="289">
      <c r="A76" s="113" t="n"/>
      <c r="B76" s="206" t="n"/>
      <c r="C76" s="104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 t="n"/>
      <c r="E76" s="114" t="n"/>
      <c r="F76" s="354">
        <f>IF(A76="","",IFERROR(VLOOKUP(A76,itens_Remanesc!$A:$C,3,0),""))</f>
        <v/>
      </c>
      <c r="G76" s="354">
        <f>IF(OR(E76="",F76=""),"",ROUND(E76*F76,2))</f>
        <v/>
      </c>
      <c r="H76" s="113" t="n"/>
      <c r="I76" s="324">
        <f>IFERROR(VLOOKUP(C76,parametros!$B:$F,5,0),"")</f>
        <v/>
      </c>
      <c r="J76" s="354">
        <f>IF(OR(L76="",F76=""),"",ROUND(L76*F76*IF(AND(UPPER(H76)="SIM",ISNUMBER(I76)),I76,1),2))</f>
        <v/>
      </c>
      <c r="K76" s="113" t="n"/>
      <c r="L76" s="90">
        <f>IF(OR(A76="",C76="",D76="",NOT(ISNUMBER(E76))),"",IF(LEFT(UPPER(D76),3)="ACR",ROUND(ABS(E76),2),IF(OR(LEFT(UPPER(D76),4)="SUPR",LEFT(UPPER(D76),4)="DECR"),ROUND(-ABS(E76),2),"")))</f>
        <v/>
      </c>
      <c r="M76" s="266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ht="45" customHeight="1" s="289">
      <c r="A77" s="113" t="n"/>
      <c r="B77" s="206" t="n"/>
      <c r="C77" s="104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 t="n"/>
      <c r="E77" s="114" t="n"/>
      <c r="F77" s="354">
        <f>IF(A77="","",IFERROR(VLOOKUP(A77,itens_Remanesc!$A:$C,3,0),""))</f>
        <v/>
      </c>
      <c r="G77" s="354">
        <f>IF(OR(E77="",F77=""),"",ROUND(E77*F77,2))</f>
        <v/>
      </c>
      <c r="H77" s="113" t="n"/>
      <c r="I77" s="324">
        <f>IFERROR(VLOOKUP(C77,parametros!$B:$F,5,0),"")</f>
        <v/>
      </c>
      <c r="J77" s="354">
        <f>IF(OR(L77="",F77=""),"",ROUND(L77*F77*IF(AND(UPPER(H77)="SIM",ISNUMBER(I77)),I77,1),2))</f>
        <v/>
      </c>
      <c r="K77" s="113" t="n"/>
      <c r="L77" s="90">
        <f>IF(OR(A77="",C77="",D77="",NOT(ISNUMBER(E77))),"",IF(LEFT(UPPER(D77),3)="ACR",ROUND(ABS(E77),2),IF(OR(LEFT(UPPER(D77),4)="SUPR",LEFT(UPPER(D77),4)="DECR"),ROUND(-ABS(E77),2),"")))</f>
        <v/>
      </c>
      <c r="M77" s="266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ht="45" customHeight="1" s="289">
      <c r="A78" s="113" t="n"/>
      <c r="B78" s="206" t="n"/>
      <c r="C78" s="104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 t="n"/>
      <c r="E78" s="114" t="n"/>
      <c r="F78" s="354">
        <f>IF(A78="","",IFERROR(VLOOKUP(A78,itens_Remanesc!$A:$C,3,0),""))</f>
        <v/>
      </c>
      <c r="G78" s="354">
        <f>IF(OR(E78="",F78=""),"",ROUND(E78*F78,2))</f>
        <v/>
      </c>
      <c r="H78" s="113" t="n"/>
      <c r="I78" s="324">
        <f>IFERROR(VLOOKUP(C78,parametros!$B:$F,5,0),"")</f>
        <v/>
      </c>
      <c r="J78" s="354">
        <f>IF(OR(L78="",F78=""),"",ROUND(L78*F78*IF(AND(UPPER(H78)="SIM",ISNUMBER(I78)),I78,1),2))</f>
        <v/>
      </c>
      <c r="K78" s="113" t="n"/>
      <c r="L78" s="90">
        <f>IF(OR(A78="",C78="",D78="",NOT(ISNUMBER(E78))),"",IF(LEFT(UPPER(D78),3)="ACR",ROUND(ABS(E78),2),IF(OR(LEFT(UPPER(D78),4)="SUPR",LEFT(UPPER(D78),4)="DECR"),ROUND(-ABS(E78),2),"")))</f>
        <v/>
      </c>
      <c r="M78" s="266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ht="45" customHeight="1" s="289">
      <c r="A79" s="113" t="n"/>
      <c r="B79" s="206" t="n"/>
      <c r="C79" s="104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 t="n"/>
      <c r="E79" s="114" t="n"/>
      <c r="F79" s="354">
        <f>IF(A79="","",IFERROR(VLOOKUP(A79,itens_Remanesc!$A:$C,3,0),""))</f>
        <v/>
      </c>
      <c r="G79" s="354">
        <f>IF(OR(E79="",F79=""),"",ROUND(E79*F79,2))</f>
        <v/>
      </c>
      <c r="H79" s="113" t="n"/>
      <c r="I79" s="324">
        <f>IFERROR(VLOOKUP(C79,parametros!$B:$F,5,0),"")</f>
        <v/>
      </c>
      <c r="J79" s="354">
        <f>IF(OR(L79="",F79=""),"",ROUND(L79*F79*IF(AND(UPPER(H79)="SIM",ISNUMBER(I79)),I79,1),2))</f>
        <v/>
      </c>
      <c r="K79" s="113" t="n"/>
      <c r="L79" s="90">
        <f>IF(OR(A79="",C79="",D79="",NOT(ISNUMBER(E79))),"",IF(LEFT(UPPER(D79),3)="ACR",ROUND(ABS(E79),2),IF(OR(LEFT(UPPER(D79),4)="SUPR",LEFT(UPPER(D79),4)="DECR"),ROUND(-ABS(E79),2),"")))</f>
        <v/>
      </c>
      <c r="M79" s="266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ht="45" customHeight="1" s="289">
      <c r="A80" s="113" t="n"/>
      <c r="B80" s="206" t="n"/>
      <c r="C80" s="104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 t="n"/>
      <c r="E80" s="114" t="n"/>
      <c r="F80" s="354">
        <f>IF(A80="","",IFERROR(VLOOKUP(A80,itens_Remanesc!$A:$C,3,0),""))</f>
        <v/>
      </c>
      <c r="G80" s="354">
        <f>IF(OR(E80="",F80=""),"",ROUND(E80*F80,2))</f>
        <v/>
      </c>
      <c r="H80" s="113" t="n"/>
      <c r="I80" s="324">
        <f>IFERROR(VLOOKUP(C80,parametros!$B:$F,5,0),"")</f>
        <v/>
      </c>
      <c r="J80" s="354">
        <f>IF(OR(L80="",F80=""),"",ROUND(L80*F80*IF(AND(UPPER(H80)="SIM",ISNUMBER(I80)),I80,1),2))</f>
        <v/>
      </c>
      <c r="K80" s="113" t="n"/>
      <c r="L80" s="90">
        <f>IF(OR(A80="",C80="",D80="",NOT(ISNUMBER(E80))),"",IF(LEFT(UPPER(D80),3)="ACR",ROUND(ABS(E80),2),IF(OR(LEFT(UPPER(D80),4)="SUPR",LEFT(UPPER(D80),4)="DECR"),ROUND(-ABS(E80),2),"")))</f>
        <v/>
      </c>
      <c r="M80" s="266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ht="45" customHeight="1" s="289">
      <c r="A81" s="113" t="n"/>
      <c r="B81" s="206" t="n"/>
      <c r="C81" s="104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 t="n"/>
      <c r="E81" s="114" t="n"/>
      <c r="F81" s="354">
        <f>IF(A81="","",IFERROR(VLOOKUP(A81,itens_Remanesc!$A:$C,3,0),""))</f>
        <v/>
      </c>
      <c r="G81" s="354">
        <f>IF(OR(E81="",F81=""),"",ROUND(E81*F81,2))</f>
        <v/>
      </c>
      <c r="H81" s="113" t="n"/>
      <c r="I81" s="324">
        <f>IFERROR(VLOOKUP(C81,parametros!$B:$F,5,0),"")</f>
        <v/>
      </c>
      <c r="J81" s="354">
        <f>IF(OR(L81="",F81=""),"",ROUND(L81*F81*IF(AND(UPPER(H81)="SIM",ISNUMBER(I81)),I81,1),2))</f>
        <v/>
      </c>
      <c r="K81" s="113" t="n"/>
      <c r="L81" s="90">
        <f>IF(OR(A81="",C81="",D81="",NOT(ISNUMBER(E81))),"",IF(LEFT(UPPER(D81),3)="ACR",ROUND(ABS(E81),2),IF(OR(LEFT(UPPER(D81),4)="SUPR",LEFT(UPPER(D81),4)="DECR"),ROUND(-ABS(E81),2),"")))</f>
        <v/>
      </c>
      <c r="M81" s="266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ht="45" customHeight="1" s="289">
      <c r="A82" s="113" t="n"/>
      <c r="B82" s="206" t="n"/>
      <c r="C82" s="104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 t="n"/>
      <c r="E82" s="114" t="n"/>
      <c r="F82" s="354">
        <f>IF(A82="","",IFERROR(VLOOKUP(A82,itens_Remanesc!$A:$C,3,0),""))</f>
        <v/>
      </c>
      <c r="G82" s="354">
        <f>IF(OR(E82="",F82=""),"",ROUND(E82*F82,2))</f>
        <v/>
      </c>
      <c r="H82" s="113" t="n"/>
      <c r="I82" s="324">
        <f>IFERROR(VLOOKUP(C82,parametros!$B:$F,5,0),"")</f>
        <v/>
      </c>
      <c r="J82" s="354">
        <f>IF(OR(L82="",F82=""),"",ROUND(L82*F82*IF(AND(UPPER(H82)="SIM",ISNUMBER(I82)),I82,1),2))</f>
        <v/>
      </c>
      <c r="K82" s="113" t="n"/>
      <c r="L82" s="90">
        <f>IF(OR(A82="",C82="",D82="",NOT(ISNUMBER(E82))),"",IF(LEFT(UPPER(D82),3)="ACR",ROUND(ABS(E82),2),IF(OR(LEFT(UPPER(D82),4)="SUPR",LEFT(UPPER(D82),4)="DECR"),ROUND(-ABS(E82),2),"")))</f>
        <v/>
      </c>
      <c r="M82" s="266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ht="45" customHeight="1" s="289">
      <c r="A83" s="113" t="n"/>
      <c r="B83" s="206" t="n"/>
      <c r="C83" s="104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 t="n"/>
      <c r="E83" s="114" t="n"/>
      <c r="F83" s="354">
        <f>IF(A83="","",IFERROR(VLOOKUP(A83,itens_Remanesc!$A:$C,3,0),""))</f>
        <v/>
      </c>
      <c r="G83" s="354">
        <f>IF(OR(E83="",F83=""),"",ROUND(E83*F83,2))</f>
        <v/>
      </c>
      <c r="H83" s="113" t="n"/>
      <c r="I83" s="324">
        <f>IFERROR(VLOOKUP(C83,parametros!$B:$F,5,0),"")</f>
        <v/>
      </c>
      <c r="J83" s="354">
        <f>IF(OR(L83="",F83=""),"",ROUND(L83*F83*IF(AND(UPPER(H83)="SIM",ISNUMBER(I83)),I83,1),2))</f>
        <v/>
      </c>
      <c r="K83" s="113" t="n"/>
      <c r="L83" s="90">
        <f>IF(OR(A83="",C83="",D83="",NOT(ISNUMBER(E83))),"",IF(LEFT(UPPER(D83),3)="ACR",ROUND(ABS(E83),2),IF(OR(LEFT(UPPER(D83),4)="SUPR",LEFT(UPPER(D83),4)="DECR"),ROUND(-ABS(E83),2),"")))</f>
        <v/>
      </c>
      <c r="M83" s="266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ht="45" customHeight="1" s="289">
      <c r="A84" s="113" t="n"/>
      <c r="B84" s="206" t="n"/>
      <c r="C84" s="104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 t="n"/>
      <c r="E84" s="114" t="n"/>
      <c r="F84" s="354">
        <f>IF(A84="","",IFERROR(VLOOKUP(A84,itens_Remanesc!$A:$C,3,0),""))</f>
        <v/>
      </c>
      <c r="G84" s="354">
        <f>IF(OR(E84="",F84=""),"",ROUND(E84*F84,2))</f>
        <v/>
      </c>
      <c r="H84" s="113" t="n"/>
      <c r="I84" s="324">
        <f>IFERROR(VLOOKUP(C84,parametros!$B:$F,5,0),"")</f>
        <v/>
      </c>
      <c r="J84" s="354">
        <f>IF(OR(L84="",F84=""),"",ROUND(L84*F84*IF(AND(UPPER(H84)="SIM",ISNUMBER(I84)),I84,1),2))</f>
        <v/>
      </c>
      <c r="K84" s="113" t="n"/>
      <c r="L84" s="90">
        <f>IF(OR(A84="",C84="",D84="",NOT(ISNUMBER(E84))),"",IF(LEFT(UPPER(D84),3)="ACR",ROUND(ABS(E84),2),IF(OR(LEFT(UPPER(D84),4)="SUPR",LEFT(UPPER(D84),4)="DECR"),ROUND(-ABS(E84),2),"")))</f>
        <v/>
      </c>
      <c r="M84" s="266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ht="45" customHeight="1" s="289">
      <c r="A85" s="113" t="n"/>
      <c r="B85" s="206" t="n"/>
      <c r="C85" s="104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 t="n"/>
      <c r="E85" s="114" t="n"/>
      <c r="F85" s="354">
        <f>IF(A85="","",IFERROR(VLOOKUP(A85,itens_Remanesc!$A:$C,3,0),""))</f>
        <v/>
      </c>
      <c r="G85" s="354">
        <f>IF(OR(E85="",F85=""),"",ROUND(E85*F85,2))</f>
        <v/>
      </c>
      <c r="H85" s="113" t="n"/>
      <c r="I85" s="324">
        <f>IFERROR(VLOOKUP(C85,parametros!$B:$F,5,0),"")</f>
        <v/>
      </c>
      <c r="J85" s="354">
        <f>IF(OR(L85="",F85=""),"",ROUND(L85*F85*IF(AND(UPPER(H85)="SIM",ISNUMBER(I85)),I85,1),2))</f>
        <v/>
      </c>
      <c r="K85" s="113" t="n"/>
      <c r="L85" s="90">
        <f>IF(OR(A85="",C85="",D85="",NOT(ISNUMBER(E85))),"",IF(LEFT(UPPER(D85),3)="ACR",ROUND(ABS(E85),2),IF(OR(LEFT(UPPER(D85),4)="SUPR",LEFT(UPPER(D85),4)="DECR"),ROUND(-ABS(E85),2),"")))</f>
        <v/>
      </c>
      <c r="M85" s="266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ht="45" customHeight="1" s="289">
      <c r="A86" s="113" t="n"/>
      <c r="B86" s="206" t="n"/>
      <c r="C86" s="104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 t="n"/>
      <c r="E86" s="114" t="n"/>
      <c r="F86" s="354">
        <f>IF(A86="","",IFERROR(VLOOKUP(A86,itens_Remanesc!$A:$C,3,0),""))</f>
        <v/>
      </c>
      <c r="G86" s="354">
        <f>IF(OR(E86="",F86=""),"",ROUND(E86*F86,2))</f>
        <v/>
      </c>
      <c r="H86" s="113" t="n"/>
      <c r="I86" s="324">
        <f>IFERROR(VLOOKUP(C86,parametros!$B:$F,5,0),"")</f>
        <v/>
      </c>
      <c r="J86" s="354">
        <f>IF(OR(L86="",F86=""),"",ROUND(L86*F86*IF(AND(UPPER(H86)="SIM",ISNUMBER(I86)),I86,1),2))</f>
        <v/>
      </c>
      <c r="K86" s="113" t="n"/>
      <c r="L86" s="90">
        <f>IF(OR(A86="",C86="",D86="",NOT(ISNUMBER(E86))),"",IF(LEFT(UPPER(D86),3)="ACR",ROUND(ABS(E86),2),IF(OR(LEFT(UPPER(D86),4)="SUPR",LEFT(UPPER(D86),4)="DECR"),ROUND(-ABS(E86),2),"")))</f>
        <v/>
      </c>
      <c r="M86" s="266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ht="45" customHeight="1" s="289">
      <c r="A87" s="113" t="n"/>
      <c r="B87" s="206" t="n"/>
      <c r="C87" s="104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 t="n"/>
      <c r="E87" s="114" t="n"/>
      <c r="F87" s="354">
        <f>IF(A87="","",IFERROR(VLOOKUP(A87,itens_Remanesc!$A:$C,3,0),""))</f>
        <v/>
      </c>
      <c r="G87" s="354">
        <f>IF(OR(E87="",F87=""),"",ROUND(E87*F87,2))</f>
        <v/>
      </c>
      <c r="H87" s="113" t="n"/>
      <c r="I87" s="324">
        <f>IFERROR(VLOOKUP(C87,parametros!$B:$F,5,0),"")</f>
        <v/>
      </c>
      <c r="J87" s="354">
        <f>IF(OR(L87="",F87=""),"",ROUND(L87*F87*IF(AND(UPPER(H87)="SIM",ISNUMBER(I87)),I87,1),2))</f>
        <v/>
      </c>
      <c r="K87" s="113" t="n"/>
      <c r="L87" s="90">
        <f>IF(OR(A87="",C87="",D87="",NOT(ISNUMBER(E87))),"",IF(LEFT(UPPER(D87),3)="ACR",ROUND(ABS(E87),2),IF(OR(LEFT(UPPER(D87),4)="SUPR",LEFT(UPPER(D87),4)="DECR"),ROUND(-ABS(E87),2),"")))</f>
        <v/>
      </c>
      <c r="M87" s="266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ht="45" customHeight="1" s="289">
      <c r="A88" s="113" t="n"/>
      <c r="B88" s="206" t="n"/>
      <c r="C88" s="104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 t="n"/>
      <c r="E88" s="114" t="n"/>
      <c r="F88" s="354">
        <f>IF(A88="","",IFERROR(VLOOKUP(A88,itens_Remanesc!$A:$C,3,0),""))</f>
        <v/>
      </c>
      <c r="G88" s="354">
        <f>IF(OR(E88="",F88=""),"",ROUND(E88*F88,2))</f>
        <v/>
      </c>
      <c r="H88" s="113" t="n"/>
      <c r="I88" s="324">
        <f>IFERROR(VLOOKUP(C88,parametros!$B:$F,5,0),"")</f>
        <v/>
      </c>
      <c r="J88" s="354">
        <f>IF(OR(L88="",F88=""),"",ROUND(L88*F88*IF(AND(UPPER(H88)="SIM",ISNUMBER(I88)),I88,1),2))</f>
        <v/>
      </c>
      <c r="K88" s="113" t="n"/>
      <c r="L88" s="90">
        <f>IF(OR(A88="",C88="",D88="",NOT(ISNUMBER(E88))),"",IF(LEFT(UPPER(D88),3)="ACR",ROUND(ABS(E88),2),IF(OR(LEFT(UPPER(D88),4)="SUPR",LEFT(UPPER(D88),4)="DECR"),ROUND(-ABS(E88),2),"")))</f>
        <v/>
      </c>
      <c r="M88" s="266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ht="45" customHeight="1" s="289">
      <c r="A89" s="113" t="n"/>
      <c r="B89" s="206" t="n"/>
      <c r="C89" s="104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 t="n"/>
      <c r="E89" s="114" t="n"/>
      <c r="F89" s="354">
        <f>IF(A89="","",IFERROR(VLOOKUP(A89,itens_Remanesc!$A:$C,3,0),""))</f>
        <v/>
      </c>
      <c r="G89" s="354">
        <f>IF(OR(E89="",F89=""),"",ROUND(E89*F89,2))</f>
        <v/>
      </c>
      <c r="H89" s="113" t="n"/>
      <c r="I89" s="324">
        <f>IFERROR(VLOOKUP(C89,parametros!$B:$F,5,0),"")</f>
        <v/>
      </c>
      <c r="J89" s="354">
        <f>IF(OR(L89="",F89=""),"",ROUND(L89*F89*IF(AND(UPPER(H89)="SIM",ISNUMBER(I89)),I89,1),2))</f>
        <v/>
      </c>
      <c r="K89" s="113" t="n"/>
      <c r="L89" s="90">
        <f>IF(OR(A89="",C89="",D89="",NOT(ISNUMBER(E89))),"",IF(LEFT(UPPER(D89),3)="ACR",ROUND(ABS(E89),2),IF(OR(LEFT(UPPER(D89),4)="SUPR",LEFT(UPPER(D89),4)="DECR"),ROUND(-ABS(E89),2),"")))</f>
        <v/>
      </c>
      <c r="M89" s="266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ht="45" customHeight="1" s="289">
      <c r="A90" s="113" t="n"/>
      <c r="B90" s="206" t="n"/>
      <c r="C90" s="104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 t="n"/>
      <c r="E90" s="114" t="n"/>
      <c r="F90" s="354">
        <f>IF(A90="","",IFERROR(VLOOKUP(A90,itens_Remanesc!$A:$C,3,0),""))</f>
        <v/>
      </c>
      <c r="G90" s="354">
        <f>IF(OR(E90="",F90=""),"",ROUND(E90*F90,2))</f>
        <v/>
      </c>
      <c r="H90" s="113" t="n"/>
      <c r="I90" s="324">
        <f>IFERROR(VLOOKUP(C90,parametros!$B:$F,5,0),"")</f>
        <v/>
      </c>
      <c r="J90" s="354">
        <f>IF(OR(L90="",F90=""),"",ROUND(L90*F90*IF(AND(UPPER(H90)="SIM",ISNUMBER(I90)),I90,1),2))</f>
        <v/>
      </c>
      <c r="K90" s="113" t="n"/>
      <c r="L90" s="90">
        <f>IF(OR(A90="",C90="",D90="",NOT(ISNUMBER(E90))),"",IF(LEFT(UPPER(D90),3)="ACR",ROUND(ABS(E90),2),IF(OR(LEFT(UPPER(D90),4)="SUPR",LEFT(UPPER(D90),4)="DECR"),ROUND(-ABS(E90),2),"")))</f>
        <v/>
      </c>
      <c r="M90" s="266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ht="45" customHeight="1" s="289">
      <c r="A91" s="113" t="n"/>
      <c r="B91" s="206" t="n"/>
      <c r="C91" s="104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 t="n"/>
      <c r="E91" s="114" t="n"/>
      <c r="F91" s="354">
        <f>IF(A91="","",IFERROR(VLOOKUP(A91,itens_Remanesc!$A:$C,3,0),""))</f>
        <v/>
      </c>
      <c r="G91" s="354">
        <f>IF(OR(E91="",F91=""),"",ROUND(E91*F91,2))</f>
        <v/>
      </c>
      <c r="H91" s="113" t="n"/>
      <c r="I91" s="324">
        <f>IFERROR(VLOOKUP(C91,parametros!$B:$F,5,0),"")</f>
        <v/>
      </c>
      <c r="J91" s="354">
        <f>IF(OR(L91="",F91=""),"",ROUND(L91*F91*IF(AND(UPPER(H91)="SIM",ISNUMBER(I91)),I91,1),2))</f>
        <v/>
      </c>
      <c r="K91" s="113" t="n"/>
      <c r="L91" s="90">
        <f>IF(OR(A91="",C91="",D91="",NOT(ISNUMBER(E91))),"",IF(LEFT(UPPER(D91),3)="ACR",ROUND(ABS(E91),2),IF(OR(LEFT(UPPER(D91),4)="SUPR",LEFT(UPPER(D91),4)="DECR"),ROUND(-ABS(E91),2),"")))</f>
        <v/>
      </c>
      <c r="M91" s="266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ht="45" customHeight="1" s="289">
      <c r="A92" s="113" t="n"/>
      <c r="B92" s="206" t="n"/>
      <c r="C92" s="104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 t="n"/>
      <c r="E92" s="114" t="n"/>
      <c r="F92" s="354">
        <f>IF(A92="","",IFERROR(VLOOKUP(A92,itens_Remanesc!$A:$C,3,0),""))</f>
        <v/>
      </c>
      <c r="G92" s="354">
        <f>IF(OR(E92="",F92=""),"",ROUND(E92*F92,2))</f>
        <v/>
      </c>
      <c r="H92" s="113" t="n"/>
      <c r="I92" s="324">
        <f>IFERROR(VLOOKUP(C92,parametros!$B:$F,5,0),"")</f>
        <v/>
      </c>
      <c r="J92" s="354">
        <f>IF(OR(L92="",F92=""),"",ROUND(L92*F92*IF(AND(UPPER(H92)="SIM",ISNUMBER(I92)),I92,1),2))</f>
        <v/>
      </c>
      <c r="K92" s="113" t="n"/>
      <c r="L92" s="90">
        <f>IF(OR(A92="",C92="",D92="",NOT(ISNUMBER(E92))),"",IF(LEFT(UPPER(D92),3)="ACR",ROUND(ABS(E92),2),IF(OR(LEFT(UPPER(D92),4)="SUPR",LEFT(UPPER(D92),4)="DECR"),ROUND(-ABS(E92),2),"")))</f>
        <v/>
      </c>
      <c r="M92" s="266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ht="45" customHeight="1" s="289">
      <c r="A93" s="113" t="n"/>
      <c r="B93" s="206" t="n"/>
      <c r="C93" s="104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 t="n"/>
      <c r="E93" s="114" t="n"/>
      <c r="F93" s="354">
        <f>IF(A93="","",IFERROR(VLOOKUP(A93,itens_Remanesc!$A:$C,3,0),""))</f>
        <v/>
      </c>
      <c r="G93" s="354">
        <f>IF(OR(E93="",F93=""),"",ROUND(E93*F93,2))</f>
        <v/>
      </c>
      <c r="H93" s="113" t="n"/>
      <c r="I93" s="324">
        <f>IFERROR(VLOOKUP(C93,parametros!$B:$F,5,0),"")</f>
        <v/>
      </c>
      <c r="J93" s="354">
        <f>IF(OR(L93="",F93=""),"",ROUND(L93*F93*IF(AND(UPPER(H93)="SIM",ISNUMBER(I93)),I93,1),2))</f>
        <v/>
      </c>
      <c r="K93" s="113" t="n"/>
      <c r="L93" s="90">
        <f>IF(OR(A93="",C93="",D93="",NOT(ISNUMBER(E93))),"",IF(LEFT(UPPER(D93),3)="ACR",ROUND(ABS(E93),2),IF(OR(LEFT(UPPER(D93),4)="SUPR",LEFT(UPPER(D93),4)="DECR"),ROUND(-ABS(E93),2),"")))</f>
        <v/>
      </c>
      <c r="M93" s="266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ht="45" customHeight="1" s="289">
      <c r="A94" s="113" t="n"/>
      <c r="B94" s="206" t="n"/>
      <c r="C94" s="104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 t="n"/>
      <c r="E94" s="114" t="n"/>
      <c r="F94" s="354">
        <f>IF(A94="","",IFERROR(VLOOKUP(A94,itens_Remanesc!$A:$C,3,0),""))</f>
        <v/>
      </c>
      <c r="G94" s="354">
        <f>IF(OR(E94="",F94=""),"",ROUND(E94*F94,2))</f>
        <v/>
      </c>
      <c r="H94" s="113" t="n"/>
      <c r="I94" s="324">
        <f>IFERROR(VLOOKUP(C94,parametros!$B:$F,5,0),"")</f>
        <v/>
      </c>
      <c r="J94" s="354">
        <f>IF(OR(L94="",F94=""),"",ROUND(L94*F94*IF(AND(UPPER(H94)="SIM",ISNUMBER(I94)),I94,1),2))</f>
        <v/>
      </c>
      <c r="K94" s="113" t="n"/>
      <c r="L94" s="90">
        <f>IF(OR(A94="",C94="",D94="",NOT(ISNUMBER(E94))),"",IF(LEFT(UPPER(D94),3)="ACR",ROUND(ABS(E94),2),IF(OR(LEFT(UPPER(D94),4)="SUPR",LEFT(UPPER(D94),4)="DECR"),ROUND(-ABS(E94),2),"")))</f>
        <v/>
      </c>
      <c r="M94" s="266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ht="45" customHeight="1" s="289">
      <c r="A95" s="113" t="n"/>
      <c r="B95" s="206" t="n"/>
      <c r="C95" s="104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 t="n"/>
      <c r="E95" s="114" t="n"/>
      <c r="F95" s="354">
        <f>IF(A95="","",IFERROR(VLOOKUP(A95,itens_Remanesc!$A:$C,3,0),""))</f>
        <v/>
      </c>
      <c r="G95" s="354">
        <f>IF(OR(E95="",F95=""),"",ROUND(E95*F95,2))</f>
        <v/>
      </c>
      <c r="H95" s="113" t="n"/>
      <c r="I95" s="324">
        <f>IFERROR(VLOOKUP(C95,parametros!$B:$F,5,0),"")</f>
        <v/>
      </c>
      <c r="J95" s="354">
        <f>IF(OR(L95="",F95=""),"",ROUND(L95*F95*IF(AND(UPPER(H95)="SIM",ISNUMBER(I95)),I95,1),2))</f>
        <v/>
      </c>
      <c r="K95" s="113" t="n"/>
      <c r="L95" s="90">
        <f>IF(OR(A95="",C95="",D95="",NOT(ISNUMBER(E95))),"",IF(LEFT(UPPER(D95),3)="ACR",ROUND(ABS(E95),2),IF(OR(LEFT(UPPER(D95),4)="SUPR",LEFT(UPPER(D95),4)="DECR"),ROUND(-ABS(E95),2),"")))</f>
        <v/>
      </c>
      <c r="M95" s="266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ht="45" customHeight="1" s="289">
      <c r="A96" s="113" t="n"/>
      <c r="B96" s="206" t="n"/>
      <c r="C96" s="104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 t="n"/>
      <c r="E96" s="114" t="n"/>
      <c r="F96" s="354">
        <f>IF(A96="","",IFERROR(VLOOKUP(A96,itens_Remanesc!$A:$C,3,0),""))</f>
        <v/>
      </c>
      <c r="G96" s="354">
        <f>IF(OR(E96="",F96=""),"",ROUND(E96*F96,2))</f>
        <v/>
      </c>
      <c r="H96" s="113" t="n"/>
      <c r="I96" s="324">
        <f>IFERROR(VLOOKUP(C96,parametros!$B:$F,5,0),"")</f>
        <v/>
      </c>
      <c r="J96" s="354">
        <f>IF(OR(L96="",F96=""),"",ROUND(L96*F96*IF(AND(UPPER(H96)="SIM",ISNUMBER(I96)),I96,1),2))</f>
        <v/>
      </c>
      <c r="K96" s="113" t="n"/>
      <c r="L96" s="90">
        <f>IF(OR(A96="",C96="",D96="",NOT(ISNUMBER(E96))),"",IF(LEFT(UPPER(D96),3)="ACR",ROUND(ABS(E96),2),IF(OR(LEFT(UPPER(D96),4)="SUPR",LEFT(UPPER(D96),4)="DECR"),ROUND(-ABS(E96),2),"")))</f>
        <v/>
      </c>
      <c r="M96" s="266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ht="45" customHeight="1" s="289">
      <c r="A97" s="113" t="n"/>
      <c r="B97" s="206" t="n"/>
      <c r="C97" s="104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 t="n"/>
      <c r="E97" s="114" t="n"/>
      <c r="F97" s="354">
        <f>IF(A97="","",IFERROR(VLOOKUP(A97,itens_Remanesc!$A:$C,3,0),""))</f>
        <v/>
      </c>
      <c r="G97" s="354">
        <f>IF(OR(E97="",F97=""),"",ROUND(E97*F97,2))</f>
        <v/>
      </c>
      <c r="H97" s="113" t="n"/>
      <c r="I97" s="324">
        <f>IFERROR(VLOOKUP(C97,parametros!$B:$F,5,0),"")</f>
        <v/>
      </c>
      <c r="J97" s="354">
        <f>IF(OR(L97="",F97=""),"",ROUND(L97*F97*IF(AND(UPPER(H97)="SIM",ISNUMBER(I97)),I97,1),2))</f>
        <v/>
      </c>
      <c r="K97" s="113" t="n"/>
      <c r="L97" s="90">
        <f>IF(OR(A97="",C97="",D97="",NOT(ISNUMBER(E97))),"",IF(LEFT(UPPER(D97),3)="ACR",ROUND(ABS(E97),2),IF(OR(LEFT(UPPER(D97),4)="SUPR",LEFT(UPPER(D97),4)="DECR"),ROUND(-ABS(E97),2),"")))</f>
        <v/>
      </c>
      <c r="M97" s="266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ht="45" customHeight="1" s="289">
      <c r="A98" s="113" t="n"/>
      <c r="B98" s="206" t="n"/>
      <c r="C98" s="104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 t="n"/>
      <c r="E98" s="114" t="n"/>
      <c r="F98" s="354">
        <f>IF(A98="","",IFERROR(VLOOKUP(A98,itens_Remanesc!$A:$C,3,0),""))</f>
        <v/>
      </c>
      <c r="G98" s="354">
        <f>IF(OR(E98="",F98=""),"",ROUND(E98*F98,2))</f>
        <v/>
      </c>
      <c r="H98" s="113" t="n"/>
      <c r="I98" s="324">
        <f>IFERROR(VLOOKUP(C98,parametros!$B:$F,5,0),"")</f>
        <v/>
      </c>
      <c r="J98" s="354">
        <f>IF(OR(L98="",F98=""),"",ROUND(L98*F98*IF(AND(UPPER(H98)="SIM",ISNUMBER(I98)),I98,1),2))</f>
        <v/>
      </c>
      <c r="K98" s="113" t="n"/>
      <c r="L98" s="90">
        <f>IF(OR(A98="",C98="",D98="",NOT(ISNUMBER(E98))),"",IF(LEFT(UPPER(D98),3)="ACR",ROUND(ABS(E98),2),IF(OR(LEFT(UPPER(D98),4)="SUPR",LEFT(UPPER(D98),4)="DECR"),ROUND(-ABS(E98),2),"")))</f>
        <v/>
      </c>
      <c r="M98" s="266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ht="45" customHeight="1" s="289">
      <c r="A99" s="113" t="n"/>
      <c r="B99" s="206" t="n"/>
      <c r="C99" s="104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 t="n"/>
      <c r="E99" s="114" t="n"/>
      <c r="F99" s="354">
        <f>IF(A99="","",IFERROR(VLOOKUP(A99,itens_Remanesc!$A:$C,3,0),""))</f>
        <v/>
      </c>
      <c r="G99" s="354">
        <f>IF(OR(E99="",F99=""),"",ROUND(E99*F99,2))</f>
        <v/>
      </c>
      <c r="H99" s="113" t="n"/>
      <c r="I99" s="324">
        <f>IFERROR(VLOOKUP(C99,parametros!$B:$F,5,0),"")</f>
        <v/>
      </c>
      <c r="J99" s="354">
        <f>IF(OR(L99="",F99=""),"",ROUND(L99*F99*IF(AND(UPPER(H99)="SIM",ISNUMBER(I99)),I99,1),2))</f>
        <v/>
      </c>
      <c r="K99" s="113" t="n"/>
      <c r="L99" s="90">
        <f>IF(OR(A99="",C99="",D99="",NOT(ISNUMBER(E99))),"",IF(LEFT(UPPER(D99),3)="ACR",ROUND(ABS(E99),2),IF(OR(LEFT(UPPER(D99),4)="SUPR",LEFT(UPPER(D99),4)="DECR"),ROUND(-ABS(E99),2),"")))</f>
        <v/>
      </c>
      <c r="M99" s="266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ht="45" customHeight="1" s="289">
      <c r="A100" s="113" t="n"/>
      <c r="B100" s="206" t="n"/>
      <c r="C100" s="104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 t="n"/>
      <c r="E100" s="114" t="n"/>
      <c r="F100" s="354">
        <f>IF(A100="","",IFERROR(VLOOKUP(A100,itens_Remanesc!$A:$C,3,0),""))</f>
        <v/>
      </c>
      <c r="G100" s="354">
        <f>IF(OR(E100="",F100=""),"",ROUND(E100*F100,2))</f>
        <v/>
      </c>
      <c r="H100" s="113" t="n"/>
      <c r="I100" s="324">
        <f>IFERROR(VLOOKUP(C100,parametros!$B:$F,5,0),"")</f>
        <v/>
      </c>
      <c r="J100" s="354">
        <f>IF(OR(L100="",F100=""),"",ROUND(L100*F100*IF(AND(UPPER(H100)="SIM",ISNUMBER(I100)),I100,1),2))</f>
        <v/>
      </c>
      <c r="K100" s="113" t="n"/>
      <c r="L100" s="90">
        <f>IF(OR(A100="",C100="",D100="",NOT(ISNUMBER(E100))),"",IF(LEFT(UPPER(D100),3)="ACR",ROUND(ABS(E100),2),IF(OR(LEFT(UPPER(D100),4)="SUPR",LEFT(UPPER(D100),4)="DECR"),ROUND(-ABS(E100),2),"")))</f>
        <v/>
      </c>
      <c r="M100" s="266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ht="45" customHeight="1" s="289">
      <c r="A101" s="113" t="n"/>
      <c r="B101" s="206" t="n"/>
      <c r="C101" s="104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 t="n"/>
      <c r="E101" s="114" t="n"/>
      <c r="F101" s="354">
        <f>IF(A101="","",IFERROR(VLOOKUP(A101,itens_Remanesc!$A:$C,3,0),""))</f>
        <v/>
      </c>
      <c r="G101" s="354">
        <f>IF(OR(E101="",F101=""),"",ROUND(E101*F101,2))</f>
        <v/>
      </c>
      <c r="H101" s="113" t="n"/>
      <c r="I101" s="324">
        <f>IFERROR(VLOOKUP(C101,parametros!$B:$F,5,0),"")</f>
        <v/>
      </c>
      <c r="J101" s="354">
        <f>IF(OR(L101="",F101=""),"",ROUND(L101*F101*IF(AND(UPPER(H101)="SIM",ISNUMBER(I101)),I101,1),2))</f>
        <v/>
      </c>
      <c r="K101" s="113" t="n"/>
      <c r="L101" s="90">
        <f>IF(OR(A101="",C101="",D101="",NOT(ISNUMBER(E101))),"",IF(LEFT(UPPER(D101),3)="ACR",ROUND(ABS(E101),2),IF(OR(LEFT(UPPER(D101),4)="SUPR",LEFT(UPPER(D101),4)="DECR"),ROUND(-ABS(E101),2),"")))</f>
        <v/>
      </c>
      <c r="M101" s="266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ht="45" customHeight="1" s="289">
      <c r="A102" s="113" t="n"/>
      <c r="B102" s="206" t="n"/>
      <c r="C102" s="104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 t="n"/>
      <c r="E102" s="114" t="n"/>
      <c r="F102" s="354">
        <f>IF(A102="","",IFERROR(VLOOKUP(A102,itens_Remanesc!$A:$C,3,0),""))</f>
        <v/>
      </c>
      <c r="G102" s="354">
        <f>IF(OR(E102="",F102=""),"",ROUND(E102*F102,2))</f>
        <v/>
      </c>
      <c r="H102" s="113" t="n"/>
      <c r="I102" s="324">
        <f>IFERROR(VLOOKUP(C102,parametros!$B:$F,5,0),"")</f>
        <v/>
      </c>
      <c r="J102" s="354">
        <f>IF(OR(L102="",F102=""),"",ROUND(L102*F102*IF(AND(UPPER(H102)="SIM",ISNUMBER(I102)),I102,1),2))</f>
        <v/>
      </c>
      <c r="K102" s="113" t="n"/>
      <c r="L102" s="90">
        <f>IF(OR(A102="",C102="",D102="",NOT(ISNUMBER(E102))),"",IF(LEFT(UPPER(D102),3)="ACR",ROUND(ABS(E102),2),IF(OR(LEFT(UPPER(D102),4)="SUPR",LEFT(UPPER(D102),4)="DECR"),ROUND(-ABS(E102),2),"")))</f>
        <v/>
      </c>
      <c r="M102" s="266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ht="45" customHeight="1" s="289">
      <c r="A103" s="113" t="n"/>
      <c r="B103" s="206" t="n"/>
      <c r="C103" s="104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 t="n"/>
      <c r="E103" s="114" t="n"/>
      <c r="F103" s="354">
        <f>IF(A103="","",IFERROR(VLOOKUP(A103,itens_Remanesc!$A:$C,3,0),""))</f>
        <v/>
      </c>
      <c r="G103" s="354">
        <f>IF(OR(E103="",F103=""),"",ROUND(E103*F103,2))</f>
        <v/>
      </c>
      <c r="H103" s="113" t="n"/>
      <c r="I103" s="324">
        <f>IFERROR(VLOOKUP(C103,parametros!$B:$F,5,0),"")</f>
        <v/>
      </c>
      <c r="J103" s="354">
        <f>IF(OR(L103="",F103=""),"",ROUND(L103*F103*IF(AND(UPPER(H103)="SIM",ISNUMBER(I103)),I103,1),2))</f>
        <v/>
      </c>
      <c r="K103" s="113" t="n"/>
      <c r="L103" s="90">
        <f>IF(OR(A103="",C103="",D103="",NOT(ISNUMBER(E103))),"",IF(LEFT(UPPER(D103),3)="ACR",ROUND(ABS(E103),2),IF(OR(LEFT(UPPER(D103),4)="SUPR",LEFT(UPPER(D103),4)="DECR"),ROUND(-ABS(E103),2),"")))</f>
        <v/>
      </c>
      <c r="M103" s="266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ht="45" customHeight="1" s="289">
      <c r="A104" s="113" t="n"/>
      <c r="B104" s="206" t="n"/>
      <c r="C104" s="104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 t="n"/>
      <c r="E104" s="114" t="n"/>
      <c r="F104" s="354">
        <f>IF(A104="","",IFERROR(VLOOKUP(A104,itens_Remanesc!$A:$C,3,0),""))</f>
        <v/>
      </c>
      <c r="G104" s="354">
        <f>IF(OR(E104="",F104=""),"",ROUND(E104*F104,2))</f>
        <v/>
      </c>
      <c r="H104" s="113" t="n"/>
      <c r="I104" s="324">
        <f>IFERROR(VLOOKUP(C104,parametros!$B:$F,5,0),"")</f>
        <v/>
      </c>
      <c r="J104" s="354">
        <f>IF(OR(L104="",F104=""),"",ROUND(L104*F104*IF(AND(UPPER(H104)="SIM",ISNUMBER(I104)),I104,1),2))</f>
        <v/>
      </c>
      <c r="K104" s="113" t="n"/>
      <c r="L104" s="90">
        <f>IF(OR(A104="",C104="",D104="",NOT(ISNUMBER(E104))),"",IF(LEFT(UPPER(D104),3)="ACR",ROUND(ABS(E104),2),IF(OR(LEFT(UPPER(D104),4)="SUPR",LEFT(UPPER(D104),4)="DECR"),ROUND(-ABS(E104),2),"")))</f>
        <v/>
      </c>
      <c r="M104" s="266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ht="45" customHeight="1" s="289">
      <c r="A105" s="113" t="n"/>
      <c r="B105" s="206" t="n"/>
      <c r="C105" s="104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 t="n"/>
      <c r="E105" s="114" t="n"/>
      <c r="F105" s="354">
        <f>IF(A105="","",IFERROR(VLOOKUP(A105,itens_Remanesc!$A:$C,3,0),""))</f>
        <v/>
      </c>
      <c r="G105" s="354">
        <f>IF(OR(E105="",F105=""),"",ROUND(E105*F105,2))</f>
        <v/>
      </c>
      <c r="H105" s="113" t="n"/>
      <c r="I105" s="324">
        <f>IFERROR(VLOOKUP(C105,parametros!$B:$F,5,0),"")</f>
        <v/>
      </c>
      <c r="J105" s="354">
        <f>IF(OR(L105="",F105=""),"",ROUND(L105*F105*IF(AND(UPPER(H105)="SIM",ISNUMBER(I105)),I105,1),2))</f>
        <v/>
      </c>
      <c r="K105" s="113" t="n"/>
      <c r="L105" s="90">
        <f>IF(OR(A105="",C105="",D105="",NOT(ISNUMBER(E105))),"",IF(LEFT(UPPER(D105),3)="ACR",ROUND(ABS(E105),2),IF(OR(LEFT(UPPER(D105),4)="SUPR",LEFT(UPPER(D105),4)="DECR"),ROUND(-ABS(E105),2),"")))</f>
        <v/>
      </c>
      <c r="M105" s="266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ht="45" customHeight="1" s="289">
      <c r="A106" s="113" t="n"/>
      <c r="B106" s="206" t="n"/>
      <c r="C106" s="104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 t="n"/>
      <c r="E106" s="114" t="n"/>
      <c r="F106" s="354">
        <f>IF(A106="","",IFERROR(VLOOKUP(A106,itens_Remanesc!$A:$C,3,0),""))</f>
        <v/>
      </c>
      <c r="G106" s="354">
        <f>IF(OR(E106="",F106=""),"",ROUND(E106*F106,2))</f>
        <v/>
      </c>
      <c r="H106" s="113" t="n"/>
      <c r="I106" s="324">
        <f>IFERROR(VLOOKUP(C106,parametros!$B:$F,5,0),"")</f>
        <v/>
      </c>
      <c r="J106" s="354">
        <f>IF(OR(L106="",F106=""),"",ROUND(L106*F106*IF(AND(UPPER(H106)="SIM",ISNUMBER(I106)),I106,1),2))</f>
        <v/>
      </c>
      <c r="K106" s="113" t="n"/>
      <c r="L106" s="90">
        <f>IF(OR(A106="",C106="",D106="",NOT(ISNUMBER(E106))),"",IF(LEFT(UPPER(D106),3)="ACR",ROUND(ABS(E106),2),IF(OR(LEFT(UPPER(D106),4)="SUPR",LEFT(UPPER(D106),4)="DECR"),ROUND(-ABS(E106),2),"")))</f>
        <v/>
      </c>
      <c r="M106" s="266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ht="45" customHeight="1" s="289">
      <c r="A107" s="113" t="n"/>
      <c r="B107" s="206" t="n"/>
      <c r="C107" s="104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 t="n"/>
      <c r="E107" s="114" t="n"/>
      <c r="F107" s="354">
        <f>IF(A107="","",IFERROR(VLOOKUP(A107,itens_Remanesc!$A:$C,3,0),""))</f>
        <v/>
      </c>
      <c r="G107" s="354">
        <f>IF(OR(E107="",F107=""),"",ROUND(E107*F107,2))</f>
        <v/>
      </c>
      <c r="H107" s="113" t="n"/>
      <c r="I107" s="324">
        <f>IFERROR(VLOOKUP(C107,parametros!$B:$F,5,0),"")</f>
        <v/>
      </c>
      <c r="J107" s="354">
        <f>IF(OR(L107="",F107=""),"",ROUND(L107*F107*IF(AND(UPPER(H107)="SIM",ISNUMBER(I107)),I107,1),2))</f>
        <v/>
      </c>
      <c r="K107" s="113" t="n"/>
      <c r="L107" s="90">
        <f>IF(OR(A107="",C107="",D107="",NOT(ISNUMBER(E107))),"",IF(LEFT(UPPER(D107),3)="ACR",ROUND(ABS(E107),2),IF(OR(LEFT(UPPER(D107),4)="SUPR",LEFT(UPPER(D107),4)="DECR"),ROUND(-ABS(E107),2),"")))</f>
        <v/>
      </c>
      <c r="M107" s="266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ht="45" customHeight="1" s="289">
      <c r="A108" s="113" t="n"/>
      <c r="B108" s="206" t="n"/>
      <c r="C108" s="104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 t="n"/>
      <c r="E108" s="114" t="n"/>
      <c r="F108" s="354">
        <f>IF(A108="","",IFERROR(VLOOKUP(A108,itens_Remanesc!$A:$C,3,0),""))</f>
        <v/>
      </c>
      <c r="G108" s="354">
        <f>IF(OR(E108="",F108=""),"",ROUND(E108*F108,2))</f>
        <v/>
      </c>
      <c r="H108" s="113" t="n"/>
      <c r="I108" s="324">
        <f>IFERROR(VLOOKUP(C108,parametros!$B:$F,5,0),"")</f>
        <v/>
      </c>
      <c r="J108" s="354">
        <f>IF(OR(L108="",F108=""),"",ROUND(L108*F108*IF(AND(UPPER(H108)="SIM",ISNUMBER(I108)),I108,1),2))</f>
        <v/>
      </c>
      <c r="K108" s="113" t="n"/>
      <c r="L108" s="90">
        <f>IF(OR(A108="",C108="",D108="",NOT(ISNUMBER(E108))),"",IF(LEFT(UPPER(D108),3)="ACR",ROUND(ABS(E108),2),IF(OR(LEFT(UPPER(D108),4)="SUPR",LEFT(UPPER(D108),4)="DECR"),ROUND(-ABS(E108),2),"")))</f>
        <v/>
      </c>
      <c r="M108" s="266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ht="45" customHeight="1" s="289">
      <c r="A109" s="113" t="n"/>
      <c r="B109" s="206" t="n"/>
      <c r="C109" s="104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 t="n"/>
      <c r="E109" s="114" t="n"/>
      <c r="F109" s="354">
        <f>IF(A109="","",IFERROR(VLOOKUP(A109,itens_Remanesc!$A:$C,3,0),""))</f>
        <v/>
      </c>
      <c r="G109" s="354">
        <f>IF(OR(E109="",F109=""),"",ROUND(E109*F109,2))</f>
        <v/>
      </c>
      <c r="H109" s="113" t="n"/>
      <c r="I109" s="324">
        <f>IFERROR(VLOOKUP(C109,parametros!$B:$F,5,0),"")</f>
        <v/>
      </c>
      <c r="J109" s="354">
        <f>IF(OR(L109="",F109=""),"",ROUND(L109*F109*IF(AND(UPPER(H109)="SIM",ISNUMBER(I109)),I109,1),2))</f>
        <v/>
      </c>
      <c r="K109" s="113" t="n"/>
      <c r="L109" s="90">
        <f>IF(OR(A109="",C109="",D109="",NOT(ISNUMBER(E109))),"",IF(LEFT(UPPER(D109),3)="ACR",ROUND(ABS(E109),2),IF(OR(LEFT(UPPER(D109),4)="SUPR",LEFT(UPPER(D109),4)="DECR"),ROUND(-ABS(E109),2),"")))</f>
        <v/>
      </c>
      <c r="M109" s="266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ht="45" customHeight="1" s="289">
      <c r="A110" s="113" t="n"/>
      <c r="B110" s="206" t="n"/>
      <c r="C110" s="104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 t="n"/>
      <c r="E110" s="114" t="n"/>
      <c r="F110" s="354">
        <f>IF(A110="","",IFERROR(VLOOKUP(A110,itens_Remanesc!$A:$C,3,0),""))</f>
        <v/>
      </c>
      <c r="G110" s="354">
        <f>IF(OR(E110="",F110=""),"",ROUND(E110*F110,2))</f>
        <v/>
      </c>
      <c r="H110" s="113" t="n"/>
      <c r="I110" s="324">
        <f>IFERROR(VLOOKUP(C110,parametros!$B:$F,5,0),"")</f>
        <v/>
      </c>
      <c r="J110" s="354">
        <f>IF(OR(L110="",F110=""),"",ROUND(L110*F110*IF(AND(UPPER(H110)="SIM",ISNUMBER(I110)),I110,1),2))</f>
        <v/>
      </c>
      <c r="K110" s="113" t="n"/>
      <c r="L110" s="90">
        <f>IF(OR(A110="",C110="",D110="",NOT(ISNUMBER(E110))),"",IF(LEFT(UPPER(D110),3)="ACR",ROUND(ABS(E110),2),IF(OR(LEFT(UPPER(D110),4)="SUPR",LEFT(UPPER(D110),4)="DECR"),ROUND(-ABS(E110),2),"")))</f>
        <v/>
      </c>
      <c r="M110" s="266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ht="45" customHeight="1" s="289">
      <c r="A111" s="113" t="n"/>
      <c r="B111" s="206" t="n"/>
      <c r="C111" s="104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 t="n"/>
      <c r="E111" s="114" t="n"/>
      <c r="F111" s="354">
        <f>IF(A111="","",IFERROR(VLOOKUP(A111,itens_Remanesc!$A:$C,3,0),""))</f>
        <v/>
      </c>
      <c r="G111" s="354">
        <f>IF(OR(E111="",F111=""),"",ROUND(E111*F111,2))</f>
        <v/>
      </c>
      <c r="H111" s="113" t="n"/>
      <c r="I111" s="324">
        <f>IFERROR(VLOOKUP(C111,parametros!$B:$F,5,0),"")</f>
        <v/>
      </c>
      <c r="J111" s="354">
        <f>IF(OR(L111="",F111=""),"",ROUND(L111*F111*IF(AND(UPPER(H111)="SIM",ISNUMBER(I111)),I111,1),2))</f>
        <v/>
      </c>
      <c r="K111" s="113" t="n"/>
      <c r="L111" s="90">
        <f>IF(OR(A111="",C111="",D111="",NOT(ISNUMBER(E111))),"",IF(LEFT(UPPER(D111),3)="ACR",ROUND(ABS(E111),2),IF(OR(LEFT(UPPER(D111),4)="SUPR",LEFT(UPPER(D111),4)="DECR"),ROUND(-ABS(E111),2),"")))</f>
        <v/>
      </c>
      <c r="M111" s="266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ht="45" customHeight="1" s="289">
      <c r="A112" s="113" t="n"/>
      <c r="B112" s="206" t="n"/>
      <c r="C112" s="104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 t="n"/>
      <c r="E112" s="114" t="n"/>
      <c r="F112" s="354">
        <f>IF(A112="","",IFERROR(VLOOKUP(A112,itens_Remanesc!$A:$C,3,0),""))</f>
        <v/>
      </c>
      <c r="G112" s="354">
        <f>IF(OR(E112="",F112=""),"",ROUND(E112*F112,2))</f>
        <v/>
      </c>
      <c r="H112" s="113" t="n"/>
      <c r="I112" s="324">
        <f>IFERROR(VLOOKUP(C112,parametros!$B:$F,5,0),"")</f>
        <v/>
      </c>
      <c r="J112" s="354">
        <f>IF(OR(L112="",F112=""),"",ROUND(L112*F112*IF(AND(UPPER(H112)="SIM",ISNUMBER(I112)),I112,1),2))</f>
        <v/>
      </c>
      <c r="K112" s="113" t="n"/>
      <c r="L112" s="90">
        <f>IF(OR(A112="",C112="",D112="",NOT(ISNUMBER(E112))),"",IF(LEFT(UPPER(D112),3)="ACR",ROUND(ABS(E112),2),IF(OR(LEFT(UPPER(D112),4)="SUPR",LEFT(UPPER(D112),4)="DECR"),ROUND(-ABS(E112),2),"")))</f>
        <v/>
      </c>
      <c r="M112" s="266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ht="45" customHeight="1" s="289">
      <c r="A113" s="113" t="n"/>
      <c r="B113" s="206" t="n"/>
      <c r="C113" s="104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 t="n"/>
      <c r="E113" s="114" t="n"/>
      <c r="F113" s="354">
        <f>IF(A113="","",IFERROR(VLOOKUP(A113,itens_Remanesc!$A:$C,3,0),""))</f>
        <v/>
      </c>
      <c r="G113" s="354">
        <f>IF(OR(E113="",F113=""),"",ROUND(E113*F113,2))</f>
        <v/>
      </c>
      <c r="H113" s="113" t="n"/>
      <c r="I113" s="324">
        <f>IFERROR(VLOOKUP(C113,parametros!$B:$F,5,0),"")</f>
        <v/>
      </c>
      <c r="J113" s="354">
        <f>IF(OR(L113="",F113=""),"",ROUND(L113*F113*IF(AND(UPPER(H113)="SIM",ISNUMBER(I113)),I113,1),2))</f>
        <v/>
      </c>
      <c r="K113" s="113" t="n"/>
      <c r="L113" s="90">
        <f>IF(OR(A113="",C113="",D113="",NOT(ISNUMBER(E113))),"",IF(LEFT(UPPER(D113),3)="ACR",ROUND(ABS(E113),2),IF(OR(LEFT(UPPER(D113),4)="SUPR",LEFT(UPPER(D113),4)="DECR"),ROUND(-ABS(E113),2),"")))</f>
        <v/>
      </c>
      <c r="M113" s="266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ht="45" customHeight="1" s="289">
      <c r="A114" s="113" t="n"/>
      <c r="B114" s="206" t="n"/>
      <c r="C114" s="104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 t="n"/>
      <c r="E114" s="114" t="n"/>
      <c r="F114" s="354">
        <f>IF(A114="","",IFERROR(VLOOKUP(A114,itens_Remanesc!$A:$C,3,0),""))</f>
        <v/>
      </c>
      <c r="G114" s="354">
        <f>IF(OR(E114="",F114=""),"",ROUND(E114*F114,2))</f>
        <v/>
      </c>
      <c r="H114" s="113" t="n"/>
      <c r="I114" s="324">
        <f>IFERROR(VLOOKUP(C114,parametros!$B:$F,5,0),"")</f>
        <v/>
      </c>
      <c r="J114" s="354">
        <f>IF(OR(L114="",F114=""),"",ROUND(L114*F114*IF(AND(UPPER(H114)="SIM",ISNUMBER(I114)),I114,1),2))</f>
        <v/>
      </c>
      <c r="K114" s="113" t="n"/>
      <c r="L114" s="90">
        <f>IF(OR(A114="",C114="",D114="",NOT(ISNUMBER(E114))),"",IF(LEFT(UPPER(D114),3)="ACR",ROUND(ABS(E114),2),IF(OR(LEFT(UPPER(D114),4)="SUPR",LEFT(UPPER(D114),4)="DECR"),ROUND(-ABS(E114),2),"")))</f>
        <v/>
      </c>
      <c r="M114" s="266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ht="45" customHeight="1" s="289">
      <c r="A115" s="113" t="n"/>
      <c r="B115" s="206" t="n"/>
      <c r="C115" s="104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 t="n"/>
      <c r="E115" s="114" t="n"/>
      <c r="F115" s="354">
        <f>IF(A115="","",IFERROR(VLOOKUP(A115,itens_Remanesc!$A:$C,3,0),""))</f>
        <v/>
      </c>
      <c r="G115" s="354">
        <f>IF(OR(E115="",F115=""),"",ROUND(E115*F115,2))</f>
        <v/>
      </c>
      <c r="H115" s="113" t="n"/>
      <c r="I115" s="324">
        <f>IFERROR(VLOOKUP(C115,parametros!$B:$F,5,0),"")</f>
        <v/>
      </c>
      <c r="J115" s="354">
        <f>IF(OR(L115="",F115=""),"",ROUND(L115*F115*IF(AND(UPPER(H115)="SIM",ISNUMBER(I115)),I115,1),2))</f>
        <v/>
      </c>
      <c r="K115" s="113" t="n"/>
      <c r="L115" s="90">
        <f>IF(OR(A115="",C115="",D115="",NOT(ISNUMBER(E115))),"",IF(LEFT(UPPER(D115),3)="ACR",ROUND(ABS(E115),2),IF(OR(LEFT(UPPER(D115),4)="SUPR",LEFT(UPPER(D115),4)="DECR"),ROUND(-ABS(E115),2),"")))</f>
        <v/>
      </c>
      <c r="M115" s="266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ht="45" customHeight="1" s="289">
      <c r="A116" s="113" t="n"/>
      <c r="B116" s="206" t="n"/>
      <c r="C116" s="104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 t="n"/>
      <c r="E116" s="114" t="n"/>
      <c r="F116" s="354">
        <f>IF(A116="","",IFERROR(VLOOKUP(A116,itens_Remanesc!$A:$C,3,0),""))</f>
        <v/>
      </c>
      <c r="G116" s="354">
        <f>IF(OR(E116="",F116=""),"",ROUND(E116*F116,2))</f>
        <v/>
      </c>
      <c r="H116" s="113" t="n"/>
      <c r="I116" s="324">
        <f>IFERROR(VLOOKUP(C116,parametros!$B:$F,5,0),"")</f>
        <v/>
      </c>
      <c r="J116" s="354">
        <f>IF(OR(L116="",F116=""),"",ROUND(L116*F116*IF(AND(UPPER(H116)="SIM",ISNUMBER(I116)),I116,1),2))</f>
        <v/>
      </c>
      <c r="K116" s="113" t="n"/>
      <c r="L116" s="90">
        <f>IF(OR(A116="",C116="",D116="",NOT(ISNUMBER(E116))),"",IF(LEFT(UPPER(D116),3)="ACR",ROUND(ABS(E116),2),IF(OR(LEFT(UPPER(D116),4)="SUPR",LEFT(UPPER(D116),4)="DECR"),ROUND(-ABS(E116),2),"")))</f>
        <v/>
      </c>
      <c r="M116" s="266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ht="45" customHeight="1" s="289">
      <c r="A117" s="113" t="n"/>
      <c r="B117" s="206" t="n"/>
      <c r="C117" s="104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 t="n"/>
      <c r="E117" s="114" t="n"/>
      <c r="F117" s="354">
        <f>IF(A117="","",IFERROR(VLOOKUP(A117,itens_Remanesc!$A:$C,3,0),""))</f>
        <v/>
      </c>
      <c r="G117" s="354">
        <f>IF(OR(E117="",F117=""),"",ROUND(E117*F117,2))</f>
        <v/>
      </c>
      <c r="H117" s="113" t="n"/>
      <c r="I117" s="324">
        <f>IFERROR(VLOOKUP(C117,parametros!$B:$F,5,0),"")</f>
        <v/>
      </c>
      <c r="J117" s="354">
        <f>IF(OR(L117="",F117=""),"",ROUND(L117*F117*IF(AND(UPPER(H117)="SIM",ISNUMBER(I117)),I117,1),2))</f>
        <v/>
      </c>
      <c r="K117" s="113" t="n"/>
      <c r="L117" s="90">
        <f>IF(OR(A117="",C117="",D117="",NOT(ISNUMBER(E117))),"",IF(LEFT(UPPER(D117),3)="ACR",ROUND(ABS(E117),2),IF(OR(LEFT(UPPER(D117),4)="SUPR",LEFT(UPPER(D117),4)="DECR"),ROUND(-ABS(E117),2),"")))</f>
        <v/>
      </c>
      <c r="M117" s="266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ht="45" customHeight="1" s="289">
      <c r="A118" s="113" t="n"/>
      <c r="B118" s="206" t="n"/>
      <c r="C118" s="104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 t="n"/>
      <c r="E118" s="114" t="n"/>
      <c r="F118" s="354">
        <f>IF(A118="","",IFERROR(VLOOKUP(A118,itens_Remanesc!$A:$C,3,0),""))</f>
        <v/>
      </c>
      <c r="G118" s="354">
        <f>IF(OR(E118="",F118=""),"",ROUND(E118*F118,2))</f>
        <v/>
      </c>
      <c r="H118" s="113" t="n"/>
      <c r="I118" s="324">
        <f>IFERROR(VLOOKUP(C118,parametros!$B:$F,5,0),"")</f>
        <v/>
      </c>
      <c r="J118" s="354">
        <f>IF(OR(L118="",F118=""),"",ROUND(L118*F118*IF(AND(UPPER(H118)="SIM",ISNUMBER(I118)),I118,1),2))</f>
        <v/>
      </c>
      <c r="K118" s="113" t="n"/>
      <c r="L118" s="90">
        <f>IF(OR(A118="",C118="",D118="",NOT(ISNUMBER(E118))),"",IF(LEFT(UPPER(D118),3)="ACR",ROUND(ABS(E118),2),IF(OR(LEFT(UPPER(D118),4)="SUPR",LEFT(UPPER(D118),4)="DECR"),ROUND(-ABS(E118),2),"")))</f>
        <v/>
      </c>
      <c r="M118" s="266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ht="45" customHeight="1" s="289">
      <c r="A119" s="113" t="n"/>
      <c r="B119" s="206" t="n"/>
      <c r="C119" s="104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 t="n"/>
      <c r="E119" s="114" t="n"/>
      <c r="F119" s="354">
        <f>IF(A119="","",IFERROR(VLOOKUP(A119,itens_Remanesc!$A:$C,3,0),""))</f>
        <v/>
      </c>
      <c r="G119" s="354">
        <f>IF(OR(E119="",F119=""),"",ROUND(E119*F119,2))</f>
        <v/>
      </c>
      <c r="H119" s="113" t="n"/>
      <c r="I119" s="324">
        <f>IFERROR(VLOOKUP(C119,parametros!$B:$F,5,0),"")</f>
        <v/>
      </c>
      <c r="J119" s="354">
        <f>IF(OR(L119="",F119=""),"",ROUND(L119*F119*IF(AND(UPPER(H119)="SIM",ISNUMBER(I119)),I119,1),2))</f>
        <v/>
      </c>
      <c r="K119" s="113" t="n"/>
      <c r="L119" s="90">
        <f>IF(OR(A119="",C119="",D119="",NOT(ISNUMBER(E119))),"",IF(LEFT(UPPER(D119),3)="ACR",ROUND(ABS(E119),2),IF(OR(LEFT(UPPER(D119),4)="SUPR",LEFT(UPPER(D119),4)="DECR"),ROUND(-ABS(E119),2),"")))</f>
        <v/>
      </c>
      <c r="M119" s="266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ht="45" customHeight="1" s="289">
      <c r="A120" s="113" t="n"/>
      <c r="B120" s="206" t="n"/>
      <c r="C120" s="104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 t="n"/>
      <c r="E120" s="114" t="n"/>
      <c r="F120" s="354">
        <f>IF(A120="","",IFERROR(VLOOKUP(A120,itens_Remanesc!$A:$C,3,0),""))</f>
        <v/>
      </c>
      <c r="G120" s="354">
        <f>IF(OR(E120="",F120=""),"",ROUND(E120*F120,2))</f>
        <v/>
      </c>
      <c r="H120" s="113" t="n"/>
      <c r="I120" s="324">
        <f>IFERROR(VLOOKUP(C120,parametros!$B:$F,5,0),"")</f>
        <v/>
      </c>
      <c r="J120" s="354">
        <f>IF(OR(L120="",F120=""),"",ROUND(L120*F120*IF(AND(UPPER(H120)="SIM",ISNUMBER(I120)),I120,1),2))</f>
        <v/>
      </c>
      <c r="K120" s="113" t="n"/>
      <c r="L120" s="90">
        <f>IF(OR(A120="",C120="",D120="",NOT(ISNUMBER(E120))),"",IF(LEFT(UPPER(D120),3)="ACR",ROUND(ABS(E120),2),IF(OR(LEFT(UPPER(D120),4)="SUPR",LEFT(UPPER(D120),4)="DECR"),ROUND(-ABS(E120),2),"")))</f>
        <v/>
      </c>
      <c r="M120" s="266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ht="45" customHeight="1" s="289">
      <c r="A121" s="113" t="n"/>
      <c r="B121" s="206" t="n"/>
      <c r="C121" s="104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 t="n"/>
      <c r="E121" s="114" t="n"/>
      <c r="F121" s="354">
        <f>IF(A121="","",IFERROR(VLOOKUP(A121,itens_Remanesc!$A:$C,3,0),""))</f>
        <v/>
      </c>
      <c r="G121" s="354">
        <f>IF(OR(E121="",F121=""),"",ROUND(E121*F121,2))</f>
        <v/>
      </c>
      <c r="H121" s="113" t="n"/>
      <c r="I121" s="324">
        <f>IFERROR(VLOOKUP(C121,parametros!$B:$F,5,0),"")</f>
        <v/>
      </c>
      <c r="J121" s="354">
        <f>IF(OR(L121="",F121=""),"",ROUND(L121*F121*IF(AND(UPPER(H121)="SIM",ISNUMBER(I121)),I121,1),2))</f>
        <v/>
      </c>
      <c r="K121" s="113" t="n"/>
      <c r="L121" s="90">
        <f>IF(OR(A121="",C121="",D121="",NOT(ISNUMBER(E121))),"",IF(LEFT(UPPER(D121),3)="ACR",ROUND(ABS(E121),2),IF(OR(LEFT(UPPER(D121),4)="SUPR",LEFT(UPPER(D121),4)="DECR"),ROUND(-ABS(E121),2),"")))</f>
        <v/>
      </c>
      <c r="M121" s="266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ht="45" customHeight="1" s="289">
      <c r="A122" s="113" t="n"/>
      <c r="B122" s="206" t="n"/>
      <c r="C122" s="104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 t="n"/>
      <c r="E122" s="114" t="n"/>
      <c r="F122" s="354">
        <f>IF(A122="","",IFERROR(VLOOKUP(A122,itens_Remanesc!$A:$C,3,0),""))</f>
        <v/>
      </c>
      <c r="G122" s="354">
        <f>IF(OR(E122="",F122=""),"",ROUND(E122*F122,2))</f>
        <v/>
      </c>
      <c r="H122" s="113" t="n"/>
      <c r="I122" s="324">
        <f>IFERROR(VLOOKUP(C122,parametros!$B:$F,5,0),"")</f>
        <v/>
      </c>
      <c r="J122" s="354">
        <f>IF(OR(L122="",F122=""),"",ROUND(L122*F122*IF(AND(UPPER(H122)="SIM",ISNUMBER(I122)),I122,1),2))</f>
        <v/>
      </c>
      <c r="K122" s="113" t="n"/>
      <c r="L122" s="90">
        <f>IF(OR(A122="",C122="",D122="",NOT(ISNUMBER(E122))),"",IF(LEFT(UPPER(D122),3)="ACR",ROUND(ABS(E122),2),IF(OR(LEFT(UPPER(D122),4)="SUPR",LEFT(UPPER(D122),4)="DECR"),ROUND(-ABS(E122),2),"")))</f>
        <v/>
      </c>
      <c r="M122" s="266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ht="45" customHeight="1" s="289">
      <c r="A123" s="113" t="n"/>
      <c r="B123" s="206" t="n"/>
      <c r="C123" s="104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 t="n"/>
      <c r="E123" s="114" t="n"/>
      <c r="F123" s="354">
        <f>IF(A123="","",IFERROR(VLOOKUP(A123,itens_Remanesc!$A:$C,3,0),""))</f>
        <v/>
      </c>
      <c r="G123" s="354">
        <f>IF(OR(E123="",F123=""),"",ROUND(E123*F123,2))</f>
        <v/>
      </c>
      <c r="H123" s="113" t="n"/>
      <c r="I123" s="324">
        <f>IFERROR(VLOOKUP(C123,parametros!$B:$F,5,0),"")</f>
        <v/>
      </c>
      <c r="J123" s="354">
        <f>IF(OR(L123="",F123=""),"",ROUND(L123*F123*IF(AND(UPPER(H123)="SIM",ISNUMBER(I123)),I123,1),2))</f>
        <v/>
      </c>
      <c r="K123" s="113" t="n"/>
      <c r="L123" s="90">
        <f>IF(OR(A123="",C123="",D123="",NOT(ISNUMBER(E123))),"",IF(LEFT(UPPER(D123),3)="ACR",ROUND(ABS(E123),2),IF(OR(LEFT(UPPER(D123),4)="SUPR",LEFT(UPPER(D123),4)="DECR"),ROUND(-ABS(E123),2),"")))</f>
        <v/>
      </c>
      <c r="M123" s="266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ht="45" customHeight="1" s="289">
      <c r="A124" s="113" t="n"/>
      <c r="B124" s="206" t="n"/>
      <c r="C124" s="104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 t="n"/>
      <c r="E124" s="114" t="n"/>
      <c r="F124" s="354">
        <f>IF(A124="","",IFERROR(VLOOKUP(A124,itens_Remanesc!$A:$C,3,0),""))</f>
        <v/>
      </c>
      <c r="G124" s="354">
        <f>IF(OR(E124="",F124=""),"",ROUND(E124*F124,2))</f>
        <v/>
      </c>
      <c r="H124" s="113" t="n"/>
      <c r="I124" s="324">
        <f>IFERROR(VLOOKUP(C124,parametros!$B:$F,5,0),"")</f>
        <v/>
      </c>
      <c r="J124" s="354">
        <f>IF(OR(L124="",F124=""),"",ROUND(L124*F124*IF(AND(UPPER(H124)="SIM",ISNUMBER(I124)),I124,1),2))</f>
        <v/>
      </c>
      <c r="K124" s="113" t="n"/>
      <c r="L124" s="90">
        <f>IF(OR(A124="",C124="",D124="",NOT(ISNUMBER(E124))),"",IF(LEFT(UPPER(D124),3)="ACR",ROUND(ABS(E124),2),IF(OR(LEFT(UPPER(D124),4)="SUPR",LEFT(UPPER(D124),4)="DECR"),ROUND(-ABS(E124),2),"")))</f>
        <v/>
      </c>
      <c r="M124" s="266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ht="45" customHeight="1" s="289">
      <c r="A125" s="113" t="n"/>
      <c r="B125" s="206" t="n"/>
      <c r="C125" s="104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 t="n"/>
      <c r="E125" s="114" t="n"/>
      <c r="F125" s="354">
        <f>IF(A125="","",IFERROR(VLOOKUP(A125,itens_Remanesc!$A:$C,3,0),""))</f>
        <v/>
      </c>
      <c r="G125" s="354">
        <f>IF(OR(E125="",F125=""),"",ROUND(E125*F125,2))</f>
        <v/>
      </c>
      <c r="H125" s="113" t="n"/>
      <c r="I125" s="324">
        <f>IFERROR(VLOOKUP(C125,parametros!$B:$F,5,0),"")</f>
        <v/>
      </c>
      <c r="J125" s="354">
        <f>IF(OR(L125="",F125=""),"",ROUND(L125*F125*IF(AND(UPPER(H125)="SIM",ISNUMBER(I125)),I125,1),2))</f>
        <v/>
      </c>
      <c r="K125" s="113" t="n"/>
      <c r="L125" s="90">
        <f>IF(OR(A125="",C125="",D125="",NOT(ISNUMBER(E125))),"",IF(LEFT(UPPER(D125),3)="ACR",ROUND(ABS(E125),2),IF(OR(LEFT(UPPER(D125),4)="SUPR",LEFT(UPPER(D125),4)="DECR"),ROUND(-ABS(E125),2),"")))</f>
        <v/>
      </c>
      <c r="M125" s="266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ht="45" customHeight="1" s="289">
      <c r="A126" s="113" t="n"/>
      <c r="B126" s="206" t="n"/>
      <c r="C126" s="104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 t="n"/>
      <c r="E126" s="114" t="n"/>
      <c r="F126" s="354">
        <f>IF(A126="","",IFERROR(VLOOKUP(A126,itens_Remanesc!$A:$C,3,0),""))</f>
        <v/>
      </c>
      <c r="G126" s="354">
        <f>IF(OR(E126="",F126=""),"",ROUND(E126*F126,2))</f>
        <v/>
      </c>
      <c r="H126" s="113" t="n"/>
      <c r="I126" s="324">
        <f>IFERROR(VLOOKUP(C126,parametros!$B:$F,5,0),"")</f>
        <v/>
      </c>
      <c r="J126" s="354">
        <f>IF(OR(L126="",F126=""),"",ROUND(L126*F126*IF(AND(UPPER(H126)="SIM",ISNUMBER(I126)),I126,1),2))</f>
        <v/>
      </c>
      <c r="K126" s="113" t="n"/>
      <c r="L126" s="90">
        <f>IF(OR(A126="",C126="",D126="",NOT(ISNUMBER(E126))),"",IF(LEFT(UPPER(D126),3)="ACR",ROUND(ABS(E126),2),IF(OR(LEFT(UPPER(D126),4)="SUPR",LEFT(UPPER(D126),4)="DECR"),ROUND(-ABS(E126),2),"")))</f>
        <v/>
      </c>
      <c r="M126" s="266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ht="45" customHeight="1" s="289">
      <c r="A127" s="113" t="n"/>
      <c r="B127" s="206" t="n"/>
      <c r="C127" s="104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 t="n"/>
      <c r="E127" s="114" t="n"/>
      <c r="F127" s="354">
        <f>IF(A127="","",IFERROR(VLOOKUP(A127,itens_Remanesc!$A:$C,3,0),""))</f>
        <v/>
      </c>
      <c r="G127" s="354">
        <f>IF(OR(E127="",F127=""),"",ROUND(E127*F127,2))</f>
        <v/>
      </c>
      <c r="H127" s="113" t="n"/>
      <c r="I127" s="324">
        <f>IFERROR(VLOOKUP(C127,parametros!$B:$F,5,0),"")</f>
        <v/>
      </c>
      <c r="J127" s="354">
        <f>IF(OR(L127="",F127=""),"",ROUND(L127*F127*IF(AND(UPPER(H127)="SIM",ISNUMBER(I127)),I127,1),2))</f>
        <v/>
      </c>
      <c r="K127" s="113" t="n"/>
      <c r="L127" s="90">
        <f>IF(OR(A127="",C127="",D127="",NOT(ISNUMBER(E127))),"",IF(LEFT(UPPER(D127),3)="ACR",ROUND(ABS(E127),2),IF(OR(LEFT(UPPER(D127),4)="SUPR",LEFT(UPPER(D127),4)="DECR"),ROUND(-ABS(E127),2),"")))</f>
        <v/>
      </c>
      <c r="M127" s="266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ht="45" customHeight="1" s="289">
      <c r="A128" s="113" t="n"/>
      <c r="B128" s="206" t="n"/>
      <c r="C128" s="104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 t="n"/>
      <c r="E128" s="114" t="n"/>
      <c r="F128" s="354">
        <f>IF(A128="","",IFERROR(VLOOKUP(A128,itens_Remanesc!$A:$C,3,0),""))</f>
        <v/>
      </c>
      <c r="G128" s="354">
        <f>IF(OR(E128="",F128=""),"",ROUND(E128*F128,2))</f>
        <v/>
      </c>
      <c r="H128" s="113" t="n"/>
      <c r="I128" s="324">
        <f>IFERROR(VLOOKUP(C128,parametros!$B:$F,5,0),"")</f>
        <v/>
      </c>
      <c r="J128" s="354">
        <f>IF(OR(L128="",F128=""),"",ROUND(L128*F128*IF(AND(UPPER(H128)="SIM",ISNUMBER(I128)),I128,1),2))</f>
        <v/>
      </c>
      <c r="K128" s="113" t="n"/>
      <c r="L128" s="90">
        <f>IF(OR(A128="",C128="",D128="",NOT(ISNUMBER(E128))),"",IF(LEFT(UPPER(D128),3)="ACR",ROUND(ABS(E128),2),IF(OR(LEFT(UPPER(D128),4)="SUPR",LEFT(UPPER(D128),4)="DECR"),ROUND(-ABS(E128),2),"")))</f>
        <v/>
      </c>
      <c r="M128" s="266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ht="45" customHeight="1" s="289">
      <c r="A129" s="113" t="n"/>
      <c r="B129" s="206" t="n"/>
      <c r="C129" s="104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 t="n"/>
      <c r="E129" s="114" t="n"/>
      <c r="F129" s="354">
        <f>IF(A129="","",IFERROR(VLOOKUP(A129,itens_Remanesc!$A:$C,3,0),""))</f>
        <v/>
      </c>
      <c r="G129" s="354">
        <f>IF(OR(E129="",F129=""),"",ROUND(E129*F129,2))</f>
        <v/>
      </c>
      <c r="H129" s="113" t="n"/>
      <c r="I129" s="324">
        <f>IFERROR(VLOOKUP(C129,parametros!$B:$F,5,0),"")</f>
        <v/>
      </c>
      <c r="J129" s="354">
        <f>IF(OR(L129="",F129=""),"",ROUND(L129*F129*IF(AND(UPPER(H129)="SIM",ISNUMBER(I129)),I129,1),2))</f>
        <v/>
      </c>
      <c r="K129" s="113" t="n"/>
      <c r="L129" s="90">
        <f>IF(OR(A129="",C129="",D129="",NOT(ISNUMBER(E129))),"",IF(LEFT(UPPER(D129),3)="ACR",ROUND(ABS(E129),2),IF(OR(LEFT(UPPER(D129),4)="SUPR",LEFT(UPPER(D129),4)="DECR"),ROUND(-ABS(E129),2),"")))</f>
        <v/>
      </c>
      <c r="M129" s="266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ht="45" customHeight="1" s="289">
      <c r="A130" s="113" t="n"/>
      <c r="B130" s="206" t="n"/>
      <c r="C130" s="104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 t="n"/>
      <c r="E130" s="114" t="n"/>
      <c r="F130" s="354">
        <f>IF(A130="","",IFERROR(VLOOKUP(A130,itens_Remanesc!$A:$C,3,0),""))</f>
        <v/>
      </c>
      <c r="G130" s="354">
        <f>IF(OR(E130="",F130=""),"",ROUND(E130*F130,2))</f>
        <v/>
      </c>
      <c r="H130" s="113" t="n"/>
      <c r="I130" s="324">
        <f>IFERROR(VLOOKUP(C130,parametros!$B:$F,5,0),"")</f>
        <v/>
      </c>
      <c r="J130" s="354">
        <f>IF(OR(L130="",F130=""),"",ROUND(L130*F130*IF(AND(UPPER(H130)="SIM",ISNUMBER(I130)),I130,1),2))</f>
        <v/>
      </c>
      <c r="K130" s="113" t="n"/>
      <c r="L130" s="90">
        <f>IF(OR(A130="",C130="",D130="",NOT(ISNUMBER(E130))),"",IF(LEFT(UPPER(D130),3)="ACR",ROUND(ABS(E130),2),IF(OR(LEFT(UPPER(D130),4)="SUPR",LEFT(UPPER(D130),4)="DECR"),ROUND(-ABS(E130),2),"")))</f>
        <v/>
      </c>
      <c r="M130" s="266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ht="45" customHeight="1" s="289">
      <c r="A131" s="113" t="n"/>
      <c r="B131" s="206" t="n"/>
      <c r="C131" s="104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 t="n"/>
      <c r="E131" s="114" t="n"/>
      <c r="F131" s="354">
        <f>IF(A131="","",IFERROR(VLOOKUP(A131,itens_Remanesc!$A:$C,3,0),""))</f>
        <v/>
      </c>
      <c r="G131" s="354">
        <f>IF(OR(E131="",F131=""),"",ROUND(E131*F131,2))</f>
        <v/>
      </c>
      <c r="H131" s="113" t="n"/>
      <c r="I131" s="324">
        <f>IFERROR(VLOOKUP(C131,parametros!$B:$F,5,0),"")</f>
        <v/>
      </c>
      <c r="J131" s="354">
        <f>IF(OR(L131="",F131=""),"",ROUND(L131*F131*IF(AND(UPPER(H131)="SIM",ISNUMBER(I131)),I131,1),2))</f>
        <v/>
      </c>
      <c r="K131" s="113" t="n"/>
      <c r="L131" s="90">
        <f>IF(OR(A131="",C131="",D131="",NOT(ISNUMBER(E131))),"",IF(LEFT(UPPER(D131),3)="ACR",ROUND(ABS(E131),2),IF(OR(LEFT(UPPER(D131),4)="SUPR",LEFT(UPPER(D131),4)="DECR"),ROUND(-ABS(E131),2),"")))</f>
        <v/>
      </c>
      <c r="M131" s="266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ht="45" customHeight="1" s="289">
      <c r="A132" s="113" t="n"/>
      <c r="B132" s="206" t="n"/>
      <c r="C132" s="104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 t="n"/>
      <c r="E132" s="114" t="n"/>
      <c r="F132" s="354">
        <f>IF(A132="","",IFERROR(VLOOKUP(A132,itens_Remanesc!$A:$C,3,0),""))</f>
        <v/>
      </c>
      <c r="G132" s="354">
        <f>IF(OR(E132="",F132=""),"",ROUND(E132*F132,2))</f>
        <v/>
      </c>
      <c r="H132" s="113" t="n"/>
      <c r="I132" s="324">
        <f>IFERROR(VLOOKUP(C132,parametros!$B:$F,5,0),"")</f>
        <v/>
      </c>
      <c r="J132" s="354">
        <f>IF(OR(L132="",F132=""),"",ROUND(L132*F132*IF(AND(UPPER(H132)="SIM",ISNUMBER(I132)),I132,1),2))</f>
        <v/>
      </c>
      <c r="K132" s="113" t="n"/>
      <c r="L132" s="90">
        <f>IF(OR(A132="",C132="",D132="",NOT(ISNUMBER(E132))),"",IF(LEFT(UPPER(D132),3)="ACR",ROUND(ABS(E132),2),IF(OR(LEFT(UPPER(D132),4)="SUPR",LEFT(UPPER(D132),4)="DECR"),ROUND(-ABS(E132),2),"")))</f>
        <v/>
      </c>
      <c r="M132" s="266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ht="45" customHeight="1" s="289">
      <c r="A133" s="113" t="n"/>
      <c r="B133" s="206" t="n"/>
      <c r="C133" s="104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 t="n"/>
      <c r="E133" s="114" t="n"/>
      <c r="F133" s="354">
        <f>IF(A133="","",IFERROR(VLOOKUP(A133,itens_Remanesc!$A:$C,3,0),""))</f>
        <v/>
      </c>
      <c r="G133" s="354">
        <f>IF(OR(E133="",F133=""),"",ROUND(E133*F133,2))</f>
        <v/>
      </c>
      <c r="H133" s="113" t="n"/>
      <c r="I133" s="324">
        <f>IFERROR(VLOOKUP(C133,parametros!$B:$F,5,0),"")</f>
        <v/>
      </c>
      <c r="J133" s="354">
        <f>IF(OR(L133="",F133=""),"",ROUND(L133*F133*IF(AND(UPPER(H133)="SIM",ISNUMBER(I133)),I133,1),2))</f>
        <v/>
      </c>
      <c r="K133" s="113" t="n"/>
      <c r="L133" s="90">
        <f>IF(OR(A133="",C133="",D133="",NOT(ISNUMBER(E133))),"",IF(LEFT(UPPER(D133),3)="ACR",ROUND(ABS(E133),2),IF(OR(LEFT(UPPER(D133),4)="SUPR",LEFT(UPPER(D133),4)="DECR"),ROUND(-ABS(E133),2),"")))</f>
        <v/>
      </c>
      <c r="M133" s="266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ht="45" customHeight="1" s="289">
      <c r="A134" s="113" t="n"/>
      <c r="B134" s="206" t="n"/>
      <c r="C134" s="104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 t="n"/>
      <c r="E134" s="114" t="n"/>
      <c r="F134" s="354">
        <f>IF(A134="","",IFERROR(VLOOKUP(A134,itens_Remanesc!$A:$C,3,0),""))</f>
        <v/>
      </c>
      <c r="G134" s="354">
        <f>IF(OR(E134="",F134=""),"",ROUND(E134*F134,2))</f>
        <v/>
      </c>
      <c r="H134" s="113" t="n"/>
      <c r="I134" s="324">
        <f>IFERROR(VLOOKUP(C134,parametros!$B:$F,5,0),"")</f>
        <v/>
      </c>
      <c r="J134" s="354">
        <f>IF(OR(L134="",F134=""),"",ROUND(L134*F134*IF(AND(UPPER(H134)="SIM",ISNUMBER(I134)),I134,1),2))</f>
        <v/>
      </c>
      <c r="K134" s="113" t="n"/>
      <c r="L134" s="90">
        <f>IF(OR(A134="",C134="",D134="",NOT(ISNUMBER(E134))),"",IF(LEFT(UPPER(D134),3)="ACR",ROUND(ABS(E134),2),IF(OR(LEFT(UPPER(D134),4)="SUPR",LEFT(UPPER(D134),4)="DECR"),ROUND(-ABS(E134),2),"")))</f>
        <v/>
      </c>
      <c r="M134" s="266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ht="45" customHeight="1" s="289">
      <c r="A135" s="113" t="n"/>
      <c r="B135" s="206" t="n"/>
      <c r="C135" s="104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 t="n"/>
      <c r="E135" s="114" t="n"/>
      <c r="F135" s="354">
        <f>IF(A135="","",IFERROR(VLOOKUP(A135,itens_Remanesc!$A:$C,3,0),""))</f>
        <v/>
      </c>
      <c r="G135" s="354">
        <f>IF(OR(E135="",F135=""),"",ROUND(E135*F135,2))</f>
        <v/>
      </c>
      <c r="H135" s="113" t="n"/>
      <c r="I135" s="324">
        <f>IFERROR(VLOOKUP(C135,parametros!$B:$F,5,0),"")</f>
        <v/>
      </c>
      <c r="J135" s="354">
        <f>IF(OR(L135="",F135=""),"",ROUND(L135*F135*IF(AND(UPPER(H135)="SIM",ISNUMBER(I135)),I135,1),2))</f>
        <v/>
      </c>
      <c r="K135" s="113" t="n"/>
      <c r="L135" s="90">
        <f>IF(OR(A135="",C135="",D135="",NOT(ISNUMBER(E135))),"",IF(LEFT(UPPER(D135),3)="ACR",ROUND(ABS(E135),2),IF(OR(LEFT(UPPER(D135),4)="SUPR",LEFT(UPPER(D135),4)="DECR"),ROUND(-ABS(E135),2),"")))</f>
        <v/>
      </c>
      <c r="M135" s="266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ht="45" customHeight="1" s="289">
      <c r="A136" s="113" t="n"/>
      <c r="B136" s="206" t="n"/>
      <c r="C136" s="104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 t="n"/>
      <c r="E136" s="114" t="n"/>
      <c r="F136" s="354">
        <f>IF(A136="","",IFERROR(VLOOKUP(A136,itens_Remanesc!$A:$C,3,0),""))</f>
        <v/>
      </c>
      <c r="G136" s="354">
        <f>IF(OR(E136="",F136=""),"",ROUND(E136*F136,2))</f>
        <v/>
      </c>
      <c r="H136" s="113" t="n"/>
      <c r="I136" s="324">
        <f>IFERROR(VLOOKUP(C136,parametros!$B:$F,5,0),"")</f>
        <v/>
      </c>
      <c r="J136" s="354">
        <f>IF(OR(L136="",F136=""),"",ROUND(L136*F136*IF(AND(UPPER(H136)="SIM",ISNUMBER(I136)),I136,1),2))</f>
        <v/>
      </c>
      <c r="K136" s="113" t="n"/>
      <c r="L136" s="90">
        <f>IF(OR(A136="",C136="",D136="",NOT(ISNUMBER(E136))),"",IF(LEFT(UPPER(D136),3)="ACR",ROUND(ABS(E136),2),IF(OR(LEFT(UPPER(D136),4)="SUPR",LEFT(UPPER(D136),4)="DECR"),ROUND(-ABS(E136),2),"")))</f>
        <v/>
      </c>
      <c r="M136" s="266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ht="45" customHeight="1" s="289">
      <c r="A137" s="113" t="n"/>
      <c r="B137" s="206" t="n"/>
      <c r="C137" s="104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 t="n"/>
      <c r="E137" s="114" t="n"/>
      <c r="F137" s="354">
        <f>IF(A137="","",IFERROR(VLOOKUP(A137,itens_Remanesc!$A:$C,3,0),""))</f>
        <v/>
      </c>
      <c r="G137" s="354">
        <f>IF(OR(E137="",F137=""),"",ROUND(E137*F137,2))</f>
        <v/>
      </c>
      <c r="H137" s="113" t="n"/>
      <c r="I137" s="324">
        <f>IFERROR(VLOOKUP(C137,parametros!$B:$F,5,0),"")</f>
        <v/>
      </c>
      <c r="J137" s="354">
        <f>IF(OR(L137="",F137=""),"",ROUND(L137*F137*IF(AND(UPPER(H137)="SIM",ISNUMBER(I137)),I137,1),2))</f>
        <v/>
      </c>
      <c r="K137" s="113" t="n"/>
      <c r="L137" s="90">
        <f>IF(OR(A137="",C137="",D137="",NOT(ISNUMBER(E137))),"",IF(LEFT(UPPER(D137),3)="ACR",ROUND(ABS(E137),2),IF(OR(LEFT(UPPER(D137),4)="SUPR",LEFT(UPPER(D137),4)="DECR"),ROUND(-ABS(E137),2),"")))</f>
        <v/>
      </c>
      <c r="M137" s="266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ht="45" customHeight="1" s="289">
      <c r="A138" s="113" t="n"/>
      <c r="B138" s="206" t="n"/>
      <c r="C138" s="104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 t="n"/>
      <c r="E138" s="114" t="n"/>
      <c r="F138" s="354">
        <f>IF(A138="","",IFERROR(VLOOKUP(A138,itens_Remanesc!$A:$C,3,0),""))</f>
        <v/>
      </c>
      <c r="G138" s="354">
        <f>IF(OR(E138="",F138=""),"",ROUND(E138*F138,2))</f>
        <v/>
      </c>
      <c r="H138" s="113" t="n"/>
      <c r="I138" s="324">
        <f>IFERROR(VLOOKUP(C138,parametros!$B:$F,5,0),"")</f>
        <v/>
      </c>
      <c r="J138" s="354">
        <f>IF(OR(L138="",F138=""),"",ROUND(L138*F138*IF(AND(UPPER(H138)="SIM",ISNUMBER(I138)),I138,1),2))</f>
        <v/>
      </c>
      <c r="K138" s="113" t="n"/>
      <c r="L138" s="90">
        <f>IF(OR(A138="",C138="",D138="",NOT(ISNUMBER(E138))),"",IF(LEFT(UPPER(D138),3)="ACR",ROUND(ABS(E138),2),IF(OR(LEFT(UPPER(D138),4)="SUPR",LEFT(UPPER(D138),4)="DECR"),ROUND(-ABS(E138),2),"")))</f>
        <v/>
      </c>
      <c r="M138" s="266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ht="45" customHeight="1" s="289">
      <c r="A139" s="113" t="n"/>
      <c r="B139" s="206" t="n"/>
      <c r="C139" s="104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 t="n"/>
      <c r="E139" s="114" t="n"/>
      <c r="F139" s="354">
        <f>IF(A139="","",IFERROR(VLOOKUP(A139,itens_Remanesc!$A:$C,3,0),""))</f>
        <v/>
      </c>
      <c r="G139" s="354">
        <f>IF(OR(E139="",F139=""),"",ROUND(E139*F139,2))</f>
        <v/>
      </c>
      <c r="H139" s="113" t="n"/>
      <c r="I139" s="324">
        <f>IFERROR(VLOOKUP(C139,parametros!$B:$F,5,0),"")</f>
        <v/>
      </c>
      <c r="J139" s="354">
        <f>IF(OR(L139="",F139=""),"",ROUND(L139*F139*IF(AND(UPPER(H139)="SIM",ISNUMBER(I139)),I139,1),2))</f>
        <v/>
      </c>
      <c r="K139" s="113" t="n"/>
      <c r="L139" s="90">
        <f>IF(OR(A139="",C139="",D139="",NOT(ISNUMBER(E139))),"",IF(LEFT(UPPER(D139),3)="ACR",ROUND(ABS(E139),2),IF(OR(LEFT(UPPER(D139),4)="SUPR",LEFT(UPPER(D139),4)="DECR"),ROUND(-ABS(E139),2),"")))</f>
        <v/>
      </c>
      <c r="M139" s="266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ht="45" customHeight="1" s="289">
      <c r="A140" s="113" t="n"/>
      <c r="B140" s="206" t="n"/>
      <c r="C140" s="104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 t="n"/>
      <c r="E140" s="114" t="n"/>
      <c r="F140" s="354">
        <f>IF(A140="","",IFERROR(VLOOKUP(A140,itens_Remanesc!$A:$C,3,0),""))</f>
        <v/>
      </c>
      <c r="G140" s="354">
        <f>IF(OR(E140="",F140=""),"",ROUND(E140*F140,2))</f>
        <v/>
      </c>
      <c r="H140" s="113" t="n"/>
      <c r="I140" s="324">
        <f>IFERROR(VLOOKUP(C140,parametros!$B:$F,5,0),"")</f>
        <v/>
      </c>
      <c r="J140" s="354">
        <f>IF(OR(L140="",F140=""),"",ROUND(L140*F140*IF(AND(UPPER(H140)="SIM",ISNUMBER(I140)),I140,1),2))</f>
        <v/>
      </c>
      <c r="K140" s="113" t="n"/>
      <c r="L140" s="90">
        <f>IF(OR(A140="",C140="",D140="",NOT(ISNUMBER(E140))),"",IF(LEFT(UPPER(D140),3)="ACR",ROUND(ABS(E140),2),IF(OR(LEFT(UPPER(D140),4)="SUPR",LEFT(UPPER(D140),4)="DECR"),ROUND(-ABS(E140),2),"")))</f>
        <v/>
      </c>
      <c r="M140" s="266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ht="45" customHeight="1" s="289">
      <c r="A141" s="113" t="n"/>
      <c r="B141" s="206" t="n"/>
      <c r="C141" s="104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 t="n"/>
      <c r="E141" s="114" t="n"/>
      <c r="F141" s="354">
        <f>IF(A141="","",IFERROR(VLOOKUP(A141,itens_Remanesc!$A:$C,3,0),""))</f>
        <v/>
      </c>
      <c r="G141" s="354">
        <f>IF(OR(E141="",F141=""),"",ROUND(E141*F141,2))</f>
        <v/>
      </c>
      <c r="H141" s="113" t="n"/>
      <c r="I141" s="324">
        <f>IFERROR(VLOOKUP(C141,parametros!$B:$F,5,0),"")</f>
        <v/>
      </c>
      <c r="J141" s="354">
        <f>IF(OR(L141="",F141=""),"",ROUND(L141*F141*IF(AND(UPPER(H141)="SIM",ISNUMBER(I141)),I141,1),2))</f>
        <v/>
      </c>
      <c r="K141" s="113" t="n"/>
      <c r="L141" s="90">
        <f>IF(OR(A141="",C141="",D141="",NOT(ISNUMBER(E141))),"",IF(LEFT(UPPER(D141),3)="ACR",ROUND(ABS(E141),2),IF(OR(LEFT(UPPER(D141),4)="SUPR",LEFT(UPPER(D141),4)="DECR"),ROUND(-ABS(E141),2),"")))</f>
        <v/>
      </c>
      <c r="M141" s="266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ht="45" customHeight="1" s="289">
      <c r="A142" s="113" t="n"/>
      <c r="B142" s="206" t="n"/>
      <c r="C142" s="104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 t="n"/>
      <c r="E142" s="114" t="n"/>
      <c r="F142" s="354">
        <f>IF(A142="","",IFERROR(VLOOKUP(A142,itens_Remanesc!$A:$C,3,0),""))</f>
        <v/>
      </c>
      <c r="G142" s="354">
        <f>IF(OR(E142="",F142=""),"",ROUND(E142*F142,2))</f>
        <v/>
      </c>
      <c r="H142" s="113" t="n"/>
      <c r="I142" s="324">
        <f>IFERROR(VLOOKUP(C142,parametros!$B:$F,5,0),"")</f>
        <v/>
      </c>
      <c r="J142" s="354">
        <f>IF(OR(L142="",F142=""),"",ROUND(L142*F142*IF(AND(UPPER(H142)="SIM",ISNUMBER(I142)),I142,1),2))</f>
        <v/>
      </c>
      <c r="K142" s="113" t="n"/>
      <c r="L142" s="90">
        <f>IF(OR(A142="",C142="",D142="",NOT(ISNUMBER(E142))),"",IF(LEFT(UPPER(D142),3)="ACR",ROUND(ABS(E142),2),IF(OR(LEFT(UPPER(D142),4)="SUPR",LEFT(UPPER(D142),4)="DECR"),ROUND(-ABS(E142),2),"")))</f>
        <v/>
      </c>
      <c r="M142" s="266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ht="45" customHeight="1" s="289">
      <c r="A143" s="113" t="n"/>
      <c r="B143" s="206" t="n"/>
      <c r="C143" s="104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 t="n"/>
      <c r="E143" s="114" t="n"/>
      <c r="F143" s="354">
        <f>IF(A143="","",IFERROR(VLOOKUP(A143,itens_Remanesc!$A:$C,3,0),""))</f>
        <v/>
      </c>
      <c r="G143" s="354">
        <f>IF(OR(E143="",F143=""),"",ROUND(E143*F143,2))</f>
        <v/>
      </c>
      <c r="H143" s="113" t="n"/>
      <c r="I143" s="324">
        <f>IFERROR(VLOOKUP(C143,parametros!$B:$F,5,0),"")</f>
        <v/>
      </c>
      <c r="J143" s="354">
        <f>IF(OR(L143="",F143=""),"",ROUND(L143*F143*IF(AND(UPPER(H143)="SIM",ISNUMBER(I143)),I143,1),2))</f>
        <v/>
      </c>
      <c r="K143" s="113" t="n"/>
      <c r="L143" s="90">
        <f>IF(OR(A143="",C143="",D143="",NOT(ISNUMBER(E143))),"",IF(LEFT(UPPER(D143),3)="ACR",ROUND(ABS(E143),2),IF(OR(LEFT(UPPER(D143),4)="SUPR",LEFT(UPPER(D143),4)="DECR"),ROUND(-ABS(E143),2),"")))</f>
        <v/>
      </c>
      <c r="M143" s="266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ht="45" customHeight="1" s="289">
      <c r="A144" s="113" t="n"/>
      <c r="B144" s="206" t="n"/>
      <c r="C144" s="104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 t="n"/>
      <c r="E144" s="114" t="n"/>
      <c r="F144" s="354">
        <f>IF(A144="","",IFERROR(VLOOKUP(A144,itens_Remanesc!$A:$C,3,0),""))</f>
        <v/>
      </c>
      <c r="G144" s="354">
        <f>IF(OR(E144="",F144=""),"",ROUND(E144*F144,2))</f>
        <v/>
      </c>
      <c r="H144" s="113" t="n"/>
      <c r="I144" s="324">
        <f>IFERROR(VLOOKUP(C144,parametros!$B:$F,5,0),"")</f>
        <v/>
      </c>
      <c r="J144" s="354">
        <f>IF(OR(L144="",F144=""),"",ROUND(L144*F144*IF(AND(UPPER(H144)="SIM",ISNUMBER(I144)),I144,1),2))</f>
        <v/>
      </c>
      <c r="K144" s="113" t="n"/>
      <c r="L144" s="90">
        <f>IF(OR(A144="",C144="",D144="",NOT(ISNUMBER(E144))),"",IF(LEFT(UPPER(D144),3)="ACR",ROUND(ABS(E144),2),IF(OR(LEFT(UPPER(D144),4)="SUPR",LEFT(UPPER(D144),4)="DECR"),ROUND(-ABS(E144),2),"")))</f>
        <v/>
      </c>
      <c r="M144" s="266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ht="45" customHeight="1" s="289">
      <c r="A145" s="113" t="n"/>
      <c r="B145" s="206" t="n"/>
      <c r="C145" s="104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 t="n"/>
      <c r="E145" s="114" t="n"/>
      <c r="F145" s="354">
        <f>IF(A145="","",IFERROR(VLOOKUP(A145,itens_Remanesc!$A:$C,3,0),""))</f>
        <v/>
      </c>
      <c r="G145" s="354">
        <f>IF(OR(E145="",F145=""),"",ROUND(E145*F145,2))</f>
        <v/>
      </c>
      <c r="H145" s="113" t="n"/>
      <c r="I145" s="324">
        <f>IFERROR(VLOOKUP(C145,parametros!$B:$F,5,0),"")</f>
        <v/>
      </c>
      <c r="J145" s="354">
        <f>IF(OR(L145="",F145=""),"",ROUND(L145*F145*IF(AND(UPPER(H145)="SIM",ISNUMBER(I145)),I145,1),2))</f>
        <v/>
      </c>
      <c r="K145" s="113" t="n"/>
      <c r="L145" s="90">
        <f>IF(OR(A145="",C145="",D145="",NOT(ISNUMBER(E145))),"",IF(LEFT(UPPER(D145),3)="ACR",ROUND(ABS(E145),2),IF(OR(LEFT(UPPER(D145),4)="SUPR",LEFT(UPPER(D145),4)="DECR"),ROUND(-ABS(E145),2),"")))</f>
        <v/>
      </c>
      <c r="M145" s="266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ht="45" customHeight="1" s="289">
      <c r="A146" s="113" t="n"/>
      <c r="B146" s="206" t="n"/>
      <c r="C146" s="104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 t="n"/>
      <c r="E146" s="114" t="n"/>
      <c r="F146" s="354">
        <f>IF(A146="","",IFERROR(VLOOKUP(A146,itens_Remanesc!$A:$C,3,0),""))</f>
        <v/>
      </c>
      <c r="G146" s="354">
        <f>IF(OR(E146="",F146=""),"",ROUND(E146*F146,2))</f>
        <v/>
      </c>
      <c r="H146" s="113" t="n"/>
      <c r="I146" s="324">
        <f>IFERROR(VLOOKUP(C146,parametros!$B:$F,5,0),"")</f>
        <v/>
      </c>
      <c r="J146" s="354">
        <f>IF(OR(L146="",F146=""),"",ROUND(L146*F146*IF(AND(UPPER(H146)="SIM",ISNUMBER(I146)),I146,1),2))</f>
        <v/>
      </c>
      <c r="K146" s="113" t="n"/>
      <c r="L146" s="90">
        <f>IF(OR(A146="",C146="",D146="",NOT(ISNUMBER(E146))),"",IF(LEFT(UPPER(D146),3)="ACR",ROUND(ABS(E146),2),IF(OR(LEFT(UPPER(D146),4)="SUPR",LEFT(UPPER(D146),4)="DECR"),ROUND(-ABS(E146),2),"")))</f>
        <v/>
      </c>
      <c r="M146" s="266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ht="45" customHeight="1" s="289">
      <c r="A147" s="113" t="n"/>
      <c r="B147" s="206" t="n"/>
      <c r="C147" s="104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 t="n"/>
      <c r="E147" s="114" t="n"/>
      <c r="F147" s="354">
        <f>IF(A147="","",IFERROR(VLOOKUP(A147,itens_Remanesc!$A:$C,3,0),""))</f>
        <v/>
      </c>
      <c r="G147" s="354">
        <f>IF(OR(E147="",F147=""),"",ROUND(E147*F147,2))</f>
        <v/>
      </c>
      <c r="H147" s="113" t="n"/>
      <c r="I147" s="324">
        <f>IFERROR(VLOOKUP(C147,parametros!$B:$F,5,0),"")</f>
        <v/>
      </c>
      <c r="J147" s="354">
        <f>IF(OR(L147="",F147=""),"",ROUND(L147*F147*IF(AND(UPPER(H147)="SIM",ISNUMBER(I147)),I147,1),2))</f>
        <v/>
      </c>
      <c r="K147" s="113" t="n"/>
      <c r="L147" s="90">
        <f>IF(OR(A147="",C147="",D147="",NOT(ISNUMBER(E147))),"",IF(LEFT(UPPER(D147),3)="ACR",ROUND(ABS(E147),2),IF(OR(LEFT(UPPER(D147),4)="SUPR",LEFT(UPPER(D147),4)="DECR"),ROUND(-ABS(E147),2),"")))</f>
        <v/>
      </c>
      <c r="M147" s="266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ht="45" customHeight="1" s="289">
      <c r="A148" s="113" t="n"/>
      <c r="B148" s="206" t="n"/>
      <c r="C148" s="104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 t="n"/>
      <c r="E148" s="114" t="n"/>
      <c r="F148" s="354">
        <f>IF(A148="","",IFERROR(VLOOKUP(A148,itens_Remanesc!$A:$C,3,0),""))</f>
        <v/>
      </c>
      <c r="G148" s="354">
        <f>IF(OR(E148="",F148=""),"",ROUND(E148*F148,2))</f>
        <v/>
      </c>
      <c r="H148" s="113" t="n"/>
      <c r="I148" s="324">
        <f>IFERROR(VLOOKUP(C148,parametros!$B:$F,5,0),"")</f>
        <v/>
      </c>
      <c r="J148" s="354">
        <f>IF(OR(L148="",F148=""),"",ROUND(L148*F148*IF(AND(UPPER(H148)="SIM",ISNUMBER(I148)),I148,1),2))</f>
        <v/>
      </c>
      <c r="K148" s="113" t="n"/>
      <c r="L148" s="90">
        <f>IF(OR(A148="",C148="",D148="",NOT(ISNUMBER(E148))),"",IF(LEFT(UPPER(D148),3)="ACR",ROUND(ABS(E148),2),IF(OR(LEFT(UPPER(D148),4)="SUPR",LEFT(UPPER(D148),4)="DECR"),ROUND(-ABS(E148),2),"")))</f>
        <v/>
      </c>
      <c r="M148" s="266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ht="45" customHeight="1" s="289">
      <c r="A149" s="113" t="n"/>
      <c r="B149" s="206" t="n"/>
      <c r="C149" s="104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 t="n"/>
      <c r="E149" s="114" t="n"/>
      <c r="F149" s="354">
        <f>IF(A149="","",IFERROR(VLOOKUP(A149,itens_Remanesc!$A:$C,3,0),""))</f>
        <v/>
      </c>
      <c r="G149" s="354">
        <f>IF(OR(E149="",F149=""),"",ROUND(E149*F149,2))</f>
        <v/>
      </c>
      <c r="H149" s="113" t="n"/>
      <c r="I149" s="324">
        <f>IFERROR(VLOOKUP(C149,parametros!$B:$F,5,0),"")</f>
        <v/>
      </c>
      <c r="J149" s="354">
        <f>IF(OR(L149="",F149=""),"",ROUND(L149*F149*IF(AND(UPPER(H149)="SIM",ISNUMBER(I149)),I149,1),2))</f>
        <v/>
      </c>
      <c r="K149" s="113" t="n"/>
      <c r="L149" s="90">
        <f>IF(OR(A149="",C149="",D149="",NOT(ISNUMBER(E149))),"",IF(LEFT(UPPER(D149),3)="ACR",ROUND(ABS(E149),2),IF(OR(LEFT(UPPER(D149),4)="SUPR",LEFT(UPPER(D149),4)="DECR"),ROUND(-ABS(E149),2),"")))</f>
        <v/>
      </c>
      <c r="M149" s="266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ht="45" customHeight="1" s="289">
      <c r="A150" s="113" t="n"/>
      <c r="B150" s="206" t="n"/>
      <c r="C150" s="104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 t="n"/>
      <c r="E150" s="114" t="n"/>
      <c r="F150" s="354">
        <f>IF(A150="","",IFERROR(VLOOKUP(A150,itens_Remanesc!$A:$C,3,0),""))</f>
        <v/>
      </c>
      <c r="G150" s="354">
        <f>IF(OR(E150="",F150=""),"",ROUND(E150*F150,2))</f>
        <v/>
      </c>
      <c r="H150" s="113" t="n"/>
      <c r="I150" s="324">
        <f>IFERROR(VLOOKUP(C150,parametros!$B:$F,5,0),"")</f>
        <v/>
      </c>
      <c r="J150" s="354">
        <f>IF(OR(L150="",F150=""),"",ROUND(L150*F150*IF(AND(UPPER(H150)="SIM",ISNUMBER(I150)),I150,1),2))</f>
        <v/>
      </c>
      <c r="K150" s="113" t="n"/>
      <c r="L150" s="90">
        <f>IF(OR(A150="",C150="",D150="",NOT(ISNUMBER(E150))),"",IF(LEFT(UPPER(D150),3)="ACR",ROUND(ABS(E150),2),IF(OR(LEFT(UPPER(D150),4)="SUPR",LEFT(UPPER(D150),4)="DECR"),ROUND(-ABS(E150),2),"")))</f>
        <v/>
      </c>
      <c r="M150" s="266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ht="45" customHeight="1" s="289">
      <c r="A151" s="113" t="n"/>
      <c r="B151" s="206" t="n"/>
      <c r="C151" s="104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 t="n"/>
      <c r="E151" s="114" t="n"/>
      <c r="F151" s="354">
        <f>IF(A151="","",IFERROR(VLOOKUP(A151,itens_Remanesc!$A:$C,3,0),""))</f>
        <v/>
      </c>
      <c r="G151" s="354">
        <f>IF(OR(E151="",F151=""),"",ROUND(E151*F151,2))</f>
        <v/>
      </c>
      <c r="H151" s="113" t="n"/>
      <c r="I151" s="324">
        <f>IFERROR(VLOOKUP(C151,parametros!$B:$F,5,0),"")</f>
        <v/>
      </c>
      <c r="J151" s="354">
        <f>IF(OR(L151="",F151=""),"",ROUND(L151*F151*IF(AND(UPPER(H151)="SIM",ISNUMBER(I151)),I151,1),2))</f>
        <v/>
      </c>
      <c r="K151" s="113" t="n"/>
      <c r="L151" s="90">
        <f>IF(OR(A151="",C151="",D151="",NOT(ISNUMBER(E151))),"",IF(LEFT(UPPER(D151),3)="ACR",ROUND(ABS(E151),2),IF(OR(LEFT(UPPER(D151),4)="SUPR",LEFT(UPPER(D151),4)="DECR"),ROUND(-ABS(E151),2),"")))</f>
        <v/>
      </c>
      <c r="M151" s="266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ht="45" customHeight="1" s="289">
      <c r="A152" s="113" t="n"/>
      <c r="B152" s="206" t="n"/>
      <c r="C152" s="104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 t="n"/>
      <c r="E152" s="114" t="n"/>
      <c r="F152" s="354">
        <f>IF(A152="","",IFERROR(VLOOKUP(A152,itens_Remanesc!$A:$C,3,0),""))</f>
        <v/>
      </c>
      <c r="G152" s="354">
        <f>IF(OR(E152="",F152=""),"",ROUND(E152*F152,2))</f>
        <v/>
      </c>
      <c r="H152" s="113" t="n"/>
      <c r="I152" s="324">
        <f>IFERROR(VLOOKUP(C152,parametros!$B:$F,5,0),"")</f>
        <v/>
      </c>
      <c r="J152" s="354">
        <f>IF(OR(L152="",F152=""),"",ROUND(L152*F152*IF(AND(UPPER(H152)="SIM",ISNUMBER(I152)),I152,1),2))</f>
        <v/>
      </c>
      <c r="K152" s="113" t="n"/>
      <c r="L152" s="90">
        <f>IF(OR(A152="",C152="",D152="",NOT(ISNUMBER(E152))),"",IF(LEFT(UPPER(D152),3)="ACR",ROUND(ABS(E152),2),IF(OR(LEFT(UPPER(D152),4)="SUPR",LEFT(UPPER(D152),4)="DECR"),ROUND(-ABS(E152),2),"")))</f>
        <v/>
      </c>
      <c r="M152" s="266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ht="45" customHeight="1" s="289">
      <c r="A153" s="113" t="n"/>
      <c r="B153" s="206" t="n"/>
      <c r="C153" s="104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 t="n"/>
      <c r="E153" s="114" t="n"/>
      <c r="F153" s="354">
        <f>IF(A153="","",IFERROR(VLOOKUP(A153,itens_Remanesc!$A:$C,3,0),""))</f>
        <v/>
      </c>
      <c r="G153" s="354">
        <f>IF(OR(E153="",F153=""),"",ROUND(E153*F153,2))</f>
        <v/>
      </c>
      <c r="H153" s="113" t="n"/>
      <c r="I153" s="324">
        <f>IFERROR(VLOOKUP(C153,parametros!$B:$F,5,0),"")</f>
        <v/>
      </c>
      <c r="J153" s="354">
        <f>IF(OR(L153="",F153=""),"",ROUND(L153*F153*IF(AND(UPPER(H153)="SIM",ISNUMBER(I153)),I153,1),2))</f>
        <v/>
      </c>
      <c r="K153" s="113" t="n"/>
      <c r="L153" s="90">
        <f>IF(OR(A153="",C153="",D153="",NOT(ISNUMBER(E153))),"",IF(LEFT(UPPER(D153),3)="ACR",ROUND(ABS(E153),2),IF(OR(LEFT(UPPER(D153),4)="SUPR",LEFT(UPPER(D153),4)="DECR"),ROUND(-ABS(E153),2),"")))</f>
        <v/>
      </c>
      <c r="M153" s="266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ht="45" customHeight="1" s="289">
      <c r="A154" s="113" t="n"/>
      <c r="B154" s="206" t="n"/>
      <c r="C154" s="104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 t="n"/>
      <c r="E154" s="114" t="n"/>
      <c r="F154" s="354">
        <f>IF(A154="","",IFERROR(VLOOKUP(A154,itens_Remanesc!$A:$C,3,0),""))</f>
        <v/>
      </c>
      <c r="G154" s="354">
        <f>IF(OR(E154="",F154=""),"",ROUND(E154*F154,2))</f>
        <v/>
      </c>
      <c r="H154" s="113" t="n"/>
      <c r="I154" s="324">
        <f>IFERROR(VLOOKUP(C154,parametros!$B:$F,5,0),"")</f>
        <v/>
      </c>
      <c r="J154" s="354">
        <f>IF(OR(L154="",F154=""),"",ROUND(L154*F154*IF(AND(UPPER(H154)="SIM",ISNUMBER(I154)),I154,1),2))</f>
        <v/>
      </c>
      <c r="K154" s="113" t="n"/>
      <c r="L154" s="90">
        <f>IF(OR(A154="",C154="",D154="",NOT(ISNUMBER(E154))),"",IF(LEFT(UPPER(D154),3)="ACR",ROUND(ABS(E154),2),IF(OR(LEFT(UPPER(D154),4)="SUPR",LEFT(UPPER(D154),4)="DECR"),ROUND(-ABS(E154),2),"")))</f>
        <v/>
      </c>
      <c r="M154" s="266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ht="45" customHeight="1" s="289">
      <c r="A155" s="113" t="n"/>
      <c r="B155" s="206" t="n"/>
      <c r="C155" s="104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 t="n"/>
      <c r="E155" s="114" t="n"/>
      <c r="F155" s="354">
        <f>IF(A155="","",IFERROR(VLOOKUP(A155,itens_Remanesc!$A:$C,3,0),""))</f>
        <v/>
      </c>
      <c r="G155" s="354">
        <f>IF(OR(E155="",F155=""),"",ROUND(E155*F155,2))</f>
        <v/>
      </c>
      <c r="H155" s="113" t="n"/>
      <c r="I155" s="324">
        <f>IFERROR(VLOOKUP(C155,parametros!$B:$F,5,0),"")</f>
        <v/>
      </c>
      <c r="J155" s="354">
        <f>IF(OR(L155="",F155=""),"",ROUND(L155*F155*IF(AND(UPPER(H155)="SIM",ISNUMBER(I155)),I155,1),2))</f>
        <v/>
      </c>
      <c r="K155" s="113" t="n"/>
      <c r="L155" s="90">
        <f>IF(OR(A155="",C155="",D155="",NOT(ISNUMBER(E155))),"",IF(LEFT(UPPER(D155),3)="ACR",ROUND(ABS(E155),2),IF(OR(LEFT(UPPER(D155),4)="SUPR",LEFT(UPPER(D155),4)="DECR"),ROUND(-ABS(E155),2),"")))</f>
        <v/>
      </c>
      <c r="M155" s="266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ht="45" customHeight="1" s="289">
      <c r="A156" s="113" t="n"/>
      <c r="B156" s="206" t="n"/>
      <c r="C156" s="104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 t="n"/>
      <c r="E156" s="114" t="n"/>
      <c r="F156" s="354">
        <f>IF(A156="","",IFERROR(VLOOKUP(A156,itens_Remanesc!$A:$C,3,0),""))</f>
        <v/>
      </c>
      <c r="G156" s="354">
        <f>IF(OR(E156="",F156=""),"",ROUND(E156*F156,2))</f>
        <v/>
      </c>
      <c r="H156" s="113" t="n"/>
      <c r="I156" s="324">
        <f>IFERROR(VLOOKUP(C156,parametros!$B:$F,5,0),"")</f>
        <v/>
      </c>
      <c r="J156" s="354">
        <f>IF(OR(L156="",F156=""),"",ROUND(L156*F156*IF(AND(UPPER(H156)="SIM",ISNUMBER(I156)),I156,1),2))</f>
        <v/>
      </c>
      <c r="K156" s="113" t="n"/>
      <c r="L156" s="90">
        <f>IF(OR(A156="",C156="",D156="",NOT(ISNUMBER(E156))),"",IF(LEFT(UPPER(D156),3)="ACR",ROUND(ABS(E156),2),IF(OR(LEFT(UPPER(D156),4)="SUPR",LEFT(UPPER(D156),4)="DECR"),ROUND(-ABS(E156),2),"")))</f>
        <v/>
      </c>
      <c r="M156" s="266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ht="45" customHeight="1" s="289">
      <c r="A157" s="113" t="n"/>
      <c r="B157" s="206" t="n"/>
      <c r="C157" s="104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 t="n"/>
      <c r="E157" s="114" t="n"/>
      <c r="F157" s="354">
        <f>IF(A157="","",IFERROR(VLOOKUP(A157,itens_Remanesc!$A:$C,3,0),""))</f>
        <v/>
      </c>
      <c r="G157" s="354">
        <f>IF(OR(E157="",F157=""),"",ROUND(E157*F157,2))</f>
        <v/>
      </c>
      <c r="H157" s="113" t="n"/>
      <c r="I157" s="324">
        <f>IFERROR(VLOOKUP(C157,parametros!$B:$F,5,0),"")</f>
        <v/>
      </c>
      <c r="J157" s="354">
        <f>IF(OR(L157="",F157=""),"",ROUND(L157*F157*IF(AND(UPPER(H157)="SIM",ISNUMBER(I157)),I157,1),2))</f>
        <v/>
      </c>
      <c r="K157" s="113" t="n"/>
      <c r="L157" s="90">
        <f>IF(OR(A157="",C157="",D157="",NOT(ISNUMBER(E157))),"",IF(LEFT(UPPER(D157),3)="ACR",ROUND(ABS(E157),2),IF(OR(LEFT(UPPER(D157),4)="SUPR",LEFT(UPPER(D157),4)="DECR"),ROUND(-ABS(E157),2),"")))</f>
        <v/>
      </c>
      <c r="M157" s="266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ht="45" customHeight="1" s="289">
      <c r="A158" s="113" t="n"/>
      <c r="B158" s="206" t="n"/>
      <c r="C158" s="104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 t="n"/>
      <c r="E158" s="114" t="n"/>
      <c r="F158" s="354">
        <f>IF(A158="","",IFERROR(VLOOKUP(A158,itens_Remanesc!$A:$C,3,0),""))</f>
        <v/>
      </c>
      <c r="G158" s="354">
        <f>IF(OR(E158="",F158=""),"",ROUND(E158*F158,2))</f>
        <v/>
      </c>
      <c r="H158" s="113" t="n"/>
      <c r="I158" s="324">
        <f>IFERROR(VLOOKUP(C158,parametros!$B:$F,5,0),"")</f>
        <v/>
      </c>
      <c r="J158" s="354">
        <f>IF(OR(L158="",F158=""),"",ROUND(L158*F158*IF(AND(UPPER(H158)="SIM",ISNUMBER(I158)),I158,1),2))</f>
        <v/>
      </c>
      <c r="K158" s="113" t="n"/>
      <c r="L158" s="90">
        <f>IF(OR(A158="",C158="",D158="",NOT(ISNUMBER(E158))),"",IF(LEFT(UPPER(D158),3)="ACR",ROUND(ABS(E158),2),IF(OR(LEFT(UPPER(D158),4)="SUPR",LEFT(UPPER(D158),4)="DECR"),ROUND(-ABS(E158),2),"")))</f>
        <v/>
      </c>
      <c r="M158" s="266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ht="45" customHeight="1" s="289">
      <c r="A159" s="113" t="n"/>
      <c r="B159" s="206" t="n"/>
      <c r="C159" s="104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 t="n"/>
      <c r="E159" s="114" t="n"/>
      <c r="F159" s="354">
        <f>IF(A159="","",IFERROR(VLOOKUP(A159,itens_Remanesc!$A:$C,3,0),""))</f>
        <v/>
      </c>
      <c r="G159" s="354">
        <f>IF(OR(E159="",F159=""),"",ROUND(E159*F159,2))</f>
        <v/>
      </c>
      <c r="H159" s="113" t="n"/>
      <c r="I159" s="324">
        <f>IFERROR(VLOOKUP(C159,parametros!$B:$F,5,0),"")</f>
        <v/>
      </c>
      <c r="J159" s="354">
        <f>IF(OR(L159="",F159=""),"",ROUND(L159*F159*IF(AND(UPPER(H159)="SIM",ISNUMBER(I159)),I159,1),2))</f>
        <v/>
      </c>
      <c r="K159" s="113" t="n"/>
      <c r="L159" s="90">
        <f>IF(OR(A159="",C159="",D159="",NOT(ISNUMBER(E159))),"",IF(LEFT(UPPER(D159),3)="ACR",ROUND(ABS(E159),2),IF(OR(LEFT(UPPER(D159),4)="SUPR",LEFT(UPPER(D159),4)="DECR"),ROUND(-ABS(E159),2),"")))</f>
        <v/>
      </c>
      <c r="M159" s="266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ht="45" customHeight="1" s="289">
      <c r="A160" s="113" t="n"/>
      <c r="B160" s="206" t="n"/>
      <c r="C160" s="104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 t="n"/>
      <c r="E160" s="114" t="n"/>
      <c r="F160" s="354">
        <f>IF(A160="","",IFERROR(VLOOKUP(A160,itens_Remanesc!$A:$C,3,0),""))</f>
        <v/>
      </c>
      <c r="G160" s="354">
        <f>IF(OR(E160="",F160=""),"",ROUND(E160*F160,2))</f>
        <v/>
      </c>
      <c r="H160" s="113" t="n"/>
      <c r="I160" s="324">
        <f>IFERROR(VLOOKUP(C160,parametros!$B:$F,5,0),"")</f>
        <v/>
      </c>
      <c r="J160" s="354">
        <f>IF(OR(L160="",F160=""),"",ROUND(L160*F160*IF(AND(UPPER(H160)="SIM",ISNUMBER(I160)),I160,1),2))</f>
        <v/>
      </c>
      <c r="K160" s="113" t="n"/>
      <c r="L160" s="90">
        <f>IF(OR(A160="",C160="",D160="",NOT(ISNUMBER(E160))),"",IF(LEFT(UPPER(D160),3)="ACR",ROUND(ABS(E160),2),IF(OR(LEFT(UPPER(D160),4)="SUPR",LEFT(UPPER(D160),4)="DECR"),ROUND(-ABS(E160),2),"")))</f>
        <v/>
      </c>
      <c r="M160" s="266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ht="45" customHeight="1" s="289">
      <c r="A161" s="113" t="n"/>
      <c r="B161" s="206" t="n"/>
      <c r="C161" s="104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 t="n"/>
      <c r="E161" s="114" t="n"/>
      <c r="F161" s="354">
        <f>IF(A161="","",IFERROR(VLOOKUP(A161,itens_Remanesc!$A:$C,3,0),""))</f>
        <v/>
      </c>
      <c r="G161" s="354">
        <f>IF(OR(E161="",F161=""),"",ROUND(E161*F161,2))</f>
        <v/>
      </c>
      <c r="H161" s="113" t="n"/>
      <c r="I161" s="324">
        <f>IFERROR(VLOOKUP(C161,parametros!$B:$F,5,0),"")</f>
        <v/>
      </c>
      <c r="J161" s="354">
        <f>IF(OR(L161="",F161=""),"",ROUND(L161*F161*IF(AND(UPPER(H161)="SIM",ISNUMBER(I161)),I161,1),2))</f>
        <v/>
      </c>
      <c r="K161" s="113" t="n"/>
      <c r="L161" s="90">
        <f>IF(OR(A161="",C161="",D161="",NOT(ISNUMBER(E161))),"",IF(LEFT(UPPER(D161),3)="ACR",ROUND(ABS(E161),2),IF(OR(LEFT(UPPER(D161),4)="SUPR",LEFT(UPPER(D161),4)="DECR"),ROUND(-ABS(E161),2),"")))</f>
        <v/>
      </c>
      <c r="M161" s="266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ht="45" customHeight="1" s="289">
      <c r="A162" s="113" t="n"/>
      <c r="B162" s="206" t="n"/>
      <c r="C162" s="104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 t="n"/>
      <c r="E162" s="114" t="n"/>
      <c r="F162" s="354">
        <f>IF(A162="","",IFERROR(VLOOKUP(A162,itens_Remanesc!$A:$C,3,0),""))</f>
        <v/>
      </c>
      <c r="G162" s="354">
        <f>IF(OR(E162="",F162=""),"",ROUND(E162*F162,2))</f>
        <v/>
      </c>
      <c r="H162" s="113" t="n"/>
      <c r="I162" s="324">
        <f>IFERROR(VLOOKUP(C162,parametros!$B:$F,5,0),"")</f>
        <v/>
      </c>
      <c r="J162" s="354">
        <f>IF(OR(L162="",F162=""),"",ROUND(L162*F162*IF(AND(UPPER(H162)="SIM",ISNUMBER(I162)),I162,1),2))</f>
        <v/>
      </c>
      <c r="K162" s="113" t="n"/>
      <c r="L162" s="90">
        <f>IF(OR(A162="",C162="",D162="",NOT(ISNUMBER(E162))),"",IF(LEFT(UPPER(D162),3)="ACR",ROUND(ABS(E162),2),IF(OR(LEFT(UPPER(D162),4)="SUPR",LEFT(UPPER(D162),4)="DECR"),ROUND(-ABS(E162),2),"")))</f>
        <v/>
      </c>
      <c r="M162" s="266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ht="45" customHeight="1" s="289">
      <c r="A163" s="113" t="n"/>
      <c r="B163" s="206" t="n"/>
      <c r="C163" s="104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 t="n"/>
      <c r="E163" s="114" t="n"/>
      <c r="F163" s="354">
        <f>IF(A163="","",IFERROR(VLOOKUP(A163,itens_Remanesc!$A:$C,3,0),""))</f>
        <v/>
      </c>
      <c r="G163" s="354">
        <f>IF(OR(E163="",F163=""),"",ROUND(E163*F163,2))</f>
        <v/>
      </c>
      <c r="H163" s="113" t="n"/>
      <c r="I163" s="324">
        <f>IFERROR(VLOOKUP(C163,parametros!$B:$F,5,0),"")</f>
        <v/>
      </c>
      <c r="J163" s="354">
        <f>IF(OR(L163="",F163=""),"",ROUND(L163*F163*IF(AND(UPPER(H163)="SIM",ISNUMBER(I163)),I163,1),2))</f>
        <v/>
      </c>
      <c r="K163" s="113" t="n"/>
      <c r="L163" s="90">
        <f>IF(OR(A163="",C163="",D163="",NOT(ISNUMBER(E163))),"",IF(LEFT(UPPER(D163),3)="ACR",ROUND(ABS(E163),2),IF(OR(LEFT(UPPER(D163),4)="SUPR",LEFT(UPPER(D163),4)="DECR"),ROUND(-ABS(E163),2),"")))</f>
        <v/>
      </c>
      <c r="M163" s="266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ht="45" customHeight="1" s="289">
      <c r="A164" s="113" t="n"/>
      <c r="B164" s="206" t="n"/>
      <c r="C164" s="104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 t="n"/>
      <c r="E164" s="114" t="n"/>
      <c r="F164" s="354">
        <f>IF(A164="","",IFERROR(VLOOKUP(A164,itens_Remanesc!$A:$C,3,0),""))</f>
        <v/>
      </c>
      <c r="G164" s="354">
        <f>IF(OR(E164="",F164=""),"",ROUND(E164*F164,2))</f>
        <v/>
      </c>
      <c r="H164" s="113" t="n"/>
      <c r="I164" s="324">
        <f>IFERROR(VLOOKUP(C164,parametros!$B:$F,5,0),"")</f>
        <v/>
      </c>
      <c r="J164" s="354">
        <f>IF(OR(L164="",F164=""),"",ROUND(L164*F164*IF(AND(UPPER(H164)="SIM",ISNUMBER(I164)),I164,1),2))</f>
        <v/>
      </c>
      <c r="K164" s="113" t="n"/>
      <c r="L164" s="90">
        <f>IF(OR(A164="",C164="",D164="",NOT(ISNUMBER(E164))),"",IF(LEFT(UPPER(D164),3)="ACR",ROUND(ABS(E164),2),IF(OR(LEFT(UPPER(D164),4)="SUPR",LEFT(UPPER(D164),4)="DECR"),ROUND(-ABS(E164),2),"")))</f>
        <v/>
      </c>
      <c r="M164" s="266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ht="45" customHeight="1" s="289">
      <c r="A165" s="113" t="n"/>
      <c r="B165" s="206" t="n"/>
      <c r="C165" s="104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 t="n"/>
      <c r="E165" s="114" t="n"/>
      <c r="F165" s="354">
        <f>IF(A165="","",IFERROR(VLOOKUP(A165,itens_Remanesc!$A:$C,3,0),""))</f>
        <v/>
      </c>
      <c r="G165" s="354">
        <f>IF(OR(E165="",F165=""),"",ROUND(E165*F165,2))</f>
        <v/>
      </c>
      <c r="H165" s="113" t="n"/>
      <c r="I165" s="324">
        <f>IFERROR(VLOOKUP(C165,parametros!$B:$F,5,0),"")</f>
        <v/>
      </c>
      <c r="J165" s="354">
        <f>IF(OR(L165="",F165=""),"",ROUND(L165*F165*IF(AND(UPPER(H165)="SIM",ISNUMBER(I165)),I165,1),2))</f>
        <v/>
      </c>
      <c r="K165" s="113" t="n"/>
      <c r="L165" s="90">
        <f>IF(OR(A165="",C165="",D165="",NOT(ISNUMBER(E165))),"",IF(LEFT(UPPER(D165),3)="ACR",ROUND(ABS(E165),2),IF(OR(LEFT(UPPER(D165),4)="SUPR",LEFT(UPPER(D165),4)="DECR"),ROUND(-ABS(E165),2),"")))</f>
        <v/>
      </c>
      <c r="M165" s="266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ht="45" customHeight="1" s="289">
      <c r="A166" s="113" t="n"/>
      <c r="B166" s="206" t="n"/>
      <c r="C166" s="104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 t="n"/>
      <c r="E166" s="114" t="n"/>
      <c r="F166" s="354">
        <f>IF(A166="","",IFERROR(VLOOKUP(A166,itens_Remanesc!$A:$C,3,0),""))</f>
        <v/>
      </c>
      <c r="G166" s="354">
        <f>IF(OR(E166="",F166=""),"",ROUND(E166*F166,2))</f>
        <v/>
      </c>
      <c r="H166" s="113" t="n"/>
      <c r="I166" s="324">
        <f>IFERROR(VLOOKUP(C166,parametros!$B:$F,5,0),"")</f>
        <v/>
      </c>
      <c r="J166" s="354">
        <f>IF(OR(L166="",F166=""),"",ROUND(L166*F166*IF(AND(UPPER(H166)="SIM",ISNUMBER(I166)),I166,1),2))</f>
        <v/>
      </c>
      <c r="K166" s="113" t="n"/>
      <c r="L166" s="90">
        <f>IF(OR(A166="",C166="",D166="",NOT(ISNUMBER(E166))),"",IF(LEFT(UPPER(D166),3)="ACR",ROUND(ABS(E166),2),IF(OR(LEFT(UPPER(D166),4)="SUPR",LEFT(UPPER(D166),4)="DECR"),ROUND(-ABS(E166),2),"")))</f>
        <v/>
      </c>
      <c r="M166" s="266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ht="45" customHeight="1" s="289">
      <c r="A167" s="113" t="n"/>
      <c r="B167" s="206" t="n"/>
      <c r="C167" s="104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 t="n"/>
      <c r="E167" s="114" t="n"/>
      <c r="F167" s="354">
        <f>IF(A167="","",IFERROR(VLOOKUP(A167,itens_Remanesc!$A:$C,3,0),""))</f>
        <v/>
      </c>
      <c r="G167" s="354">
        <f>IF(OR(E167="",F167=""),"",ROUND(E167*F167,2))</f>
        <v/>
      </c>
      <c r="H167" s="113" t="n"/>
      <c r="I167" s="324">
        <f>IFERROR(VLOOKUP(C167,parametros!$B:$F,5,0),"")</f>
        <v/>
      </c>
      <c r="J167" s="354">
        <f>IF(OR(L167="",F167=""),"",ROUND(L167*F167*IF(AND(UPPER(H167)="SIM",ISNUMBER(I167)),I167,1),2))</f>
        <v/>
      </c>
      <c r="K167" s="113" t="n"/>
      <c r="L167" s="90">
        <f>IF(OR(A167="",C167="",D167="",NOT(ISNUMBER(E167))),"",IF(LEFT(UPPER(D167),3)="ACR",ROUND(ABS(E167),2),IF(OR(LEFT(UPPER(D167),4)="SUPR",LEFT(UPPER(D167),4)="DECR"),ROUND(-ABS(E167),2),"")))</f>
        <v/>
      </c>
      <c r="M167" s="266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ht="45" customHeight="1" s="289">
      <c r="A168" s="113" t="n"/>
      <c r="B168" s="206" t="n"/>
      <c r="C168" s="104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 t="n"/>
      <c r="E168" s="114" t="n"/>
      <c r="F168" s="354">
        <f>IF(A168="","",IFERROR(VLOOKUP(A168,itens_Remanesc!$A:$C,3,0),""))</f>
        <v/>
      </c>
      <c r="G168" s="354">
        <f>IF(OR(E168="",F168=""),"",ROUND(E168*F168,2))</f>
        <v/>
      </c>
      <c r="H168" s="113" t="n"/>
      <c r="I168" s="324">
        <f>IFERROR(VLOOKUP(C168,parametros!$B:$F,5,0),"")</f>
        <v/>
      </c>
      <c r="J168" s="354">
        <f>IF(OR(L168="",F168=""),"",ROUND(L168*F168*IF(AND(UPPER(H168)="SIM",ISNUMBER(I168)),I168,1),2))</f>
        <v/>
      </c>
      <c r="K168" s="113" t="n"/>
      <c r="L168" s="90">
        <f>IF(OR(A168="",C168="",D168="",NOT(ISNUMBER(E168))),"",IF(LEFT(UPPER(D168),3)="ACR",ROUND(ABS(E168),2),IF(OR(LEFT(UPPER(D168),4)="SUPR",LEFT(UPPER(D168),4)="DECR"),ROUND(-ABS(E168),2),"")))</f>
        <v/>
      </c>
      <c r="M168" s="266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ht="45" customHeight="1" s="289">
      <c r="A169" s="113" t="n"/>
      <c r="B169" s="206" t="n"/>
      <c r="C169" s="104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 t="n"/>
      <c r="E169" s="114" t="n"/>
      <c r="F169" s="354">
        <f>IF(A169="","",IFERROR(VLOOKUP(A169,itens_Remanesc!$A:$C,3,0),""))</f>
        <v/>
      </c>
      <c r="G169" s="354">
        <f>IF(OR(E169="",F169=""),"",ROUND(E169*F169,2))</f>
        <v/>
      </c>
      <c r="H169" s="113" t="n"/>
      <c r="I169" s="324">
        <f>IFERROR(VLOOKUP(C169,parametros!$B:$F,5,0),"")</f>
        <v/>
      </c>
      <c r="J169" s="354">
        <f>IF(OR(L169="",F169=""),"",ROUND(L169*F169*IF(AND(UPPER(H169)="SIM",ISNUMBER(I169)),I169,1),2))</f>
        <v/>
      </c>
      <c r="K169" s="113" t="n"/>
      <c r="L169" s="90">
        <f>IF(OR(A169="",C169="",D169="",NOT(ISNUMBER(E169))),"",IF(LEFT(UPPER(D169),3)="ACR",ROUND(ABS(E169),2),IF(OR(LEFT(UPPER(D169),4)="SUPR",LEFT(UPPER(D169),4)="DECR"),ROUND(-ABS(E169),2),"")))</f>
        <v/>
      </c>
      <c r="M169" s="266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ht="45" customHeight="1" s="289">
      <c r="A170" s="113" t="n"/>
      <c r="B170" s="206" t="n"/>
      <c r="C170" s="104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 t="n"/>
      <c r="E170" s="114" t="n"/>
      <c r="F170" s="354">
        <f>IF(A170="","",IFERROR(VLOOKUP(A170,itens_Remanesc!$A:$C,3,0),""))</f>
        <v/>
      </c>
      <c r="G170" s="354">
        <f>IF(OR(E170="",F170=""),"",ROUND(E170*F170,2))</f>
        <v/>
      </c>
      <c r="H170" s="113" t="n"/>
      <c r="I170" s="324">
        <f>IFERROR(VLOOKUP(C170,parametros!$B:$F,5,0),"")</f>
        <v/>
      </c>
      <c r="J170" s="354">
        <f>IF(OR(L170="",F170=""),"",ROUND(L170*F170*IF(AND(UPPER(H170)="SIM",ISNUMBER(I170)),I170,1),2))</f>
        <v/>
      </c>
      <c r="K170" s="113" t="n"/>
      <c r="L170" s="90">
        <f>IF(OR(A170="",C170="",D170="",NOT(ISNUMBER(E170))),"",IF(LEFT(UPPER(D170),3)="ACR",ROUND(ABS(E170),2),IF(OR(LEFT(UPPER(D170),4)="SUPR",LEFT(UPPER(D170),4)="DECR"),ROUND(-ABS(E170),2),"")))</f>
        <v/>
      </c>
      <c r="M170" s="266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ht="45" customHeight="1" s="289">
      <c r="A171" s="113" t="n"/>
      <c r="B171" s="206" t="n"/>
      <c r="C171" s="104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 t="n"/>
      <c r="E171" s="114" t="n"/>
      <c r="F171" s="354">
        <f>IF(A171="","",IFERROR(VLOOKUP(A171,itens_Remanesc!$A:$C,3,0),""))</f>
        <v/>
      </c>
      <c r="G171" s="354">
        <f>IF(OR(E171="",F171=""),"",ROUND(E171*F171,2))</f>
        <v/>
      </c>
      <c r="H171" s="113" t="n"/>
      <c r="I171" s="324">
        <f>IFERROR(VLOOKUP(C171,parametros!$B:$F,5,0),"")</f>
        <v/>
      </c>
      <c r="J171" s="354">
        <f>IF(OR(L171="",F171=""),"",ROUND(L171*F171*IF(AND(UPPER(H171)="SIM",ISNUMBER(I171)),I171,1),2))</f>
        <v/>
      </c>
      <c r="K171" s="113" t="n"/>
      <c r="L171" s="90">
        <f>IF(OR(A171="",C171="",D171="",NOT(ISNUMBER(E171))),"",IF(LEFT(UPPER(D171),3)="ACR",ROUND(ABS(E171),2),IF(OR(LEFT(UPPER(D171),4)="SUPR",LEFT(UPPER(D171),4)="DECR"),ROUND(-ABS(E171),2),"")))</f>
        <v/>
      </c>
      <c r="M171" s="266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ht="45" customHeight="1" s="289">
      <c r="A172" s="113" t="n"/>
      <c r="B172" s="206" t="n"/>
      <c r="C172" s="104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 t="n"/>
      <c r="E172" s="114" t="n"/>
      <c r="F172" s="354">
        <f>IF(A172="","",IFERROR(VLOOKUP(A172,itens_Remanesc!$A:$C,3,0),""))</f>
        <v/>
      </c>
      <c r="G172" s="354">
        <f>IF(OR(E172="",F172=""),"",ROUND(E172*F172,2))</f>
        <v/>
      </c>
      <c r="H172" s="113" t="n"/>
      <c r="I172" s="324">
        <f>IFERROR(VLOOKUP(C172,parametros!$B:$F,5,0),"")</f>
        <v/>
      </c>
      <c r="J172" s="354">
        <f>IF(OR(L172="",F172=""),"",ROUND(L172*F172*IF(AND(UPPER(H172)="SIM",ISNUMBER(I172)),I172,1),2))</f>
        <v/>
      </c>
      <c r="K172" s="113" t="n"/>
      <c r="L172" s="90">
        <f>IF(OR(A172="",C172="",D172="",NOT(ISNUMBER(E172))),"",IF(LEFT(UPPER(D172),3)="ACR",ROUND(ABS(E172),2),IF(OR(LEFT(UPPER(D172),4)="SUPR",LEFT(UPPER(D172),4)="DECR"),ROUND(-ABS(E172),2),"")))</f>
        <v/>
      </c>
      <c r="M172" s="266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ht="45" customHeight="1" s="289">
      <c r="A173" s="113" t="n"/>
      <c r="B173" s="206" t="n"/>
      <c r="C173" s="104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 t="n"/>
      <c r="E173" s="114" t="n"/>
      <c r="F173" s="354">
        <f>IF(A173="","",IFERROR(VLOOKUP(A173,itens_Remanesc!$A:$C,3,0),""))</f>
        <v/>
      </c>
      <c r="G173" s="354">
        <f>IF(OR(E173="",F173=""),"",ROUND(E173*F173,2))</f>
        <v/>
      </c>
      <c r="H173" s="113" t="n"/>
      <c r="I173" s="324">
        <f>IFERROR(VLOOKUP(C173,parametros!$B:$F,5,0),"")</f>
        <v/>
      </c>
      <c r="J173" s="354">
        <f>IF(OR(L173="",F173=""),"",ROUND(L173*F173*IF(AND(UPPER(H173)="SIM",ISNUMBER(I173)),I173,1),2))</f>
        <v/>
      </c>
      <c r="K173" s="113" t="n"/>
      <c r="L173" s="90">
        <f>IF(OR(A173="",C173="",D173="",NOT(ISNUMBER(E173))),"",IF(LEFT(UPPER(D173),3)="ACR",ROUND(ABS(E173),2),IF(OR(LEFT(UPPER(D173),4)="SUPR",LEFT(UPPER(D173),4)="DECR"),ROUND(-ABS(E173),2),"")))</f>
        <v/>
      </c>
      <c r="M173" s="266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ht="45" customHeight="1" s="289">
      <c r="A174" s="113" t="n"/>
      <c r="B174" s="206" t="n"/>
      <c r="C174" s="104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 t="n"/>
      <c r="E174" s="114" t="n"/>
      <c r="F174" s="354">
        <f>IF(A174="","",IFERROR(VLOOKUP(A174,itens_Remanesc!$A:$C,3,0),""))</f>
        <v/>
      </c>
      <c r="G174" s="354">
        <f>IF(OR(E174="",F174=""),"",ROUND(E174*F174,2))</f>
        <v/>
      </c>
      <c r="H174" s="113" t="n"/>
      <c r="I174" s="324">
        <f>IFERROR(VLOOKUP(C174,parametros!$B:$F,5,0),"")</f>
        <v/>
      </c>
      <c r="J174" s="354">
        <f>IF(OR(L174="",F174=""),"",ROUND(L174*F174*IF(AND(UPPER(H174)="SIM",ISNUMBER(I174)),I174,1),2))</f>
        <v/>
      </c>
      <c r="K174" s="113" t="n"/>
      <c r="L174" s="90">
        <f>IF(OR(A174="",C174="",D174="",NOT(ISNUMBER(E174))),"",IF(LEFT(UPPER(D174),3)="ACR",ROUND(ABS(E174),2),IF(OR(LEFT(UPPER(D174),4)="SUPR",LEFT(UPPER(D174),4)="DECR"),ROUND(-ABS(E174),2),"")))</f>
        <v/>
      </c>
      <c r="M174" s="266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ht="45" customHeight="1" s="289">
      <c r="A175" s="113" t="n"/>
      <c r="B175" s="206" t="n"/>
      <c r="C175" s="104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 t="n"/>
      <c r="E175" s="114" t="n"/>
      <c r="F175" s="354">
        <f>IF(A175="","",IFERROR(VLOOKUP(A175,itens_Remanesc!$A:$C,3,0),""))</f>
        <v/>
      </c>
      <c r="G175" s="354">
        <f>IF(OR(E175="",F175=""),"",ROUND(E175*F175,2))</f>
        <v/>
      </c>
      <c r="H175" s="113" t="n"/>
      <c r="I175" s="324">
        <f>IFERROR(VLOOKUP(C175,parametros!$B:$F,5,0),"")</f>
        <v/>
      </c>
      <c r="J175" s="354">
        <f>IF(OR(L175="",F175=""),"",ROUND(L175*F175*IF(AND(UPPER(H175)="SIM",ISNUMBER(I175)),I175,1),2))</f>
        <v/>
      </c>
      <c r="K175" s="113" t="n"/>
      <c r="L175" s="90">
        <f>IF(OR(A175="",C175="",D175="",NOT(ISNUMBER(E175))),"",IF(LEFT(UPPER(D175),3)="ACR",ROUND(ABS(E175),2),IF(OR(LEFT(UPPER(D175),4)="SUPR",LEFT(UPPER(D175),4)="DECR"),ROUND(-ABS(E175),2),"")))</f>
        <v/>
      </c>
      <c r="M175" s="266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ht="45" customHeight="1" s="289">
      <c r="A176" s="113" t="n"/>
      <c r="B176" s="206" t="n"/>
      <c r="C176" s="104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 t="n"/>
      <c r="E176" s="114" t="n"/>
      <c r="F176" s="354">
        <f>IF(A176="","",IFERROR(VLOOKUP(A176,itens_Remanesc!$A:$C,3,0),""))</f>
        <v/>
      </c>
      <c r="G176" s="354">
        <f>IF(OR(E176="",F176=""),"",ROUND(E176*F176,2))</f>
        <v/>
      </c>
      <c r="H176" s="113" t="n"/>
      <c r="I176" s="324">
        <f>IFERROR(VLOOKUP(C176,parametros!$B:$F,5,0),"")</f>
        <v/>
      </c>
      <c r="J176" s="354">
        <f>IF(OR(L176="",F176=""),"",ROUND(L176*F176*IF(AND(UPPER(H176)="SIM",ISNUMBER(I176)),I176,1),2))</f>
        <v/>
      </c>
      <c r="K176" s="113" t="n"/>
      <c r="L176" s="90">
        <f>IF(OR(A176="",C176="",D176="",NOT(ISNUMBER(E176))),"",IF(LEFT(UPPER(D176),3)="ACR",ROUND(ABS(E176),2),IF(OR(LEFT(UPPER(D176),4)="SUPR",LEFT(UPPER(D176),4)="DECR"),ROUND(-ABS(E176),2),"")))</f>
        <v/>
      </c>
      <c r="M176" s="266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ht="45" customHeight="1" s="289">
      <c r="A177" s="113" t="n"/>
      <c r="B177" s="206" t="n"/>
      <c r="C177" s="104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 t="n"/>
      <c r="E177" s="114" t="n"/>
      <c r="F177" s="354">
        <f>IF(A177="","",IFERROR(VLOOKUP(A177,itens_Remanesc!$A:$C,3,0),""))</f>
        <v/>
      </c>
      <c r="G177" s="354">
        <f>IF(OR(E177="",F177=""),"",ROUND(E177*F177,2))</f>
        <v/>
      </c>
      <c r="H177" s="113" t="n"/>
      <c r="I177" s="324">
        <f>IFERROR(VLOOKUP(C177,parametros!$B:$F,5,0),"")</f>
        <v/>
      </c>
      <c r="J177" s="354">
        <f>IF(OR(L177="",F177=""),"",ROUND(L177*F177*IF(AND(UPPER(H177)="SIM",ISNUMBER(I177)),I177,1),2))</f>
        <v/>
      </c>
      <c r="K177" s="113" t="n"/>
      <c r="L177" s="90">
        <f>IF(OR(A177="",C177="",D177="",NOT(ISNUMBER(E177))),"",IF(LEFT(UPPER(D177),3)="ACR",ROUND(ABS(E177),2),IF(OR(LEFT(UPPER(D177),4)="SUPR",LEFT(UPPER(D177),4)="DECR"),ROUND(-ABS(E177),2),"")))</f>
        <v/>
      </c>
      <c r="M177" s="266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ht="45" customHeight="1" s="289">
      <c r="A178" s="113" t="n"/>
      <c r="B178" s="206" t="n"/>
      <c r="C178" s="104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 t="n"/>
      <c r="E178" s="114" t="n"/>
      <c r="F178" s="354">
        <f>IF(A178="","",IFERROR(VLOOKUP(A178,itens_Remanesc!$A:$C,3,0),""))</f>
        <v/>
      </c>
      <c r="G178" s="354">
        <f>IF(OR(E178="",F178=""),"",ROUND(E178*F178,2))</f>
        <v/>
      </c>
      <c r="H178" s="113" t="n"/>
      <c r="I178" s="324">
        <f>IFERROR(VLOOKUP(C178,parametros!$B:$F,5,0),"")</f>
        <v/>
      </c>
      <c r="J178" s="354">
        <f>IF(OR(L178="",F178=""),"",ROUND(L178*F178*IF(AND(UPPER(H178)="SIM",ISNUMBER(I178)),I178,1),2))</f>
        <v/>
      </c>
      <c r="K178" s="113" t="n"/>
      <c r="L178" s="90">
        <f>IF(OR(A178="",C178="",D178="",NOT(ISNUMBER(E178))),"",IF(LEFT(UPPER(D178),3)="ACR",ROUND(ABS(E178),2),IF(OR(LEFT(UPPER(D178),4)="SUPR",LEFT(UPPER(D178),4)="DECR"),ROUND(-ABS(E178),2),"")))</f>
        <v/>
      </c>
      <c r="M178" s="266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ht="45" customHeight="1" s="289">
      <c r="A179" s="113" t="n"/>
      <c r="B179" s="206" t="n"/>
      <c r="C179" s="104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 t="n"/>
      <c r="E179" s="114" t="n"/>
      <c r="F179" s="354">
        <f>IF(A179="","",IFERROR(VLOOKUP(A179,itens_Remanesc!$A:$C,3,0),""))</f>
        <v/>
      </c>
      <c r="G179" s="354">
        <f>IF(OR(E179="",F179=""),"",ROUND(E179*F179,2))</f>
        <v/>
      </c>
      <c r="H179" s="113" t="n"/>
      <c r="I179" s="324">
        <f>IFERROR(VLOOKUP(C179,parametros!$B:$F,5,0),"")</f>
        <v/>
      </c>
      <c r="J179" s="354">
        <f>IF(OR(L179="",F179=""),"",ROUND(L179*F179*IF(AND(UPPER(H179)="SIM",ISNUMBER(I179)),I179,1),2))</f>
        <v/>
      </c>
      <c r="K179" s="113" t="n"/>
      <c r="L179" s="90">
        <f>IF(OR(A179="",C179="",D179="",NOT(ISNUMBER(E179))),"",IF(LEFT(UPPER(D179),3)="ACR",ROUND(ABS(E179),2),IF(OR(LEFT(UPPER(D179),4)="SUPR",LEFT(UPPER(D179),4)="DECR"),ROUND(-ABS(E179),2),"")))</f>
        <v/>
      </c>
      <c r="M179" s="266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ht="45" customHeight="1" s="289">
      <c r="A180" s="113" t="n"/>
      <c r="B180" s="206" t="n"/>
      <c r="C180" s="104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 t="n"/>
      <c r="E180" s="114" t="n"/>
      <c r="F180" s="354">
        <f>IF(A180="","",IFERROR(VLOOKUP(A180,itens_Remanesc!$A:$C,3,0),""))</f>
        <v/>
      </c>
      <c r="G180" s="354">
        <f>IF(OR(E180="",F180=""),"",ROUND(E180*F180,2))</f>
        <v/>
      </c>
      <c r="H180" s="113" t="n"/>
      <c r="I180" s="324">
        <f>IFERROR(VLOOKUP(C180,parametros!$B:$F,5,0),"")</f>
        <v/>
      </c>
      <c r="J180" s="354">
        <f>IF(OR(L180="",F180=""),"",ROUND(L180*F180*IF(AND(UPPER(H180)="SIM",ISNUMBER(I180)),I180,1),2))</f>
        <v/>
      </c>
      <c r="K180" s="113" t="n"/>
      <c r="L180" s="90">
        <f>IF(OR(A180="",C180="",D180="",NOT(ISNUMBER(E180))),"",IF(LEFT(UPPER(D180),3)="ACR",ROUND(ABS(E180),2),IF(OR(LEFT(UPPER(D180),4)="SUPR",LEFT(UPPER(D180),4)="DECR"),ROUND(-ABS(E180),2),"")))</f>
        <v/>
      </c>
      <c r="M180" s="266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ht="45" customHeight="1" s="289">
      <c r="A181" s="113" t="n"/>
      <c r="B181" s="206" t="n"/>
      <c r="C181" s="104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 t="n"/>
      <c r="E181" s="114" t="n"/>
      <c r="F181" s="354">
        <f>IF(A181="","",IFERROR(VLOOKUP(A181,itens_Remanesc!$A:$C,3,0),""))</f>
        <v/>
      </c>
      <c r="G181" s="354">
        <f>IF(OR(E181="",F181=""),"",ROUND(E181*F181,2))</f>
        <v/>
      </c>
      <c r="H181" s="113" t="n"/>
      <c r="I181" s="324">
        <f>IFERROR(VLOOKUP(C181,parametros!$B:$F,5,0),"")</f>
        <v/>
      </c>
      <c r="J181" s="354">
        <f>IF(OR(L181="",F181=""),"",ROUND(L181*F181*IF(AND(UPPER(H181)="SIM",ISNUMBER(I181)),I181,1),2))</f>
        <v/>
      </c>
      <c r="K181" s="113" t="n"/>
      <c r="L181" s="90">
        <f>IF(OR(A181="",C181="",D181="",NOT(ISNUMBER(E181))),"",IF(LEFT(UPPER(D181),3)="ACR",ROUND(ABS(E181),2),IF(OR(LEFT(UPPER(D181),4)="SUPR",LEFT(UPPER(D181),4)="DECR"),ROUND(-ABS(E181),2),"")))</f>
        <v/>
      </c>
      <c r="M181" s="266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ht="45" customHeight="1" s="289">
      <c r="A182" s="113" t="n"/>
      <c r="B182" s="206" t="n"/>
      <c r="C182" s="104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 t="n"/>
      <c r="E182" s="114" t="n"/>
      <c r="F182" s="354">
        <f>IF(A182="","",IFERROR(VLOOKUP(A182,itens_Remanesc!$A:$C,3,0),""))</f>
        <v/>
      </c>
      <c r="G182" s="354">
        <f>IF(OR(E182="",F182=""),"",ROUND(E182*F182,2))</f>
        <v/>
      </c>
      <c r="H182" s="113" t="n"/>
      <c r="I182" s="324">
        <f>IFERROR(VLOOKUP(C182,parametros!$B:$F,5,0),"")</f>
        <v/>
      </c>
      <c r="J182" s="354">
        <f>IF(OR(L182="",F182=""),"",ROUND(L182*F182*IF(AND(UPPER(H182)="SIM",ISNUMBER(I182)),I182,1),2))</f>
        <v/>
      </c>
      <c r="K182" s="113" t="n"/>
      <c r="L182" s="90">
        <f>IF(OR(A182="",C182="",D182="",NOT(ISNUMBER(E182))),"",IF(LEFT(UPPER(D182),3)="ACR",ROUND(ABS(E182),2),IF(OR(LEFT(UPPER(D182),4)="SUPR",LEFT(UPPER(D182),4)="DECR"),ROUND(-ABS(E182),2),"")))</f>
        <v/>
      </c>
      <c r="M182" s="266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ht="45" customHeight="1" s="289">
      <c r="A183" s="113" t="n"/>
      <c r="B183" s="206" t="n"/>
      <c r="C183" s="104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 t="n"/>
      <c r="E183" s="114" t="n"/>
      <c r="F183" s="354">
        <f>IF(A183="","",IFERROR(VLOOKUP(A183,itens_Remanesc!$A:$C,3,0),""))</f>
        <v/>
      </c>
      <c r="G183" s="354">
        <f>IF(OR(E183="",F183=""),"",ROUND(E183*F183,2))</f>
        <v/>
      </c>
      <c r="H183" s="113" t="n"/>
      <c r="I183" s="324">
        <f>IFERROR(VLOOKUP(C183,parametros!$B:$F,5,0),"")</f>
        <v/>
      </c>
      <c r="J183" s="354">
        <f>IF(OR(L183="",F183=""),"",ROUND(L183*F183*IF(AND(UPPER(H183)="SIM",ISNUMBER(I183)),I183,1),2))</f>
        <v/>
      </c>
      <c r="K183" s="113" t="n"/>
      <c r="L183" s="90">
        <f>IF(OR(A183="",C183="",D183="",NOT(ISNUMBER(E183))),"",IF(LEFT(UPPER(D183),3)="ACR",ROUND(ABS(E183),2),IF(OR(LEFT(UPPER(D183),4)="SUPR",LEFT(UPPER(D183),4)="DECR"),ROUND(-ABS(E183),2),"")))</f>
        <v/>
      </c>
      <c r="M183" s="266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ht="45" customHeight="1" s="289">
      <c r="A184" s="113" t="n"/>
      <c r="B184" s="206" t="n"/>
      <c r="C184" s="104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 t="n"/>
      <c r="E184" s="114" t="n"/>
      <c r="F184" s="354">
        <f>IF(A184="","",IFERROR(VLOOKUP(A184,itens_Remanesc!$A:$C,3,0),""))</f>
        <v/>
      </c>
      <c r="G184" s="354">
        <f>IF(OR(E184="",F184=""),"",ROUND(E184*F184,2))</f>
        <v/>
      </c>
      <c r="H184" s="113" t="n"/>
      <c r="I184" s="324">
        <f>IFERROR(VLOOKUP(C184,parametros!$B:$F,5,0),"")</f>
        <v/>
      </c>
      <c r="J184" s="354">
        <f>IF(OR(L184="",F184=""),"",ROUND(L184*F184*IF(AND(UPPER(H184)="SIM",ISNUMBER(I184)),I184,1),2))</f>
        <v/>
      </c>
      <c r="K184" s="113" t="n"/>
      <c r="L184" s="90">
        <f>IF(OR(A184="",C184="",D184="",NOT(ISNUMBER(E184))),"",IF(LEFT(UPPER(D184),3)="ACR",ROUND(ABS(E184),2),IF(OR(LEFT(UPPER(D184),4)="SUPR",LEFT(UPPER(D184),4)="DECR"),ROUND(-ABS(E184),2),"")))</f>
        <v/>
      </c>
      <c r="M184" s="266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ht="45" customHeight="1" s="289">
      <c r="A185" s="113" t="n"/>
      <c r="B185" s="206" t="n"/>
      <c r="C185" s="104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 t="n"/>
      <c r="E185" s="114" t="n"/>
      <c r="F185" s="354">
        <f>IF(A185="","",IFERROR(VLOOKUP(A185,itens_Remanesc!$A:$C,3,0),""))</f>
        <v/>
      </c>
      <c r="G185" s="354">
        <f>IF(OR(E185="",F185=""),"",ROUND(E185*F185,2))</f>
        <v/>
      </c>
      <c r="H185" s="113" t="n"/>
      <c r="I185" s="324">
        <f>IFERROR(VLOOKUP(C185,parametros!$B:$F,5,0),"")</f>
        <v/>
      </c>
      <c r="J185" s="354">
        <f>IF(OR(L185="",F185=""),"",ROUND(L185*F185*IF(AND(UPPER(H185)="SIM",ISNUMBER(I185)),I185,1),2))</f>
        <v/>
      </c>
      <c r="K185" s="113" t="n"/>
      <c r="L185" s="90">
        <f>IF(OR(A185="",C185="",D185="",NOT(ISNUMBER(E185))),"",IF(LEFT(UPPER(D185),3)="ACR",ROUND(ABS(E185),2),IF(OR(LEFT(UPPER(D185),4)="SUPR",LEFT(UPPER(D185),4)="DECR"),ROUND(-ABS(E185),2),"")))</f>
        <v/>
      </c>
      <c r="M185" s="266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ht="45" customHeight="1" s="289">
      <c r="A186" s="113" t="n"/>
      <c r="B186" s="206" t="n"/>
      <c r="C186" s="104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 t="n"/>
      <c r="E186" s="114" t="n"/>
      <c r="F186" s="354">
        <f>IF(A186="","",IFERROR(VLOOKUP(A186,itens_Remanesc!$A:$C,3,0),""))</f>
        <v/>
      </c>
      <c r="G186" s="354">
        <f>IF(OR(E186="",F186=""),"",ROUND(E186*F186,2))</f>
        <v/>
      </c>
      <c r="H186" s="113" t="n"/>
      <c r="I186" s="324">
        <f>IFERROR(VLOOKUP(C186,parametros!$B:$F,5,0),"")</f>
        <v/>
      </c>
      <c r="J186" s="354">
        <f>IF(OR(L186="",F186=""),"",ROUND(L186*F186*IF(AND(UPPER(H186)="SIM",ISNUMBER(I186)),I186,1),2))</f>
        <v/>
      </c>
      <c r="K186" s="113" t="n"/>
      <c r="L186" s="90">
        <f>IF(OR(A186="",C186="",D186="",NOT(ISNUMBER(E186))),"",IF(LEFT(UPPER(D186),3)="ACR",ROUND(ABS(E186),2),IF(OR(LEFT(UPPER(D186),4)="SUPR",LEFT(UPPER(D186),4)="DECR"),ROUND(-ABS(E186),2),"")))</f>
        <v/>
      </c>
      <c r="M186" s="266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ht="45" customHeight="1" s="289">
      <c r="A187" s="113" t="n"/>
      <c r="B187" s="206" t="n"/>
      <c r="C187" s="104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 t="n"/>
      <c r="E187" s="114" t="n"/>
      <c r="F187" s="354">
        <f>IF(A187="","",IFERROR(VLOOKUP(A187,itens_Remanesc!$A:$C,3,0),""))</f>
        <v/>
      </c>
      <c r="G187" s="354">
        <f>IF(OR(E187="",F187=""),"",ROUND(E187*F187,2))</f>
        <v/>
      </c>
      <c r="H187" s="113" t="n"/>
      <c r="I187" s="324">
        <f>IFERROR(VLOOKUP(C187,parametros!$B:$F,5,0),"")</f>
        <v/>
      </c>
      <c r="J187" s="354">
        <f>IF(OR(L187="",F187=""),"",ROUND(L187*F187*IF(AND(UPPER(H187)="SIM",ISNUMBER(I187)),I187,1),2))</f>
        <v/>
      </c>
      <c r="K187" s="113" t="n"/>
      <c r="L187" s="90">
        <f>IF(OR(A187="",C187="",D187="",NOT(ISNUMBER(E187))),"",IF(LEFT(UPPER(D187),3)="ACR",ROUND(ABS(E187),2),IF(OR(LEFT(UPPER(D187),4)="SUPR",LEFT(UPPER(D187),4)="DECR"),ROUND(-ABS(E187),2),"")))</f>
        <v/>
      </c>
      <c r="M187" s="266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ht="45" customHeight="1" s="289">
      <c r="A188" s="113" t="n"/>
      <c r="B188" s="206" t="n"/>
      <c r="C188" s="104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 t="n"/>
      <c r="E188" s="114" t="n"/>
      <c r="F188" s="354">
        <f>IF(A188="","",IFERROR(VLOOKUP(A188,itens_Remanesc!$A:$C,3,0),""))</f>
        <v/>
      </c>
      <c r="G188" s="354">
        <f>IF(OR(E188="",F188=""),"",ROUND(E188*F188,2))</f>
        <v/>
      </c>
      <c r="H188" s="113" t="n"/>
      <c r="I188" s="324">
        <f>IFERROR(VLOOKUP(C188,parametros!$B:$F,5,0),"")</f>
        <v/>
      </c>
      <c r="J188" s="354">
        <f>IF(OR(L188="",F188=""),"",ROUND(L188*F188*IF(AND(UPPER(H188)="SIM",ISNUMBER(I188)),I188,1),2))</f>
        <v/>
      </c>
      <c r="K188" s="113" t="n"/>
      <c r="L188" s="90">
        <f>IF(OR(A188="",C188="",D188="",NOT(ISNUMBER(E188))),"",IF(LEFT(UPPER(D188),3)="ACR",ROUND(ABS(E188),2),IF(OR(LEFT(UPPER(D188),4)="SUPR",LEFT(UPPER(D188),4)="DECR"),ROUND(-ABS(E188),2),"")))</f>
        <v/>
      </c>
      <c r="M188" s="266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ht="45" customHeight="1" s="289">
      <c r="A189" s="113" t="n"/>
      <c r="B189" s="206" t="n"/>
      <c r="C189" s="104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 t="n"/>
      <c r="E189" s="114" t="n"/>
      <c r="F189" s="354">
        <f>IF(A189="","",IFERROR(VLOOKUP(A189,itens_Remanesc!$A:$C,3,0),""))</f>
        <v/>
      </c>
      <c r="G189" s="354">
        <f>IF(OR(E189="",F189=""),"",ROUND(E189*F189,2))</f>
        <v/>
      </c>
      <c r="H189" s="113" t="n"/>
      <c r="I189" s="324">
        <f>IFERROR(VLOOKUP(C189,parametros!$B:$F,5,0),"")</f>
        <v/>
      </c>
      <c r="J189" s="354">
        <f>IF(OR(L189="",F189=""),"",ROUND(L189*F189*IF(AND(UPPER(H189)="SIM",ISNUMBER(I189)),I189,1),2))</f>
        <v/>
      </c>
      <c r="K189" s="113" t="n"/>
      <c r="L189" s="90">
        <f>IF(OR(A189="",C189="",D189="",NOT(ISNUMBER(E189))),"",IF(LEFT(UPPER(D189),3)="ACR",ROUND(ABS(E189),2),IF(OR(LEFT(UPPER(D189),4)="SUPR",LEFT(UPPER(D189),4)="DECR"),ROUND(-ABS(E189),2),"")))</f>
        <v/>
      </c>
      <c r="M189" s="266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ht="45" customHeight="1" s="289">
      <c r="A190" s="113" t="n"/>
      <c r="B190" s="206" t="n"/>
      <c r="C190" s="104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 t="n"/>
      <c r="E190" s="114" t="n"/>
      <c r="F190" s="354">
        <f>IF(A190="","",IFERROR(VLOOKUP(A190,itens_Remanesc!$A:$C,3,0),""))</f>
        <v/>
      </c>
      <c r="G190" s="354">
        <f>IF(OR(E190="",F190=""),"",ROUND(E190*F190,2))</f>
        <v/>
      </c>
      <c r="H190" s="113" t="n"/>
      <c r="I190" s="324">
        <f>IFERROR(VLOOKUP(C190,parametros!$B:$F,5,0),"")</f>
        <v/>
      </c>
      <c r="J190" s="354">
        <f>IF(OR(L190="",F190=""),"",ROUND(L190*F190*IF(AND(UPPER(H190)="SIM",ISNUMBER(I190)),I190,1),2))</f>
        <v/>
      </c>
      <c r="K190" s="113" t="n"/>
      <c r="L190" s="90">
        <f>IF(OR(A190="",C190="",D190="",NOT(ISNUMBER(E190))),"",IF(LEFT(UPPER(D190),3)="ACR",ROUND(ABS(E190),2),IF(OR(LEFT(UPPER(D190),4)="SUPR",LEFT(UPPER(D190),4)="DECR"),ROUND(-ABS(E190),2),"")))</f>
        <v/>
      </c>
      <c r="M190" s="266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ht="45" customHeight="1" s="289">
      <c r="A191" s="113" t="n"/>
      <c r="B191" s="206" t="n"/>
      <c r="C191" s="104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 t="n"/>
      <c r="E191" s="114" t="n"/>
      <c r="F191" s="354">
        <f>IF(A191="","",IFERROR(VLOOKUP(A191,itens_Remanesc!$A:$C,3,0),""))</f>
        <v/>
      </c>
      <c r="G191" s="354">
        <f>IF(OR(E191="",F191=""),"",ROUND(E191*F191,2))</f>
        <v/>
      </c>
      <c r="H191" s="113" t="n"/>
      <c r="I191" s="324">
        <f>IFERROR(VLOOKUP(C191,parametros!$B:$F,5,0),"")</f>
        <v/>
      </c>
      <c r="J191" s="354">
        <f>IF(OR(L191="",F191=""),"",ROUND(L191*F191*IF(AND(UPPER(H191)="SIM",ISNUMBER(I191)),I191,1),2))</f>
        <v/>
      </c>
      <c r="K191" s="113" t="n"/>
      <c r="L191" s="90">
        <f>IF(OR(A191="",C191="",D191="",NOT(ISNUMBER(E191))),"",IF(LEFT(UPPER(D191),3)="ACR",ROUND(ABS(E191),2),IF(OR(LEFT(UPPER(D191),4)="SUPR",LEFT(UPPER(D191),4)="DECR"),ROUND(-ABS(E191),2),"")))</f>
        <v/>
      </c>
      <c r="M191" s="266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ht="45" customHeight="1" s="289">
      <c r="A192" s="113" t="n"/>
      <c r="B192" s="206" t="n"/>
      <c r="C192" s="104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 t="n"/>
      <c r="E192" s="114" t="n"/>
      <c r="F192" s="354">
        <f>IF(A192="","",IFERROR(VLOOKUP(A192,itens_Remanesc!$A:$C,3,0),""))</f>
        <v/>
      </c>
      <c r="G192" s="354">
        <f>IF(OR(E192="",F192=""),"",ROUND(E192*F192,2))</f>
        <v/>
      </c>
      <c r="H192" s="113" t="n"/>
      <c r="I192" s="324">
        <f>IFERROR(VLOOKUP(C192,parametros!$B:$F,5,0),"")</f>
        <v/>
      </c>
      <c r="J192" s="354">
        <f>IF(OR(L192="",F192=""),"",ROUND(L192*F192*IF(AND(UPPER(H192)="SIM",ISNUMBER(I192)),I192,1),2))</f>
        <v/>
      </c>
      <c r="K192" s="113" t="n"/>
      <c r="L192" s="90">
        <f>IF(OR(A192="",C192="",D192="",NOT(ISNUMBER(E192))),"",IF(LEFT(UPPER(D192),3)="ACR",ROUND(ABS(E192),2),IF(OR(LEFT(UPPER(D192),4)="SUPR",LEFT(UPPER(D192),4)="DECR"),ROUND(-ABS(E192),2),"")))</f>
        <v/>
      </c>
      <c r="M192" s="266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ht="45" customHeight="1" s="289">
      <c r="A193" s="113" t="n"/>
      <c r="B193" s="206" t="n"/>
      <c r="C193" s="104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 t="n"/>
      <c r="E193" s="114" t="n"/>
      <c r="F193" s="354">
        <f>IF(A193="","",IFERROR(VLOOKUP(A193,itens_Remanesc!$A:$C,3,0),""))</f>
        <v/>
      </c>
      <c r="G193" s="354">
        <f>IF(OR(E193="",F193=""),"",ROUND(E193*F193,2))</f>
        <v/>
      </c>
      <c r="H193" s="113" t="n"/>
      <c r="I193" s="324">
        <f>IFERROR(VLOOKUP(C193,parametros!$B:$F,5,0),"")</f>
        <v/>
      </c>
      <c r="J193" s="354">
        <f>IF(OR(L193="",F193=""),"",ROUND(L193*F193*IF(AND(UPPER(H193)="SIM",ISNUMBER(I193)),I193,1),2))</f>
        <v/>
      </c>
      <c r="K193" s="113" t="n"/>
      <c r="L193" s="90">
        <f>IF(OR(A193="",C193="",D193="",NOT(ISNUMBER(E193))),"",IF(LEFT(UPPER(D193),3)="ACR",ROUND(ABS(E193),2),IF(OR(LEFT(UPPER(D193),4)="SUPR",LEFT(UPPER(D193),4)="DECR"),ROUND(-ABS(E193),2),"")))</f>
        <v/>
      </c>
      <c r="M193" s="266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ht="45" customHeight="1" s="289">
      <c r="A194" s="113" t="n"/>
      <c r="B194" s="206" t="n"/>
      <c r="C194" s="104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 t="n"/>
      <c r="E194" s="114" t="n"/>
      <c r="F194" s="354">
        <f>IF(A194="","",IFERROR(VLOOKUP(A194,itens_Remanesc!$A:$C,3,0),""))</f>
        <v/>
      </c>
      <c r="G194" s="354">
        <f>IF(OR(E194="",F194=""),"",ROUND(E194*F194,2))</f>
        <v/>
      </c>
      <c r="H194" s="113" t="n"/>
      <c r="I194" s="324">
        <f>IFERROR(VLOOKUP(C194,parametros!$B:$F,5,0),"")</f>
        <v/>
      </c>
      <c r="J194" s="354">
        <f>IF(OR(L194="",F194=""),"",ROUND(L194*F194*IF(AND(UPPER(H194)="SIM",ISNUMBER(I194)),I194,1),2))</f>
        <v/>
      </c>
      <c r="K194" s="113" t="n"/>
      <c r="L194" s="90">
        <f>IF(OR(A194="",C194="",D194="",NOT(ISNUMBER(E194))),"",IF(LEFT(UPPER(D194),3)="ACR",ROUND(ABS(E194),2),IF(OR(LEFT(UPPER(D194),4)="SUPR",LEFT(UPPER(D194),4)="DECR"),ROUND(-ABS(E194),2),"")))</f>
        <v/>
      </c>
      <c r="M194" s="266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ht="45" customHeight="1" s="289">
      <c r="A195" s="113" t="n"/>
      <c r="B195" s="206" t="n"/>
      <c r="C195" s="104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 t="n"/>
      <c r="E195" s="114" t="n"/>
      <c r="F195" s="354">
        <f>IF(A195="","",IFERROR(VLOOKUP(A195,itens_Remanesc!$A:$C,3,0),""))</f>
        <v/>
      </c>
      <c r="G195" s="354">
        <f>IF(OR(E195="",F195=""),"",ROUND(E195*F195,2))</f>
        <v/>
      </c>
      <c r="H195" s="113" t="n"/>
      <c r="I195" s="324">
        <f>IFERROR(VLOOKUP(C195,parametros!$B:$F,5,0),"")</f>
        <v/>
      </c>
      <c r="J195" s="354">
        <f>IF(OR(L195="",F195=""),"",ROUND(L195*F195*IF(AND(UPPER(H195)="SIM",ISNUMBER(I195)),I195,1),2))</f>
        <v/>
      </c>
      <c r="K195" s="113" t="n"/>
      <c r="L195" s="90">
        <f>IF(OR(A195="",C195="",D195="",NOT(ISNUMBER(E195))),"",IF(LEFT(UPPER(D195),3)="ACR",ROUND(ABS(E195),2),IF(OR(LEFT(UPPER(D195),4)="SUPR",LEFT(UPPER(D195),4)="DECR"),ROUND(-ABS(E195),2),"")))</f>
        <v/>
      </c>
      <c r="M195" s="266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ht="45" customHeight="1" s="289">
      <c r="A196" s="113" t="n"/>
      <c r="B196" s="206" t="n"/>
      <c r="C196" s="104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 t="n"/>
      <c r="E196" s="114" t="n"/>
      <c r="F196" s="354">
        <f>IF(A196="","",IFERROR(VLOOKUP(A196,itens_Remanesc!$A:$C,3,0),""))</f>
        <v/>
      </c>
      <c r="G196" s="354">
        <f>IF(OR(E196="",F196=""),"",ROUND(E196*F196,2))</f>
        <v/>
      </c>
      <c r="H196" s="113" t="n"/>
      <c r="I196" s="324">
        <f>IFERROR(VLOOKUP(C196,parametros!$B:$F,5,0),"")</f>
        <v/>
      </c>
      <c r="J196" s="354">
        <f>IF(OR(L196="",F196=""),"",ROUND(L196*F196*IF(AND(UPPER(H196)="SIM",ISNUMBER(I196)),I196,1),2))</f>
        <v/>
      </c>
      <c r="K196" s="113" t="n"/>
      <c r="L196" s="90">
        <f>IF(OR(A196="",C196="",D196="",NOT(ISNUMBER(E196))),"",IF(LEFT(UPPER(D196),3)="ACR",ROUND(ABS(E196),2),IF(OR(LEFT(UPPER(D196),4)="SUPR",LEFT(UPPER(D196),4)="DECR"),ROUND(-ABS(E196),2),"")))</f>
        <v/>
      </c>
      <c r="M196" s="266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ht="45" customHeight="1" s="289">
      <c r="A197" s="113" t="n"/>
      <c r="B197" s="206" t="n"/>
      <c r="C197" s="104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 t="n"/>
      <c r="E197" s="114" t="n"/>
      <c r="F197" s="354">
        <f>IF(A197="","",IFERROR(VLOOKUP(A197,itens_Remanesc!$A:$C,3,0),""))</f>
        <v/>
      </c>
      <c r="G197" s="354">
        <f>IF(OR(E197="",F197=""),"",ROUND(E197*F197,2))</f>
        <v/>
      </c>
      <c r="H197" s="113" t="n"/>
      <c r="I197" s="324">
        <f>IFERROR(VLOOKUP(C197,parametros!$B:$F,5,0),"")</f>
        <v/>
      </c>
      <c r="J197" s="354">
        <f>IF(OR(L197="",F197=""),"",ROUND(L197*F197*IF(AND(UPPER(H197)="SIM",ISNUMBER(I197)),I197,1),2))</f>
        <v/>
      </c>
      <c r="K197" s="113" t="n"/>
      <c r="L197" s="90">
        <f>IF(OR(A197="",C197="",D197="",NOT(ISNUMBER(E197))),"",IF(LEFT(UPPER(D197),3)="ACR",ROUND(ABS(E197),2),IF(OR(LEFT(UPPER(D197),4)="SUPR",LEFT(UPPER(D197),4)="DECR"),ROUND(-ABS(E197),2),"")))</f>
        <v/>
      </c>
      <c r="M197" s="266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ht="45" customHeight="1" s="289">
      <c r="A198" s="113" t="n"/>
      <c r="B198" s="206" t="n"/>
      <c r="C198" s="104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 t="n"/>
      <c r="E198" s="114" t="n"/>
      <c r="F198" s="354">
        <f>IF(A198="","",IFERROR(VLOOKUP(A198,itens_Remanesc!$A:$C,3,0),""))</f>
        <v/>
      </c>
      <c r="G198" s="354">
        <f>IF(OR(E198="",F198=""),"",ROUND(E198*F198,2))</f>
        <v/>
      </c>
      <c r="H198" s="113" t="n"/>
      <c r="I198" s="324">
        <f>IFERROR(VLOOKUP(C198,parametros!$B:$F,5,0),"")</f>
        <v/>
      </c>
      <c r="J198" s="354">
        <f>IF(OR(L198="",F198=""),"",ROUND(L198*F198*IF(AND(UPPER(H198)="SIM",ISNUMBER(I198)),I198,1),2))</f>
        <v/>
      </c>
      <c r="K198" s="113" t="n"/>
      <c r="L198" s="90">
        <f>IF(OR(A198="",C198="",D198="",NOT(ISNUMBER(E198))),"",IF(LEFT(UPPER(D198),3)="ACR",ROUND(ABS(E198),2),IF(OR(LEFT(UPPER(D198),4)="SUPR",LEFT(UPPER(D198),4)="DECR"),ROUND(-ABS(E198),2),"")))</f>
        <v/>
      </c>
      <c r="M198" s="266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ht="45" customHeight="1" s="289">
      <c r="A199" s="113" t="n"/>
      <c r="B199" s="206" t="n"/>
      <c r="C199" s="104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 t="n"/>
      <c r="E199" s="114" t="n"/>
      <c r="F199" s="354">
        <f>IF(A199="","",IFERROR(VLOOKUP(A199,itens_Remanesc!$A:$C,3,0),""))</f>
        <v/>
      </c>
      <c r="G199" s="354">
        <f>IF(OR(E199="",F199=""),"",ROUND(E199*F199,2))</f>
        <v/>
      </c>
      <c r="H199" s="113" t="n"/>
      <c r="I199" s="324">
        <f>IFERROR(VLOOKUP(C199,parametros!$B:$F,5,0),"")</f>
        <v/>
      </c>
      <c r="J199" s="354">
        <f>IF(OR(L199="",F199=""),"",ROUND(L199*F199*IF(AND(UPPER(H199)="SIM",ISNUMBER(I199)),I199,1),2))</f>
        <v/>
      </c>
      <c r="K199" s="113" t="n"/>
      <c r="L199" s="90">
        <f>IF(OR(A199="",C199="",D199="",NOT(ISNUMBER(E199))),"",IF(LEFT(UPPER(D199),3)="ACR",ROUND(ABS(E199),2),IF(OR(LEFT(UPPER(D199),4)="SUPR",LEFT(UPPER(D199),4)="DECR"),ROUND(-ABS(E199),2),"")))</f>
        <v/>
      </c>
      <c r="M199" s="266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ht="45" customHeight="1" s="289">
      <c r="A200" s="113" t="n"/>
      <c r="B200" s="206" t="n"/>
      <c r="C200" s="104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 t="n"/>
      <c r="E200" s="114" t="n"/>
      <c r="F200" s="354">
        <f>IF(A200="","",IFERROR(VLOOKUP(A200,itens_Remanesc!$A:$C,3,0),""))</f>
        <v/>
      </c>
      <c r="G200" s="354">
        <f>IF(OR(E200="",F200=""),"",ROUND(E200*F200,2))</f>
        <v/>
      </c>
      <c r="H200" s="113" t="n"/>
      <c r="I200" s="324">
        <f>IFERROR(VLOOKUP(C200,parametros!$B:$F,5,0),"")</f>
        <v/>
      </c>
      <c r="J200" s="354">
        <f>IF(OR(L200="",F200=""),"",ROUND(L200*F200*IF(AND(UPPER(H200)="SIM",ISNUMBER(I200)),I200,1),2))</f>
        <v/>
      </c>
      <c r="K200" s="113" t="n"/>
      <c r="L200" s="90">
        <f>IF(OR(A200="",C200="",D200="",NOT(ISNUMBER(E200))),"",IF(LEFT(UPPER(D200),3)="ACR",ROUND(ABS(E200),2),IF(OR(LEFT(UPPER(D200),4)="SUPR",LEFT(UPPER(D200),4)="DECR"),ROUND(-ABS(E200),2),"")))</f>
        <v/>
      </c>
      <c r="M200" s="266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priority="7" dxfId="29">
      <formula>OR(LEFT(UPPER($D2),6)="SUPRES",LEFT(UPPER($D2),4)="DECR")</formula>
    </cfRule>
    <cfRule type="expression" priority="7" dxfId="28">
      <formula>OR(LEFT(UPPER($D2),6)="SUPRES",LEFT(UPPER($D2),4)="DECR")</formula>
    </cfRule>
  </conditionalFormatting>
  <conditionalFormatting sqref="C2:C200">
    <cfRule type="expression" priority="15" dxfId="27">
      <formula>UPPER($C2)="C0"</formula>
    </cfRule>
    <cfRule type="expression" priority="15" dxfId="26">
      <formula>UPPER($C2)="C1"</formula>
    </cfRule>
    <cfRule type="expression" priority="15" dxfId="25">
      <formula>UPPER($C2)="C2"</formula>
    </cfRule>
    <cfRule type="expression" priority="15" dxfId="24">
      <formula>UPPER($C2)="C3"</formula>
    </cfRule>
    <cfRule type="expression" priority="15" dxfId="23">
      <formula>UPPER($C2)="C4"</formula>
    </cfRule>
  </conditionalFormatting>
  <dataValidations count="2">
    <dataValidation sqref="H2:H200 K2:K200" showDropDown="0" showInputMessage="0" showErrorMessage="0" allowBlank="1" type="list">
      <formula1>"Sim,Nao"</formula1>
    </dataValidation>
    <dataValidation sqref="D2:D200" showDropDown="0" showInputMessage="1" showErrorMessage="1" allowBlank="1" type="list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selection activeCell="A2" sqref="A2:F200"/>
    </sheetView>
  </sheetViews>
  <sheetFormatPr baseColWidth="8" defaultRowHeight="14.5"/>
  <cols>
    <col width="28.6328125" customWidth="1" style="289" min="1" max="1"/>
    <col width="22.6328125" customWidth="1" style="289" min="2" max="6"/>
    <col width="38.6328125" customWidth="1" style="289" min="8" max="8"/>
    <col width="26.6328125" customWidth="1" style="289" min="9" max="9"/>
    <col hidden="1" style="289" min="11" max="18"/>
  </cols>
  <sheetData>
    <row r="1" ht="26" customHeight="1" s="289">
      <c r="A1" s="279" t="inlineStr">
        <is>
          <t>ITEM</t>
        </is>
      </c>
      <c r="B1" s="279" t="inlineStr">
        <is>
          <t>QTD_REM_ATUAL</t>
        </is>
      </c>
      <c r="C1" s="279" t="inlineStr">
        <is>
          <t>QTD_CONTRATADA_NA_DATA</t>
        </is>
      </c>
      <c r="D1" s="279" t="inlineStr">
        <is>
          <t>QTD_REM_REFERENCIA</t>
        </is>
      </c>
      <c r="E1" s="279" t="inlineStr">
        <is>
          <t>ORIGEM / SITUACAO</t>
        </is>
      </c>
      <c r="F1" s="279" t="inlineStr">
        <is>
          <t>CHECK</t>
        </is>
      </c>
      <c r="H1" s="199" t="inlineStr">
        <is>
          <t>CICLO DA POSICAO ATUAL (B3)</t>
        </is>
      </c>
      <c r="I1" s="220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>
      <c r="A2" s="86">
        <f>IF(itens_Remanesc!A2="","",itens_Remanesc!A2)</f>
        <v/>
      </c>
      <c r="B2" s="196" t="n"/>
      <c r="C2" s="196">
        <f>IF(A2="","",IF($I$5="","POSICAO DE REFERENCIA INDISPONIVEL",ROUND(IF(itens_Remanesc!B2="",0,itens_Remanesc!B2)+SUMIFS(aditivos!$L$2:$L$200,aditivos!$A$2:$A$200,A2,aditivos!$B$2:$B$200,"&lt;="&amp;$I$5),2)))</f>
        <v/>
      </c>
      <c r="D2" s="196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>
        <f>IF(A2="","",IF($I$4="","POSICAO DE REFERENCIA INDISPONIVEL",IF($I$2,"ATUAL INFORMADA",IF(ISNUMBER(B2),"ATUAL IGNORADA (POSICAO INCOMPLETA) - FOTOGRAFIA "&amp;$I$4,"FOTOGRAFIA "&amp;$I$4))))</f>
        <v/>
      </c>
      <c r="F2" s="86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inlineStr">
        <is>
          <t>POSICAO ATUAL COMPLETA?</t>
        </is>
      </c>
      <c r="I2" s="221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/>
      </c>
      <c r="K2" s="192">
        <f>IF(A2="","",itens_Remanesc!C2)</f>
        <v/>
      </c>
      <c r="L2" s="192">
        <f>IF(A2="","",IF($I$4="C0",posicao_contratual!G2,IF($I$4="C1",posicao_contratual!K2,IF($I$4="C2",posicao_contratual!O2,IF($I$4="C3",posicao_contratual!S2,IF($I$4="C4",posicao_contratual!W2,""))))))</f>
        <v/>
      </c>
      <c r="M2" s="192">
        <f>IF(OR(A2="",$I$5="",$I$6=""),"",ROUND(SUMIFS(aditivos!$L$2:$L$200,aditivos!$A$2:$A$200,A2,aditivos!$B$2:$B$200,"&gt;"&amp;$I$6,aditivos!$B$2:$B$200,"&lt;="&amp;$I$5),2))</f>
        <v/>
      </c>
      <c r="N2" s="192">
        <f>IF(OR(A2="",L2="",D2=""),"",ROUND(MAX(L2+IF(ISNUMBER(M2),M2,0)-D2,0),2))</f>
        <v/>
      </c>
      <c r="O2" s="192">
        <f>IF(OR(A2="",D2="",K2="",$I$7=""),"",ROUND(D2*K2*$I$7,2))</f>
        <v/>
      </c>
      <c r="P2" s="192">
        <f>IF(OR(A2="",N2="",K2="",$I$7=""),"",ROUND(N2*K2*$I$7,2))</f>
        <v/>
      </c>
      <c r="Q2" s="192">
        <f>IF(OR(A2="",D2="",K2=""),"",ROUND(D2*K2,2))</f>
        <v/>
      </c>
      <c r="R2" s="192">
        <f>IF(OR(A2="",L2="",K2="",$I$7=""),"",ROUND(L2*K2*$I$7,2))</f>
        <v/>
      </c>
    </row>
    <row r="3">
      <c r="A3" s="86">
        <f>IF(itens_Remanesc!A3="","",itens_Remanesc!A3)</f>
        <v/>
      </c>
      <c r="B3" s="196" t="n"/>
      <c r="C3" s="196">
        <f>IF(A3="","",IF($I$5="","POSICAO DE REFERENCIA INDISPONIVEL",ROUND(IF(itens_Remanesc!B3="",0,itens_Remanesc!B3)+SUMIFS(aditivos!$L$2:$L$200,aditivos!$A$2:$A$200,A3,aditivos!$B$2:$B$200,"&lt;="&amp;$I$5),2)))</f>
        <v/>
      </c>
      <c r="D3" s="196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>
        <f>IF(A3="","",IF($I$4="","POSICAO DE REFERENCIA INDISPONIVEL",IF($I$2,"ATUAL INFORMADA",IF(ISNUMBER(B3),"ATUAL IGNORADA (POSICAO INCOMPLETA) - FOTOGRAFIA "&amp;$I$4,"FOTOGRAFIA "&amp;$I$4))))</f>
        <v/>
      </c>
      <c r="F3" s="86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inlineStr">
        <is>
          <t>CICLO DA ULTIMA FOTOGRAFIA VALIDA</t>
        </is>
      </c>
      <c r="I3" s="221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>
        <f>IF(A3="","",itens_Remanesc!C3)</f>
        <v/>
      </c>
      <c r="L3" s="192">
        <f>IF(A3="","",IF($I$4="C0",posicao_contratual!G3,IF($I$4="C1",posicao_contratual!K3,IF($I$4="C2",posicao_contratual!O3,IF($I$4="C3",posicao_contratual!S3,IF($I$4="C4",posicao_contratual!W3,""))))))</f>
        <v/>
      </c>
      <c r="M3" s="192">
        <f>IF(OR(A3="",$I$5="",$I$6=""),"",ROUND(SUMIFS(aditivos!$L$2:$L$200,aditivos!$A$2:$A$200,A3,aditivos!$B$2:$B$200,"&gt;"&amp;$I$6,aditivos!$B$2:$B$200,"&lt;="&amp;$I$5),2))</f>
        <v/>
      </c>
      <c r="N3" s="192">
        <f>IF(OR(A3="",L3="",D3=""),"",ROUND(MAX(L3+IF(ISNUMBER(M3),M3,0)-D3,0),2))</f>
        <v/>
      </c>
      <c r="O3" s="192">
        <f>IF(OR(A3="",D3="",K3="",$I$7=""),"",ROUND(D3*K3*$I$7,2))</f>
        <v/>
      </c>
      <c r="P3" s="192">
        <f>IF(OR(A3="",N3="",K3="",$I$7=""),"",ROUND(N3*K3*$I$7,2))</f>
        <v/>
      </c>
      <c r="Q3" s="192">
        <f>IF(OR(A3="",D3="",K3=""),"",ROUND(D3*K3,2))</f>
        <v/>
      </c>
      <c r="R3" s="192">
        <f>IF(OR(A3="",L3="",K3="",$I$7=""),"",ROUND(L3*K3*$I$7,2))</f>
        <v/>
      </c>
    </row>
    <row r="4">
      <c r="A4" s="86">
        <f>IF(itens_Remanesc!A4="","",itens_Remanesc!A4)</f>
        <v/>
      </c>
      <c r="B4" s="196" t="n"/>
      <c r="C4" s="196">
        <f>IF(A4="","",IF($I$5="","POSICAO DE REFERENCIA INDISPONIVEL",ROUND(IF(itens_Remanesc!B4="",0,itens_Remanesc!B4)+SUMIFS(aditivos!$L$2:$L$200,aditivos!$A$2:$A$200,A4,aditivos!$B$2:$B$200,"&lt;="&amp;$I$5),2)))</f>
        <v/>
      </c>
      <c r="D4" s="196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>
        <f>IF(A4="","",IF($I$4="","POSICAO DE REFERENCIA INDISPONIVEL",IF($I$2,"ATUAL INFORMADA",IF(ISNUMBER(B4),"ATUAL IGNORADA (POSICAO INCOMPLETA) - FOTOGRAFIA "&amp;$I$4,"FOTOGRAFIA "&amp;$I$4))))</f>
        <v/>
      </c>
      <c r="F4" s="86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inlineStr">
        <is>
          <t>CICLO DE REFERENCIA</t>
        </is>
      </c>
      <c r="I4" s="221">
        <f>IF($I$2,$I$1,$I$3)</f>
        <v/>
      </c>
      <c r="K4" s="192">
        <f>IF(A4="","",itens_Remanesc!C4)</f>
        <v/>
      </c>
      <c r="L4" s="192">
        <f>IF(A4="","",IF($I$4="C0",posicao_contratual!G4,IF($I$4="C1",posicao_contratual!K4,IF($I$4="C2",posicao_contratual!O4,IF($I$4="C3",posicao_contratual!S4,IF($I$4="C4",posicao_contratual!W4,""))))))</f>
        <v/>
      </c>
      <c r="M4" s="192">
        <f>IF(OR(A4="",$I$5="",$I$6=""),"",ROUND(SUMIFS(aditivos!$L$2:$L$200,aditivos!$A$2:$A$200,A4,aditivos!$B$2:$B$200,"&gt;"&amp;$I$6,aditivos!$B$2:$B$200,"&lt;="&amp;$I$5),2))</f>
        <v/>
      </c>
      <c r="N4" s="192">
        <f>IF(OR(A4="",L4="",D4=""),"",ROUND(MAX(L4+IF(ISNUMBER(M4),M4,0)-D4,0),2))</f>
        <v/>
      </c>
      <c r="O4" s="192">
        <f>IF(OR(A4="",D4="",K4="",$I$7=""),"",ROUND(D4*K4*$I$7,2))</f>
        <v/>
      </c>
      <c r="P4" s="192">
        <f>IF(OR(A4="",N4="",K4="",$I$7=""),"",ROUND(N4*K4*$I$7,2))</f>
        <v/>
      </c>
      <c r="Q4" s="192">
        <f>IF(OR(A4="",D4="",K4=""),"",ROUND(D4*K4,2))</f>
        <v/>
      </c>
      <c r="R4" s="192">
        <f>IF(OR(A4="",L4="",K4="",$I$7=""),"",ROUND(L4*K4*$I$7,2))</f>
        <v/>
      </c>
    </row>
    <row r="5">
      <c r="A5" s="86">
        <f>IF(itens_Remanesc!A5="","",itens_Remanesc!A5)</f>
        <v/>
      </c>
      <c r="B5" s="196" t="n"/>
      <c r="C5" s="196">
        <f>IF(A5="","",IF($I$5="","POSICAO DE REFERENCIA INDISPONIVEL",ROUND(IF(itens_Remanesc!B5="",0,itens_Remanesc!B5)+SUMIFS(aditivos!$L$2:$L$200,aditivos!$A$2:$A$200,A5,aditivos!$B$2:$B$200,"&lt;="&amp;$I$5),2)))</f>
        <v/>
      </c>
      <c r="D5" s="196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>
        <f>IF(A5="","",IF($I$4="","POSICAO DE REFERENCIA INDISPONIVEL",IF($I$2,"ATUAL INFORMADA",IF(ISNUMBER(B5),"ATUAL IGNORADA (POSICAO INCOMPLETA) - FOTOGRAFIA "&amp;$I$4,"FOTOGRAFIA "&amp;$I$4))))</f>
        <v/>
      </c>
      <c r="F5" s="86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inlineStr">
        <is>
          <t>DATA DA POSICAO DE REFERENCIA</t>
        </is>
      </c>
      <c r="I5" s="222">
        <f>IF($I$4="","",IF($I$2,CONTROLE!$B$3,$I$6))</f>
        <v/>
      </c>
      <c r="K5" s="192">
        <f>IF(A5="","",itens_Remanesc!C5)</f>
        <v/>
      </c>
      <c r="L5" s="192">
        <f>IF(A5="","",IF($I$4="C0",posicao_contratual!G5,IF($I$4="C1",posicao_contratual!K5,IF($I$4="C2",posicao_contratual!O5,IF($I$4="C3",posicao_contratual!S5,IF($I$4="C4",posicao_contratual!W5,""))))))</f>
        <v/>
      </c>
      <c r="M5" s="192">
        <f>IF(OR(A5="",$I$5="",$I$6=""),"",ROUND(SUMIFS(aditivos!$L$2:$L$200,aditivos!$A$2:$A$200,A5,aditivos!$B$2:$B$200,"&gt;"&amp;$I$6,aditivos!$B$2:$B$200,"&lt;="&amp;$I$5),2))</f>
        <v/>
      </c>
      <c r="N5" s="192">
        <f>IF(OR(A5="",L5="",D5=""),"",ROUND(MAX(L5+IF(ISNUMBER(M5),M5,0)-D5,0),2))</f>
        <v/>
      </c>
      <c r="O5" s="192">
        <f>IF(OR(A5="",D5="",K5="",$I$7=""),"",ROUND(D5*K5*$I$7,2))</f>
        <v/>
      </c>
      <c r="P5" s="192">
        <f>IF(OR(A5="",N5="",K5="",$I$7=""),"",ROUND(N5*K5*$I$7,2))</f>
        <v/>
      </c>
      <c r="Q5" s="192">
        <f>IF(OR(A5="",D5="",K5=""),"",ROUND(D5*K5,2))</f>
        <v/>
      </c>
      <c r="R5" s="192">
        <f>IF(OR(A5="",L5="",K5="",$I$7=""),"",ROUND(L5*K5*$I$7,2))</f>
        <v/>
      </c>
    </row>
    <row r="6">
      <c r="A6" s="86">
        <f>IF(itens_Remanesc!A6="","",itens_Remanesc!A6)</f>
        <v/>
      </c>
      <c r="B6" s="196" t="n"/>
      <c r="C6" s="196">
        <f>IF(A6="","",IF($I$5="","POSICAO DE REFERENCIA INDISPONIVEL",ROUND(IF(itens_Remanesc!B6="",0,itens_Remanesc!B6)+SUMIFS(aditivos!$L$2:$L$200,aditivos!$A$2:$A$200,A6,aditivos!$B$2:$B$200,"&lt;="&amp;$I$5),2)))</f>
        <v/>
      </c>
      <c r="D6" s="196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>
        <f>IF(A6="","",IF($I$4="","POSICAO DE REFERENCIA INDISPONIVEL",IF($I$2,"ATUAL INFORMADA",IF(ISNUMBER(B6),"ATUAL IGNORADA (POSICAO INCOMPLETA) - FOTOGRAFIA "&amp;$I$4,"FOTOGRAFIA "&amp;$I$4))))</f>
        <v/>
      </c>
      <c r="F6" s="86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inlineStr">
        <is>
          <t>DATA DE ABERTURA DO CICLO DE REFERENCIA</t>
        </is>
      </c>
      <c r="I6" s="222">
        <f>IF($I$4="C0",parametros!$C$2,IF($I$4="C1",parametros!$C$3,IF($I$4="C2",parametros!$C$4,IF($I$4="C3",parametros!$C$5,IF($I$4="C4",parametros!$C$6,"")))))</f>
        <v/>
      </c>
      <c r="K6" s="192">
        <f>IF(A6="","",itens_Remanesc!C6)</f>
        <v/>
      </c>
      <c r="L6" s="192">
        <f>IF(A6="","",IF($I$4="C0",posicao_contratual!G6,IF($I$4="C1",posicao_contratual!K6,IF($I$4="C2",posicao_contratual!O6,IF($I$4="C3",posicao_contratual!S6,IF($I$4="C4",posicao_contratual!W6,""))))))</f>
        <v/>
      </c>
      <c r="M6" s="192">
        <f>IF(OR(A6="",$I$5="",$I$6=""),"",ROUND(SUMIFS(aditivos!$L$2:$L$200,aditivos!$A$2:$A$200,A6,aditivos!$B$2:$B$200,"&gt;"&amp;$I$6,aditivos!$B$2:$B$200,"&lt;="&amp;$I$5),2))</f>
        <v/>
      </c>
      <c r="N6" s="192">
        <f>IF(OR(A6="",L6="",D6=""),"",ROUND(MAX(L6+IF(ISNUMBER(M6),M6,0)-D6,0),2))</f>
        <v/>
      </c>
      <c r="O6" s="192">
        <f>IF(OR(A6="",D6="",K6="",$I$7=""),"",ROUND(D6*K6*$I$7,2))</f>
        <v/>
      </c>
      <c r="P6" s="192">
        <f>IF(OR(A6="",N6="",K6="",$I$7=""),"",ROUND(N6*K6*$I$7,2))</f>
        <v/>
      </c>
      <c r="Q6" s="192">
        <f>IF(OR(A6="",D6="",K6=""),"",ROUND(D6*K6,2))</f>
        <v/>
      </c>
      <c r="R6" s="192">
        <f>IF(OR(A6="",L6="",K6="",$I$7=""),"",ROUND(L6*K6*$I$7,2))</f>
        <v/>
      </c>
    </row>
    <row r="7">
      <c r="A7" s="86">
        <f>IF(itens_Remanesc!A7="","",itens_Remanesc!A7)</f>
        <v/>
      </c>
      <c r="B7" s="196" t="n"/>
      <c r="C7" s="196">
        <f>IF(A7="","",IF($I$5="","POSICAO DE REFERENCIA INDISPONIVEL",ROUND(IF(itens_Remanesc!B7="",0,itens_Remanesc!B7)+SUMIFS(aditivos!$L$2:$L$200,aditivos!$A$2:$A$200,A7,aditivos!$B$2:$B$200,"&lt;="&amp;$I$5),2)))</f>
        <v/>
      </c>
      <c r="D7" s="196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>
        <f>IF(A7="","",IF($I$4="","POSICAO DE REFERENCIA INDISPONIVEL",IF($I$2,"ATUAL INFORMADA",IF(ISNUMBER(B7),"ATUAL IGNORADA (POSICAO INCOMPLETA) - FOTOGRAFIA "&amp;$I$4,"FOTOGRAFIA "&amp;$I$4))))</f>
        <v/>
      </c>
      <c r="F7" s="86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inlineStr">
        <is>
          <t>FATOR ACUM. DO CICLO DE REFERENCIA</t>
        </is>
      </c>
      <c r="I7" s="223">
        <f>IF($I$4="C0",parametros!$F$2,IF($I$4="C1",parametros!$F$3,IF($I$4="C2",parametros!$F$4,IF($I$4="C3",parametros!$F$5,IF($I$4="C4",parametros!$F$6,"")))))</f>
        <v/>
      </c>
      <c r="K7" s="192">
        <f>IF(A7="","",itens_Remanesc!C7)</f>
        <v/>
      </c>
      <c r="L7" s="192">
        <f>IF(A7="","",IF($I$4="C0",posicao_contratual!G7,IF($I$4="C1",posicao_contratual!K7,IF($I$4="C2",posicao_contratual!O7,IF($I$4="C3",posicao_contratual!S7,IF($I$4="C4",posicao_contratual!W7,""))))))</f>
        <v/>
      </c>
      <c r="M7" s="192">
        <f>IF(OR(A7="",$I$5="",$I$6=""),"",ROUND(SUMIFS(aditivos!$L$2:$L$200,aditivos!$A$2:$A$200,A7,aditivos!$B$2:$B$200,"&gt;"&amp;$I$6,aditivos!$B$2:$B$200,"&lt;="&amp;$I$5),2))</f>
        <v/>
      </c>
      <c r="N7" s="192">
        <f>IF(OR(A7="",L7="",D7=""),"",ROUND(MAX(L7+IF(ISNUMBER(M7),M7,0)-D7,0),2))</f>
        <v/>
      </c>
      <c r="O7" s="192">
        <f>IF(OR(A7="",D7="",K7="",$I$7=""),"",ROUND(D7*K7*$I$7,2))</f>
        <v/>
      </c>
      <c r="P7" s="192">
        <f>IF(OR(A7="",N7="",K7="",$I$7=""),"",ROUND(N7*K7*$I$7,2))</f>
        <v/>
      </c>
      <c r="Q7" s="192">
        <f>IF(OR(A7="",D7="",K7=""),"",ROUND(D7*K7,2))</f>
        <v/>
      </c>
      <c r="R7" s="192">
        <f>IF(OR(A7="",L7="",K7="",$I$7=""),"",ROUND(L7*K7*$I$7,2))</f>
        <v/>
      </c>
    </row>
    <row r="8">
      <c r="A8" s="86">
        <f>IF(itens_Remanesc!A8="","",itens_Remanesc!A8)</f>
        <v/>
      </c>
      <c r="B8" s="196" t="n"/>
      <c r="C8" s="196">
        <f>IF(A8="","",IF($I$5="","POSICAO DE REFERENCIA INDISPONIVEL",ROUND(IF(itens_Remanesc!B8="",0,itens_Remanesc!B8)+SUMIFS(aditivos!$L$2:$L$200,aditivos!$A$2:$A$200,A8,aditivos!$B$2:$B$200,"&lt;="&amp;$I$5),2)))</f>
        <v/>
      </c>
      <c r="D8" s="196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>
        <f>IF(A8="","",IF($I$4="","POSICAO DE REFERENCIA INDISPONIVEL",IF($I$2,"ATUAL INFORMADA",IF(ISNUMBER(B8),"ATUAL IGNORADA (POSICAO INCOMPLETA) - FOTOGRAFIA "&amp;$I$4,"FOTOGRAFIA "&amp;$I$4))))</f>
        <v/>
      </c>
      <c r="F8" s="86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inlineStr">
        <is>
          <t>ORIGEM DA POSICAO</t>
        </is>
      </c>
      <c r="I8" s="224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/>
      </c>
      <c r="K8" s="192">
        <f>IF(A8="","",itens_Remanesc!C8)</f>
        <v/>
      </c>
      <c r="L8" s="192">
        <f>IF(A8="","",IF($I$4="C0",posicao_contratual!G8,IF($I$4="C1",posicao_contratual!K8,IF($I$4="C2",posicao_contratual!O8,IF($I$4="C3",posicao_contratual!S8,IF($I$4="C4",posicao_contratual!W8,""))))))</f>
        <v/>
      </c>
      <c r="M8" s="192">
        <f>IF(OR(A8="",$I$5="",$I$6=""),"",ROUND(SUMIFS(aditivos!$L$2:$L$200,aditivos!$A$2:$A$200,A8,aditivos!$B$2:$B$200,"&gt;"&amp;$I$6,aditivos!$B$2:$B$200,"&lt;="&amp;$I$5),2))</f>
        <v/>
      </c>
      <c r="N8" s="192">
        <f>IF(OR(A8="",L8="",D8=""),"",ROUND(MAX(L8+IF(ISNUMBER(M8),M8,0)-D8,0),2))</f>
        <v/>
      </c>
      <c r="O8" s="192">
        <f>IF(OR(A8="",D8="",K8="",$I$7=""),"",ROUND(D8*K8*$I$7,2))</f>
        <v/>
      </c>
      <c r="P8" s="192">
        <f>IF(OR(A8="",N8="",K8="",$I$7=""),"",ROUND(N8*K8*$I$7,2))</f>
        <v/>
      </c>
      <c r="Q8" s="192">
        <f>IF(OR(A8="",D8="",K8=""),"",ROUND(D8*K8,2))</f>
        <v/>
      </c>
      <c r="R8" s="192">
        <f>IF(OR(A8="",L8="",K8="",$I$7=""),"",ROUND(L8*K8*$I$7,2))</f>
        <v/>
      </c>
    </row>
    <row r="9">
      <c r="A9" s="86">
        <f>IF(itens_Remanesc!A9="","",itens_Remanesc!A9)</f>
        <v/>
      </c>
      <c r="B9" s="196" t="n"/>
      <c r="C9" s="196">
        <f>IF(A9="","",IF($I$5="","POSICAO DE REFERENCIA INDISPONIVEL",ROUND(IF(itens_Remanesc!B9="",0,itens_Remanesc!B9)+SUMIFS(aditivos!$L$2:$L$200,aditivos!$A$2:$A$200,A9,aditivos!$B$2:$B$200,"&lt;="&amp;$I$5),2)))</f>
        <v/>
      </c>
      <c r="D9" s="196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>
        <f>IF(A9="","",IF($I$4="","POSICAO DE REFERENCIA INDISPONIVEL",IF($I$2,"ATUAL INFORMADA",IF(ISNUMBER(B9),"ATUAL IGNORADA (POSICAO INCOMPLETA) - FOTOGRAFIA "&amp;$I$4,"FOTOGRAFIA "&amp;$I$4))))</f>
        <v/>
      </c>
      <c r="F9" s="86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 t="n"/>
      <c r="K9" s="192">
        <f>IF(A9="","",itens_Remanesc!C9)</f>
        <v/>
      </c>
      <c r="L9" s="192">
        <f>IF(A9="","",IF($I$4="C0",posicao_contratual!G9,IF($I$4="C1",posicao_contratual!K9,IF($I$4="C2",posicao_contratual!O9,IF($I$4="C3",posicao_contratual!S9,IF($I$4="C4",posicao_contratual!W9,""))))))</f>
        <v/>
      </c>
      <c r="M9" s="192">
        <f>IF(OR(A9="",$I$5="",$I$6=""),"",ROUND(SUMIFS(aditivos!$L$2:$L$200,aditivos!$A$2:$A$200,A9,aditivos!$B$2:$B$200,"&gt;"&amp;$I$6,aditivos!$B$2:$B$200,"&lt;="&amp;$I$5),2))</f>
        <v/>
      </c>
      <c r="N9" s="192">
        <f>IF(OR(A9="",L9="",D9=""),"",ROUND(MAX(L9+IF(ISNUMBER(M9),M9,0)-D9,0),2))</f>
        <v/>
      </c>
      <c r="O9" s="192">
        <f>IF(OR(A9="",D9="",K9="",$I$7=""),"",ROUND(D9*K9*$I$7,2))</f>
        <v/>
      </c>
      <c r="P9" s="192">
        <f>IF(OR(A9="",N9="",K9="",$I$7=""),"",ROUND(N9*K9*$I$7,2))</f>
        <v/>
      </c>
      <c r="Q9" s="192">
        <f>IF(OR(A9="",D9="",K9=""),"",ROUND(D9*K9,2))</f>
        <v/>
      </c>
      <c r="R9" s="192">
        <f>IF(OR(A9="",L9="",K9="",$I$7=""),"",ROUND(L9*K9*$I$7,2))</f>
        <v/>
      </c>
    </row>
    <row r="10">
      <c r="A10" s="86">
        <f>IF(itens_Remanesc!A10="","",itens_Remanesc!A10)</f>
        <v/>
      </c>
      <c r="B10" s="196" t="n"/>
      <c r="C10" s="196">
        <f>IF(A10="","",IF($I$5="","POSICAO DE REFERENCIA INDISPONIVEL",ROUND(IF(itens_Remanesc!B10="",0,itens_Remanesc!B10)+SUMIFS(aditivos!$L$2:$L$200,aditivos!$A$2:$A$200,A10,aditivos!$B$2:$B$200,"&lt;="&amp;$I$5),2)))</f>
        <v/>
      </c>
      <c r="D10" s="196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>
        <f>IF(A10="","",IF($I$4="","POSICAO DE REFERENCIA INDISPONIVEL",IF($I$2,"ATUAL INFORMADA",IF(ISNUMBER(B10),"ATUAL IGNORADA (POSICAO INCOMPLETA) - FOTOGRAFIA "&amp;$I$4,"FOTOGRAFIA "&amp;$I$4))))</f>
        <v/>
      </c>
      <c r="F10" s="86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 t="n"/>
      <c r="K10" s="192">
        <f>IF(A10="","",itens_Remanesc!C10)</f>
        <v/>
      </c>
      <c r="L10" s="192">
        <f>IF(A10="","",IF($I$4="C0",posicao_contratual!G10,IF($I$4="C1",posicao_contratual!K10,IF($I$4="C2",posicao_contratual!O10,IF($I$4="C3",posicao_contratual!S10,IF($I$4="C4",posicao_contratual!W10,""))))))</f>
        <v/>
      </c>
      <c r="M10" s="192">
        <f>IF(OR(A10="",$I$5="",$I$6=""),"",ROUND(SUMIFS(aditivos!$L$2:$L$200,aditivos!$A$2:$A$200,A10,aditivos!$B$2:$B$200,"&gt;"&amp;$I$6,aditivos!$B$2:$B$200,"&lt;="&amp;$I$5),2))</f>
        <v/>
      </c>
      <c r="N10" s="192">
        <f>IF(OR(A10="",L10="",D10=""),"",ROUND(MAX(L10+IF(ISNUMBER(M10),M10,0)-D10,0),2))</f>
        <v/>
      </c>
      <c r="O10" s="192">
        <f>IF(OR(A10="",D10="",K10="",$I$7=""),"",ROUND(D10*K10*$I$7,2))</f>
        <v/>
      </c>
      <c r="P10" s="192">
        <f>IF(OR(A10="",N10="",K10="",$I$7=""),"",ROUND(N10*K10*$I$7,2))</f>
        <v/>
      </c>
      <c r="Q10" s="192">
        <f>IF(OR(A10="",D10="",K10=""),"",ROUND(D10*K10,2))</f>
        <v/>
      </c>
      <c r="R10" s="192">
        <f>IF(OR(A10="",L10="",K10="",$I$7=""),"",ROUND(L10*K10*$I$7,2))</f>
        <v/>
      </c>
    </row>
    <row r="11">
      <c r="A11" s="86">
        <f>IF(itens_Remanesc!A11="","",itens_Remanesc!A11)</f>
        <v/>
      </c>
      <c r="B11" s="196" t="n"/>
      <c r="C11" s="196">
        <f>IF(A11="","",IF($I$5="","POSICAO DE REFERENCIA INDISPONIVEL",ROUND(IF(itens_Remanesc!B11="",0,itens_Remanesc!B11)+SUMIFS(aditivos!$L$2:$L$200,aditivos!$A$2:$A$200,A11,aditivos!$B$2:$B$200,"&lt;="&amp;$I$5),2)))</f>
        <v/>
      </c>
      <c r="D11" s="196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>
        <f>IF(A11="","",IF($I$4="","POSICAO DE REFERENCIA INDISPONIVEL",IF($I$2,"ATUAL INFORMADA",IF(ISNUMBER(B11),"ATUAL IGNORADA (POSICAO INCOMPLETA) - FOTOGRAFIA "&amp;$I$4,"FOTOGRAFIA "&amp;$I$4))))</f>
        <v/>
      </c>
      <c r="F11" s="86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 t="n"/>
      <c r="K11" s="192">
        <f>IF(A11="","",itens_Remanesc!C11)</f>
        <v/>
      </c>
      <c r="L11" s="192">
        <f>IF(A11="","",IF($I$4="C0",posicao_contratual!G11,IF($I$4="C1",posicao_contratual!K11,IF($I$4="C2",posicao_contratual!O11,IF($I$4="C3",posicao_contratual!S11,IF($I$4="C4",posicao_contratual!W11,""))))))</f>
        <v/>
      </c>
      <c r="M11" s="192">
        <f>IF(OR(A11="",$I$5="",$I$6=""),"",ROUND(SUMIFS(aditivos!$L$2:$L$200,aditivos!$A$2:$A$200,A11,aditivos!$B$2:$B$200,"&gt;"&amp;$I$6,aditivos!$B$2:$B$200,"&lt;="&amp;$I$5),2))</f>
        <v/>
      </c>
      <c r="N11" s="192">
        <f>IF(OR(A11="",L11="",D11=""),"",ROUND(MAX(L11+IF(ISNUMBER(M11),M11,0)-D11,0),2))</f>
        <v/>
      </c>
      <c r="O11" s="192">
        <f>IF(OR(A11="",D11="",K11="",$I$7=""),"",ROUND(D11*K11*$I$7,2))</f>
        <v/>
      </c>
      <c r="P11" s="192">
        <f>IF(OR(A11="",N11="",K11="",$I$7=""),"",ROUND(N11*K11*$I$7,2))</f>
        <v/>
      </c>
      <c r="Q11" s="192">
        <f>IF(OR(A11="",D11="",K11=""),"",ROUND(D11*K11,2))</f>
        <v/>
      </c>
      <c r="R11" s="192">
        <f>IF(OR(A11="",L11="",K11="",$I$7=""),"",ROUND(L11*K11*$I$7,2))</f>
        <v/>
      </c>
    </row>
    <row r="12">
      <c r="A12" s="86">
        <f>IF(itens_Remanesc!A12="","",itens_Remanesc!A12)</f>
        <v/>
      </c>
      <c r="B12" s="196" t="n"/>
      <c r="C12" s="196">
        <f>IF(A12="","",IF($I$5="","POSICAO DE REFERENCIA INDISPONIVEL",ROUND(IF(itens_Remanesc!B12="",0,itens_Remanesc!B12)+SUMIFS(aditivos!$L$2:$L$200,aditivos!$A$2:$A$200,A12,aditivos!$B$2:$B$200,"&lt;="&amp;$I$5),2)))</f>
        <v/>
      </c>
      <c r="D12" s="196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>
        <f>IF(A12="","",IF($I$4="","POSICAO DE REFERENCIA INDISPONIVEL",IF($I$2,"ATUAL INFORMADA",IF(ISNUMBER(B12),"ATUAL IGNORADA (POSICAO INCOMPLETA) - FOTOGRAFIA "&amp;$I$4,"FOTOGRAFIA "&amp;$I$4))))</f>
        <v/>
      </c>
      <c r="F12" s="86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 t="n"/>
      <c r="K12" s="192">
        <f>IF(A12="","",itens_Remanesc!C12)</f>
        <v/>
      </c>
      <c r="L12" s="192">
        <f>IF(A12="","",IF($I$4="C0",posicao_contratual!G12,IF($I$4="C1",posicao_contratual!K12,IF($I$4="C2",posicao_contratual!O12,IF($I$4="C3",posicao_contratual!S12,IF($I$4="C4",posicao_contratual!W12,""))))))</f>
        <v/>
      </c>
      <c r="M12" s="192">
        <f>IF(OR(A12="",$I$5="",$I$6=""),"",ROUND(SUMIFS(aditivos!$L$2:$L$200,aditivos!$A$2:$A$200,A12,aditivos!$B$2:$B$200,"&gt;"&amp;$I$6,aditivos!$B$2:$B$200,"&lt;="&amp;$I$5),2))</f>
        <v/>
      </c>
      <c r="N12" s="192">
        <f>IF(OR(A12="",L12="",D12=""),"",ROUND(MAX(L12+IF(ISNUMBER(M12),M12,0)-D12,0),2))</f>
        <v/>
      </c>
      <c r="O12" s="192">
        <f>IF(OR(A12="",D12="",K12="",$I$7=""),"",ROUND(D12*K12*$I$7,2))</f>
        <v/>
      </c>
      <c r="P12" s="192">
        <f>IF(OR(A12="",N12="",K12="",$I$7=""),"",ROUND(N12*K12*$I$7,2))</f>
        <v/>
      </c>
      <c r="Q12" s="192">
        <f>IF(OR(A12="",D12="",K12=""),"",ROUND(D12*K12,2))</f>
        <v/>
      </c>
      <c r="R12" s="192">
        <f>IF(OR(A12="",L12="",K12="",$I$7=""),"",ROUND(L12*K12*$I$7,2))</f>
        <v/>
      </c>
    </row>
    <row r="13">
      <c r="A13" s="86">
        <f>IF(itens_Remanesc!A13="","",itens_Remanesc!A13)</f>
        <v/>
      </c>
      <c r="B13" s="196" t="n"/>
      <c r="C13" s="196">
        <f>IF(A13="","",IF($I$5="","POSICAO DE REFERENCIA INDISPONIVEL",ROUND(IF(itens_Remanesc!B13="",0,itens_Remanesc!B13)+SUMIFS(aditivos!$L$2:$L$200,aditivos!$A$2:$A$200,A13,aditivos!$B$2:$B$200,"&lt;="&amp;$I$5),2)))</f>
        <v/>
      </c>
      <c r="D13" s="196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>
        <f>IF(A13="","",IF($I$4="","POSICAO DE REFERENCIA INDISPONIVEL",IF($I$2,"ATUAL INFORMADA",IF(ISNUMBER(B13),"ATUAL IGNORADA (POSICAO INCOMPLETA) - FOTOGRAFIA "&amp;$I$4,"FOTOGRAFIA "&amp;$I$4))))</f>
        <v/>
      </c>
      <c r="F13" s="86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 t="n"/>
      <c r="K13" s="192">
        <f>IF(A13="","",itens_Remanesc!C13)</f>
        <v/>
      </c>
      <c r="L13" s="192">
        <f>IF(A13="","",IF($I$4="C0",posicao_contratual!G13,IF($I$4="C1",posicao_contratual!K13,IF($I$4="C2",posicao_contratual!O13,IF($I$4="C3",posicao_contratual!S13,IF($I$4="C4",posicao_contratual!W13,""))))))</f>
        <v/>
      </c>
      <c r="M13" s="192">
        <f>IF(OR(A13="",$I$5="",$I$6=""),"",ROUND(SUMIFS(aditivos!$L$2:$L$200,aditivos!$A$2:$A$200,A13,aditivos!$B$2:$B$200,"&gt;"&amp;$I$6,aditivos!$B$2:$B$200,"&lt;="&amp;$I$5),2))</f>
        <v/>
      </c>
      <c r="N13" s="192">
        <f>IF(OR(A13="",L13="",D13=""),"",ROUND(MAX(L13+IF(ISNUMBER(M13),M13,0)-D13,0),2))</f>
        <v/>
      </c>
      <c r="O13" s="192">
        <f>IF(OR(A13="",D13="",K13="",$I$7=""),"",ROUND(D13*K13*$I$7,2))</f>
        <v/>
      </c>
      <c r="P13" s="192">
        <f>IF(OR(A13="",N13="",K13="",$I$7=""),"",ROUND(N13*K13*$I$7,2))</f>
        <v/>
      </c>
      <c r="Q13" s="192">
        <f>IF(OR(A13="",D13="",K13=""),"",ROUND(D13*K13,2))</f>
        <v/>
      </c>
      <c r="R13" s="192">
        <f>IF(OR(A13="",L13="",K13="",$I$7=""),"",ROUND(L13*K13*$I$7,2))</f>
        <v/>
      </c>
    </row>
    <row r="14">
      <c r="A14" s="86">
        <f>IF(itens_Remanesc!A14="","",itens_Remanesc!A14)</f>
        <v/>
      </c>
      <c r="B14" s="196" t="n"/>
      <c r="C14" s="196">
        <f>IF(A14="","",IF($I$5="","POSICAO DE REFERENCIA INDISPONIVEL",ROUND(IF(itens_Remanesc!B14="",0,itens_Remanesc!B14)+SUMIFS(aditivos!$L$2:$L$200,aditivos!$A$2:$A$200,A14,aditivos!$B$2:$B$200,"&lt;="&amp;$I$5),2)))</f>
        <v/>
      </c>
      <c r="D14" s="196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>
        <f>IF(A14="","",IF($I$4="","POSICAO DE REFERENCIA INDISPONIVEL",IF($I$2,"ATUAL INFORMADA",IF(ISNUMBER(B14),"ATUAL IGNORADA (POSICAO INCOMPLETA) - FOTOGRAFIA "&amp;$I$4,"FOTOGRAFIA "&amp;$I$4))))</f>
        <v/>
      </c>
      <c r="F14" s="86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 t="n"/>
      <c r="K14" s="192">
        <f>IF(A14="","",itens_Remanesc!C14)</f>
        <v/>
      </c>
      <c r="L14" s="192">
        <f>IF(A14="","",IF($I$4="C0",posicao_contratual!G14,IF($I$4="C1",posicao_contratual!K14,IF($I$4="C2",posicao_contratual!O14,IF($I$4="C3",posicao_contratual!S14,IF($I$4="C4",posicao_contratual!W14,""))))))</f>
        <v/>
      </c>
      <c r="M14" s="192">
        <f>IF(OR(A14="",$I$5="",$I$6=""),"",ROUND(SUMIFS(aditivos!$L$2:$L$200,aditivos!$A$2:$A$200,A14,aditivos!$B$2:$B$200,"&gt;"&amp;$I$6,aditivos!$B$2:$B$200,"&lt;="&amp;$I$5),2))</f>
        <v/>
      </c>
      <c r="N14" s="192">
        <f>IF(OR(A14="",L14="",D14=""),"",ROUND(MAX(L14+IF(ISNUMBER(M14),M14,0)-D14,0),2))</f>
        <v/>
      </c>
      <c r="O14" s="192">
        <f>IF(OR(A14="",D14="",K14="",$I$7=""),"",ROUND(D14*K14*$I$7,2))</f>
        <v/>
      </c>
      <c r="P14" s="192">
        <f>IF(OR(A14="",N14="",K14="",$I$7=""),"",ROUND(N14*K14*$I$7,2))</f>
        <v/>
      </c>
      <c r="Q14" s="192">
        <f>IF(OR(A14="",D14="",K14=""),"",ROUND(D14*K14,2))</f>
        <v/>
      </c>
      <c r="R14" s="192">
        <f>IF(OR(A14="",L14="",K14="",$I$7=""),"",ROUND(L14*K14*$I$7,2))</f>
        <v/>
      </c>
    </row>
    <row r="15">
      <c r="A15" s="86">
        <f>IF(itens_Remanesc!A15="","",itens_Remanesc!A15)</f>
        <v/>
      </c>
      <c r="B15" s="196" t="n"/>
      <c r="C15" s="196">
        <f>IF(A15="","",IF($I$5="","POSICAO DE REFERENCIA INDISPONIVEL",ROUND(IF(itens_Remanesc!B15="",0,itens_Remanesc!B15)+SUMIFS(aditivos!$L$2:$L$200,aditivos!$A$2:$A$200,A15,aditivos!$B$2:$B$200,"&lt;="&amp;$I$5),2)))</f>
        <v/>
      </c>
      <c r="D15" s="196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>
        <f>IF(A15="","",IF($I$4="","POSICAO DE REFERENCIA INDISPONIVEL",IF($I$2,"ATUAL INFORMADA",IF(ISNUMBER(B15),"ATUAL IGNORADA (POSICAO INCOMPLETA) - FOTOGRAFIA "&amp;$I$4,"FOTOGRAFIA "&amp;$I$4))))</f>
        <v/>
      </c>
      <c r="F15" s="86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 t="n"/>
      <c r="K15" s="192">
        <f>IF(A15="","",itens_Remanesc!C15)</f>
        <v/>
      </c>
      <c r="L15" s="192">
        <f>IF(A15="","",IF($I$4="C0",posicao_contratual!G15,IF($I$4="C1",posicao_contratual!K15,IF($I$4="C2",posicao_contratual!O15,IF($I$4="C3",posicao_contratual!S15,IF($I$4="C4",posicao_contratual!W15,""))))))</f>
        <v/>
      </c>
      <c r="M15" s="192">
        <f>IF(OR(A15="",$I$5="",$I$6=""),"",ROUND(SUMIFS(aditivos!$L$2:$L$200,aditivos!$A$2:$A$200,A15,aditivos!$B$2:$B$200,"&gt;"&amp;$I$6,aditivos!$B$2:$B$200,"&lt;="&amp;$I$5),2))</f>
        <v/>
      </c>
      <c r="N15" s="192">
        <f>IF(OR(A15="",L15="",D15=""),"",ROUND(MAX(L15+IF(ISNUMBER(M15),M15,0)-D15,0),2))</f>
        <v/>
      </c>
      <c r="O15" s="192">
        <f>IF(OR(A15="",D15="",K15="",$I$7=""),"",ROUND(D15*K15*$I$7,2))</f>
        <v/>
      </c>
      <c r="P15" s="192">
        <f>IF(OR(A15="",N15="",K15="",$I$7=""),"",ROUND(N15*K15*$I$7,2))</f>
        <v/>
      </c>
      <c r="Q15" s="192">
        <f>IF(OR(A15="",D15="",K15=""),"",ROUND(D15*K15,2))</f>
        <v/>
      </c>
      <c r="R15" s="192">
        <f>IF(OR(A15="",L15="",K15="",$I$7=""),"",ROUND(L15*K15*$I$7,2))</f>
        <v/>
      </c>
    </row>
    <row r="16">
      <c r="A16" s="86">
        <f>IF(itens_Remanesc!A16="","",itens_Remanesc!A16)</f>
        <v/>
      </c>
      <c r="B16" s="196" t="n"/>
      <c r="C16" s="196">
        <f>IF(A16="","",IF($I$5="","POSICAO DE REFERENCIA INDISPONIVEL",ROUND(IF(itens_Remanesc!B16="",0,itens_Remanesc!B16)+SUMIFS(aditivos!$L$2:$L$200,aditivos!$A$2:$A$200,A16,aditivos!$B$2:$B$200,"&lt;="&amp;$I$5),2)))</f>
        <v/>
      </c>
      <c r="D16" s="196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>
        <f>IF(A16="","",IF($I$4="","POSICAO DE REFERENCIA INDISPONIVEL",IF($I$2,"ATUAL INFORMADA",IF(ISNUMBER(B16),"ATUAL IGNORADA (POSICAO INCOMPLETA) - FOTOGRAFIA "&amp;$I$4,"FOTOGRAFIA "&amp;$I$4))))</f>
        <v/>
      </c>
      <c r="F16" s="86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 t="n"/>
      <c r="K16" s="192">
        <f>IF(A16="","",itens_Remanesc!C16)</f>
        <v/>
      </c>
      <c r="L16" s="192">
        <f>IF(A16="","",IF($I$4="C0",posicao_contratual!G16,IF($I$4="C1",posicao_contratual!K16,IF($I$4="C2",posicao_contratual!O16,IF($I$4="C3",posicao_contratual!S16,IF($I$4="C4",posicao_contratual!W16,""))))))</f>
        <v/>
      </c>
      <c r="M16" s="192">
        <f>IF(OR(A16="",$I$5="",$I$6=""),"",ROUND(SUMIFS(aditivos!$L$2:$L$200,aditivos!$A$2:$A$200,A16,aditivos!$B$2:$B$200,"&gt;"&amp;$I$6,aditivos!$B$2:$B$200,"&lt;="&amp;$I$5),2))</f>
        <v/>
      </c>
      <c r="N16" s="192">
        <f>IF(OR(A16="",L16="",D16=""),"",ROUND(MAX(L16+IF(ISNUMBER(M16),M16,0)-D16,0),2))</f>
        <v/>
      </c>
      <c r="O16" s="192">
        <f>IF(OR(A16="",D16="",K16="",$I$7=""),"",ROUND(D16*K16*$I$7,2))</f>
        <v/>
      </c>
      <c r="P16" s="192">
        <f>IF(OR(A16="",N16="",K16="",$I$7=""),"",ROUND(N16*K16*$I$7,2))</f>
        <v/>
      </c>
      <c r="Q16" s="192">
        <f>IF(OR(A16="",D16="",K16=""),"",ROUND(D16*K16,2))</f>
        <v/>
      </c>
      <c r="R16" s="192">
        <f>IF(OR(A16="",L16="",K16="",$I$7=""),"",ROUND(L16*K16*$I$7,2))</f>
        <v/>
      </c>
    </row>
    <row r="17">
      <c r="A17" s="86">
        <f>IF(itens_Remanesc!A17="","",itens_Remanesc!A17)</f>
        <v/>
      </c>
      <c r="B17" s="196" t="n"/>
      <c r="C17" s="196">
        <f>IF(A17="","",IF($I$5="","POSICAO DE REFERENCIA INDISPONIVEL",ROUND(IF(itens_Remanesc!B17="",0,itens_Remanesc!B17)+SUMIFS(aditivos!$L$2:$L$200,aditivos!$A$2:$A$200,A17,aditivos!$B$2:$B$200,"&lt;="&amp;$I$5),2)))</f>
        <v/>
      </c>
      <c r="D17" s="196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>
        <f>IF(A17="","",IF($I$4="","POSICAO DE REFERENCIA INDISPONIVEL",IF($I$2,"ATUAL INFORMADA",IF(ISNUMBER(B17),"ATUAL IGNORADA (POSICAO INCOMPLETA) - FOTOGRAFIA "&amp;$I$4,"FOTOGRAFIA "&amp;$I$4))))</f>
        <v/>
      </c>
      <c r="F17" s="86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 t="n"/>
      <c r="K17" s="192">
        <f>IF(A17="","",itens_Remanesc!C17)</f>
        <v/>
      </c>
      <c r="L17" s="192">
        <f>IF(A17="","",IF($I$4="C0",posicao_contratual!G17,IF($I$4="C1",posicao_contratual!K17,IF($I$4="C2",posicao_contratual!O17,IF($I$4="C3",posicao_contratual!S17,IF($I$4="C4",posicao_contratual!W17,""))))))</f>
        <v/>
      </c>
      <c r="M17" s="192">
        <f>IF(OR(A17="",$I$5="",$I$6=""),"",ROUND(SUMIFS(aditivos!$L$2:$L$200,aditivos!$A$2:$A$200,A17,aditivos!$B$2:$B$200,"&gt;"&amp;$I$6,aditivos!$B$2:$B$200,"&lt;="&amp;$I$5),2))</f>
        <v/>
      </c>
      <c r="N17" s="192">
        <f>IF(OR(A17="",L17="",D17=""),"",ROUND(MAX(L17+IF(ISNUMBER(M17),M17,0)-D17,0),2))</f>
        <v/>
      </c>
      <c r="O17" s="192">
        <f>IF(OR(A17="",D17="",K17="",$I$7=""),"",ROUND(D17*K17*$I$7,2))</f>
        <v/>
      </c>
      <c r="P17" s="192">
        <f>IF(OR(A17="",N17="",K17="",$I$7=""),"",ROUND(N17*K17*$I$7,2))</f>
        <v/>
      </c>
      <c r="Q17" s="192">
        <f>IF(OR(A17="",D17="",K17=""),"",ROUND(D17*K17,2))</f>
        <v/>
      </c>
      <c r="R17" s="192">
        <f>IF(OR(A17="",L17="",K17="",$I$7=""),"",ROUND(L17*K17*$I$7,2))</f>
        <v/>
      </c>
    </row>
    <row r="18">
      <c r="A18" s="86">
        <f>IF(itens_Remanesc!A18="","",itens_Remanesc!A18)</f>
        <v/>
      </c>
      <c r="B18" s="196" t="n"/>
      <c r="C18" s="196">
        <f>IF(A18="","",IF($I$5="","POSICAO DE REFERENCIA INDISPONIVEL",ROUND(IF(itens_Remanesc!B18="",0,itens_Remanesc!B18)+SUMIFS(aditivos!$L$2:$L$200,aditivos!$A$2:$A$200,A18,aditivos!$B$2:$B$200,"&lt;="&amp;$I$5),2)))</f>
        <v/>
      </c>
      <c r="D18" s="196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>
        <f>IF(A18="","",IF($I$4="","POSICAO DE REFERENCIA INDISPONIVEL",IF($I$2,"ATUAL INFORMADA",IF(ISNUMBER(B18),"ATUAL IGNORADA (POSICAO INCOMPLETA) - FOTOGRAFIA "&amp;$I$4,"FOTOGRAFIA "&amp;$I$4))))</f>
        <v/>
      </c>
      <c r="F18" s="86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 t="n"/>
      <c r="K18" s="192">
        <f>IF(A18="","",itens_Remanesc!C18)</f>
        <v/>
      </c>
      <c r="L18" s="192">
        <f>IF(A18="","",IF($I$4="C0",posicao_contratual!G18,IF($I$4="C1",posicao_contratual!K18,IF($I$4="C2",posicao_contratual!O18,IF($I$4="C3",posicao_contratual!S18,IF($I$4="C4",posicao_contratual!W18,""))))))</f>
        <v/>
      </c>
      <c r="M18" s="192">
        <f>IF(OR(A18="",$I$5="",$I$6=""),"",ROUND(SUMIFS(aditivos!$L$2:$L$200,aditivos!$A$2:$A$200,A18,aditivos!$B$2:$B$200,"&gt;"&amp;$I$6,aditivos!$B$2:$B$200,"&lt;="&amp;$I$5),2))</f>
        <v/>
      </c>
      <c r="N18" s="192">
        <f>IF(OR(A18="",L18="",D18=""),"",ROUND(MAX(L18+IF(ISNUMBER(M18),M18,0)-D18,0),2))</f>
        <v/>
      </c>
      <c r="O18" s="192">
        <f>IF(OR(A18="",D18="",K18="",$I$7=""),"",ROUND(D18*K18*$I$7,2))</f>
        <v/>
      </c>
      <c r="P18" s="192">
        <f>IF(OR(A18="",N18="",K18="",$I$7=""),"",ROUND(N18*K18*$I$7,2))</f>
        <v/>
      </c>
      <c r="Q18" s="192">
        <f>IF(OR(A18="",D18="",K18=""),"",ROUND(D18*K18,2))</f>
        <v/>
      </c>
      <c r="R18" s="192">
        <f>IF(OR(A18="",L18="",K18="",$I$7=""),"",ROUND(L18*K18*$I$7,2))</f>
        <v/>
      </c>
    </row>
    <row r="19">
      <c r="A19" s="86">
        <f>IF(itens_Remanesc!A19="","",itens_Remanesc!A19)</f>
        <v/>
      </c>
      <c r="B19" s="196" t="n"/>
      <c r="C19" s="196">
        <f>IF(A19="","",IF($I$5="","POSICAO DE REFERENCIA INDISPONIVEL",ROUND(IF(itens_Remanesc!B19="",0,itens_Remanesc!B19)+SUMIFS(aditivos!$L$2:$L$200,aditivos!$A$2:$A$200,A19,aditivos!$B$2:$B$200,"&lt;="&amp;$I$5),2)))</f>
        <v/>
      </c>
      <c r="D19" s="196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>
        <f>IF(A19="","",IF($I$4="","POSICAO DE REFERENCIA INDISPONIVEL",IF($I$2,"ATUAL INFORMADA",IF(ISNUMBER(B19),"ATUAL IGNORADA (POSICAO INCOMPLETA) - FOTOGRAFIA "&amp;$I$4,"FOTOGRAFIA "&amp;$I$4))))</f>
        <v/>
      </c>
      <c r="F19" s="86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 t="n"/>
      <c r="K19" s="192">
        <f>IF(A19="","",itens_Remanesc!C19)</f>
        <v/>
      </c>
      <c r="L19" s="192">
        <f>IF(A19="","",IF($I$4="C0",posicao_contratual!G19,IF($I$4="C1",posicao_contratual!K19,IF($I$4="C2",posicao_contratual!O19,IF($I$4="C3",posicao_contratual!S19,IF($I$4="C4",posicao_contratual!W19,""))))))</f>
        <v/>
      </c>
      <c r="M19" s="192">
        <f>IF(OR(A19="",$I$5="",$I$6=""),"",ROUND(SUMIFS(aditivos!$L$2:$L$200,aditivos!$A$2:$A$200,A19,aditivos!$B$2:$B$200,"&gt;"&amp;$I$6,aditivos!$B$2:$B$200,"&lt;="&amp;$I$5),2))</f>
        <v/>
      </c>
      <c r="N19" s="192">
        <f>IF(OR(A19="",L19="",D19=""),"",ROUND(MAX(L19+IF(ISNUMBER(M19),M19,0)-D19,0),2))</f>
        <v/>
      </c>
      <c r="O19" s="192">
        <f>IF(OR(A19="",D19="",K19="",$I$7=""),"",ROUND(D19*K19*$I$7,2))</f>
        <v/>
      </c>
      <c r="P19" s="192">
        <f>IF(OR(A19="",N19="",K19="",$I$7=""),"",ROUND(N19*K19*$I$7,2))</f>
        <v/>
      </c>
      <c r="Q19" s="192">
        <f>IF(OR(A19="",D19="",K19=""),"",ROUND(D19*K19,2))</f>
        <v/>
      </c>
      <c r="R19" s="192">
        <f>IF(OR(A19="",L19="",K19="",$I$7=""),"",ROUND(L19*K19*$I$7,2))</f>
        <v/>
      </c>
    </row>
    <row r="20">
      <c r="A20" s="86">
        <f>IF(itens_Remanesc!A20="","",itens_Remanesc!A20)</f>
        <v/>
      </c>
      <c r="B20" s="196" t="n"/>
      <c r="C20" s="196">
        <f>IF(A20="","",IF($I$5="","POSICAO DE REFERENCIA INDISPONIVEL",ROUND(IF(itens_Remanesc!B20="",0,itens_Remanesc!B20)+SUMIFS(aditivos!$L$2:$L$200,aditivos!$A$2:$A$200,A20,aditivos!$B$2:$B$200,"&lt;="&amp;$I$5),2)))</f>
        <v/>
      </c>
      <c r="D20" s="196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>
        <f>IF(A20="","",IF($I$4="","POSICAO DE REFERENCIA INDISPONIVEL",IF($I$2,"ATUAL INFORMADA",IF(ISNUMBER(B20),"ATUAL IGNORADA (POSICAO INCOMPLETA) - FOTOGRAFIA "&amp;$I$4,"FOTOGRAFIA "&amp;$I$4))))</f>
        <v/>
      </c>
      <c r="F20" s="86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 t="n"/>
      <c r="K20" s="192">
        <f>IF(A20="","",itens_Remanesc!C20)</f>
        <v/>
      </c>
      <c r="L20" s="192">
        <f>IF(A20="","",IF($I$4="C0",posicao_contratual!G20,IF($I$4="C1",posicao_contratual!K20,IF($I$4="C2",posicao_contratual!O20,IF($I$4="C3",posicao_contratual!S20,IF($I$4="C4",posicao_contratual!W20,""))))))</f>
        <v/>
      </c>
      <c r="M20" s="192">
        <f>IF(OR(A20="",$I$5="",$I$6=""),"",ROUND(SUMIFS(aditivos!$L$2:$L$200,aditivos!$A$2:$A$200,A20,aditivos!$B$2:$B$200,"&gt;"&amp;$I$6,aditivos!$B$2:$B$200,"&lt;="&amp;$I$5),2))</f>
        <v/>
      </c>
      <c r="N20" s="192">
        <f>IF(OR(A20="",L20="",D20=""),"",ROUND(MAX(L20+IF(ISNUMBER(M20),M20,0)-D20,0),2))</f>
        <v/>
      </c>
      <c r="O20" s="192">
        <f>IF(OR(A20="",D20="",K20="",$I$7=""),"",ROUND(D20*K20*$I$7,2))</f>
        <v/>
      </c>
      <c r="P20" s="192">
        <f>IF(OR(A20="",N20="",K20="",$I$7=""),"",ROUND(N20*K20*$I$7,2))</f>
        <v/>
      </c>
      <c r="Q20" s="192">
        <f>IF(OR(A20="",D20="",K20=""),"",ROUND(D20*K20,2))</f>
        <v/>
      </c>
      <c r="R20" s="192">
        <f>IF(OR(A20="",L20="",K20="",$I$7=""),"",ROUND(L20*K20*$I$7,2))</f>
        <v/>
      </c>
    </row>
    <row r="21">
      <c r="A21" s="86">
        <f>IF(itens_Remanesc!A21="","",itens_Remanesc!A21)</f>
        <v/>
      </c>
      <c r="B21" s="196" t="n"/>
      <c r="C21" s="196">
        <f>IF(A21="","",IF($I$5="","POSICAO DE REFERENCIA INDISPONIVEL",ROUND(IF(itens_Remanesc!B21="",0,itens_Remanesc!B21)+SUMIFS(aditivos!$L$2:$L$200,aditivos!$A$2:$A$200,A21,aditivos!$B$2:$B$200,"&lt;="&amp;$I$5),2)))</f>
        <v/>
      </c>
      <c r="D21" s="196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>
        <f>IF(A21="","",IF($I$4="","POSICAO DE REFERENCIA INDISPONIVEL",IF($I$2,"ATUAL INFORMADA",IF(ISNUMBER(B21),"ATUAL IGNORADA (POSICAO INCOMPLETA) - FOTOGRAFIA "&amp;$I$4,"FOTOGRAFIA "&amp;$I$4))))</f>
        <v/>
      </c>
      <c r="F21" s="86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 t="n"/>
      <c r="K21" s="192">
        <f>IF(A21="","",itens_Remanesc!C21)</f>
        <v/>
      </c>
      <c r="L21" s="192">
        <f>IF(A21="","",IF($I$4="C0",posicao_contratual!G21,IF($I$4="C1",posicao_contratual!K21,IF($I$4="C2",posicao_contratual!O21,IF($I$4="C3",posicao_contratual!S21,IF($I$4="C4",posicao_contratual!W21,""))))))</f>
        <v/>
      </c>
      <c r="M21" s="192">
        <f>IF(OR(A21="",$I$5="",$I$6=""),"",ROUND(SUMIFS(aditivos!$L$2:$L$200,aditivos!$A$2:$A$200,A21,aditivos!$B$2:$B$200,"&gt;"&amp;$I$6,aditivos!$B$2:$B$200,"&lt;="&amp;$I$5),2))</f>
        <v/>
      </c>
      <c r="N21" s="192">
        <f>IF(OR(A21="",L21="",D21=""),"",ROUND(MAX(L21+IF(ISNUMBER(M21),M21,0)-D21,0),2))</f>
        <v/>
      </c>
      <c r="O21" s="192">
        <f>IF(OR(A21="",D21="",K21="",$I$7=""),"",ROUND(D21*K21*$I$7,2))</f>
        <v/>
      </c>
      <c r="P21" s="192">
        <f>IF(OR(A21="",N21="",K21="",$I$7=""),"",ROUND(N21*K21*$I$7,2))</f>
        <v/>
      </c>
      <c r="Q21" s="192">
        <f>IF(OR(A21="",D21="",K21=""),"",ROUND(D21*K21,2))</f>
        <v/>
      </c>
      <c r="R21" s="192">
        <f>IF(OR(A21="",L21="",K21="",$I$7=""),"",ROUND(L21*K21*$I$7,2))</f>
        <v/>
      </c>
    </row>
    <row r="22">
      <c r="A22" s="86">
        <f>IF(itens_Remanesc!A22="","",itens_Remanesc!A22)</f>
        <v/>
      </c>
      <c r="B22" s="196" t="n"/>
      <c r="C22" s="196">
        <f>IF(A22="","",IF($I$5="","POSICAO DE REFERENCIA INDISPONIVEL",ROUND(IF(itens_Remanesc!B22="",0,itens_Remanesc!B22)+SUMIFS(aditivos!$L$2:$L$200,aditivos!$A$2:$A$200,A22,aditivos!$B$2:$B$200,"&lt;="&amp;$I$5),2)))</f>
        <v/>
      </c>
      <c r="D22" s="196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>
        <f>IF(A22="","",IF($I$4="","POSICAO DE REFERENCIA INDISPONIVEL",IF($I$2,"ATUAL INFORMADA",IF(ISNUMBER(B22),"ATUAL IGNORADA (POSICAO INCOMPLETA) - FOTOGRAFIA "&amp;$I$4,"FOTOGRAFIA "&amp;$I$4))))</f>
        <v/>
      </c>
      <c r="F22" s="86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 t="n"/>
      <c r="K22" s="192">
        <f>IF(A22="","",itens_Remanesc!C22)</f>
        <v/>
      </c>
      <c r="L22" s="192">
        <f>IF(A22="","",IF($I$4="C0",posicao_contratual!G22,IF($I$4="C1",posicao_contratual!K22,IF($I$4="C2",posicao_contratual!O22,IF($I$4="C3",posicao_contratual!S22,IF($I$4="C4",posicao_contratual!W22,""))))))</f>
        <v/>
      </c>
      <c r="M22" s="192">
        <f>IF(OR(A22="",$I$5="",$I$6=""),"",ROUND(SUMIFS(aditivos!$L$2:$L$200,aditivos!$A$2:$A$200,A22,aditivos!$B$2:$B$200,"&gt;"&amp;$I$6,aditivos!$B$2:$B$200,"&lt;="&amp;$I$5),2))</f>
        <v/>
      </c>
      <c r="N22" s="192">
        <f>IF(OR(A22="",L22="",D22=""),"",ROUND(MAX(L22+IF(ISNUMBER(M22),M22,0)-D22,0),2))</f>
        <v/>
      </c>
      <c r="O22" s="192">
        <f>IF(OR(A22="",D22="",K22="",$I$7=""),"",ROUND(D22*K22*$I$7,2))</f>
        <v/>
      </c>
      <c r="P22" s="192">
        <f>IF(OR(A22="",N22="",K22="",$I$7=""),"",ROUND(N22*K22*$I$7,2))</f>
        <v/>
      </c>
      <c r="Q22" s="192">
        <f>IF(OR(A22="",D22="",K22=""),"",ROUND(D22*K22,2))</f>
        <v/>
      </c>
      <c r="R22" s="192">
        <f>IF(OR(A22="",L22="",K22="",$I$7=""),"",ROUND(L22*K22*$I$7,2))</f>
        <v/>
      </c>
    </row>
    <row r="23">
      <c r="A23" s="86">
        <f>IF(itens_Remanesc!A23="","",itens_Remanesc!A23)</f>
        <v/>
      </c>
      <c r="B23" s="196" t="n"/>
      <c r="C23" s="196">
        <f>IF(A23="","",IF($I$5="","POSICAO DE REFERENCIA INDISPONIVEL",ROUND(IF(itens_Remanesc!B23="",0,itens_Remanesc!B23)+SUMIFS(aditivos!$L$2:$L$200,aditivos!$A$2:$A$200,A23,aditivos!$B$2:$B$200,"&lt;="&amp;$I$5),2)))</f>
        <v/>
      </c>
      <c r="D23" s="196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>
        <f>IF(A23="","",IF($I$4="","POSICAO DE REFERENCIA INDISPONIVEL",IF($I$2,"ATUAL INFORMADA",IF(ISNUMBER(B23),"ATUAL IGNORADA (POSICAO INCOMPLETA) - FOTOGRAFIA "&amp;$I$4,"FOTOGRAFIA "&amp;$I$4))))</f>
        <v/>
      </c>
      <c r="F23" s="86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 t="n"/>
      <c r="K23" s="192">
        <f>IF(A23="","",itens_Remanesc!C23)</f>
        <v/>
      </c>
      <c r="L23" s="192">
        <f>IF(A23="","",IF($I$4="C0",posicao_contratual!G23,IF($I$4="C1",posicao_contratual!K23,IF($I$4="C2",posicao_contratual!O23,IF($I$4="C3",posicao_contratual!S23,IF($I$4="C4",posicao_contratual!W23,""))))))</f>
        <v/>
      </c>
      <c r="M23" s="192">
        <f>IF(OR(A23="",$I$5="",$I$6=""),"",ROUND(SUMIFS(aditivos!$L$2:$L$200,aditivos!$A$2:$A$200,A23,aditivos!$B$2:$B$200,"&gt;"&amp;$I$6,aditivos!$B$2:$B$200,"&lt;="&amp;$I$5),2))</f>
        <v/>
      </c>
      <c r="N23" s="192">
        <f>IF(OR(A23="",L23="",D23=""),"",ROUND(MAX(L23+IF(ISNUMBER(M23),M23,0)-D23,0),2))</f>
        <v/>
      </c>
      <c r="O23" s="192">
        <f>IF(OR(A23="",D23="",K23="",$I$7=""),"",ROUND(D23*K23*$I$7,2))</f>
        <v/>
      </c>
      <c r="P23" s="192">
        <f>IF(OR(A23="",N23="",K23="",$I$7=""),"",ROUND(N23*K23*$I$7,2))</f>
        <v/>
      </c>
      <c r="Q23" s="192">
        <f>IF(OR(A23="",D23="",K23=""),"",ROUND(D23*K23,2))</f>
        <v/>
      </c>
      <c r="R23" s="192">
        <f>IF(OR(A23="",L23="",K23="",$I$7=""),"",ROUND(L23*K23*$I$7,2))</f>
        <v/>
      </c>
    </row>
    <row r="24">
      <c r="A24" s="86">
        <f>IF(itens_Remanesc!A24="","",itens_Remanesc!A24)</f>
        <v/>
      </c>
      <c r="B24" s="196" t="n"/>
      <c r="C24" s="196">
        <f>IF(A24="","",IF($I$5="","POSICAO DE REFERENCIA INDISPONIVEL",ROUND(IF(itens_Remanesc!B24="",0,itens_Remanesc!B24)+SUMIFS(aditivos!$L$2:$L$200,aditivos!$A$2:$A$200,A24,aditivos!$B$2:$B$200,"&lt;="&amp;$I$5),2)))</f>
        <v/>
      </c>
      <c r="D24" s="196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>
        <f>IF(A24="","",IF($I$4="","POSICAO DE REFERENCIA INDISPONIVEL",IF($I$2,"ATUAL INFORMADA",IF(ISNUMBER(B24),"ATUAL IGNORADA (POSICAO INCOMPLETA) - FOTOGRAFIA "&amp;$I$4,"FOTOGRAFIA "&amp;$I$4))))</f>
        <v/>
      </c>
      <c r="F24" s="86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 t="n"/>
      <c r="K24" s="192">
        <f>IF(A24="","",itens_Remanesc!C24)</f>
        <v/>
      </c>
      <c r="L24" s="192">
        <f>IF(A24="","",IF($I$4="C0",posicao_contratual!G24,IF($I$4="C1",posicao_contratual!K24,IF($I$4="C2",posicao_contratual!O24,IF($I$4="C3",posicao_contratual!S24,IF($I$4="C4",posicao_contratual!W24,""))))))</f>
        <v/>
      </c>
      <c r="M24" s="192">
        <f>IF(OR(A24="",$I$5="",$I$6=""),"",ROUND(SUMIFS(aditivos!$L$2:$L$200,aditivos!$A$2:$A$200,A24,aditivos!$B$2:$B$200,"&gt;"&amp;$I$6,aditivos!$B$2:$B$200,"&lt;="&amp;$I$5),2))</f>
        <v/>
      </c>
      <c r="N24" s="192">
        <f>IF(OR(A24="",L24="",D24=""),"",ROUND(MAX(L24+IF(ISNUMBER(M24),M24,0)-D24,0),2))</f>
        <v/>
      </c>
      <c r="O24" s="192">
        <f>IF(OR(A24="",D24="",K24="",$I$7=""),"",ROUND(D24*K24*$I$7,2))</f>
        <v/>
      </c>
      <c r="P24" s="192">
        <f>IF(OR(A24="",N24="",K24="",$I$7=""),"",ROUND(N24*K24*$I$7,2))</f>
        <v/>
      </c>
      <c r="Q24" s="192">
        <f>IF(OR(A24="",D24="",K24=""),"",ROUND(D24*K24,2))</f>
        <v/>
      </c>
      <c r="R24" s="192">
        <f>IF(OR(A24="",L24="",K24="",$I$7=""),"",ROUND(L24*K24*$I$7,2))</f>
        <v/>
      </c>
    </row>
    <row r="25">
      <c r="A25" s="86">
        <f>IF(itens_Remanesc!A25="","",itens_Remanesc!A25)</f>
        <v/>
      </c>
      <c r="B25" s="196" t="n"/>
      <c r="C25" s="196">
        <f>IF(A25="","",IF($I$5="","POSICAO DE REFERENCIA INDISPONIVEL",ROUND(IF(itens_Remanesc!B25="",0,itens_Remanesc!B25)+SUMIFS(aditivos!$L$2:$L$200,aditivos!$A$2:$A$200,A25,aditivos!$B$2:$B$200,"&lt;="&amp;$I$5),2)))</f>
        <v/>
      </c>
      <c r="D25" s="196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>
        <f>IF(A25="","",IF($I$4="","POSICAO DE REFERENCIA INDISPONIVEL",IF($I$2,"ATUAL INFORMADA",IF(ISNUMBER(B25),"ATUAL IGNORADA (POSICAO INCOMPLETA) - FOTOGRAFIA "&amp;$I$4,"FOTOGRAFIA "&amp;$I$4))))</f>
        <v/>
      </c>
      <c r="F25" s="86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 t="n"/>
      <c r="K25" s="192">
        <f>IF(A25="","",itens_Remanesc!C25)</f>
        <v/>
      </c>
      <c r="L25" s="192">
        <f>IF(A25="","",IF($I$4="C0",posicao_contratual!G25,IF($I$4="C1",posicao_contratual!K25,IF($I$4="C2",posicao_contratual!O25,IF($I$4="C3",posicao_contratual!S25,IF($I$4="C4",posicao_contratual!W25,""))))))</f>
        <v/>
      </c>
      <c r="M25" s="192">
        <f>IF(OR(A25="",$I$5="",$I$6=""),"",ROUND(SUMIFS(aditivos!$L$2:$L$200,aditivos!$A$2:$A$200,A25,aditivos!$B$2:$B$200,"&gt;"&amp;$I$6,aditivos!$B$2:$B$200,"&lt;="&amp;$I$5),2))</f>
        <v/>
      </c>
      <c r="N25" s="192">
        <f>IF(OR(A25="",L25="",D25=""),"",ROUND(MAX(L25+IF(ISNUMBER(M25),M25,0)-D25,0),2))</f>
        <v/>
      </c>
      <c r="O25" s="192">
        <f>IF(OR(A25="",D25="",K25="",$I$7=""),"",ROUND(D25*K25*$I$7,2))</f>
        <v/>
      </c>
      <c r="P25" s="192">
        <f>IF(OR(A25="",N25="",K25="",$I$7=""),"",ROUND(N25*K25*$I$7,2))</f>
        <v/>
      </c>
      <c r="Q25" s="192">
        <f>IF(OR(A25="",D25="",K25=""),"",ROUND(D25*K25,2))</f>
        <v/>
      </c>
      <c r="R25" s="192">
        <f>IF(OR(A25="",L25="",K25="",$I$7=""),"",ROUND(L25*K25*$I$7,2))</f>
        <v/>
      </c>
    </row>
    <row r="26">
      <c r="A26" s="86">
        <f>IF(itens_Remanesc!A26="","",itens_Remanesc!A26)</f>
        <v/>
      </c>
      <c r="B26" s="196" t="n"/>
      <c r="C26" s="196">
        <f>IF(A26="","",IF($I$5="","POSICAO DE REFERENCIA INDISPONIVEL",ROUND(IF(itens_Remanesc!B26="",0,itens_Remanesc!B26)+SUMIFS(aditivos!$L$2:$L$200,aditivos!$A$2:$A$200,A26,aditivos!$B$2:$B$200,"&lt;="&amp;$I$5),2)))</f>
        <v/>
      </c>
      <c r="D26" s="196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>
        <f>IF(A26="","",IF($I$4="","POSICAO DE REFERENCIA INDISPONIVEL",IF($I$2,"ATUAL INFORMADA",IF(ISNUMBER(B26),"ATUAL IGNORADA (POSICAO INCOMPLETA) - FOTOGRAFIA "&amp;$I$4,"FOTOGRAFIA "&amp;$I$4))))</f>
        <v/>
      </c>
      <c r="F26" s="86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 t="n"/>
      <c r="K26" s="192">
        <f>IF(A26="","",itens_Remanesc!C26)</f>
        <v/>
      </c>
      <c r="L26" s="192">
        <f>IF(A26="","",IF($I$4="C0",posicao_contratual!G26,IF($I$4="C1",posicao_contratual!K26,IF($I$4="C2",posicao_contratual!O26,IF($I$4="C3",posicao_contratual!S26,IF($I$4="C4",posicao_contratual!W26,""))))))</f>
        <v/>
      </c>
      <c r="M26" s="192">
        <f>IF(OR(A26="",$I$5="",$I$6=""),"",ROUND(SUMIFS(aditivos!$L$2:$L$200,aditivos!$A$2:$A$200,A26,aditivos!$B$2:$B$200,"&gt;"&amp;$I$6,aditivos!$B$2:$B$200,"&lt;="&amp;$I$5),2))</f>
        <v/>
      </c>
      <c r="N26" s="192">
        <f>IF(OR(A26="",L26="",D26=""),"",ROUND(MAX(L26+IF(ISNUMBER(M26),M26,0)-D26,0),2))</f>
        <v/>
      </c>
      <c r="O26" s="192">
        <f>IF(OR(A26="",D26="",K26="",$I$7=""),"",ROUND(D26*K26*$I$7,2))</f>
        <v/>
      </c>
      <c r="P26" s="192">
        <f>IF(OR(A26="",N26="",K26="",$I$7=""),"",ROUND(N26*K26*$I$7,2))</f>
        <v/>
      </c>
      <c r="Q26" s="192">
        <f>IF(OR(A26="",D26="",K26=""),"",ROUND(D26*K26,2))</f>
        <v/>
      </c>
      <c r="R26" s="192">
        <f>IF(OR(A26="",L26="",K26="",$I$7=""),"",ROUND(L26*K26*$I$7,2))</f>
        <v/>
      </c>
    </row>
    <row r="27">
      <c r="A27" s="86">
        <f>IF(itens_Remanesc!A27="","",itens_Remanesc!A27)</f>
        <v/>
      </c>
      <c r="B27" s="196" t="n"/>
      <c r="C27" s="196">
        <f>IF(A27="","",IF($I$5="","POSICAO DE REFERENCIA INDISPONIVEL",ROUND(IF(itens_Remanesc!B27="",0,itens_Remanesc!B27)+SUMIFS(aditivos!$L$2:$L$200,aditivos!$A$2:$A$200,A27,aditivos!$B$2:$B$200,"&lt;="&amp;$I$5),2)))</f>
        <v/>
      </c>
      <c r="D27" s="196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>
        <f>IF(A27="","",IF($I$4="","POSICAO DE REFERENCIA INDISPONIVEL",IF($I$2,"ATUAL INFORMADA",IF(ISNUMBER(B27),"ATUAL IGNORADA (POSICAO INCOMPLETA) - FOTOGRAFIA "&amp;$I$4,"FOTOGRAFIA "&amp;$I$4))))</f>
        <v/>
      </c>
      <c r="F27" s="86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 t="n"/>
      <c r="K27" s="192">
        <f>IF(A27="","",itens_Remanesc!C27)</f>
        <v/>
      </c>
      <c r="L27" s="192">
        <f>IF(A27="","",IF($I$4="C0",posicao_contratual!G27,IF($I$4="C1",posicao_contratual!K27,IF($I$4="C2",posicao_contratual!O27,IF($I$4="C3",posicao_contratual!S27,IF($I$4="C4",posicao_contratual!W27,""))))))</f>
        <v/>
      </c>
      <c r="M27" s="192">
        <f>IF(OR(A27="",$I$5="",$I$6=""),"",ROUND(SUMIFS(aditivos!$L$2:$L$200,aditivos!$A$2:$A$200,A27,aditivos!$B$2:$B$200,"&gt;"&amp;$I$6,aditivos!$B$2:$B$200,"&lt;="&amp;$I$5),2))</f>
        <v/>
      </c>
      <c r="N27" s="192">
        <f>IF(OR(A27="",L27="",D27=""),"",ROUND(MAX(L27+IF(ISNUMBER(M27),M27,0)-D27,0),2))</f>
        <v/>
      </c>
      <c r="O27" s="192">
        <f>IF(OR(A27="",D27="",K27="",$I$7=""),"",ROUND(D27*K27*$I$7,2))</f>
        <v/>
      </c>
      <c r="P27" s="192">
        <f>IF(OR(A27="",N27="",K27="",$I$7=""),"",ROUND(N27*K27*$I$7,2))</f>
        <v/>
      </c>
      <c r="Q27" s="192">
        <f>IF(OR(A27="",D27="",K27=""),"",ROUND(D27*K27,2))</f>
        <v/>
      </c>
      <c r="R27" s="192">
        <f>IF(OR(A27="",L27="",K27="",$I$7=""),"",ROUND(L27*K27*$I$7,2))</f>
        <v/>
      </c>
    </row>
    <row r="28">
      <c r="A28" s="86">
        <f>IF(itens_Remanesc!A28="","",itens_Remanesc!A28)</f>
        <v/>
      </c>
      <c r="B28" s="196" t="n"/>
      <c r="C28" s="196">
        <f>IF(A28="","",IF($I$5="","POSICAO DE REFERENCIA INDISPONIVEL",ROUND(IF(itens_Remanesc!B28="",0,itens_Remanesc!B28)+SUMIFS(aditivos!$L$2:$L$200,aditivos!$A$2:$A$200,A28,aditivos!$B$2:$B$200,"&lt;="&amp;$I$5),2)))</f>
        <v/>
      </c>
      <c r="D28" s="196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>
        <f>IF(A28="","",IF($I$4="","POSICAO DE REFERENCIA INDISPONIVEL",IF($I$2,"ATUAL INFORMADA",IF(ISNUMBER(B28),"ATUAL IGNORADA (POSICAO INCOMPLETA) - FOTOGRAFIA "&amp;$I$4,"FOTOGRAFIA "&amp;$I$4))))</f>
        <v/>
      </c>
      <c r="F28" s="86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 t="n"/>
      <c r="K28" s="192">
        <f>IF(A28="","",itens_Remanesc!C28)</f>
        <v/>
      </c>
      <c r="L28" s="192">
        <f>IF(A28="","",IF($I$4="C0",posicao_contratual!G28,IF($I$4="C1",posicao_contratual!K28,IF($I$4="C2",posicao_contratual!O28,IF($I$4="C3",posicao_contratual!S28,IF($I$4="C4",posicao_contratual!W28,""))))))</f>
        <v/>
      </c>
      <c r="M28" s="192">
        <f>IF(OR(A28="",$I$5="",$I$6=""),"",ROUND(SUMIFS(aditivos!$L$2:$L$200,aditivos!$A$2:$A$200,A28,aditivos!$B$2:$B$200,"&gt;"&amp;$I$6,aditivos!$B$2:$B$200,"&lt;="&amp;$I$5),2))</f>
        <v/>
      </c>
      <c r="N28" s="192">
        <f>IF(OR(A28="",L28="",D28=""),"",ROUND(MAX(L28+IF(ISNUMBER(M28),M28,0)-D28,0),2))</f>
        <v/>
      </c>
      <c r="O28" s="192">
        <f>IF(OR(A28="",D28="",K28="",$I$7=""),"",ROUND(D28*K28*$I$7,2))</f>
        <v/>
      </c>
      <c r="P28" s="192">
        <f>IF(OR(A28="",N28="",K28="",$I$7=""),"",ROUND(N28*K28*$I$7,2))</f>
        <v/>
      </c>
      <c r="Q28" s="192">
        <f>IF(OR(A28="",D28="",K28=""),"",ROUND(D28*K28,2))</f>
        <v/>
      </c>
      <c r="R28" s="192">
        <f>IF(OR(A28="",L28="",K28="",$I$7=""),"",ROUND(L28*K28*$I$7,2))</f>
        <v/>
      </c>
    </row>
    <row r="29">
      <c r="A29" s="86">
        <f>IF(itens_Remanesc!A29="","",itens_Remanesc!A29)</f>
        <v/>
      </c>
      <c r="B29" s="196" t="n"/>
      <c r="C29" s="196">
        <f>IF(A29="","",IF($I$5="","POSICAO DE REFERENCIA INDISPONIVEL",ROUND(IF(itens_Remanesc!B29="",0,itens_Remanesc!B29)+SUMIFS(aditivos!$L$2:$L$200,aditivos!$A$2:$A$200,A29,aditivos!$B$2:$B$200,"&lt;="&amp;$I$5),2)))</f>
        <v/>
      </c>
      <c r="D29" s="196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>
        <f>IF(A29="","",IF($I$4="","POSICAO DE REFERENCIA INDISPONIVEL",IF($I$2,"ATUAL INFORMADA",IF(ISNUMBER(B29),"ATUAL IGNORADA (POSICAO INCOMPLETA) - FOTOGRAFIA "&amp;$I$4,"FOTOGRAFIA "&amp;$I$4))))</f>
        <v/>
      </c>
      <c r="F29" s="86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 t="n"/>
      <c r="K29" s="192">
        <f>IF(A29="","",itens_Remanesc!C29)</f>
        <v/>
      </c>
      <c r="L29" s="192">
        <f>IF(A29="","",IF($I$4="C0",posicao_contratual!G29,IF($I$4="C1",posicao_contratual!K29,IF($I$4="C2",posicao_contratual!O29,IF($I$4="C3",posicao_contratual!S29,IF($I$4="C4",posicao_contratual!W29,""))))))</f>
        <v/>
      </c>
      <c r="M29" s="192">
        <f>IF(OR(A29="",$I$5="",$I$6=""),"",ROUND(SUMIFS(aditivos!$L$2:$L$200,aditivos!$A$2:$A$200,A29,aditivos!$B$2:$B$200,"&gt;"&amp;$I$6,aditivos!$B$2:$B$200,"&lt;="&amp;$I$5),2))</f>
        <v/>
      </c>
      <c r="N29" s="192">
        <f>IF(OR(A29="",L29="",D29=""),"",ROUND(MAX(L29+IF(ISNUMBER(M29),M29,0)-D29,0),2))</f>
        <v/>
      </c>
      <c r="O29" s="192">
        <f>IF(OR(A29="",D29="",K29="",$I$7=""),"",ROUND(D29*K29*$I$7,2))</f>
        <v/>
      </c>
      <c r="P29" s="192">
        <f>IF(OR(A29="",N29="",K29="",$I$7=""),"",ROUND(N29*K29*$I$7,2))</f>
        <v/>
      </c>
      <c r="Q29" s="192">
        <f>IF(OR(A29="",D29="",K29=""),"",ROUND(D29*K29,2))</f>
        <v/>
      </c>
      <c r="R29" s="192">
        <f>IF(OR(A29="",L29="",K29="",$I$7=""),"",ROUND(L29*K29*$I$7,2))</f>
        <v/>
      </c>
    </row>
    <row r="30">
      <c r="A30" s="86">
        <f>IF(itens_Remanesc!A30="","",itens_Remanesc!A30)</f>
        <v/>
      </c>
      <c r="B30" s="196" t="n"/>
      <c r="C30" s="196">
        <f>IF(A30="","",IF($I$5="","POSICAO DE REFERENCIA INDISPONIVEL",ROUND(IF(itens_Remanesc!B30="",0,itens_Remanesc!B30)+SUMIFS(aditivos!$L$2:$L$200,aditivos!$A$2:$A$200,A30,aditivos!$B$2:$B$200,"&lt;="&amp;$I$5),2)))</f>
        <v/>
      </c>
      <c r="D30" s="196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>
        <f>IF(A30="","",IF($I$4="","POSICAO DE REFERENCIA INDISPONIVEL",IF($I$2,"ATUAL INFORMADA",IF(ISNUMBER(B30),"ATUAL IGNORADA (POSICAO INCOMPLETA) - FOTOGRAFIA "&amp;$I$4,"FOTOGRAFIA "&amp;$I$4))))</f>
        <v/>
      </c>
      <c r="F30" s="86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 t="n"/>
      <c r="K30" s="192">
        <f>IF(A30="","",itens_Remanesc!C30)</f>
        <v/>
      </c>
      <c r="L30" s="192">
        <f>IF(A30="","",IF($I$4="C0",posicao_contratual!G30,IF($I$4="C1",posicao_contratual!K30,IF($I$4="C2",posicao_contratual!O30,IF($I$4="C3",posicao_contratual!S30,IF($I$4="C4",posicao_contratual!W30,""))))))</f>
        <v/>
      </c>
      <c r="M30" s="192">
        <f>IF(OR(A30="",$I$5="",$I$6=""),"",ROUND(SUMIFS(aditivos!$L$2:$L$200,aditivos!$A$2:$A$200,A30,aditivos!$B$2:$B$200,"&gt;"&amp;$I$6,aditivos!$B$2:$B$200,"&lt;="&amp;$I$5),2))</f>
        <v/>
      </c>
      <c r="N30" s="192">
        <f>IF(OR(A30="",L30="",D30=""),"",ROUND(MAX(L30+IF(ISNUMBER(M30),M30,0)-D30,0),2))</f>
        <v/>
      </c>
      <c r="O30" s="192">
        <f>IF(OR(A30="",D30="",K30="",$I$7=""),"",ROUND(D30*K30*$I$7,2))</f>
        <v/>
      </c>
      <c r="P30" s="192">
        <f>IF(OR(A30="",N30="",K30="",$I$7=""),"",ROUND(N30*K30*$I$7,2))</f>
        <v/>
      </c>
      <c r="Q30" s="192">
        <f>IF(OR(A30="",D30="",K30=""),"",ROUND(D30*K30,2))</f>
        <v/>
      </c>
      <c r="R30" s="192">
        <f>IF(OR(A30="",L30="",K30="",$I$7=""),"",ROUND(L30*K30*$I$7,2))</f>
        <v/>
      </c>
    </row>
    <row r="31">
      <c r="A31" s="86">
        <f>IF(itens_Remanesc!A31="","",itens_Remanesc!A31)</f>
        <v/>
      </c>
      <c r="B31" s="196" t="n"/>
      <c r="C31" s="196">
        <f>IF(A31="","",IF($I$5="","POSICAO DE REFERENCIA INDISPONIVEL",ROUND(IF(itens_Remanesc!B31="",0,itens_Remanesc!B31)+SUMIFS(aditivos!$L$2:$L$200,aditivos!$A$2:$A$200,A31,aditivos!$B$2:$B$200,"&lt;="&amp;$I$5),2)))</f>
        <v/>
      </c>
      <c r="D31" s="196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>
        <f>IF(A31="","",IF($I$4="","POSICAO DE REFERENCIA INDISPONIVEL",IF($I$2,"ATUAL INFORMADA",IF(ISNUMBER(B31),"ATUAL IGNORADA (POSICAO INCOMPLETA) - FOTOGRAFIA "&amp;$I$4,"FOTOGRAFIA "&amp;$I$4))))</f>
        <v/>
      </c>
      <c r="F31" s="86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 t="n"/>
      <c r="K31" s="192">
        <f>IF(A31="","",itens_Remanesc!C31)</f>
        <v/>
      </c>
      <c r="L31" s="192">
        <f>IF(A31="","",IF($I$4="C0",posicao_contratual!G31,IF($I$4="C1",posicao_contratual!K31,IF($I$4="C2",posicao_contratual!O31,IF($I$4="C3",posicao_contratual!S31,IF($I$4="C4",posicao_contratual!W31,""))))))</f>
        <v/>
      </c>
      <c r="M31" s="192">
        <f>IF(OR(A31="",$I$5="",$I$6=""),"",ROUND(SUMIFS(aditivos!$L$2:$L$200,aditivos!$A$2:$A$200,A31,aditivos!$B$2:$B$200,"&gt;"&amp;$I$6,aditivos!$B$2:$B$200,"&lt;="&amp;$I$5),2))</f>
        <v/>
      </c>
      <c r="N31" s="192">
        <f>IF(OR(A31="",L31="",D31=""),"",ROUND(MAX(L31+IF(ISNUMBER(M31),M31,0)-D31,0),2))</f>
        <v/>
      </c>
      <c r="O31" s="192">
        <f>IF(OR(A31="",D31="",K31="",$I$7=""),"",ROUND(D31*K31*$I$7,2))</f>
        <v/>
      </c>
      <c r="P31" s="192">
        <f>IF(OR(A31="",N31="",K31="",$I$7=""),"",ROUND(N31*K31*$I$7,2))</f>
        <v/>
      </c>
      <c r="Q31" s="192">
        <f>IF(OR(A31="",D31="",K31=""),"",ROUND(D31*K31,2))</f>
        <v/>
      </c>
      <c r="R31" s="192">
        <f>IF(OR(A31="",L31="",K31="",$I$7=""),"",ROUND(L31*K31*$I$7,2))</f>
        <v/>
      </c>
    </row>
    <row r="32">
      <c r="A32" s="86">
        <f>IF(itens_Remanesc!A32="","",itens_Remanesc!A32)</f>
        <v/>
      </c>
      <c r="B32" s="196" t="n"/>
      <c r="C32" s="196">
        <f>IF(A32="","",IF($I$5="","POSICAO DE REFERENCIA INDISPONIVEL",ROUND(IF(itens_Remanesc!B32="",0,itens_Remanesc!B32)+SUMIFS(aditivos!$L$2:$L$200,aditivos!$A$2:$A$200,A32,aditivos!$B$2:$B$200,"&lt;="&amp;$I$5),2)))</f>
        <v/>
      </c>
      <c r="D32" s="196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>
        <f>IF(A32="","",IF($I$4="","POSICAO DE REFERENCIA INDISPONIVEL",IF($I$2,"ATUAL INFORMADA",IF(ISNUMBER(B32),"ATUAL IGNORADA (POSICAO INCOMPLETA) - FOTOGRAFIA "&amp;$I$4,"FOTOGRAFIA "&amp;$I$4))))</f>
        <v/>
      </c>
      <c r="F32" s="86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 t="n"/>
      <c r="K32" s="192">
        <f>IF(A32="","",itens_Remanesc!C32)</f>
        <v/>
      </c>
      <c r="L32" s="192">
        <f>IF(A32="","",IF($I$4="C0",posicao_contratual!G32,IF($I$4="C1",posicao_contratual!K32,IF($I$4="C2",posicao_contratual!O32,IF($I$4="C3",posicao_contratual!S32,IF($I$4="C4",posicao_contratual!W32,""))))))</f>
        <v/>
      </c>
      <c r="M32" s="192">
        <f>IF(OR(A32="",$I$5="",$I$6=""),"",ROUND(SUMIFS(aditivos!$L$2:$L$200,aditivos!$A$2:$A$200,A32,aditivos!$B$2:$B$200,"&gt;"&amp;$I$6,aditivos!$B$2:$B$200,"&lt;="&amp;$I$5),2))</f>
        <v/>
      </c>
      <c r="N32" s="192">
        <f>IF(OR(A32="",L32="",D32=""),"",ROUND(MAX(L32+IF(ISNUMBER(M32),M32,0)-D32,0),2))</f>
        <v/>
      </c>
      <c r="O32" s="192">
        <f>IF(OR(A32="",D32="",K32="",$I$7=""),"",ROUND(D32*K32*$I$7,2))</f>
        <v/>
      </c>
      <c r="P32" s="192">
        <f>IF(OR(A32="",N32="",K32="",$I$7=""),"",ROUND(N32*K32*$I$7,2))</f>
        <v/>
      </c>
      <c r="Q32" s="192">
        <f>IF(OR(A32="",D32="",K32=""),"",ROUND(D32*K32,2))</f>
        <v/>
      </c>
      <c r="R32" s="192">
        <f>IF(OR(A32="",L32="",K32="",$I$7=""),"",ROUND(L32*K32*$I$7,2))</f>
        <v/>
      </c>
    </row>
    <row r="33">
      <c r="A33" s="86">
        <f>IF(itens_Remanesc!A33="","",itens_Remanesc!A33)</f>
        <v/>
      </c>
      <c r="B33" s="196" t="n"/>
      <c r="C33" s="196">
        <f>IF(A33="","",IF($I$5="","POSICAO DE REFERENCIA INDISPONIVEL",ROUND(IF(itens_Remanesc!B33="",0,itens_Remanesc!B33)+SUMIFS(aditivos!$L$2:$L$200,aditivos!$A$2:$A$200,A33,aditivos!$B$2:$B$200,"&lt;="&amp;$I$5),2)))</f>
        <v/>
      </c>
      <c r="D33" s="196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>
        <f>IF(A33="","",IF($I$4="","POSICAO DE REFERENCIA INDISPONIVEL",IF($I$2,"ATUAL INFORMADA",IF(ISNUMBER(B33),"ATUAL IGNORADA (POSICAO INCOMPLETA) - FOTOGRAFIA "&amp;$I$4,"FOTOGRAFIA "&amp;$I$4))))</f>
        <v/>
      </c>
      <c r="F33" s="86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 t="n"/>
      <c r="K33" s="192">
        <f>IF(A33="","",itens_Remanesc!C33)</f>
        <v/>
      </c>
      <c r="L33" s="192">
        <f>IF(A33="","",IF($I$4="C0",posicao_contratual!G33,IF($I$4="C1",posicao_contratual!K33,IF($I$4="C2",posicao_contratual!O33,IF($I$4="C3",posicao_contratual!S33,IF($I$4="C4",posicao_contratual!W33,""))))))</f>
        <v/>
      </c>
      <c r="M33" s="192">
        <f>IF(OR(A33="",$I$5="",$I$6=""),"",ROUND(SUMIFS(aditivos!$L$2:$L$200,aditivos!$A$2:$A$200,A33,aditivos!$B$2:$B$200,"&gt;"&amp;$I$6,aditivos!$B$2:$B$200,"&lt;="&amp;$I$5),2))</f>
        <v/>
      </c>
      <c r="N33" s="192">
        <f>IF(OR(A33="",L33="",D33=""),"",ROUND(MAX(L33+IF(ISNUMBER(M33),M33,0)-D33,0),2))</f>
        <v/>
      </c>
      <c r="O33" s="192">
        <f>IF(OR(A33="",D33="",K33="",$I$7=""),"",ROUND(D33*K33*$I$7,2))</f>
        <v/>
      </c>
      <c r="P33" s="192">
        <f>IF(OR(A33="",N33="",K33="",$I$7=""),"",ROUND(N33*K33*$I$7,2))</f>
        <v/>
      </c>
      <c r="Q33" s="192">
        <f>IF(OR(A33="",D33="",K33=""),"",ROUND(D33*K33,2))</f>
        <v/>
      </c>
      <c r="R33" s="192">
        <f>IF(OR(A33="",L33="",K33="",$I$7=""),"",ROUND(L33*K33*$I$7,2))</f>
        <v/>
      </c>
    </row>
    <row r="34">
      <c r="A34" s="86">
        <f>IF(itens_Remanesc!A34="","",itens_Remanesc!A34)</f>
        <v/>
      </c>
      <c r="B34" s="196" t="n"/>
      <c r="C34" s="196">
        <f>IF(A34="","",IF($I$5="","POSICAO DE REFERENCIA INDISPONIVEL",ROUND(IF(itens_Remanesc!B34="",0,itens_Remanesc!B34)+SUMIFS(aditivos!$L$2:$L$200,aditivos!$A$2:$A$200,A34,aditivos!$B$2:$B$200,"&lt;="&amp;$I$5),2)))</f>
        <v/>
      </c>
      <c r="D34" s="196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>
        <f>IF(A34="","",IF($I$4="","POSICAO DE REFERENCIA INDISPONIVEL",IF($I$2,"ATUAL INFORMADA",IF(ISNUMBER(B34),"ATUAL IGNORADA (POSICAO INCOMPLETA) - FOTOGRAFIA "&amp;$I$4,"FOTOGRAFIA "&amp;$I$4))))</f>
        <v/>
      </c>
      <c r="F34" s="86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 t="n"/>
      <c r="K34" s="192">
        <f>IF(A34="","",itens_Remanesc!C34)</f>
        <v/>
      </c>
      <c r="L34" s="192">
        <f>IF(A34="","",IF($I$4="C0",posicao_contratual!G34,IF($I$4="C1",posicao_contratual!K34,IF($I$4="C2",posicao_contratual!O34,IF($I$4="C3",posicao_contratual!S34,IF($I$4="C4",posicao_contratual!W34,""))))))</f>
        <v/>
      </c>
      <c r="M34" s="192">
        <f>IF(OR(A34="",$I$5="",$I$6=""),"",ROUND(SUMIFS(aditivos!$L$2:$L$200,aditivos!$A$2:$A$200,A34,aditivos!$B$2:$B$200,"&gt;"&amp;$I$6,aditivos!$B$2:$B$200,"&lt;="&amp;$I$5),2))</f>
        <v/>
      </c>
      <c r="N34" s="192">
        <f>IF(OR(A34="",L34="",D34=""),"",ROUND(MAX(L34+IF(ISNUMBER(M34),M34,0)-D34,0),2))</f>
        <v/>
      </c>
      <c r="O34" s="192">
        <f>IF(OR(A34="",D34="",K34="",$I$7=""),"",ROUND(D34*K34*$I$7,2))</f>
        <v/>
      </c>
      <c r="P34" s="192">
        <f>IF(OR(A34="",N34="",K34="",$I$7=""),"",ROUND(N34*K34*$I$7,2))</f>
        <v/>
      </c>
      <c r="Q34" s="192">
        <f>IF(OR(A34="",D34="",K34=""),"",ROUND(D34*K34,2))</f>
        <v/>
      </c>
      <c r="R34" s="192">
        <f>IF(OR(A34="",L34="",K34="",$I$7=""),"",ROUND(L34*K34*$I$7,2))</f>
        <v/>
      </c>
    </row>
    <row r="35">
      <c r="A35" s="86">
        <f>IF(itens_Remanesc!A35="","",itens_Remanesc!A35)</f>
        <v/>
      </c>
      <c r="B35" s="196" t="n"/>
      <c r="C35" s="196">
        <f>IF(A35="","",IF($I$5="","POSICAO DE REFERENCIA INDISPONIVEL",ROUND(IF(itens_Remanesc!B35="",0,itens_Remanesc!B35)+SUMIFS(aditivos!$L$2:$L$200,aditivos!$A$2:$A$200,A35,aditivos!$B$2:$B$200,"&lt;="&amp;$I$5),2)))</f>
        <v/>
      </c>
      <c r="D35" s="196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>
        <f>IF(A35="","",IF($I$4="","POSICAO DE REFERENCIA INDISPONIVEL",IF($I$2,"ATUAL INFORMADA",IF(ISNUMBER(B35),"ATUAL IGNORADA (POSICAO INCOMPLETA) - FOTOGRAFIA "&amp;$I$4,"FOTOGRAFIA "&amp;$I$4))))</f>
        <v/>
      </c>
      <c r="F35" s="86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 t="n"/>
      <c r="K35" s="192">
        <f>IF(A35="","",itens_Remanesc!C35)</f>
        <v/>
      </c>
      <c r="L35" s="192">
        <f>IF(A35="","",IF($I$4="C0",posicao_contratual!G35,IF($I$4="C1",posicao_contratual!K35,IF($I$4="C2",posicao_contratual!O35,IF($I$4="C3",posicao_contratual!S35,IF($I$4="C4",posicao_contratual!W35,""))))))</f>
        <v/>
      </c>
      <c r="M35" s="192">
        <f>IF(OR(A35="",$I$5="",$I$6=""),"",ROUND(SUMIFS(aditivos!$L$2:$L$200,aditivos!$A$2:$A$200,A35,aditivos!$B$2:$B$200,"&gt;"&amp;$I$6,aditivos!$B$2:$B$200,"&lt;="&amp;$I$5),2))</f>
        <v/>
      </c>
      <c r="N35" s="192">
        <f>IF(OR(A35="",L35="",D35=""),"",ROUND(MAX(L35+IF(ISNUMBER(M35),M35,0)-D35,0),2))</f>
        <v/>
      </c>
      <c r="O35" s="192">
        <f>IF(OR(A35="",D35="",K35="",$I$7=""),"",ROUND(D35*K35*$I$7,2))</f>
        <v/>
      </c>
      <c r="P35" s="192">
        <f>IF(OR(A35="",N35="",K35="",$I$7=""),"",ROUND(N35*K35*$I$7,2))</f>
        <v/>
      </c>
      <c r="Q35" s="192">
        <f>IF(OR(A35="",D35="",K35=""),"",ROUND(D35*K35,2))</f>
        <v/>
      </c>
      <c r="R35" s="192">
        <f>IF(OR(A35="",L35="",K35="",$I$7=""),"",ROUND(L35*K35*$I$7,2))</f>
        <v/>
      </c>
    </row>
    <row r="36">
      <c r="A36" s="86">
        <f>IF(itens_Remanesc!A36="","",itens_Remanesc!A36)</f>
        <v/>
      </c>
      <c r="B36" s="196" t="n"/>
      <c r="C36" s="196">
        <f>IF(A36="","",IF($I$5="","POSICAO DE REFERENCIA INDISPONIVEL",ROUND(IF(itens_Remanesc!B36="",0,itens_Remanesc!B36)+SUMIFS(aditivos!$L$2:$L$200,aditivos!$A$2:$A$200,A36,aditivos!$B$2:$B$200,"&lt;="&amp;$I$5),2)))</f>
        <v/>
      </c>
      <c r="D36" s="196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>
        <f>IF(A36="","",IF($I$4="","POSICAO DE REFERENCIA INDISPONIVEL",IF($I$2,"ATUAL INFORMADA",IF(ISNUMBER(B36),"ATUAL IGNORADA (POSICAO INCOMPLETA) - FOTOGRAFIA "&amp;$I$4,"FOTOGRAFIA "&amp;$I$4))))</f>
        <v/>
      </c>
      <c r="F36" s="86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 t="n"/>
      <c r="K36" s="192">
        <f>IF(A36="","",itens_Remanesc!C36)</f>
        <v/>
      </c>
      <c r="L36" s="192">
        <f>IF(A36="","",IF($I$4="C0",posicao_contratual!G36,IF($I$4="C1",posicao_contratual!K36,IF($I$4="C2",posicao_contratual!O36,IF($I$4="C3",posicao_contratual!S36,IF($I$4="C4",posicao_contratual!W36,""))))))</f>
        <v/>
      </c>
      <c r="M36" s="192">
        <f>IF(OR(A36="",$I$5="",$I$6=""),"",ROUND(SUMIFS(aditivos!$L$2:$L$200,aditivos!$A$2:$A$200,A36,aditivos!$B$2:$B$200,"&gt;"&amp;$I$6,aditivos!$B$2:$B$200,"&lt;="&amp;$I$5),2))</f>
        <v/>
      </c>
      <c r="N36" s="192">
        <f>IF(OR(A36="",L36="",D36=""),"",ROUND(MAX(L36+IF(ISNUMBER(M36),M36,0)-D36,0),2))</f>
        <v/>
      </c>
      <c r="O36" s="192">
        <f>IF(OR(A36="",D36="",K36="",$I$7=""),"",ROUND(D36*K36*$I$7,2))</f>
        <v/>
      </c>
      <c r="P36" s="192">
        <f>IF(OR(A36="",N36="",K36="",$I$7=""),"",ROUND(N36*K36*$I$7,2))</f>
        <v/>
      </c>
      <c r="Q36" s="192">
        <f>IF(OR(A36="",D36="",K36=""),"",ROUND(D36*K36,2))</f>
        <v/>
      </c>
      <c r="R36" s="192">
        <f>IF(OR(A36="",L36="",K36="",$I$7=""),"",ROUND(L36*K36*$I$7,2))</f>
        <v/>
      </c>
    </row>
    <row r="37">
      <c r="A37" s="86">
        <f>IF(itens_Remanesc!A37="","",itens_Remanesc!A37)</f>
        <v/>
      </c>
      <c r="B37" s="196" t="n"/>
      <c r="C37" s="196">
        <f>IF(A37="","",IF($I$5="","POSICAO DE REFERENCIA INDISPONIVEL",ROUND(IF(itens_Remanesc!B37="",0,itens_Remanesc!B37)+SUMIFS(aditivos!$L$2:$L$200,aditivos!$A$2:$A$200,A37,aditivos!$B$2:$B$200,"&lt;="&amp;$I$5),2)))</f>
        <v/>
      </c>
      <c r="D37" s="196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>
        <f>IF(A37="","",IF($I$4="","POSICAO DE REFERENCIA INDISPONIVEL",IF($I$2,"ATUAL INFORMADA",IF(ISNUMBER(B37),"ATUAL IGNORADA (POSICAO INCOMPLETA) - FOTOGRAFIA "&amp;$I$4,"FOTOGRAFIA "&amp;$I$4))))</f>
        <v/>
      </c>
      <c r="F37" s="86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 t="n"/>
      <c r="K37" s="192">
        <f>IF(A37="","",itens_Remanesc!C37)</f>
        <v/>
      </c>
      <c r="L37" s="192">
        <f>IF(A37="","",IF($I$4="C0",posicao_contratual!G37,IF($I$4="C1",posicao_contratual!K37,IF($I$4="C2",posicao_contratual!O37,IF($I$4="C3",posicao_contratual!S37,IF($I$4="C4",posicao_contratual!W37,""))))))</f>
        <v/>
      </c>
      <c r="M37" s="192">
        <f>IF(OR(A37="",$I$5="",$I$6=""),"",ROUND(SUMIFS(aditivos!$L$2:$L$200,aditivos!$A$2:$A$200,A37,aditivos!$B$2:$B$200,"&gt;"&amp;$I$6,aditivos!$B$2:$B$200,"&lt;="&amp;$I$5),2))</f>
        <v/>
      </c>
      <c r="N37" s="192">
        <f>IF(OR(A37="",L37="",D37=""),"",ROUND(MAX(L37+IF(ISNUMBER(M37),M37,0)-D37,0),2))</f>
        <v/>
      </c>
      <c r="O37" s="192">
        <f>IF(OR(A37="",D37="",K37="",$I$7=""),"",ROUND(D37*K37*$I$7,2))</f>
        <v/>
      </c>
      <c r="P37" s="192">
        <f>IF(OR(A37="",N37="",K37="",$I$7=""),"",ROUND(N37*K37*$I$7,2))</f>
        <v/>
      </c>
      <c r="Q37" s="192">
        <f>IF(OR(A37="",D37="",K37=""),"",ROUND(D37*K37,2))</f>
        <v/>
      </c>
      <c r="R37" s="192">
        <f>IF(OR(A37="",L37="",K37="",$I$7=""),"",ROUND(L37*K37*$I$7,2))</f>
        <v/>
      </c>
    </row>
    <row r="38">
      <c r="A38" s="86">
        <f>IF(itens_Remanesc!A38="","",itens_Remanesc!A38)</f>
        <v/>
      </c>
      <c r="B38" s="196" t="n"/>
      <c r="C38" s="196">
        <f>IF(A38="","",IF($I$5="","POSICAO DE REFERENCIA INDISPONIVEL",ROUND(IF(itens_Remanesc!B38="",0,itens_Remanesc!B38)+SUMIFS(aditivos!$L$2:$L$200,aditivos!$A$2:$A$200,A38,aditivos!$B$2:$B$200,"&lt;="&amp;$I$5),2)))</f>
        <v/>
      </c>
      <c r="D38" s="196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>
        <f>IF(A38="","",IF($I$4="","POSICAO DE REFERENCIA INDISPONIVEL",IF($I$2,"ATUAL INFORMADA",IF(ISNUMBER(B38),"ATUAL IGNORADA (POSICAO INCOMPLETA) - FOTOGRAFIA "&amp;$I$4,"FOTOGRAFIA "&amp;$I$4))))</f>
        <v/>
      </c>
      <c r="F38" s="86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 t="n"/>
      <c r="K38" s="192">
        <f>IF(A38="","",itens_Remanesc!C38)</f>
        <v/>
      </c>
      <c r="L38" s="192">
        <f>IF(A38="","",IF($I$4="C0",posicao_contratual!G38,IF($I$4="C1",posicao_contratual!K38,IF($I$4="C2",posicao_contratual!O38,IF($I$4="C3",posicao_contratual!S38,IF($I$4="C4",posicao_contratual!W38,""))))))</f>
        <v/>
      </c>
      <c r="M38" s="192">
        <f>IF(OR(A38="",$I$5="",$I$6=""),"",ROUND(SUMIFS(aditivos!$L$2:$L$200,aditivos!$A$2:$A$200,A38,aditivos!$B$2:$B$200,"&gt;"&amp;$I$6,aditivos!$B$2:$B$200,"&lt;="&amp;$I$5),2))</f>
        <v/>
      </c>
      <c r="N38" s="192">
        <f>IF(OR(A38="",L38="",D38=""),"",ROUND(MAX(L38+IF(ISNUMBER(M38),M38,0)-D38,0),2))</f>
        <v/>
      </c>
      <c r="O38" s="192">
        <f>IF(OR(A38="",D38="",K38="",$I$7=""),"",ROUND(D38*K38*$I$7,2))</f>
        <v/>
      </c>
      <c r="P38" s="192">
        <f>IF(OR(A38="",N38="",K38="",$I$7=""),"",ROUND(N38*K38*$I$7,2))</f>
        <v/>
      </c>
      <c r="Q38" s="192">
        <f>IF(OR(A38="",D38="",K38=""),"",ROUND(D38*K38,2))</f>
        <v/>
      </c>
      <c r="R38" s="192">
        <f>IF(OR(A38="",L38="",K38="",$I$7=""),"",ROUND(L38*K38*$I$7,2))</f>
        <v/>
      </c>
    </row>
    <row r="39">
      <c r="A39" s="86">
        <f>IF(itens_Remanesc!A39="","",itens_Remanesc!A39)</f>
        <v/>
      </c>
      <c r="B39" s="196" t="n"/>
      <c r="C39" s="196">
        <f>IF(A39="","",IF($I$5="","POSICAO DE REFERENCIA INDISPONIVEL",ROUND(IF(itens_Remanesc!B39="",0,itens_Remanesc!B39)+SUMIFS(aditivos!$L$2:$L$200,aditivos!$A$2:$A$200,A39,aditivos!$B$2:$B$200,"&lt;="&amp;$I$5),2)))</f>
        <v/>
      </c>
      <c r="D39" s="196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>
        <f>IF(A39="","",IF($I$4="","POSICAO DE REFERENCIA INDISPONIVEL",IF($I$2,"ATUAL INFORMADA",IF(ISNUMBER(B39),"ATUAL IGNORADA (POSICAO INCOMPLETA) - FOTOGRAFIA "&amp;$I$4,"FOTOGRAFIA "&amp;$I$4))))</f>
        <v/>
      </c>
      <c r="F39" s="86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 t="n"/>
      <c r="K39" s="192">
        <f>IF(A39="","",itens_Remanesc!C39)</f>
        <v/>
      </c>
      <c r="L39" s="192">
        <f>IF(A39="","",IF($I$4="C0",posicao_contratual!G39,IF($I$4="C1",posicao_contratual!K39,IF($I$4="C2",posicao_contratual!O39,IF($I$4="C3",posicao_contratual!S39,IF($I$4="C4",posicao_contratual!W39,""))))))</f>
        <v/>
      </c>
      <c r="M39" s="192">
        <f>IF(OR(A39="",$I$5="",$I$6=""),"",ROUND(SUMIFS(aditivos!$L$2:$L$200,aditivos!$A$2:$A$200,A39,aditivos!$B$2:$B$200,"&gt;"&amp;$I$6,aditivos!$B$2:$B$200,"&lt;="&amp;$I$5),2))</f>
        <v/>
      </c>
      <c r="N39" s="192">
        <f>IF(OR(A39="",L39="",D39=""),"",ROUND(MAX(L39+IF(ISNUMBER(M39),M39,0)-D39,0),2))</f>
        <v/>
      </c>
      <c r="O39" s="192">
        <f>IF(OR(A39="",D39="",K39="",$I$7=""),"",ROUND(D39*K39*$I$7,2))</f>
        <v/>
      </c>
      <c r="P39" s="192">
        <f>IF(OR(A39="",N39="",K39="",$I$7=""),"",ROUND(N39*K39*$I$7,2))</f>
        <v/>
      </c>
      <c r="Q39" s="192">
        <f>IF(OR(A39="",D39="",K39=""),"",ROUND(D39*K39,2))</f>
        <v/>
      </c>
      <c r="R39" s="192">
        <f>IF(OR(A39="",L39="",K39="",$I$7=""),"",ROUND(L39*K39*$I$7,2))</f>
        <v/>
      </c>
    </row>
    <row r="40">
      <c r="A40" s="86">
        <f>IF(itens_Remanesc!A40="","",itens_Remanesc!A40)</f>
        <v/>
      </c>
      <c r="B40" s="196" t="n"/>
      <c r="C40" s="196">
        <f>IF(A40="","",IF($I$5="","POSICAO DE REFERENCIA INDISPONIVEL",ROUND(IF(itens_Remanesc!B40="",0,itens_Remanesc!B40)+SUMIFS(aditivos!$L$2:$L$200,aditivos!$A$2:$A$200,A40,aditivos!$B$2:$B$200,"&lt;="&amp;$I$5),2)))</f>
        <v/>
      </c>
      <c r="D40" s="196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>
        <f>IF(A40="","",IF($I$4="","POSICAO DE REFERENCIA INDISPONIVEL",IF($I$2,"ATUAL INFORMADA",IF(ISNUMBER(B40),"ATUAL IGNORADA (POSICAO INCOMPLETA) - FOTOGRAFIA "&amp;$I$4,"FOTOGRAFIA "&amp;$I$4))))</f>
        <v/>
      </c>
      <c r="F40" s="86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 t="n"/>
      <c r="K40" s="192">
        <f>IF(A40="","",itens_Remanesc!C40)</f>
        <v/>
      </c>
      <c r="L40" s="192">
        <f>IF(A40="","",IF($I$4="C0",posicao_contratual!G40,IF($I$4="C1",posicao_contratual!K40,IF($I$4="C2",posicao_contratual!O40,IF($I$4="C3",posicao_contratual!S40,IF($I$4="C4",posicao_contratual!W40,""))))))</f>
        <v/>
      </c>
      <c r="M40" s="192">
        <f>IF(OR(A40="",$I$5="",$I$6=""),"",ROUND(SUMIFS(aditivos!$L$2:$L$200,aditivos!$A$2:$A$200,A40,aditivos!$B$2:$B$200,"&gt;"&amp;$I$6,aditivos!$B$2:$B$200,"&lt;="&amp;$I$5),2))</f>
        <v/>
      </c>
      <c r="N40" s="192">
        <f>IF(OR(A40="",L40="",D40=""),"",ROUND(MAX(L40+IF(ISNUMBER(M40),M40,0)-D40,0),2))</f>
        <v/>
      </c>
      <c r="O40" s="192">
        <f>IF(OR(A40="",D40="",K40="",$I$7=""),"",ROUND(D40*K40*$I$7,2))</f>
        <v/>
      </c>
      <c r="P40" s="192">
        <f>IF(OR(A40="",N40="",K40="",$I$7=""),"",ROUND(N40*K40*$I$7,2))</f>
        <v/>
      </c>
      <c r="Q40" s="192">
        <f>IF(OR(A40="",D40="",K40=""),"",ROUND(D40*K40,2))</f>
        <v/>
      </c>
      <c r="R40" s="192">
        <f>IF(OR(A40="",L40="",K40="",$I$7=""),"",ROUND(L40*K40*$I$7,2))</f>
        <v/>
      </c>
    </row>
    <row r="41">
      <c r="A41" s="86">
        <f>IF(itens_Remanesc!A41="","",itens_Remanesc!A41)</f>
        <v/>
      </c>
      <c r="B41" s="196" t="n"/>
      <c r="C41" s="196">
        <f>IF(A41="","",IF($I$5="","POSICAO DE REFERENCIA INDISPONIVEL",ROUND(IF(itens_Remanesc!B41="",0,itens_Remanesc!B41)+SUMIFS(aditivos!$L$2:$L$200,aditivos!$A$2:$A$200,A41,aditivos!$B$2:$B$200,"&lt;="&amp;$I$5),2)))</f>
        <v/>
      </c>
      <c r="D41" s="196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>
        <f>IF(A41="","",IF($I$4="","POSICAO DE REFERENCIA INDISPONIVEL",IF($I$2,"ATUAL INFORMADA",IF(ISNUMBER(B41),"ATUAL IGNORADA (POSICAO INCOMPLETA) - FOTOGRAFIA "&amp;$I$4,"FOTOGRAFIA "&amp;$I$4))))</f>
        <v/>
      </c>
      <c r="F41" s="86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>
        <f>IF(A41="","",itens_Remanesc!C41)</f>
        <v/>
      </c>
      <c r="L41" s="192">
        <f>IF(A41="","",IF($I$4="C0",posicao_contratual!G41,IF($I$4="C1",posicao_contratual!K41,IF($I$4="C2",posicao_contratual!O41,IF($I$4="C3",posicao_contratual!S41,IF($I$4="C4",posicao_contratual!W41,""))))))</f>
        <v/>
      </c>
      <c r="M41" s="192">
        <f>IF(OR(A41="",$I$5="",$I$6=""),"",ROUND(SUMIFS(aditivos!$L$2:$L$200,aditivos!$A$2:$A$200,A41,aditivos!$B$2:$B$200,"&gt;"&amp;$I$6,aditivos!$B$2:$B$200,"&lt;="&amp;$I$5),2))</f>
        <v/>
      </c>
      <c r="N41" s="192">
        <f>IF(OR(A41="",L41="",D41=""),"",ROUND(MAX(L41+IF(ISNUMBER(M41),M41,0)-D41,0),2))</f>
        <v/>
      </c>
      <c r="O41" s="192">
        <f>IF(OR(A41="",D41="",K41="",$I$7=""),"",ROUND(D41*K41*$I$7,2))</f>
        <v/>
      </c>
      <c r="P41" s="192">
        <f>IF(OR(A41="",N41="",K41="",$I$7=""),"",ROUND(N41*K41*$I$7,2))</f>
        <v/>
      </c>
      <c r="Q41" s="192">
        <f>IF(OR(A41="",D41="",K41=""),"",ROUND(D41*K41,2))</f>
        <v/>
      </c>
      <c r="R41" s="192">
        <f>IF(OR(A41="",L41="",K41="",$I$7=""),"",ROUND(L41*K41*$I$7,2))</f>
        <v/>
      </c>
    </row>
    <row r="42">
      <c r="A42" s="86">
        <f>IF(itens_Remanesc!A42="","",itens_Remanesc!A42)</f>
        <v/>
      </c>
      <c r="B42" s="196" t="n"/>
      <c r="C42" s="196">
        <f>IF(A42="","",IF($I$5="","POSICAO DE REFERENCIA INDISPONIVEL",ROUND(IF(itens_Remanesc!B42="",0,itens_Remanesc!B42)+SUMIFS(aditivos!$L$2:$L$200,aditivos!$A$2:$A$200,A42,aditivos!$B$2:$B$200,"&lt;="&amp;$I$5),2)))</f>
        <v/>
      </c>
      <c r="D42" s="196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>
        <f>IF(A42="","",IF($I$4="","POSICAO DE REFERENCIA INDISPONIVEL",IF($I$2,"ATUAL INFORMADA",IF(ISNUMBER(B42),"ATUAL IGNORADA (POSICAO INCOMPLETA) - FOTOGRAFIA "&amp;$I$4,"FOTOGRAFIA "&amp;$I$4))))</f>
        <v/>
      </c>
      <c r="F42" s="86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>
        <f>IF(A42="","",itens_Remanesc!C42)</f>
        <v/>
      </c>
      <c r="L42" s="192">
        <f>IF(A42="","",IF($I$4="C0",posicao_contratual!G42,IF($I$4="C1",posicao_contratual!K42,IF($I$4="C2",posicao_contratual!O42,IF($I$4="C3",posicao_contratual!S42,IF($I$4="C4",posicao_contratual!W42,""))))))</f>
        <v/>
      </c>
      <c r="M42" s="192">
        <f>IF(OR(A42="",$I$5="",$I$6=""),"",ROUND(SUMIFS(aditivos!$L$2:$L$200,aditivos!$A$2:$A$200,A42,aditivos!$B$2:$B$200,"&gt;"&amp;$I$6,aditivos!$B$2:$B$200,"&lt;="&amp;$I$5),2))</f>
        <v/>
      </c>
      <c r="N42" s="192">
        <f>IF(OR(A42="",L42="",D42=""),"",ROUND(MAX(L42+IF(ISNUMBER(M42),M42,0)-D42,0),2))</f>
        <v/>
      </c>
      <c r="O42" s="192">
        <f>IF(OR(A42="",D42="",K42="",$I$7=""),"",ROUND(D42*K42*$I$7,2))</f>
        <v/>
      </c>
      <c r="P42" s="192">
        <f>IF(OR(A42="",N42="",K42="",$I$7=""),"",ROUND(N42*K42*$I$7,2))</f>
        <v/>
      </c>
      <c r="Q42" s="192">
        <f>IF(OR(A42="",D42="",K42=""),"",ROUND(D42*K42,2))</f>
        <v/>
      </c>
      <c r="R42" s="192">
        <f>IF(OR(A42="",L42="",K42="",$I$7=""),"",ROUND(L42*K42*$I$7,2))</f>
        <v/>
      </c>
    </row>
    <row r="43">
      <c r="A43" s="86">
        <f>IF(itens_Remanesc!A43="","",itens_Remanesc!A43)</f>
        <v/>
      </c>
      <c r="B43" s="196" t="n"/>
      <c r="C43" s="196">
        <f>IF(A43="","",IF($I$5="","POSICAO DE REFERENCIA INDISPONIVEL",ROUND(IF(itens_Remanesc!B43="",0,itens_Remanesc!B43)+SUMIFS(aditivos!$L$2:$L$200,aditivos!$A$2:$A$200,A43,aditivos!$B$2:$B$200,"&lt;="&amp;$I$5),2)))</f>
        <v/>
      </c>
      <c r="D43" s="196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>
        <f>IF(A43="","",IF($I$4="","POSICAO DE REFERENCIA INDISPONIVEL",IF($I$2,"ATUAL INFORMADA",IF(ISNUMBER(B43),"ATUAL IGNORADA (POSICAO INCOMPLETA) - FOTOGRAFIA "&amp;$I$4,"FOTOGRAFIA "&amp;$I$4))))</f>
        <v/>
      </c>
      <c r="F43" s="86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>
        <f>IF(A43="","",itens_Remanesc!C43)</f>
        <v/>
      </c>
      <c r="L43" s="192">
        <f>IF(A43="","",IF($I$4="C0",posicao_contratual!G43,IF($I$4="C1",posicao_contratual!K43,IF($I$4="C2",posicao_contratual!O43,IF($I$4="C3",posicao_contratual!S43,IF($I$4="C4",posicao_contratual!W43,""))))))</f>
        <v/>
      </c>
      <c r="M43" s="192">
        <f>IF(OR(A43="",$I$5="",$I$6=""),"",ROUND(SUMIFS(aditivos!$L$2:$L$200,aditivos!$A$2:$A$200,A43,aditivos!$B$2:$B$200,"&gt;"&amp;$I$6,aditivos!$B$2:$B$200,"&lt;="&amp;$I$5),2))</f>
        <v/>
      </c>
      <c r="N43" s="192">
        <f>IF(OR(A43="",L43="",D43=""),"",ROUND(MAX(L43+IF(ISNUMBER(M43),M43,0)-D43,0),2))</f>
        <v/>
      </c>
      <c r="O43" s="192">
        <f>IF(OR(A43="",D43="",K43="",$I$7=""),"",ROUND(D43*K43*$I$7,2))</f>
        <v/>
      </c>
      <c r="P43" s="192">
        <f>IF(OR(A43="",N43="",K43="",$I$7=""),"",ROUND(N43*K43*$I$7,2))</f>
        <v/>
      </c>
      <c r="Q43" s="192">
        <f>IF(OR(A43="",D43="",K43=""),"",ROUND(D43*K43,2))</f>
        <v/>
      </c>
      <c r="R43" s="192">
        <f>IF(OR(A43="",L43="",K43="",$I$7=""),"",ROUND(L43*K43*$I$7,2))</f>
        <v/>
      </c>
    </row>
    <row r="44">
      <c r="A44" s="86">
        <f>IF(itens_Remanesc!A44="","",itens_Remanesc!A44)</f>
        <v/>
      </c>
      <c r="B44" s="196" t="n"/>
      <c r="C44" s="196">
        <f>IF(A44="","",IF($I$5="","POSICAO DE REFERENCIA INDISPONIVEL",ROUND(IF(itens_Remanesc!B44="",0,itens_Remanesc!B44)+SUMIFS(aditivos!$L$2:$L$200,aditivos!$A$2:$A$200,A44,aditivos!$B$2:$B$200,"&lt;="&amp;$I$5),2)))</f>
        <v/>
      </c>
      <c r="D44" s="196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>
        <f>IF(A44="","",IF($I$4="","POSICAO DE REFERENCIA INDISPONIVEL",IF($I$2,"ATUAL INFORMADA",IF(ISNUMBER(B44),"ATUAL IGNORADA (POSICAO INCOMPLETA) - FOTOGRAFIA "&amp;$I$4,"FOTOGRAFIA "&amp;$I$4))))</f>
        <v/>
      </c>
      <c r="F44" s="86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>
        <f>IF(A44="","",itens_Remanesc!C44)</f>
        <v/>
      </c>
      <c r="L44" s="192">
        <f>IF(A44="","",IF($I$4="C0",posicao_contratual!G44,IF($I$4="C1",posicao_contratual!K44,IF($I$4="C2",posicao_contratual!O44,IF($I$4="C3",posicao_contratual!S44,IF($I$4="C4",posicao_contratual!W44,""))))))</f>
        <v/>
      </c>
      <c r="M44" s="192">
        <f>IF(OR(A44="",$I$5="",$I$6=""),"",ROUND(SUMIFS(aditivos!$L$2:$L$200,aditivos!$A$2:$A$200,A44,aditivos!$B$2:$B$200,"&gt;"&amp;$I$6,aditivos!$B$2:$B$200,"&lt;="&amp;$I$5),2))</f>
        <v/>
      </c>
      <c r="N44" s="192">
        <f>IF(OR(A44="",L44="",D44=""),"",ROUND(MAX(L44+IF(ISNUMBER(M44),M44,0)-D44,0),2))</f>
        <v/>
      </c>
      <c r="O44" s="192">
        <f>IF(OR(A44="",D44="",K44="",$I$7=""),"",ROUND(D44*K44*$I$7,2))</f>
        <v/>
      </c>
      <c r="P44" s="192">
        <f>IF(OR(A44="",N44="",K44="",$I$7=""),"",ROUND(N44*K44*$I$7,2))</f>
        <v/>
      </c>
      <c r="Q44" s="192">
        <f>IF(OR(A44="",D44="",K44=""),"",ROUND(D44*K44,2))</f>
        <v/>
      </c>
      <c r="R44" s="192">
        <f>IF(OR(A44="",L44="",K44="",$I$7=""),"",ROUND(L44*K44*$I$7,2))</f>
        <v/>
      </c>
    </row>
    <row r="45">
      <c r="A45" s="86">
        <f>IF(itens_Remanesc!A45="","",itens_Remanesc!A45)</f>
        <v/>
      </c>
      <c r="B45" s="196" t="n"/>
      <c r="C45" s="196">
        <f>IF(A45="","",IF($I$5="","POSICAO DE REFERENCIA INDISPONIVEL",ROUND(IF(itens_Remanesc!B45="",0,itens_Remanesc!B45)+SUMIFS(aditivos!$L$2:$L$200,aditivos!$A$2:$A$200,A45,aditivos!$B$2:$B$200,"&lt;="&amp;$I$5),2)))</f>
        <v/>
      </c>
      <c r="D45" s="196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>
        <f>IF(A45="","",IF($I$4="","POSICAO DE REFERENCIA INDISPONIVEL",IF($I$2,"ATUAL INFORMADA",IF(ISNUMBER(B45),"ATUAL IGNORADA (POSICAO INCOMPLETA) - FOTOGRAFIA "&amp;$I$4,"FOTOGRAFIA "&amp;$I$4))))</f>
        <v/>
      </c>
      <c r="F45" s="86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>
        <f>IF(A45="","",itens_Remanesc!C45)</f>
        <v/>
      </c>
      <c r="L45" s="192">
        <f>IF(A45="","",IF($I$4="C0",posicao_contratual!G45,IF($I$4="C1",posicao_contratual!K45,IF($I$4="C2",posicao_contratual!O45,IF($I$4="C3",posicao_contratual!S45,IF($I$4="C4",posicao_contratual!W45,""))))))</f>
        <v/>
      </c>
      <c r="M45" s="192">
        <f>IF(OR(A45="",$I$5="",$I$6=""),"",ROUND(SUMIFS(aditivos!$L$2:$L$200,aditivos!$A$2:$A$200,A45,aditivos!$B$2:$B$200,"&gt;"&amp;$I$6,aditivos!$B$2:$B$200,"&lt;="&amp;$I$5),2))</f>
        <v/>
      </c>
      <c r="N45" s="192">
        <f>IF(OR(A45="",L45="",D45=""),"",ROUND(MAX(L45+IF(ISNUMBER(M45),M45,0)-D45,0),2))</f>
        <v/>
      </c>
      <c r="O45" s="192">
        <f>IF(OR(A45="",D45="",K45="",$I$7=""),"",ROUND(D45*K45*$I$7,2))</f>
        <v/>
      </c>
      <c r="P45" s="192">
        <f>IF(OR(A45="",N45="",K45="",$I$7=""),"",ROUND(N45*K45*$I$7,2))</f>
        <v/>
      </c>
      <c r="Q45" s="192">
        <f>IF(OR(A45="",D45="",K45=""),"",ROUND(D45*K45,2))</f>
        <v/>
      </c>
      <c r="R45" s="192">
        <f>IF(OR(A45="",L45="",K45="",$I$7=""),"",ROUND(L45*K45*$I$7,2))</f>
        <v/>
      </c>
    </row>
    <row r="46">
      <c r="A46" s="86">
        <f>IF(itens_Remanesc!A46="","",itens_Remanesc!A46)</f>
        <v/>
      </c>
      <c r="B46" s="196" t="n"/>
      <c r="C46" s="196">
        <f>IF(A46="","",IF($I$5="","POSICAO DE REFERENCIA INDISPONIVEL",ROUND(IF(itens_Remanesc!B46="",0,itens_Remanesc!B46)+SUMIFS(aditivos!$L$2:$L$200,aditivos!$A$2:$A$200,A46,aditivos!$B$2:$B$200,"&lt;="&amp;$I$5),2)))</f>
        <v/>
      </c>
      <c r="D46" s="196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>
        <f>IF(A46="","",IF($I$4="","POSICAO DE REFERENCIA INDISPONIVEL",IF($I$2,"ATUAL INFORMADA",IF(ISNUMBER(B46),"ATUAL IGNORADA (POSICAO INCOMPLETA) - FOTOGRAFIA "&amp;$I$4,"FOTOGRAFIA "&amp;$I$4))))</f>
        <v/>
      </c>
      <c r="F46" s="86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>
        <f>IF(A46="","",itens_Remanesc!C46)</f>
        <v/>
      </c>
      <c r="L46" s="192">
        <f>IF(A46="","",IF($I$4="C0",posicao_contratual!G46,IF($I$4="C1",posicao_contratual!K46,IF($I$4="C2",posicao_contratual!O46,IF($I$4="C3",posicao_contratual!S46,IF($I$4="C4",posicao_contratual!W46,""))))))</f>
        <v/>
      </c>
      <c r="M46" s="192">
        <f>IF(OR(A46="",$I$5="",$I$6=""),"",ROUND(SUMIFS(aditivos!$L$2:$L$200,aditivos!$A$2:$A$200,A46,aditivos!$B$2:$B$200,"&gt;"&amp;$I$6,aditivos!$B$2:$B$200,"&lt;="&amp;$I$5),2))</f>
        <v/>
      </c>
      <c r="N46" s="192">
        <f>IF(OR(A46="",L46="",D46=""),"",ROUND(MAX(L46+IF(ISNUMBER(M46),M46,0)-D46,0),2))</f>
        <v/>
      </c>
      <c r="O46" s="192">
        <f>IF(OR(A46="",D46="",K46="",$I$7=""),"",ROUND(D46*K46*$I$7,2))</f>
        <v/>
      </c>
      <c r="P46" s="192">
        <f>IF(OR(A46="",N46="",K46="",$I$7=""),"",ROUND(N46*K46*$I$7,2))</f>
        <v/>
      </c>
      <c r="Q46" s="192">
        <f>IF(OR(A46="",D46="",K46=""),"",ROUND(D46*K46,2))</f>
        <v/>
      </c>
      <c r="R46" s="192">
        <f>IF(OR(A46="",L46="",K46="",$I$7=""),"",ROUND(L46*K46*$I$7,2))</f>
        <v/>
      </c>
    </row>
    <row r="47">
      <c r="A47" s="86">
        <f>IF(itens_Remanesc!A47="","",itens_Remanesc!A47)</f>
        <v/>
      </c>
      <c r="B47" s="196" t="n"/>
      <c r="C47" s="196">
        <f>IF(A47="","",IF($I$5="","POSICAO DE REFERENCIA INDISPONIVEL",ROUND(IF(itens_Remanesc!B47="",0,itens_Remanesc!B47)+SUMIFS(aditivos!$L$2:$L$200,aditivos!$A$2:$A$200,A47,aditivos!$B$2:$B$200,"&lt;="&amp;$I$5),2)))</f>
        <v/>
      </c>
      <c r="D47" s="196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>
        <f>IF(A47="","",IF($I$4="","POSICAO DE REFERENCIA INDISPONIVEL",IF($I$2,"ATUAL INFORMADA",IF(ISNUMBER(B47),"ATUAL IGNORADA (POSICAO INCOMPLETA) - FOTOGRAFIA "&amp;$I$4,"FOTOGRAFIA "&amp;$I$4))))</f>
        <v/>
      </c>
      <c r="F47" s="86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>
        <f>IF(A47="","",itens_Remanesc!C47)</f>
        <v/>
      </c>
      <c r="L47" s="192">
        <f>IF(A47="","",IF($I$4="C0",posicao_contratual!G47,IF($I$4="C1",posicao_contratual!K47,IF($I$4="C2",posicao_contratual!O47,IF($I$4="C3",posicao_contratual!S47,IF($I$4="C4",posicao_contratual!W47,""))))))</f>
        <v/>
      </c>
      <c r="M47" s="192">
        <f>IF(OR(A47="",$I$5="",$I$6=""),"",ROUND(SUMIFS(aditivos!$L$2:$L$200,aditivos!$A$2:$A$200,A47,aditivos!$B$2:$B$200,"&gt;"&amp;$I$6,aditivos!$B$2:$B$200,"&lt;="&amp;$I$5),2))</f>
        <v/>
      </c>
      <c r="N47" s="192">
        <f>IF(OR(A47="",L47="",D47=""),"",ROUND(MAX(L47+IF(ISNUMBER(M47),M47,0)-D47,0),2))</f>
        <v/>
      </c>
      <c r="O47" s="192">
        <f>IF(OR(A47="",D47="",K47="",$I$7=""),"",ROUND(D47*K47*$I$7,2))</f>
        <v/>
      </c>
      <c r="P47" s="192">
        <f>IF(OR(A47="",N47="",K47="",$I$7=""),"",ROUND(N47*K47*$I$7,2))</f>
        <v/>
      </c>
      <c r="Q47" s="192">
        <f>IF(OR(A47="",D47="",K47=""),"",ROUND(D47*K47,2))</f>
        <v/>
      </c>
      <c r="R47" s="192">
        <f>IF(OR(A47="",L47="",K47="",$I$7=""),"",ROUND(L47*K47*$I$7,2))</f>
        <v/>
      </c>
    </row>
    <row r="48">
      <c r="A48" s="86">
        <f>IF(itens_Remanesc!A48="","",itens_Remanesc!A48)</f>
        <v/>
      </c>
      <c r="B48" s="196" t="n"/>
      <c r="C48" s="196">
        <f>IF(A48="","",IF($I$5="","POSICAO DE REFERENCIA INDISPONIVEL",ROUND(IF(itens_Remanesc!B48="",0,itens_Remanesc!B48)+SUMIFS(aditivos!$L$2:$L$200,aditivos!$A$2:$A$200,A48,aditivos!$B$2:$B$200,"&lt;="&amp;$I$5),2)))</f>
        <v/>
      </c>
      <c r="D48" s="196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>
        <f>IF(A48="","",IF($I$4="","POSICAO DE REFERENCIA INDISPONIVEL",IF($I$2,"ATUAL INFORMADA",IF(ISNUMBER(B48),"ATUAL IGNORADA (POSICAO INCOMPLETA) - FOTOGRAFIA "&amp;$I$4,"FOTOGRAFIA "&amp;$I$4))))</f>
        <v/>
      </c>
      <c r="F48" s="86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>
        <f>IF(A48="","",itens_Remanesc!C48)</f>
        <v/>
      </c>
      <c r="L48" s="192">
        <f>IF(A48="","",IF($I$4="C0",posicao_contratual!G48,IF($I$4="C1",posicao_contratual!K48,IF($I$4="C2",posicao_contratual!O48,IF($I$4="C3",posicao_contratual!S48,IF($I$4="C4",posicao_contratual!W48,""))))))</f>
        <v/>
      </c>
      <c r="M48" s="192">
        <f>IF(OR(A48="",$I$5="",$I$6=""),"",ROUND(SUMIFS(aditivos!$L$2:$L$200,aditivos!$A$2:$A$200,A48,aditivos!$B$2:$B$200,"&gt;"&amp;$I$6,aditivos!$B$2:$B$200,"&lt;="&amp;$I$5),2))</f>
        <v/>
      </c>
      <c r="N48" s="192">
        <f>IF(OR(A48="",L48="",D48=""),"",ROUND(MAX(L48+IF(ISNUMBER(M48),M48,0)-D48,0),2))</f>
        <v/>
      </c>
      <c r="O48" s="192">
        <f>IF(OR(A48="",D48="",K48="",$I$7=""),"",ROUND(D48*K48*$I$7,2))</f>
        <v/>
      </c>
      <c r="P48" s="192">
        <f>IF(OR(A48="",N48="",K48="",$I$7=""),"",ROUND(N48*K48*$I$7,2))</f>
        <v/>
      </c>
      <c r="Q48" s="192">
        <f>IF(OR(A48="",D48="",K48=""),"",ROUND(D48*K48,2))</f>
        <v/>
      </c>
      <c r="R48" s="192">
        <f>IF(OR(A48="",L48="",K48="",$I$7=""),"",ROUND(L48*K48*$I$7,2))</f>
        <v/>
      </c>
    </row>
    <row r="49">
      <c r="A49" s="86">
        <f>IF(itens_Remanesc!A49="","",itens_Remanesc!A49)</f>
        <v/>
      </c>
      <c r="B49" s="196" t="n"/>
      <c r="C49" s="196">
        <f>IF(A49="","",IF($I$5="","POSICAO DE REFERENCIA INDISPONIVEL",ROUND(IF(itens_Remanesc!B49="",0,itens_Remanesc!B49)+SUMIFS(aditivos!$L$2:$L$200,aditivos!$A$2:$A$200,A49,aditivos!$B$2:$B$200,"&lt;="&amp;$I$5),2)))</f>
        <v/>
      </c>
      <c r="D49" s="196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>
        <f>IF(A49="","",IF($I$4="","POSICAO DE REFERENCIA INDISPONIVEL",IF($I$2,"ATUAL INFORMADA",IF(ISNUMBER(B49),"ATUAL IGNORADA (POSICAO INCOMPLETA) - FOTOGRAFIA "&amp;$I$4,"FOTOGRAFIA "&amp;$I$4))))</f>
        <v/>
      </c>
      <c r="F49" s="86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>
        <f>IF(A49="","",itens_Remanesc!C49)</f>
        <v/>
      </c>
      <c r="L49" s="192">
        <f>IF(A49="","",IF($I$4="C0",posicao_contratual!G49,IF($I$4="C1",posicao_contratual!K49,IF($I$4="C2",posicao_contratual!O49,IF($I$4="C3",posicao_contratual!S49,IF($I$4="C4",posicao_contratual!W49,""))))))</f>
        <v/>
      </c>
      <c r="M49" s="192">
        <f>IF(OR(A49="",$I$5="",$I$6=""),"",ROUND(SUMIFS(aditivos!$L$2:$L$200,aditivos!$A$2:$A$200,A49,aditivos!$B$2:$B$200,"&gt;"&amp;$I$6,aditivos!$B$2:$B$200,"&lt;="&amp;$I$5),2))</f>
        <v/>
      </c>
      <c r="N49" s="192">
        <f>IF(OR(A49="",L49="",D49=""),"",ROUND(MAX(L49+IF(ISNUMBER(M49),M49,0)-D49,0),2))</f>
        <v/>
      </c>
      <c r="O49" s="192">
        <f>IF(OR(A49="",D49="",K49="",$I$7=""),"",ROUND(D49*K49*$I$7,2))</f>
        <v/>
      </c>
      <c r="P49" s="192">
        <f>IF(OR(A49="",N49="",K49="",$I$7=""),"",ROUND(N49*K49*$I$7,2))</f>
        <v/>
      </c>
      <c r="Q49" s="192">
        <f>IF(OR(A49="",D49="",K49=""),"",ROUND(D49*K49,2))</f>
        <v/>
      </c>
      <c r="R49" s="192">
        <f>IF(OR(A49="",L49="",K49="",$I$7=""),"",ROUND(L49*K49*$I$7,2))</f>
        <v/>
      </c>
    </row>
    <row r="50">
      <c r="A50" s="86">
        <f>IF(itens_Remanesc!A50="","",itens_Remanesc!A50)</f>
        <v/>
      </c>
      <c r="B50" s="196" t="n"/>
      <c r="C50" s="196">
        <f>IF(A50="","",IF($I$5="","POSICAO DE REFERENCIA INDISPONIVEL",ROUND(IF(itens_Remanesc!B50="",0,itens_Remanesc!B50)+SUMIFS(aditivos!$L$2:$L$200,aditivos!$A$2:$A$200,A50,aditivos!$B$2:$B$200,"&lt;="&amp;$I$5),2)))</f>
        <v/>
      </c>
      <c r="D50" s="196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>
        <f>IF(A50="","",IF($I$4="","POSICAO DE REFERENCIA INDISPONIVEL",IF($I$2,"ATUAL INFORMADA",IF(ISNUMBER(B50),"ATUAL IGNORADA (POSICAO INCOMPLETA) - FOTOGRAFIA "&amp;$I$4,"FOTOGRAFIA "&amp;$I$4))))</f>
        <v/>
      </c>
      <c r="F50" s="86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>
        <f>IF(A50="","",itens_Remanesc!C50)</f>
        <v/>
      </c>
      <c r="L50" s="192">
        <f>IF(A50="","",IF($I$4="C0",posicao_contratual!G50,IF($I$4="C1",posicao_contratual!K50,IF($I$4="C2",posicao_contratual!O50,IF($I$4="C3",posicao_contratual!S50,IF($I$4="C4",posicao_contratual!W50,""))))))</f>
        <v/>
      </c>
      <c r="M50" s="192">
        <f>IF(OR(A50="",$I$5="",$I$6=""),"",ROUND(SUMIFS(aditivos!$L$2:$L$200,aditivos!$A$2:$A$200,A50,aditivos!$B$2:$B$200,"&gt;"&amp;$I$6,aditivos!$B$2:$B$200,"&lt;="&amp;$I$5),2))</f>
        <v/>
      </c>
      <c r="N50" s="192">
        <f>IF(OR(A50="",L50="",D50=""),"",ROUND(MAX(L50+IF(ISNUMBER(M50),M50,0)-D50,0),2))</f>
        <v/>
      </c>
      <c r="O50" s="192">
        <f>IF(OR(A50="",D50="",K50="",$I$7=""),"",ROUND(D50*K50*$I$7,2))</f>
        <v/>
      </c>
      <c r="P50" s="192">
        <f>IF(OR(A50="",N50="",K50="",$I$7=""),"",ROUND(N50*K50*$I$7,2))</f>
        <v/>
      </c>
      <c r="Q50" s="192">
        <f>IF(OR(A50="",D50="",K50=""),"",ROUND(D50*K50,2))</f>
        <v/>
      </c>
      <c r="R50" s="192">
        <f>IF(OR(A50="",L50="",K50="",$I$7=""),"",ROUND(L50*K50*$I$7,2))</f>
        <v/>
      </c>
    </row>
    <row r="51">
      <c r="A51" s="86">
        <f>IF(itens_Remanesc!A51="","",itens_Remanesc!A51)</f>
        <v/>
      </c>
      <c r="B51" s="196" t="n"/>
      <c r="C51" s="196">
        <f>IF(A51="","",IF($I$5="","POSICAO DE REFERENCIA INDISPONIVEL",ROUND(IF(itens_Remanesc!B51="",0,itens_Remanesc!B51)+SUMIFS(aditivos!$L$2:$L$200,aditivos!$A$2:$A$200,A51,aditivos!$B$2:$B$200,"&lt;="&amp;$I$5),2)))</f>
        <v/>
      </c>
      <c r="D51" s="196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>
        <f>IF(A51="","",IF($I$4="","POSICAO DE REFERENCIA INDISPONIVEL",IF($I$2,"ATUAL INFORMADA",IF(ISNUMBER(B51),"ATUAL IGNORADA (POSICAO INCOMPLETA) - FOTOGRAFIA "&amp;$I$4,"FOTOGRAFIA "&amp;$I$4))))</f>
        <v/>
      </c>
      <c r="F51" s="86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>
        <f>IF(A51="","",itens_Remanesc!C51)</f>
        <v/>
      </c>
      <c r="L51" s="192">
        <f>IF(A51="","",IF($I$4="C0",posicao_contratual!G51,IF($I$4="C1",posicao_contratual!K51,IF($I$4="C2",posicao_contratual!O51,IF($I$4="C3",posicao_contratual!S51,IF($I$4="C4",posicao_contratual!W51,""))))))</f>
        <v/>
      </c>
      <c r="M51" s="192">
        <f>IF(OR(A51="",$I$5="",$I$6=""),"",ROUND(SUMIFS(aditivos!$L$2:$L$200,aditivos!$A$2:$A$200,A51,aditivos!$B$2:$B$200,"&gt;"&amp;$I$6,aditivos!$B$2:$B$200,"&lt;="&amp;$I$5),2))</f>
        <v/>
      </c>
      <c r="N51" s="192">
        <f>IF(OR(A51="",L51="",D51=""),"",ROUND(MAX(L51+IF(ISNUMBER(M51),M51,0)-D51,0),2))</f>
        <v/>
      </c>
      <c r="O51" s="192">
        <f>IF(OR(A51="",D51="",K51="",$I$7=""),"",ROUND(D51*K51*$I$7,2))</f>
        <v/>
      </c>
      <c r="P51" s="192">
        <f>IF(OR(A51="",N51="",K51="",$I$7=""),"",ROUND(N51*K51*$I$7,2))</f>
        <v/>
      </c>
      <c r="Q51" s="192">
        <f>IF(OR(A51="",D51="",K51=""),"",ROUND(D51*K51,2))</f>
        <v/>
      </c>
      <c r="R51" s="192">
        <f>IF(OR(A51="",L51="",K51="",$I$7=""),"",ROUND(L51*K51*$I$7,2))</f>
        <v/>
      </c>
    </row>
    <row r="52">
      <c r="A52" s="86">
        <f>IF(itens_Remanesc!A52="","",itens_Remanesc!A52)</f>
        <v/>
      </c>
      <c r="B52" s="196" t="n"/>
      <c r="C52" s="196">
        <f>IF(A52="","",IF($I$5="","POSICAO DE REFERENCIA INDISPONIVEL",ROUND(IF(itens_Remanesc!B52="",0,itens_Remanesc!B52)+SUMIFS(aditivos!$L$2:$L$200,aditivos!$A$2:$A$200,A52,aditivos!$B$2:$B$200,"&lt;="&amp;$I$5),2)))</f>
        <v/>
      </c>
      <c r="D52" s="196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>
        <f>IF(A52="","",IF($I$4="","POSICAO DE REFERENCIA INDISPONIVEL",IF($I$2,"ATUAL INFORMADA",IF(ISNUMBER(B52),"ATUAL IGNORADA (POSICAO INCOMPLETA) - FOTOGRAFIA "&amp;$I$4,"FOTOGRAFIA "&amp;$I$4))))</f>
        <v/>
      </c>
      <c r="F52" s="86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>
        <f>IF(A52="","",itens_Remanesc!C52)</f>
        <v/>
      </c>
      <c r="L52" s="192">
        <f>IF(A52="","",IF($I$4="C0",posicao_contratual!G52,IF($I$4="C1",posicao_contratual!K52,IF($I$4="C2",posicao_contratual!O52,IF($I$4="C3",posicao_contratual!S52,IF($I$4="C4",posicao_contratual!W52,""))))))</f>
        <v/>
      </c>
      <c r="M52" s="192">
        <f>IF(OR(A52="",$I$5="",$I$6=""),"",ROUND(SUMIFS(aditivos!$L$2:$L$200,aditivos!$A$2:$A$200,A52,aditivos!$B$2:$B$200,"&gt;"&amp;$I$6,aditivos!$B$2:$B$200,"&lt;="&amp;$I$5),2))</f>
        <v/>
      </c>
      <c r="N52" s="192">
        <f>IF(OR(A52="",L52="",D52=""),"",ROUND(MAX(L52+IF(ISNUMBER(M52),M52,0)-D52,0),2))</f>
        <v/>
      </c>
      <c r="O52" s="192">
        <f>IF(OR(A52="",D52="",K52="",$I$7=""),"",ROUND(D52*K52*$I$7,2))</f>
        <v/>
      </c>
      <c r="P52" s="192">
        <f>IF(OR(A52="",N52="",K52="",$I$7=""),"",ROUND(N52*K52*$I$7,2))</f>
        <v/>
      </c>
      <c r="Q52" s="192">
        <f>IF(OR(A52="",D52="",K52=""),"",ROUND(D52*K52,2))</f>
        <v/>
      </c>
      <c r="R52" s="192">
        <f>IF(OR(A52="",L52="",K52="",$I$7=""),"",ROUND(L52*K52*$I$7,2))</f>
        <v/>
      </c>
    </row>
    <row r="53">
      <c r="A53" s="86">
        <f>IF(itens_Remanesc!A53="","",itens_Remanesc!A53)</f>
        <v/>
      </c>
      <c r="B53" s="196" t="n"/>
      <c r="C53" s="196">
        <f>IF(A53="","",IF($I$5="","POSICAO DE REFERENCIA INDISPONIVEL",ROUND(IF(itens_Remanesc!B53="",0,itens_Remanesc!B53)+SUMIFS(aditivos!$L$2:$L$200,aditivos!$A$2:$A$200,A53,aditivos!$B$2:$B$200,"&lt;="&amp;$I$5),2)))</f>
        <v/>
      </c>
      <c r="D53" s="196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>
        <f>IF(A53="","",IF($I$4="","POSICAO DE REFERENCIA INDISPONIVEL",IF($I$2,"ATUAL INFORMADA",IF(ISNUMBER(B53),"ATUAL IGNORADA (POSICAO INCOMPLETA) - FOTOGRAFIA "&amp;$I$4,"FOTOGRAFIA "&amp;$I$4))))</f>
        <v/>
      </c>
      <c r="F53" s="86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>
        <f>IF(A53="","",itens_Remanesc!C53)</f>
        <v/>
      </c>
      <c r="L53" s="192">
        <f>IF(A53="","",IF($I$4="C0",posicao_contratual!G53,IF($I$4="C1",posicao_contratual!K53,IF($I$4="C2",posicao_contratual!O53,IF($I$4="C3",posicao_contratual!S53,IF($I$4="C4",posicao_contratual!W53,""))))))</f>
        <v/>
      </c>
      <c r="M53" s="192">
        <f>IF(OR(A53="",$I$5="",$I$6=""),"",ROUND(SUMIFS(aditivos!$L$2:$L$200,aditivos!$A$2:$A$200,A53,aditivos!$B$2:$B$200,"&gt;"&amp;$I$6,aditivos!$B$2:$B$200,"&lt;="&amp;$I$5),2))</f>
        <v/>
      </c>
      <c r="N53" s="192">
        <f>IF(OR(A53="",L53="",D53=""),"",ROUND(MAX(L53+IF(ISNUMBER(M53),M53,0)-D53,0),2))</f>
        <v/>
      </c>
      <c r="O53" s="192">
        <f>IF(OR(A53="",D53="",K53="",$I$7=""),"",ROUND(D53*K53*$I$7,2))</f>
        <v/>
      </c>
      <c r="P53" s="192">
        <f>IF(OR(A53="",N53="",K53="",$I$7=""),"",ROUND(N53*K53*$I$7,2))</f>
        <v/>
      </c>
      <c r="Q53" s="192">
        <f>IF(OR(A53="",D53="",K53=""),"",ROUND(D53*K53,2))</f>
        <v/>
      </c>
      <c r="R53" s="192">
        <f>IF(OR(A53="",L53="",K53="",$I$7=""),"",ROUND(L53*K53*$I$7,2))</f>
        <v/>
      </c>
    </row>
    <row r="54">
      <c r="A54" s="86">
        <f>IF(itens_Remanesc!A54="","",itens_Remanesc!A54)</f>
        <v/>
      </c>
      <c r="B54" s="196" t="n"/>
      <c r="C54" s="196">
        <f>IF(A54="","",IF($I$5="","POSICAO DE REFERENCIA INDISPONIVEL",ROUND(IF(itens_Remanesc!B54="",0,itens_Remanesc!B54)+SUMIFS(aditivos!$L$2:$L$200,aditivos!$A$2:$A$200,A54,aditivos!$B$2:$B$200,"&lt;="&amp;$I$5),2)))</f>
        <v/>
      </c>
      <c r="D54" s="196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>
        <f>IF(A54="","",IF($I$4="","POSICAO DE REFERENCIA INDISPONIVEL",IF($I$2,"ATUAL INFORMADA",IF(ISNUMBER(B54),"ATUAL IGNORADA (POSICAO INCOMPLETA) - FOTOGRAFIA "&amp;$I$4,"FOTOGRAFIA "&amp;$I$4))))</f>
        <v/>
      </c>
      <c r="F54" s="86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>
        <f>IF(A54="","",itens_Remanesc!C54)</f>
        <v/>
      </c>
      <c r="L54" s="192">
        <f>IF(A54="","",IF($I$4="C0",posicao_contratual!G54,IF($I$4="C1",posicao_contratual!K54,IF($I$4="C2",posicao_contratual!O54,IF($I$4="C3",posicao_contratual!S54,IF($I$4="C4",posicao_contratual!W54,""))))))</f>
        <v/>
      </c>
      <c r="M54" s="192">
        <f>IF(OR(A54="",$I$5="",$I$6=""),"",ROUND(SUMIFS(aditivos!$L$2:$L$200,aditivos!$A$2:$A$200,A54,aditivos!$B$2:$B$200,"&gt;"&amp;$I$6,aditivos!$B$2:$B$200,"&lt;="&amp;$I$5),2))</f>
        <v/>
      </c>
      <c r="N54" s="192">
        <f>IF(OR(A54="",L54="",D54=""),"",ROUND(MAX(L54+IF(ISNUMBER(M54),M54,0)-D54,0),2))</f>
        <v/>
      </c>
      <c r="O54" s="192">
        <f>IF(OR(A54="",D54="",K54="",$I$7=""),"",ROUND(D54*K54*$I$7,2))</f>
        <v/>
      </c>
      <c r="P54" s="192">
        <f>IF(OR(A54="",N54="",K54="",$I$7=""),"",ROUND(N54*K54*$I$7,2))</f>
        <v/>
      </c>
      <c r="Q54" s="192">
        <f>IF(OR(A54="",D54="",K54=""),"",ROUND(D54*K54,2))</f>
        <v/>
      </c>
      <c r="R54" s="192">
        <f>IF(OR(A54="",L54="",K54="",$I$7=""),"",ROUND(L54*K54*$I$7,2))</f>
        <v/>
      </c>
    </row>
    <row r="55">
      <c r="A55" s="86">
        <f>IF(itens_Remanesc!A55="","",itens_Remanesc!A55)</f>
        <v/>
      </c>
      <c r="B55" s="196" t="n"/>
      <c r="C55" s="196">
        <f>IF(A55="","",IF($I$5="","POSICAO DE REFERENCIA INDISPONIVEL",ROUND(IF(itens_Remanesc!B55="",0,itens_Remanesc!B55)+SUMIFS(aditivos!$L$2:$L$200,aditivos!$A$2:$A$200,A55,aditivos!$B$2:$B$200,"&lt;="&amp;$I$5),2)))</f>
        <v/>
      </c>
      <c r="D55" s="196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>
        <f>IF(A55="","",IF($I$4="","POSICAO DE REFERENCIA INDISPONIVEL",IF($I$2,"ATUAL INFORMADA",IF(ISNUMBER(B55),"ATUAL IGNORADA (POSICAO INCOMPLETA) - FOTOGRAFIA "&amp;$I$4,"FOTOGRAFIA "&amp;$I$4))))</f>
        <v/>
      </c>
      <c r="F55" s="86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>
        <f>IF(A55="","",itens_Remanesc!C55)</f>
        <v/>
      </c>
      <c r="L55" s="192">
        <f>IF(A55="","",IF($I$4="C0",posicao_contratual!G55,IF($I$4="C1",posicao_contratual!K55,IF($I$4="C2",posicao_contratual!O55,IF($I$4="C3",posicao_contratual!S55,IF($I$4="C4",posicao_contratual!W55,""))))))</f>
        <v/>
      </c>
      <c r="M55" s="192">
        <f>IF(OR(A55="",$I$5="",$I$6=""),"",ROUND(SUMIFS(aditivos!$L$2:$L$200,aditivos!$A$2:$A$200,A55,aditivos!$B$2:$B$200,"&gt;"&amp;$I$6,aditivos!$B$2:$B$200,"&lt;="&amp;$I$5),2))</f>
        <v/>
      </c>
      <c r="N55" s="192">
        <f>IF(OR(A55="",L55="",D55=""),"",ROUND(MAX(L55+IF(ISNUMBER(M55),M55,0)-D55,0),2))</f>
        <v/>
      </c>
      <c r="O55" s="192">
        <f>IF(OR(A55="",D55="",K55="",$I$7=""),"",ROUND(D55*K55*$I$7,2))</f>
        <v/>
      </c>
      <c r="P55" s="192">
        <f>IF(OR(A55="",N55="",K55="",$I$7=""),"",ROUND(N55*K55*$I$7,2))</f>
        <v/>
      </c>
      <c r="Q55" s="192">
        <f>IF(OR(A55="",D55="",K55=""),"",ROUND(D55*K55,2))</f>
        <v/>
      </c>
      <c r="R55" s="192">
        <f>IF(OR(A55="",L55="",K55="",$I$7=""),"",ROUND(L55*K55*$I$7,2))</f>
        <v/>
      </c>
    </row>
    <row r="56">
      <c r="A56" s="86">
        <f>IF(itens_Remanesc!A56="","",itens_Remanesc!A56)</f>
        <v/>
      </c>
      <c r="B56" s="196" t="n"/>
      <c r="C56" s="196">
        <f>IF(A56="","",IF($I$5="","POSICAO DE REFERENCIA INDISPONIVEL",ROUND(IF(itens_Remanesc!B56="",0,itens_Remanesc!B56)+SUMIFS(aditivos!$L$2:$L$200,aditivos!$A$2:$A$200,A56,aditivos!$B$2:$B$200,"&lt;="&amp;$I$5),2)))</f>
        <v/>
      </c>
      <c r="D56" s="196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>
        <f>IF(A56="","",IF($I$4="","POSICAO DE REFERENCIA INDISPONIVEL",IF($I$2,"ATUAL INFORMADA",IF(ISNUMBER(B56),"ATUAL IGNORADA (POSICAO INCOMPLETA) - FOTOGRAFIA "&amp;$I$4,"FOTOGRAFIA "&amp;$I$4))))</f>
        <v/>
      </c>
      <c r="F56" s="86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>
        <f>IF(A56="","",itens_Remanesc!C56)</f>
        <v/>
      </c>
      <c r="L56" s="192">
        <f>IF(A56="","",IF($I$4="C0",posicao_contratual!G56,IF($I$4="C1",posicao_contratual!K56,IF($I$4="C2",posicao_contratual!O56,IF($I$4="C3",posicao_contratual!S56,IF($I$4="C4",posicao_contratual!W56,""))))))</f>
        <v/>
      </c>
      <c r="M56" s="192">
        <f>IF(OR(A56="",$I$5="",$I$6=""),"",ROUND(SUMIFS(aditivos!$L$2:$L$200,aditivos!$A$2:$A$200,A56,aditivos!$B$2:$B$200,"&gt;"&amp;$I$6,aditivos!$B$2:$B$200,"&lt;="&amp;$I$5),2))</f>
        <v/>
      </c>
      <c r="N56" s="192">
        <f>IF(OR(A56="",L56="",D56=""),"",ROUND(MAX(L56+IF(ISNUMBER(M56),M56,0)-D56,0),2))</f>
        <v/>
      </c>
      <c r="O56" s="192">
        <f>IF(OR(A56="",D56="",K56="",$I$7=""),"",ROUND(D56*K56*$I$7,2))</f>
        <v/>
      </c>
      <c r="P56" s="192">
        <f>IF(OR(A56="",N56="",K56="",$I$7=""),"",ROUND(N56*K56*$I$7,2))</f>
        <v/>
      </c>
      <c r="Q56" s="192">
        <f>IF(OR(A56="",D56="",K56=""),"",ROUND(D56*K56,2))</f>
        <v/>
      </c>
      <c r="R56" s="192">
        <f>IF(OR(A56="",L56="",K56="",$I$7=""),"",ROUND(L56*K56*$I$7,2))</f>
        <v/>
      </c>
    </row>
    <row r="57">
      <c r="A57" s="86">
        <f>IF(itens_Remanesc!A57="","",itens_Remanesc!A57)</f>
        <v/>
      </c>
      <c r="B57" s="196" t="n"/>
      <c r="C57" s="196">
        <f>IF(A57="","",IF($I$5="","POSICAO DE REFERENCIA INDISPONIVEL",ROUND(IF(itens_Remanesc!B57="",0,itens_Remanesc!B57)+SUMIFS(aditivos!$L$2:$L$200,aditivos!$A$2:$A$200,A57,aditivos!$B$2:$B$200,"&lt;="&amp;$I$5),2)))</f>
        <v/>
      </c>
      <c r="D57" s="196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>
        <f>IF(A57="","",IF($I$4="","POSICAO DE REFERENCIA INDISPONIVEL",IF($I$2,"ATUAL INFORMADA",IF(ISNUMBER(B57),"ATUAL IGNORADA (POSICAO INCOMPLETA) - FOTOGRAFIA "&amp;$I$4,"FOTOGRAFIA "&amp;$I$4))))</f>
        <v/>
      </c>
      <c r="F57" s="86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>
        <f>IF(A57="","",itens_Remanesc!C57)</f>
        <v/>
      </c>
      <c r="L57" s="192">
        <f>IF(A57="","",IF($I$4="C0",posicao_contratual!G57,IF($I$4="C1",posicao_contratual!K57,IF($I$4="C2",posicao_contratual!O57,IF($I$4="C3",posicao_contratual!S57,IF($I$4="C4",posicao_contratual!W57,""))))))</f>
        <v/>
      </c>
      <c r="M57" s="192">
        <f>IF(OR(A57="",$I$5="",$I$6=""),"",ROUND(SUMIFS(aditivos!$L$2:$L$200,aditivos!$A$2:$A$200,A57,aditivos!$B$2:$B$200,"&gt;"&amp;$I$6,aditivos!$B$2:$B$200,"&lt;="&amp;$I$5),2))</f>
        <v/>
      </c>
      <c r="N57" s="192">
        <f>IF(OR(A57="",L57="",D57=""),"",ROUND(MAX(L57+IF(ISNUMBER(M57),M57,0)-D57,0),2))</f>
        <v/>
      </c>
      <c r="O57" s="192">
        <f>IF(OR(A57="",D57="",K57="",$I$7=""),"",ROUND(D57*K57*$I$7,2))</f>
        <v/>
      </c>
      <c r="P57" s="192">
        <f>IF(OR(A57="",N57="",K57="",$I$7=""),"",ROUND(N57*K57*$I$7,2))</f>
        <v/>
      </c>
      <c r="Q57" s="192">
        <f>IF(OR(A57="",D57="",K57=""),"",ROUND(D57*K57,2))</f>
        <v/>
      </c>
      <c r="R57" s="192">
        <f>IF(OR(A57="",L57="",K57="",$I$7=""),"",ROUND(L57*K57*$I$7,2))</f>
        <v/>
      </c>
    </row>
    <row r="58">
      <c r="A58" s="86">
        <f>IF(itens_Remanesc!A58="","",itens_Remanesc!A58)</f>
        <v/>
      </c>
      <c r="B58" s="196" t="n"/>
      <c r="C58" s="196">
        <f>IF(A58="","",IF($I$5="","POSICAO DE REFERENCIA INDISPONIVEL",ROUND(IF(itens_Remanesc!B58="",0,itens_Remanesc!B58)+SUMIFS(aditivos!$L$2:$L$200,aditivos!$A$2:$A$200,A58,aditivos!$B$2:$B$200,"&lt;="&amp;$I$5),2)))</f>
        <v/>
      </c>
      <c r="D58" s="196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>
        <f>IF(A58="","",IF($I$4="","POSICAO DE REFERENCIA INDISPONIVEL",IF($I$2,"ATUAL INFORMADA",IF(ISNUMBER(B58),"ATUAL IGNORADA (POSICAO INCOMPLETA) - FOTOGRAFIA "&amp;$I$4,"FOTOGRAFIA "&amp;$I$4))))</f>
        <v/>
      </c>
      <c r="F58" s="86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>
        <f>IF(A58="","",itens_Remanesc!C58)</f>
        <v/>
      </c>
      <c r="L58" s="192">
        <f>IF(A58="","",IF($I$4="C0",posicao_contratual!G58,IF($I$4="C1",posicao_contratual!K58,IF($I$4="C2",posicao_contratual!O58,IF($I$4="C3",posicao_contratual!S58,IF($I$4="C4",posicao_contratual!W58,""))))))</f>
        <v/>
      </c>
      <c r="M58" s="192">
        <f>IF(OR(A58="",$I$5="",$I$6=""),"",ROUND(SUMIFS(aditivos!$L$2:$L$200,aditivos!$A$2:$A$200,A58,aditivos!$B$2:$B$200,"&gt;"&amp;$I$6,aditivos!$B$2:$B$200,"&lt;="&amp;$I$5),2))</f>
        <v/>
      </c>
      <c r="N58" s="192">
        <f>IF(OR(A58="",L58="",D58=""),"",ROUND(MAX(L58+IF(ISNUMBER(M58),M58,0)-D58,0),2))</f>
        <v/>
      </c>
      <c r="O58" s="192">
        <f>IF(OR(A58="",D58="",K58="",$I$7=""),"",ROUND(D58*K58*$I$7,2))</f>
        <v/>
      </c>
      <c r="P58" s="192">
        <f>IF(OR(A58="",N58="",K58="",$I$7=""),"",ROUND(N58*K58*$I$7,2))</f>
        <v/>
      </c>
      <c r="Q58" s="192">
        <f>IF(OR(A58="",D58="",K58=""),"",ROUND(D58*K58,2))</f>
        <v/>
      </c>
      <c r="R58" s="192">
        <f>IF(OR(A58="",L58="",K58="",$I$7=""),"",ROUND(L58*K58*$I$7,2))</f>
        <v/>
      </c>
    </row>
    <row r="59">
      <c r="A59" s="86">
        <f>IF(itens_Remanesc!A59="","",itens_Remanesc!A59)</f>
        <v/>
      </c>
      <c r="B59" s="196" t="n"/>
      <c r="C59" s="196">
        <f>IF(A59="","",IF($I$5="","POSICAO DE REFERENCIA INDISPONIVEL",ROUND(IF(itens_Remanesc!B59="",0,itens_Remanesc!B59)+SUMIFS(aditivos!$L$2:$L$200,aditivos!$A$2:$A$200,A59,aditivos!$B$2:$B$200,"&lt;="&amp;$I$5),2)))</f>
        <v/>
      </c>
      <c r="D59" s="196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>
        <f>IF(A59="","",IF($I$4="","POSICAO DE REFERENCIA INDISPONIVEL",IF($I$2,"ATUAL INFORMADA",IF(ISNUMBER(B59),"ATUAL IGNORADA (POSICAO INCOMPLETA) - FOTOGRAFIA "&amp;$I$4,"FOTOGRAFIA "&amp;$I$4))))</f>
        <v/>
      </c>
      <c r="F59" s="86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>
        <f>IF(A59="","",itens_Remanesc!C59)</f>
        <v/>
      </c>
      <c r="L59" s="192">
        <f>IF(A59="","",IF($I$4="C0",posicao_contratual!G59,IF($I$4="C1",posicao_contratual!K59,IF($I$4="C2",posicao_contratual!O59,IF($I$4="C3",posicao_contratual!S59,IF($I$4="C4",posicao_contratual!W59,""))))))</f>
        <v/>
      </c>
      <c r="M59" s="192">
        <f>IF(OR(A59="",$I$5="",$I$6=""),"",ROUND(SUMIFS(aditivos!$L$2:$L$200,aditivos!$A$2:$A$200,A59,aditivos!$B$2:$B$200,"&gt;"&amp;$I$6,aditivos!$B$2:$B$200,"&lt;="&amp;$I$5),2))</f>
        <v/>
      </c>
      <c r="N59" s="192">
        <f>IF(OR(A59="",L59="",D59=""),"",ROUND(MAX(L59+IF(ISNUMBER(M59),M59,0)-D59,0),2))</f>
        <v/>
      </c>
      <c r="O59" s="192">
        <f>IF(OR(A59="",D59="",K59="",$I$7=""),"",ROUND(D59*K59*$I$7,2))</f>
        <v/>
      </c>
      <c r="P59" s="192">
        <f>IF(OR(A59="",N59="",K59="",$I$7=""),"",ROUND(N59*K59*$I$7,2))</f>
        <v/>
      </c>
      <c r="Q59" s="192">
        <f>IF(OR(A59="",D59="",K59=""),"",ROUND(D59*K59,2))</f>
        <v/>
      </c>
      <c r="R59" s="192">
        <f>IF(OR(A59="",L59="",K59="",$I$7=""),"",ROUND(L59*K59*$I$7,2))</f>
        <v/>
      </c>
    </row>
    <row r="60">
      <c r="A60" s="86">
        <f>IF(itens_Remanesc!A60="","",itens_Remanesc!A60)</f>
        <v/>
      </c>
      <c r="B60" s="196" t="n"/>
      <c r="C60" s="196">
        <f>IF(A60="","",IF($I$5="","POSICAO DE REFERENCIA INDISPONIVEL",ROUND(IF(itens_Remanesc!B60="",0,itens_Remanesc!B60)+SUMIFS(aditivos!$L$2:$L$200,aditivos!$A$2:$A$200,A60,aditivos!$B$2:$B$200,"&lt;="&amp;$I$5),2)))</f>
        <v/>
      </c>
      <c r="D60" s="196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>
        <f>IF(A60="","",IF($I$4="","POSICAO DE REFERENCIA INDISPONIVEL",IF($I$2,"ATUAL INFORMADA",IF(ISNUMBER(B60),"ATUAL IGNORADA (POSICAO INCOMPLETA) - FOTOGRAFIA "&amp;$I$4,"FOTOGRAFIA "&amp;$I$4))))</f>
        <v/>
      </c>
      <c r="F60" s="86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>
        <f>IF(A60="","",itens_Remanesc!C60)</f>
        <v/>
      </c>
      <c r="L60" s="192">
        <f>IF(A60="","",IF($I$4="C0",posicao_contratual!G60,IF($I$4="C1",posicao_contratual!K60,IF($I$4="C2",posicao_contratual!O60,IF($I$4="C3",posicao_contratual!S60,IF($I$4="C4",posicao_contratual!W60,""))))))</f>
        <v/>
      </c>
      <c r="M60" s="192">
        <f>IF(OR(A60="",$I$5="",$I$6=""),"",ROUND(SUMIFS(aditivos!$L$2:$L$200,aditivos!$A$2:$A$200,A60,aditivos!$B$2:$B$200,"&gt;"&amp;$I$6,aditivos!$B$2:$B$200,"&lt;="&amp;$I$5),2))</f>
        <v/>
      </c>
      <c r="N60" s="192">
        <f>IF(OR(A60="",L60="",D60=""),"",ROUND(MAX(L60+IF(ISNUMBER(M60),M60,0)-D60,0),2))</f>
        <v/>
      </c>
      <c r="O60" s="192">
        <f>IF(OR(A60="",D60="",K60="",$I$7=""),"",ROUND(D60*K60*$I$7,2))</f>
        <v/>
      </c>
      <c r="P60" s="192">
        <f>IF(OR(A60="",N60="",K60="",$I$7=""),"",ROUND(N60*K60*$I$7,2))</f>
        <v/>
      </c>
      <c r="Q60" s="192">
        <f>IF(OR(A60="",D60="",K60=""),"",ROUND(D60*K60,2))</f>
        <v/>
      </c>
      <c r="R60" s="192">
        <f>IF(OR(A60="",L60="",K60="",$I$7=""),"",ROUND(L60*K60*$I$7,2))</f>
        <v/>
      </c>
    </row>
    <row r="61">
      <c r="A61" s="86">
        <f>IF(itens_Remanesc!A61="","",itens_Remanesc!A61)</f>
        <v/>
      </c>
      <c r="B61" s="196" t="n"/>
      <c r="C61" s="196">
        <f>IF(A61="","",IF($I$5="","POSICAO DE REFERENCIA INDISPONIVEL",ROUND(IF(itens_Remanesc!B61="",0,itens_Remanesc!B61)+SUMIFS(aditivos!$L$2:$L$200,aditivos!$A$2:$A$200,A61,aditivos!$B$2:$B$200,"&lt;="&amp;$I$5),2)))</f>
        <v/>
      </c>
      <c r="D61" s="196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>
        <f>IF(A61="","",IF($I$4="","POSICAO DE REFERENCIA INDISPONIVEL",IF($I$2,"ATUAL INFORMADA",IF(ISNUMBER(B61),"ATUAL IGNORADA (POSICAO INCOMPLETA) - FOTOGRAFIA "&amp;$I$4,"FOTOGRAFIA "&amp;$I$4))))</f>
        <v/>
      </c>
      <c r="F61" s="86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>
        <f>IF(A61="","",itens_Remanesc!C61)</f>
        <v/>
      </c>
      <c r="L61" s="192">
        <f>IF(A61="","",IF($I$4="C0",posicao_contratual!G61,IF($I$4="C1",posicao_contratual!K61,IF($I$4="C2",posicao_contratual!O61,IF($I$4="C3",posicao_contratual!S61,IF($I$4="C4",posicao_contratual!W61,""))))))</f>
        <v/>
      </c>
      <c r="M61" s="192">
        <f>IF(OR(A61="",$I$5="",$I$6=""),"",ROUND(SUMIFS(aditivos!$L$2:$L$200,aditivos!$A$2:$A$200,A61,aditivos!$B$2:$B$200,"&gt;"&amp;$I$6,aditivos!$B$2:$B$200,"&lt;="&amp;$I$5),2))</f>
        <v/>
      </c>
      <c r="N61" s="192">
        <f>IF(OR(A61="",L61="",D61=""),"",ROUND(MAX(L61+IF(ISNUMBER(M61),M61,0)-D61,0),2))</f>
        <v/>
      </c>
      <c r="O61" s="192">
        <f>IF(OR(A61="",D61="",K61="",$I$7=""),"",ROUND(D61*K61*$I$7,2))</f>
        <v/>
      </c>
      <c r="P61" s="192">
        <f>IF(OR(A61="",N61="",K61="",$I$7=""),"",ROUND(N61*K61*$I$7,2))</f>
        <v/>
      </c>
      <c r="Q61" s="192">
        <f>IF(OR(A61="",D61="",K61=""),"",ROUND(D61*K61,2))</f>
        <v/>
      </c>
      <c r="R61" s="192">
        <f>IF(OR(A61="",L61="",K61="",$I$7=""),"",ROUND(L61*K61*$I$7,2))</f>
        <v/>
      </c>
    </row>
    <row r="62">
      <c r="A62" s="86">
        <f>IF(itens_Remanesc!A62="","",itens_Remanesc!A62)</f>
        <v/>
      </c>
      <c r="B62" s="196" t="n"/>
      <c r="C62" s="196">
        <f>IF(A62="","",IF($I$5="","POSICAO DE REFERENCIA INDISPONIVEL",ROUND(IF(itens_Remanesc!B62="",0,itens_Remanesc!B62)+SUMIFS(aditivos!$L$2:$L$200,aditivos!$A$2:$A$200,A62,aditivos!$B$2:$B$200,"&lt;="&amp;$I$5),2)))</f>
        <v/>
      </c>
      <c r="D62" s="196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>
        <f>IF(A62="","",IF($I$4="","POSICAO DE REFERENCIA INDISPONIVEL",IF($I$2,"ATUAL INFORMADA",IF(ISNUMBER(B62),"ATUAL IGNORADA (POSICAO INCOMPLETA) - FOTOGRAFIA "&amp;$I$4,"FOTOGRAFIA "&amp;$I$4))))</f>
        <v/>
      </c>
      <c r="F62" s="86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>
        <f>IF(A62="","",itens_Remanesc!C62)</f>
        <v/>
      </c>
      <c r="L62" s="192">
        <f>IF(A62="","",IF($I$4="C0",posicao_contratual!G62,IF($I$4="C1",posicao_contratual!K62,IF($I$4="C2",posicao_contratual!O62,IF($I$4="C3",posicao_contratual!S62,IF($I$4="C4",posicao_contratual!W62,""))))))</f>
        <v/>
      </c>
      <c r="M62" s="192">
        <f>IF(OR(A62="",$I$5="",$I$6=""),"",ROUND(SUMIFS(aditivos!$L$2:$L$200,aditivos!$A$2:$A$200,A62,aditivos!$B$2:$B$200,"&gt;"&amp;$I$6,aditivos!$B$2:$B$200,"&lt;="&amp;$I$5),2))</f>
        <v/>
      </c>
      <c r="N62" s="192">
        <f>IF(OR(A62="",L62="",D62=""),"",ROUND(MAX(L62+IF(ISNUMBER(M62),M62,0)-D62,0),2))</f>
        <v/>
      </c>
      <c r="O62" s="192">
        <f>IF(OR(A62="",D62="",K62="",$I$7=""),"",ROUND(D62*K62*$I$7,2))</f>
        <v/>
      </c>
      <c r="P62" s="192">
        <f>IF(OR(A62="",N62="",K62="",$I$7=""),"",ROUND(N62*K62*$I$7,2))</f>
        <v/>
      </c>
      <c r="Q62" s="192">
        <f>IF(OR(A62="",D62="",K62=""),"",ROUND(D62*K62,2))</f>
        <v/>
      </c>
      <c r="R62" s="192">
        <f>IF(OR(A62="",L62="",K62="",$I$7=""),"",ROUND(L62*K62*$I$7,2))</f>
        <v/>
      </c>
    </row>
    <row r="63">
      <c r="A63" s="86">
        <f>IF(itens_Remanesc!A63="","",itens_Remanesc!A63)</f>
        <v/>
      </c>
      <c r="B63" s="196" t="n"/>
      <c r="C63" s="196">
        <f>IF(A63="","",IF($I$5="","POSICAO DE REFERENCIA INDISPONIVEL",ROUND(IF(itens_Remanesc!B63="",0,itens_Remanesc!B63)+SUMIFS(aditivos!$L$2:$L$200,aditivos!$A$2:$A$200,A63,aditivos!$B$2:$B$200,"&lt;="&amp;$I$5),2)))</f>
        <v/>
      </c>
      <c r="D63" s="196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>
        <f>IF(A63="","",IF($I$4="","POSICAO DE REFERENCIA INDISPONIVEL",IF($I$2,"ATUAL INFORMADA",IF(ISNUMBER(B63),"ATUAL IGNORADA (POSICAO INCOMPLETA) - FOTOGRAFIA "&amp;$I$4,"FOTOGRAFIA "&amp;$I$4))))</f>
        <v/>
      </c>
      <c r="F63" s="86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>
        <f>IF(A63="","",itens_Remanesc!C63)</f>
        <v/>
      </c>
      <c r="L63" s="192">
        <f>IF(A63="","",IF($I$4="C0",posicao_contratual!G63,IF($I$4="C1",posicao_contratual!K63,IF($I$4="C2",posicao_contratual!O63,IF($I$4="C3",posicao_contratual!S63,IF($I$4="C4",posicao_contratual!W63,""))))))</f>
        <v/>
      </c>
      <c r="M63" s="192">
        <f>IF(OR(A63="",$I$5="",$I$6=""),"",ROUND(SUMIFS(aditivos!$L$2:$L$200,aditivos!$A$2:$A$200,A63,aditivos!$B$2:$B$200,"&gt;"&amp;$I$6,aditivos!$B$2:$B$200,"&lt;="&amp;$I$5),2))</f>
        <v/>
      </c>
      <c r="N63" s="192">
        <f>IF(OR(A63="",L63="",D63=""),"",ROUND(MAX(L63+IF(ISNUMBER(M63),M63,0)-D63,0),2))</f>
        <v/>
      </c>
      <c r="O63" s="192">
        <f>IF(OR(A63="",D63="",K63="",$I$7=""),"",ROUND(D63*K63*$I$7,2))</f>
        <v/>
      </c>
      <c r="P63" s="192">
        <f>IF(OR(A63="",N63="",K63="",$I$7=""),"",ROUND(N63*K63*$I$7,2))</f>
        <v/>
      </c>
      <c r="Q63" s="192">
        <f>IF(OR(A63="",D63="",K63=""),"",ROUND(D63*K63,2))</f>
        <v/>
      </c>
      <c r="R63" s="192">
        <f>IF(OR(A63="",L63="",K63="",$I$7=""),"",ROUND(L63*K63*$I$7,2))</f>
        <v/>
      </c>
    </row>
    <row r="64">
      <c r="A64" s="86">
        <f>IF(itens_Remanesc!A64="","",itens_Remanesc!A64)</f>
        <v/>
      </c>
      <c r="B64" s="196" t="n"/>
      <c r="C64" s="196">
        <f>IF(A64="","",IF($I$5="","POSICAO DE REFERENCIA INDISPONIVEL",ROUND(IF(itens_Remanesc!B64="",0,itens_Remanesc!B64)+SUMIFS(aditivos!$L$2:$L$200,aditivos!$A$2:$A$200,A64,aditivos!$B$2:$B$200,"&lt;="&amp;$I$5),2)))</f>
        <v/>
      </c>
      <c r="D64" s="196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>
        <f>IF(A64="","",IF($I$4="","POSICAO DE REFERENCIA INDISPONIVEL",IF($I$2,"ATUAL INFORMADA",IF(ISNUMBER(B64),"ATUAL IGNORADA (POSICAO INCOMPLETA) - FOTOGRAFIA "&amp;$I$4,"FOTOGRAFIA "&amp;$I$4))))</f>
        <v/>
      </c>
      <c r="F64" s="86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>
        <f>IF(A64="","",itens_Remanesc!C64)</f>
        <v/>
      </c>
      <c r="L64" s="192">
        <f>IF(A64="","",IF($I$4="C0",posicao_contratual!G64,IF($I$4="C1",posicao_contratual!K64,IF($I$4="C2",posicao_contratual!O64,IF($I$4="C3",posicao_contratual!S64,IF($I$4="C4",posicao_contratual!W64,""))))))</f>
        <v/>
      </c>
      <c r="M64" s="192">
        <f>IF(OR(A64="",$I$5="",$I$6=""),"",ROUND(SUMIFS(aditivos!$L$2:$L$200,aditivos!$A$2:$A$200,A64,aditivos!$B$2:$B$200,"&gt;"&amp;$I$6,aditivos!$B$2:$B$200,"&lt;="&amp;$I$5),2))</f>
        <v/>
      </c>
      <c r="N64" s="192">
        <f>IF(OR(A64="",L64="",D64=""),"",ROUND(MAX(L64+IF(ISNUMBER(M64),M64,0)-D64,0),2))</f>
        <v/>
      </c>
      <c r="O64" s="192">
        <f>IF(OR(A64="",D64="",K64="",$I$7=""),"",ROUND(D64*K64*$I$7,2))</f>
        <v/>
      </c>
      <c r="P64" s="192">
        <f>IF(OR(A64="",N64="",K64="",$I$7=""),"",ROUND(N64*K64*$I$7,2))</f>
        <v/>
      </c>
      <c r="Q64" s="192">
        <f>IF(OR(A64="",D64="",K64=""),"",ROUND(D64*K64,2))</f>
        <v/>
      </c>
      <c r="R64" s="192">
        <f>IF(OR(A64="",L64="",K64="",$I$7=""),"",ROUND(L64*K64*$I$7,2))</f>
        <v/>
      </c>
    </row>
    <row r="65">
      <c r="A65" s="86">
        <f>IF(itens_Remanesc!A65="","",itens_Remanesc!A65)</f>
        <v/>
      </c>
      <c r="B65" s="196" t="n"/>
      <c r="C65" s="196">
        <f>IF(A65="","",IF($I$5="","POSICAO DE REFERENCIA INDISPONIVEL",ROUND(IF(itens_Remanesc!B65="",0,itens_Remanesc!B65)+SUMIFS(aditivos!$L$2:$L$200,aditivos!$A$2:$A$200,A65,aditivos!$B$2:$B$200,"&lt;="&amp;$I$5),2)))</f>
        <v/>
      </c>
      <c r="D65" s="196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>
        <f>IF(A65="","",IF($I$4="","POSICAO DE REFERENCIA INDISPONIVEL",IF($I$2,"ATUAL INFORMADA",IF(ISNUMBER(B65),"ATUAL IGNORADA (POSICAO INCOMPLETA) - FOTOGRAFIA "&amp;$I$4,"FOTOGRAFIA "&amp;$I$4))))</f>
        <v/>
      </c>
      <c r="F65" s="86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>
        <f>IF(A65="","",itens_Remanesc!C65)</f>
        <v/>
      </c>
      <c r="L65" s="192">
        <f>IF(A65="","",IF($I$4="C0",posicao_contratual!G65,IF($I$4="C1",posicao_contratual!K65,IF($I$4="C2",posicao_contratual!O65,IF($I$4="C3",posicao_contratual!S65,IF($I$4="C4",posicao_contratual!W65,""))))))</f>
        <v/>
      </c>
      <c r="M65" s="192">
        <f>IF(OR(A65="",$I$5="",$I$6=""),"",ROUND(SUMIFS(aditivos!$L$2:$L$200,aditivos!$A$2:$A$200,A65,aditivos!$B$2:$B$200,"&gt;"&amp;$I$6,aditivos!$B$2:$B$200,"&lt;="&amp;$I$5),2))</f>
        <v/>
      </c>
      <c r="N65" s="192">
        <f>IF(OR(A65="",L65="",D65=""),"",ROUND(MAX(L65+IF(ISNUMBER(M65),M65,0)-D65,0),2))</f>
        <v/>
      </c>
      <c r="O65" s="192">
        <f>IF(OR(A65="",D65="",K65="",$I$7=""),"",ROUND(D65*K65*$I$7,2))</f>
        <v/>
      </c>
      <c r="P65" s="192">
        <f>IF(OR(A65="",N65="",K65="",$I$7=""),"",ROUND(N65*K65*$I$7,2))</f>
        <v/>
      </c>
      <c r="Q65" s="192">
        <f>IF(OR(A65="",D65="",K65=""),"",ROUND(D65*K65,2))</f>
        <v/>
      </c>
      <c r="R65" s="192">
        <f>IF(OR(A65="",L65="",K65="",$I$7=""),"",ROUND(L65*K65*$I$7,2))</f>
        <v/>
      </c>
    </row>
    <row r="66">
      <c r="A66" s="86">
        <f>IF(itens_Remanesc!A66="","",itens_Remanesc!A66)</f>
        <v/>
      </c>
      <c r="B66" s="196" t="n"/>
      <c r="C66" s="196">
        <f>IF(A66="","",IF($I$5="","POSICAO DE REFERENCIA INDISPONIVEL",ROUND(IF(itens_Remanesc!B66="",0,itens_Remanesc!B66)+SUMIFS(aditivos!$L$2:$L$200,aditivos!$A$2:$A$200,A66,aditivos!$B$2:$B$200,"&lt;="&amp;$I$5),2)))</f>
        <v/>
      </c>
      <c r="D66" s="196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>
        <f>IF(A66="","",IF($I$4="","POSICAO DE REFERENCIA INDISPONIVEL",IF($I$2,"ATUAL INFORMADA",IF(ISNUMBER(B66),"ATUAL IGNORADA (POSICAO INCOMPLETA) - FOTOGRAFIA "&amp;$I$4,"FOTOGRAFIA "&amp;$I$4))))</f>
        <v/>
      </c>
      <c r="F66" s="86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>
        <f>IF(A66="","",itens_Remanesc!C66)</f>
        <v/>
      </c>
      <c r="L66" s="192">
        <f>IF(A66="","",IF($I$4="C0",posicao_contratual!G66,IF($I$4="C1",posicao_contratual!K66,IF($I$4="C2",posicao_contratual!O66,IF($I$4="C3",posicao_contratual!S66,IF($I$4="C4",posicao_contratual!W66,""))))))</f>
        <v/>
      </c>
      <c r="M66" s="192">
        <f>IF(OR(A66="",$I$5="",$I$6=""),"",ROUND(SUMIFS(aditivos!$L$2:$L$200,aditivos!$A$2:$A$200,A66,aditivos!$B$2:$B$200,"&gt;"&amp;$I$6,aditivos!$B$2:$B$200,"&lt;="&amp;$I$5),2))</f>
        <v/>
      </c>
      <c r="N66" s="192">
        <f>IF(OR(A66="",L66="",D66=""),"",ROUND(MAX(L66+IF(ISNUMBER(M66),M66,0)-D66,0),2))</f>
        <v/>
      </c>
      <c r="O66" s="192">
        <f>IF(OR(A66="",D66="",K66="",$I$7=""),"",ROUND(D66*K66*$I$7,2))</f>
        <v/>
      </c>
      <c r="P66" s="192">
        <f>IF(OR(A66="",N66="",K66="",$I$7=""),"",ROUND(N66*K66*$I$7,2))</f>
        <v/>
      </c>
      <c r="Q66" s="192">
        <f>IF(OR(A66="",D66="",K66=""),"",ROUND(D66*K66,2))</f>
        <v/>
      </c>
      <c r="R66" s="192">
        <f>IF(OR(A66="",L66="",K66="",$I$7=""),"",ROUND(L66*K66*$I$7,2))</f>
        <v/>
      </c>
    </row>
    <row r="67">
      <c r="A67" s="86">
        <f>IF(itens_Remanesc!A67="","",itens_Remanesc!A67)</f>
        <v/>
      </c>
      <c r="B67" s="196" t="n"/>
      <c r="C67" s="196">
        <f>IF(A67="","",IF($I$5="","POSICAO DE REFERENCIA INDISPONIVEL",ROUND(IF(itens_Remanesc!B67="",0,itens_Remanesc!B67)+SUMIFS(aditivos!$L$2:$L$200,aditivos!$A$2:$A$200,A67,aditivos!$B$2:$B$200,"&lt;="&amp;$I$5),2)))</f>
        <v/>
      </c>
      <c r="D67" s="196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>
        <f>IF(A67="","",IF($I$4="","POSICAO DE REFERENCIA INDISPONIVEL",IF($I$2,"ATUAL INFORMADA",IF(ISNUMBER(B67),"ATUAL IGNORADA (POSICAO INCOMPLETA) - FOTOGRAFIA "&amp;$I$4,"FOTOGRAFIA "&amp;$I$4))))</f>
        <v/>
      </c>
      <c r="F67" s="86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>
        <f>IF(A67="","",itens_Remanesc!C67)</f>
        <v/>
      </c>
      <c r="L67" s="192">
        <f>IF(A67="","",IF($I$4="C0",posicao_contratual!G67,IF($I$4="C1",posicao_contratual!K67,IF($I$4="C2",posicao_contratual!O67,IF($I$4="C3",posicao_contratual!S67,IF($I$4="C4",posicao_contratual!W67,""))))))</f>
        <v/>
      </c>
      <c r="M67" s="192">
        <f>IF(OR(A67="",$I$5="",$I$6=""),"",ROUND(SUMIFS(aditivos!$L$2:$L$200,aditivos!$A$2:$A$200,A67,aditivos!$B$2:$B$200,"&gt;"&amp;$I$6,aditivos!$B$2:$B$200,"&lt;="&amp;$I$5),2))</f>
        <v/>
      </c>
      <c r="N67" s="192">
        <f>IF(OR(A67="",L67="",D67=""),"",ROUND(MAX(L67+IF(ISNUMBER(M67),M67,0)-D67,0),2))</f>
        <v/>
      </c>
      <c r="O67" s="192">
        <f>IF(OR(A67="",D67="",K67="",$I$7=""),"",ROUND(D67*K67*$I$7,2))</f>
        <v/>
      </c>
      <c r="P67" s="192">
        <f>IF(OR(A67="",N67="",K67="",$I$7=""),"",ROUND(N67*K67*$I$7,2))</f>
        <v/>
      </c>
      <c r="Q67" s="192">
        <f>IF(OR(A67="",D67="",K67=""),"",ROUND(D67*K67,2))</f>
        <v/>
      </c>
      <c r="R67" s="192">
        <f>IF(OR(A67="",L67="",K67="",$I$7=""),"",ROUND(L67*K67*$I$7,2))</f>
        <v/>
      </c>
    </row>
    <row r="68">
      <c r="A68" s="86">
        <f>IF(itens_Remanesc!A68="","",itens_Remanesc!A68)</f>
        <v/>
      </c>
      <c r="B68" s="196" t="n"/>
      <c r="C68" s="196">
        <f>IF(A68="","",IF($I$5="","POSICAO DE REFERENCIA INDISPONIVEL",ROUND(IF(itens_Remanesc!B68="",0,itens_Remanesc!B68)+SUMIFS(aditivos!$L$2:$L$200,aditivos!$A$2:$A$200,A68,aditivos!$B$2:$B$200,"&lt;="&amp;$I$5),2)))</f>
        <v/>
      </c>
      <c r="D68" s="196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>
        <f>IF(A68="","",IF($I$4="","POSICAO DE REFERENCIA INDISPONIVEL",IF($I$2,"ATUAL INFORMADA",IF(ISNUMBER(B68),"ATUAL IGNORADA (POSICAO INCOMPLETA) - FOTOGRAFIA "&amp;$I$4,"FOTOGRAFIA "&amp;$I$4))))</f>
        <v/>
      </c>
      <c r="F68" s="86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>
        <f>IF(A68="","",itens_Remanesc!C68)</f>
        <v/>
      </c>
      <c r="L68" s="192">
        <f>IF(A68="","",IF($I$4="C0",posicao_contratual!G68,IF($I$4="C1",posicao_contratual!K68,IF($I$4="C2",posicao_contratual!O68,IF($I$4="C3",posicao_contratual!S68,IF($I$4="C4",posicao_contratual!W68,""))))))</f>
        <v/>
      </c>
      <c r="M68" s="192">
        <f>IF(OR(A68="",$I$5="",$I$6=""),"",ROUND(SUMIFS(aditivos!$L$2:$L$200,aditivos!$A$2:$A$200,A68,aditivos!$B$2:$B$200,"&gt;"&amp;$I$6,aditivos!$B$2:$B$200,"&lt;="&amp;$I$5),2))</f>
        <v/>
      </c>
      <c r="N68" s="192">
        <f>IF(OR(A68="",L68="",D68=""),"",ROUND(MAX(L68+IF(ISNUMBER(M68),M68,0)-D68,0),2))</f>
        <v/>
      </c>
      <c r="O68" s="192">
        <f>IF(OR(A68="",D68="",K68="",$I$7=""),"",ROUND(D68*K68*$I$7,2))</f>
        <v/>
      </c>
      <c r="P68" s="192">
        <f>IF(OR(A68="",N68="",K68="",$I$7=""),"",ROUND(N68*K68*$I$7,2))</f>
        <v/>
      </c>
      <c r="Q68" s="192">
        <f>IF(OR(A68="",D68="",K68=""),"",ROUND(D68*K68,2))</f>
        <v/>
      </c>
      <c r="R68" s="192">
        <f>IF(OR(A68="",L68="",K68="",$I$7=""),"",ROUND(L68*K68*$I$7,2))</f>
        <v/>
      </c>
    </row>
    <row r="69">
      <c r="A69" s="86">
        <f>IF(itens_Remanesc!A69="","",itens_Remanesc!A69)</f>
        <v/>
      </c>
      <c r="B69" s="196" t="n"/>
      <c r="C69" s="196">
        <f>IF(A69="","",IF($I$5="","POSICAO DE REFERENCIA INDISPONIVEL",ROUND(IF(itens_Remanesc!B69="",0,itens_Remanesc!B69)+SUMIFS(aditivos!$L$2:$L$200,aditivos!$A$2:$A$200,A69,aditivos!$B$2:$B$200,"&lt;="&amp;$I$5),2)))</f>
        <v/>
      </c>
      <c r="D69" s="196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>
        <f>IF(A69="","",IF($I$4="","POSICAO DE REFERENCIA INDISPONIVEL",IF($I$2,"ATUAL INFORMADA",IF(ISNUMBER(B69),"ATUAL IGNORADA (POSICAO INCOMPLETA) - FOTOGRAFIA "&amp;$I$4,"FOTOGRAFIA "&amp;$I$4))))</f>
        <v/>
      </c>
      <c r="F69" s="86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>
        <f>IF(A69="","",itens_Remanesc!C69)</f>
        <v/>
      </c>
      <c r="L69" s="192">
        <f>IF(A69="","",IF($I$4="C0",posicao_contratual!G69,IF($I$4="C1",posicao_contratual!K69,IF($I$4="C2",posicao_contratual!O69,IF($I$4="C3",posicao_contratual!S69,IF($I$4="C4",posicao_contratual!W69,""))))))</f>
        <v/>
      </c>
      <c r="M69" s="192">
        <f>IF(OR(A69="",$I$5="",$I$6=""),"",ROUND(SUMIFS(aditivos!$L$2:$L$200,aditivos!$A$2:$A$200,A69,aditivos!$B$2:$B$200,"&gt;"&amp;$I$6,aditivos!$B$2:$B$200,"&lt;="&amp;$I$5),2))</f>
        <v/>
      </c>
      <c r="N69" s="192">
        <f>IF(OR(A69="",L69="",D69=""),"",ROUND(MAX(L69+IF(ISNUMBER(M69),M69,0)-D69,0),2))</f>
        <v/>
      </c>
      <c r="O69" s="192">
        <f>IF(OR(A69="",D69="",K69="",$I$7=""),"",ROUND(D69*K69*$I$7,2))</f>
        <v/>
      </c>
      <c r="P69" s="192">
        <f>IF(OR(A69="",N69="",K69="",$I$7=""),"",ROUND(N69*K69*$I$7,2))</f>
        <v/>
      </c>
      <c r="Q69" s="192">
        <f>IF(OR(A69="",D69="",K69=""),"",ROUND(D69*K69,2))</f>
        <v/>
      </c>
      <c r="R69" s="192">
        <f>IF(OR(A69="",L69="",K69="",$I$7=""),"",ROUND(L69*K69*$I$7,2))</f>
        <v/>
      </c>
    </row>
    <row r="70">
      <c r="A70" s="86">
        <f>IF(itens_Remanesc!A70="","",itens_Remanesc!A70)</f>
        <v/>
      </c>
      <c r="B70" s="196" t="n"/>
      <c r="C70" s="196">
        <f>IF(A70="","",IF($I$5="","POSICAO DE REFERENCIA INDISPONIVEL",ROUND(IF(itens_Remanesc!B70="",0,itens_Remanesc!B70)+SUMIFS(aditivos!$L$2:$L$200,aditivos!$A$2:$A$200,A70,aditivos!$B$2:$B$200,"&lt;="&amp;$I$5),2)))</f>
        <v/>
      </c>
      <c r="D70" s="196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>
        <f>IF(A70="","",IF($I$4="","POSICAO DE REFERENCIA INDISPONIVEL",IF($I$2,"ATUAL INFORMADA",IF(ISNUMBER(B70),"ATUAL IGNORADA (POSICAO INCOMPLETA) - FOTOGRAFIA "&amp;$I$4,"FOTOGRAFIA "&amp;$I$4))))</f>
        <v/>
      </c>
      <c r="F70" s="86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>
        <f>IF(A70="","",itens_Remanesc!C70)</f>
        <v/>
      </c>
      <c r="L70" s="192">
        <f>IF(A70="","",IF($I$4="C0",posicao_contratual!G70,IF($I$4="C1",posicao_contratual!K70,IF($I$4="C2",posicao_contratual!O70,IF($I$4="C3",posicao_contratual!S70,IF($I$4="C4",posicao_contratual!W70,""))))))</f>
        <v/>
      </c>
      <c r="M70" s="192">
        <f>IF(OR(A70="",$I$5="",$I$6=""),"",ROUND(SUMIFS(aditivos!$L$2:$L$200,aditivos!$A$2:$A$200,A70,aditivos!$B$2:$B$200,"&gt;"&amp;$I$6,aditivos!$B$2:$B$200,"&lt;="&amp;$I$5),2))</f>
        <v/>
      </c>
      <c r="N70" s="192">
        <f>IF(OR(A70="",L70="",D70=""),"",ROUND(MAX(L70+IF(ISNUMBER(M70),M70,0)-D70,0),2))</f>
        <v/>
      </c>
      <c r="O70" s="192">
        <f>IF(OR(A70="",D70="",K70="",$I$7=""),"",ROUND(D70*K70*$I$7,2))</f>
        <v/>
      </c>
      <c r="P70" s="192">
        <f>IF(OR(A70="",N70="",K70="",$I$7=""),"",ROUND(N70*K70*$I$7,2))</f>
        <v/>
      </c>
      <c r="Q70" s="192">
        <f>IF(OR(A70="",D70="",K70=""),"",ROUND(D70*K70,2))</f>
        <v/>
      </c>
      <c r="R70" s="192">
        <f>IF(OR(A70="",L70="",K70="",$I$7=""),"",ROUND(L70*K70*$I$7,2))</f>
        <v/>
      </c>
    </row>
    <row r="71">
      <c r="A71" s="86">
        <f>IF(itens_Remanesc!A71="","",itens_Remanesc!A71)</f>
        <v/>
      </c>
      <c r="B71" s="196" t="n"/>
      <c r="C71" s="196">
        <f>IF(A71="","",IF($I$5="","POSICAO DE REFERENCIA INDISPONIVEL",ROUND(IF(itens_Remanesc!B71="",0,itens_Remanesc!B71)+SUMIFS(aditivos!$L$2:$L$200,aditivos!$A$2:$A$200,A71,aditivos!$B$2:$B$200,"&lt;="&amp;$I$5),2)))</f>
        <v/>
      </c>
      <c r="D71" s="196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>
        <f>IF(A71="","",IF($I$4="","POSICAO DE REFERENCIA INDISPONIVEL",IF($I$2,"ATUAL INFORMADA",IF(ISNUMBER(B71),"ATUAL IGNORADA (POSICAO INCOMPLETA) - FOTOGRAFIA "&amp;$I$4,"FOTOGRAFIA "&amp;$I$4))))</f>
        <v/>
      </c>
      <c r="F71" s="86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>
        <f>IF(A71="","",itens_Remanesc!C71)</f>
        <v/>
      </c>
      <c r="L71" s="192">
        <f>IF(A71="","",IF($I$4="C0",posicao_contratual!G71,IF($I$4="C1",posicao_contratual!K71,IF($I$4="C2",posicao_contratual!O71,IF($I$4="C3",posicao_contratual!S71,IF($I$4="C4",posicao_contratual!W71,""))))))</f>
        <v/>
      </c>
      <c r="M71" s="192">
        <f>IF(OR(A71="",$I$5="",$I$6=""),"",ROUND(SUMIFS(aditivos!$L$2:$L$200,aditivos!$A$2:$A$200,A71,aditivos!$B$2:$B$200,"&gt;"&amp;$I$6,aditivos!$B$2:$B$200,"&lt;="&amp;$I$5),2))</f>
        <v/>
      </c>
      <c r="N71" s="192">
        <f>IF(OR(A71="",L71="",D71=""),"",ROUND(MAX(L71+IF(ISNUMBER(M71),M71,0)-D71,0),2))</f>
        <v/>
      </c>
      <c r="O71" s="192">
        <f>IF(OR(A71="",D71="",K71="",$I$7=""),"",ROUND(D71*K71*$I$7,2))</f>
        <v/>
      </c>
      <c r="P71" s="192">
        <f>IF(OR(A71="",N71="",K71="",$I$7=""),"",ROUND(N71*K71*$I$7,2))</f>
        <v/>
      </c>
      <c r="Q71" s="192">
        <f>IF(OR(A71="",D71="",K71=""),"",ROUND(D71*K71,2))</f>
        <v/>
      </c>
      <c r="R71" s="192">
        <f>IF(OR(A71="",L71="",K71="",$I$7=""),"",ROUND(L71*K71*$I$7,2))</f>
        <v/>
      </c>
    </row>
    <row r="72">
      <c r="A72" s="86">
        <f>IF(itens_Remanesc!A72="","",itens_Remanesc!A72)</f>
        <v/>
      </c>
      <c r="B72" s="196" t="n"/>
      <c r="C72" s="196">
        <f>IF(A72="","",IF($I$5="","POSICAO DE REFERENCIA INDISPONIVEL",ROUND(IF(itens_Remanesc!B72="",0,itens_Remanesc!B72)+SUMIFS(aditivos!$L$2:$L$200,aditivos!$A$2:$A$200,A72,aditivos!$B$2:$B$200,"&lt;="&amp;$I$5),2)))</f>
        <v/>
      </c>
      <c r="D72" s="196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>
        <f>IF(A72="","",IF($I$4="","POSICAO DE REFERENCIA INDISPONIVEL",IF($I$2,"ATUAL INFORMADA",IF(ISNUMBER(B72),"ATUAL IGNORADA (POSICAO INCOMPLETA) - FOTOGRAFIA "&amp;$I$4,"FOTOGRAFIA "&amp;$I$4))))</f>
        <v/>
      </c>
      <c r="F72" s="86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>
        <f>IF(A72="","",itens_Remanesc!C72)</f>
        <v/>
      </c>
      <c r="L72" s="192">
        <f>IF(A72="","",IF($I$4="C0",posicao_contratual!G72,IF($I$4="C1",posicao_contratual!K72,IF($I$4="C2",posicao_contratual!O72,IF($I$4="C3",posicao_contratual!S72,IF($I$4="C4",posicao_contratual!W72,""))))))</f>
        <v/>
      </c>
      <c r="M72" s="192">
        <f>IF(OR(A72="",$I$5="",$I$6=""),"",ROUND(SUMIFS(aditivos!$L$2:$L$200,aditivos!$A$2:$A$200,A72,aditivos!$B$2:$B$200,"&gt;"&amp;$I$6,aditivos!$B$2:$B$200,"&lt;="&amp;$I$5),2))</f>
        <v/>
      </c>
      <c r="N72" s="192">
        <f>IF(OR(A72="",L72="",D72=""),"",ROUND(MAX(L72+IF(ISNUMBER(M72),M72,0)-D72,0),2))</f>
        <v/>
      </c>
      <c r="O72" s="192">
        <f>IF(OR(A72="",D72="",K72="",$I$7=""),"",ROUND(D72*K72*$I$7,2))</f>
        <v/>
      </c>
      <c r="P72" s="192">
        <f>IF(OR(A72="",N72="",K72="",$I$7=""),"",ROUND(N72*K72*$I$7,2))</f>
        <v/>
      </c>
      <c r="Q72" s="192">
        <f>IF(OR(A72="",D72="",K72=""),"",ROUND(D72*K72,2))</f>
        <v/>
      </c>
      <c r="R72" s="192">
        <f>IF(OR(A72="",L72="",K72="",$I$7=""),"",ROUND(L72*K72*$I$7,2))</f>
        <v/>
      </c>
    </row>
    <row r="73">
      <c r="A73" s="86">
        <f>IF(itens_Remanesc!A73="","",itens_Remanesc!A73)</f>
        <v/>
      </c>
      <c r="B73" s="196" t="n"/>
      <c r="C73" s="196">
        <f>IF(A73="","",IF($I$5="","POSICAO DE REFERENCIA INDISPONIVEL",ROUND(IF(itens_Remanesc!B73="",0,itens_Remanesc!B73)+SUMIFS(aditivos!$L$2:$L$200,aditivos!$A$2:$A$200,A73,aditivos!$B$2:$B$200,"&lt;="&amp;$I$5),2)))</f>
        <v/>
      </c>
      <c r="D73" s="196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>
        <f>IF(A73="","",IF($I$4="","POSICAO DE REFERENCIA INDISPONIVEL",IF($I$2,"ATUAL INFORMADA",IF(ISNUMBER(B73),"ATUAL IGNORADA (POSICAO INCOMPLETA) - FOTOGRAFIA "&amp;$I$4,"FOTOGRAFIA "&amp;$I$4))))</f>
        <v/>
      </c>
      <c r="F73" s="86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>
        <f>IF(A73="","",itens_Remanesc!C73)</f>
        <v/>
      </c>
      <c r="L73" s="192">
        <f>IF(A73="","",IF($I$4="C0",posicao_contratual!G73,IF($I$4="C1",posicao_contratual!K73,IF($I$4="C2",posicao_contratual!O73,IF($I$4="C3",posicao_contratual!S73,IF($I$4="C4",posicao_contratual!W73,""))))))</f>
        <v/>
      </c>
      <c r="M73" s="192">
        <f>IF(OR(A73="",$I$5="",$I$6=""),"",ROUND(SUMIFS(aditivos!$L$2:$L$200,aditivos!$A$2:$A$200,A73,aditivos!$B$2:$B$200,"&gt;"&amp;$I$6,aditivos!$B$2:$B$200,"&lt;="&amp;$I$5),2))</f>
        <v/>
      </c>
      <c r="N73" s="192">
        <f>IF(OR(A73="",L73="",D73=""),"",ROUND(MAX(L73+IF(ISNUMBER(M73),M73,0)-D73,0),2))</f>
        <v/>
      </c>
      <c r="O73" s="192">
        <f>IF(OR(A73="",D73="",K73="",$I$7=""),"",ROUND(D73*K73*$I$7,2))</f>
        <v/>
      </c>
      <c r="P73" s="192">
        <f>IF(OR(A73="",N73="",K73="",$I$7=""),"",ROUND(N73*K73*$I$7,2))</f>
        <v/>
      </c>
      <c r="Q73" s="192">
        <f>IF(OR(A73="",D73="",K73=""),"",ROUND(D73*K73,2))</f>
        <v/>
      </c>
      <c r="R73" s="192">
        <f>IF(OR(A73="",L73="",K73="",$I$7=""),"",ROUND(L73*K73*$I$7,2))</f>
        <v/>
      </c>
    </row>
    <row r="74">
      <c r="A74" s="86">
        <f>IF(itens_Remanesc!A74="","",itens_Remanesc!A74)</f>
        <v/>
      </c>
      <c r="B74" s="196" t="n"/>
      <c r="C74" s="196">
        <f>IF(A74="","",IF($I$5="","POSICAO DE REFERENCIA INDISPONIVEL",ROUND(IF(itens_Remanesc!B74="",0,itens_Remanesc!B74)+SUMIFS(aditivos!$L$2:$L$200,aditivos!$A$2:$A$200,A74,aditivos!$B$2:$B$200,"&lt;="&amp;$I$5),2)))</f>
        <v/>
      </c>
      <c r="D74" s="196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>
        <f>IF(A74="","",IF($I$4="","POSICAO DE REFERENCIA INDISPONIVEL",IF($I$2,"ATUAL INFORMADA",IF(ISNUMBER(B74),"ATUAL IGNORADA (POSICAO INCOMPLETA) - FOTOGRAFIA "&amp;$I$4,"FOTOGRAFIA "&amp;$I$4))))</f>
        <v/>
      </c>
      <c r="F74" s="86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>
        <f>IF(A74="","",itens_Remanesc!C74)</f>
        <v/>
      </c>
      <c r="L74" s="192">
        <f>IF(A74="","",IF($I$4="C0",posicao_contratual!G74,IF($I$4="C1",posicao_contratual!K74,IF($I$4="C2",posicao_contratual!O74,IF($I$4="C3",posicao_contratual!S74,IF($I$4="C4",posicao_contratual!W74,""))))))</f>
        <v/>
      </c>
      <c r="M74" s="192">
        <f>IF(OR(A74="",$I$5="",$I$6=""),"",ROUND(SUMIFS(aditivos!$L$2:$L$200,aditivos!$A$2:$A$200,A74,aditivos!$B$2:$B$200,"&gt;"&amp;$I$6,aditivos!$B$2:$B$200,"&lt;="&amp;$I$5),2))</f>
        <v/>
      </c>
      <c r="N74" s="192">
        <f>IF(OR(A74="",L74="",D74=""),"",ROUND(MAX(L74+IF(ISNUMBER(M74),M74,0)-D74,0),2))</f>
        <v/>
      </c>
      <c r="O74" s="192">
        <f>IF(OR(A74="",D74="",K74="",$I$7=""),"",ROUND(D74*K74*$I$7,2))</f>
        <v/>
      </c>
      <c r="P74" s="192">
        <f>IF(OR(A74="",N74="",K74="",$I$7=""),"",ROUND(N74*K74*$I$7,2))</f>
        <v/>
      </c>
      <c r="Q74" s="192">
        <f>IF(OR(A74="",D74="",K74=""),"",ROUND(D74*K74,2))</f>
        <v/>
      </c>
      <c r="R74" s="192">
        <f>IF(OR(A74="",L74="",K74="",$I$7=""),"",ROUND(L74*K74*$I$7,2))</f>
        <v/>
      </c>
    </row>
    <row r="75">
      <c r="A75" s="86">
        <f>IF(itens_Remanesc!A75="","",itens_Remanesc!A75)</f>
        <v/>
      </c>
      <c r="B75" s="196" t="n"/>
      <c r="C75" s="196">
        <f>IF(A75="","",IF($I$5="","POSICAO DE REFERENCIA INDISPONIVEL",ROUND(IF(itens_Remanesc!B75="",0,itens_Remanesc!B75)+SUMIFS(aditivos!$L$2:$L$200,aditivos!$A$2:$A$200,A75,aditivos!$B$2:$B$200,"&lt;="&amp;$I$5),2)))</f>
        <v/>
      </c>
      <c r="D75" s="196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>
        <f>IF(A75="","",IF($I$4="","POSICAO DE REFERENCIA INDISPONIVEL",IF($I$2,"ATUAL INFORMADA",IF(ISNUMBER(B75),"ATUAL IGNORADA (POSICAO INCOMPLETA) - FOTOGRAFIA "&amp;$I$4,"FOTOGRAFIA "&amp;$I$4))))</f>
        <v/>
      </c>
      <c r="F75" s="86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>
        <f>IF(A75="","",itens_Remanesc!C75)</f>
        <v/>
      </c>
      <c r="L75" s="192">
        <f>IF(A75="","",IF($I$4="C0",posicao_contratual!G75,IF($I$4="C1",posicao_contratual!K75,IF($I$4="C2",posicao_contratual!O75,IF($I$4="C3",posicao_contratual!S75,IF($I$4="C4",posicao_contratual!W75,""))))))</f>
        <v/>
      </c>
      <c r="M75" s="192">
        <f>IF(OR(A75="",$I$5="",$I$6=""),"",ROUND(SUMIFS(aditivos!$L$2:$L$200,aditivos!$A$2:$A$200,A75,aditivos!$B$2:$B$200,"&gt;"&amp;$I$6,aditivos!$B$2:$B$200,"&lt;="&amp;$I$5),2))</f>
        <v/>
      </c>
      <c r="N75" s="192">
        <f>IF(OR(A75="",L75="",D75=""),"",ROUND(MAX(L75+IF(ISNUMBER(M75),M75,0)-D75,0),2))</f>
        <v/>
      </c>
      <c r="O75" s="192">
        <f>IF(OR(A75="",D75="",K75="",$I$7=""),"",ROUND(D75*K75*$I$7,2))</f>
        <v/>
      </c>
      <c r="P75" s="192">
        <f>IF(OR(A75="",N75="",K75="",$I$7=""),"",ROUND(N75*K75*$I$7,2))</f>
        <v/>
      </c>
      <c r="Q75" s="192">
        <f>IF(OR(A75="",D75="",K75=""),"",ROUND(D75*K75,2))</f>
        <v/>
      </c>
      <c r="R75" s="192">
        <f>IF(OR(A75="",L75="",K75="",$I$7=""),"",ROUND(L75*K75*$I$7,2))</f>
        <v/>
      </c>
    </row>
    <row r="76">
      <c r="A76" s="86">
        <f>IF(itens_Remanesc!A76="","",itens_Remanesc!A76)</f>
        <v/>
      </c>
      <c r="B76" s="196" t="n"/>
      <c r="C76" s="196">
        <f>IF(A76="","",IF($I$5="","POSICAO DE REFERENCIA INDISPONIVEL",ROUND(IF(itens_Remanesc!B76="",0,itens_Remanesc!B76)+SUMIFS(aditivos!$L$2:$L$200,aditivos!$A$2:$A$200,A76,aditivos!$B$2:$B$200,"&lt;="&amp;$I$5),2)))</f>
        <v/>
      </c>
      <c r="D76" s="196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>
        <f>IF(A76="","",IF($I$4="","POSICAO DE REFERENCIA INDISPONIVEL",IF($I$2,"ATUAL INFORMADA",IF(ISNUMBER(B76),"ATUAL IGNORADA (POSICAO INCOMPLETA) - FOTOGRAFIA "&amp;$I$4,"FOTOGRAFIA "&amp;$I$4))))</f>
        <v/>
      </c>
      <c r="F76" s="86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>
        <f>IF(A76="","",itens_Remanesc!C76)</f>
        <v/>
      </c>
      <c r="L76" s="192">
        <f>IF(A76="","",IF($I$4="C0",posicao_contratual!G76,IF($I$4="C1",posicao_contratual!K76,IF($I$4="C2",posicao_contratual!O76,IF($I$4="C3",posicao_contratual!S76,IF($I$4="C4",posicao_contratual!W76,""))))))</f>
        <v/>
      </c>
      <c r="M76" s="192">
        <f>IF(OR(A76="",$I$5="",$I$6=""),"",ROUND(SUMIFS(aditivos!$L$2:$L$200,aditivos!$A$2:$A$200,A76,aditivos!$B$2:$B$200,"&gt;"&amp;$I$6,aditivos!$B$2:$B$200,"&lt;="&amp;$I$5),2))</f>
        <v/>
      </c>
      <c r="N76" s="192">
        <f>IF(OR(A76="",L76="",D76=""),"",ROUND(MAX(L76+IF(ISNUMBER(M76),M76,0)-D76,0),2))</f>
        <v/>
      </c>
      <c r="O76" s="192">
        <f>IF(OR(A76="",D76="",K76="",$I$7=""),"",ROUND(D76*K76*$I$7,2))</f>
        <v/>
      </c>
      <c r="P76" s="192">
        <f>IF(OR(A76="",N76="",K76="",$I$7=""),"",ROUND(N76*K76*$I$7,2))</f>
        <v/>
      </c>
      <c r="Q76" s="192">
        <f>IF(OR(A76="",D76="",K76=""),"",ROUND(D76*K76,2))</f>
        <v/>
      </c>
      <c r="R76" s="192">
        <f>IF(OR(A76="",L76="",K76="",$I$7=""),"",ROUND(L76*K76*$I$7,2))</f>
        <v/>
      </c>
    </row>
    <row r="77">
      <c r="A77" s="86">
        <f>IF(itens_Remanesc!A77="","",itens_Remanesc!A77)</f>
        <v/>
      </c>
      <c r="B77" s="196" t="n"/>
      <c r="C77" s="196">
        <f>IF(A77="","",IF($I$5="","POSICAO DE REFERENCIA INDISPONIVEL",ROUND(IF(itens_Remanesc!B77="",0,itens_Remanesc!B77)+SUMIFS(aditivos!$L$2:$L$200,aditivos!$A$2:$A$200,A77,aditivos!$B$2:$B$200,"&lt;="&amp;$I$5),2)))</f>
        <v/>
      </c>
      <c r="D77" s="196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>
        <f>IF(A77="","",IF($I$4="","POSICAO DE REFERENCIA INDISPONIVEL",IF($I$2,"ATUAL INFORMADA",IF(ISNUMBER(B77),"ATUAL IGNORADA (POSICAO INCOMPLETA) - FOTOGRAFIA "&amp;$I$4,"FOTOGRAFIA "&amp;$I$4))))</f>
        <v/>
      </c>
      <c r="F77" s="86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>
        <f>IF(A77="","",itens_Remanesc!C77)</f>
        <v/>
      </c>
      <c r="L77" s="192">
        <f>IF(A77="","",IF($I$4="C0",posicao_contratual!G77,IF($I$4="C1",posicao_contratual!K77,IF($I$4="C2",posicao_contratual!O77,IF($I$4="C3",posicao_contratual!S77,IF($I$4="C4",posicao_contratual!W77,""))))))</f>
        <v/>
      </c>
      <c r="M77" s="192">
        <f>IF(OR(A77="",$I$5="",$I$6=""),"",ROUND(SUMIFS(aditivos!$L$2:$L$200,aditivos!$A$2:$A$200,A77,aditivos!$B$2:$B$200,"&gt;"&amp;$I$6,aditivos!$B$2:$B$200,"&lt;="&amp;$I$5),2))</f>
        <v/>
      </c>
      <c r="N77" s="192">
        <f>IF(OR(A77="",L77="",D77=""),"",ROUND(MAX(L77+IF(ISNUMBER(M77),M77,0)-D77,0),2))</f>
        <v/>
      </c>
      <c r="O77" s="192">
        <f>IF(OR(A77="",D77="",K77="",$I$7=""),"",ROUND(D77*K77*$I$7,2))</f>
        <v/>
      </c>
      <c r="P77" s="192">
        <f>IF(OR(A77="",N77="",K77="",$I$7=""),"",ROUND(N77*K77*$I$7,2))</f>
        <v/>
      </c>
      <c r="Q77" s="192">
        <f>IF(OR(A77="",D77="",K77=""),"",ROUND(D77*K77,2))</f>
        <v/>
      </c>
      <c r="R77" s="192">
        <f>IF(OR(A77="",L77="",K77="",$I$7=""),"",ROUND(L77*K77*$I$7,2))</f>
        <v/>
      </c>
    </row>
    <row r="78">
      <c r="A78" s="86">
        <f>IF(itens_Remanesc!A78="","",itens_Remanesc!A78)</f>
        <v/>
      </c>
      <c r="B78" s="196" t="n"/>
      <c r="C78" s="196">
        <f>IF(A78="","",IF($I$5="","POSICAO DE REFERENCIA INDISPONIVEL",ROUND(IF(itens_Remanesc!B78="",0,itens_Remanesc!B78)+SUMIFS(aditivos!$L$2:$L$200,aditivos!$A$2:$A$200,A78,aditivos!$B$2:$B$200,"&lt;="&amp;$I$5),2)))</f>
        <v/>
      </c>
      <c r="D78" s="196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>
        <f>IF(A78="","",IF($I$4="","POSICAO DE REFERENCIA INDISPONIVEL",IF($I$2,"ATUAL INFORMADA",IF(ISNUMBER(B78),"ATUAL IGNORADA (POSICAO INCOMPLETA) - FOTOGRAFIA "&amp;$I$4,"FOTOGRAFIA "&amp;$I$4))))</f>
        <v/>
      </c>
      <c r="F78" s="86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>
        <f>IF(A78="","",itens_Remanesc!C78)</f>
        <v/>
      </c>
      <c r="L78" s="192">
        <f>IF(A78="","",IF($I$4="C0",posicao_contratual!G78,IF($I$4="C1",posicao_contratual!K78,IF($I$4="C2",posicao_contratual!O78,IF($I$4="C3",posicao_contratual!S78,IF($I$4="C4",posicao_contratual!W78,""))))))</f>
        <v/>
      </c>
      <c r="M78" s="192">
        <f>IF(OR(A78="",$I$5="",$I$6=""),"",ROUND(SUMIFS(aditivos!$L$2:$L$200,aditivos!$A$2:$A$200,A78,aditivos!$B$2:$B$200,"&gt;"&amp;$I$6,aditivos!$B$2:$B$200,"&lt;="&amp;$I$5),2))</f>
        <v/>
      </c>
      <c r="N78" s="192">
        <f>IF(OR(A78="",L78="",D78=""),"",ROUND(MAX(L78+IF(ISNUMBER(M78),M78,0)-D78,0),2))</f>
        <v/>
      </c>
      <c r="O78" s="192">
        <f>IF(OR(A78="",D78="",K78="",$I$7=""),"",ROUND(D78*K78*$I$7,2))</f>
        <v/>
      </c>
      <c r="P78" s="192">
        <f>IF(OR(A78="",N78="",K78="",$I$7=""),"",ROUND(N78*K78*$I$7,2))</f>
        <v/>
      </c>
      <c r="Q78" s="192">
        <f>IF(OR(A78="",D78="",K78=""),"",ROUND(D78*K78,2))</f>
        <v/>
      </c>
      <c r="R78" s="192">
        <f>IF(OR(A78="",L78="",K78="",$I$7=""),"",ROUND(L78*K78*$I$7,2))</f>
        <v/>
      </c>
    </row>
    <row r="79">
      <c r="A79" s="86">
        <f>IF(itens_Remanesc!A79="","",itens_Remanesc!A79)</f>
        <v/>
      </c>
      <c r="B79" s="196" t="n"/>
      <c r="C79" s="196">
        <f>IF(A79="","",IF($I$5="","POSICAO DE REFERENCIA INDISPONIVEL",ROUND(IF(itens_Remanesc!B79="",0,itens_Remanesc!B79)+SUMIFS(aditivos!$L$2:$L$200,aditivos!$A$2:$A$200,A79,aditivos!$B$2:$B$200,"&lt;="&amp;$I$5),2)))</f>
        <v/>
      </c>
      <c r="D79" s="196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>
        <f>IF(A79="","",IF($I$4="","POSICAO DE REFERENCIA INDISPONIVEL",IF($I$2,"ATUAL INFORMADA",IF(ISNUMBER(B79),"ATUAL IGNORADA (POSICAO INCOMPLETA) - FOTOGRAFIA "&amp;$I$4,"FOTOGRAFIA "&amp;$I$4))))</f>
        <v/>
      </c>
      <c r="F79" s="86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>
        <f>IF(A79="","",itens_Remanesc!C79)</f>
        <v/>
      </c>
      <c r="L79" s="192">
        <f>IF(A79="","",IF($I$4="C0",posicao_contratual!G79,IF($I$4="C1",posicao_contratual!K79,IF($I$4="C2",posicao_contratual!O79,IF($I$4="C3",posicao_contratual!S79,IF($I$4="C4",posicao_contratual!W79,""))))))</f>
        <v/>
      </c>
      <c r="M79" s="192">
        <f>IF(OR(A79="",$I$5="",$I$6=""),"",ROUND(SUMIFS(aditivos!$L$2:$L$200,aditivos!$A$2:$A$200,A79,aditivos!$B$2:$B$200,"&gt;"&amp;$I$6,aditivos!$B$2:$B$200,"&lt;="&amp;$I$5),2))</f>
        <v/>
      </c>
      <c r="N79" s="192">
        <f>IF(OR(A79="",L79="",D79=""),"",ROUND(MAX(L79+IF(ISNUMBER(M79),M79,0)-D79,0),2))</f>
        <v/>
      </c>
      <c r="O79" s="192">
        <f>IF(OR(A79="",D79="",K79="",$I$7=""),"",ROUND(D79*K79*$I$7,2))</f>
        <v/>
      </c>
      <c r="P79" s="192">
        <f>IF(OR(A79="",N79="",K79="",$I$7=""),"",ROUND(N79*K79*$I$7,2))</f>
        <v/>
      </c>
      <c r="Q79" s="192">
        <f>IF(OR(A79="",D79="",K79=""),"",ROUND(D79*K79,2))</f>
        <v/>
      </c>
      <c r="R79" s="192">
        <f>IF(OR(A79="",L79="",K79="",$I$7=""),"",ROUND(L79*K79*$I$7,2))</f>
        <v/>
      </c>
    </row>
    <row r="80">
      <c r="A80" s="86">
        <f>IF(itens_Remanesc!A80="","",itens_Remanesc!A80)</f>
        <v/>
      </c>
      <c r="B80" s="196" t="n"/>
      <c r="C80" s="196">
        <f>IF(A80="","",IF($I$5="","POSICAO DE REFERENCIA INDISPONIVEL",ROUND(IF(itens_Remanesc!B80="",0,itens_Remanesc!B80)+SUMIFS(aditivos!$L$2:$L$200,aditivos!$A$2:$A$200,A80,aditivos!$B$2:$B$200,"&lt;="&amp;$I$5),2)))</f>
        <v/>
      </c>
      <c r="D80" s="196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>
        <f>IF(A80="","",IF($I$4="","POSICAO DE REFERENCIA INDISPONIVEL",IF($I$2,"ATUAL INFORMADA",IF(ISNUMBER(B80),"ATUAL IGNORADA (POSICAO INCOMPLETA) - FOTOGRAFIA "&amp;$I$4,"FOTOGRAFIA "&amp;$I$4))))</f>
        <v/>
      </c>
      <c r="F80" s="86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>
        <f>IF(A80="","",itens_Remanesc!C80)</f>
        <v/>
      </c>
      <c r="L80" s="192">
        <f>IF(A80="","",IF($I$4="C0",posicao_contratual!G80,IF($I$4="C1",posicao_contratual!K80,IF($I$4="C2",posicao_contratual!O80,IF($I$4="C3",posicao_contratual!S80,IF($I$4="C4",posicao_contratual!W80,""))))))</f>
        <v/>
      </c>
      <c r="M80" s="192">
        <f>IF(OR(A80="",$I$5="",$I$6=""),"",ROUND(SUMIFS(aditivos!$L$2:$L$200,aditivos!$A$2:$A$200,A80,aditivos!$B$2:$B$200,"&gt;"&amp;$I$6,aditivos!$B$2:$B$200,"&lt;="&amp;$I$5),2))</f>
        <v/>
      </c>
      <c r="N80" s="192">
        <f>IF(OR(A80="",L80="",D80=""),"",ROUND(MAX(L80+IF(ISNUMBER(M80),M80,0)-D80,0),2))</f>
        <v/>
      </c>
      <c r="O80" s="192">
        <f>IF(OR(A80="",D80="",K80="",$I$7=""),"",ROUND(D80*K80*$I$7,2))</f>
        <v/>
      </c>
      <c r="P80" s="192">
        <f>IF(OR(A80="",N80="",K80="",$I$7=""),"",ROUND(N80*K80*$I$7,2))</f>
        <v/>
      </c>
      <c r="Q80" s="192">
        <f>IF(OR(A80="",D80="",K80=""),"",ROUND(D80*K80,2))</f>
        <v/>
      </c>
      <c r="R80" s="192">
        <f>IF(OR(A80="",L80="",K80="",$I$7=""),"",ROUND(L80*K80*$I$7,2))</f>
        <v/>
      </c>
    </row>
    <row r="81">
      <c r="A81" s="86">
        <f>IF(itens_Remanesc!A81="","",itens_Remanesc!A81)</f>
        <v/>
      </c>
      <c r="B81" s="196" t="n"/>
      <c r="C81" s="196">
        <f>IF(A81="","",IF($I$5="","POSICAO DE REFERENCIA INDISPONIVEL",ROUND(IF(itens_Remanesc!B81="",0,itens_Remanesc!B81)+SUMIFS(aditivos!$L$2:$L$200,aditivos!$A$2:$A$200,A81,aditivos!$B$2:$B$200,"&lt;="&amp;$I$5),2)))</f>
        <v/>
      </c>
      <c r="D81" s="196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>
        <f>IF(A81="","",IF($I$4="","POSICAO DE REFERENCIA INDISPONIVEL",IF($I$2,"ATUAL INFORMADA",IF(ISNUMBER(B81),"ATUAL IGNORADA (POSICAO INCOMPLETA) - FOTOGRAFIA "&amp;$I$4,"FOTOGRAFIA "&amp;$I$4))))</f>
        <v/>
      </c>
      <c r="F81" s="86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>
        <f>IF(A81="","",itens_Remanesc!C81)</f>
        <v/>
      </c>
      <c r="L81" s="192">
        <f>IF(A81="","",IF($I$4="C0",posicao_contratual!G81,IF($I$4="C1",posicao_contratual!K81,IF($I$4="C2",posicao_contratual!O81,IF($I$4="C3",posicao_contratual!S81,IF($I$4="C4",posicao_contratual!W81,""))))))</f>
        <v/>
      </c>
      <c r="M81" s="192">
        <f>IF(OR(A81="",$I$5="",$I$6=""),"",ROUND(SUMIFS(aditivos!$L$2:$L$200,aditivos!$A$2:$A$200,A81,aditivos!$B$2:$B$200,"&gt;"&amp;$I$6,aditivos!$B$2:$B$200,"&lt;="&amp;$I$5),2))</f>
        <v/>
      </c>
      <c r="N81" s="192">
        <f>IF(OR(A81="",L81="",D81=""),"",ROUND(MAX(L81+IF(ISNUMBER(M81),M81,0)-D81,0),2))</f>
        <v/>
      </c>
      <c r="O81" s="192">
        <f>IF(OR(A81="",D81="",K81="",$I$7=""),"",ROUND(D81*K81*$I$7,2))</f>
        <v/>
      </c>
      <c r="P81" s="192">
        <f>IF(OR(A81="",N81="",K81="",$I$7=""),"",ROUND(N81*K81*$I$7,2))</f>
        <v/>
      </c>
      <c r="Q81" s="192">
        <f>IF(OR(A81="",D81="",K81=""),"",ROUND(D81*K81,2))</f>
        <v/>
      </c>
      <c r="R81" s="192">
        <f>IF(OR(A81="",L81="",K81="",$I$7=""),"",ROUND(L81*K81*$I$7,2))</f>
        <v/>
      </c>
    </row>
    <row r="82">
      <c r="A82" s="86">
        <f>IF(itens_Remanesc!A82="","",itens_Remanesc!A82)</f>
        <v/>
      </c>
      <c r="B82" s="196" t="n"/>
      <c r="C82" s="196">
        <f>IF(A82="","",IF($I$5="","POSICAO DE REFERENCIA INDISPONIVEL",ROUND(IF(itens_Remanesc!B82="",0,itens_Remanesc!B82)+SUMIFS(aditivos!$L$2:$L$200,aditivos!$A$2:$A$200,A82,aditivos!$B$2:$B$200,"&lt;="&amp;$I$5),2)))</f>
        <v/>
      </c>
      <c r="D82" s="196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>
        <f>IF(A82="","",IF($I$4="","POSICAO DE REFERENCIA INDISPONIVEL",IF($I$2,"ATUAL INFORMADA",IF(ISNUMBER(B82),"ATUAL IGNORADA (POSICAO INCOMPLETA) - FOTOGRAFIA "&amp;$I$4,"FOTOGRAFIA "&amp;$I$4))))</f>
        <v/>
      </c>
      <c r="F82" s="86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>
        <f>IF(A82="","",itens_Remanesc!C82)</f>
        <v/>
      </c>
      <c r="L82" s="192">
        <f>IF(A82="","",IF($I$4="C0",posicao_contratual!G82,IF($I$4="C1",posicao_contratual!K82,IF($I$4="C2",posicao_contratual!O82,IF($I$4="C3",posicao_contratual!S82,IF($I$4="C4",posicao_contratual!W82,""))))))</f>
        <v/>
      </c>
      <c r="M82" s="192">
        <f>IF(OR(A82="",$I$5="",$I$6=""),"",ROUND(SUMIFS(aditivos!$L$2:$L$200,aditivos!$A$2:$A$200,A82,aditivos!$B$2:$B$200,"&gt;"&amp;$I$6,aditivos!$B$2:$B$200,"&lt;="&amp;$I$5),2))</f>
        <v/>
      </c>
      <c r="N82" s="192">
        <f>IF(OR(A82="",L82="",D82=""),"",ROUND(MAX(L82+IF(ISNUMBER(M82),M82,0)-D82,0),2))</f>
        <v/>
      </c>
      <c r="O82" s="192">
        <f>IF(OR(A82="",D82="",K82="",$I$7=""),"",ROUND(D82*K82*$I$7,2))</f>
        <v/>
      </c>
      <c r="P82" s="192">
        <f>IF(OR(A82="",N82="",K82="",$I$7=""),"",ROUND(N82*K82*$I$7,2))</f>
        <v/>
      </c>
      <c r="Q82" s="192">
        <f>IF(OR(A82="",D82="",K82=""),"",ROUND(D82*K82,2))</f>
        <v/>
      </c>
      <c r="R82" s="192">
        <f>IF(OR(A82="",L82="",K82="",$I$7=""),"",ROUND(L82*K82*$I$7,2))</f>
        <v/>
      </c>
    </row>
    <row r="83">
      <c r="A83" s="86">
        <f>IF(itens_Remanesc!A83="","",itens_Remanesc!A83)</f>
        <v/>
      </c>
      <c r="B83" s="196" t="n"/>
      <c r="C83" s="196">
        <f>IF(A83="","",IF($I$5="","POSICAO DE REFERENCIA INDISPONIVEL",ROUND(IF(itens_Remanesc!B83="",0,itens_Remanesc!B83)+SUMIFS(aditivos!$L$2:$L$200,aditivos!$A$2:$A$200,A83,aditivos!$B$2:$B$200,"&lt;="&amp;$I$5),2)))</f>
        <v/>
      </c>
      <c r="D83" s="196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>
        <f>IF(A83="","",IF($I$4="","POSICAO DE REFERENCIA INDISPONIVEL",IF($I$2,"ATUAL INFORMADA",IF(ISNUMBER(B83),"ATUAL IGNORADA (POSICAO INCOMPLETA) - FOTOGRAFIA "&amp;$I$4,"FOTOGRAFIA "&amp;$I$4))))</f>
        <v/>
      </c>
      <c r="F83" s="86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>
        <f>IF(A83="","",itens_Remanesc!C83)</f>
        <v/>
      </c>
      <c r="L83" s="192">
        <f>IF(A83="","",IF($I$4="C0",posicao_contratual!G83,IF($I$4="C1",posicao_contratual!K83,IF($I$4="C2",posicao_contratual!O83,IF($I$4="C3",posicao_contratual!S83,IF($I$4="C4",posicao_contratual!W83,""))))))</f>
        <v/>
      </c>
      <c r="M83" s="192">
        <f>IF(OR(A83="",$I$5="",$I$6=""),"",ROUND(SUMIFS(aditivos!$L$2:$L$200,aditivos!$A$2:$A$200,A83,aditivos!$B$2:$B$200,"&gt;"&amp;$I$6,aditivos!$B$2:$B$200,"&lt;="&amp;$I$5),2))</f>
        <v/>
      </c>
      <c r="N83" s="192">
        <f>IF(OR(A83="",L83="",D83=""),"",ROUND(MAX(L83+IF(ISNUMBER(M83),M83,0)-D83,0),2))</f>
        <v/>
      </c>
      <c r="O83" s="192">
        <f>IF(OR(A83="",D83="",K83="",$I$7=""),"",ROUND(D83*K83*$I$7,2))</f>
        <v/>
      </c>
      <c r="P83" s="192">
        <f>IF(OR(A83="",N83="",K83="",$I$7=""),"",ROUND(N83*K83*$I$7,2))</f>
        <v/>
      </c>
      <c r="Q83" s="192">
        <f>IF(OR(A83="",D83="",K83=""),"",ROUND(D83*K83,2))</f>
        <v/>
      </c>
      <c r="R83" s="192">
        <f>IF(OR(A83="",L83="",K83="",$I$7=""),"",ROUND(L83*K83*$I$7,2))</f>
        <v/>
      </c>
    </row>
    <row r="84">
      <c r="A84" s="86">
        <f>IF(itens_Remanesc!A84="","",itens_Remanesc!A84)</f>
        <v/>
      </c>
      <c r="B84" s="196" t="n"/>
      <c r="C84" s="196">
        <f>IF(A84="","",IF($I$5="","POSICAO DE REFERENCIA INDISPONIVEL",ROUND(IF(itens_Remanesc!B84="",0,itens_Remanesc!B84)+SUMIFS(aditivos!$L$2:$L$200,aditivos!$A$2:$A$200,A84,aditivos!$B$2:$B$200,"&lt;="&amp;$I$5),2)))</f>
        <v/>
      </c>
      <c r="D84" s="196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>
        <f>IF(A84="","",IF($I$4="","POSICAO DE REFERENCIA INDISPONIVEL",IF($I$2,"ATUAL INFORMADA",IF(ISNUMBER(B84),"ATUAL IGNORADA (POSICAO INCOMPLETA) - FOTOGRAFIA "&amp;$I$4,"FOTOGRAFIA "&amp;$I$4))))</f>
        <v/>
      </c>
      <c r="F84" s="86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>
        <f>IF(A84="","",itens_Remanesc!C84)</f>
        <v/>
      </c>
      <c r="L84" s="192">
        <f>IF(A84="","",IF($I$4="C0",posicao_contratual!G84,IF($I$4="C1",posicao_contratual!K84,IF($I$4="C2",posicao_contratual!O84,IF($I$4="C3",posicao_contratual!S84,IF($I$4="C4",posicao_contratual!W84,""))))))</f>
        <v/>
      </c>
      <c r="M84" s="192">
        <f>IF(OR(A84="",$I$5="",$I$6=""),"",ROUND(SUMIFS(aditivos!$L$2:$L$200,aditivos!$A$2:$A$200,A84,aditivos!$B$2:$B$200,"&gt;"&amp;$I$6,aditivos!$B$2:$B$200,"&lt;="&amp;$I$5),2))</f>
        <v/>
      </c>
      <c r="N84" s="192">
        <f>IF(OR(A84="",L84="",D84=""),"",ROUND(MAX(L84+IF(ISNUMBER(M84),M84,0)-D84,0),2))</f>
        <v/>
      </c>
      <c r="O84" s="192">
        <f>IF(OR(A84="",D84="",K84="",$I$7=""),"",ROUND(D84*K84*$I$7,2))</f>
        <v/>
      </c>
      <c r="P84" s="192">
        <f>IF(OR(A84="",N84="",K84="",$I$7=""),"",ROUND(N84*K84*$I$7,2))</f>
        <v/>
      </c>
      <c r="Q84" s="192">
        <f>IF(OR(A84="",D84="",K84=""),"",ROUND(D84*K84,2))</f>
        <v/>
      </c>
      <c r="R84" s="192">
        <f>IF(OR(A84="",L84="",K84="",$I$7=""),"",ROUND(L84*K84*$I$7,2))</f>
        <v/>
      </c>
    </row>
    <row r="85">
      <c r="A85" s="86">
        <f>IF(itens_Remanesc!A85="","",itens_Remanesc!A85)</f>
        <v/>
      </c>
      <c r="B85" s="196" t="n"/>
      <c r="C85" s="196">
        <f>IF(A85="","",IF($I$5="","POSICAO DE REFERENCIA INDISPONIVEL",ROUND(IF(itens_Remanesc!B85="",0,itens_Remanesc!B85)+SUMIFS(aditivos!$L$2:$L$200,aditivos!$A$2:$A$200,A85,aditivos!$B$2:$B$200,"&lt;="&amp;$I$5),2)))</f>
        <v/>
      </c>
      <c r="D85" s="196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>
        <f>IF(A85="","",IF($I$4="","POSICAO DE REFERENCIA INDISPONIVEL",IF($I$2,"ATUAL INFORMADA",IF(ISNUMBER(B85),"ATUAL IGNORADA (POSICAO INCOMPLETA) - FOTOGRAFIA "&amp;$I$4,"FOTOGRAFIA "&amp;$I$4))))</f>
        <v/>
      </c>
      <c r="F85" s="86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>
        <f>IF(A85="","",itens_Remanesc!C85)</f>
        <v/>
      </c>
      <c r="L85" s="192">
        <f>IF(A85="","",IF($I$4="C0",posicao_contratual!G85,IF($I$4="C1",posicao_contratual!K85,IF($I$4="C2",posicao_contratual!O85,IF($I$4="C3",posicao_contratual!S85,IF($I$4="C4",posicao_contratual!W85,""))))))</f>
        <v/>
      </c>
      <c r="M85" s="192">
        <f>IF(OR(A85="",$I$5="",$I$6=""),"",ROUND(SUMIFS(aditivos!$L$2:$L$200,aditivos!$A$2:$A$200,A85,aditivos!$B$2:$B$200,"&gt;"&amp;$I$6,aditivos!$B$2:$B$200,"&lt;="&amp;$I$5),2))</f>
        <v/>
      </c>
      <c r="N85" s="192">
        <f>IF(OR(A85="",L85="",D85=""),"",ROUND(MAX(L85+IF(ISNUMBER(M85),M85,0)-D85,0),2))</f>
        <v/>
      </c>
      <c r="O85" s="192">
        <f>IF(OR(A85="",D85="",K85="",$I$7=""),"",ROUND(D85*K85*$I$7,2))</f>
        <v/>
      </c>
      <c r="P85" s="192">
        <f>IF(OR(A85="",N85="",K85="",$I$7=""),"",ROUND(N85*K85*$I$7,2))</f>
        <v/>
      </c>
      <c r="Q85" s="192">
        <f>IF(OR(A85="",D85="",K85=""),"",ROUND(D85*K85,2))</f>
        <v/>
      </c>
      <c r="R85" s="192">
        <f>IF(OR(A85="",L85="",K85="",$I$7=""),"",ROUND(L85*K85*$I$7,2))</f>
        <v/>
      </c>
    </row>
    <row r="86">
      <c r="A86" s="86">
        <f>IF(itens_Remanesc!A86="","",itens_Remanesc!A86)</f>
        <v/>
      </c>
      <c r="B86" s="196" t="n"/>
      <c r="C86" s="196">
        <f>IF(A86="","",IF($I$5="","POSICAO DE REFERENCIA INDISPONIVEL",ROUND(IF(itens_Remanesc!B86="",0,itens_Remanesc!B86)+SUMIFS(aditivos!$L$2:$L$200,aditivos!$A$2:$A$200,A86,aditivos!$B$2:$B$200,"&lt;="&amp;$I$5),2)))</f>
        <v/>
      </c>
      <c r="D86" s="196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>
        <f>IF(A86="","",IF($I$4="","POSICAO DE REFERENCIA INDISPONIVEL",IF($I$2,"ATUAL INFORMADA",IF(ISNUMBER(B86),"ATUAL IGNORADA (POSICAO INCOMPLETA) - FOTOGRAFIA "&amp;$I$4,"FOTOGRAFIA "&amp;$I$4))))</f>
        <v/>
      </c>
      <c r="F86" s="86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>
        <f>IF(A86="","",itens_Remanesc!C86)</f>
        <v/>
      </c>
      <c r="L86" s="192">
        <f>IF(A86="","",IF($I$4="C0",posicao_contratual!G86,IF($I$4="C1",posicao_contratual!K86,IF($I$4="C2",posicao_contratual!O86,IF($I$4="C3",posicao_contratual!S86,IF($I$4="C4",posicao_contratual!W86,""))))))</f>
        <v/>
      </c>
      <c r="M86" s="192">
        <f>IF(OR(A86="",$I$5="",$I$6=""),"",ROUND(SUMIFS(aditivos!$L$2:$L$200,aditivos!$A$2:$A$200,A86,aditivos!$B$2:$B$200,"&gt;"&amp;$I$6,aditivos!$B$2:$B$200,"&lt;="&amp;$I$5),2))</f>
        <v/>
      </c>
      <c r="N86" s="192">
        <f>IF(OR(A86="",L86="",D86=""),"",ROUND(MAX(L86+IF(ISNUMBER(M86),M86,0)-D86,0),2))</f>
        <v/>
      </c>
      <c r="O86" s="192">
        <f>IF(OR(A86="",D86="",K86="",$I$7=""),"",ROUND(D86*K86*$I$7,2))</f>
        <v/>
      </c>
      <c r="P86" s="192">
        <f>IF(OR(A86="",N86="",K86="",$I$7=""),"",ROUND(N86*K86*$I$7,2))</f>
        <v/>
      </c>
      <c r="Q86" s="192">
        <f>IF(OR(A86="",D86="",K86=""),"",ROUND(D86*K86,2))</f>
        <v/>
      </c>
      <c r="R86" s="192">
        <f>IF(OR(A86="",L86="",K86="",$I$7=""),"",ROUND(L86*K86*$I$7,2))</f>
        <v/>
      </c>
    </row>
    <row r="87">
      <c r="A87" s="86">
        <f>IF(itens_Remanesc!A87="","",itens_Remanesc!A87)</f>
        <v/>
      </c>
      <c r="B87" s="196" t="n"/>
      <c r="C87" s="196">
        <f>IF(A87="","",IF($I$5="","POSICAO DE REFERENCIA INDISPONIVEL",ROUND(IF(itens_Remanesc!B87="",0,itens_Remanesc!B87)+SUMIFS(aditivos!$L$2:$L$200,aditivos!$A$2:$A$200,A87,aditivos!$B$2:$B$200,"&lt;="&amp;$I$5),2)))</f>
        <v/>
      </c>
      <c r="D87" s="196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>
        <f>IF(A87="","",IF($I$4="","POSICAO DE REFERENCIA INDISPONIVEL",IF($I$2,"ATUAL INFORMADA",IF(ISNUMBER(B87),"ATUAL IGNORADA (POSICAO INCOMPLETA) - FOTOGRAFIA "&amp;$I$4,"FOTOGRAFIA "&amp;$I$4))))</f>
        <v/>
      </c>
      <c r="F87" s="86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>
        <f>IF(A87="","",itens_Remanesc!C87)</f>
        <v/>
      </c>
      <c r="L87" s="192">
        <f>IF(A87="","",IF($I$4="C0",posicao_contratual!G87,IF($I$4="C1",posicao_contratual!K87,IF($I$4="C2",posicao_contratual!O87,IF($I$4="C3",posicao_contratual!S87,IF($I$4="C4",posicao_contratual!W87,""))))))</f>
        <v/>
      </c>
      <c r="M87" s="192">
        <f>IF(OR(A87="",$I$5="",$I$6=""),"",ROUND(SUMIFS(aditivos!$L$2:$L$200,aditivos!$A$2:$A$200,A87,aditivos!$B$2:$B$200,"&gt;"&amp;$I$6,aditivos!$B$2:$B$200,"&lt;="&amp;$I$5),2))</f>
        <v/>
      </c>
      <c r="N87" s="192">
        <f>IF(OR(A87="",L87="",D87=""),"",ROUND(MAX(L87+IF(ISNUMBER(M87),M87,0)-D87,0),2))</f>
        <v/>
      </c>
      <c r="O87" s="192">
        <f>IF(OR(A87="",D87="",K87="",$I$7=""),"",ROUND(D87*K87*$I$7,2))</f>
        <v/>
      </c>
      <c r="P87" s="192">
        <f>IF(OR(A87="",N87="",K87="",$I$7=""),"",ROUND(N87*K87*$I$7,2))</f>
        <v/>
      </c>
      <c r="Q87" s="192">
        <f>IF(OR(A87="",D87="",K87=""),"",ROUND(D87*K87,2))</f>
        <v/>
      </c>
      <c r="R87" s="192">
        <f>IF(OR(A87="",L87="",K87="",$I$7=""),"",ROUND(L87*K87*$I$7,2))</f>
        <v/>
      </c>
    </row>
    <row r="88">
      <c r="A88" s="86">
        <f>IF(itens_Remanesc!A88="","",itens_Remanesc!A88)</f>
        <v/>
      </c>
      <c r="B88" s="196" t="n"/>
      <c r="C88" s="196">
        <f>IF(A88="","",IF($I$5="","POSICAO DE REFERENCIA INDISPONIVEL",ROUND(IF(itens_Remanesc!B88="",0,itens_Remanesc!B88)+SUMIFS(aditivos!$L$2:$L$200,aditivos!$A$2:$A$200,A88,aditivos!$B$2:$B$200,"&lt;="&amp;$I$5),2)))</f>
        <v/>
      </c>
      <c r="D88" s="196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>
        <f>IF(A88="","",IF($I$4="","POSICAO DE REFERENCIA INDISPONIVEL",IF($I$2,"ATUAL INFORMADA",IF(ISNUMBER(B88),"ATUAL IGNORADA (POSICAO INCOMPLETA) - FOTOGRAFIA "&amp;$I$4,"FOTOGRAFIA "&amp;$I$4))))</f>
        <v/>
      </c>
      <c r="F88" s="86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>
        <f>IF(A88="","",itens_Remanesc!C88)</f>
        <v/>
      </c>
      <c r="L88" s="192">
        <f>IF(A88="","",IF($I$4="C0",posicao_contratual!G88,IF($I$4="C1",posicao_contratual!K88,IF($I$4="C2",posicao_contratual!O88,IF($I$4="C3",posicao_contratual!S88,IF($I$4="C4",posicao_contratual!W88,""))))))</f>
        <v/>
      </c>
      <c r="M88" s="192">
        <f>IF(OR(A88="",$I$5="",$I$6=""),"",ROUND(SUMIFS(aditivos!$L$2:$L$200,aditivos!$A$2:$A$200,A88,aditivos!$B$2:$B$200,"&gt;"&amp;$I$6,aditivos!$B$2:$B$200,"&lt;="&amp;$I$5),2))</f>
        <v/>
      </c>
      <c r="N88" s="192">
        <f>IF(OR(A88="",L88="",D88=""),"",ROUND(MAX(L88+IF(ISNUMBER(M88),M88,0)-D88,0),2))</f>
        <v/>
      </c>
      <c r="O88" s="192">
        <f>IF(OR(A88="",D88="",K88="",$I$7=""),"",ROUND(D88*K88*$I$7,2))</f>
        <v/>
      </c>
      <c r="P88" s="192">
        <f>IF(OR(A88="",N88="",K88="",$I$7=""),"",ROUND(N88*K88*$I$7,2))</f>
        <v/>
      </c>
      <c r="Q88" s="192">
        <f>IF(OR(A88="",D88="",K88=""),"",ROUND(D88*K88,2))</f>
        <v/>
      </c>
      <c r="R88" s="192">
        <f>IF(OR(A88="",L88="",K88="",$I$7=""),"",ROUND(L88*K88*$I$7,2))</f>
        <v/>
      </c>
    </row>
    <row r="89">
      <c r="A89" s="86">
        <f>IF(itens_Remanesc!A89="","",itens_Remanesc!A89)</f>
        <v/>
      </c>
      <c r="B89" s="196" t="n"/>
      <c r="C89" s="196">
        <f>IF(A89="","",IF($I$5="","POSICAO DE REFERENCIA INDISPONIVEL",ROUND(IF(itens_Remanesc!B89="",0,itens_Remanesc!B89)+SUMIFS(aditivos!$L$2:$L$200,aditivos!$A$2:$A$200,A89,aditivos!$B$2:$B$200,"&lt;="&amp;$I$5),2)))</f>
        <v/>
      </c>
      <c r="D89" s="196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>
        <f>IF(A89="","",IF($I$4="","POSICAO DE REFERENCIA INDISPONIVEL",IF($I$2,"ATUAL INFORMADA",IF(ISNUMBER(B89),"ATUAL IGNORADA (POSICAO INCOMPLETA) - FOTOGRAFIA "&amp;$I$4,"FOTOGRAFIA "&amp;$I$4))))</f>
        <v/>
      </c>
      <c r="F89" s="86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>
        <f>IF(A89="","",itens_Remanesc!C89)</f>
        <v/>
      </c>
      <c r="L89" s="192">
        <f>IF(A89="","",IF($I$4="C0",posicao_contratual!G89,IF($I$4="C1",posicao_contratual!K89,IF($I$4="C2",posicao_contratual!O89,IF($I$4="C3",posicao_contratual!S89,IF($I$4="C4",posicao_contratual!W89,""))))))</f>
        <v/>
      </c>
      <c r="M89" s="192">
        <f>IF(OR(A89="",$I$5="",$I$6=""),"",ROUND(SUMIFS(aditivos!$L$2:$L$200,aditivos!$A$2:$A$200,A89,aditivos!$B$2:$B$200,"&gt;"&amp;$I$6,aditivos!$B$2:$B$200,"&lt;="&amp;$I$5),2))</f>
        <v/>
      </c>
      <c r="N89" s="192">
        <f>IF(OR(A89="",L89="",D89=""),"",ROUND(MAX(L89+IF(ISNUMBER(M89),M89,0)-D89,0),2))</f>
        <v/>
      </c>
      <c r="O89" s="192">
        <f>IF(OR(A89="",D89="",K89="",$I$7=""),"",ROUND(D89*K89*$I$7,2))</f>
        <v/>
      </c>
      <c r="P89" s="192">
        <f>IF(OR(A89="",N89="",K89="",$I$7=""),"",ROUND(N89*K89*$I$7,2))</f>
        <v/>
      </c>
      <c r="Q89" s="192">
        <f>IF(OR(A89="",D89="",K89=""),"",ROUND(D89*K89,2))</f>
        <v/>
      </c>
      <c r="R89" s="192">
        <f>IF(OR(A89="",L89="",K89="",$I$7=""),"",ROUND(L89*K89*$I$7,2))</f>
        <v/>
      </c>
    </row>
    <row r="90">
      <c r="A90" s="86">
        <f>IF(itens_Remanesc!A90="","",itens_Remanesc!A90)</f>
        <v/>
      </c>
      <c r="B90" s="196" t="n"/>
      <c r="C90" s="196">
        <f>IF(A90="","",IF($I$5="","POSICAO DE REFERENCIA INDISPONIVEL",ROUND(IF(itens_Remanesc!B90="",0,itens_Remanesc!B90)+SUMIFS(aditivos!$L$2:$L$200,aditivos!$A$2:$A$200,A90,aditivos!$B$2:$B$200,"&lt;="&amp;$I$5),2)))</f>
        <v/>
      </c>
      <c r="D90" s="196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>
        <f>IF(A90="","",IF($I$4="","POSICAO DE REFERENCIA INDISPONIVEL",IF($I$2,"ATUAL INFORMADA",IF(ISNUMBER(B90),"ATUAL IGNORADA (POSICAO INCOMPLETA) - FOTOGRAFIA "&amp;$I$4,"FOTOGRAFIA "&amp;$I$4))))</f>
        <v/>
      </c>
      <c r="F90" s="86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>
        <f>IF(A90="","",itens_Remanesc!C90)</f>
        <v/>
      </c>
      <c r="L90" s="192">
        <f>IF(A90="","",IF($I$4="C0",posicao_contratual!G90,IF($I$4="C1",posicao_contratual!K90,IF($I$4="C2",posicao_contratual!O90,IF($I$4="C3",posicao_contratual!S90,IF($I$4="C4",posicao_contratual!W90,""))))))</f>
        <v/>
      </c>
      <c r="M90" s="192">
        <f>IF(OR(A90="",$I$5="",$I$6=""),"",ROUND(SUMIFS(aditivos!$L$2:$L$200,aditivos!$A$2:$A$200,A90,aditivos!$B$2:$B$200,"&gt;"&amp;$I$6,aditivos!$B$2:$B$200,"&lt;="&amp;$I$5),2))</f>
        <v/>
      </c>
      <c r="N90" s="192">
        <f>IF(OR(A90="",L90="",D90=""),"",ROUND(MAX(L90+IF(ISNUMBER(M90),M90,0)-D90,0),2))</f>
        <v/>
      </c>
      <c r="O90" s="192">
        <f>IF(OR(A90="",D90="",K90="",$I$7=""),"",ROUND(D90*K90*$I$7,2))</f>
        <v/>
      </c>
      <c r="P90" s="192">
        <f>IF(OR(A90="",N90="",K90="",$I$7=""),"",ROUND(N90*K90*$I$7,2))</f>
        <v/>
      </c>
      <c r="Q90" s="192">
        <f>IF(OR(A90="",D90="",K90=""),"",ROUND(D90*K90,2))</f>
        <v/>
      </c>
      <c r="R90" s="192">
        <f>IF(OR(A90="",L90="",K90="",$I$7=""),"",ROUND(L90*K90*$I$7,2))</f>
        <v/>
      </c>
    </row>
    <row r="91">
      <c r="A91" s="86">
        <f>IF(itens_Remanesc!A91="","",itens_Remanesc!A91)</f>
        <v/>
      </c>
      <c r="B91" s="196" t="n"/>
      <c r="C91" s="196">
        <f>IF(A91="","",IF($I$5="","POSICAO DE REFERENCIA INDISPONIVEL",ROUND(IF(itens_Remanesc!B91="",0,itens_Remanesc!B91)+SUMIFS(aditivos!$L$2:$L$200,aditivos!$A$2:$A$200,A91,aditivos!$B$2:$B$200,"&lt;="&amp;$I$5),2)))</f>
        <v/>
      </c>
      <c r="D91" s="196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>
        <f>IF(A91="","",IF($I$4="","POSICAO DE REFERENCIA INDISPONIVEL",IF($I$2,"ATUAL INFORMADA",IF(ISNUMBER(B91),"ATUAL IGNORADA (POSICAO INCOMPLETA) - FOTOGRAFIA "&amp;$I$4,"FOTOGRAFIA "&amp;$I$4))))</f>
        <v/>
      </c>
      <c r="F91" s="86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>
        <f>IF(A91="","",itens_Remanesc!C91)</f>
        <v/>
      </c>
      <c r="L91" s="192">
        <f>IF(A91="","",IF($I$4="C0",posicao_contratual!G91,IF($I$4="C1",posicao_contratual!K91,IF($I$4="C2",posicao_contratual!O91,IF($I$4="C3",posicao_contratual!S91,IF($I$4="C4",posicao_contratual!W91,""))))))</f>
        <v/>
      </c>
      <c r="M91" s="192">
        <f>IF(OR(A91="",$I$5="",$I$6=""),"",ROUND(SUMIFS(aditivos!$L$2:$L$200,aditivos!$A$2:$A$200,A91,aditivos!$B$2:$B$200,"&gt;"&amp;$I$6,aditivos!$B$2:$B$200,"&lt;="&amp;$I$5),2))</f>
        <v/>
      </c>
      <c r="N91" s="192">
        <f>IF(OR(A91="",L91="",D91=""),"",ROUND(MAX(L91+IF(ISNUMBER(M91),M91,0)-D91,0),2))</f>
        <v/>
      </c>
      <c r="O91" s="192">
        <f>IF(OR(A91="",D91="",K91="",$I$7=""),"",ROUND(D91*K91*$I$7,2))</f>
        <v/>
      </c>
      <c r="P91" s="192">
        <f>IF(OR(A91="",N91="",K91="",$I$7=""),"",ROUND(N91*K91*$I$7,2))</f>
        <v/>
      </c>
      <c r="Q91" s="192">
        <f>IF(OR(A91="",D91="",K91=""),"",ROUND(D91*K91,2))</f>
        <v/>
      </c>
      <c r="R91" s="192">
        <f>IF(OR(A91="",L91="",K91="",$I$7=""),"",ROUND(L91*K91*$I$7,2))</f>
        <v/>
      </c>
    </row>
    <row r="92">
      <c r="A92" s="86">
        <f>IF(itens_Remanesc!A92="","",itens_Remanesc!A92)</f>
        <v/>
      </c>
      <c r="B92" s="196" t="n"/>
      <c r="C92" s="196">
        <f>IF(A92="","",IF($I$5="","POSICAO DE REFERENCIA INDISPONIVEL",ROUND(IF(itens_Remanesc!B92="",0,itens_Remanesc!B92)+SUMIFS(aditivos!$L$2:$L$200,aditivos!$A$2:$A$200,A92,aditivos!$B$2:$B$200,"&lt;="&amp;$I$5),2)))</f>
        <v/>
      </c>
      <c r="D92" s="196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>
        <f>IF(A92="","",IF($I$4="","POSICAO DE REFERENCIA INDISPONIVEL",IF($I$2,"ATUAL INFORMADA",IF(ISNUMBER(B92),"ATUAL IGNORADA (POSICAO INCOMPLETA) - FOTOGRAFIA "&amp;$I$4,"FOTOGRAFIA "&amp;$I$4))))</f>
        <v/>
      </c>
      <c r="F92" s="86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>
        <f>IF(A92="","",itens_Remanesc!C92)</f>
        <v/>
      </c>
      <c r="L92" s="192">
        <f>IF(A92="","",IF($I$4="C0",posicao_contratual!G92,IF($I$4="C1",posicao_contratual!K92,IF($I$4="C2",posicao_contratual!O92,IF($I$4="C3",posicao_contratual!S92,IF($I$4="C4",posicao_contratual!W92,""))))))</f>
        <v/>
      </c>
      <c r="M92" s="192">
        <f>IF(OR(A92="",$I$5="",$I$6=""),"",ROUND(SUMIFS(aditivos!$L$2:$L$200,aditivos!$A$2:$A$200,A92,aditivos!$B$2:$B$200,"&gt;"&amp;$I$6,aditivos!$B$2:$B$200,"&lt;="&amp;$I$5),2))</f>
        <v/>
      </c>
      <c r="N92" s="192">
        <f>IF(OR(A92="",L92="",D92=""),"",ROUND(MAX(L92+IF(ISNUMBER(M92),M92,0)-D92,0),2))</f>
        <v/>
      </c>
      <c r="O92" s="192">
        <f>IF(OR(A92="",D92="",K92="",$I$7=""),"",ROUND(D92*K92*$I$7,2))</f>
        <v/>
      </c>
      <c r="P92" s="192">
        <f>IF(OR(A92="",N92="",K92="",$I$7=""),"",ROUND(N92*K92*$I$7,2))</f>
        <v/>
      </c>
      <c r="Q92" s="192">
        <f>IF(OR(A92="",D92="",K92=""),"",ROUND(D92*K92,2))</f>
        <v/>
      </c>
      <c r="R92" s="192">
        <f>IF(OR(A92="",L92="",K92="",$I$7=""),"",ROUND(L92*K92*$I$7,2))</f>
        <v/>
      </c>
    </row>
    <row r="93">
      <c r="A93" s="86">
        <f>IF(itens_Remanesc!A93="","",itens_Remanesc!A93)</f>
        <v/>
      </c>
      <c r="B93" s="196" t="n"/>
      <c r="C93" s="196">
        <f>IF(A93="","",IF($I$5="","POSICAO DE REFERENCIA INDISPONIVEL",ROUND(IF(itens_Remanesc!B93="",0,itens_Remanesc!B93)+SUMIFS(aditivos!$L$2:$L$200,aditivos!$A$2:$A$200,A93,aditivos!$B$2:$B$200,"&lt;="&amp;$I$5),2)))</f>
        <v/>
      </c>
      <c r="D93" s="196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>
        <f>IF(A93="","",IF($I$4="","POSICAO DE REFERENCIA INDISPONIVEL",IF($I$2,"ATUAL INFORMADA",IF(ISNUMBER(B93),"ATUAL IGNORADA (POSICAO INCOMPLETA) - FOTOGRAFIA "&amp;$I$4,"FOTOGRAFIA "&amp;$I$4))))</f>
        <v/>
      </c>
      <c r="F93" s="86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>
        <f>IF(A93="","",itens_Remanesc!C93)</f>
        <v/>
      </c>
      <c r="L93" s="192">
        <f>IF(A93="","",IF($I$4="C0",posicao_contratual!G93,IF($I$4="C1",posicao_contratual!K93,IF($I$4="C2",posicao_contratual!O93,IF($I$4="C3",posicao_contratual!S93,IF($I$4="C4",posicao_contratual!W93,""))))))</f>
        <v/>
      </c>
      <c r="M93" s="192">
        <f>IF(OR(A93="",$I$5="",$I$6=""),"",ROUND(SUMIFS(aditivos!$L$2:$L$200,aditivos!$A$2:$A$200,A93,aditivos!$B$2:$B$200,"&gt;"&amp;$I$6,aditivos!$B$2:$B$200,"&lt;="&amp;$I$5),2))</f>
        <v/>
      </c>
      <c r="N93" s="192">
        <f>IF(OR(A93="",L93="",D93=""),"",ROUND(MAX(L93+IF(ISNUMBER(M93),M93,0)-D93,0),2))</f>
        <v/>
      </c>
      <c r="O93" s="192">
        <f>IF(OR(A93="",D93="",K93="",$I$7=""),"",ROUND(D93*K93*$I$7,2))</f>
        <v/>
      </c>
      <c r="P93" s="192">
        <f>IF(OR(A93="",N93="",K93="",$I$7=""),"",ROUND(N93*K93*$I$7,2))</f>
        <v/>
      </c>
      <c r="Q93" s="192">
        <f>IF(OR(A93="",D93="",K93=""),"",ROUND(D93*K93,2))</f>
        <v/>
      </c>
      <c r="R93" s="192">
        <f>IF(OR(A93="",L93="",K93="",$I$7=""),"",ROUND(L93*K93*$I$7,2))</f>
        <v/>
      </c>
    </row>
    <row r="94">
      <c r="A94" s="86">
        <f>IF(itens_Remanesc!A94="","",itens_Remanesc!A94)</f>
        <v/>
      </c>
      <c r="B94" s="196" t="n"/>
      <c r="C94" s="196">
        <f>IF(A94="","",IF($I$5="","POSICAO DE REFERENCIA INDISPONIVEL",ROUND(IF(itens_Remanesc!B94="",0,itens_Remanesc!B94)+SUMIFS(aditivos!$L$2:$L$200,aditivos!$A$2:$A$200,A94,aditivos!$B$2:$B$200,"&lt;="&amp;$I$5),2)))</f>
        <v/>
      </c>
      <c r="D94" s="196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>
        <f>IF(A94="","",IF($I$4="","POSICAO DE REFERENCIA INDISPONIVEL",IF($I$2,"ATUAL INFORMADA",IF(ISNUMBER(B94),"ATUAL IGNORADA (POSICAO INCOMPLETA) - FOTOGRAFIA "&amp;$I$4,"FOTOGRAFIA "&amp;$I$4))))</f>
        <v/>
      </c>
      <c r="F94" s="86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>
        <f>IF(A94="","",itens_Remanesc!C94)</f>
        <v/>
      </c>
      <c r="L94" s="192">
        <f>IF(A94="","",IF($I$4="C0",posicao_contratual!G94,IF($I$4="C1",posicao_contratual!K94,IF($I$4="C2",posicao_contratual!O94,IF($I$4="C3",posicao_contratual!S94,IF($I$4="C4",posicao_contratual!W94,""))))))</f>
        <v/>
      </c>
      <c r="M94" s="192">
        <f>IF(OR(A94="",$I$5="",$I$6=""),"",ROUND(SUMIFS(aditivos!$L$2:$L$200,aditivos!$A$2:$A$200,A94,aditivos!$B$2:$B$200,"&gt;"&amp;$I$6,aditivos!$B$2:$B$200,"&lt;="&amp;$I$5),2))</f>
        <v/>
      </c>
      <c r="N94" s="192">
        <f>IF(OR(A94="",L94="",D94=""),"",ROUND(MAX(L94+IF(ISNUMBER(M94),M94,0)-D94,0),2))</f>
        <v/>
      </c>
      <c r="O94" s="192">
        <f>IF(OR(A94="",D94="",K94="",$I$7=""),"",ROUND(D94*K94*$I$7,2))</f>
        <v/>
      </c>
      <c r="P94" s="192">
        <f>IF(OR(A94="",N94="",K94="",$I$7=""),"",ROUND(N94*K94*$I$7,2))</f>
        <v/>
      </c>
      <c r="Q94" s="192">
        <f>IF(OR(A94="",D94="",K94=""),"",ROUND(D94*K94,2))</f>
        <v/>
      </c>
      <c r="R94" s="192">
        <f>IF(OR(A94="",L94="",K94="",$I$7=""),"",ROUND(L94*K94*$I$7,2))</f>
        <v/>
      </c>
    </row>
    <row r="95">
      <c r="A95" s="86">
        <f>IF(itens_Remanesc!A95="","",itens_Remanesc!A95)</f>
        <v/>
      </c>
      <c r="B95" s="196" t="n"/>
      <c r="C95" s="196">
        <f>IF(A95="","",IF($I$5="","POSICAO DE REFERENCIA INDISPONIVEL",ROUND(IF(itens_Remanesc!B95="",0,itens_Remanesc!B95)+SUMIFS(aditivos!$L$2:$L$200,aditivos!$A$2:$A$200,A95,aditivos!$B$2:$B$200,"&lt;="&amp;$I$5),2)))</f>
        <v/>
      </c>
      <c r="D95" s="196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>
        <f>IF(A95="","",IF($I$4="","POSICAO DE REFERENCIA INDISPONIVEL",IF($I$2,"ATUAL INFORMADA",IF(ISNUMBER(B95),"ATUAL IGNORADA (POSICAO INCOMPLETA) - FOTOGRAFIA "&amp;$I$4,"FOTOGRAFIA "&amp;$I$4))))</f>
        <v/>
      </c>
      <c r="F95" s="86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>
        <f>IF(A95="","",itens_Remanesc!C95)</f>
        <v/>
      </c>
      <c r="L95" s="192">
        <f>IF(A95="","",IF($I$4="C0",posicao_contratual!G95,IF($I$4="C1",posicao_contratual!K95,IF($I$4="C2",posicao_contratual!O95,IF($I$4="C3",posicao_contratual!S95,IF($I$4="C4",posicao_contratual!W95,""))))))</f>
        <v/>
      </c>
      <c r="M95" s="192">
        <f>IF(OR(A95="",$I$5="",$I$6=""),"",ROUND(SUMIFS(aditivos!$L$2:$L$200,aditivos!$A$2:$A$200,A95,aditivos!$B$2:$B$200,"&gt;"&amp;$I$6,aditivos!$B$2:$B$200,"&lt;="&amp;$I$5),2))</f>
        <v/>
      </c>
      <c r="N95" s="192">
        <f>IF(OR(A95="",L95="",D95=""),"",ROUND(MAX(L95+IF(ISNUMBER(M95),M95,0)-D95,0),2))</f>
        <v/>
      </c>
      <c r="O95" s="192">
        <f>IF(OR(A95="",D95="",K95="",$I$7=""),"",ROUND(D95*K95*$I$7,2))</f>
        <v/>
      </c>
      <c r="P95" s="192">
        <f>IF(OR(A95="",N95="",K95="",$I$7=""),"",ROUND(N95*K95*$I$7,2))</f>
        <v/>
      </c>
      <c r="Q95" s="192">
        <f>IF(OR(A95="",D95="",K95=""),"",ROUND(D95*K95,2))</f>
        <v/>
      </c>
      <c r="R95" s="192">
        <f>IF(OR(A95="",L95="",K95="",$I$7=""),"",ROUND(L95*K95*$I$7,2))</f>
        <v/>
      </c>
    </row>
    <row r="96">
      <c r="A96" s="86">
        <f>IF(itens_Remanesc!A96="","",itens_Remanesc!A96)</f>
        <v/>
      </c>
      <c r="B96" s="196" t="n"/>
      <c r="C96" s="196">
        <f>IF(A96="","",IF($I$5="","POSICAO DE REFERENCIA INDISPONIVEL",ROUND(IF(itens_Remanesc!B96="",0,itens_Remanesc!B96)+SUMIFS(aditivos!$L$2:$L$200,aditivos!$A$2:$A$200,A96,aditivos!$B$2:$B$200,"&lt;="&amp;$I$5),2)))</f>
        <v/>
      </c>
      <c r="D96" s="196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>
        <f>IF(A96="","",IF($I$4="","POSICAO DE REFERENCIA INDISPONIVEL",IF($I$2,"ATUAL INFORMADA",IF(ISNUMBER(B96),"ATUAL IGNORADA (POSICAO INCOMPLETA) - FOTOGRAFIA "&amp;$I$4,"FOTOGRAFIA "&amp;$I$4))))</f>
        <v/>
      </c>
      <c r="F96" s="86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>
        <f>IF(A96="","",itens_Remanesc!C96)</f>
        <v/>
      </c>
      <c r="L96" s="192">
        <f>IF(A96="","",IF($I$4="C0",posicao_contratual!G96,IF($I$4="C1",posicao_contratual!K96,IF($I$4="C2",posicao_contratual!O96,IF($I$4="C3",posicao_contratual!S96,IF($I$4="C4",posicao_contratual!W96,""))))))</f>
        <v/>
      </c>
      <c r="M96" s="192">
        <f>IF(OR(A96="",$I$5="",$I$6=""),"",ROUND(SUMIFS(aditivos!$L$2:$L$200,aditivos!$A$2:$A$200,A96,aditivos!$B$2:$B$200,"&gt;"&amp;$I$6,aditivos!$B$2:$B$200,"&lt;="&amp;$I$5),2))</f>
        <v/>
      </c>
      <c r="N96" s="192">
        <f>IF(OR(A96="",L96="",D96=""),"",ROUND(MAX(L96+IF(ISNUMBER(M96),M96,0)-D96,0),2))</f>
        <v/>
      </c>
      <c r="O96" s="192">
        <f>IF(OR(A96="",D96="",K96="",$I$7=""),"",ROUND(D96*K96*$I$7,2))</f>
        <v/>
      </c>
      <c r="P96" s="192">
        <f>IF(OR(A96="",N96="",K96="",$I$7=""),"",ROUND(N96*K96*$I$7,2))</f>
        <v/>
      </c>
      <c r="Q96" s="192">
        <f>IF(OR(A96="",D96="",K96=""),"",ROUND(D96*K96,2))</f>
        <v/>
      </c>
      <c r="R96" s="192">
        <f>IF(OR(A96="",L96="",K96="",$I$7=""),"",ROUND(L96*K96*$I$7,2))</f>
        <v/>
      </c>
    </row>
    <row r="97">
      <c r="A97" s="86">
        <f>IF(itens_Remanesc!A97="","",itens_Remanesc!A97)</f>
        <v/>
      </c>
      <c r="B97" s="196" t="n"/>
      <c r="C97" s="196">
        <f>IF(A97="","",IF($I$5="","POSICAO DE REFERENCIA INDISPONIVEL",ROUND(IF(itens_Remanesc!B97="",0,itens_Remanesc!B97)+SUMIFS(aditivos!$L$2:$L$200,aditivos!$A$2:$A$200,A97,aditivos!$B$2:$B$200,"&lt;="&amp;$I$5),2)))</f>
        <v/>
      </c>
      <c r="D97" s="196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>
        <f>IF(A97="","",IF($I$4="","POSICAO DE REFERENCIA INDISPONIVEL",IF($I$2,"ATUAL INFORMADA",IF(ISNUMBER(B97),"ATUAL IGNORADA (POSICAO INCOMPLETA) - FOTOGRAFIA "&amp;$I$4,"FOTOGRAFIA "&amp;$I$4))))</f>
        <v/>
      </c>
      <c r="F97" s="86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>
        <f>IF(A97="","",itens_Remanesc!C97)</f>
        <v/>
      </c>
      <c r="L97" s="192">
        <f>IF(A97="","",IF($I$4="C0",posicao_contratual!G97,IF($I$4="C1",posicao_contratual!K97,IF($I$4="C2",posicao_contratual!O97,IF($I$4="C3",posicao_contratual!S97,IF($I$4="C4",posicao_contratual!W97,""))))))</f>
        <v/>
      </c>
      <c r="M97" s="192">
        <f>IF(OR(A97="",$I$5="",$I$6=""),"",ROUND(SUMIFS(aditivos!$L$2:$L$200,aditivos!$A$2:$A$200,A97,aditivos!$B$2:$B$200,"&gt;"&amp;$I$6,aditivos!$B$2:$B$200,"&lt;="&amp;$I$5),2))</f>
        <v/>
      </c>
      <c r="N97" s="192">
        <f>IF(OR(A97="",L97="",D97=""),"",ROUND(MAX(L97+IF(ISNUMBER(M97),M97,0)-D97,0),2))</f>
        <v/>
      </c>
      <c r="O97" s="192">
        <f>IF(OR(A97="",D97="",K97="",$I$7=""),"",ROUND(D97*K97*$I$7,2))</f>
        <v/>
      </c>
      <c r="P97" s="192">
        <f>IF(OR(A97="",N97="",K97="",$I$7=""),"",ROUND(N97*K97*$I$7,2))</f>
        <v/>
      </c>
      <c r="Q97" s="192">
        <f>IF(OR(A97="",D97="",K97=""),"",ROUND(D97*K97,2))</f>
        <v/>
      </c>
      <c r="R97" s="192">
        <f>IF(OR(A97="",L97="",K97="",$I$7=""),"",ROUND(L97*K97*$I$7,2))</f>
        <v/>
      </c>
    </row>
    <row r="98">
      <c r="A98" s="86">
        <f>IF(itens_Remanesc!A98="","",itens_Remanesc!A98)</f>
        <v/>
      </c>
      <c r="B98" s="196" t="n"/>
      <c r="C98" s="196">
        <f>IF(A98="","",IF($I$5="","POSICAO DE REFERENCIA INDISPONIVEL",ROUND(IF(itens_Remanesc!B98="",0,itens_Remanesc!B98)+SUMIFS(aditivos!$L$2:$L$200,aditivos!$A$2:$A$200,A98,aditivos!$B$2:$B$200,"&lt;="&amp;$I$5),2)))</f>
        <v/>
      </c>
      <c r="D98" s="196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>
        <f>IF(A98="","",IF($I$4="","POSICAO DE REFERENCIA INDISPONIVEL",IF($I$2,"ATUAL INFORMADA",IF(ISNUMBER(B98),"ATUAL IGNORADA (POSICAO INCOMPLETA) - FOTOGRAFIA "&amp;$I$4,"FOTOGRAFIA "&amp;$I$4))))</f>
        <v/>
      </c>
      <c r="F98" s="86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>
        <f>IF(A98="","",itens_Remanesc!C98)</f>
        <v/>
      </c>
      <c r="L98" s="192">
        <f>IF(A98="","",IF($I$4="C0",posicao_contratual!G98,IF($I$4="C1",posicao_contratual!K98,IF($I$4="C2",posicao_contratual!O98,IF($I$4="C3",posicao_contratual!S98,IF($I$4="C4",posicao_contratual!W98,""))))))</f>
        <v/>
      </c>
      <c r="M98" s="192">
        <f>IF(OR(A98="",$I$5="",$I$6=""),"",ROUND(SUMIFS(aditivos!$L$2:$L$200,aditivos!$A$2:$A$200,A98,aditivos!$B$2:$B$200,"&gt;"&amp;$I$6,aditivos!$B$2:$B$200,"&lt;="&amp;$I$5),2))</f>
        <v/>
      </c>
      <c r="N98" s="192">
        <f>IF(OR(A98="",L98="",D98=""),"",ROUND(MAX(L98+IF(ISNUMBER(M98),M98,0)-D98,0),2))</f>
        <v/>
      </c>
      <c r="O98" s="192">
        <f>IF(OR(A98="",D98="",K98="",$I$7=""),"",ROUND(D98*K98*$I$7,2))</f>
        <v/>
      </c>
      <c r="P98" s="192">
        <f>IF(OR(A98="",N98="",K98="",$I$7=""),"",ROUND(N98*K98*$I$7,2))</f>
        <v/>
      </c>
      <c r="Q98" s="192">
        <f>IF(OR(A98="",D98="",K98=""),"",ROUND(D98*K98,2))</f>
        <v/>
      </c>
      <c r="R98" s="192">
        <f>IF(OR(A98="",L98="",K98="",$I$7=""),"",ROUND(L98*K98*$I$7,2))</f>
        <v/>
      </c>
    </row>
    <row r="99">
      <c r="A99" s="86">
        <f>IF(itens_Remanesc!A99="","",itens_Remanesc!A99)</f>
        <v/>
      </c>
      <c r="B99" s="196" t="n"/>
      <c r="C99" s="196">
        <f>IF(A99="","",IF($I$5="","POSICAO DE REFERENCIA INDISPONIVEL",ROUND(IF(itens_Remanesc!B99="",0,itens_Remanesc!B99)+SUMIFS(aditivos!$L$2:$L$200,aditivos!$A$2:$A$200,A99,aditivos!$B$2:$B$200,"&lt;="&amp;$I$5),2)))</f>
        <v/>
      </c>
      <c r="D99" s="196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>
        <f>IF(A99="","",IF($I$4="","POSICAO DE REFERENCIA INDISPONIVEL",IF($I$2,"ATUAL INFORMADA",IF(ISNUMBER(B99),"ATUAL IGNORADA (POSICAO INCOMPLETA) - FOTOGRAFIA "&amp;$I$4,"FOTOGRAFIA "&amp;$I$4))))</f>
        <v/>
      </c>
      <c r="F99" s="86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>
        <f>IF(A99="","",itens_Remanesc!C99)</f>
        <v/>
      </c>
      <c r="L99" s="192">
        <f>IF(A99="","",IF($I$4="C0",posicao_contratual!G99,IF($I$4="C1",posicao_contratual!K99,IF($I$4="C2",posicao_contratual!O99,IF($I$4="C3",posicao_contratual!S99,IF($I$4="C4",posicao_contratual!W99,""))))))</f>
        <v/>
      </c>
      <c r="M99" s="192">
        <f>IF(OR(A99="",$I$5="",$I$6=""),"",ROUND(SUMIFS(aditivos!$L$2:$L$200,aditivos!$A$2:$A$200,A99,aditivos!$B$2:$B$200,"&gt;"&amp;$I$6,aditivos!$B$2:$B$200,"&lt;="&amp;$I$5),2))</f>
        <v/>
      </c>
      <c r="N99" s="192">
        <f>IF(OR(A99="",L99="",D99=""),"",ROUND(MAX(L99+IF(ISNUMBER(M99),M99,0)-D99,0),2))</f>
        <v/>
      </c>
      <c r="O99" s="192">
        <f>IF(OR(A99="",D99="",K99="",$I$7=""),"",ROUND(D99*K99*$I$7,2))</f>
        <v/>
      </c>
      <c r="P99" s="192">
        <f>IF(OR(A99="",N99="",K99="",$I$7=""),"",ROUND(N99*K99*$I$7,2))</f>
        <v/>
      </c>
      <c r="Q99" s="192">
        <f>IF(OR(A99="",D99="",K99=""),"",ROUND(D99*K99,2))</f>
        <v/>
      </c>
      <c r="R99" s="192">
        <f>IF(OR(A99="",L99="",K99="",$I$7=""),"",ROUND(L99*K99*$I$7,2))</f>
        <v/>
      </c>
    </row>
    <row r="100">
      <c r="A100" s="86">
        <f>IF(itens_Remanesc!A100="","",itens_Remanesc!A100)</f>
        <v/>
      </c>
      <c r="B100" s="196" t="n"/>
      <c r="C100" s="196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>
        <f>IF(A100="","",IF($I$4="","POSICAO DE REFERENCIA INDISPONIVEL",IF($I$2,"ATUAL INFORMADA",IF(ISNUMBER(B100),"ATUAL IGNORADA (POSICAO INCOMPLETA) - FOTOGRAFIA "&amp;$I$4,"FOTOGRAFIA "&amp;$I$4))))</f>
        <v/>
      </c>
      <c r="F100" s="86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>
        <f>IF(A100="","",itens_Remanesc!C100)</f>
        <v/>
      </c>
      <c r="L100" s="192">
        <f>IF(A100="","",IF($I$4="C0",posicao_contratual!G100,IF($I$4="C1",posicao_contratual!K100,IF($I$4="C2",posicao_contratual!O100,IF($I$4="C3",posicao_contratual!S100,IF($I$4="C4",posicao_contratual!W100,""))))))</f>
        <v/>
      </c>
      <c r="M100" s="192">
        <f>IF(OR(A100="",$I$5="",$I$6=""),"",ROUND(SUMIFS(aditivos!$L$2:$L$200,aditivos!$A$2:$A$200,A100,aditivos!$B$2:$B$200,"&gt;"&amp;$I$6,aditivos!$B$2:$B$200,"&lt;="&amp;$I$5),2))</f>
        <v/>
      </c>
      <c r="N100" s="192">
        <f>IF(OR(A100="",L100="",D100=""),"",ROUND(MAX(L100+IF(ISNUMBER(M100),M100,0)-D100,0),2))</f>
        <v/>
      </c>
      <c r="O100" s="192">
        <f>IF(OR(A100="",D100="",K100="",$I$7=""),"",ROUND(D100*K100*$I$7,2))</f>
        <v/>
      </c>
      <c r="P100" s="192">
        <f>IF(OR(A100="",N100="",K100="",$I$7=""),"",ROUND(N100*K100*$I$7,2))</f>
        <v/>
      </c>
      <c r="Q100" s="192">
        <f>IF(OR(A100="",D100="",K100=""),"",ROUND(D100*K100,2))</f>
        <v/>
      </c>
      <c r="R100" s="192">
        <f>IF(OR(A100="",L100="",K100="",$I$7=""),"",ROUND(L100*K100*$I$7,2))</f>
        <v/>
      </c>
    </row>
    <row r="101">
      <c r="A101" s="86">
        <f>IF(itens_Remanesc!A101="","",itens_Remanesc!A101)</f>
        <v/>
      </c>
      <c r="B101" s="196" t="n"/>
      <c r="C101" s="196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>
        <f>IF(A101="","",IF($I$4="","POSICAO DE REFERENCIA INDISPONIVEL",IF($I$2,"ATUAL INFORMADA",IF(ISNUMBER(B101),"ATUAL IGNORADA (POSICAO INCOMPLETA) - FOTOGRAFIA "&amp;$I$4,"FOTOGRAFIA "&amp;$I$4))))</f>
        <v/>
      </c>
      <c r="F101" s="86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>
        <f>IF(A101="","",itens_Remanesc!C101)</f>
        <v/>
      </c>
      <c r="L101" s="192">
        <f>IF(A101="","",IF($I$4="C0",posicao_contratual!G101,IF($I$4="C1",posicao_contratual!K101,IF($I$4="C2",posicao_contratual!O101,IF($I$4="C3",posicao_contratual!S101,IF($I$4="C4",posicao_contratual!W101,""))))))</f>
        <v/>
      </c>
      <c r="M101" s="192">
        <f>IF(OR(A101="",$I$5="",$I$6=""),"",ROUND(SUMIFS(aditivos!$L$2:$L$200,aditivos!$A$2:$A$200,A101,aditivos!$B$2:$B$200,"&gt;"&amp;$I$6,aditivos!$B$2:$B$200,"&lt;="&amp;$I$5),2))</f>
        <v/>
      </c>
      <c r="N101" s="192">
        <f>IF(OR(A101="",L101="",D101=""),"",ROUND(MAX(L101+IF(ISNUMBER(M101),M101,0)-D101,0),2))</f>
        <v/>
      </c>
      <c r="O101" s="192">
        <f>IF(OR(A101="",D101="",K101="",$I$7=""),"",ROUND(D101*K101*$I$7,2))</f>
        <v/>
      </c>
      <c r="P101" s="192">
        <f>IF(OR(A101="",N101="",K101="",$I$7=""),"",ROUND(N101*K101*$I$7,2))</f>
        <v/>
      </c>
      <c r="Q101" s="192">
        <f>IF(OR(A101="",D101="",K101=""),"",ROUND(D101*K101,2))</f>
        <v/>
      </c>
      <c r="R101" s="192">
        <f>IF(OR(A101="",L101="",K101="",$I$7=""),"",ROUND(L101*K101*$I$7,2))</f>
        <v/>
      </c>
    </row>
    <row r="102">
      <c r="A102" s="86">
        <f>IF(itens_Remanesc!A102="","",itens_Remanesc!A102)</f>
        <v/>
      </c>
      <c r="B102" s="196" t="n"/>
      <c r="C102" s="196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>
        <f>IF(A102="","",IF($I$4="","POSICAO DE REFERENCIA INDISPONIVEL",IF($I$2,"ATUAL INFORMADA",IF(ISNUMBER(B102),"ATUAL IGNORADA (POSICAO INCOMPLETA) - FOTOGRAFIA "&amp;$I$4,"FOTOGRAFIA "&amp;$I$4))))</f>
        <v/>
      </c>
      <c r="F102" s="86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>
        <f>IF(A102="","",itens_Remanesc!C102)</f>
        <v/>
      </c>
      <c r="L102" s="192">
        <f>IF(A102="","",IF($I$4="C0",posicao_contratual!G102,IF($I$4="C1",posicao_contratual!K102,IF($I$4="C2",posicao_contratual!O102,IF($I$4="C3",posicao_contratual!S102,IF($I$4="C4",posicao_contratual!W102,""))))))</f>
        <v/>
      </c>
      <c r="M102" s="192">
        <f>IF(OR(A102="",$I$5="",$I$6=""),"",ROUND(SUMIFS(aditivos!$L$2:$L$200,aditivos!$A$2:$A$200,A102,aditivos!$B$2:$B$200,"&gt;"&amp;$I$6,aditivos!$B$2:$B$200,"&lt;="&amp;$I$5),2))</f>
        <v/>
      </c>
      <c r="N102" s="192">
        <f>IF(OR(A102="",L102="",D102=""),"",ROUND(MAX(L102+IF(ISNUMBER(M102),M102,0)-D102,0),2))</f>
        <v/>
      </c>
      <c r="O102" s="192">
        <f>IF(OR(A102="",D102="",K102="",$I$7=""),"",ROUND(D102*K102*$I$7,2))</f>
        <v/>
      </c>
      <c r="P102" s="192">
        <f>IF(OR(A102="",N102="",K102="",$I$7=""),"",ROUND(N102*K102*$I$7,2))</f>
        <v/>
      </c>
      <c r="Q102" s="192">
        <f>IF(OR(A102="",D102="",K102=""),"",ROUND(D102*K102,2))</f>
        <v/>
      </c>
      <c r="R102" s="192">
        <f>IF(OR(A102="",L102="",K102="",$I$7=""),"",ROUND(L102*K102*$I$7,2))</f>
        <v/>
      </c>
    </row>
    <row r="103">
      <c r="A103" s="86">
        <f>IF(itens_Remanesc!A103="","",itens_Remanesc!A103)</f>
        <v/>
      </c>
      <c r="B103" s="196" t="n"/>
      <c r="C103" s="196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>
        <f>IF(A103="","",IF($I$4="","POSICAO DE REFERENCIA INDISPONIVEL",IF($I$2,"ATUAL INFORMADA",IF(ISNUMBER(B103),"ATUAL IGNORADA (POSICAO INCOMPLETA) - FOTOGRAFIA "&amp;$I$4,"FOTOGRAFIA "&amp;$I$4))))</f>
        <v/>
      </c>
      <c r="F103" s="86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>
        <f>IF(A103="","",itens_Remanesc!C103)</f>
        <v/>
      </c>
      <c r="L103" s="192">
        <f>IF(A103="","",IF($I$4="C0",posicao_contratual!G103,IF($I$4="C1",posicao_contratual!K103,IF($I$4="C2",posicao_contratual!O103,IF($I$4="C3",posicao_contratual!S103,IF($I$4="C4",posicao_contratual!W103,""))))))</f>
        <v/>
      </c>
      <c r="M103" s="192">
        <f>IF(OR(A103="",$I$5="",$I$6=""),"",ROUND(SUMIFS(aditivos!$L$2:$L$200,aditivos!$A$2:$A$200,A103,aditivos!$B$2:$B$200,"&gt;"&amp;$I$6,aditivos!$B$2:$B$200,"&lt;="&amp;$I$5),2))</f>
        <v/>
      </c>
      <c r="N103" s="192">
        <f>IF(OR(A103="",L103="",D103=""),"",ROUND(MAX(L103+IF(ISNUMBER(M103),M103,0)-D103,0),2))</f>
        <v/>
      </c>
      <c r="O103" s="192">
        <f>IF(OR(A103="",D103="",K103="",$I$7=""),"",ROUND(D103*K103*$I$7,2))</f>
        <v/>
      </c>
      <c r="P103" s="192">
        <f>IF(OR(A103="",N103="",K103="",$I$7=""),"",ROUND(N103*K103*$I$7,2))</f>
        <v/>
      </c>
      <c r="Q103" s="192">
        <f>IF(OR(A103="",D103="",K103=""),"",ROUND(D103*K103,2))</f>
        <v/>
      </c>
      <c r="R103" s="192">
        <f>IF(OR(A103="",L103="",K103="",$I$7=""),"",ROUND(L103*K103*$I$7,2))</f>
        <v/>
      </c>
    </row>
    <row r="104">
      <c r="A104" s="86">
        <f>IF(itens_Remanesc!A104="","",itens_Remanesc!A104)</f>
        <v/>
      </c>
      <c r="B104" s="196" t="n"/>
      <c r="C104" s="196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>
        <f>IF(A104="","",IF($I$4="","POSICAO DE REFERENCIA INDISPONIVEL",IF($I$2,"ATUAL INFORMADA",IF(ISNUMBER(B104),"ATUAL IGNORADA (POSICAO INCOMPLETA) - FOTOGRAFIA "&amp;$I$4,"FOTOGRAFIA "&amp;$I$4))))</f>
        <v/>
      </c>
      <c r="F104" s="86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>
        <f>IF(A104="","",itens_Remanesc!C104)</f>
        <v/>
      </c>
      <c r="L104" s="192">
        <f>IF(A104="","",IF($I$4="C0",posicao_contratual!G104,IF($I$4="C1",posicao_contratual!K104,IF($I$4="C2",posicao_contratual!O104,IF($I$4="C3",posicao_contratual!S104,IF($I$4="C4",posicao_contratual!W104,""))))))</f>
        <v/>
      </c>
      <c r="M104" s="192">
        <f>IF(OR(A104="",$I$5="",$I$6=""),"",ROUND(SUMIFS(aditivos!$L$2:$L$200,aditivos!$A$2:$A$200,A104,aditivos!$B$2:$B$200,"&gt;"&amp;$I$6,aditivos!$B$2:$B$200,"&lt;="&amp;$I$5),2))</f>
        <v/>
      </c>
      <c r="N104" s="192">
        <f>IF(OR(A104="",L104="",D104=""),"",ROUND(MAX(L104+IF(ISNUMBER(M104),M104,0)-D104,0),2))</f>
        <v/>
      </c>
      <c r="O104" s="192">
        <f>IF(OR(A104="",D104="",K104="",$I$7=""),"",ROUND(D104*K104*$I$7,2))</f>
        <v/>
      </c>
      <c r="P104" s="192">
        <f>IF(OR(A104="",N104="",K104="",$I$7=""),"",ROUND(N104*K104*$I$7,2))</f>
        <v/>
      </c>
      <c r="Q104" s="192">
        <f>IF(OR(A104="",D104="",K104=""),"",ROUND(D104*K104,2))</f>
        <v/>
      </c>
      <c r="R104" s="192">
        <f>IF(OR(A104="",L104="",K104="",$I$7=""),"",ROUND(L104*K104*$I$7,2))</f>
        <v/>
      </c>
    </row>
    <row r="105">
      <c r="A105" s="86">
        <f>IF(itens_Remanesc!A105="","",itens_Remanesc!A105)</f>
        <v/>
      </c>
      <c r="B105" s="196" t="n"/>
      <c r="C105" s="196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>
        <f>IF(A105="","",IF($I$4="","POSICAO DE REFERENCIA INDISPONIVEL",IF($I$2,"ATUAL INFORMADA",IF(ISNUMBER(B105),"ATUAL IGNORADA (POSICAO INCOMPLETA) - FOTOGRAFIA "&amp;$I$4,"FOTOGRAFIA "&amp;$I$4))))</f>
        <v/>
      </c>
      <c r="F105" s="86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>
        <f>IF(A105="","",itens_Remanesc!C105)</f>
        <v/>
      </c>
      <c r="L105" s="192">
        <f>IF(A105="","",IF($I$4="C0",posicao_contratual!G105,IF($I$4="C1",posicao_contratual!K105,IF($I$4="C2",posicao_contratual!O105,IF($I$4="C3",posicao_contratual!S105,IF($I$4="C4",posicao_contratual!W105,""))))))</f>
        <v/>
      </c>
      <c r="M105" s="192">
        <f>IF(OR(A105="",$I$5="",$I$6=""),"",ROUND(SUMIFS(aditivos!$L$2:$L$200,aditivos!$A$2:$A$200,A105,aditivos!$B$2:$B$200,"&gt;"&amp;$I$6,aditivos!$B$2:$B$200,"&lt;="&amp;$I$5),2))</f>
        <v/>
      </c>
      <c r="N105" s="192">
        <f>IF(OR(A105="",L105="",D105=""),"",ROUND(MAX(L105+IF(ISNUMBER(M105),M105,0)-D105,0),2))</f>
        <v/>
      </c>
      <c r="O105" s="192">
        <f>IF(OR(A105="",D105="",K105="",$I$7=""),"",ROUND(D105*K105*$I$7,2))</f>
        <v/>
      </c>
      <c r="P105" s="192">
        <f>IF(OR(A105="",N105="",K105="",$I$7=""),"",ROUND(N105*K105*$I$7,2))</f>
        <v/>
      </c>
      <c r="Q105" s="192">
        <f>IF(OR(A105="",D105="",K105=""),"",ROUND(D105*K105,2))</f>
        <v/>
      </c>
      <c r="R105" s="192">
        <f>IF(OR(A105="",L105="",K105="",$I$7=""),"",ROUND(L105*K105*$I$7,2))</f>
        <v/>
      </c>
    </row>
    <row r="106">
      <c r="A106" s="86">
        <f>IF(itens_Remanesc!A106="","",itens_Remanesc!A106)</f>
        <v/>
      </c>
      <c r="B106" s="196" t="n"/>
      <c r="C106" s="196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>
        <f>IF(A106="","",IF($I$4="","POSICAO DE REFERENCIA INDISPONIVEL",IF($I$2,"ATUAL INFORMADA",IF(ISNUMBER(B106),"ATUAL IGNORADA (POSICAO INCOMPLETA) - FOTOGRAFIA "&amp;$I$4,"FOTOGRAFIA "&amp;$I$4))))</f>
        <v/>
      </c>
      <c r="F106" s="86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>
        <f>IF(A106="","",itens_Remanesc!C106)</f>
        <v/>
      </c>
      <c r="L106" s="192">
        <f>IF(A106="","",IF($I$4="C0",posicao_contratual!G106,IF($I$4="C1",posicao_contratual!K106,IF($I$4="C2",posicao_contratual!O106,IF($I$4="C3",posicao_contratual!S106,IF($I$4="C4",posicao_contratual!W106,""))))))</f>
        <v/>
      </c>
      <c r="M106" s="192">
        <f>IF(OR(A106="",$I$5="",$I$6=""),"",ROUND(SUMIFS(aditivos!$L$2:$L$200,aditivos!$A$2:$A$200,A106,aditivos!$B$2:$B$200,"&gt;"&amp;$I$6,aditivos!$B$2:$B$200,"&lt;="&amp;$I$5),2))</f>
        <v/>
      </c>
      <c r="N106" s="192">
        <f>IF(OR(A106="",L106="",D106=""),"",ROUND(MAX(L106+IF(ISNUMBER(M106),M106,0)-D106,0),2))</f>
        <v/>
      </c>
      <c r="O106" s="192">
        <f>IF(OR(A106="",D106="",K106="",$I$7=""),"",ROUND(D106*K106*$I$7,2))</f>
        <v/>
      </c>
      <c r="P106" s="192">
        <f>IF(OR(A106="",N106="",K106="",$I$7=""),"",ROUND(N106*K106*$I$7,2))</f>
        <v/>
      </c>
      <c r="Q106" s="192">
        <f>IF(OR(A106="",D106="",K106=""),"",ROUND(D106*K106,2))</f>
        <v/>
      </c>
      <c r="R106" s="192">
        <f>IF(OR(A106="",L106="",K106="",$I$7=""),"",ROUND(L106*K106*$I$7,2))</f>
        <v/>
      </c>
    </row>
    <row r="107">
      <c r="A107" s="86">
        <f>IF(itens_Remanesc!A107="","",itens_Remanesc!A107)</f>
        <v/>
      </c>
      <c r="B107" s="196" t="n"/>
      <c r="C107" s="196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>
        <f>IF(A107="","",IF($I$4="","POSICAO DE REFERENCIA INDISPONIVEL",IF($I$2,"ATUAL INFORMADA",IF(ISNUMBER(B107),"ATUAL IGNORADA (POSICAO INCOMPLETA) - FOTOGRAFIA "&amp;$I$4,"FOTOGRAFIA "&amp;$I$4))))</f>
        <v/>
      </c>
      <c r="F107" s="86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>
        <f>IF(A107="","",itens_Remanesc!C107)</f>
        <v/>
      </c>
      <c r="L107" s="192">
        <f>IF(A107="","",IF($I$4="C0",posicao_contratual!G107,IF($I$4="C1",posicao_contratual!K107,IF($I$4="C2",posicao_contratual!O107,IF($I$4="C3",posicao_contratual!S107,IF($I$4="C4",posicao_contratual!W107,""))))))</f>
        <v/>
      </c>
      <c r="M107" s="192">
        <f>IF(OR(A107="",$I$5="",$I$6=""),"",ROUND(SUMIFS(aditivos!$L$2:$L$200,aditivos!$A$2:$A$200,A107,aditivos!$B$2:$B$200,"&gt;"&amp;$I$6,aditivos!$B$2:$B$200,"&lt;="&amp;$I$5),2))</f>
        <v/>
      </c>
      <c r="N107" s="192">
        <f>IF(OR(A107="",L107="",D107=""),"",ROUND(MAX(L107+IF(ISNUMBER(M107),M107,0)-D107,0),2))</f>
        <v/>
      </c>
      <c r="O107" s="192">
        <f>IF(OR(A107="",D107="",K107="",$I$7=""),"",ROUND(D107*K107*$I$7,2))</f>
        <v/>
      </c>
      <c r="P107" s="192">
        <f>IF(OR(A107="",N107="",K107="",$I$7=""),"",ROUND(N107*K107*$I$7,2))</f>
        <v/>
      </c>
      <c r="Q107" s="192">
        <f>IF(OR(A107="",D107="",K107=""),"",ROUND(D107*K107,2))</f>
        <v/>
      </c>
      <c r="R107" s="192">
        <f>IF(OR(A107="",L107="",K107="",$I$7=""),"",ROUND(L107*K107*$I$7,2))</f>
        <v/>
      </c>
    </row>
    <row r="108">
      <c r="A108" s="86">
        <f>IF(itens_Remanesc!A108="","",itens_Remanesc!A108)</f>
        <v/>
      </c>
      <c r="B108" s="196" t="n"/>
      <c r="C108" s="196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>
        <f>IF(A108="","",IF($I$4="","POSICAO DE REFERENCIA INDISPONIVEL",IF($I$2,"ATUAL INFORMADA",IF(ISNUMBER(B108),"ATUAL IGNORADA (POSICAO INCOMPLETA) - FOTOGRAFIA "&amp;$I$4,"FOTOGRAFIA "&amp;$I$4))))</f>
        <v/>
      </c>
      <c r="F108" s="86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>
        <f>IF(A108="","",itens_Remanesc!C108)</f>
        <v/>
      </c>
      <c r="L108" s="192">
        <f>IF(A108="","",IF($I$4="C0",posicao_contratual!G108,IF($I$4="C1",posicao_contratual!K108,IF($I$4="C2",posicao_contratual!O108,IF($I$4="C3",posicao_contratual!S108,IF($I$4="C4",posicao_contratual!W108,""))))))</f>
        <v/>
      </c>
      <c r="M108" s="192">
        <f>IF(OR(A108="",$I$5="",$I$6=""),"",ROUND(SUMIFS(aditivos!$L$2:$L$200,aditivos!$A$2:$A$200,A108,aditivos!$B$2:$B$200,"&gt;"&amp;$I$6,aditivos!$B$2:$B$200,"&lt;="&amp;$I$5),2))</f>
        <v/>
      </c>
      <c r="N108" s="192">
        <f>IF(OR(A108="",L108="",D108=""),"",ROUND(MAX(L108+IF(ISNUMBER(M108),M108,0)-D108,0),2))</f>
        <v/>
      </c>
      <c r="O108" s="192">
        <f>IF(OR(A108="",D108="",K108="",$I$7=""),"",ROUND(D108*K108*$I$7,2))</f>
        <v/>
      </c>
      <c r="P108" s="192">
        <f>IF(OR(A108="",N108="",K108="",$I$7=""),"",ROUND(N108*K108*$I$7,2))</f>
        <v/>
      </c>
      <c r="Q108" s="192">
        <f>IF(OR(A108="",D108="",K108=""),"",ROUND(D108*K108,2))</f>
        <v/>
      </c>
      <c r="R108" s="192">
        <f>IF(OR(A108="",L108="",K108="",$I$7=""),"",ROUND(L108*K108*$I$7,2))</f>
        <v/>
      </c>
    </row>
    <row r="109">
      <c r="A109" s="86">
        <f>IF(itens_Remanesc!A109="","",itens_Remanesc!A109)</f>
        <v/>
      </c>
      <c r="B109" s="196" t="n"/>
      <c r="C109" s="196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>
        <f>IF(A109="","",IF($I$4="","POSICAO DE REFERENCIA INDISPONIVEL",IF($I$2,"ATUAL INFORMADA",IF(ISNUMBER(B109),"ATUAL IGNORADA (POSICAO INCOMPLETA) - FOTOGRAFIA "&amp;$I$4,"FOTOGRAFIA "&amp;$I$4))))</f>
        <v/>
      </c>
      <c r="F109" s="86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>
        <f>IF(A109="","",itens_Remanesc!C109)</f>
        <v/>
      </c>
      <c r="L109" s="192">
        <f>IF(A109="","",IF($I$4="C0",posicao_contratual!G109,IF($I$4="C1",posicao_contratual!K109,IF($I$4="C2",posicao_contratual!O109,IF($I$4="C3",posicao_contratual!S109,IF($I$4="C4",posicao_contratual!W109,""))))))</f>
        <v/>
      </c>
      <c r="M109" s="192">
        <f>IF(OR(A109="",$I$5="",$I$6=""),"",ROUND(SUMIFS(aditivos!$L$2:$L$200,aditivos!$A$2:$A$200,A109,aditivos!$B$2:$B$200,"&gt;"&amp;$I$6,aditivos!$B$2:$B$200,"&lt;="&amp;$I$5),2))</f>
        <v/>
      </c>
      <c r="N109" s="192">
        <f>IF(OR(A109="",L109="",D109=""),"",ROUND(MAX(L109+IF(ISNUMBER(M109),M109,0)-D109,0),2))</f>
        <v/>
      </c>
      <c r="O109" s="192">
        <f>IF(OR(A109="",D109="",K109="",$I$7=""),"",ROUND(D109*K109*$I$7,2))</f>
        <v/>
      </c>
      <c r="P109" s="192">
        <f>IF(OR(A109="",N109="",K109="",$I$7=""),"",ROUND(N109*K109*$I$7,2))</f>
        <v/>
      </c>
      <c r="Q109" s="192">
        <f>IF(OR(A109="",D109="",K109=""),"",ROUND(D109*K109,2))</f>
        <v/>
      </c>
      <c r="R109" s="192">
        <f>IF(OR(A109="",L109="",K109="",$I$7=""),"",ROUND(L109*K109*$I$7,2))</f>
        <v/>
      </c>
    </row>
    <row r="110">
      <c r="A110" s="86">
        <f>IF(itens_Remanesc!A110="","",itens_Remanesc!A110)</f>
        <v/>
      </c>
      <c r="B110" s="196" t="n"/>
      <c r="C110" s="196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>
        <f>IF(A110="","",IF($I$4="","POSICAO DE REFERENCIA INDISPONIVEL",IF($I$2,"ATUAL INFORMADA",IF(ISNUMBER(B110),"ATUAL IGNORADA (POSICAO INCOMPLETA) - FOTOGRAFIA "&amp;$I$4,"FOTOGRAFIA "&amp;$I$4))))</f>
        <v/>
      </c>
      <c r="F110" s="86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>
        <f>IF(A110="","",itens_Remanesc!C110)</f>
        <v/>
      </c>
      <c r="L110" s="192">
        <f>IF(A110="","",IF($I$4="C0",posicao_contratual!G110,IF($I$4="C1",posicao_contratual!K110,IF($I$4="C2",posicao_contratual!O110,IF($I$4="C3",posicao_contratual!S110,IF($I$4="C4",posicao_contratual!W110,""))))))</f>
        <v/>
      </c>
      <c r="M110" s="192">
        <f>IF(OR(A110="",$I$5="",$I$6=""),"",ROUND(SUMIFS(aditivos!$L$2:$L$200,aditivos!$A$2:$A$200,A110,aditivos!$B$2:$B$200,"&gt;"&amp;$I$6,aditivos!$B$2:$B$200,"&lt;="&amp;$I$5),2))</f>
        <v/>
      </c>
      <c r="N110" s="192">
        <f>IF(OR(A110="",L110="",D110=""),"",ROUND(MAX(L110+IF(ISNUMBER(M110),M110,0)-D110,0),2))</f>
        <v/>
      </c>
      <c r="O110" s="192">
        <f>IF(OR(A110="",D110="",K110="",$I$7=""),"",ROUND(D110*K110*$I$7,2))</f>
        <v/>
      </c>
      <c r="P110" s="192">
        <f>IF(OR(A110="",N110="",K110="",$I$7=""),"",ROUND(N110*K110*$I$7,2))</f>
        <v/>
      </c>
      <c r="Q110" s="192">
        <f>IF(OR(A110="",D110="",K110=""),"",ROUND(D110*K110,2))</f>
        <v/>
      </c>
      <c r="R110" s="192">
        <f>IF(OR(A110="",L110="",K110="",$I$7=""),"",ROUND(L110*K110*$I$7,2))</f>
        <v/>
      </c>
    </row>
    <row r="111">
      <c r="A111" s="86">
        <f>IF(itens_Remanesc!A111="","",itens_Remanesc!A111)</f>
        <v/>
      </c>
      <c r="B111" s="196" t="n"/>
      <c r="C111" s="196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>
        <f>IF(A111="","",IF($I$4="","POSICAO DE REFERENCIA INDISPONIVEL",IF($I$2,"ATUAL INFORMADA",IF(ISNUMBER(B111),"ATUAL IGNORADA (POSICAO INCOMPLETA) - FOTOGRAFIA "&amp;$I$4,"FOTOGRAFIA "&amp;$I$4))))</f>
        <v/>
      </c>
      <c r="F111" s="86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>
        <f>IF(A111="","",itens_Remanesc!C111)</f>
        <v/>
      </c>
      <c r="L111" s="192">
        <f>IF(A111="","",IF($I$4="C0",posicao_contratual!G111,IF($I$4="C1",posicao_contratual!K111,IF($I$4="C2",posicao_contratual!O111,IF($I$4="C3",posicao_contratual!S111,IF($I$4="C4",posicao_contratual!W111,""))))))</f>
        <v/>
      </c>
      <c r="M111" s="192">
        <f>IF(OR(A111="",$I$5="",$I$6=""),"",ROUND(SUMIFS(aditivos!$L$2:$L$200,aditivos!$A$2:$A$200,A111,aditivos!$B$2:$B$200,"&gt;"&amp;$I$6,aditivos!$B$2:$B$200,"&lt;="&amp;$I$5),2))</f>
        <v/>
      </c>
      <c r="N111" s="192">
        <f>IF(OR(A111="",L111="",D111=""),"",ROUND(MAX(L111+IF(ISNUMBER(M111),M111,0)-D111,0),2))</f>
        <v/>
      </c>
      <c r="O111" s="192">
        <f>IF(OR(A111="",D111="",K111="",$I$7=""),"",ROUND(D111*K111*$I$7,2))</f>
        <v/>
      </c>
      <c r="P111" s="192">
        <f>IF(OR(A111="",N111="",K111="",$I$7=""),"",ROUND(N111*K111*$I$7,2))</f>
        <v/>
      </c>
      <c r="Q111" s="192">
        <f>IF(OR(A111="",D111="",K111=""),"",ROUND(D111*K111,2))</f>
        <v/>
      </c>
      <c r="R111" s="192">
        <f>IF(OR(A111="",L111="",K111="",$I$7=""),"",ROUND(L111*K111*$I$7,2))</f>
        <v/>
      </c>
    </row>
    <row r="112">
      <c r="A112" s="86">
        <f>IF(itens_Remanesc!A112="","",itens_Remanesc!A112)</f>
        <v/>
      </c>
      <c r="B112" s="196" t="n"/>
      <c r="C112" s="196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>
        <f>IF(A112="","",IF($I$4="","POSICAO DE REFERENCIA INDISPONIVEL",IF($I$2,"ATUAL INFORMADA",IF(ISNUMBER(B112),"ATUAL IGNORADA (POSICAO INCOMPLETA) - FOTOGRAFIA "&amp;$I$4,"FOTOGRAFIA "&amp;$I$4))))</f>
        <v/>
      </c>
      <c r="F112" s="86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>
        <f>IF(A112="","",itens_Remanesc!C112)</f>
        <v/>
      </c>
      <c r="L112" s="192">
        <f>IF(A112="","",IF($I$4="C0",posicao_contratual!G112,IF($I$4="C1",posicao_contratual!K112,IF($I$4="C2",posicao_contratual!O112,IF($I$4="C3",posicao_contratual!S112,IF($I$4="C4",posicao_contratual!W112,""))))))</f>
        <v/>
      </c>
      <c r="M112" s="192">
        <f>IF(OR(A112="",$I$5="",$I$6=""),"",ROUND(SUMIFS(aditivos!$L$2:$L$200,aditivos!$A$2:$A$200,A112,aditivos!$B$2:$B$200,"&gt;"&amp;$I$6,aditivos!$B$2:$B$200,"&lt;="&amp;$I$5),2))</f>
        <v/>
      </c>
      <c r="N112" s="192">
        <f>IF(OR(A112="",L112="",D112=""),"",ROUND(MAX(L112+IF(ISNUMBER(M112),M112,0)-D112,0),2))</f>
        <v/>
      </c>
      <c r="O112" s="192">
        <f>IF(OR(A112="",D112="",K112="",$I$7=""),"",ROUND(D112*K112*$I$7,2))</f>
        <v/>
      </c>
      <c r="P112" s="192">
        <f>IF(OR(A112="",N112="",K112="",$I$7=""),"",ROUND(N112*K112*$I$7,2))</f>
        <v/>
      </c>
      <c r="Q112" s="192">
        <f>IF(OR(A112="",D112="",K112=""),"",ROUND(D112*K112,2))</f>
        <v/>
      </c>
      <c r="R112" s="192">
        <f>IF(OR(A112="",L112="",K112="",$I$7=""),"",ROUND(L112*K112*$I$7,2))</f>
        <v/>
      </c>
    </row>
    <row r="113">
      <c r="A113" s="86">
        <f>IF(itens_Remanesc!A113="","",itens_Remanesc!A113)</f>
        <v/>
      </c>
      <c r="B113" s="196" t="n"/>
      <c r="C113" s="196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>
        <f>IF(A113="","",IF($I$4="","POSICAO DE REFERENCIA INDISPONIVEL",IF($I$2,"ATUAL INFORMADA",IF(ISNUMBER(B113),"ATUAL IGNORADA (POSICAO INCOMPLETA) - FOTOGRAFIA "&amp;$I$4,"FOTOGRAFIA "&amp;$I$4))))</f>
        <v/>
      </c>
      <c r="F113" s="86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>
        <f>IF(A113="","",itens_Remanesc!C113)</f>
        <v/>
      </c>
      <c r="L113" s="192">
        <f>IF(A113="","",IF($I$4="C0",posicao_contratual!G113,IF($I$4="C1",posicao_contratual!K113,IF($I$4="C2",posicao_contratual!O113,IF($I$4="C3",posicao_contratual!S113,IF($I$4="C4",posicao_contratual!W113,""))))))</f>
        <v/>
      </c>
      <c r="M113" s="192">
        <f>IF(OR(A113="",$I$5="",$I$6=""),"",ROUND(SUMIFS(aditivos!$L$2:$L$200,aditivos!$A$2:$A$200,A113,aditivos!$B$2:$B$200,"&gt;"&amp;$I$6,aditivos!$B$2:$B$200,"&lt;="&amp;$I$5),2))</f>
        <v/>
      </c>
      <c r="N113" s="192">
        <f>IF(OR(A113="",L113="",D113=""),"",ROUND(MAX(L113+IF(ISNUMBER(M113),M113,0)-D113,0),2))</f>
        <v/>
      </c>
      <c r="O113" s="192">
        <f>IF(OR(A113="",D113="",K113="",$I$7=""),"",ROUND(D113*K113*$I$7,2))</f>
        <v/>
      </c>
      <c r="P113" s="192">
        <f>IF(OR(A113="",N113="",K113="",$I$7=""),"",ROUND(N113*K113*$I$7,2))</f>
        <v/>
      </c>
      <c r="Q113" s="192">
        <f>IF(OR(A113="",D113="",K113=""),"",ROUND(D113*K113,2))</f>
        <v/>
      </c>
      <c r="R113" s="192">
        <f>IF(OR(A113="",L113="",K113="",$I$7=""),"",ROUND(L113*K113*$I$7,2))</f>
        <v/>
      </c>
    </row>
    <row r="114">
      <c r="A114" s="86">
        <f>IF(itens_Remanesc!A114="","",itens_Remanesc!A114)</f>
        <v/>
      </c>
      <c r="B114" s="196" t="n"/>
      <c r="C114" s="196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>
        <f>IF(A114="","",IF($I$4="","POSICAO DE REFERENCIA INDISPONIVEL",IF($I$2,"ATUAL INFORMADA",IF(ISNUMBER(B114),"ATUAL IGNORADA (POSICAO INCOMPLETA) - FOTOGRAFIA "&amp;$I$4,"FOTOGRAFIA "&amp;$I$4))))</f>
        <v/>
      </c>
      <c r="F114" s="86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>
        <f>IF(A114="","",itens_Remanesc!C114)</f>
        <v/>
      </c>
      <c r="L114" s="192">
        <f>IF(A114="","",IF($I$4="C0",posicao_contratual!G114,IF($I$4="C1",posicao_contratual!K114,IF($I$4="C2",posicao_contratual!O114,IF($I$4="C3",posicao_contratual!S114,IF($I$4="C4",posicao_contratual!W114,""))))))</f>
        <v/>
      </c>
      <c r="M114" s="192">
        <f>IF(OR(A114="",$I$5="",$I$6=""),"",ROUND(SUMIFS(aditivos!$L$2:$L$200,aditivos!$A$2:$A$200,A114,aditivos!$B$2:$B$200,"&gt;"&amp;$I$6,aditivos!$B$2:$B$200,"&lt;="&amp;$I$5),2))</f>
        <v/>
      </c>
      <c r="N114" s="192">
        <f>IF(OR(A114="",L114="",D114=""),"",ROUND(MAX(L114+IF(ISNUMBER(M114),M114,0)-D114,0),2))</f>
        <v/>
      </c>
      <c r="O114" s="192">
        <f>IF(OR(A114="",D114="",K114="",$I$7=""),"",ROUND(D114*K114*$I$7,2))</f>
        <v/>
      </c>
      <c r="P114" s="192">
        <f>IF(OR(A114="",N114="",K114="",$I$7=""),"",ROUND(N114*K114*$I$7,2))</f>
        <v/>
      </c>
      <c r="Q114" s="192">
        <f>IF(OR(A114="",D114="",K114=""),"",ROUND(D114*K114,2))</f>
        <v/>
      </c>
      <c r="R114" s="192">
        <f>IF(OR(A114="",L114="",K114="",$I$7=""),"",ROUND(L114*K114*$I$7,2))</f>
        <v/>
      </c>
    </row>
    <row r="115">
      <c r="A115" s="86">
        <f>IF(itens_Remanesc!A115="","",itens_Remanesc!A115)</f>
        <v/>
      </c>
      <c r="B115" s="196" t="n"/>
      <c r="C115" s="196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>
        <f>IF(A115="","",IF($I$4="","POSICAO DE REFERENCIA INDISPONIVEL",IF($I$2,"ATUAL INFORMADA",IF(ISNUMBER(B115),"ATUAL IGNORADA (POSICAO INCOMPLETA) - FOTOGRAFIA "&amp;$I$4,"FOTOGRAFIA "&amp;$I$4))))</f>
        <v/>
      </c>
      <c r="F115" s="86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>
        <f>IF(A115="","",itens_Remanesc!C115)</f>
        <v/>
      </c>
      <c r="L115" s="192">
        <f>IF(A115="","",IF($I$4="C0",posicao_contratual!G115,IF($I$4="C1",posicao_contratual!K115,IF($I$4="C2",posicao_contratual!O115,IF($I$4="C3",posicao_contratual!S115,IF($I$4="C4",posicao_contratual!W115,""))))))</f>
        <v/>
      </c>
      <c r="M115" s="192">
        <f>IF(OR(A115="",$I$5="",$I$6=""),"",ROUND(SUMIFS(aditivos!$L$2:$L$200,aditivos!$A$2:$A$200,A115,aditivos!$B$2:$B$200,"&gt;"&amp;$I$6,aditivos!$B$2:$B$200,"&lt;="&amp;$I$5),2))</f>
        <v/>
      </c>
      <c r="N115" s="192">
        <f>IF(OR(A115="",L115="",D115=""),"",ROUND(MAX(L115+IF(ISNUMBER(M115),M115,0)-D115,0),2))</f>
        <v/>
      </c>
      <c r="O115" s="192">
        <f>IF(OR(A115="",D115="",K115="",$I$7=""),"",ROUND(D115*K115*$I$7,2))</f>
        <v/>
      </c>
      <c r="P115" s="192">
        <f>IF(OR(A115="",N115="",K115="",$I$7=""),"",ROUND(N115*K115*$I$7,2))</f>
        <v/>
      </c>
      <c r="Q115" s="192">
        <f>IF(OR(A115="",D115="",K115=""),"",ROUND(D115*K115,2))</f>
        <v/>
      </c>
      <c r="R115" s="192">
        <f>IF(OR(A115="",L115="",K115="",$I$7=""),"",ROUND(L115*K115*$I$7,2))</f>
        <v/>
      </c>
    </row>
    <row r="116">
      <c r="A116" s="86">
        <f>IF(itens_Remanesc!A116="","",itens_Remanesc!A116)</f>
        <v/>
      </c>
      <c r="B116" s="196" t="n"/>
      <c r="C116" s="196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>
        <f>IF(A116="","",IF($I$4="","POSICAO DE REFERENCIA INDISPONIVEL",IF($I$2,"ATUAL INFORMADA",IF(ISNUMBER(B116),"ATUAL IGNORADA (POSICAO INCOMPLETA) - FOTOGRAFIA "&amp;$I$4,"FOTOGRAFIA "&amp;$I$4))))</f>
        <v/>
      </c>
      <c r="F116" s="86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>
        <f>IF(A116="","",itens_Remanesc!C116)</f>
        <v/>
      </c>
      <c r="L116" s="192">
        <f>IF(A116="","",IF($I$4="C0",posicao_contratual!G116,IF($I$4="C1",posicao_contratual!K116,IF($I$4="C2",posicao_contratual!O116,IF($I$4="C3",posicao_contratual!S116,IF($I$4="C4",posicao_contratual!W116,""))))))</f>
        <v/>
      </c>
      <c r="M116" s="192">
        <f>IF(OR(A116="",$I$5="",$I$6=""),"",ROUND(SUMIFS(aditivos!$L$2:$L$200,aditivos!$A$2:$A$200,A116,aditivos!$B$2:$B$200,"&gt;"&amp;$I$6,aditivos!$B$2:$B$200,"&lt;="&amp;$I$5),2))</f>
        <v/>
      </c>
      <c r="N116" s="192">
        <f>IF(OR(A116="",L116="",D116=""),"",ROUND(MAX(L116+IF(ISNUMBER(M116),M116,0)-D116,0),2))</f>
        <v/>
      </c>
      <c r="O116" s="192">
        <f>IF(OR(A116="",D116="",K116="",$I$7=""),"",ROUND(D116*K116*$I$7,2))</f>
        <v/>
      </c>
      <c r="P116" s="192">
        <f>IF(OR(A116="",N116="",K116="",$I$7=""),"",ROUND(N116*K116*$I$7,2))</f>
        <v/>
      </c>
      <c r="Q116" s="192">
        <f>IF(OR(A116="",D116="",K116=""),"",ROUND(D116*K116,2))</f>
        <v/>
      </c>
      <c r="R116" s="192">
        <f>IF(OR(A116="",L116="",K116="",$I$7=""),"",ROUND(L116*K116*$I$7,2))</f>
        <v/>
      </c>
    </row>
    <row r="117">
      <c r="A117" s="86">
        <f>IF(itens_Remanesc!A117="","",itens_Remanesc!A117)</f>
        <v/>
      </c>
      <c r="B117" s="196" t="n"/>
      <c r="C117" s="196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>
        <f>IF(A117="","",IF($I$4="","POSICAO DE REFERENCIA INDISPONIVEL",IF($I$2,"ATUAL INFORMADA",IF(ISNUMBER(B117),"ATUAL IGNORADA (POSICAO INCOMPLETA) - FOTOGRAFIA "&amp;$I$4,"FOTOGRAFIA "&amp;$I$4))))</f>
        <v/>
      </c>
      <c r="F117" s="86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>
        <f>IF(A117="","",itens_Remanesc!C117)</f>
        <v/>
      </c>
      <c r="L117" s="192">
        <f>IF(A117="","",IF($I$4="C0",posicao_contratual!G117,IF($I$4="C1",posicao_contratual!K117,IF($I$4="C2",posicao_contratual!O117,IF($I$4="C3",posicao_contratual!S117,IF($I$4="C4",posicao_contratual!W117,""))))))</f>
        <v/>
      </c>
      <c r="M117" s="192">
        <f>IF(OR(A117="",$I$5="",$I$6=""),"",ROUND(SUMIFS(aditivos!$L$2:$L$200,aditivos!$A$2:$A$200,A117,aditivos!$B$2:$B$200,"&gt;"&amp;$I$6,aditivos!$B$2:$B$200,"&lt;="&amp;$I$5),2))</f>
        <v/>
      </c>
      <c r="N117" s="192">
        <f>IF(OR(A117="",L117="",D117=""),"",ROUND(MAX(L117+IF(ISNUMBER(M117),M117,0)-D117,0),2))</f>
        <v/>
      </c>
      <c r="O117" s="192">
        <f>IF(OR(A117="",D117="",K117="",$I$7=""),"",ROUND(D117*K117*$I$7,2))</f>
        <v/>
      </c>
      <c r="P117" s="192">
        <f>IF(OR(A117="",N117="",K117="",$I$7=""),"",ROUND(N117*K117*$I$7,2))</f>
        <v/>
      </c>
      <c r="Q117" s="192">
        <f>IF(OR(A117="",D117="",K117=""),"",ROUND(D117*K117,2))</f>
        <v/>
      </c>
      <c r="R117" s="192">
        <f>IF(OR(A117="",L117="",K117="",$I$7=""),"",ROUND(L117*K117*$I$7,2))</f>
        <v/>
      </c>
    </row>
    <row r="118">
      <c r="A118" s="86">
        <f>IF(itens_Remanesc!A118="","",itens_Remanesc!A118)</f>
        <v/>
      </c>
      <c r="B118" s="196" t="n"/>
      <c r="C118" s="196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>
        <f>IF(A118="","",IF($I$4="","POSICAO DE REFERENCIA INDISPONIVEL",IF($I$2,"ATUAL INFORMADA",IF(ISNUMBER(B118),"ATUAL IGNORADA (POSICAO INCOMPLETA) - FOTOGRAFIA "&amp;$I$4,"FOTOGRAFIA "&amp;$I$4))))</f>
        <v/>
      </c>
      <c r="F118" s="86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>
        <f>IF(A118="","",itens_Remanesc!C118)</f>
        <v/>
      </c>
      <c r="L118" s="192">
        <f>IF(A118="","",IF($I$4="C0",posicao_contratual!G118,IF($I$4="C1",posicao_contratual!K118,IF($I$4="C2",posicao_contratual!O118,IF($I$4="C3",posicao_contratual!S118,IF($I$4="C4",posicao_contratual!W118,""))))))</f>
        <v/>
      </c>
      <c r="M118" s="192">
        <f>IF(OR(A118="",$I$5="",$I$6=""),"",ROUND(SUMIFS(aditivos!$L$2:$L$200,aditivos!$A$2:$A$200,A118,aditivos!$B$2:$B$200,"&gt;"&amp;$I$6,aditivos!$B$2:$B$200,"&lt;="&amp;$I$5),2))</f>
        <v/>
      </c>
      <c r="N118" s="192">
        <f>IF(OR(A118="",L118="",D118=""),"",ROUND(MAX(L118+IF(ISNUMBER(M118),M118,0)-D118,0),2))</f>
        <v/>
      </c>
      <c r="O118" s="192">
        <f>IF(OR(A118="",D118="",K118="",$I$7=""),"",ROUND(D118*K118*$I$7,2))</f>
        <v/>
      </c>
      <c r="P118" s="192">
        <f>IF(OR(A118="",N118="",K118="",$I$7=""),"",ROUND(N118*K118*$I$7,2))</f>
        <v/>
      </c>
      <c r="Q118" s="192">
        <f>IF(OR(A118="",D118="",K118=""),"",ROUND(D118*K118,2))</f>
        <v/>
      </c>
      <c r="R118" s="192">
        <f>IF(OR(A118="",L118="",K118="",$I$7=""),"",ROUND(L118*K118*$I$7,2))</f>
        <v/>
      </c>
    </row>
    <row r="119">
      <c r="A119" s="86">
        <f>IF(itens_Remanesc!A119="","",itens_Remanesc!A119)</f>
        <v/>
      </c>
      <c r="B119" s="196" t="n"/>
      <c r="C119" s="196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>
        <f>IF(A119="","",IF($I$4="","POSICAO DE REFERENCIA INDISPONIVEL",IF($I$2,"ATUAL INFORMADA",IF(ISNUMBER(B119),"ATUAL IGNORADA (POSICAO INCOMPLETA) - FOTOGRAFIA "&amp;$I$4,"FOTOGRAFIA "&amp;$I$4))))</f>
        <v/>
      </c>
      <c r="F119" s="86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>
        <f>IF(A119="","",itens_Remanesc!C119)</f>
        <v/>
      </c>
      <c r="L119" s="192">
        <f>IF(A119="","",IF($I$4="C0",posicao_contratual!G119,IF($I$4="C1",posicao_contratual!K119,IF($I$4="C2",posicao_contratual!O119,IF($I$4="C3",posicao_contratual!S119,IF($I$4="C4",posicao_contratual!W119,""))))))</f>
        <v/>
      </c>
      <c r="M119" s="192">
        <f>IF(OR(A119="",$I$5="",$I$6=""),"",ROUND(SUMIFS(aditivos!$L$2:$L$200,aditivos!$A$2:$A$200,A119,aditivos!$B$2:$B$200,"&gt;"&amp;$I$6,aditivos!$B$2:$B$200,"&lt;="&amp;$I$5),2))</f>
        <v/>
      </c>
      <c r="N119" s="192">
        <f>IF(OR(A119="",L119="",D119=""),"",ROUND(MAX(L119+IF(ISNUMBER(M119),M119,0)-D119,0),2))</f>
        <v/>
      </c>
      <c r="O119" s="192">
        <f>IF(OR(A119="",D119="",K119="",$I$7=""),"",ROUND(D119*K119*$I$7,2))</f>
        <v/>
      </c>
      <c r="P119" s="192">
        <f>IF(OR(A119="",N119="",K119="",$I$7=""),"",ROUND(N119*K119*$I$7,2))</f>
        <v/>
      </c>
      <c r="Q119" s="192">
        <f>IF(OR(A119="",D119="",K119=""),"",ROUND(D119*K119,2))</f>
        <v/>
      </c>
      <c r="R119" s="192">
        <f>IF(OR(A119="",L119="",K119="",$I$7=""),"",ROUND(L119*K119*$I$7,2))</f>
        <v/>
      </c>
    </row>
    <row r="120">
      <c r="A120" s="86">
        <f>IF(itens_Remanesc!A120="","",itens_Remanesc!A120)</f>
        <v/>
      </c>
      <c r="B120" s="196" t="n"/>
      <c r="C120" s="196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>
        <f>IF(A120="","",IF($I$4="","POSICAO DE REFERENCIA INDISPONIVEL",IF($I$2,"ATUAL INFORMADA",IF(ISNUMBER(B120),"ATUAL IGNORADA (POSICAO INCOMPLETA) - FOTOGRAFIA "&amp;$I$4,"FOTOGRAFIA "&amp;$I$4))))</f>
        <v/>
      </c>
      <c r="F120" s="86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>
        <f>IF(A120="","",itens_Remanesc!C120)</f>
        <v/>
      </c>
      <c r="L120" s="192">
        <f>IF(A120="","",IF($I$4="C0",posicao_contratual!G120,IF($I$4="C1",posicao_contratual!K120,IF($I$4="C2",posicao_contratual!O120,IF($I$4="C3",posicao_contratual!S120,IF($I$4="C4",posicao_contratual!W120,""))))))</f>
        <v/>
      </c>
      <c r="M120" s="192">
        <f>IF(OR(A120="",$I$5="",$I$6=""),"",ROUND(SUMIFS(aditivos!$L$2:$L$200,aditivos!$A$2:$A$200,A120,aditivos!$B$2:$B$200,"&gt;"&amp;$I$6,aditivos!$B$2:$B$200,"&lt;="&amp;$I$5),2))</f>
        <v/>
      </c>
      <c r="N120" s="192">
        <f>IF(OR(A120="",L120="",D120=""),"",ROUND(MAX(L120+IF(ISNUMBER(M120),M120,0)-D120,0),2))</f>
        <v/>
      </c>
      <c r="O120" s="192">
        <f>IF(OR(A120="",D120="",K120="",$I$7=""),"",ROUND(D120*K120*$I$7,2))</f>
        <v/>
      </c>
      <c r="P120" s="192">
        <f>IF(OR(A120="",N120="",K120="",$I$7=""),"",ROUND(N120*K120*$I$7,2))</f>
        <v/>
      </c>
      <c r="Q120" s="192">
        <f>IF(OR(A120="",D120="",K120=""),"",ROUND(D120*K120,2))</f>
        <v/>
      </c>
      <c r="R120" s="192">
        <f>IF(OR(A120="",L120="",K120="",$I$7=""),"",ROUND(L120*K120*$I$7,2))</f>
        <v/>
      </c>
    </row>
    <row r="121">
      <c r="A121" s="86">
        <f>IF(itens_Remanesc!A121="","",itens_Remanesc!A121)</f>
        <v/>
      </c>
      <c r="B121" s="196" t="n"/>
      <c r="C121" s="196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>
        <f>IF(A121="","",IF($I$4="","POSICAO DE REFERENCIA INDISPONIVEL",IF($I$2,"ATUAL INFORMADA",IF(ISNUMBER(B121),"ATUAL IGNORADA (POSICAO INCOMPLETA) - FOTOGRAFIA "&amp;$I$4,"FOTOGRAFIA "&amp;$I$4))))</f>
        <v/>
      </c>
      <c r="F121" s="86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>
        <f>IF(A121="","",itens_Remanesc!C121)</f>
        <v/>
      </c>
      <c r="L121" s="192">
        <f>IF(A121="","",IF($I$4="C0",posicao_contratual!G121,IF($I$4="C1",posicao_contratual!K121,IF($I$4="C2",posicao_contratual!O121,IF($I$4="C3",posicao_contratual!S121,IF($I$4="C4",posicao_contratual!W121,""))))))</f>
        <v/>
      </c>
      <c r="M121" s="192">
        <f>IF(OR(A121="",$I$5="",$I$6=""),"",ROUND(SUMIFS(aditivos!$L$2:$L$200,aditivos!$A$2:$A$200,A121,aditivos!$B$2:$B$200,"&gt;"&amp;$I$6,aditivos!$B$2:$B$200,"&lt;="&amp;$I$5),2))</f>
        <v/>
      </c>
      <c r="N121" s="192">
        <f>IF(OR(A121="",L121="",D121=""),"",ROUND(MAX(L121+IF(ISNUMBER(M121),M121,0)-D121,0),2))</f>
        <v/>
      </c>
      <c r="O121" s="192">
        <f>IF(OR(A121="",D121="",K121="",$I$7=""),"",ROUND(D121*K121*$I$7,2))</f>
        <v/>
      </c>
      <c r="P121" s="192">
        <f>IF(OR(A121="",N121="",K121="",$I$7=""),"",ROUND(N121*K121*$I$7,2))</f>
        <v/>
      </c>
      <c r="Q121" s="192">
        <f>IF(OR(A121="",D121="",K121=""),"",ROUND(D121*K121,2))</f>
        <v/>
      </c>
      <c r="R121" s="192">
        <f>IF(OR(A121="",L121="",K121="",$I$7=""),"",ROUND(L121*K121*$I$7,2))</f>
        <v/>
      </c>
    </row>
    <row r="122">
      <c r="A122" s="86">
        <f>IF(itens_Remanesc!A122="","",itens_Remanesc!A122)</f>
        <v/>
      </c>
      <c r="B122" s="196" t="n"/>
      <c r="C122" s="196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>
        <f>IF(A122="","",IF($I$4="","POSICAO DE REFERENCIA INDISPONIVEL",IF($I$2,"ATUAL INFORMADA",IF(ISNUMBER(B122),"ATUAL IGNORADA (POSICAO INCOMPLETA) - FOTOGRAFIA "&amp;$I$4,"FOTOGRAFIA "&amp;$I$4))))</f>
        <v/>
      </c>
      <c r="F122" s="86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>
        <f>IF(A122="","",itens_Remanesc!C122)</f>
        <v/>
      </c>
      <c r="L122" s="192">
        <f>IF(A122="","",IF($I$4="C0",posicao_contratual!G122,IF($I$4="C1",posicao_contratual!K122,IF($I$4="C2",posicao_contratual!O122,IF($I$4="C3",posicao_contratual!S122,IF($I$4="C4",posicao_contratual!W122,""))))))</f>
        <v/>
      </c>
      <c r="M122" s="192">
        <f>IF(OR(A122="",$I$5="",$I$6=""),"",ROUND(SUMIFS(aditivos!$L$2:$L$200,aditivos!$A$2:$A$200,A122,aditivos!$B$2:$B$200,"&gt;"&amp;$I$6,aditivos!$B$2:$B$200,"&lt;="&amp;$I$5),2))</f>
        <v/>
      </c>
      <c r="N122" s="192">
        <f>IF(OR(A122="",L122="",D122=""),"",ROUND(MAX(L122+IF(ISNUMBER(M122),M122,0)-D122,0),2))</f>
        <v/>
      </c>
      <c r="O122" s="192">
        <f>IF(OR(A122="",D122="",K122="",$I$7=""),"",ROUND(D122*K122*$I$7,2))</f>
        <v/>
      </c>
      <c r="P122" s="192">
        <f>IF(OR(A122="",N122="",K122="",$I$7=""),"",ROUND(N122*K122*$I$7,2))</f>
        <v/>
      </c>
      <c r="Q122" s="192">
        <f>IF(OR(A122="",D122="",K122=""),"",ROUND(D122*K122,2))</f>
        <v/>
      </c>
      <c r="R122" s="192">
        <f>IF(OR(A122="",L122="",K122="",$I$7=""),"",ROUND(L122*K122*$I$7,2))</f>
        <v/>
      </c>
    </row>
    <row r="123">
      <c r="A123" s="86">
        <f>IF(itens_Remanesc!A123="","",itens_Remanesc!A123)</f>
        <v/>
      </c>
      <c r="B123" s="196" t="n"/>
      <c r="C123" s="196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>
        <f>IF(A123="","",IF($I$4="","POSICAO DE REFERENCIA INDISPONIVEL",IF($I$2,"ATUAL INFORMADA",IF(ISNUMBER(B123),"ATUAL IGNORADA (POSICAO INCOMPLETA) - FOTOGRAFIA "&amp;$I$4,"FOTOGRAFIA "&amp;$I$4))))</f>
        <v/>
      </c>
      <c r="F123" s="86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>
        <f>IF(A123="","",itens_Remanesc!C123)</f>
        <v/>
      </c>
      <c r="L123" s="192">
        <f>IF(A123="","",IF($I$4="C0",posicao_contratual!G123,IF($I$4="C1",posicao_contratual!K123,IF($I$4="C2",posicao_contratual!O123,IF($I$4="C3",posicao_contratual!S123,IF($I$4="C4",posicao_contratual!W123,""))))))</f>
        <v/>
      </c>
      <c r="M123" s="192">
        <f>IF(OR(A123="",$I$5="",$I$6=""),"",ROUND(SUMIFS(aditivos!$L$2:$L$200,aditivos!$A$2:$A$200,A123,aditivos!$B$2:$B$200,"&gt;"&amp;$I$6,aditivos!$B$2:$B$200,"&lt;="&amp;$I$5),2))</f>
        <v/>
      </c>
      <c r="N123" s="192">
        <f>IF(OR(A123="",L123="",D123=""),"",ROUND(MAX(L123+IF(ISNUMBER(M123),M123,0)-D123,0),2))</f>
        <v/>
      </c>
      <c r="O123" s="192">
        <f>IF(OR(A123="",D123="",K123="",$I$7=""),"",ROUND(D123*K123*$I$7,2))</f>
        <v/>
      </c>
      <c r="P123" s="192">
        <f>IF(OR(A123="",N123="",K123="",$I$7=""),"",ROUND(N123*K123*$I$7,2))</f>
        <v/>
      </c>
      <c r="Q123" s="192">
        <f>IF(OR(A123="",D123="",K123=""),"",ROUND(D123*K123,2))</f>
        <v/>
      </c>
      <c r="R123" s="192">
        <f>IF(OR(A123="",L123="",K123="",$I$7=""),"",ROUND(L123*K123*$I$7,2))</f>
        <v/>
      </c>
    </row>
    <row r="124">
      <c r="A124" s="86">
        <f>IF(itens_Remanesc!A124="","",itens_Remanesc!A124)</f>
        <v/>
      </c>
      <c r="B124" s="196" t="n"/>
      <c r="C124" s="196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>
        <f>IF(A124="","",IF($I$4="","POSICAO DE REFERENCIA INDISPONIVEL",IF($I$2,"ATUAL INFORMADA",IF(ISNUMBER(B124),"ATUAL IGNORADA (POSICAO INCOMPLETA) - FOTOGRAFIA "&amp;$I$4,"FOTOGRAFIA "&amp;$I$4))))</f>
        <v/>
      </c>
      <c r="F124" s="86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>
        <f>IF(A124="","",itens_Remanesc!C124)</f>
        <v/>
      </c>
      <c r="L124" s="192">
        <f>IF(A124="","",IF($I$4="C0",posicao_contratual!G124,IF($I$4="C1",posicao_contratual!K124,IF($I$4="C2",posicao_contratual!O124,IF($I$4="C3",posicao_contratual!S124,IF($I$4="C4",posicao_contratual!W124,""))))))</f>
        <v/>
      </c>
      <c r="M124" s="192">
        <f>IF(OR(A124="",$I$5="",$I$6=""),"",ROUND(SUMIFS(aditivos!$L$2:$L$200,aditivos!$A$2:$A$200,A124,aditivos!$B$2:$B$200,"&gt;"&amp;$I$6,aditivos!$B$2:$B$200,"&lt;="&amp;$I$5),2))</f>
        <v/>
      </c>
      <c r="N124" s="192">
        <f>IF(OR(A124="",L124="",D124=""),"",ROUND(MAX(L124+IF(ISNUMBER(M124),M124,0)-D124,0),2))</f>
        <v/>
      </c>
      <c r="O124" s="192">
        <f>IF(OR(A124="",D124="",K124="",$I$7=""),"",ROUND(D124*K124*$I$7,2))</f>
        <v/>
      </c>
      <c r="P124" s="192">
        <f>IF(OR(A124="",N124="",K124="",$I$7=""),"",ROUND(N124*K124*$I$7,2))</f>
        <v/>
      </c>
      <c r="Q124" s="192">
        <f>IF(OR(A124="",D124="",K124=""),"",ROUND(D124*K124,2))</f>
        <v/>
      </c>
      <c r="R124" s="192">
        <f>IF(OR(A124="",L124="",K124="",$I$7=""),"",ROUND(L124*K124*$I$7,2))</f>
        <v/>
      </c>
    </row>
    <row r="125">
      <c r="A125" s="86">
        <f>IF(itens_Remanesc!A125="","",itens_Remanesc!A125)</f>
        <v/>
      </c>
      <c r="B125" s="196" t="n"/>
      <c r="C125" s="196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>
        <f>IF(A125="","",IF($I$4="","POSICAO DE REFERENCIA INDISPONIVEL",IF($I$2,"ATUAL INFORMADA",IF(ISNUMBER(B125),"ATUAL IGNORADA (POSICAO INCOMPLETA) - FOTOGRAFIA "&amp;$I$4,"FOTOGRAFIA "&amp;$I$4))))</f>
        <v/>
      </c>
      <c r="F125" s="86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>
        <f>IF(A125="","",itens_Remanesc!C125)</f>
        <v/>
      </c>
      <c r="L125" s="192">
        <f>IF(A125="","",IF($I$4="C0",posicao_contratual!G125,IF($I$4="C1",posicao_contratual!K125,IF($I$4="C2",posicao_contratual!O125,IF($I$4="C3",posicao_contratual!S125,IF($I$4="C4",posicao_contratual!W125,""))))))</f>
        <v/>
      </c>
      <c r="M125" s="192">
        <f>IF(OR(A125="",$I$5="",$I$6=""),"",ROUND(SUMIFS(aditivos!$L$2:$L$200,aditivos!$A$2:$A$200,A125,aditivos!$B$2:$B$200,"&gt;"&amp;$I$6,aditivos!$B$2:$B$200,"&lt;="&amp;$I$5),2))</f>
        <v/>
      </c>
      <c r="N125" s="192">
        <f>IF(OR(A125="",L125="",D125=""),"",ROUND(MAX(L125+IF(ISNUMBER(M125),M125,0)-D125,0),2))</f>
        <v/>
      </c>
      <c r="O125" s="192">
        <f>IF(OR(A125="",D125="",K125="",$I$7=""),"",ROUND(D125*K125*$I$7,2))</f>
        <v/>
      </c>
      <c r="P125" s="192">
        <f>IF(OR(A125="",N125="",K125="",$I$7=""),"",ROUND(N125*K125*$I$7,2))</f>
        <v/>
      </c>
      <c r="Q125" s="192">
        <f>IF(OR(A125="",D125="",K125=""),"",ROUND(D125*K125,2))</f>
        <v/>
      </c>
      <c r="R125" s="192">
        <f>IF(OR(A125="",L125="",K125="",$I$7=""),"",ROUND(L125*K125*$I$7,2))</f>
        <v/>
      </c>
    </row>
    <row r="126">
      <c r="A126" s="86">
        <f>IF(itens_Remanesc!A126="","",itens_Remanesc!A126)</f>
        <v/>
      </c>
      <c r="B126" s="196" t="n"/>
      <c r="C126" s="196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>
        <f>IF(A126="","",IF($I$4="","POSICAO DE REFERENCIA INDISPONIVEL",IF($I$2,"ATUAL INFORMADA",IF(ISNUMBER(B126),"ATUAL IGNORADA (POSICAO INCOMPLETA) - FOTOGRAFIA "&amp;$I$4,"FOTOGRAFIA "&amp;$I$4))))</f>
        <v/>
      </c>
      <c r="F126" s="86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>
        <f>IF(A126="","",itens_Remanesc!C126)</f>
        <v/>
      </c>
      <c r="L126" s="192">
        <f>IF(A126="","",IF($I$4="C0",posicao_contratual!G126,IF($I$4="C1",posicao_contratual!K126,IF($I$4="C2",posicao_contratual!O126,IF($I$4="C3",posicao_contratual!S126,IF($I$4="C4",posicao_contratual!W126,""))))))</f>
        <v/>
      </c>
      <c r="M126" s="192">
        <f>IF(OR(A126="",$I$5="",$I$6=""),"",ROUND(SUMIFS(aditivos!$L$2:$L$200,aditivos!$A$2:$A$200,A126,aditivos!$B$2:$B$200,"&gt;"&amp;$I$6,aditivos!$B$2:$B$200,"&lt;="&amp;$I$5),2))</f>
        <v/>
      </c>
      <c r="N126" s="192">
        <f>IF(OR(A126="",L126="",D126=""),"",ROUND(MAX(L126+IF(ISNUMBER(M126),M126,0)-D126,0),2))</f>
        <v/>
      </c>
      <c r="O126" s="192">
        <f>IF(OR(A126="",D126="",K126="",$I$7=""),"",ROUND(D126*K126*$I$7,2))</f>
        <v/>
      </c>
      <c r="P126" s="192">
        <f>IF(OR(A126="",N126="",K126="",$I$7=""),"",ROUND(N126*K126*$I$7,2))</f>
        <v/>
      </c>
      <c r="Q126" s="192">
        <f>IF(OR(A126="",D126="",K126=""),"",ROUND(D126*K126,2))</f>
        <v/>
      </c>
      <c r="R126" s="192">
        <f>IF(OR(A126="",L126="",K126="",$I$7=""),"",ROUND(L126*K126*$I$7,2))</f>
        <v/>
      </c>
    </row>
    <row r="127">
      <c r="A127" s="86">
        <f>IF(itens_Remanesc!A127="","",itens_Remanesc!A127)</f>
        <v/>
      </c>
      <c r="B127" s="196" t="n"/>
      <c r="C127" s="196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>
        <f>IF(A127="","",IF($I$4="","POSICAO DE REFERENCIA INDISPONIVEL",IF($I$2,"ATUAL INFORMADA",IF(ISNUMBER(B127),"ATUAL IGNORADA (POSICAO INCOMPLETA) - FOTOGRAFIA "&amp;$I$4,"FOTOGRAFIA "&amp;$I$4))))</f>
        <v/>
      </c>
      <c r="F127" s="86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>
        <f>IF(A127="","",itens_Remanesc!C127)</f>
        <v/>
      </c>
      <c r="L127" s="192">
        <f>IF(A127="","",IF($I$4="C0",posicao_contratual!G127,IF($I$4="C1",posicao_contratual!K127,IF($I$4="C2",posicao_contratual!O127,IF($I$4="C3",posicao_contratual!S127,IF($I$4="C4",posicao_contratual!W127,""))))))</f>
        <v/>
      </c>
      <c r="M127" s="192">
        <f>IF(OR(A127="",$I$5="",$I$6=""),"",ROUND(SUMIFS(aditivos!$L$2:$L$200,aditivos!$A$2:$A$200,A127,aditivos!$B$2:$B$200,"&gt;"&amp;$I$6,aditivos!$B$2:$B$200,"&lt;="&amp;$I$5),2))</f>
        <v/>
      </c>
      <c r="N127" s="192">
        <f>IF(OR(A127="",L127="",D127=""),"",ROUND(MAX(L127+IF(ISNUMBER(M127),M127,0)-D127,0),2))</f>
        <v/>
      </c>
      <c r="O127" s="192">
        <f>IF(OR(A127="",D127="",K127="",$I$7=""),"",ROUND(D127*K127*$I$7,2))</f>
        <v/>
      </c>
      <c r="P127" s="192">
        <f>IF(OR(A127="",N127="",K127="",$I$7=""),"",ROUND(N127*K127*$I$7,2))</f>
        <v/>
      </c>
      <c r="Q127" s="192">
        <f>IF(OR(A127="",D127="",K127=""),"",ROUND(D127*K127,2))</f>
        <v/>
      </c>
      <c r="R127" s="192">
        <f>IF(OR(A127="",L127="",K127="",$I$7=""),"",ROUND(L127*K127*$I$7,2))</f>
        <v/>
      </c>
    </row>
    <row r="128">
      <c r="A128" s="86">
        <f>IF(itens_Remanesc!A128="","",itens_Remanesc!A128)</f>
        <v/>
      </c>
      <c r="B128" s="196" t="n"/>
      <c r="C128" s="196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>
        <f>IF(A128="","",IF($I$4="","POSICAO DE REFERENCIA INDISPONIVEL",IF($I$2,"ATUAL INFORMADA",IF(ISNUMBER(B128),"ATUAL IGNORADA (POSICAO INCOMPLETA) - FOTOGRAFIA "&amp;$I$4,"FOTOGRAFIA "&amp;$I$4))))</f>
        <v/>
      </c>
      <c r="F128" s="86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>
        <f>IF(A128="","",itens_Remanesc!C128)</f>
        <v/>
      </c>
      <c r="L128" s="192">
        <f>IF(A128="","",IF($I$4="C0",posicao_contratual!G128,IF($I$4="C1",posicao_contratual!K128,IF($I$4="C2",posicao_contratual!O128,IF($I$4="C3",posicao_contratual!S128,IF($I$4="C4",posicao_contratual!W128,""))))))</f>
        <v/>
      </c>
      <c r="M128" s="192">
        <f>IF(OR(A128="",$I$5="",$I$6=""),"",ROUND(SUMIFS(aditivos!$L$2:$L$200,aditivos!$A$2:$A$200,A128,aditivos!$B$2:$B$200,"&gt;"&amp;$I$6,aditivos!$B$2:$B$200,"&lt;="&amp;$I$5),2))</f>
        <v/>
      </c>
      <c r="N128" s="192">
        <f>IF(OR(A128="",L128="",D128=""),"",ROUND(MAX(L128+IF(ISNUMBER(M128),M128,0)-D128,0),2))</f>
        <v/>
      </c>
      <c r="O128" s="192">
        <f>IF(OR(A128="",D128="",K128="",$I$7=""),"",ROUND(D128*K128*$I$7,2))</f>
        <v/>
      </c>
      <c r="P128" s="192">
        <f>IF(OR(A128="",N128="",K128="",$I$7=""),"",ROUND(N128*K128*$I$7,2))</f>
        <v/>
      </c>
      <c r="Q128" s="192">
        <f>IF(OR(A128="",D128="",K128=""),"",ROUND(D128*K128,2))</f>
        <v/>
      </c>
      <c r="R128" s="192">
        <f>IF(OR(A128="",L128="",K128="",$I$7=""),"",ROUND(L128*K128*$I$7,2))</f>
        <v/>
      </c>
    </row>
    <row r="129">
      <c r="A129" s="86">
        <f>IF(itens_Remanesc!A129="","",itens_Remanesc!A129)</f>
        <v/>
      </c>
      <c r="B129" s="196" t="n"/>
      <c r="C129" s="196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>
        <f>IF(A129="","",IF($I$4="","POSICAO DE REFERENCIA INDISPONIVEL",IF($I$2,"ATUAL INFORMADA",IF(ISNUMBER(B129),"ATUAL IGNORADA (POSICAO INCOMPLETA) - FOTOGRAFIA "&amp;$I$4,"FOTOGRAFIA "&amp;$I$4))))</f>
        <v/>
      </c>
      <c r="F129" s="86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>
        <f>IF(A129="","",itens_Remanesc!C129)</f>
        <v/>
      </c>
      <c r="L129" s="192">
        <f>IF(A129="","",IF($I$4="C0",posicao_contratual!G129,IF($I$4="C1",posicao_contratual!K129,IF($I$4="C2",posicao_contratual!O129,IF($I$4="C3",posicao_contratual!S129,IF($I$4="C4",posicao_contratual!W129,""))))))</f>
        <v/>
      </c>
      <c r="M129" s="192">
        <f>IF(OR(A129="",$I$5="",$I$6=""),"",ROUND(SUMIFS(aditivos!$L$2:$L$200,aditivos!$A$2:$A$200,A129,aditivos!$B$2:$B$200,"&gt;"&amp;$I$6,aditivos!$B$2:$B$200,"&lt;="&amp;$I$5),2))</f>
        <v/>
      </c>
      <c r="N129" s="192">
        <f>IF(OR(A129="",L129="",D129=""),"",ROUND(MAX(L129+IF(ISNUMBER(M129),M129,0)-D129,0),2))</f>
        <v/>
      </c>
      <c r="O129" s="192">
        <f>IF(OR(A129="",D129="",K129="",$I$7=""),"",ROUND(D129*K129*$I$7,2))</f>
        <v/>
      </c>
      <c r="P129" s="192">
        <f>IF(OR(A129="",N129="",K129="",$I$7=""),"",ROUND(N129*K129*$I$7,2))</f>
        <v/>
      </c>
      <c r="Q129" s="192">
        <f>IF(OR(A129="",D129="",K129=""),"",ROUND(D129*K129,2))</f>
        <v/>
      </c>
      <c r="R129" s="192">
        <f>IF(OR(A129="",L129="",K129="",$I$7=""),"",ROUND(L129*K129*$I$7,2))</f>
        <v/>
      </c>
    </row>
    <row r="130">
      <c r="A130" s="86">
        <f>IF(itens_Remanesc!A130="","",itens_Remanesc!A130)</f>
        <v/>
      </c>
      <c r="B130" s="196" t="n"/>
      <c r="C130" s="196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>
        <f>IF(A130="","",IF($I$4="","POSICAO DE REFERENCIA INDISPONIVEL",IF($I$2,"ATUAL INFORMADA",IF(ISNUMBER(B130),"ATUAL IGNORADA (POSICAO INCOMPLETA) - FOTOGRAFIA "&amp;$I$4,"FOTOGRAFIA "&amp;$I$4))))</f>
        <v/>
      </c>
      <c r="F130" s="86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>
        <f>IF(A130="","",itens_Remanesc!C130)</f>
        <v/>
      </c>
      <c r="L130" s="192">
        <f>IF(A130="","",IF($I$4="C0",posicao_contratual!G130,IF($I$4="C1",posicao_contratual!K130,IF($I$4="C2",posicao_contratual!O130,IF($I$4="C3",posicao_contratual!S130,IF($I$4="C4",posicao_contratual!W130,""))))))</f>
        <v/>
      </c>
      <c r="M130" s="192">
        <f>IF(OR(A130="",$I$5="",$I$6=""),"",ROUND(SUMIFS(aditivos!$L$2:$L$200,aditivos!$A$2:$A$200,A130,aditivos!$B$2:$B$200,"&gt;"&amp;$I$6,aditivos!$B$2:$B$200,"&lt;="&amp;$I$5),2))</f>
        <v/>
      </c>
      <c r="N130" s="192">
        <f>IF(OR(A130="",L130="",D130=""),"",ROUND(MAX(L130+IF(ISNUMBER(M130),M130,0)-D130,0),2))</f>
        <v/>
      </c>
      <c r="O130" s="192">
        <f>IF(OR(A130="",D130="",K130="",$I$7=""),"",ROUND(D130*K130*$I$7,2))</f>
        <v/>
      </c>
      <c r="P130" s="192">
        <f>IF(OR(A130="",N130="",K130="",$I$7=""),"",ROUND(N130*K130*$I$7,2))</f>
        <v/>
      </c>
      <c r="Q130" s="192">
        <f>IF(OR(A130="",D130="",K130=""),"",ROUND(D130*K130,2))</f>
        <v/>
      </c>
      <c r="R130" s="192">
        <f>IF(OR(A130="",L130="",K130="",$I$7=""),"",ROUND(L130*K130*$I$7,2))</f>
        <v/>
      </c>
    </row>
    <row r="131">
      <c r="A131" s="86">
        <f>IF(itens_Remanesc!A131="","",itens_Remanesc!A131)</f>
        <v/>
      </c>
      <c r="B131" s="196" t="n"/>
      <c r="C131" s="196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>
        <f>IF(A131="","",IF($I$4="","POSICAO DE REFERENCIA INDISPONIVEL",IF($I$2,"ATUAL INFORMADA",IF(ISNUMBER(B131),"ATUAL IGNORADA (POSICAO INCOMPLETA) - FOTOGRAFIA "&amp;$I$4,"FOTOGRAFIA "&amp;$I$4))))</f>
        <v/>
      </c>
      <c r="F131" s="86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>
        <f>IF(A131="","",itens_Remanesc!C131)</f>
        <v/>
      </c>
      <c r="L131" s="192">
        <f>IF(A131="","",IF($I$4="C0",posicao_contratual!G131,IF($I$4="C1",posicao_contratual!K131,IF($I$4="C2",posicao_contratual!O131,IF($I$4="C3",posicao_contratual!S131,IF($I$4="C4",posicao_contratual!W131,""))))))</f>
        <v/>
      </c>
      <c r="M131" s="192">
        <f>IF(OR(A131="",$I$5="",$I$6=""),"",ROUND(SUMIFS(aditivos!$L$2:$L$200,aditivos!$A$2:$A$200,A131,aditivos!$B$2:$B$200,"&gt;"&amp;$I$6,aditivos!$B$2:$B$200,"&lt;="&amp;$I$5),2))</f>
        <v/>
      </c>
      <c r="N131" s="192">
        <f>IF(OR(A131="",L131="",D131=""),"",ROUND(MAX(L131+IF(ISNUMBER(M131),M131,0)-D131,0),2))</f>
        <v/>
      </c>
      <c r="O131" s="192">
        <f>IF(OR(A131="",D131="",K131="",$I$7=""),"",ROUND(D131*K131*$I$7,2))</f>
        <v/>
      </c>
      <c r="P131" s="192">
        <f>IF(OR(A131="",N131="",K131="",$I$7=""),"",ROUND(N131*K131*$I$7,2))</f>
        <v/>
      </c>
      <c r="Q131" s="192">
        <f>IF(OR(A131="",D131="",K131=""),"",ROUND(D131*K131,2))</f>
        <v/>
      </c>
      <c r="R131" s="192">
        <f>IF(OR(A131="",L131="",K131="",$I$7=""),"",ROUND(L131*K131*$I$7,2))</f>
        <v/>
      </c>
    </row>
    <row r="132">
      <c r="A132" s="86">
        <f>IF(itens_Remanesc!A132="","",itens_Remanesc!A132)</f>
        <v/>
      </c>
      <c r="B132" s="196" t="n"/>
      <c r="C132" s="196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>
        <f>IF(A132="","",IF($I$4="","POSICAO DE REFERENCIA INDISPONIVEL",IF($I$2,"ATUAL INFORMADA",IF(ISNUMBER(B132),"ATUAL IGNORADA (POSICAO INCOMPLETA) - FOTOGRAFIA "&amp;$I$4,"FOTOGRAFIA "&amp;$I$4))))</f>
        <v/>
      </c>
      <c r="F132" s="86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>
        <f>IF(A132="","",itens_Remanesc!C132)</f>
        <v/>
      </c>
      <c r="L132" s="192">
        <f>IF(A132="","",IF($I$4="C0",posicao_contratual!G132,IF($I$4="C1",posicao_contratual!K132,IF($I$4="C2",posicao_contratual!O132,IF($I$4="C3",posicao_contratual!S132,IF($I$4="C4",posicao_contratual!W132,""))))))</f>
        <v/>
      </c>
      <c r="M132" s="192">
        <f>IF(OR(A132="",$I$5="",$I$6=""),"",ROUND(SUMIFS(aditivos!$L$2:$L$200,aditivos!$A$2:$A$200,A132,aditivos!$B$2:$B$200,"&gt;"&amp;$I$6,aditivos!$B$2:$B$200,"&lt;="&amp;$I$5),2))</f>
        <v/>
      </c>
      <c r="N132" s="192">
        <f>IF(OR(A132="",L132="",D132=""),"",ROUND(MAX(L132+IF(ISNUMBER(M132),M132,0)-D132,0),2))</f>
        <v/>
      </c>
      <c r="O132" s="192">
        <f>IF(OR(A132="",D132="",K132="",$I$7=""),"",ROUND(D132*K132*$I$7,2))</f>
        <v/>
      </c>
      <c r="P132" s="192">
        <f>IF(OR(A132="",N132="",K132="",$I$7=""),"",ROUND(N132*K132*$I$7,2))</f>
        <v/>
      </c>
      <c r="Q132" s="192">
        <f>IF(OR(A132="",D132="",K132=""),"",ROUND(D132*K132,2))</f>
        <v/>
      </c>
      <c r="R132" s="192">
        <f>IF(OR(A132="",L132="",K132="",$I$7=""),"",ROUND(L132*K132*$I$7,2))</f>
        <v/>
      </c>
    </row>
    <row r="133">
      <c r="A133" s="86">
        <f>IF(itens_Remanesc!A133="","",itens_Remanesc!A133)</f>
        <v/>
      </c>
      <c r="B133" s="196" t="n"/>
      <c r="C133" s="196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>
        <f>IF(A133="","",IF($I$4="","POSICAO DE REFERENCIA INDISPONIVEL",IF($I$2,"ATUAL INFORMADA",IF(ISNUMBER(B133),"ATUAL IGNORADA (POSICAO INCOMPLETA) - FOTOGRAFIA "&amp;$I$4,"FOTOGRAFIA "&amp;$I$4))))</f>
        <v/>
      </c>
      <c r="F133" s="86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>
        <f>IF(A133="","",itens_Remanesc!C133)</f>
        <v/>
      </c>
      <c r="L133" s="192">
        <f>IF(A133="","",IF($I$4="C0",posicao_contratual!G133,IF($I$4="C1",posicao_contratual!K133,IF($I$4="C2",posicao_contratual!O133,IF($I$4="C3",posicao_contratual!S133,IF($I$4="C4",posicao_contratual!W133,""))))))</f>
        <v/>
      </c>
      <c r="M133" s="192">
        <f>IF(OR(A133="",$I$5="",$I$6=""),"",ROUND(SUMIFS(aditivos!$L$2:$L$200,aditivos!$A$2:$A$200,A133,aditivos!$B$2:$B$200,"&gt;"&amp;$I$6,aditivos!$B$2:$B$200,"&lt;="&amp;$I$5),2))</f>
        <v/>
      </c>
      <c r="N133" s="192">
        <f>IF(OR(A133="",L133="",D133=""),"",ROUND(MAX(L133+IF(ISNUMBER(M133),M133,0)-D133,0),2))</f>
        <v/>
      </c>
      <c r="O133" s="192">
        <f>IF(OR(A133="",D133="",K133="",$I$7=""),"",ROUND(D133*K133*$I$7,2))</f>
        <v/>
      </c>
      <c r="P133" s="192">
        <f>IF(OR(A133="",N133="",K133="",$I$7=""),"",ROUND(N133*K133*$I$7,2))</f>
        <v/>
      </c>
      <c r="Q133" s="192">
        <f>IF(OR(A133="",D133="",K133=""),"",ROUND(D133*K133,2))</f>
        <v/>
      </c>
      <c r="R133" s="192">
        <f>IF(OR(A133="",L133="",K133="",$I$7=""),"",ROUND(L133*K133*$I$7,2))</f>
        <v/>
      </c>
    </row>
    <row r="134">
      <c r="A134" s="86">
        <f>IF(itens_Remanesc!A134="","",itens_Remanesc!A134)</f>
        <v/>
      </c>
      <c r="B134" s="196" t="n"/>
      <c r="C134" s="196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>
        <f>IF(A134="","",IF($I$4="","POSICAO DE REFERENCIA INDISPONIVEL",IF($I$2,"ATUAL INFORMADA",IF(ISNUMBER(B134),"ATUAL IGNORADA (POSICAO INCOMPLETA) - FOTOGRAFIA "&amp;$I$4,"FOTOGRAFIA "&amp;$I$4))))</f>
        <v/>
      </c>
      <c r="F134" s="86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>
        <f>IF(A134="","",itens_Remanesc!C134)</f>
        <v/>
      </c>
      <c r="L134" s="192">
        <f>IF(A134="","",IF($I$4="C0",posicao_contratual!G134,IF($I$4="C1",posicao_contratual!K134,IF($I$4="C2",posicao_contratual!O134,IF($I$4="C3",posicao_contratual!S134,IF($I$4="C4",posicao_contratual!W134,""))))))</f>
        <v/>
      </c>
      <c r="M134" s="192">
        <f>IF(OR(A134="",$I$5="",$I$6=""),"",ROUND(SUMIFS(aditivos!$L$2:$L$200,aditivos!$A$2:$A$200,A134,aditivos!$B$2:$B$200,"&gt;"&amp;$I$6,aditivos!$B$2:$B$200,"&lt;="&amp;$I$5),2))</f>
        <v/>
      </c>
      <c r="N134" s="192">
        <f>IF(OR(A134="",L134="",D134=""),"",ROUND(MAX(L134+IF(ISNUMBER(M134),M134,0)-D134,0),2))</f>
        <v/>
      </c>
      <c r="O134" s="192">
        <f>IF(OR(A134="",D134="",K134="",$I$7=""),"",ROUND(D134*K134*$I$7,2))</f>
        <v/>
      </c>
      <c r="P134" s="192">
        <f>IF(OR(A134="",N134="",K134="",$I$7=""),"",ROUND(N134*K134*$I$7,2))</f>
        <v/>
      </c>
      <c r="Q134" s="192">
        <f>IF(OR(A134="",D134="",K134=""),"",ROUND(D134*K134,2))</f>
        <v/>
      </c>
      <c r="R134" s="192">
        <f>IF(OR(A134="",L134="",K134="",$I$7=""),"",ROUND(L134*K134*$I$7,2))</f>
        <v/>
      </c>
    </row>
    <row r="135">
      <c r="A135" s="86">
        <f>IF(itens_Remanesc!A135="","",itens_Remanesc!A135)</f>
        <v/>
      </c>
      <c r="B135" s="196" t="n"/>
      <c r="C135" s="196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>
        <f>IF(A135="","",IF($I$4="","POSICAO DE REFERENCIA INDISPONIVEL",IF($I$2,"ATUAL INFORMADA",IF(ISNUMBER(B135),"ATUAL IGNORADA (POSICAO INCOMPLETA) - FOTOGRAFIA "&amp;$I$4,"FOTOGRAFIA "&amp;$I$4))))</f>
        <v/>
      </c>
      <c r="F135" s="86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>
        <f>IF(A135="","",itens_Remanesc!C135)</f>
        <v/>
      </c>
      <c r="L135" s="192">
        <f>IF(A135="","",IF($I$4="C0",posicao_contratual!G135,IF($I$4="C1",posicao_contratual!K135,IF($I$4="C2",posicao_contratual!O135,IF($I$4="C3",posicao_contratual!S135,IF($I$4="C4",posicao_contratual!W135,""))))))</f>
        <v/>
      </c>
      <c r="M135" s="192">
        <f>IF(OR(A135="",$I$5="",$I$6=""),"",ROUND(SUMIFS(aditivos!$L$2:$L$200,aditivos!$A$2:$A$200,A135,aditivos!$B$2:$B$200,"&gt;"&amp;$I$6,aditivos!$B$2:$B$200,"&lt;="&amp;$I$5),2))</f>
        <v/>
      </c>
      <c r="N135" s="192">
        <f>IF(OR(A135="",L135="",D135=""),"",ROUND(MAX(L135+IF(ISNUMBER(M135),M135,0)-D135,0),2))</f>
        <v/>
      </c>
      <c r="O135" s="192">
        <f>IF(OR(A135="",D135="",K135="",$I$7=""),"",ROUND(D135*K135*$I$7,2))</f>
        <v/>
      </c>
      <c r="P135" s="192">
        <f>IF(OR(A135="",N135="",K135="",$I$7=""),"",ROUND(N135*K135*$I$7,2))</f>
        <v/>
      </c>
      <c r="Q135" s="192">
        <f>IF(OR(A135="",D135="",K135=""),"",ROUND(D135*K135,2))</f>
        <v/>
      </c>
      <c r="R135" s="192">
        <f>IF(OR(A135="",L135="",K135="",$I$7=""),"",ROUND(L135*K135*$I$7,2))</f>
        <v/>
      </c>
    </row>
    <row r="136">
      <c r="A136" s="86">
        <f>IF(itens_Remanesc!A136="","",itens_Remanesc!A136)</f>
        <v/>
      </c>
      <c r="B136" s="196" t="n"/>
      <c r="C136" s="196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>
        <f>IF(A136="","",IF($I$4="","POSICAO DE REFERENCIA INDISPONIVEL",IF($I$2,"ATUAL INFORMADA",IF(ISNUMBER(B136),"ATUAL IGNORADA (POSICAO INCOMPLETA) - FOTOGRAFIA "&amp;$I$4,"FOTOGRAFIA "&amp;$I$4))))</f>
        <v/>
      </c>
      <c r="F136" s="86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>
        <f>IF(A136="","",itens_Remanesc!C136)</f>
        <v/>
      </c>
      <c r="L136" s="192">
        <f>IF(A136="","",IF($I$4="C0",posicao_contratual!G136,IF($I$4="C1",posicao_contratual!K136,IF($I$4="C2",posicao_contratual!O136,IF($I$4="C3",posicao_contratual!S136,IF($I$4="C4",posicao_contratual!W136,""))))))</f>
        <v/>
      </c>
      <c r="M136" s="192">
        <f>IF(OR(A136="",$I$5="",$I$6=""),"",ROUND(SUMIFS(aditivos!$L$2:$L$200,aditivos!$A$2:$A$200,A136,aditivos!$B$2:$B$200,"&gt;"&amp;$I$6,aditivos!$B$2:$B$200,"&lt;="&amp;$I$5),2))</f>
        <v/>
      </c>
      <c r="N136" s="192">
        <f>IF(OR(A136="",L136="",D136=""),"",ROUND(MAX(L136+IF(ISNUMBER(M136),M136,0)-D136,0),2))</f>
        <v/>
      </c>
      <c r="O136" s="192">
        <f>IF(OR(A136="",D136="",K136="",$I$7=""),"",ROUND(D136*K136*$I$7,2))</f>
        <v/>
      </c>
      <c r="P136" s="192">
        <f>IF(OR(A136="",N136="",K136="",$I$7=""),"",ROUND(N136*K136*$I$7,2))</f>
        <v/>
      </c>
      <c r="Q136" s="192">
        <f>IF(OR(A136="",D136="",K136=""),"",ROUND(D136*K136,2))</f>
        <v/>
      </c>
      <c r="R136" s="192">
        <f>IF(OR(A136="",L136="",K136="",$I$7=""),"",ROUND(L136*K136*$I$7,2))</f>
        <v/>
      </c>
    </row>
    <row r="137">
      <c r="A137" s="86">
        <f>IF(itens_Remanesc!A137="","",itens_Remanesc!A137)</f>
        <v/>
      </c>
      <c r="B137" s="196" t="n"/>
      <c r="C137" s="196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>
        <f>IF(A137="","",IF($I$4="","POSICAO DE REFERENCIA INDISPONIVEL",IF($I$2,"ATUAL INFORMADA",IF(ISNUMBER(B137),"ATUAL IGNORADA (POSICAO INCOMPLETA) - FOTOGRAFIA "&amp;$I$4,"FOTOGRAFIA "&amp;$I$4))))</f>
        <v/>
      </c>
      <c r="F137" s="86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>
        <f>IF(A137="","",itens_Remanesc!C137)</f>
        <v/>
      </c>
      <c r="L137" s="192">
        <f>IF(A137="","",IF($I$4="C0",posicao_contratual!G137,IF($I$4="C1",posicao_contratual!K137,IF($I$4="C2",posicao_contratual!O137,IF($I$4="C3",posicao_contratual!S137,IF($I$4="C4",posicao_contratual!W137,""))))))</f>
        <v/>
      </c>
      <c r="M137" s="192">
        <f>IF(OR(A137="",$I$5="",$I$6=""),"",ROUND(SUMIFS(aditivos!$L$2:$L$200,aditivos!$A$2:$A$200,A137,aditivos!$B$2:$B$200,"&gt;"&amp;$I$6,aditivos!$B$2:$B$200,"&lt;="&amp;$I$5),2))</f>
        <v/>
      </c>
      <c r="N137" s="192">
        <f>IF(OR(A137="",L137="",D137=""),"",ROUND(MAX(L137+IF(ISNUMBER(M137),M137,0)-D137,0),2))</f>
        <v/>
      </c>
      <c r="O137" s="192">
        <f>IF(OR(A137="",D137="",K137="",$I$7=""),"",ROUND(D137*K137*$I$7,2))</f>
        <v/>
      </c>
      <c r="P137" s="192">
        <f>IF(OR(A137="",N137="",K137="",$I$7=""),"",ROUND(N137*K137*$I$7,2))</f>
        <v/>
      </c>
      <c r="Q137" s="192">
        <f>IF(OR(A137="",D137="",K137=""),"",ROUND(D137*K137,2))</f>
        <v/>
      </c>
      <c r="R137" s="192">
        <f>IF(OR(A137="",L137="",K137="",$I$7=""),"",ROUND(L137*K137*$I$7,2))</f>
        <v/>
      </c>
    </row>
    <row r="138">
      <c r="A138" s="86">
        <f>IF(itens_Remanesc!A138="","",itens_Remanesc!A138)</f>
        <v/>
      </c>
      <c r="B138" s="196" t="n"/>
      <c r="C138" s="196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>
        <f>IF(A138="","",IF($I$4="","POSICAO DE REFERENCIA INDISPONIVEL",IF($I$2,"ATUAL INFORMADA",IF(ISNUMBER(B138),"ATUAL IGNORADA (POSICAO INCOMPLETA) - FOTOGRAFIA "&amp;$I$4,"FOTOGRAFIA "&amp;$I$4))))</f>
        <v/>
      </c>
      <c r="F138" s="86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>
        <f>IF(A138="","",itens_Remanesc!C138)</f>
        <v/>
      </c>
      <c r="L138" s="192">
        <f>IF(A138="","",IF($I$4="C0",posicao_contratual!G138,IF($I$4="C1",posicao_contratual!K138,IF($I$4="C2",posicao_contratual!O138,IF($I$4="C3",posicao_contratual!S138,IF($I$4="C4",posicao_contratual!W138,""))))))</f>
        <v/>
      </c>
      <c r="M138" s="192">
        <f>IF(OR(A138="",$I$5="",$I$6=""),"",ROUND(SUMIFS(aditivos!$L$2:$L$200,aditivos!$A$2:$A$200,A138,aditivos!$B$2:$B$200,"&gt;"&amp;$I$6,aditivos!$B$2:$B$200,"&lt;="&amp;$I$5),2))</f>
        <v/>
      </c>
      <c r="N138" s="192">
        <f>IF(OR(A138="",L138="",D138=""),"",ROUND(MAX(L138+IF(ISNUMBER(M138),M138,0)-D138,0),2))</f>
        <v/>
      </c>
      <c r="O138" s="192">
        <f>IF(OR(A138="",D138="",K138="",$I$7=""),"",ROUND(D138*K138*$I$7,2))</f>
        <v/>
      </c>
      <c r="P138" s="192">
        <f>IF(OR(A138="",N138="",K138="",$I$7=""),"",ROUND(N138*K138*$I$7,2))</f>
        <v/>
      </c>
      <c r="Q138" s="192">
        <f>IF(OR(A138="",D138="",K138=""),"",ROUND(D138*K138,2))</f>
        <v/>
      </c>
      <c r="R138" s="192">
        <f>IF(OR(A138="",L138="",K138="",$I$7=""),"",ROUND(L138*K138*$I$7,2))</f>
        <v/>
      </c>
    </row>
    <row r="139">
      <c r="A139" s="86">
        <f>IF(itens_Remanesc!A139="","",itens_Remanesc!A139)</f>
        <v/>
      </c>
      <c r="B139" s="196" t="n"/>
      <c r="C139" s="196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>
        <f>IF(A139="","",IF($I$4="","POSICAO DE REFERENCIA INDISPONIVEL",IF($I$2,"ATUAL INFORMADA",IF(ISNUMBER(B139),"ATUAL IGNORADA (POSICAO INCOMPLETA) - FOTOGRAFIA "&amp;$I$4,"FOTOGRAFIA "&amp;$I$4))))</f>
        <v/>
      </c>
      <c r="F139" s="86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>
        <f>IF(A139="","",itens_Remanesc!C139)</f>
        <v/>
      </c>
      <c r="L139" s="192">
        <f>IF(A139="","",IF($I$4="C0",posicao_contratual!G139,IF($I$4="C1",posicao_contratual!K139,IF($I$4="C2",posicao_contratual!O139,IF($I$4="C3",posicao_contratual!S139,IF($I$4="C4",posicao_contratual!W139,""))))))</f>
        <v/>
      </c>
      <c r="M139" s="192">
        <f>IF(OR(A139="",$I$5="",$I$6=""),"",ROUND(SUMIFS(aditivos!$L$2:$L$200,aditivos!$A$2:$A$200,A139,aditivos!$B$2:$B$200,"&gt;"&amp;$I$6,aditivos!$B$2:$B$200,"&lt;="&amp;$I$5),2))</f>
        <v/>
      </c>
      <c r="N139" s="192">
        <f>IF(OR(A139="",L139="",D139=""),"",ROUND(MAX(L139+IF(ISNUMBER(M139),M139,0)-D139,0),2))</f>
        <v/>
      </c>
      <c r="O139" s="192">
        <f>IF(OR(A139="",D139="",K139="",$I$7=""),"",ROUND(D139*K139*$I$7,2))</f>
        <v/>
      </c>
      <c r="P139" s="192">
        <f>IF(OR(A139="",N139="",K139="",$I$7=""),"",ROUND(N139*K139*$I$7,2))</f>
        <v/>
      </c>
      <c r="Q139" s="192">
        <f>IF(OR(A139="",D139="",K139=""),"",ROUND(D139*K139,2))</f>
        <v/>
      </c>
      <c r="R139" s="192">
        <f>IF(OR(A139="",L139="",K139="",$I$7=""),"",ROUND(L139*K139*$I$7,2))</f>
        <v/>
      </c>
    </row>
    <row r="140">
      <c r="A140" s="86">
        <f>IF(itens_Remanesc!A140="","",itens_Remanesc!A140)</f>
        <v/>
      </c>
      <c r="B140" s="196" t="n"/>
      <c r="C140" s="196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>
        <f>IF(A140="","",IF($I$4="","POSICAO DE REFERENCIA INDISPONIVEL",IF($I$2,"ATUAL INFORMADA",IF(ISNUMBER(B140),"ATUAL IGNORADA (POSICAO INCOMPLETA) - FOTOGRAFIA "&amp;$I$4,"FOTOGRAFIA "&amp;$I$4))))</f>
        <v/>
      </c>
      <c r="F140" s="86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>
        <f>IF(A140="","",itens_Remanesc!C140)</f>
        <v/>
      </c>
      <c r="L140" s="192">
        <f>IF(A140="","",IF($I$4="C0",posicao_contratual!G140,IF($I$4="C1",posicao_contratual!K140,IF($I$4="C2",posicao_contratual!O140,IF($I$4="C3",posicao_contratual!S140,IF($I$4="C4",posicao_contratual!W140,""))))))</f>
        <v/>
      </c>
      <c r="M140" s="192">
        <f>IF(OR(A140="",$I$5="",$I$6=""),"",ROUND(SUMIFS(aditivos!$L$2:$L$200,aditivos!$A$2:$A$200,A140,aditivos!$B$2:$B$200,"&gt;"&amp;$I$6,aditivos!$B$2:$B$200,"&lt;="&amp;$I$5),2))</f>
        <v/>
      </c>
      <c r="N140" s="192">
        <f>IF(OR(A140="",L140="",D140=""),"",ROUND(MAX(L140+IF(ISNUMBER(M140),M140,0)-D140,0),2))</f>
        <v/>
      </c>
      <c r="O140" s="192">
        <f>IF(OR(A140="",D140="",K140="",$I$7=""),"",ROUND(D140*K140*$I$7,2))</f>
        <v/>
      </c>
      <c r="P140" s="192">
        <f>IF(OR(A140="",N140="",K140="",$I$7=""),"",ROUND(N140*K140*$I$7,2))</f>
        <v/>
      </c>
      <c r="Q140" s="192">
        <f>IF(OR(A140="",D140="",K140=""),"",ROUND(D140*K140,2))</f>
        <v/>
      </c>
      <c r="R140" s="192">
        <f>IF(OR(A140="",L140="",K140="",$I$7=""),"",ROUND(L140*K140*$I$7,2))</f>
        <v/>
      </c>
    </row>
    <row r="141">
      <c r="A141" s="86">
        <f>IF(itens_Remanesc!A141="","",itens_Remanesc!A141)</f>
        <v/>
      </c>
      <c r="B141" s="196" t="n"/>
      <c r="C141" s="196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>
        <f>IF(A141="","",IF($I$4="","POSICAO DE REFERENCIA INDISPONIVEL",IF($I$2,"ATUAL INFORMADA",IF(ISNUMBER(B141),"ATUAL IGNORADA (POSICAO INCOMPLETA) - FOTOGRAFIA "&amp;$I$4,"FOTOGRAFIA "&amp;$I$4))))</f>
        <v/>
      </c>
      <c r="F141" s="86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>
        <f>IF(A141="","",itens_Remanesc!C141)</f>
        <v/>
      </c>
      <c r="L141" s="192">
        <f>IF(A141="","",IF($I$4="C0",posicao_contratual!G141,IF($I$4="C1",posicao_contratual!K141,IF($I$4="C2",posicao_contratual!O141,IF($I$4="C3",posicao_contratual!S141,IF($I$4="C4",posicao_contratual!W141,""))))))</f>
        <v/>
      </c>
      <c r="M141" s="192">
        <f>IF(OR(A141="",$I$5="",$I$6=""),"",ROUND(SUMIFS(aditivos!$L$2:$L$200,aditivos!$A$2:$A$200,A141,aditivos!$B$2:$B$200,"&gt;"&amp;$I$6,aditivos!$B$2:$B$200,"&lt;="&amp;$I$5),2))</f>
        <v/>
      </c>
      <c r="N141" s="192">
        <f>IF(OR(A141="",L141="",D141=""),"",ROUND(MAX(L141+IF(ISNUMBER(M141),M141,0)-D141,0),2))</f>
        <v/>
      </c>
      <c r="O141" s="192">
        <f>IF(OR(A141="",D141="",K141="",$I$7=""),"",ROUND(D141*K141*$I$7,2))</f>
        <v/>
      </c>
      <c r="P141" s="192">
        <f>IF(OR(A141="",N141="",K141="",$I$7=""),"",ROUND(N141*K141*$I$7,2))</f>
        <v/>
      </c>
      <c r="Q141" s="192">
        <f>IF(OR(A141="",D141="",K141=""),"",ROUND(D141*K141,2))</f>
        <v/>
      </c>
      <c r="R141" s="192">
        <f>IF(OR(A141="",L141="",K141="",$I$7=""),"",ROUND(L141*K141*$I$7,2))</f>
        <v/>
      </c>
    </row>
    <row r="142">
      <c r="A142" s="86">
        <f>IF(itens_Remanesc!A142="","",itens_Remanesc!A142)</f>
        <v/>
      </c>
      <c r="B142" s="196" t="n"/>
      <c r="C142" s="196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>
        <f>IF(A142="","",IF($I$4="","POSICAO DE REFERENCIA INDISPONIVEL",IF($I$2,"ATUAL INFORMADA",IF(ISNUMBER(B142),"ATUAL IGNORADA (POSICAO INCOMPLETA) - FOTOGRAFIA "&amp;$I$4,"FOTOGRAFIA "&amp;$I$4))))</f>
        <v/>
      </c>
      <c r="F142" s="86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>
        <f>IF(A142="","",itens_Remanesc!C142)</f>
        <v/>
      </c>
      <c r="L142" s="192">
        <f>IF(A142="","",IF($I$4="C0",posicao_contratual!G142,IF($I$4="C1",posicao_contratual!K142,IF($I$4="C2",posicao_contratual!O142,IF($I$4="C3",posicao_contratual!S142,IF($I$4="C4",posicao_contratual!W142,""))))))</f>
        <v/>
      </c>
      <c r="M142" s="192">
        <f>IF(OR(A142="",$I$5="",$I$6=""),"",ROUND(SUMIFS(aditivos!$L$2:$L$200,aditivos!$A$2:$A$200,A142,aditivos!$B$2:$B$200,"&gt;"&amp;$I$6,aditivos!$B$2:$B$200,"&lt;="&amp;$I$5),2))</f>
        <v/>
      </c>
      <c r="N142" s="192">
        <f>IF(OR(A142="",L142="",D142=""),"",ROUND(MAX(L142+IF(ISNUMBER(M142),M142,0)-D142,0),2))</f>
        <v/>
      </c>
      <c r="O142" s="192">
        <f>IF(OR(A142="",D142="",K142="",$I$7=""),"",ROUND(D142*K142*$I$7,2))</f>
        <v/>
      </c>
      <c r="P142" s="192">
        <f>IF(OR(A142="",N142="",K142="",$I$7=""),"",ROUND(N142*K142*$I$7,2))</f>
        <v/>
      </c>
      <c r="Q142" s="192">
        <f>IF(OR(A142="",D142="",K142=""),"",ROUND(D142*K142,2))</f>
        <v/>
      </c>
      <c r="R142" s="192">
        <f>IF(OR(A142="",L142="",K142="",$I$7=""),"",ROUND(L142*K142*$I$7,2))</f>
        <v/>
      </c>
    </row>
    <row r="143">
      <c r="A143" s="86">
        <f>IF(itens_Remanesc!A143="","",itens_Remanesc!A143)</f>
        <v/>
      </c>
      <c r="B143" s="196" t="n"/>
      <c r="C143" s="196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>
        <f>IF(A143="","",IF($I$4="","POSICAO DE REFERENCIA INDISPONIVEL",IF($I$2,"ATUAL INFORMADA",IF(ISNUMBER(B143),"ATUAL IGNORADA (POSICAO INCOMPLETA) - FOTOGRAFIA "&amp;$I$4,"FOTOGRAFIA "&amp;$I$4))))</f>
        <v/>
      </c>
      <c r="F143" s="86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>
        <f>IF(A143="","",itens_Remanesc!C143)</f>
        <v/>
      </c>
      <c r="L143" s="192">
        <f>IF(A143="","",IF($I$4="C0",posicao_contratual!G143,IF($I$4="C1",posicao_contratual!K143,IF($I$4="C2",posicao_contratual!O143,IF($I$4="C3",posicao_contratual!S143,IF($I$4="C4",posicao_contratual!W143,""))))))</f>
        <v/>
      </c>
      <c r="M143" s="192">
        <f>IF(OR(A143="",$I$5="",$I$6=""),"",ROUND(SUMIFS(aditivos!$L$2:$L$200,aditivos!$A$2:$A$200,A143,aditivos!$B$2:$B$200,"&gt;"&amp;$I$6,aditivos!$B$2:$B$200,"&lt;="&amp;$I$5),2))</f>
        <v/>
      </c>
      <c r="N143" s="192">
        <f>IF(OR(A143="",L143="",D143=""),"",ROUND(MAX(L143+IF(ISNUMBER(M143),M143,0)-D143,0),2))</f>
        <v/>
      </c>
      <c r="O143" s="192">
        <f>IF(OR(A143="",D143="",K143="",$I$7=""),"",ROUND(D143*K143*$I$7,2))</f>
        <v/>
      </c>
      <c r="P143" s="192">
        <f>IF(OR(A143="",N143="",K143="",$I$7=""),"",ROUND(N143*K143*$I$7,2))</f>
        <v/>
      </c>
      <c r="Q143" s="192">
        <f>IF(OR(A143="",D143="",K143=""),"",ROUND(D143*K143,2))</f>
        <v/>
      </c>
      <c r="R143" s="192">
        <f>IF(OR(A143="",L143="",K143="",$I$7=""),"",ROUND(L143*K143*$I$7,2))</f>
        <v/>
      </c>
    </row>
    <row r="144">
      <c r="A144" s="86">
        <f>IF(itens_Remanesc!A144="","",itens_Remanesc!A144)</f>
        <v/>
      </c>
      <c r="B144" s="196" t="n"/>
      <c r="C144" s="196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>
        <f>IF(A144="","",IF($I$4="","POSICAO DE REFERENCIA INDISPONIVEL",IF($I$2,"ATUAL INFORMADA",IF(ISNUMBER(B144),"ATUAL IGNORADA (POSICAO INCOMPLETA) - FOTOGRAFIA "&amp;$I$4,"FOTOGRAFIA "&amp;$I$4))))</f>
        <v/>
      </c>
      <c r="F144" s="86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>
        <f>IF(A144="","",itens_Remanesc!C144)</f>
        <v/>
      </c>
      <c r="L144" s="192">
        <f>IF(A144="","",IF($I$4="C0",posicao_contratual!G144,IF($I$4="C1",posicao_contratual!K144,IF($I$4="C2",posicao_contratual!O144,IF($I$4="C3",posicao_contratual!S144,IF($I$4="C4",posicao_contratual!W144,""))))))</f>
        <v/>
      </c>
      <c r="M144" s="192">
        <f>IF(OR(A144="",$I$5="",$I$6=""),"",ROUND(SUMIFS(aditivos!$L$2:$L$200,aditivos!$A$2:$A$200,A144,aditivos!$B$2:$B$200,"&gt;"&amp;$I$6,aditivos!$B$2:$B$200,"&lt;="&amp;$I$5),2))</f>
        <v/>
      </c>
      <c r="N144" s="192">
        <f>IF(OR(A144="",L144="",D144=""),"",ROUND(MAX(L144+IF(ISNUMBER(M144),M144,0)-D144,0),2))</f>
        <v/>
      </c>
      <c r="O144" s="192">
        <f>IF(OR(A144="",D144="",K144="",$I$7=""),"",ROUND(D144*K144*$I$7,2))</f>
        <v/>
      </c>
      <c r="P144" s="192">
        <f>IF(OR(A144="",N144="",K144="",$I$7=""),"",ROUND(N144*K144*$I$7,2))</f>
        <v/>
      </c>
      <c r="Q144" s="192">
        <f>IF(OR(A144="",D144="",K144=""),"",ROUND(D144*K144,2))</f>
        <v/>
      </c>
      <c r="R144" s="192">
        <f>IF(OR(A144="",L144="",K144="",$I$7=""),"",ROUND(L144*K144*$I$7,2))</f>
        <v/>
      </c>
    </row>
    <row r="145">
      <c r="A145" s="86">
        <f>IF(itens_Remanesc!A145="","",itens_Remanesc!A145)</f>
        <v/>
      </c>
      <c r="B145" s="196" t="n"/>
      <c r="C145" s="196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>
        <f>IF(A145="","",IF($I$4="","POSICAO DE REFERENCIA INDISPONIVEL",IF($I$2,"ATUAL INFORMADA",IF(ISNUMBER(B145),"ATUAL IGNORADA (POSICAO INCOMPLETA) - FOTOGRAFIA "&amp;$I$4,"FOTOGRAFIA "&amp;$I$4))))</f>
        <v/>
      </c>
      <c r="F145" s="86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>
        <f>IF(A145="","",itens_Remanesc!C145)</f>
        <v/>
      </c>
      <c r="L145" s="192">
        <f>IF(A145="","",IF($I$4="C0",posicao_contratual!G145,IF($I$4="C1",posicao_contratual!K145,IF($I$4="C2",posicao_contratual!O145,IF($I$4="C3",posicao_contratual!S145,IF($I$4="C4",posicao_contratual!W145,""))))))</f>
        <v/>
      </c>
      <c r="M145" s="192">
        <f>IF(OR(A145="",$I$5="",$I$6=""),"",ROUND(SUMIFS(aditivos!$L$2:$L$200,aditivos!$A$2:$A$200,A145,aditivos!$B$2:$B$200,"&gt;"&amp;$I$6,aditivos!$B$2:$B$200,"&lt;="&amp;$I$5),2))</f>
        <v/>
      </c>
      <c r="N145" s="192">
        <f>IF(OR(A145="",L145="",D145=""),"",ROUND(MAX(L145+IF(ISNUMBER(M145),M145,0)-D145,0),2))</f>
        <v/>
      </c>
      <c r="O145" s="192">
        <f>IF(OR(A145="",D145="",K145="",$I$7=""),"",ROUND(D145*K145*$I$7,2))</f>
        <v/>
      </c>
      <c r="P145" s="192">
        <f>IF(OR(A145="",N145="",K145="",$I$7=""),"",ROUND(N145*K145*$I$7,2))</f>
        <v/>
      </c>
      <c r="Q145" s="192">
        <f>IF(OR(A145="",D145="",K145=""),"",ROUND(D145*K145,2))</f>
        <v/>
      </c>
      <c r="R145" s="192">
        <f>IF(OR(A145="",L145="",K145="",$I$7=""),"",ROUND(L145*K145*$I$7,2))</f>
        <v/>
      </c>
    </row>
    <row r="146">
      <c r="A146" s="86">
        <f>IF(itens_Remanesc!A146="","",itens_Remanesc!A146)</f>
        <v/>
      </c>
      <c r="B146" s="196" t="n"/>
      <c r="C146" s="196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>
        <f>IF(A146="","",IF($I$4="","POSICAO DE REFERENCIA INDISPONIVEL",IF($I$2,"ATUAL INFORMADA",IF(ISNUMBER(B146),"ATUAL IGNORADA (POSICAO INCOMPLETA) - FOTOGRAFIA "&amp;$I$4,"FOTOGRAFIA "&amp;$I$4))))</f>
        <v/>
      </c>
      <c r="F146" s="86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>
        <f>IF(A146="","",itens_Remanesc!C146)</f>
        <v/>
      </c>
      <c r="L146" s="192">
        <f>IF(A146="","",IF($I$4="C0",posicao_contratual!G146,IF($I$4="C1",posicao_contratual!K146,IF($I$4="C2",posicao_contratual!O146,IF($I$4="C3",posicao_contratual!S146,IF($I$4="C4",posicao_contratual!W146,""))))))</f>
        <v/>
      </c>
      <c r="M146" s="192">
        <f>IF(OR(A146="",$I$5="",$I$6=""),"",ROUND(SUMIFS(aditivos!$L$2:$L$200,aditivos!$A$2:$A$200,A146,aditivos!$B$2:$B$200,"&gt;"&amp;$I$6,aditivos!$B$2:$B$200,"&lt;="&amp;$I$5),2))</f>
        <v/>
      </c>
      <c r="N146" s="192">
        <f>IF(OR(A146="",L146="",D146=""),"",ROUND(MAX(L146+IF(ISNUMBER(M146),M146,0)-D146,0),2))</f>
        <v/>
      </c>
      <c r="O146" s="192">
        <f>IF(OR(A146="",D146="",K146="",$I$7=""),"",ROUND(D146*K146*$I$7,2))</f>
        <v/>
      </c>
      <c r="P146" s="192">
        <f>IF(OR(A146="",N146="",K146="",$I$7=""),"",ROUND(N146*K146*$I$7,2))</f>
        <v/>
      </c>
      <c r="Q146" s="192">
        <f>IF(OR(A146="",D146="",K146=""),"",ROUND(D146*K146,2))</f>
        <v/>
      </c>
      <c r="R146" s="192">
        <f>IF(OR(A146="",L146="",K146="",$I$7=""),"",ROUND(L146*K146*$I$7,2))</f>
        <v/>
      </c>
    </row>
    <row r="147">
      <c r="A147" s="86">
        <f>IF(itens_Remanesc!A147="","",itens_Remanesc!A147)</f>
        <v/>
      </c>
      <c r="B147" s="196" t="n"/>
      <c r="C147" s="196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>
        <f>IF(A147="","",IF($I$4="","POSICAO DE REFERENCIA INDISPONIVEL",IF($I$2,"ATUAL INFORMADA",IF(ISNUMBER(B147),"ATUAL IGNORADA (POSICAO INCOMPLETA) - FOTOGRAFIA "&amp;$I$4,"FOTOGRAFIA "&amp;$I$4))))</f>
        <v/>
      </c>
      <c r="F147" s="86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>
        <f>IF(A147="","",itens_Remanesc!C147)</f>
        <v/>
      </c>
      <c r="L147" s="192">
        <f>IF(A147="","",IF($I$4="C0",posicao_contratual!G147,IF($I$4="C1",posicao_contratual!K147,IF($I$4="C2",posicao_contratual!O147,IF($I$4="C3",posicao_contratual!S147,IF($I$4="C4",posicao_contratual!W147,""))))))</f>
        <v/>
      </c>
      <c r="M147" s="192">
        <f>IF(OR(A147="",$I$5="",$I$6=""),"",ROUND(SUMIFS(aditivos!$L$2:$L$200,aditivos!$A$2:$A$200,A147,aditivos!$B$2:$B$200,"&gt;"&amp;$I$6,aditivos!$B$2:$B$200,"&lt;="&amp;$I$5),2))</f>
        <v/>
      </c>
      <c r="N147" s="192">
        <f>IF(OR(A147="",L147="",D147=""),"",ROUND(MAX(L147+IF(ISNUMBER(M147),M147,0)-D147,0),2))</f>
        <v/>
      </c>
      <c r="O147" s="192">
        <f>IF(OR(A147="",D147="",K147="",$I$7=""),"",ROUND(D147*K147*$I$7,2))</f>
        <v/>
      </c>
      <c r="P147" s="192">
        <f>IF(OR(A147="",N147="",K147="",$I$7=""),"",ROUND(N147*K147*$I$7,2))</f>
        <v/>
      </c>
      <c r="Q147" s="192">
        <f>IF(OR(A147="",D147="",K147=""),"",ROUND(D147*K147,2))</f>
        <v/>
      </c>
      <c r="R147" s="192">
        <f>IF(OR(A147="",L147="",K147="",$I$7=""),"",ROUND(L147*K147*$I$7,2))</f>
        <v/>
      </c>
    </row>
    <row r="148">
      <c r="A148" s="86">
        <f>IF(itens_Remanesc!A148="","",itens_Remanesc!A148)</f>
        <v/>
      </c>
      <c r="B148" s="196" t="n"/>
      <c r="C148" s="196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>
        <f>IF(A148="","",IF($I$4="","POSICAO DE REFERENCIA INDISPONIVEL",IF($I$2,"ATUAL INFORMADA",IF(ISNUMBER(B148),"ATUAL IGNORADA (POSICAO INCOMPLETA) - FOTOGRAFIA "&amp;$I$4,"FOTOGRAFIA "&amp;$I$4))))</f>
        <v/>
      </c>
      <c r="F148" s="86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>
        <f>IF(A148="","",itens_Remanesc!C148)</f>
        <v/>
      </c>
      <c r="L148" s="192">
        <f>IF(A148="","",IF($I$4="C0",posicao_contratual!G148,IF($I$4="C1",posicao_contratual!K148,IF($I$4="C2",posicao_contratual!O148,IF($I$4="C3",posicao_contratual!S148,IF($I$4="C4",posicao_contratual!W148,""))))))</f>
        <v/>
      </c>
      <c r="M148" s="192">
        <f>IF(OR(A148="",$I$5="",$I$6=""),"",ROUND(SUMIFS(aditivos!$L$2:$L$200,aditivos!$A$2:$A$200,A148,aditivos!$B$2:$B$200,"&gt;"&amp;$I$6,aditivos!$B$2:$B$200,"&lt;="&amp;$I$5),2))</f>
        <v/>
      </c>
      <c r="N148" s="192">
        <f>IF(OR(A148="",L148="",D148=""),"",ROUND(MAX(L148+IF(ISNUMBER(M148),M148,0)-D148,0),2))</f>
        <v/>
      </c>
      <c r="O148" s="192">
        <f>IF(OR(A148="",D148="",K148="",$I$7=""),"",ROUND(D148*K148*$I$7,2))</f>
        <v/>
      </c>
      <c r="P148" s="192">
        <f>IF(OR(A148="",N148="",K148="",$I$7=""),"",ROUND(N148*K148*$I$7,2))</f>
        <v/>
      </c>
      <c r="Q148" s="192">
        <f>IF(OR(A148="",D148="",K148=""),"",ROUND(D148*K148,2))</f>
        <v/>
      </c>
      <c r="R148" s="192">
        <f>IF(OR(A148="",L148="",K148="",$I$7=""),"",ROUND(L148*K148*$I$7,2))</f>
        <v/>
      </c>
    </row>
    <row r="149">
      <c r="A149" s="86">
        <f>IF(itens_Remanesc!A149="","",itens_Remanesc!A149)</f>
        <v/>
      </c>
      <c r="B149" s="196" t="n"/>
      <c r="C149" s="196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>
        <f>IF(A149="","",IF($I$4="","POSICAO DE REFERENCIA INDISPONIVEL",IF($I$2,"ATUAL INFORMADA",IF(ISNUMBER(B149),"ATUAL IGNORADA (POSICAO INCOMPLETA) - FOTOGRAFIA "&amp;$I$4,"FOTOGRAFIA "&amp;$I$4))))</f>
        <v/>
      </c>
      <c r="F149" s="86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>
        <f>IF(A149="","",itens_Remanesc!C149)</f>
        <v/>
      </c>
      <c r="L149" s="192">
        <f>IF(A149="","",IF($I$4="C0",posicao_contratual!G149,IF($I$4="C1",posicao_contratual!K149,IF($I$4="C2",posicao_contratual!O149,IF($I$4="C3",posicao_contratual!S149,IF($I$4="C4",posicao_contratual!W149,""))))))</f>
        <v/>
      </c>
      <c r="M149" s="192">
        <f>IF(OR(A149="",$I$5="",$I$6=""),"",ROUND(SUMIFS(aditivos!$L$2:$L$200,aditivos!$A$2:$A$200,A149,aditivos!$B$2:$B$200,"&gt;"&amp;$I$6,aditivos!$B$2:$B$200,"&lt;="&amp;$I$5),2))</f>
        <v/>
      </c>
      <c r="N149" s="192">
        <f>IF(OR(A149="",L149="",D149=""),"",ROUND(MAX(L149+IF(ISNUMBER(M149),M149,0)-D149,0),2))</f>
        <v/>
      </c>
      <c r="O149" s="192">
        <f>IF(OR(A149="",D149="",K149="",$I$7=""),"",ROUND(D149*K149*$I$7,2))</f>
        <v/>
      </c>
      <c r="P149" s="192">
        <f>IF(OR(A149="",N149="",K149="",$I$7=""),"",ROUND(N149*K149*$I$7,2))</f>
        <v/>
      </c>
      <c r="Q149" s="192">
        <f>IF(OR(A149="",D149="",K149=""),"",ROUND(D149*K149,2))</f>
        <v/>
      </c>
      <c r="R149" s="192">
        <f>IF(OR(A149="",L149="",K149="",$I$7=""),"",ROUND(L149*K149*$I$7,2))</f>
        <v/>
      </c>
    </row>
    <row r="150">
      <c r="A150" s="86">
        <f>IF(itens_Remanesc!A150="","",itens_Remanesc!A150)</f>
        <v/>
      </c>
      <c r="B150" s="196" t="n"/>
      <c r="C150" s="196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>
        <f>IF(A150="","",IF($I$4="","POSICAO DE REFERENCIA INDISPONIVEL",IF($I$2,"ATUAL INFORMADA",IF(ISNUMBER(B150),"ATUAL IGNORADA (POSICAO INCOMPLETA) - FOTOGRAFIA "&amp;$I$4,"FOTOGRAFIA "&amp;$I$4))))</f>
        <v/>
      </c>
      <c r="F150" s="86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>
        <f>IF(A150="","",itens_Remanesc!C150)</f>
        <v/>
      </c>
      <c r="L150" s="192">
        <f>IF(A150="","",IF($I$4="C0",posicao_contratual!G150,IF($I$4="C1",posicao_contratual!K150,IF($I$4="C2",posicao_contratual!O150,IF($I$4="C3",posicao_contratual!S150,IF($I$4="C4",posicao_contratual!W150,""))))))</f>
        <v/>
      </c>
      <c r="M150" s="192">
        <f>IF(OR(A150="",$I$5="",$I$6=""),"",ROUND(SUMIFS(aditivos!$L$2:$L$200,aditivos!$A$2:$A$200,A150,aditivos!$B$2:$B$200,"&gt;"&amp;$I$6,aditivos!$B$2:$B$200,"&lt;="&amp;$I$5),2))</f>
        <v/>
      </c>
      <c r="N150" s="192">
        <f>IF(OR(A150="",L150="",D150=""),"",ROUND(MAX(L150+IF(ISNUMBER(M150),M150,0)-D150,0),2))</f>
        <v/>
      </c>
      <c r="O150" s="192">
        <f>IF(OR(A150="",D150="",K150="",$I$7=""),"",ROUND(D150*K150*$I$7,2))</f>
        <v/>
      </c>
      <c r="P150" s="192">
        <f>IF(OR(A150="",N150="",K150="",$I$7=""),"",ROUND(N150*K150*$I$7,2))</f>
        <v/>
      </c>
      <c r="Q150" s="192">
        <f>IF(OR(A150="",D150="",K150=""),"",ROUND(D150*K150,2))</f>
        <v/>
      </c>
      <c r="R150" s="192">
        <f>IF(OR(A150="",L150="",K150="",$I$7=""),"",ROUND(L150*K150*$I$7,2))</f>
        <v/>
      </c>
    </row>
    <row r="151">
      <c r="A151" s="86">
        <f>IF(itens_Remanesc!A151="","",itens_Remanesc!A151)</f>
        <v/>
      </c>
      <c r="B151" s="196" t="n"/>
      <c r="C151" s="196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>
        <f>IF(A151="","",IF($I$4="","POSICAO DE REFERENCIA INDISPONIVEL",IF($I$2,"ATUAL INFORMADA",IF(ISNUMBER(B151),"ATUAL IGNORADA (POSICAO INCOMPLETA) - FOTOGRAFIA "&amp;$I$4,"FOTOGRAFIA "&amp;$I$4))))</f>
        <v/>
      </c>
      <c r="F151" s="86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>
        <f>IF(A151="","",itens_Remanesc!C151)</f>
        <v/>
      </c>
      <c r="L151" s="192">
        <f>IF(A151="","",IF($I$4="C0",posicao_contratual!G151,IF($I$4="C1",posicao_contratual!K151,IF($I$4="C2",posicao_contratual!O151,IF($I$4="C3",posicao_contratual!S151,IF($I$4="C4",posicao_contratual!W151,""))))))</f>
        <v/>
      </c>
      <c r="M151" s="192">
        <f>IF(OR(A151="",$I$5="",$I$6=""),"",ROUND(SUMIFS(aditivos!$L$2:$L$200,aditivos!$A$2:$A$200,A151,aditivos!$B$2:$B$200,"&gt;"&amp;$I$6,aditivos!$B$2:$B$200,"&lt;="&amp;$I$5),2))</f>
        <v/>
      </c>
      <c r="N151" s="192">
        <f>IF(OR(A151="",L151="",D151=""),"",ROUND(MAX(L151+IF(ISNUMBER(M151),M151,0)-D151,0),2))</f>
        <v/>
      </c>
      <c r="O151" s="192">
        <f>IF(OR(A151="",D151="",K151="",$I$7=""),"",ROUND(D151*K151*$I$7,2))</f>
        <v/>
      </c>
      <c r="P151" s="192">
        <f>IF(OR(A151="",N151="",K151="",$I$7=""),"",ROUND(N151*K151*$I$7,2))</f>
        <v/>
      </c>
      <c r="Q151" s="192">
        <f>IF(OR(A151="",D151="",K151=""),"",ROUND(D151*K151,2))</f>
        <v/>
      </c>
      <c r="R151" s="192">
        <f>IF(OR(A151="",L151="",K151="",$I$7=""),"",ROUND(L151*K151*$I$7,2))</f>
        <v/>
      </c>
    </row>
    <row r="152">
      <c r="A152" s="86">
        <f>IF(itens_Remanesc!A152="","",itens_Remanesc!A152)</f>
        <v/>
      </c>
      <c r="B152" s="196" t="n"/>
      <c r="C152" s="196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>
        <f>IF(A152="","",IF($I$4="","POSICAO DE REFERENCIA INDISPONIVEL",IF($I$2,"ATUAL INFORMADA",IF(ISNUMBER(B152),"ATUAL IGNORADA (POSICAO INCOMPLETA) - FOTOGRAFIA "&amp;$I$4,"FOTOGRAFIA "&amp;$I$4))))</f>
        <v/>
      </c>
      <c r="F152" s="86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>
        <f>IF(A152="","",itens_Remanesc!C152)</f>
        <v/>
      </c>
      <c r="L152" s="192">
        <f>IF(A152="","",IF($I$4="C0",posicao_contratual!G152,IF($I$4="C1",posicao_contratual!K152,IF($I$4="C2",posicao_contratual!O152,IF($I$4="C3",posicao_contratual!S152,IF($I$4="C4",posicao_contratual!W152,""))))))</f>
        <v/>
      </c>
      <c r="M152" s="192">
        <f>IF(OR(A152="",$I$5="",$I$6=""),"",ROUND(SUMIFS(aditivos!$L$2:$L$200,aditivos!$A$2:$A$200,A152,aditivos!$B$2:$B$200,"&gt;"&amp;$I$6,aditivos!$B$2:$B$200,"&lt;="&amp;$I$5),2))</f>
        <v/>
      </c>
      <c r="N152" s="192">
        <f>IF(OR(A152="",L152="",D152=""),"",ROUND(MAX(L152+IF(ISNUMBER(M152),M152,0)-D152,0),2))</f>
        <v/>
      </c>
      <c r="O152" s="192">
        <f>IF(OR(A152="",D152="",K152="",$I$7=""),"",ROUND(D152*K152*$I$7,2))</f>
        <v/>
      </c>
      <c r="P152" s="192">
        <f>IF(OR(A152="",N152="",K152="",$I$7=""),"",ROUND(N152*K152*$I$7,2))</f>
        <v/>
      </c>
      <c r="Q152" s="192">
        <f>IF(OR(A152="",D152="",K152=""),"",ROUND(D152*K152,2))</f>
        <v/>
      </c>
      <c r="R152" s="192">
        <f>IF(OR(A152="",L152="",K152="",$I$7=""),"",ROUND(L152*K152*$I$7,2))</f>
        <v/>
      </c>
    </row>
    <row r="153">
      <c r="A153" s="86">
        <f>IF(itens_Remanesc!A153="","",itens_Remanesc!A153)</f>
        <v/>
      </c>
      <c r="B153" s="196" t="n"/>
      <c r="C153" s="196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>
        <f>IF(A153="","",IF($I$4="","POSICAO DE REFERENCIA INDISPONIVEL",IF($I$2,"ATUAL INFORMADA",IF(ISNUMBER(B153),"ATUAL IGNORADA (POSICAO INCOMPLETA) - FOTOGRAFIA "&amp;$I$4,"FOTOGRAFIA "&amp;$I$4))))</f>
        <v/>
      </c>
      <c r="F153" s="86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>
        <f>IF(A153="","",itens_Remanesc!C153)</f>
        <v/>
      </c>
      <c r="L153" s="192">
        <f>IF(A153="","",IF($I$4="C0",posicao_contratual!G153,IF($I$4="C1",posicao_contratual!K153,IF($I$4="C2",posicao_contratual!O153,IF($I$4="C3",posicao_contratual!S153,IF($I$4="C4",posicao_contratual!W153,""))))))</f>
        <v/>
      </c>
      <c r="M153" s="192">
        <f>IF(OR(A153="",$I$5="",$I$6=""),"",ROUND(SUMIFS(aditivos!$L$2:$L$200,aditivos!$A$2:$A$200,A153,aditivos!$B$2:$B$200,"&gt;"&amp;$I$6,aditivos!$B$2:$B$200,"&lt;="&amp;$I$5),2))</f>
        <v/>
      </c>
      <c r="N153" s="192">
        <f>IF(OR(A153="",L153="",D153=""),"",ROUND(MAX(L153+IF(ISNUMBER(M153),M153,0)-D153,0),2))</f>
        <v/>
      </c>
      <c r="O153" s="192">
        <f>IF(OR(A153="",D153="",K153="",$I$7=""),"",ROUND(D153*K153*$I$7,2))</f>
        <v/>
      </c>
      <c r="P153" s="192">
        <f>IF(OR(A153="",N153="",K153="",$I$7=""),"",ROUND(N153*K153*$I$7,2))</f>
        <v/>
      </c>
      <c r="Q153" s="192">
        <f>IF(OR(A153="",D153="",K153=""),"",ROUND(D153*K153,2))</f>
        <v/>
      </c>
      <c r="R153" s="192">
        <f>IF(OR(A153="",L153="",K153="",$I$7=""),"",ROUND(L153*K153*$I$7,2))</f>
        <v/>
      </c>
    </row>
    <row r="154">
      <c r="A154" s="86">
        <f>IF(itens_Remanesc!A154="","",itens_Remanesc!A154)</f>
        <v/>
      </c>
      <c r="B154" s="196" t="n"/>
      <c r="C154" s="196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>
        <f>IF(A154="","",IF($I$4="","POSICAO DE REFERENCIA INDISPONIVEL",IF($I$2,"ATUAL INFORMADA",IF(ISNUMBER(B154),"ATUAL IGNORADA (POSICAO INCOMPLETA) - FOTOGRAFIA "&amp;$I$4,"FOTOGRAFIA "&amp;$I$4))))</f>
        <v/>
      </c>
      <c r="F154" s="86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>
        <f>IF(A154="","",itens_Remanesc!C154)</f>
        <v/>
      </c>
      <c r="L154" s="192">
        <f>IF(A154="","",IF($I$4="C0",posicao_contratual!G154,IF($I$4="C1",posicao_contratual!K154,IF($I$4="C2",posicao_contratual!O154,IF($I$4="C3",posicao_contratual!S154,IF($I$4="C4",posicao_contratual!W154,""))))))</f>
        <v/>
      </c>
      <c r="M154" s="192">
        <f>IF(OR(A154="",$I$5="",$I$6=""),"",ROUND(SUMIFS(aditivos!$L$2:$L$200,aditivos!$A$2:$A$200,A154,aditivos!$B$2:$B$200,"&gt;"&amp;$I$6,aditivos!$B$2:$B$200,"&lt;="&amp;$I$5),2))</f>
        <v/>
      </c>
      <c r="N154" s="192">
        <f>IF(OR(A154="",L154="",D154=""),"",ROUND(MAX(L154+IF(ISNUMBER(M154),M154,0)-D154,0),2))</f>
        <v/>
      </c>
      <c r="O154" s="192">
        <f>IF(OR(A154="",D154="",K154="",$I$7=""),"",ROUND(D154*K154*$I$7,2))</f>
        <v/>
      </c>
      <c r="P154" s="192">
        <f>IF(OR(A154="",N154="",K154="",$I$7=""),"",ROUND(N154*K154*$I$7,2))</f>
        <v/>
      </c>
      <c r="Q154" s="192">
        <f>IF(OR(A154="",D154="",K154=""),"",ROUND(D154*K154,2))</f>
        <v/>
      </c>
      <c r="R154" s="192">
        <f>IF(OR(A154="",L154="",K154="",$I$7=""),"",ROUND(L154*K154*$I$7,2))</f>
        <v/>
      </c>
    </row>
    <row r="155">
      <c r="A155" s="86">
        <f>IF(itens_Remanesc!A155="","",itens_Remanesc!A155)</f>
        <v/>
      </c>
      <c r="B155" s="196" t="n"/>
      <c r="C155" s="196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>
        <f>IF(A155="","",IF($I$4="","POSICAO DE REFERENCIA INDISPONIVEL",IF($I$2,"ATUAL INFORMADA",IF(ISNUMBER(B155),"ATUAL IGNORADA (POSICAO INCOMPLETA) - FOTOGRAFIA "&amp;$I$4,"FOTOGRAFIA "&amp;$I$4))))</f>
        <v/>
      </c>
      <c r="F155" s="86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>
        <f>IF(A155="","",itens_Remanesc!C155)</f>
        <v/>
      </c>
      <c r="L155" s="192">
        <f>IF(A155="","",IF($I$4="C0",posicao_contratual!G155,IF($I$4="C1",posicao_contratual!K155,IF($I$4="C2",posicao_contratual!O155,IF($I$4="C3",posicao_contratual!S155,IF($I$4="C4",posicao_contratual!W155,""))))))</f>
        <v/>
      </c>
      <c r="M155" s="192">
        <f>IF(OR(A155="",$I$5="",$I$6=""),"",ROUND(SUMIFS(aditivos!$L$2:$L$200,aditivos!$A$2:$A$200,A155,aditivos!$B$2:$B$200,"&gt;"&amp;$I$6,aditivos!$B$2:$B$200,"&lt;="&amp;$I$5),2))</f>
        <v/>
      </c>
      <c r="N155" s="192">
        <f>IF(OR(A155="",L155="",D155=""),"",ROUND(MAX(L155+IF(ISNUMBER(M155),M155,0)-D155,0),2))</f>
        <v/>
      </c>
      <c r="O155" s="192">
        <f>IF(OR(A155="",D155="",K155="",$I$7=""),"",ROUND(D155*K155*$I$7,2))</f>
        <v/>
      </c>
      <c r="P155" s="192">
        <f>IF(OR(A155="",N155="",K155="",$I$7=""),"",ROUND(N155*K155*$I$7,2))</f>
        <v/>
      </c>
      <c r="Q155" s="192">
        <f>IF(OR(A155="",D155="",K155=""),"",ROUND(D155*K155,2))</f>
        <v/>
      </c>
      <c r="R155" s="192">
        <f>IF(OR(A155="",L155="",K155="",$I$7=""),"",ROUND(L155*K155*$I$7,2))</f>
        <v/>
      </c>
    </row>
    <row r="156">
      <c r="A156" s="86">
        <f>IF(itens_Remanesc!A156="","",itens_Remanesc!A156)</f>
        <v/>
      </c>
      <c r="B156" s="196" t="n"/>
      <c r="C156" s="196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>
        <f>IF(A156="","",IF($I$4="","POSICAO DE REFERENCIA INDISPONIVEL",IF($I$2,"ATUAL INFORMADA",IF(ISNUMBER(B156),"ATUAL IGNORADA (POSICAO INCOMPLETA) - FOTOGRAFIA "&amp;$I$4,"FOTOGRAFIA "&amp;$I$4))))</f>
        <v/>
      </c>
      <c r="F156" s="86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>
        <f>IF(A156="","",itens_Remanesc!C156)</f>
        <v/>
      </c>
      <c r="L156" s="192">
        <f>IF(A156="","",IF($I$4="C0",posicao_contratual!G156,IF($I$4="C1",posicao_contratual!K156,IF($I$4="C2",posicao_contratual!O156,IF($I$4="C3",posicao_contratual!S156,IF($I$4="C4",posicao_contratual!W156,""))))))</f>
        <v/>
      </c>
      <c r="M156" s="192">
        <f>IF(OR(A156="",$I$5="",$I$6=""),"",ROUND(SUMIFS(aditivos!$L$2:$L$200,aditivos!$A$2:$A$200,A156,aditivos!$B$2:$B$200,"&gt;"&amp;$I$6,aditivos!$B$2:$B$200,"&lt;="&amp;$I$5),2))</f>
        <v/>
      </c>
      <c r="N156" s="192">
        <f>IF(OR(A156="",L156="",D156=""),"",ROUND(MAX(L156+IF(ISNUMBER(M156),M156,0)-D156,0),2))</f>
        <v/>
      </c>
      <c r="O156" s="192">
        <f>IF(OR(A156="",D156="",K156="",$I$7=""),"",ROUND(D156*K156*$I$7,2))</f>
        <v/>
      </c>
      <c r="P156" s="192">
        <f>IF(OR(A156="",N156="",K156="",$I$7=""),"",ROUND(N156*K156*$I$7,2))</f>
        <v/>
      </c>
      <c r="Q156" s="192">
        <f>IF(OR(A156="",D156="",K156=""),"",ROUND(D156*K156,2))</f>
        <v/>
      </c>
      <c r="R156" s="192">
        <f>IF(OR(A156="",L156="",K156="",$I$7=""),"",ROUND(L156*K156*$I$7,2))</f>
        <v/>
      </c>
    </row>
    <row r="157">
      <c r="A157" s="86">
        <f>IF(itens_Remanesc!A157="","",itens_Remanesc!A157)</f>
        <v/>
      </c>
      <c r="B157" s="196" t="n"/>
      <c r="C157" s="196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>
        <f>IF(A157="","",IF($I$4="","POSICAO DE REFERENCIA INDISPONIVEL",IF($I$2,"ATUAL INFORMADA",IF(ISNUMBER(B157),"ATUAL IGNORADA (POSICAO INCOMPLETA) - FOTOGRAFIA "&amp;$I$4,"FOTOGRAFIA "&amp;$I$4))))</f>
        <v/>
      </c>
      <c r="F157" s="86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>
        <f>IF(A157="","",itens_Remanesc!C157)</f>
        <v/>
      </c>
      <c r="L157" s="192">
        <f>IF(A157="","",IF($I$4="C0",posicao_contratual!G157,IF($I$4="C1",posicao_contratual!K157,IF($I$4="C2",posicao_contratual!O157,IF($I$4="C3",posicao_contratual!S157,IF($I$4="C4",posicao_contratual!W157,""))))))</f>
        <v/>
      </c>
      <c r="M157" s="192">
        <f>IF(OR(A157="",$I$5="",$I$6=""),"",ROUND(SUMIFS(aditivos!$L$2:$L$200,aditivos!$A$2:$A$200,A157,aditivos!$B$2:$B$200,"&gt;"&amp;$I$6,aditivos!$B$2:$B$200,"&lt;="&amp;$I$5),2))</f>
        <v/>
      </c>
      <c r="N157" s="192">
        <f>IF(OR(A157="",L157="",D157=""),"",ROUND(MAX(L157+IF(ISNUMBER(M157),M157,0)-D157,0),2))</f>
        <v/>
      </c>
      <c r="O157" s="192">
        <f>IF(OR(A157="",D157="",K157="",$I$7=""),"",ROUND(D157*K157*$I$7,2))</f>
        <v/>
      </c>
      <c r="P157" s="192">
        <f>IF(OR(A157="",N157="",K157="",$I$7=""),"",ROUND(N157*K157*$I$7,2))</f>
        <v/>
      </c>
      <c r="Q157" s="192">
        <f>IF(OR(A157="",D157="",K157=""),"",ROUND(D157*K157,2))</f>
        <v/>
      </c>
      <c r="R157" s="192">
        <f>IF(OR(A157="",L157="",K157="",$I$7=""),"",ROUND(L157*K157*$I$7,2))</f>
        <v/>
      </c>
    </row>
    <row r="158">
      <c r="A158" s="86">
        <f>IF(itens_Remanesc!A158="","",itens_Remanesc!A158)</f>
        <v/>
      </c>
      <c r="B158" s="196" t="n"/>
      <c r="C158" s="196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>
        <f>IF(A158="","",IF($I$4="","POSICAO DE REFERENCIA INDISPONIVEL",IF($I$2,"ATUAL INFORMADA",IF(ISNUMBER(B158),"ATUAL IGNORADA (POSICAO INCOMPLETA) - FOTOGRAFIA "&amp;$I$4,"FOTOGRAFIA "&amp;$I$4))))</f>
        <v/>
      </c>
      <c r="F158" s="86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>
        <f>IF(A158="","",itens_Remanesc!C158)</f>
        <v/>
      </c>
      <c r="L158" s="192">
        <f>IF(A158="","",IF($I$4="C0",posicao_contratual!G158,IF($I$4="C1",posicao_contratual!K158,IF($I$4="C2",posicao_contratual!O158,IF($I$4="C3",posicao_contratual!S158,IF($I$4="C4",posicao_contratual!W158,""))))))</f>
        <v/>
      </c>
      <c r="M158" s="192">
        <f>IF(OR(A158="",$I$5="",$I$6=""),"",ROUND(SUMIFS(aditivos!$L$2:$L$200,aditivos!$A$2:$A$200,A158,aditivos!$B$2:$B$200,"&gt;"&amp;$I$6,aditivos!$B$2:$B$200,"&lt;="&amp;$I$5),2))</f>
        <v/>
      </c>
      <c r="N158" s="192">
        <f>IF(OR(A158="",L158="",D158=""),"",ROUND(MAX(L158+IF(ISNUMBER(M158),M158,0)-D158,0),2))</f>
        <v/>
      </c>
      <c r="O158" s="192">
        <f>IF(OR(A158="",D158="",K158="",$I$7=""),"",ROUND(D158*K158*$I$7,2))</f>
        <v/>
      </c>
      <c r="P158" s="192">
        <f>IF(OR(A158="",N158="",K158="",$I$7=""),"",ROUND(N158*K158*$I$7,2))</f>
        <v/>
      </c>
      <c r="Q158" s="192">
        <f>IF(OR(A158="",D158="",K158=""),"",ROUND(D158*K158,2))</f>
        <v/>
      </c>
      <c r="R158" s="192">
        <f>IF(OR(A158="",L158="",K158="",$I$7=""),"",ROUND(L158*K158*$I$7,2))</f>
        <v/>
      </c>
    </row>
    <row r="159">
      <c r="A159" s="86">
        <f>IF(itens_Remanesc!A159="","",itens_Remanesc!A159)</f>
        <v/>
      </c>
      <c r="B159" s="196" t="n"/>
      <c r="C159" s="196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>
        <f>IF(A159="","",IF($I$4="","POSICAO DE REFERENCIA INDISPONIVEL",IF($I$2,"ATUAL INFORMADA",IF(ISNUMBER(B159),"ATUAL IGNORADA (POSICAO INCOMPLETA) - FOTOGRAFIA "&amp;$I$4,"FOTOGRAFIA "&amp;$I$4))))</f>
        <v/>
      </c>
      <c r="F159" s="86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>
        <f>IF(A159="","",itens_Remanesc!C159)</f>
        <v/>
      </c>
      <c r="L159" s="192">
        <f>IF(A159="","",IF($I$4="C0",posicao_contratual!G159,IF($I$4="C1",posicao_contratual!K159,IF($I$4="C2",posicao_contratual!O159,IF($I$4="C3",posicao_contratual!S159,IF($I$4="C4",posicao_contratual!W159,""))))))</f>
        <v/>
      </c>
      <c r="M159" s="192">
        <f>IF(OR(A159="",$I$5="",$I$6=""),"",ROUND(SUMIFS(aditivos!$L$2:$L$200,aditivos!$A$2:$A$200,A159,aditivos!$B$2:$B$200,"&gt;"&amp;$I$6,aditivos!$B$2:$B$200,"&lt;="&amp;$I$5),2))</f>
        <v/>
      </c>
      <c r="N159" s="192">
        <f>IF(OR(A159="",L159="",D159=""),"",ROUND(MAX(L159+IF(ISNUMBER(M159),M159,0)-D159,0),2))</f>
        <v/>
      </c>
      <c r="O159" s="192">
        <f>IF(OR(A159="",D159="",K159="",$I$7=""),"",ROUND(D159*K159*$I$7,2))</f>
        <v/>
      </c>
      <c r="P159" s="192">
        <f>IF(OR(A159="",N159="",K159="",$I$7=""),"",ROUND(N159*K159*$I$7,2))</f>
        <v/>
      </c>
      <c r="Q159" s="192">
        <f>IF(OR(A159="",D159="",K159=""),"",ROUND(D159*K159,2))</f>
        <v/>
      </c>
      <c r="R159" s="192">
        <f>IF(OR(A159="",L159="",K159="",$I$7=""),"",ROUND(L159*K159*$I$7,2))</f>
        <v/>
      </c>
    </row>
    <row r="160">
      <c r="A160" s="86">
        <f>IF(itens_Remanesc!A160="","",itens_Remanesc!A160)</f>
        <v/>
      </c>
      <c r="B160" s="196" t="n"/>
      <c r="C160" s="196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>
        <f>IF(A160="","",IF($I$4="","POSICAO DE REFERENCIA INDISPONIVEL",IF($I$2,"ATUAL INFORMADA",IF(ISNUMBER(B160),"ATUAL IGNORADA (POSICAO INCOMPLETA) - FOTOGRAFIA "&amp;$I$4,"FOTOGRAFIA "&amp;$I$4))))</f>
        <v/>
      </c>
      <c r="F160" s="86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>
        <f>IF(A160="","",itens_Remanesc!C160)</f>
        <v/>
      </c>
      <c r="L160" s="192">
        <f>IF(A160="","",IF($I$4="C0",posicao_contratual!G160,IF($I$4="C1",posicao_contratual!K160,IF($I$4="C2",posicao_contratual!O160,IF($I$4="C3",posicao_contratual!S160,IF($I$4="C4",posicao_contratual!W160,""))))))</f>
        <v/>
      </c>
      <c r="M160" s="192">
        <f>IF(OR(A160="",$I$5="",$I$6=""),"",ROUND(SUMIFS(aditivos!$L$2:$L$200,aditivos!$A$2:$A$200,A160,aditivos!$B$2:$B$200,"&gt;"&amp;$I$6,aditivos!$B$2:$B$200,"&lt;="&amp;$I$5),2))</f>
        <v/>
      </c>
      <c r="N160" s="192">
        <f>IF(OR(A160="",L160="",D160=""),"",ROUND(MAX(L160+IF(ISNUMBER(M160),M160,0)-D160,0),2))</f>
        <v/>
      </c>
      <c r="O160" s="192">
        <f>IF(OR(A160="",D160="",K160="",$I$7=""),"",ROUND(D160*K160*$I$7,2))</f>
        <v/>
      </c>
      <c r="P160" s="192">
        <f>IF(OR(A160="",N160="",K160="",$I$7=""),"",ROUND(N160*K160*$I$7,2))</f>
        <v/>
      </c>
      <c r="Q160" s="192">
        <f>IF(OR(A160="",D160="",K160=""),"",ROUND(D160*K160,2))</f>
        <v/>
      </c>
      <c r="R160" s="192">
        <f>IF(OR(A160="",L160="",K160="",$I$7=""),"",ROUND(L160*K160*$I$7,2))</f>
        <v/>
      </c>
    </row>
    <row r="161">
      <c r="A161" s="86">
        <f>IF(itens_Remanesc!A161="","",itens_Remanesc!A161)</f>
        <v/>
      </c>
      <c r="B161" s="196" t="n"/>
      <c r="C161" s="196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>
        <f>IF(A161="","",IF($I$4="","POSICAO DE REFERENCIA INDISPONIVEL",IF($I$2,"ATUAL INFORMADA",IF(ISNUMBER(B161),"ATUAL IGNORADA (POSICAO INCOMPLETA) - FOTOGRAFIA "&amp;$I$4,"FOTOGRAFIA "&amp;$I$4))))</f>
        <v/>
      </c>
      <c r="F161" s="86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>
        <f>IF(A161="","",itens_Remanesc!C161)</f>
        <v/>
      </c>
      <c r="L161" s="192">
        <f>IF(A161="","",IF($I$4="C0",posicao_contratual!G161,IF($I$4="C1",posicao_contratual!K161,IF($I$4="C2",posicao_contratual!O161,IF($I$4="C3",posicao_contratual!S161,IF($I$4="C4",posicao_contratual!W161,""))))))</f>
        <v/>
      </c>
      <c r="M161" s="192">
        <f>IF(OR(A161="",$I$5="",$I$6=""),"",ROUND(SUMIFS(aditivos!$L$2:$L$200,aditivos!$A$2:$A$200,A161,aditivos!$B$2:$B$200,"&gt;"&amp;$I$6,aditivos!$B$2:$B$200,"&lt;="&amp;$I$5),2))</f>
        <v/>
      </c>
      <c r="N161" s="192">
        <f>IF(OR(A161="",L161="",D161=""),"",ROUND(MAX(L161+IF(ISNUMBER(M161),M161,0)-D161,0),2))</f>
        <v/>
      </c>
      <c r="O161" s="192">
        <f>IF(OR(A161="",D161="",K161="",$I$7=""),"",ROUND(D161*K161*$I$7,2))</f>
        <v/>
      </c>
      <c r="P161" s="192">
        <f>IF(OR(A161="",N161="",K161="",$I$7=""),"",ROUND(N161*K161*$I$7,2))</f>
        <v/>
      </c>
      <c r="Q161" s="192">
        <f>IF(OR(A161="",D161="",K161=""),"",ROUND(D161*K161,2))</f>
        <v/>
      </c>
      <c r="R161" s="192">
        <f>IF(OR(A161="",L161="",K161="",$I$7=""),"",ROUND(L161*K161*$I$7,2))</f>
        <v/>
      </c>
    </row>
    <row r="162">
      <c r="A162" s="86">
        <f>IF(itens_Remanesc!A162="","",itens_Remanesc!A162)</f>
        <v/>
      </c>
      <c r="B162" s="196" t="n"/>
      <c r="C162" s="196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>
        <f>IF(A162="","",IF($I$4="","POSICAO DE REFERENCIA INDISPONIVEL",IF($I$2,"ATUAL INFORMADA",IF(ISNUMBER(B162),"ATUAL IGNORADA (POSICAO INCOMPLETA) - FOTOGRAFIA "&amp;$I$4,"FOTOGRAFIA "&amp;$I$4))))</f>
        <v/>
      </c>
      <c r="F162" s="86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>
        <f>IF(A162="","",itens_Remanesc!C162)</f>
        <v/>
      </c>
      <c r="L162" s="192">
        <f>IF(A162="","",IF($I$4="C0",posicao_contratual!G162,IF($I$4="C1",posicao_contratual!K162,IF($I$4="C2",posicao_contratual!O162,IF($I$4="C3",posicao_contratual!S162,IF($I$4="C4",posicao_contratual!W162,""))))))</f>
        <v/>
      </c>
      <c r="M162" s="192">
        <f>IF(OR(A162="",$I$5="",$I$6=""),"",ROUND(SUMIFS(aditivos!$L$2:$L$200,aditivos!$A$2:$A$200,A162,aditivos!$B$2:$B$200,"&gt;"&amp;$I$6,aditivos!$B$2:$B$200,"&lt;="&amp;$I$5),2))</f>
        <v/>
      </c>
      <c r="N162" s="192">
        <f>IF(OR(A162="",L162="",D162=""),"",ROUND(MAX(L162+IF(ISNUMBER(M162),M162,0)-D162,0),2))</f>
        <v/>
      </c>
      <c r="O162" s="192">
        <f>IF(OR(A162="",D162="",K162="",$I$7=""),"",ROUND(D162*K162*$I$7,2))</f>
        <v/>
      </c>
      <c r="P162" s="192">
        <f>IF(OR(A162="",N162="",K162="",$I$7=""),"",ROUND(N162*K162*$I$7,2))</f>
        <v/>
      </c>
      <c r="Q162" s="192">
        <f>IF(OR(A162="",D162="",K162=""),"",ROUND(D162*K162,2))</f>
        <v/>
      </c>
      <c r="R162" s="192">
        <f>IF(OR(A162="",L162="",K162="",$I$7=""),"",ROUND(L162*K162*$I$7,2))</f>
        <v/>
      </c>
    </row>
    <row r="163">
      <c r="A163" s="86">
        <f>IF(itens_Remanesc!A163="","",itens_Remanesc!A163)</f>
        <v/>
      </c>
      <c r="B163" s="196" t="n"/>
      <c r="C163" s="196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>
        <f>IF(A163="","",IF($I$4="","POSICAO DE REFERENCIA INDISPONIVEL",IF($I$2,"ATUAL INFORMADA",IF(ISNUMBER(B163),"ATUAL IGNORADA (POSICAO INCOMPLETA) - FOTOGRAFIA "&amp;$I$4,"FOTOGRAFIA "&amp;$I$4))))</f>
        <v/>
      </c>
      <c r="F163" s="86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>
        <f>IF(A163="","",itens_Remanesc!C163)</f>
        <v/>
      </c>
      <c r="L163" s="192">
        <f>IF(A163="","",IF($I$4="C0",posicao_contratual!G163,IF($I$4="C1",posicao_contratual!K163,IF($I$4="C2",posicao_contratual!O163,IF($I$4="C3",posicao_contratual!S163,IF($I$4="C4",posicao_contratual!W163,""))))))</f>
        <v/>
      </c>
      <c r="M163" s="192">
        <f>IF(OR(A163="",$I$5="",$I$6=""),"",ROUND(SUMIFS(aditivos!$L$2:$L$200,aditivos!$A$2:$A$200,A163,aditivos!$B$2:$B$200,"&gt;"&amp;$I$6,aditivos!$B$2:$B$200,"&lt;="&amp;$I$5),2))</f>
        <v/>
      </c>
      <c r="N163" s="192">
        <f>IF(OR(A163="",L163="",D163=""),"",ROUND(MAX(L163+IF(ISNUMBER(M163),M163,0)-D163,0),2))</f>
        <v/>
      </c>
      <c r="O163" s="192">
        <f>IF(OR(A163="",D163="",K163="",$I$7=""),"",ROUND(D163*K163*$I$7,2))</f>
        <v/>
      </c>
      <c r="P163" s="192">
        <f>IF(OR(A163="",N163="",K163="",$I$7=""),"",ROUND(N163*K163*$I$7,2))</f>
        <v/>
      </c>
      <c r="Q163" s="192">
        <f>IF(OR(A163="",D163="",K163=""),"",ROUND(D163*K163,2))</f>
        <v/>
      </c>
      <c r="R163" s="192">
        <f>IF(OR(A163="",L163="",K163="",$I$7=""),"",ROUND(L163*K163*$I$7,2))</f>
        <v/>
      </c>
    </row>
    <row r="164">
      <c r="A164" s="86">
        <f>IF(itens_Remanesc!A164="","",itens_Remanesc!A164)</f>
        <v/>
      </c>
      <c r="B164" s="196" t="n"/>
      <c r="C164" s="196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>
        <f>IF(A164="","",IF($I$4="","POSICAO DE REFERENCIA INDISPONIVEL",IF($I$2,"ATUAL INFORMADA",IF(ISNUMBER(B164),"ATUAL IGNORADA (POSICAO INCOMPLETA) - FOTOGRAFIA "&amp;$I$4,"FOTOGRAFIA "&amp;$I$4))))</f>
        <v/>
      </c>
      <c r="F164" s="86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>
        <f>IF(A164="","",itens_Remanesc!C164)</f>
        <v/>
      </c>
      <c r="L164" s="192">
        <f>IF(A164="","",IF($I$4="C0",posicao_contratual!G164,IF($I$4="C1",posicao_contratual!K164,IF($I$4="C2",posicao_contratual!O164,IF($I$4="C3",posicao_contratual!S164,IF($I$4="C4",posicao_contratual!W164,""))))))</f>
        <v/>
      </c>
      <c r="M164" s="192">
        <f>IF(OR(A164="",$I$5="",$I$6=""),"",ROUND(SUMIFS(aditivos!$L$2:$L$200,aditivos!$A$2:$A$200,A164,aditivos!$B$2:$B$200,"&gt;"&amp;$I$6,aditivos!$B$2:$B$200,"&lt;="&amp;$I$5),2))</f>
        <v/>
      </c>
      <c r="N164" s="192">
        <f>IF(OR(A164="",L164="",D164=""),"",ROUND(MAX(L164+IF(ISNUMBER(M164),M164,0)-D164,0),2))</f>
        <v/>
      </c>
      <c r="O164" s="192">
        <f>IF(OR(A164="",D164="",K164="",$I$7=""),"",ROUND(D164*K164*$I$7,2))</f>
        <v/>
      </c>
      <c r="P164" s="192">
        <f>IF(OR(A164="",N164="",K164="",$I$7=""),"",ROUND(N164*K164*$I$7,2))</f>
        <v/>
      </c>
      <c r="Q164" s="192">
        <f>IF(OR(A164="",D164="",K164=""),"",ROUND(D164*K164,2))</f>
        <v/>
      </c>
      <c r="R164" s="192">
        <f>IF(OR(A164="",L164="",K164="",$I$7=""),"",ROUND(L164*K164*$I$7,2))</f>
        <v/>
      </c>
    </row>
    <row r="165">
      <c r="A165" s="86">
        <f>IF(itens_Remanesc!A165="","",itens_Remanesc!A165)</f>
        <v/>
      </c>
      <c r="B165" s="196" t="n"/>
      <c r="C165" s="196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>
        <f>IF(A165="","",IF($I$4="","POSICAO DE REFERENCIA INDISPONIVEL",IF($I$2,"ATUAL INFORMADA",IF(ISNUMBER(B165),"ATUAL IGNORADA (POSICAO INCOMPLETA) - FOTOGRAFIA "&amp;$I$4,"FOTOGRAFIA "&amp;$I$4))))</f>
        <v/>
      </c>
      <c r="F165" s="86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>
        <f>IF(A165="","",itens_Remanesc!C165)</f>
        <v/>
      </c>
      <c r="L165" s="192">
        <f>IF(A165="","",IF($I$4="C0",posicao_contratual!G165,IF($I$4="C1",posicao_contratual!K165,IF($I$4="C2",posicao_contratual!O165,IF($I$4="C3",posicao_contratual!S165,IF($I$4="C4",posicao_contratual!W165,""))))))</f>
        <v/>
      </c>
      <c r="M165" s="192">
        <f>IF(OR(A165="",$I$5="",$I$6=""),"",ROUND(SUMIFS(aditivos!$L$2:$L$200,aditivos!$A$2:$A$200,A165,aditivos!$B$2:$B$200,"&gt;"&amp;$I$6,aditivos!$B$2:$B$200,"&lt;="&amp;$I$5),2))</f>
        <v/>
      </c>
      <c r="N165" s="192">
        <f>IF(OR(A165="",L165="",D165=""),"",ROUND(MAX(L165+IF(ISNUMBER(M165),M165,0)-D165,0),2))</f>
        <v/>
      </c>
      <c r="O165" s="192">
        <f>IF(OR(A165="",D165="",K165="",$I$7=""),"",ROUND(D165*K165*$I$7,2))</f>
        <v/>
      </c>
      <c r="P165" s="192">
        <f>IF(OR(A165="",N165="",K165="",$I$7=""),"",ROUND(N165*K165*$I$7,2))</f>
        <v/>
      </c>
      <c r="Q165" s="192">
        <f>IF(OR(A165="",D165="",K165=""),"",ROUND(D165*K165,2))</f>
        <v/>
      </c>
      <c r="R165" s="192">
        <f>IF(OR(A165="",L165="",K165="",$I$7=""),"",ROUND(L165*K165*$I$7,2))</f>
        <v/>
      </c>
    </row>
    <row r="166">
      <c r="A166" s="86">
        <f>IF(itens_Remanesc!A166="","",itens_Remanesc!A166)</f>
        <v/>
      </c>
      <c r="B166" s="196" t="n"/>
      <c r="C166" s="196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>
        <f>IF(A166="","",IF($I$4="","POSICAO DE REFERENCIA INDISPONIVEL",IF($I$2,"ATUAL INFORMADA",IF(ISNUMBER(B166),"ATUAL IGNORADA (POSICAO INCOMPLETA) - FOTOGRAFIA "&amp;$I$4,"FOTOGRAFIA "&amp;$I$4))))</f>
        <v/>
      </c>
      <c r="F166" s="86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>
        <f>IF(A166="","",itens_Remanesc!C166)</f>
        <v/>
      </c>
      <c r="L166" s="192">
        <f>IF(A166="","",IF($I$4="C0",posicao_contratual!G166,IF($I$4="C1",posicao_contratual!K166,IF($I$4="C2",posicao_contratual!O166,IF($I$4="C3",posicao_contratual!S166,IF($I$4="C4",posicao_contratual!W166,""))))))</f>
        <v/>
      </c>
      <c r="M166" s="192">
        <f>IF(OR(A166="",$I$5="",$I$6=""),"",ROUND(SUMIFS(aditivos!$L$2:$L$200,aditivos!$A$2:$A$200,A166,aditivos!$B$2:$B$200,"&gt;"&amp;$I$6,aditivos!$B$2:$B$200,"&lt;="&amp;$I$5),2))</f>
        <v/>
      </c>
      <c r="N166" s="192">
        <f>IF(OR(A166="",L166="",D166=""),"",ROUND(MAX(L166+IF(ISNUMBER(M166),M166,0)-D166,0),2))</f>
        <v/>
      </c>
      <c r="O166" s="192">
        <f>IF(OR(A166="",D166="",K166="",$I$7=""),"",ROUND(D166*K166*$I$7,2))</f>
        <v/>
      </c>
      <c r="P166" s="192">
        <f>IF(OR(A166="",N166="",K166="",$I$7=""),"",ROUND(N166*K166*$I$7,2))</f>
        <v/>
      </c>
      <c r="Q166" s="192">
        <f>IF(OR(A166="",D166="",K166=""),"",ROUND(D166*K166,2))</f>
        <v/>
      </c>
      <c r="R166" s="192">
        <f>IF(OR(A166="",L166="",K166="",$I$7=""),"",ROUND(L166*K166*$I$7,2))</f>
        <v/>
      </c>
    </row>
    <row r="167">
      <c r="A167" s="86">
        <f>IF(itens_Remanesc!A167="","",itens_Remanesc!A167)</f>
        <v/>
      </c>
      <c r="B167" s="196" t="n"/>
      <c r="C167" s="196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>
        <f>IF(A167="","",IF($I$4="","POSICAO DE REFERENCIA INDISPONIVEL",IF($I$2,"ATUAL INFORMADA",IF(ISNUMBER(B167),"ATUAL IGNORADA (POSICAO INCOMPLETA) - FOTOGRAFIA "&amp;$I$4,"FOTOGRAFIA "&amp;$I$4))))</f>
        <v/>
      </c>
      <c r="F167" s="86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>
        <f>IF(A167="","",itens_Remanesc!C167)</f>
        <v/>
      </c>
      <c r="L167" s="192">
        <f>IF(A167="","",IF($I$4="C0",posicao_contratual!G167,IF($I$4="C1",posicao_contratual!K167,IF($I$4="C2",posicao_contratual!O167,IF($I$4="C3",posicao_contratual!S167,IF($I$4="C4",posicao_contratual!W167,""))))))</f>
        <v/>
      </c>
      <c r="M167" s="192">
        <f>IF(OR(A167="",$I$5="",$I$6=""),"",ROUND(SUMIFS(aditivos!$L$2:$L$200,aditivos!$A$2:$A$200,A167,aditivos!$B$2:$B$200,"&gt;"&amp;$I$6,aditivos!$B$2:$B$200,"&lt;="&amp;$I$5),2))</f>
        <v/>
      </c>
      <c r="N167" s="192">
        <f>IF(OR(A167="",L167="",D167=""),"",ROUND(MAX(L167+IF(ISNUMBER(M167),M167,0)-D167,0),2))</f>
        <v/>
      </c>
      <c r="O167" s="192">
        <f>IF(OR(A167="",D167="",K167="",$I$7=""),"",ROUND(D167*K167*$I$7,2))</f>
        <v/>
      </c>
      <c r="P167" s="192">
        <f>IF(OR(A167="",N167="",K167="",$I$7=""),"",ROUND(N167*K167*$I$7,2))</f>
        <v/>
      </c>
      <c r="Q167" s="192">
        <f>IF(OR(A167="",D167="",K167=""),"",ROUND(D167*K167,2))</f>
        <v/>
      </c>
      <c r="R167" s="192">
        <f>IF(OR(A167="",L167="",K167="",$I$7=""),"",ROUND(L167*K167*$I$7,2))</f>
        <v/>
      </c>
    </row>
    <row r="168">
      <c r="A168" s="86">
        <f>IF(itens_Remanesc!A168="","",itens_Remanesc!A168)</f>
        <v/>
      </c>
      <c r="B168" s="196" t="n"/>
      <c r="C168" s="196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>
        <f>IF(A168="","",IF($I$4="","POSICAO DE REFERENCIA INDISPONIVEL",IF($I$2,"ATUAL INFORMADA",IF(ISNUMBER(B168),"ATUAL IGNORADA (POSICAO INCOMPLETA) - FOTOGRAFIA "&amp;$I$4,"FOTOGRAFIA "&amp;$I$4))))</f>
        <v/>
      </c>
      <c r="F168" s="86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>
        <f>IF(A168="","",itens_Remanesc!C168)</f>
        <v/>
      </c>
      <c r="L168" s="192">
        <f>IF(A168="","",IF($I$4="C0",posicao_contratual!G168,IF($I$4="C1",posicao_contratual!K168,IF($I$4="C2",posicao_contratual!O168,IF($I$4="C3",posicao_contratual!S168,IF($I$4="C4",posicao_contratual!W168,""))))))</f>
        <v/>
      </c>
      <c r="M168" s="192">
        <f>IF(OR(A168="",$I$5="",$I$6=""),"",ROUND(SUMIFS(aditivos!$L$2:$L$200,aditivos!$A$2:$A$200,A168,aditivos!$B$2:$B$200,"&gt;"&amp;$I$6,aditivos!$B$2:$B$200,"&lt;="&amp;$I$5),2))</f>
        <v/>
      </c>
      <c r="N168" s="192">
        <f>IF(OR(A168="",L168="",D168=""),"",ROUND(MAX(L168+IF(ISNUMBER(M168),M168,0)-D168,0),2))</f>
        <v/>
      </c>
      <c r="O168" s="192">
        <f>IF(OR(A168="",D168="",K168="",$I$7=""),"",ROUND(D168*K168*$I$7,2))</f>
        <v/>
      </c>
      <c r="P168" s="192">
        <f>IF(OR(A168="",N168="",K168="",$I$7=""),"",ROUND(N168*K168*$I$7,2))</f>
        <v/>
      </c>
      <c r="Q168" s="192">
        <f>IF(OR(A168="",D168="",K168=""),"",ROUND(D168*K168,2))</f>
        <v/>
      </c>
      <c r="R168" s="192">
        <f>IF(OR(A168="",L168="",K168="",$I$7=""),"",ROUND(L168*K168*$I$7,2))</f>
        <v/>
      </c>
    </row>
    <row r="169">
      <c r="A169" s="86">
        <f>IF(itens_Remanesc!A169="","",itens_Remanesc!A169)</f>
        <v/>
      </c>
      <c r="B169" s="196" t="n"/>
      <c r="C169" s="196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>
        <f>IF(A169="","",IF($I$4="","POSICAO DE REFERENCIA INDISPONIVEL",IF($I$2,"ATUAL INFORMADA",IF(ISNUMBER(B169),"ATUAL IGNORADA (POSICAO INCOMPLETA) - FOTOGRAFIA "&amp;$I$4,"FOTOGRAFIA "&amp;$I$4))))</f>
        <v/>
      </c>
      <c r="F169" s="86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>
        <f>IF(A169="","",itens_Remanesc!C169)</f>
        <v/>
      </c>
      <c r="L169" s="192">
        <f>IF(A169="","",IF($I$4="C0",posicao_contratual!G169,IF($I$4="C1",posicao_contratual!K169,IF($I$4="C2",posicao_contratual!O169,IF($I$4="C3",posicao_contratual!S169,IF($I$4="C4",posicao_contratual!W169,""))))))</f>
        <v/>
      </c>
      <c r="M169" s="192">
        <f>IF(OR(A169="",$I$5="",$I$6=""),"",ROUND(SUMIFS(aditivos!$L$2:$L$200,aditivos!$A$2:$A$200,A169,aditivos!$B$2:$B$200,"&gt;"&amp;$I$6,aditivos!$B$2:$B$200,"&lt;="&amp;$I$5),2))</f>
        <v/>
      </c>
      <c r="N169" s="192">
        <f>IF(OR(A169="",L169="",D169=""),"",ROUND(MAX(L169+IF(ISNUMBER(M169),M169,0)-D169,0),2))</f>
        <v/>
      </c>
      <c r="O169" s="192">
        <f>IF(OR(A169="",D169="",K169="",$I$7=""),"",ROUND(D169*K169*$I$7,2))</f>
        <v/>
      </c>
      <c r="P169" s="192">
        <f>IF(OR(A169="",N169="",K169="",$I$7=""),"",ROUND(N169*K169*$I$7,2))</f>
        <v/>
      </c>
      <c r="Q169" s="192">
        <f>IF(OR(A169="",D169="",K169=""),"",ROUND(D169*K169,2))</f>
        <v/>
      </c>
      <c r="R169" s="192">
        <f>IF(OR(A169="",L169="",K169="",$I$7=""),"",ROUND(L169*K169*$I$7,2))</f>
        <v/>
      </c>
    </row>
    <row r="170">
      <c r="A170" s="86">
        <f>IF(itens_Remanesc!A170="","",itens_Remanesc!A170)</f>
        <v/>
      </c>
      <c r="B170" s="196" t="n"/>
      <c r="C170" s="196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>
        <f>IF(A170="","",IF($I$4="","POSICAO DE REFERENCIA INDISPONIVEL",IF($I$2,"ATUAL INFORMADA",IF(ISNUMBER(B170),"ATUAL IGNORADA (POSICAO INCOMPLETA) - FOTOGRAFIA "&amp;$I$4,"FOTOGRAFIA "&amp;$I$4))))</f>
        <v/>
      </c>
      <c r="F170" s="86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>
        <f>IF(A170="","",itens_Remanesc!C170)</f>
        <v/>
      </c>
      <c r="L170" s="192">
        <f>IF(A170="","",IF($I$4="C0",posicao_contratual!G170,IF($I$4="C1",posicao_contratual!K170,IF($I$4="C2",posicao_contratual!O170,IF($I$4="C3",posicao_contratual!S170,IF($I$4="C4",posicao_contratual!W170,""))))))</f>
        <v/>
      </c>
      <c r="M170" s="192">
        <f>IF(OR(A170="",$I$5="",$I$6=""),"",ROUND(SUMIFS(aditivos!$L$2:$L$200,aditivos!$A$2:$A$200,A170,aditivos!$B$2:$B$200,"&gt;"&amp;$I$6,aditivos!$B$2:$B$200,"&lt;="&amp;$I$5),2))</f>
        <v/>
      </c>
      <c r="N170" s="192">
        <f>IF(OR(A170="",L170="",D170=""),"",ROUND(MAX(L170+IF(ISNUMBER(M170),M170,0)-D170,0),2))</f>
        <v/>
      </c>
      <c r="O170" s="192">
        <f>IF(OR(A170="",D170="",K170="",$I$7=""),"",ROUND(D170*K170*$I$7,2))</f>
        <v/>
      </c>
      <c r="P170" s="192">
        <f>IF(OR(A170="",N170="",K170="",$I$7=""),"",ROUND(N170*K170*$I$7,2))</f>
        <v/>
      </c>
      <c r="Q170" s="192">
        <f>IF(OR(A170="",D170="",K170=""),"",ROUND(D170*K170,2))</f>
        <v/>
      </c>
      <c r="R170" s="192">
        <f>IF(OR(A170="",L170="",K170="",$I$7=""),"",ROUND(L170*K170*$I$7,2))</f>
        <v/>
      </c>
    </row>
    <row r="171">
      <c r="A171" s="86">
        <f>IF(itens_Remanesc!A171="","",itens_Remanesc!A171)</f>
        <v/>
      </c>
      <c r="B171" s="196" t="n"/>
      <c r="C171" s="196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>
        <f>IF(A171="","",IF($I$4="","POSICAO DE REFERENCIA INDISPONIVEL",IF($I$2,"ATUAL INFORMADA",IF(ISNUMBER(B171),"ATUAL IGNORADA (POSICAO INCOMPLETA) - FOTOGRAFIA "&amp;$I$4,"FOTOGRAFIA "&amp;$I$4))))</f>
        <v/>
      </c>
      <c r="F171" s="86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>
        <f>IF(A171="","",itens_Remanesc!C171)</f>
        <v/>
      </c>
      <c r="L171" s="192">
        <f>IF(A171="","",IF($I$4="C0",posicao_contratual!G171,IF($I$4="C1",posicao_contratual!K171,IF($I$4="C2",posicao_contratual!O171,IF($I$4="C3",posicao_contratual!S171,IF($I$4="C4",posicao_contratual!W171,""))))))</f>
        <v/>
      </c>
      <c r="M171" s="192">
        <f>IF(OR(A171="",$I$5="",$I$6=""),"",ROUND(SUMIFS(aditivos!$L$2:$L$200,aditivos!$A$2:$A$200,A171,aditivos!$B$2:$B$200,"&gt;"&amp;$I$6,aditivos!$B$2:$B$200,"&lt;="&amp;$I$5),2))</f>
        <v/>
      </c>
      <c r="N171" s="192">
        <f>IF(OR(A171="",L171="",D171=""),"",ROUND(MAX(L171+IF(ISNUMBER(M171),M171,0)-D171,0),2))</f>
        <v/>
      </c>
      <c r="O171" s="192">
        <f>IF(OR(A171="",D171="",K171="",$I$7=""),"",ROUND(D171*K171*$I$7,2))</f>
        <v/>
      </c>
      <c r="P171" s="192">
        <f>IF(OR(A171="",N171="",K171="",$I$7=""),"",ROUND(N171*K171*$I$7,2))</f>
        <v/>
      </c>
      <c r="Q171" s="192">
        <f>IF(OR(A171="",D171="",K171=""),"",ROUND(D171*K171,2))</f>
        <v/>
      </c>
      <c r="R171" s="192">
        <f>IF(OR(A171="",L171="",K171="",$I$7=""),"",ROUND(L171*K171*$I$7,2))</f>
        <v/>
      </c>
    </row>
    <row r="172">
      <c r="A172" s="86">
        <f>IF(itens_Remanesc!A172="","",itens_Remanesc!A172)</f>
        <v/>
      </c>
      <c r="B172" s="196" t="n"/>
      <c r="C172" s="196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>
        <f>IF(A172="","",IF($I$4="","POSICAO DE REFERENCIA INDISPONIVEL",IF($I$2,"ATUAL INFORMADA",IF(ISNUMBER(B172),"ATUAL IGNORADA (POSICAO INCOMPLETA) - FOTOGRAFIA "&amp;$I$4,"FOTOGRAFIA "&amp;$I$4))))</f>
        <v/>
      </c>
      <c r="F172" s="86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>
        <f>IF(A172="","",itens_Remanesc!C172)</f>
        <v/>
      </c>
      <c r="L172" s="192">
        <f>IF(A172="","",IF($I$4="C0",posicao_contratual!G172,IF($I$4="C1",posicao_contratual!K172,IF($I$4="C2",posicao_contratual!O172,IF($I$4="C3",posicao_contratual!S172,IF($I$4="C4",posicao_contratual!W172,""))))))</f>
        <v/>
      </c>
      <c r="M172" s="192">
        <f>IF(OR(A172="",$I$5="",$I$6=""),"",ROUND(SUMIFS(aditivos!$L$2:$L$200,aditivos!$A$2:$A$200,A172,aditivos!$B$2:$B$200,"&gt;"&amp;$I$6,aditivos!$B$2:$B$200,"&lt;="&amp;$I$5),2))</f>
        <v/>
      </c>
      <c r="N172" s="192">
        <f>IF(OR(A172="",L172="",D172=""),"",ROUND(MAX(L172+IF(ISNUMBER(M172),M172,0)-D172,0),2))</f>
        <v/>
      </c>
      <c r="O172" s="192">
        <f>IF(OR(A172="",D172="",K172="",$I$7=""),"",ROUND(D172*K172*$I$7,2))</f>
        <v/>
      </c>
      <c r="P172" s="192">
        <f>IF(OR(A172="",N172="",K172="",$I$7=""),"",ROUND(N172*K172*$I$7,2))</f>
        <v/>
      </c>
      <c r="Q172" s="192">
        <f>IF(OR(A172="",D172="",K172=""),"",ROUND(D172*K172,2))</f>
        <v/>
      </c>
      <c r="R172" s="192">
        <f>IF(OR(A172="",L172="",K172="",$I$7=""),"",ROUND(L172*K172*$I$7,2))</f>
        <v/>
      </c>
    </row>
    <row r="173">
      <c r="A173" s="86">
        <f>IF(itens_Remanesc!A173="","",itens_Remanesc!A173)</f>
        <v/>
      </c>
      <c r="B173" s="196" t="n"/>
      <c r="C173" s="196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>
        <f>IF(A173="","",IF($I$4="","POSICAO DE REFERENCIA INDISPONIVEL",IF($I$2,"ATUAL INFORMADA",IF(ISNUMBER(B173),"ATUAL IGNORADA (POSICAO INCOMPLETA) - FOTOGRAFIA "&amp;$I$4,"FOTOGRAFIA "&amp;$I$4))))</f>
        <v/>
      </c>
      <c r="F173" s="86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>
        <f>IF(A173="","",itens_Remanesc!C173)</f>
        <v/>
      </c>
      <c r="L173" s="192">
        <f>IF(A173="","",IF($I$4="C0",posicao_contratual!G173,IF($I$4="C1",posicao_contratual!K173,IF($I$4="C2",posicao_contratual!O173,IF($I$4="C3",posicao_contratual!S173,IF($I$4="C4",posicao_contratual!W173,""))))))</f>
        <v/>
      </c>
      <c r="M173" s="192">
        <f>IF(OR(A173="",$I$5="",$I$6=""),"",ROUND(SUMIFS(aditivos!$L$2:$L$200,aditivos!$A$2:$A$200,A173,aditivos!$B$2:$B$200,"&gt;"&amp;$I$6,aditivos!$B$2:$B$200,"&lt;="&amp;$I$5),2))</f>
        <v/>
      </c>
      <c r="N173" s="192">
        <f>IF(OR(A173="",L173="",D173=""),"",ROUND(MAX(L173+IF(ISNUMBER(M173),M173,0)-D173,0),2))</f>
        <v/>
      </c>
      <c r="O173" s="192">
        <f>IF(OR(A173="",D173="",K173="",$I$7=""),"",ROUND(D173*K173*$I$7,2))</f>
        <v/>
      </c>
      <c r="P173" s="192">
        <f>IF(OR(A173="",N173="",K173="",$I$7=""),"",ROUND(N173*K173*$I$7,2))</f>
        <v/>
      </c>
      <c r="Q173" s="192">
        <f>IF(OR(A173="",D173="",K173=""),"",ROUND(D173*K173,2))</f>
        <v/>
      </c>
      <c r="R173" s="192">
        <f>IF(OR(A173="",L173="",K173="",$I$7=""),"",ROUND(L173*K173*$I$7,2))</f>
        <v/>
      </c>
    </row>
    <row r="174">
      <c r="A174" s="86">
        <f>IF(itens_Remanesc!A174="","",itens_Remanesc!A174)</f>
        <v/>
      </c>
      <c r="B174" s="196" t="n"/>
      <c r="C174" s="196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>
        <f>IF(A174="","",IF($I$4="","POSICAO DE REFERENCIA INDISPONIVEL",IF($I$2,"ATUAL INFORMADA",IF(ISNUMBER(B174),"ATUAL IGNORADA (POSICAO INCOMPLETA) - FOTOGRAFIA "&amp;$I$4,"FOTOGRAFIA "&amp;$I$4))))</f>
        <v/>
      </c>
      <c r="F174" s="86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>
        <f>IF(A174="","",itens_Remanesc!C174)</f>
        <v/>
      </c>
      <c r="L174" s="192">
        <f>IF(A174="","",IF($I$4="C0",posicao_contratual!G174,IF($I$4="C1",posicao_contratual!K174,IF($I$4="C2",posicao_contratual!O174,IF($I$4="C3",posicao_contratual!S174,IF($I$4="C4",posicao_contratual!W174,""))))))</f>
        <v/>
      </c>
      <c r="M174" s="192">
        <f>IF(OR(A174="",$I$5="",$I$6=""),"",ROUND(SUMIFS(aditivos!$L$2:$L$200,aditivos!$A$2:$A$200,A174,aditivos!$B$2:$B$200,"&gt;"&amp;$I$6,aditivos!$B$2:$B$200,"&lt;="&amp;$I$5),2))</f>
        <v/>
      </c>
      <c r="N174" s="192">
        <f>IF(OR(A174="",L174="",D174=""),"",ROUND(MAX(L174+IF(ISNUMBER(M174),M174,0)-D174,0),2))</f>
        <v/>
      </c>
      <c r="O174" s="192">
        <f>IF(OR(A174="",D174="",K174="",$I$7=""),"",ROUND(D174*K174*$I$7,2))</f>
        <v/>
      </c>
      <c r="P174" s="192">
        <f>IF(OR(A174="",N174="",K174="",$I$7=""),"",ROUND(N174*K174*$I$7,2))</f>
        <v/>
      </c>
      <c r="Q174" s="192">
        <f>IF(OR(A174="",D174="",K174=""),"",ROUND(D174*K174,2))</f>
        <v/>
      </c>
      <c r="R174" s="192">
        <f>IF(OR(A174="",L174="",K174="",$I$7=""),"",ROUND(L174*K174*$I$7,2))</f>
        <v/>
      </c>
    </row>
    <row r="175">
      <c r="A175" s="86">
        <f>IF(itens_Remanesc!A175="","",itens_Remanesc!A175)</f>
        <v/>
      </c>
      <c r="B175" s="196" t="n"/>
      <c r="C175" s="196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>
        <f>IF(A175="","",IF($I$4="","POSICAO DE REFERENCIA INDISPONIVEL",IF($I$2,"ATUAL INFORMADA",IF(ISNUMBER(B175),"ATUAL IGNORADA (POSICAO INCOMPLETA) - FOTOGRAFIA "&amp;$I$4,"FOTOGRAFIA "&amp;$I$4))))</f>
        <v/>
      </c>
      <c r="F175" s="86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>
        <f>IF(A175="","",itens_Remanesc!C175)</f>
        <v/>
      </c>
      <c r="L175" s="192">
        <f>IF(A175="","",IF($I$4="C0",posicao_contratual!G175,IF($I$4="C1",posicao_contratual!K175,IF($I$4="C2",posicao_contratual!O175,IF($I$4="C3",posicao_contratual!S175,IF($I$4="C4",posicao_contratual!W175,""))))))</f>
        <v/>
      </c>
      <c r="M175" s="192">
        <f>IF(OR(A175="",$I$5="",$I$6=""),"",ROUND(SUMIFS(aditivos!$L$2:$L$200,aditivos!$A$2:$A$200,A175,aditivos!$B$2:$B$200,"&gt;"&amp;$I$6,aditivos!$B$2:$B$200,"&lt;="&amp;$I$5),2))</f>
        <v/>
      </c>
      <c r="N175" s="192">
        <f>IF(OR(A175="",L175="",D175=""),"",ROUND(MAX(L175+IF(ISNUMBER(M175),M175,0)-D175,0),2))</f>
        <v/>
      </c>
      <c r="O175" s="192">
        <f>IF(OR(A175="",D175="",K175="",$I$7=""),"",ROUND(D175*K175*$I$7,2))</f>
        <v/>
      </c>
      <c r="P175" s="192">
        <f>IF(OR(A175="",N175="",K175="",$I$7=""),"",ROUND(N175*K175*$I$7,2))</f>
        <v/>
      </c>
      <c r="Q175" s="192">
        <f>IF(OR(A175="",D175="",K175=""),"",ROUND(D175*K175,2))</f>
        <v/>
      </c>
      <c r="R175" s="192">
        <f>IF(OR(A175="",L175="",K175="",$I$7=""),"",ROUND(L175*K175*$I$7,2))</f>
        <v/>
      </c>
    </row>
    <row r="176">
      <c r="A176" s="86">
        <f>IF(itens_Remanesc!A176="","",itens_Remanesc!A176)</f>
        <v/>
      </c>
      <c r="B176" s="196" t="n"/>
      <c r="C176" s="196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>
        <f>IF(A176="","",IF($I$4="","POSICAO DE REFERENCIA INDISPONIVEL",IF($I$2,"ATUAL INFORMADA",IF(ISNUMBER(B176),"ATUAL IGNORADA (POSICAO INCOMPLETA) - FOTOGRAFIA "&amp;$I$4,"FOTOGRAFIA "&amp;$I$4))))</f>
        <v/>
      </c>
      <c r="F176" s="86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>
        <f>IF(A176="","",itens_Remanesc!C176)</f>
        <v/>
      </c>
      <c r="L176" s="192">
        <f>IF(A176="","",IF($I$4="C0",posicao_contratual!G176,IF($I$4="C1",posicao_contratual!K176,IF($I$4="C2",posicao_contratual!O176,IF($I$4="C3",posicao_contratual!S176,IF($I$4="C4",posicao_contratual!W176,""))))))</f>
        <v/>
      </c>
      <c r="M176" s="192">
        <f>IF(OR(A176="",$I$5="",$I$6=""),"",ROUND(SUMIFS(aditivos!$L$2:$L$200,aditivos!$A$2:$A$200,A176,aditivos!$B$2:$B$200,"&gt;"&amp;$I$6,aditivos!$B$2:$B$200,"&lt;="&amp;$I$5),2))</f>
        <v/>
      </c>
      <c r="N176" s="192">
        <f>IF(OR(A176="",L176="",D176=""),"",ROUND(MAX(L176+IF(ISNUMBER(M176),M176,0)-D176,0),2))</f>
        <v/>
      </c>
      <c r="O176" s="192">
        <f>IF(OR(A176="",D176="",K176="",$I$7=""),"",ROUND(D176*K176*$I$7,2))</f>
        <v/>
      </c>
      <c r="P176" s="192">
        <f>IF(OR(A176="",N176="",K176="",$I$7=""),"",ROUND(N176*K176*$I$7,2))</f>
        <v/>
      </c>
      <c r="Q176" s="192">
        <f>IF(OR(A176="",D176="",K176=""),"",ROUND(D176*K176,2))</f>
        <v/>
      </c>
      <c r="R176" s="192">
        <f>IF(OR(A176="",L176="",K176="",$I$7=""),"",ROUND(L176*K176*$I$7,2))</f>
        <v/>
      </c>
    </row>
    <row r="177">
      <c r="A177" s="86">
        <f>IF(itens_Remanesc!A177="","",itens_Remanesc!A177)</f>
        <v/>
      </c>
      <c r="B177" s="196" t="n"/>
      <c r="C177" s="196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>
        <f>IF(A177="","",IF($I$4="","POSICAO DE REFERENCIA INDISPONIVEL",IF($I$2,"ATUAL INFORMADA",IF(ISNUMBER(B177),"ATUAL IGNORADA (POSICAO INCOMPLETA) - FOTOGRAFIA "&amp;$I$4,"FOTOGRAFIA "&amp;$I$4))))</f>
        <v/>
      </c>
      <c r="F177" s="86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>
        <f>IF(A177="","",itens_Remanesc!C177)</f>
        <v/>
      </c>
      <c r="L177" s="192">
        <f>IF(A177="","",IF($I$4="C0",posicao_contratual!G177,IF($I$4="C1",posicao_contratual!K177,IF($I$4="C2",posicao_contratual!O177,IF($I$4="C3",posicao_contratual!S177,IF($I$4="C4",posicao_contratual!W177,""))))))</f>
        <v/>
      </c>
      <c r="M177" s="192">
        <f>IF(OR(A177="",$I$5="",$I$6=""),"",ROUND(SUMIFS(aditivos!$L$2:$L$200,aditivos!$A$2:$A$200,A177,aditivos!$B$2:$B$200,"&gt;"&amp;$I$6,aditivos!$B$2:$B$200,"&lt;="&amp;$I$5),2))</f>
        <v/>
      </c>
      <c r="N177" s="192">
        <f>IF(OR(A177="",L177="",D177=""),"",ROUND(MAX(L177+IF(ISNUMBER(M177),M177,0)-D177,0),2))</f>
        <v/>
      </c>
      <c r="O177" s="192">
        <f>IF(OR(A177="",D177="",K177="",$I$7=""),"",ROUND(D177*K177*$I$7,2))</f>
        <v/>
      </c>
      <c r="P177" s="192">
        <f>IF(OR(A177="",N177="",K177="",$I$7=""),"",ROUND(N177*K177*$I$7,2))</f>
        <v/>
      </c>
      <c r="Q177" s="192">
        <f>IF(OR(A177="",D177="",K177=""),"",ROUND(D177*K177,2))</f>
        <v/>
      </c>
      <c r="R177" s="192">
        <f>IF(OR(A177="",L177="",K177="",$I$7=""),"",ROUND(L177*K177*$I$7,2))</f>
        <v/>
      </c>
    </row>
    <row r="178">
      <c r="A178" s="86">
        <f>IF(itens_Remanesc!A178="","",itens_Remanesc!A178)</f>
        <v/>
      </c>
      <c r="B178" s="196" t="n"/>
      <c r="C178" s="196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>
        <f>IF(A178="","",IF($I$4="","POSICAO DE REFERENCIA INDISPONIVEL",IF($I$2,"ATUAL INFORMADA",IF(ISNUMBER(B178),"ATUAL IGNORADA (POSICAO INCOMPLETA) - FOTOGRAFIA "&amp;$I$4,"FOTOGRAFIA "&amp;$I$4))))</f>
        <v/>
      </c>
      <c r="F178" s="86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>
        <f>IF(A178="","",itens_Remanesc!C178)</f>
        <v/>
      </c>
      <c r="L178" s="192">
        <f>IF(A178="","",IF($I$4="C0",posicao_contratual!G178,IF($I$4="C1",posicao_contratual!K178,IF($I$4="C2",posicao_contratual!O178,IF($I$4="C3",posicao_contratual!S178,IF($I$4="C4",posicao_contratual!W178,""))))))</f>
        <v/>
      </c>
      <c r="M178" s="192">
        <f>IF(OR(A178="",$I$5="",$I$6=""),"",ROUND(SUMIFS(aditivos!$L$2:$L$200,aditivos!$A$2:$A$200,A178,aditivos!$B$2:$B$200,"&gt;"&amp;$I$6,aditivos!$B$2:$B$200,"&lt;="&amp;$I$5),2))</f>
        <v/>
      </c>
      <c r="N178" s="192">
        <f>IF(OR(A178="",L178="",D178=""),"",ROUND(MAX(L178+IF(ISNUMBER(M178),M178,0)-D178,0),2))</f>
        <v/>
      </c>
      <c r="O178" s="192">
        <f>IF(OR(A178="",D178="",K178="",$I$7=""),"",ROUND(D178*K178*$I$7,2))</f>
        <v/>
      </c>
      <c r="P178" s="192">
        <f>IF(OR(A178="",N178="",K178="",$I$7=""),"",ROUND(N178*K178*$I$7,2))</f>
        <v/>
      </c>
      <c r="Q178" s="192">
        <f>IF(OR(A178="",D178="",K178=""),"",ROUND(D178*K178,2))</f>
        <v/>
      </c>
      <c r="R178" s="192">
        <f>IF(OR(A178="",L178="",K178="",$I$7=""),"",ROUND(L178*K178*$I$7,2))</f>
        <v/>
      </c>
    </row>
    <row r="179">
      <c r="A179" s="86">
        <f>IF(itens_Remanesc!A179="","",itens_Remanesc!A179)</f>
        <v/>
      </c>
      <c r="B179" s="196" t="n"/>
      <c r="C179" s="196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>
        <f>IF(A179="","",IF($I$4="","POSICAO DE REFERENCIA INDISPONIVEL",IF($I$2,"ATUAL INFORMADA",IF(ISNUMBER(B179),"ATUAL IGNORADA (POSICAO INCOMPLETA) - FOTOGRAFIA "&amp;$I$4,"FOTOGRAFIA "&amp;$I$4))))</f>
        <v/>
      </c>
      <c r="F179" s="86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>
        <f>IF(A179="","",itens_Remanesc!C179)</f>
        <v/>
      </c>
      <c r="L179" s="192">
        <f>IF(A179="","",IF($I$4="C0",posicao_contratual!G179,IF($I$4="C1",posicao_contratual!K179,IF($I$4="C2",posicao_contratual!O179,IF($I$4="C3",posicao_contratual!S179,IF($I$4="C4",posicao_contratual!W179,""))))))</f>
        <v/>
      </c>
      <c r="M179" s="192">
        <f>IF(OR(A179="",$I$5="",$I$6=""),"",ROUND(SUMIFS(aditivos!$L$2:$L$200,aditivos!$A$2:$A$200,A179,aditivos!$B$2:$B$200,"&gt;"&amp;$I$6,aditivos!$B$2:$B$200,"&lt;="&amp;$I$5),2))</f>
        <v/>
      </c>
      <c r="N179" s="192">
        <f>IF(OR(A179="",L179="",D179=""),"",ROUND(MAX(L179+IF(ISNUMBER(M179),M179,0)-D179,0),2))</f>
        <v/>
      </c>
      <c r="O179" s="192">
        <f>IF(OR(A179="",D179="",K179="",$I$7=""),"",ROUND(D179*K179*$I$7,2))</f>
        <v/>
      </c>
      <c r="P179" s="192">
        <f>IF(OR(A179="",N179="",K179="",$I$7=""),"",ROUND(N179*K179*$I$7,2))</f>
        <v/>
      </c>
      <c r="Q179" s="192">
        <f>IF(OR(A179="",D179="",K179=""),"",ROUND(D179*K179,2))</f>
        <v/>
      </c>
      <c r="R179" s="192">
        <f>IF(OR(A179="",L179="",K179="",$I$7=""),"",ROUND(L179*K179*$I$7,2))</f>
        <v/>
      </c>
    </row>
    <row r="180">
      <c r="A180" s="86">
        <f>IF(itens_Remanesc!A180="","",itens_Remanesc!A180)</f>
        <v/>
      </c>
      <c r="B180" s="196" t="n"/>
      <c r="C180" s="196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>
        <f>IF(A180="","",IF($I$4="","POSICAO DE REFERENCIA INDISPONIVEL",IF($I$2,"ATUAL INFORMADA",IF(ISNUMBER(B180),"ATUAL IGNORADA (POSICAO INCOMPLETA) - FOTOGRAFIA "&amp;$I$4,"FOTOGRAFIA "&amp;$I$4))))</f>
        <v/>
      </c>
      <c r="F180" s="86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>
        <f>IF(A180="","",itens_Remanesc!C180)</f>
        <v/>
      </c>
      <c r="L180" s="192">
        <f>IF(A180="","",IF($I$4="C0",posicao_contratual!G180,IF($I$4="C1",posicao_contratual!K180,IF($I$4="C2",posicao_contratual!O180,IF($I$4="C3",posicao_contratual!S180,IF($I$4="C4",posicao_contratual!W180,""))))))</f>
        <v/>
      </c>
      <c r="M180" s="192">
        <f>IF(OR(A180="",$I$5="",$I$6=""),"",ROUND(SUMIFS(aditivos!$L$2:$L$200,aditivos!$A$2:$A$200,A180,aditivos!$B$2:$B$200,"&gt;"&amp;$I$6,aditivos!$B$2:$B$200,"&lt;="&amp;$I$5),2))</f>
        <v/>
      </c>
      <c r="N180" s="192">
        <f>IF(OR(A180="",L180="",D180=""),"",ROUND(MAX(L180+IF(ISNUMBER(M180),M180,0)-D180,0),2))</f>
        <v/>
      </c>
      <c r="O180" s="192">
        <f>IF(OR(A180="",D180="",K180="",$I$7=""),"",ROUND(D180*K180*$I$7,2))</f>
        <v/>
      </c>
      <c r="P180" s="192">
        <f>IF(OR(A180="",N180="",K180="",$I$7=""),"",ROUND(N180*K180*$I$7,2))</f>
        <v/>
      </c>
      <c r="Q180" s="192">
        <f>IF(OR(A180="",D180="",K180=""),"",ROUND(D180*K180,2))</f>
        <v/>
      </c>
      <c r="R180" s="192">
        <f>IF(OR(A180="",L180="",K180="",$I$7=""),"",ROUND(L180*K180*$I$7,2))</f>
        <v/>
      </c>
    </row>
    <row r="181">
      <c r="A181" s="86">
        <f>IF(itens_Remanesc!A181="","",itens_Remanesc!A181)</f>
        <v/>
      </c>
      <c r="B181" s="196" t="n"/>
      <c r="C181" s="196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>
        <f>IF(A181="","",IF($I$4="","POSICAO DE REFERENCIA INDISPONIVEL",IF($I$2,"ATUAL INFORMADA",IF(ISNUMBER(B181),"ATUAL IGNORADA (POSICAO INCOMPLETA) - FOTOGRAFIA "&amp;$I$4,"FOTOGRAFIA "&amp;$I$4))))</f>
        <v/>
      </c>
      <c r="F181" s="86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>
        <f>IF(A181="","",itens_Remanesc!C181)</f>
        <v/>
      </c>
      <c r="L181" s="192">
        <f>IF(A181="","",IF($I$4="C0",posicao_contratual!G181,IF($I$4="C1",posicao_contratual!K181,IF($I$4="C2",posicao_contratual!O181,IF($I$4="C3",posicao_contratual!S181,IF($I$4="C4",posicao_contratual!W181,""))))))</f>
        <v/>
      </c>
      <c r="M181" s="192">
        <f>IF(OR(A181="",$I$5="",$I$6=""),"",ROUND(SUMIFS(aditivos!$L$2:$L$200,aditivos!$A$2:$A$200,A181,aditivos!$B$2:$B$200,"&gt;"&amp;$I$6,aditivos!$B$2:$B$200,"&lt;="&amp;$I$5),2))</f>
        <v/>
      </c>
      <c r="N181" s="192">
        <f>IF(OR(A181="",L181="",D181=""),"",ROUND(MAX(L181+IF(ISNUMBER(M181),M181,0)-D181,0),2))</f>
        <v/>
      </c>
      <c r="O181" s="192">
        <f>IF(OR(A181="",D181="",K181="",$I$7=""),"",ROUND(D181*K181*$I$7,2))</f>
        <v/>
      </c>
      <c r="P181" s="192">
        <f>IF(OR(A181="",N181="",K181="",$I$7=""),"",ROUND(N181*K181*$I$7,2))</f>
        <v/>
      </c>
      <c r="Q181" s="192">
        <f>IF(OR(A181="",D181="",K181=""),"",ROUND(D181*K181,2))</f>
        <v/>
      </c>
      <c r="R181" s="192">
        <f>IF(OR(A181="",L181="",K181="",$I$7=""),"",ROUND(L181*K181*$I$7,2))</f>
        <v/>
      </c>
    </row>
    <row r="182">
      <c r="A182" s="86">
        <f>IF(itens_Remanesc!A182="","",itens_Remanesc!A182)</f>
        <v/>
      </c>
      <c r="B182" s="196" t="n"/>
      <c r="C182" s="196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>
        <f>IF(A182="","",IF($I$4="","POSICAO DE REFERENCIA INDISPONIVEL",IF($I$2,"ATUAL INFORMADA",IF(ISNUMBER(B182),"ATUAL IGNORADA (POSICAO INCOMPLETA) - FOTOGRAFIA "&amp;$I$4,"FOTOGRAFIA "&amp;$I$4))))</f>
        <v/>
      </c>
      <c r="F182" s="86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>
        <f>IF(A182="","",itens_Remanesc!C182)</f>
        <v/>
      </c>
      <c r="L182" s="192">
        <f>IF(A182="","",IF($I$4="C0",posicao_contratual!G182,IF($I$4="C1",posicao_contratual!K182,IF($I$4="C2",posicao_contratual!O182,IF($I$4="C3",posicao_contratual!S182,IF($I$4="C4",posicao_contratual!W182,""))))))</f>
        <v/>
      </c>
      <c r="M182" s="192">
        <f>IF(OR(A182="",$I$5="",$I$6=""),"",ROUND(SUMIFS(aditivos!$L$2:$L$200,aditivos!$A$2:$A$200,A182,aditivos!$B$2:$B$200,"&gt;"&amp;$I$6,aditivos!$B$2:$B$200,"&lt;="&amp;$I$5),2))</f>
        <v/>
      </c>
      <c r="N182" s="192">
        <f>IF(OR(A182="",L182="",D182=""),"",ROUND(MAX(L182+IF(ISNUMBER(M182),M182,0)-D182,0),2))</f>
        <v/>
      </c>
      <c r="O182" s="192">
        <f>IF(OR(A182="",D182="",K182="",$I$7=""),"",ROUND(D182*K182*$I$7,2))</f>
        <v/>
      </c>
      <c r="P182" s="192">
        <f>IF(OR(A182="",N182="",K182="",$I$7=""),"",ROUND(N182*K182*$I$7,2))</f>
        <v/>
      </c>
      <c r="Q182" s="192">
        <f>IF(OR(A182="",D182="",K182=""),"",ROUND(D182*K182,2))</f>
        <v/>
      </c>
      <c r="R182" s="192">
        <f>IF(OR(A182="",L182="",K182="",$I$7=""),"",ROUND(L182*K182*$I$7,2))</f>
        <v/>
      </c>
    </row>
    <row r="183">
      <c r="A183" s="86">
        <f>IF(itens_Remanesc!A183="","",itens_Remanesc!A183)</f>
        <v/>
      </c>
      <c r="B183" s="196" t="n"/>
      <c r="C183" s="196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>
        <f>IF(A183="","",IF($I$4="","POSICAO DE REFERENCIA INDISPONIVEL",IF($I$2,"ATUAL INFORMADA",IF(ISNUMBER(B183),"ATUAL IGNORADA (POSICAO INCOMPLETA) - FOTOGRAFIA "&amp;$I$4,"FOTOGRAFIA "&amp;$I$4))))</f>
        <v/>
      </c>
      <c r="F183" s="86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>
        <f>IF(A183="","",itens_Remanesc!C183)</f>
        <v/>
      </c>
      <c r="L183" s="192">
        <f>IF(A183="","",IF($I$4="C0",posicao_contratual!G183,IF($I$4="C1",posicao_contratual!K183,IF($I$4="C2",posicao_contratual!O183,IF($I$4="C3",posicao_contratual!S183,IF($I$4="C4",posicao_contratual!W183,""))))))</f>
        <v/>
      </c>
      <c r="M183" s="192">
        <f>IF(OR(A183="",$I$5="",$I$6=""),"",ROUND(SUMIFS(aditivos!$L$2:$L$200,aditivos!$A$2:$A$200,A183,aditivos!$B$2:$B$200,"&gt;"&amp;$I$6,aditivos!$B$2:$B$200,"&lt;="&amp;$I$5),2))</f>
        <v/>
      </c>
      <c r="N183" s="192">
        <f>IF(OR(A183="",L183="",D183=""),"",ROUND(MAX(L183+IF(ISNUMBER(M183),M183,0)-D183,0),2))</f>
        <v/>
      </c>
      <c r="O183" s="192">
        <f>IF(OR(A183="",D183="",K183="",$I$7=""),"",ROUND(D183*K183*$I$7,2))</f>
        <v/>
      </c>
      <c r="P183" s="192">
        <f>IF(OR(A183="",N183="",K183="",$I$7=""),"",ROUND(N183*K183*$I$7,2))</f>
        <v/>
      </c>
      <c r="Q183" s="192">
        <f>IF(OR(A183="",D183="",K183=""),"",ROUND(D183*K183,2))</f>
        <v/>
      </c>
      <c r="R183" s="192">
        <f>IF(OR(A183="",L183="",K183="",$I$7=""),"",ROUND(L183*K183*$I$7,2))</f>
        <v/>
      </c>
    </row>
    <row r="184">
      <c r="A184" s="86">
        <f>IF(itens_Remanesc!A184="","",itens_Remanesc!A184)</f>
        <v/>
      </c>
      <c r="B184" s="196" t="n"/>
      <c r="C184" s="196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>
        <f>IF(A184="","",IF($I$4="","POSICAO DE REFERENCIA INDISPONIVEL",IF($I$2,"ATUAL INFORMADA",IF(ISNUMBER(B184),"ATUAL IGNORADA (POSICAO INCOMPLETA) - FOTOGRAFIA "&amp;$I$4,"FOTOGRAFIA "&amp;$I$4))))</f>
        <v/>
      </c>
      <c r="F184" s="86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>
        <f>IF(A184="","",itens_Remanesc!C184)</f>
        <v/>
      </c>
      <c r="L184" s="192">
        <f>IF(A184="","",IF($I$4="C0",posicao_contratual!G184,IF($I$4="C1",posicao_contratual!K184,IF($I$4="C2",posicao_contratual!O184,IF($I$4="C3",posicao_contratual!S184,IF($I$4="C4",posicao_contratual!W184,""))))))</f>
        <v/>
      </c>
      <c r="M184" s="192">
        <f>IF(OR(A184="",$I$5="",$I$6=""),"",ROUND(SUMIFS(aditivos!$L$2:$L$200,aditivos!$A$2:$A$200,A184,aditivos!$B$2:$B$200,"&gt;"&amp;$I$6,aditivos!$B$2:$B$200,"&lt;="&amp;$I$5),2))</f>
        <v/>
      </c>
      <c r="N184" s="192">
        <f>IF(OR(A184="",L184="",D184=""),"",ROUND(MAX(L184+IF(ISNUMBER(M184),M184,0)-D184,0),2))</f>
        <v/>
      </c>
      <c r="O184" s="192">
        <f>IF(OR(A184="",D184="",K184="",$I$7=""),"",ROUND(D184*K184*$I$7,2))</f>
        <v/>
      </c>
      <c r="P184" s="192">
        <f>IF(OR(A184="",N184="",K184="",$I$7=""),"",ROUND(N184*K184*$I$7,2))</f>
        <v/>
      </c>
      <c r="Q184" s="192">
        <f>IF(OR(A184="",D184="",K184=""),"",ROUND(D184*K184,2))</f>
        <v/>
      </c>
      <c r="R184" s="192">
        <f>IF(OR(A184="",L184="",K184="",$I$7=""),"",ROUND(L184*K184*$I$7,2))</f>
        <v/>
      </c>
    </row>
    <row r="185">
      <c r="A185" s="86">
        <f>IF(itens_Remanesc!A185="","",itens_Remanesc!A185)</f>
        <v/>
      </c>
      <c r="B185" s="196" t="n"/>
      <c r="C185" s="196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>
        <f>IF(A185="","",IF($I$4="","POSICAO DE REFERENCIA INDISPONIVEL",IF($I$2,"ATUAL INFORMADA",IF(ISNUMBER(B185),"ATUAL IGNORADA (POSICAO INCOMPLETA) - FOTOGRAFIA "&amp;$I$4,"FOTOGRAFIA "&amp;$I$4))))</f>
        <v/>
      </c>
      <c r="F185" s="86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>
        <f>IF(A185="","",itens_Remanesc!C185)</f>
        <v/>
      </c>
      <c r="L185" s="192">
        <f>IF(A185="","",IF($I$4="C0",posicao_contratual!G185,IF($I$4="C1",posicao_contratual!K185,IF($I$4="C2",posicao_contratual!O185,IF($I$4="C3",posicao_contratual!S185,IF($I$4="C4",posicao_contratual!W185,""))))))</f>
        <v/>
      </c>
      <c r="M185" s="192">
        <f>IF(OR(A185="",$I$5="",$I$6=""),"",ROUND(SUMIFS(aditivos!$L$2:$L$200,aditivos!$A$2:$A$200,A185,aditivos!$B$2:$B$200,"&gt;"&amp;$I$6,aditivos!$B$2:$B$200,"&lt;="&amp;$I$5),2))</f>
        <v/>
      </c>
      <c r="N185" s="192">
        <f>IF(OR(A185="",L185="",D185=""),"",ROUND(MAX(L185+IF(ISNUMBER(M185),M185,0)-D185,0),2))</f>
        <v/>
      </c>
      <c r="O185" s="192">
        <f>IF(OR(A185="",D185="",K185="",$I$7=""),"",ROUND(D185*K185*$I$7,2))</f>
        <v/>
      </c>
      <c r="P185" s="192">
        <f>IF(OR(A185="",N185="",K185="",$I$7=""),"",ROUND(N185*K185*$I$7,2))</f>
        <v/>
      </c>
      <c r="Q185" s="192">
        <f>IF(OR(A185="",D185="",K185=""),"",ROUND(D185*K185,2))</f>
        <v/>
      </c>
      <c r="R185" s="192">
        <f>IF(OR(A185="",L185="",K185="",$I$7=""),"",ROUND(L185*K185*$I$7,2))</f>
        <v/>
      </c>
    </row>
    <row r="186">
      <c r="A186" s="86">
        <f>IF(itens_Remanesc!A186="","",itens_Remanesc!A186)</f>
        <v/>
      </c>
      <c r="B186" s="196" t="n"/>
      <c r="C186" s="196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>
        <f>IF(A186="","",IF($I$4="","POSICAO DE REFERENCIA INDISPONIVEL",IF($I$2,"ATUAL INFORMADA",IF(ISNUMBER(B186),"ATUAL IGNORADA (POSICAO INCOMPLETA) - FOTOGRAFIA "&amp;$I$4,"FOTOGRAFIA "&amp;$I$4))))</f>
        <v/>
      </c>
      <c r="F186" s="86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>
        <f>IF(A186="","",itens_Remanesc!C186)</f>
        <v/>
      </c>
      <c r="L186" s="192">
        <f>IF(A186="","",IF($I$4="C0",posicao_contratual!G186,IF($I$4="C1",posicao_contratual!K186,IF($I$4="C2",posicao_contratual!O186,IF($I$4="C3",posicao_contratual!S186,IF($I$4="C4",posicao_contratual!W186,""))))))</f>
        <v/>
      </c>
      <c r="M186" s="192">
        <f>IF(OR(A186="",$I$5="",$I$6=""),"",ROUND(SUMIFS(aditivos!$L$2:$L$200,aditivos!$A$2:$A$200,A186,aditivos!$B$2:$B$200,"&gt;"&amp;$I$6,aditivos!$B$2:$B$200,"&lt;="&amp;$I$5),2))</f>
        <v/>
      </c>
      <c r="N186" s="192">
        <f>IF(OR(A186="",L186="",D186=""),"",ROUND(MAX(L186+IF(ISNUMBER(M186),M186,0)-D186,0),2))</f>
        <v/>
      </c>
      <c r="O186" s="192">
        <f>IF(OR(A186="",D186="",K186="",$I$7=""),"",ROUND(D186*K186*$I$7,2))</f>
        <v/>
      </c>
      <c r="P186" s="192">
        <f>IF(OR(A186="",N186="",K186="",$I$7=""),"",ROUND(N186*K186*$I$7,2))</f>
        <v/>
      </c>
      <c r="Q186" s="192">
        <f>IF(OR(A186="",D186="",K186=""),"",ROUND(D186*K186,2))</f>
        <v/>
      </c>
      <c r="R186" s="192">
        <f>IF(OR(A186="",L186="",K186="",$I$7=""),"",ROUND(L186*K186*$I$7,2))</f>
        <v/>
      </c>
    </row>
    <row r="187">
      <c r="A187" s="86">
        <f>IF(itens_Remanesc!A187="","",itens_Remanesc!A187)</f>
        <v/>
      </c>
      <c r="B187" s="196" t="n"/>
      <c r="C187" s="196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>
        <f>IF(A187="","",IF($I$4="","POSICAO DE REFERENCIA INDISPONIVEL",IF($I$2,"ATUAL INFORMADA",IF(ISNUMBER(B187),"ATUAL IGNORADA (POSICAO INCOMPLETA) - FOTOGRAFIA "&amp;$I$4,"FOTOGRAFIA "&amp;$I$4))))</f>
        <v/>
      </c>
      <c r="F187" s="86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>
        <f>IF(A187="","",itens_Remanesc!C187)</f>
        <v/>
      </c>
      <c r="L187" s="192">
        <f>IF(A187="","",IF($I$4="C0",posicao_contratual!G187,IF($I$4="C1",posicao_contratual!K187,IF($I$4="C2",posicao_contratual!O187,IF($I$4="C3",posicao_contratual!S187,IF($I$4="C4",posicao_contratual!W187,""))))))</f>
        <v/>
      </c>
      <c r="M187" s="192">
        <f>IF(OR(A187="",$I$5="",$I$6=""),"",ROUND(SUMIFS(aditivos!$L$2:$L$200,aditivos!$A$2:$A$200,A187,aditivos!$B$2:$B$200,"&gt;"&amp;$I$6,aditivos!$B$2:$B$200,"&lt;="&amp;$I$5),2))</f>
        <v/>
      </c>
      <c r="N187" s="192">
        <f>IF(OR(A187="",L187="",D187=""),"",ROUND(MAX(L187+IF(ISNUMBER(M187),M187,0)-D187,0),2))</f>
        <v/>
      </c>
      <c r="O187" s="192">
        <f>IF(OR(A187="",D187="",K187="",$I$7=""),"",ROUND(D187*K187*$I$7,2))</f>
        <v/>
      </c>
      <c r="P187" s="192">
        <f>IF(OR(A187="",N187="",K187="",$I$7=""),"",ROUND(N187*K187*$I$7,2))</f>
        <v/>
      </c>
      <c r="Q187" s="192">
        <f>IF(OR(A187="",D187="",K187=""),"",ROUND(D187*K187,2))</f>
        <v/>
      </c>
      <c r="R187" s="192">
        <f>IF(OR(A187="",L187="",K187="",$I$7=""),"",ROUND(L187*K187*$I$7,2))</f>
        <v/>
      </c>
    </row>
    <row r="188">
      <c r="A188" s="86">
        <f>IF(itens_Remanesc!A188="","",itens_Remanesc!A188)</f>
        <v/>
      </c>
      <c r="B188" s="196" t="n"/>
      <c r="C188" s="196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>
        <f>IF(A188="","",IF($I$4="","POSICAO DE REFERENCIA INDISPONIVEL",IF($I$2,"ATUAL INFORMADA",IF(ISNUMBER(B188),"ATUAL IGNORADA (POSICAO INCOMPLETA) - FOTOGRAFIA "&amp;$I$4,"FOTOGRAFIA "&amp;$I$4))))</f>
        <v/>
      </c>
      <c r="F188" s="86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>
        <f>IF(A188="","",itens_Remanesc!C188)</f>
        <v/>
      </c>
      <c r="L188" s="192">
        <f>IF(A188="","",IF($I$4="C0",posicao_contratual!G188,IF($I$4="C1",posicao_contratual!K188,IF($I$4="C2",posicao_contratual!O188,IF($I$4="C3",posicao_contratual!S188,IF($I$4="C4",posicao_contratual!W188,""))))))</f>
        <v/>
      </c>
      <c r="M188" s="192">
        <f>IF(OR(A188="",$I$5="",$I$6=""),"",ROUND(SUMIFS(aditivos!$L$2:$L$200,aditivos!$A$2:$A$200,A188,aditivos!$B$2:$B$200,"&gt;"&amp;$I$6,aditivos!$B$2:$B$200,"&lt;="&amp;$I$5),2))</f>
        <v/>
      </c>
      <c r="N188" s="192">
        <f>IF(OR(A188="",L188="",D188=""),"",ROUND(MAX(L188+IF(ISNUMBER(M188),M188,0)-D188,0),2))</f>
        <v/>
      </c>
      <c r="O188" s="192">
        <f>IF(OR(A188="",D188="",K188="",$I$7=""),"",ROUND(D188*K188*$I$7,2))</f>
        <v/>
      </c>
      <c r="P188" s="192">
        <f>IF(OR(A188="",N188="",K188="",$I$7=""),"",ROUND(N188*K188*$I$7,2))</f>
        <v/>
      </c>
      <c r="Q188" s="192">
        <f>IF(OR(A188="",D188="",K188=""),"",ROUND(D188*K188,2))</f>
        <v/>
      </c>
      <c r="R188" s="192">
        <f>IF(OR(A188="",L188="",K188="",$I$7=""),"",ROUND(L188*K188*$I$7,2))</f>
        <v/>
      </c>
    </row>
    <row r="189">
      <c r="A189" s="86">
        <f>IF(itens_Remanesc!A189="","",itens_Remanesc!A189)</f>
        <v/>
      </c>
      <c r="B189" s="196" t="n"/>
      <c r="C189" s="196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>
        <f>IF(A189="","",IF($I$4="","POSICAO DE REFERENCIA INDISPONIVEL",IF($I$2,"ATUAL INFORMADA",IF(ISNUMBER(B189),"ATUAL IGNORADA (POSICAO INCOMPLETA) - FOTOGRAFIA "&amp;$I$4,"FOTOGRAFIA "&amp;$I$4))))</f>
        <v/>
      </c>
      <c r="F189" s="86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>
        <f>IF(A189="","",itens_Remanesc!C189)</f>
        <v/>
      </c>
      <c r="L189" s="192">
        <f>IF(A189="","",IF($I$4="C0",posicao_contratual!G189,IF($I$4="C1",posicao_contratual!K189,IF($I$4="C2",posicao_contratual!O189,IF($I$4="C3",posicao_contratual!S189,IF($I$4="C4",posicao_contratual!W189,""))))))</f>
        <v/>
      </c>
      <c r="M189" s="192">
        <f>IF(OR(A189="",$I$5="",$I$6=""),"",ROUND(SUMIFS(aditivos!$L$2:$L$200,aditivos!$A$2:$A$200,A189,aditivos!$B$2:$B$200,"&gt;"&amp;$I$6,aditivos!$B$2:$B$200,"&lt;="&amp;$I$5),2))</f>
        <v/>
      </c>
      <c r="N189" s="192">
        <f>IF(OR(A189="",L189="",D189=""),"",ROUND(MAX(L189+IF(ISNUMBER(M189),M189,0)-D189,0),2))</f>
        <v/>
      </c>
      <c r="O189" s="192">
        <f>IF(OR(A189="",D189="",K189="",$I$7=""),"",ROUND(D189*K189*$I$7,2))</f>
        <v/>
      </c>
      <c r="P189" s="192">
        <f>IF(OR(A189="",N189="",K189="",$I$7=""),"",ROUND(N189*K189*$I$7,2))</f>
        <v/>
      </c>
      <c r="Q189" s="192">
        <f>IF(OR(A189="",D189="",K189=""),"",ROUND(D189*K189,2))</f>
        <v/>
      </c>
      <c r="R189" s="192">
        <f>IF(OR(A189="",L189="",K189="",$I$7=""),"",ROUND(L189*K189*$I$7,2))</f>
        <v/>
      </c>
    </row>
    <row r="190">
      <c r="A190" s="86">
        <f>IF(itens_Remanesc!A190="","",itens_Remanesc!A190)</f>
        <v/>
      </c>
      <c r="B190" s="196" t="n"/>
      <c r="C190" s="196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>
        <f>IF(A190="","",IF($I$4="","POSICAO DE REFERENCIA INDISPONIVEL",IF($I$2,"ATUAL INFORMADA",IF(ISNUMBER(B190),"ATUAL IGNORADA (POSICAO INCOMPLETA) - FOTOGRAFIA "&amp;$I$4,"FOTOGRAFIA "&amp;$I$4))))</f>
        <v/>
      </c>
      <c r="F190" s="86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>
        <f>IF(A190="","",itens_Remanesc!C190)</f>
        <v/>
      </c>
      <c r="L190" s="192">
        <f>IF(A190="","",IF($I$4="C0",posicao_contratual!G190,IF($I$4="C1",posicao_contratual!K190,IF($I$4="C2",posicao_contratual!O190,IF($I$4="C3",posicao_contratual!S190,IF($I$4="C4",posicao_contratual!W190,""))))))</f>
        <v/>
      </c>
      <c r="M190" s="192">
        <f>IF(OR(A190="",$I$5="",$I$6=""),"",ROUND(SUMIFS(aditivos!$L$2:$L$200,aditivos!$A$2:$A$200,A190,aditivos!$B$2:$B$200,"&gt;"&amp;$I$6,aditivos!$B$2:$B$200,"&lt;="&amp;$I$5),2))</f>
        <v/>
      </c>
      <c r="N190" s="192">
        <f>IF(OR(A190="",L190="",D190=""),"",ROUND(MAX(L190+IF(ISNUMBER(M190),M190,0)-D190,0),2))</f>
        <v/>
      </c>
      <c r="O190" s="192">
        <f>IF(OR(A190="",D190="",K190="",$I$7=""),"",ROUND(D190*K190*$I$7,2))</f>
        <v/>
      </c>
      <c r="P190" s="192">
        <f>IF(OR(A190="",N190="",K190="",$I$7=""),"",ROUND(N190*K190*$I$7,2))</f>
        <v/>
      </c>
      <c r="Q190" s="192">
        <f>IF(OR(A190="",D190="",K190=""),"",ROUND(D190*K190,2))</f>
        <v/>
      </c>
      <c r="R190" s="192">
        <f>IF(OR(A190="",L190="",K190="",$I$7=""),"",ROUND(L190*K190*$I$7,2))</f>
        <v/>
      </c>
    </row>
    <row r="191">
      <c r="A191" s="86">
        <f>IF(itens_Remanesc!A191="","",itens_Remanesc!A191)</f>
        <v/>
      </c>
      <c r="B191" s="196" t="n"/>
      <c r="C191" s="196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>
        <f>IF(A191="","",IF($I$4="","POSICAO DE REFERENCIA INDISPONIVEL",IF($I$2,"ATUAL INFORMADA",IF(ISNUMBER(B191),"ATUAL IGNORADA (POSICAO INCOMPLETA) - FOTOGRAFIA "&amp;$I$4,"FOTOGRAFIA "&amp;$I$4))))</f>
        <v/>
      </c>
      <c r="F191" s="86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>
        <f>IF(A191="","",itens_Remanesc!C191)</f>
        <v/>
      </c>
      <c r="L191" s="192">
        <f>IF(A191="","",IF($I$4="C0",posicao_contratual!G191,IF($I$4="C1",posicao_contratual!K191,IF($I$4="C2",posicao_contratual!O191,IF($I$4="C3",posicao_contratual!S191,IF($I$4="C4",posicao_contratual!W191,""))))))</f>
        <v/>
      </c>
      <c r="M191" s="192">
        <f>IF(OR(A191="",$I$5="",$I$6=""),"",ROUND(SUMIFS(aditivos!$L$2:$L$200,aditivos!$A$2:$A$200,A191,aditivos!$B$2:$B$200,"&gt;"&amp;$I$6,aditivos!$B$2:$B$200,"&lt;="&amp;$I$5),2))</f>
        <v/>
      </c>
      <c r="N191" s="192">
        <f>IF(OR(A191="",L191="",D191=""),"",ROUND(MAX(L191+IF(ISNUMBER(M191),M191,0)-D191,0),2))</f>
        <v/>
      </c>
      <c r="O191" s="192">
        <f>IF(OR(A191="",D191="",K191="",$I$7=""),"",ROUND(D191*K191*$I$7,2))</f>
        <v/>
      </c>
      <c r="P191" s="192">
        <f>IF(OR(A191="",N191="",K191="",$I$7=""),"",ROUND(N191*K191*$I$7,2))</f>
        <v/>
      </c>
      <c r="Q191" s="192">
        <f>IF(OR(A191="",D191="",K191=""),"",ROUND(D191*K191,2))</f>
        <v/>
      </c>
      <c r="R191" s="192">
        <f>IF(OR(A191="",L191="",K191="",$I$7=""),"",ROUND(L191*K191*$I$7,2))</f>
        <v/>
      </c>
    </row>
    <row r="192">
      <c r="A192" s="86">
        <f>IF(itens_Remanesc!A192="","",itens_Remanesc!A192)</f>
        <v/>
      </c>
      <c r="B192" s="196" t="n"/>
      <c r="C192" s="196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>
        <f>IF(A192="","",IF($I$4="","POSICAO DE REFERENCIA INDISPONIVEL",IF($I$2,"ATUAL INFORMADA",IF(ISNUMBER(B192),"ATUAL IGNORADA (POSICAO INCOMPLETA) - FOTOGRAFIA "&amp;$I$4,"FOTOGRAFIA "&amp;$I$4))))</f>
        <v/>
      </c>
      <c r="F192" s="86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>
        <f>IF(A192="","",itens_Remanesc!C192)</f>
        <v/>
      </c>
      <c r="L192" s="192">
        <f>IF(A192="","",IF($I$4="C0",posicao_contratual!G192,IF($I$4="C1",posicao_contratual!K192,IF($I$4="C2",posicao_contratual!O192,IF($I$4="C3",posicao_contratual!S192,IF($I$4="C4",posicao_contratual!W192,""))))))</f>
        <v/>
      </c>
      <c r="M192" s="192">
        <f>IF(OR(A192="",$I$5="",$I$6=""),"",ROUND(SUMIFS(aditivos!$L$2:$L$200,aditivos!$A$2:$A$200,A192,aditivos!$B$2:$B$200,"&gt;"&amp;$I$6,aditivos!$B$2:$B$200,"&lt;="&amp;$I$5),2))</f>
        <v/>
      </c>
      <c r="N192" s="192">
        <f>IF(OR(A192="",L192="",D192=""),"",ROUND(MAX(L192+IF(ISNUMBER(M192),M192,0)-D192,0),2))</f>
        <v/>
      </c>
      <c r="O192" s="192">
        <f>IF(OR(A192="",D192="",K192="",$I$7=""),"",ROUND(D192*K192*$I$7,2))</f>
        <v/>
      </c>
      <c r="P192" s="192">
        <f>IF(OR(A192="",N192="",K192="",$I$7=""),"",ROUND(N192*K192*$I$7,2))</f>
        <v/>
      </c>
      <c r="Q192" s="192">
        <f>IF(OR(A192="",D192="",K192=""),"",ROUND(D192*K192,2))</f>
        <v/>
      </c>
      <c r="R192" s="192">
        <f>IF(OR(A192="",L192="",K192="",$I$7=""),"",ROUND(L192*K192*$I$7,2))</f>
        <v/>
      </c>
    </row>
    <row r="193">
      <c r="A193" s="86">
        <f>IF(itens_Remanesc!A193="","",itens_Remanesc!A193)</f>
        <v/>
      </c>
      <c r="B193" s="196" t="n"/>
      <c r="C193" s="196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>
        <f>IF(A193="","",IF($I$4="","POSICAO DE REFERENCIA INDISPONIVEL",IF($I$2,"ATUAL INFORMADA",IF(ISNUMBER(B193),"ATUAL IGNORADA (POSICAO INCOMPLETA) - FOTOGRAFIA "&amp;$I$4,"FOTOGRAFIA "&amp;$I$4))))</f>
        <v/>
      </c>
      <c r="F193" s="86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>
        <f>IF(A193="","",itens_Remanesc!C193)</f>
        <v/>
      </c>
      <c r="L193" s="192">
        <f>IF(A193="","",IF($I$4="C0",posicao_contratual!G193,IF($I$4="C1",posicao_contratual!K193,IF($I$4="C2",posicao_contratual!O193,IF($I$4="C3",posicao_contratual!S193,IF($I$4="C4",posicao_contratual!W193,""))))))</f>
        <v/>
      </c>
      <c r="M193" s="192">
        <f>IF(OR(A193="",$I$5="",$I$6=""),"",ROUND(SUMIFS(aditivos!$L$2:$L$200,aditivos!$A$2:$A$200,A193,aditivos!$B$2:$B$200,"&gt;"&amp;$I$6,aditivos!$B$2:$B$200,"&lt;="&amp;$I$5),2))</f>
        <v/>
      </c>
      <c r="N193" s="192">
        <f>IF(OR(A193="",L193="",D193=""),"",ROUND(MAX(L193+IF(ISNUMBER(M193),M193,0)-D193,0),2))</f>
        <v/>
      </c>
      <c r="O193" s="192">
        <f>IF(OR(A193="",D193="",K193="",$I$7=""),"",ROUND(D193*K193*$I$7,2))</f>
        <v/>
      </c>
      <c r="P193" s="192">
        <f>IF(OR(A193="",N193="",K193="",$I$7=""),"",ROUND(N193*K193*$I$7,2))</f>
        <v/>
      </c>
      <c r="Q193" s="192">
        <f>IF(OR(A193="",D193="",K193=""),"",ROUND(D193*K193,2))</f>
        <v/>
      </c>
      <c r="R193" s="192">
        <f>IF(OR(A193="",L193="",K193="",$I$7=""),"",ROUND(L193*K193*$I$7,2))</f>
        <v/>
      </c>
    </row>
    <row r="194">
      <c r="A194" s="86">
        <f>IF(itens_Remanesc!A194="","",itens_Remanesc!A194)</f>
        <v/>
      </c>
      <c r="B194" s="196" t="n"/>
      <c r="C194" s="196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>
        <f>IF(A194="","",IF($I$4="","POSICAO DE REFERENCIA INDISPONIVEL",IF($I$2,"ATUAL INFORMADA",IF(ISNUMBER(B194),"ATUAL IGNORADA (POSICAO INCOMPLETA) - FOTOGRAFIA "&amp;$I$4,"FOTOGRAFIA "&amp;$I$4))))</f>
        <v/>
      </c>
      <c r="F194" s="86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>
        <f>IF(A194="","",itens_Remanesc!C194)</f>
        <v/>
      </c>
      <c r="L194" s="192">
        <f>IF(A194="","",IF($I$4="C0",posicao_contratual!G194,IF($I$4="C1",posicao_contratual!K194,IF($I$4="C2",posicao_contratual!O194,IF($I$4="C3",posicao_contratual!S194,IF($I$4="C4",posicao_contratual!W194,""))))))</f>
        <v/>
      </c>
      <c r="M194" s="192">
        <f>IF(OR(A194="",$I$5="",$I$6=""),"",ROUND(SUMIFS(aditivos!$L$2:$L$200,aditivos!$A$2:$A$200,A194,aditivos!$B$2:$B$200,"&gt;"&amp;$I$6,aditivos!$B$2:$B$200,"&lt;="&amp;$I$5),2))</f>
        <v/>
      </c>
      <c r="N194" s="192">
        <f>IF(OR(A194="",L194="",D194=""),"",ROUND(MAX(L194+IF(ISNUMBER(M194),M194,0)-D194,0),2))</f>
        <v/>
      </c>
      <c r="O194" s="192">
        <f>IF(OR(A194="",D194="",K194="",$I$7=""),"",ROUND(D194*K194*$I$7,2))</f>
        <v/>
      </c>
      <c r="P194" s="192">
        <f>IF(OR(A194="",N194="",K194="",$I$7=""),"",ROUND(N194*K194*$I$7,2))</f>
        <v/>
      </c>
      <c r="Q194" s="192">
        <f>IF(OR(A194="",D194="",K194=""),"",ROUND(D194*K194,2))</f>
        <v/>
      </c>
      <c r="R194" s="192">
        <f>IF(OR(A194="",L194="",K194="",$I$7=""),"",ROUND(L194*K194*$I$7,2))</f>
        <v/>
      </c>
    </row>
    <row r="195">
      <c r="A195" s="86">
        <f>IF(itens_Remanesc!A195="","",itens_Remanesc!A195)</f>
        <v/>
      </c>
      <c r="B195" s="196" t="n"/>
      <c r="C195" s="196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>
        <f>IF(A195="","",IF($I$4="","POSICAO DE REFERENCIA INDISPONIVEL",IF($I$2,"ATUAL INFORMADA",IF(ISNUMBER(B195),"ATUAL IGNORADA (POSICAO INCOMPLETA) - FOTOGRAFIA "&amp;$I$4,"FOTOGRAFIA "&amp;$I$4))))</f>
        <v/>
      </c>
      <c r="F195" s="86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>
        <f>IF(A195="","",itens_Remanesc!C195)</f>
        <v/>
      </c>
      <c r="L195" s="192">
        <f>IF(A195="","",IF($I$4="C0",posicao_contratual!G195,IF($I$4="C1",posicao_contratual!K195,IF($I$4="C2",posicao_contratual!O195,IF($I$4="C3",posicao_contratual!S195,IF($I$4="C4",posicao_contratual!W195,""))))))</f>
        <v/>
      </c>
      <c r="M195" s="192">
        <f>IF(OR(A195="",$I$5="",$I$6=""),"",ROUND(SUMIFS(aditivos!$L$2:$L$200,aditivos!$A$2:$A$200,A195,aditivos!$B$2:$B$200,"&gt;"&amp;$I$6,aditivos!$B$2:$B$200,"&lt;="&amp;$I$5),2))</f>
        <v/>
      </c>
      <c r="N195" s="192">
        <f>IF(OR(A195="",L195="",D195=""),"",ROUND(MAX(L195+IF(ISNUMBER(M195),M195,0)-D195,0),2))</f>
        <v/>
      </c>
      <c r="O195" s="192">
        <f>IF(OR(A195="",D195="",K195="",$I$7=""),"",ROUND(D195*K195*$I$7,2))</f>
        <v/>
      </c>
      <c r="P195" s="192">
        <f>IF(OR(A195="",N195="",K195="",$I$7=""),"",ROUND(N195*K195*$I$7,2))</f>
        <v/>
      </c>
      <c r="Q195" s="192">
        <f>IF(OR(A195="",D195="",K195=""),"",ROUND(D195*K195,2))</f>
        <v/>
      </c>
      <c r="R195" s="192">
        <f>IF(OR(A195="",L195="",K195="",$I$7=""),"",ROUND(L195*K195*$I$7,2))</f>
        <v/>
      </c>
    </row>
    <row r="196">
      <c r="A196" s="86">
        <f>IF(itens_Remanesc!A196="","",itens_Remanesc!A196)</f>
        <v/>
      </c>
      <c r="B196" s="196" t="n"/>
      <c r="C196" s="196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>
        <f>IF(A196="","",IF($I$4="","POSICAO DE REFERENCIA INDISPONIVEL",IF($I$2,"ATUAL INFORMADA",IF(ISNUMBER(B196),"ATUAL IGNORADA (POSICAO INCOMPLETA) - FOTOGRAFIA "&amp;$I$4,"FOTOGRAFIA "&amp;$I$4))))</f>
        <v/>
      </c>
      <c r="F196" s="86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>
        <f>IF(A196="","",itens_Remanesc!C196)</f>
        <v/>
      </c>
      <c r="L196" s="192">
        <f>IF(A196="","",IF($I$4="C0",posicao_contratual!G196,IF($I$4="C1",posicao_contratual!K196,IF($I$4="C2",posicao_contratual!O196,IF($I$4="C3",posicao_contratual!S196,IF($I$4="C4",posicao_contratual!W196,""))))))</f>
        <v/>
      </c>
      <c r="M196" s="192">
        <f>IF(OR(A196="",$I$5="",$I$6=""),"",ROUND(SUMIFS(aditivos!$L$2:$L$200,aditivos!$A$2:$A$200,A196,aditivos!$B$2:$B$200,"&gt;"&amp;$I$6,aditivos!$B$2:$B$200,"&lt;="&amp;$I$5),2))</f>
        <v/>
      </c>
      <c r="N196" s="192">
        <f>IF(OR(A196="",L196="",D196=""),"",ROUND(MAX(L196+IF(ISNUMBER(M196),M196,0)-D196,0),2))</f>
        <v/>
      </c>
      <c r="O196" s="192">
        <f>IF(OR(A196="",D196="",K196="",$I$7=""),"",ROUND(D196*K196*$I$7,2))</f>
        <v/>
      </c>
      <c r="P196" s="192">
        <f>IF(OR(A196="",N196="",K196="",$I$7=""),"",ROUND(N196*K196*$I$7,2))</f>
        <v/>
      </c>
      <c r="Q196" s="192">
        <f>IF(OR(A196="",D196="",K196=""),"",ROUND(D196*K196,2))</f>
        <v/>
      </c>
      <c r="R196" s="192">
        <f>IF(OR(A196="",L196="",K196="",$I$7=""),"",ROUND(L196*K196*$I$7,2))</f>
        <v/>
      </c>
    </row>
    <row r="197">
      <c r="A197" s="86">
        <f>IF(itens_Remanesc!A197="","",itens_Remanesc!A197)</f>
        <v/>
      </c>
      <c r="B197" s="196" t="n"/>
      <c r="C197" s="196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>
        <f>IF(A197="","",IF($I$4="","POSICAO DE REFERENCIA INDISPONIVEL",IF($I$2,"ATUAL INFORMADA",IF(ISNUMBER(B197),"ATUAL IGNORADA (POSICAO INCOMPLETA) - FOTOGRAFIA "&amp;$I$4,"FOTOGRAFIA "&amp;$I$4))))</f>
        <v/>
      </c>
      <c r="F197" s="86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>
        <f>IF(A197="","",itens_Remanesc!C197)</f>
        <v/>
      </c>
      <c r="L197" s="192">
        <f>IF(A197="","",IF($I$4="C0",posicao_contratual!G197,IF($I$4="C1",posicao_contratual!K197,IF($I$4="C2",posicao_contratual!O197,IF($I$4="C3",posicao_contratual!S197,IF($I$4="C4",posicao_contratual!W197,""))))))</f>
        <v/>
      </c>
      <c r="M197" s="192">
        <f>IF(OR(A197="",$I$5="",$I$6=""),"",ROUND(SUMIFS(aditivos!$L$2:$L$200,aditivos!$A$2:$A$200,A197,aditivos!$B$2:$B$200,"&gt;"&amp;$I$6,aditivos!$B$2:$B$200,"&lt;="&amp;$I$5),2))</f>
        <v/>
      </c>
      <c r="N197" s="192">
        <f>IF(OR(A197="",L197="",D197=""),"",ROUND(MAX(L197+IF(ISNUMBER(M197),M197,0)-D197,0),2))</f>
        <v/>
      </c>
      <c r="O197" s="192">
        <f>IF(OR(A197="",D197="",K197="",$I$7=""),"",ROUND(D197*K197*$I$7,2))</f>
        <v/>
      </c>
      <c r="P197" s="192">
        <f>IF(OR(A197="",N197="",K197="",$I$7=""),"",ROUND(N197*K197*$I$7,2))</f>
        <v/>
      </c>
      <c r="Q197" s="192">
        <f>IF(OR(A197="",D197="",K197=""),"",ROUND(D197*K197,2))</f>
        <v/>
      </c>
      <c r="R197" s="192">
        <f>IF(OR(A197="",L197="",K197="",$I$7=""),"",ROUND(L197*K197*$I$7,2))</f>
        <v/>
      </c>
    </row>
    <row r="198">
      <c r="A198" s="86">
        <f>IF(itens_Remanesc!A198="","",itens_Remanesc!A198)</f>
        <v/>
      </c>
      <c r="B198" s="196" t="n"/>
      <c r="C198" s="196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>
        <f>IF(A198="","",IF($I$4="","POSICAO DE REFERENCIA INDISPONIVEL",IF($I$2,"ATUAL INFORMADA",IF(ISNUMBER(B198),"ATUAL IGNORADA (POSICAO INCOMPLETA) - FOTOGRAFIA "&amp;$I$4,"FOTOGRAFIA "&amp;$I$4))))</f>
        <v/>
      </c>
      <c r="F198" s="86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>
        <f>IF(A198="","",itens_Remanesc!C198)</f>
        <v/>
      </c>
      <c r="L198" s="192">
        <f>IF(A198="","",IF($I$4="C0",posicao_contratual!G198,IF($I$4="C1",posicao_contratual!K198,IF($I$4="C2",posicao_contratual!O198,IF($I$4="C3",posicao_contratual!S198,IF($I$4="C4",posicao_contratual!W198,""))))))</f>
        <v/>
      </c>
      <c r="M198" s="192">
        <f>IF(OR(A198="",$I$5="",$I$6=""),"",ROUND(SUMIFS(aditivos!$L$2:$L$200,aditivos!$A$2:$A$200,A198,aditivos!$B$2:$B$200,"&gt;"&amp;$I$6,aditivos!$B$2:$B$200,"&lt;="&amp;$I$5),2))</f>
        <v/>
      </c>
      <c r="N198" s="192">
        <f>IF(OR(A198="",L198="",D198=""),"",ROUND(MAX(L198+IF(ISNUMBER(M198),M198,0)-D198,0),2))</f>
        <v/>
      </c>
      <c r="O198" s="192">
        <f>IF(OR(A198="",D198="",K198="",$I$7=""),"",ROUND(D198*K198*$I$7,2))</f>
        <v/>
      </c>
      <c r="P198" s="192">
        <f>IF(OR(A198="",N198="",K198="",$I$7=""),"",ROUND(N198*K198*$I$7,2))</f>
        <v/>
      </c>
      <c r="Q198" s="192">
        <f>IF(OR(A198="",D198="",K198=""),"",ROUND(D198*K198,2))</f>
        <v/>
      </c>
      <c r="R198" s="192">
        <f>IF(OR(A198="",L198="",K198="",$I$7=""),"",ROUND(L198*K198*$I$7,2))</f>
        <v/>
      </c>
    </row>
    <row r="199">
      <c r="A199" s="86">
        <f>IF(itens_Remanesc!A199="","",itens_Remanesc!A199)</f>
        <v/>
      </c>
      <c r="B199" s="196" t="n"/>
      <c r="C199" s="196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>
        <f>IF(A199="","",IF($I$4="","POSICAO DE REFERENCIA INDISPONIVEL",IF($I$2,"ATUAL INFORMADA",IF(ISNUMBER(B199),"ATUAL IGNORADA (POSICAO INCOMPLETA) - FOTOGRAFIA "&amp;$I$4,"FOTOGRAFIA "&amp;$I$4))))</f>
        <v/>
      </c>
      <c r="F199" s="86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>
        <f>IF(A199="","",itens_Remanesc!C199)</f>
        <v/>
      </c>
      <c r="L199" s="192">
        <f>IF(A199="","",IF($I$4="C0",posicao_contratual!G199,IF($I$4="C1",posicao_contratual!K199,IF($I$4="C2",posicao_contratual!O199,IF($I$4="C3",posicao_contratual!S199,IF($I$4="C4",posicao_contratual!W199,""))))))</f>
        <v/>
      </c>
      <c r="M199" s="192">
        <f>IF(OR(A199="",$I$5="",$I$6=""),"",ROUND(SUMIFS(aditivos!$L$2:$L$200,aditivos!$A$2:$A$200,A199,aditivos!$B$2:$B$200,"&gt;"&amp;$I$6,aditivos!$B$2:$B$200,"&lt;="&amp;$I$5),2))</f>
        <v/>
      </c>
      <c r="N199" s="192">
        <f>IF(OR(A199="",L199="",D199=""),"",ROUND(MAX(L199+IF(ISNUMBER(M199),M199,0)-D199,0),2))</f>
        <v/>
      </c>
      <c r="O199" s="192">
        <f>IF(OR(A199="",D199="",K199="",$I$7=""),"",ROUND(D199*K199*$I$7,2))</f>
        <v/>
      </c>
      <c r="P199" s="192">
        <f>IF(OR(A199="",N199="",K199="",$I$7=""),"",ROUND(N199*K199*$I$7,2))</f>
        <v/>
      </c>
      <c r="Q199" s="192">
        <f>IF(OR(A199="",D199="",K199=""),"",ROUND(D199*K199,2))</f>
        <v/>
      </c>
      <c r="R199" s="192">
        <f>IF(OR(A199="",L199="",K199="",$I$7=""),"",ROUND(L199*K199*$I$7,2))</f>
        <v/>
      </c>
    </row>
    <row r="200">
      <c r="A200" s="86">
        <f>IF(itens_Remanesc!A200="","",itens_Remanesc!A200)</f>
        <v/>
      </c>
      <c r="B200" s="196" t="n"/>
      <c r="C200" s="196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>
        <f>IF(A200="","",IF($I$4="","POSICAO DE REFERENCIA INDISPONIVEL",IF($I$2,"ATUAL INFORMADA",IF(ISNUMBER(B200),"ATUAL IGNORADA (POSICAO INCOMPLETA) - FOTOGRAFIA "&amp;$I$4,"FOTOGRAFIA "&amp;$I$4))))</f>
        <v/>
      </c>
      <c r="F200" s="86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>
        <f>IF(A200="","",itens_Remanesc!C200)</f>
        <v/>
      </c>
      <c r="L200" s="192">
        <f>IF(A200="","",IF($I$4="C0",posicao_contratual!G200,IF($I$4="C1",posicao_contratual!K200,IF($I$4="C2",posicao_contratual!O200,IF($I$4="C3",posicao_contratual!S200,IF($I$4="C4",posicao_contratual!W200,""))))))</f>
        <v/>
      </c>
      <c r="M200" s="192">
        <f>IF(OR(A200="",$I$5="",$I$6=""),"",ROUND(SUMIFS(aditivos!$L$2:$L$200,aditivos!$A$2:$A$200,A200,aditivos!$B$2:$B$200,"&gt;"&amp;$I$6,aditivos!$B$2:$B$200,"&lt;="&amp;$I$5),2))</f>
        <v/>
      </c>
      <c r="N200" s="192">
        <f>IF(OR(A200="",L200="",D200=""),"",ROUND(MAX(L200+IF(ISNUMBER(M200),M200,0)-D200,0),2))</f>
        <v/>
      </c>
      <c r="O200" s="192">
        <f>IF(OR(A200="",D200="",K200="",$I$7=""),"",ROUND(D200*K200*$I$7,2))</f>
        <v/>
      </c>
      <c r="P200" s="192">
        <f>IF(OR(A200="",N200="",K200="",$I$7=""),"",ROUND(N200*K200*$I$7,2))</f>
        <v/>
      </c>
      <c r="Q200" s="192">
        <f>IF(OR(A200="",D200="",K200=""),"",ROUND(D200*K200,2))</f>
        <v/>
      </c>
      <c r="R200" s="192">
        <f>IF(OR(A200="",L200="",K200="",$I$7=""),"",ROUND(L200*K200*$I$7,2))</f>
        <v/>
      </c>
    </row>
  </sheetData>
  <conditionalFormatting sqref="A2:F200">
    <cfRule type="expression" priority="1" dxfId="21">
      <formula>$U2="TOTAL"</formula>
    </cfRule>
  </conditionalFormatting>
  <dataValidations count="1">
    <dataValidation sqref="B2:B200" showDropDown="0" showInputMessage="1" showErrorMessage="1" allowBlank="1" error="QTD_REM_ATUAL deve ser &gt;= 0 (negativo nao permitido)." promptTitle="QTD_REM_ATUAL (opcional)" prompt="Quantidade remanescente ATUAL na data informada. Opcional; zero permitido. Se nao informada para todos os itens, usa-se a fotografia historica." type="decimal" operator="greaterThanOrEqual">
      <formula1>0</formula1>
    </dataValidation>
  </dataValidations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pane ySplit="1" topLeftCell="A2" activePane="bottomLeft" state="frozen"/>
      <selection pane="bottomLeft" activeCell="D1" sqref="D1:G1"/>
    </sheetView>
  </sheetViews>
  <sheetFormatPr baseColWidth="8" defaultRowHeight="14.5"/>
  <cols>
    <col width="18" customWidth="1" style="289" min="1" max="3"/>
    <col width="22" customWidth="1" style="289" min="4" max="24"/>
    <col hidden="1" style="289" min="25" max="26"/>
  </cols>
  <sheetData>
    <row r="1" ht="26" customHeight="1" s="289">
      <c r="A1" s="68" t="inlineStr">
        <is>
          <t>ITEM</t>
        </is>
      </c>
      <c r="B1" s="68" t="inlineStr">
        <is>
          <t>VU_ORIGINAL</t>
        </is>
      </c>
      <c r="C1" s="171" t="inlineStr">
        <is>
          <t>QTD_BASE_ORIGINAL</t>
        </is>
      </c>
      <c r="D1" s="173" t="inlineStr">
        <is>
          <t>DELTA_C0</t>
        </is>
      </c>
      <c r="E1" s="169" t="inlineStr">
        <is>
          <t>QTD_CONTRATADA_C0</t>
        </is>
      </c>
      <c r="F1" s="169" t="inlineStr">
        <is>
          <t>QTD_REM_BASE_C0</t>
        </is>
      </c>
      <c r="G1" s="177" t="inlineStr">
        <is>
          <t>QTD_REM_AJUSTADA_C0</t>
        </is>
      </c>
      <c r="H1" s="179" t="inlineStr">
        <is>
          <t>DELTA_C1</t>
        </is>
      </c>
      <c r="I1" s="175" t="inlineStr">
        <is>
          <t>QTD_CONTRATADA_C1</t>
        </is>
      </c>
      <c r="J1" s="175" t="inlineStr">
        <is>
          <t>QTD_REM_BASE_C1</t>
        </is>
      </c>
      <c r="K1" s="181" t="inlineStr">
        <is>
          <t>QTD_REM_AJUSTADA_C1</t>
        </is>
      </c>
      <c r="L1" s="173" t="inlineStr">
        <is>
          <t>DELTA_C2</t>
        </is>
      </c>
      <c r="M1" s="169" t="inlineStr">
        <is>
          <t>QTD_CONTRATADA_C2</t>
        </is>
      </c>
      <c r="N1" s="169" t="inlineStr">
        <is>
          <t>QTD_REM_BASE_C2</t>
        </is>
      </c>
      <c r="O1" s="177" t="inlineStr">
        <is>
          <t>QTD_REM_AJUSTADA_C2</t>
        </is>
      </c>
      <c r="P1" s="179" t="inlineStr">
        <is>
          <t>DELTA_C3</t>
        </is>
      </c>
      <c r="Q1" s="175" t="inlineStr">
        <is>
          <t>QTD_CONTRATADA_C3</t>
        </is>
      </c>
      <c r="R1" s="175" t="inlineStr">
        <is>
          <t>QTD_REM_BASE_C3</t>
        </is>
      </c>
      <c r="S1" s="181" t="inlineStr">
        <is>
          <t>QTD_REM_AJUSTADA_C3</t>
        </is>
      </c>
      <c r="T1" s="173" t="inlineStr">
        <is>
          <t>DELTA_C4</t>
        </is>
      </c>
      <c r="U1" s="169" t="inlineStr">
        <is>
          <t>QTD_CONTRATADA_C4</t>
        </is>
      </c>
      <c r="V1" s="169" t="inlineStr">
        <is>
          <t>QTD_REM_BASE_C4</t>
        </is>
      </c>
      <c r="W1" s="169" t="inlineStr">
        <is>
          <t>QTD_REM_AJUSTADA_C4</t>
        </is>
      </c>
      <c r="X1" s="68" t="inlineStr">
        <is>
          <t>CHECK_POSICAO_CONTRATUAL</t>
        </is>
      </c>
      <c r="Y1" t="inlineStr">
        <is>
          <t>CICLO_NASCIMENTO</t>
        </is>
      </c>
      <c r="Z1" t="inlineStr">
        <is>
          <t>EH_NOVO_ITEM</t>
        </is>
      </c>
    </row>
    <row r="2">
      <c r="A2" s="156">
        <f>IF(itens_Remanesc!A2="","",itens_Remanesc!A2)</f>
        <v/>
      </c>
      <c r="B2" s="218">
        <f>IF(A2="","",itens_Remanesc!C2)</f>
        <v/>
      </c>
      <c r="C2" s="172">
        <f>IF(A2="","",IF(itens_Remanesc!B2="",0,itens_Remanesc!B2))</f>
        <v/>
      </c>
      <c r="D2" s="174">
        <f>IF(A2="","",ROUND(SUMIFS(aditivos!$L$2:$L$200,aditivos!$A$2:$A$200,A2,aditivos!$C$2:$C$200,"C0"),2))</f>
        <v/>
      </c>
      <c r="E2" s="170">
        <f>IF(A2="","",ROUND(C2+D2,2))</f>
        <v/>
      </c>
      <c r="F2" s="170">
        <f>IF(A2="","",IF(itens_Remanesc!B2&lt;&gt;"",itens_Remanesc!B2,IF($Z2,0,"")))</f>
        <v/>
      </c>
      <c r="G2" s="178">
        <f>IF(A2="","",IF($Y2="","",IF($Y2&gt;0,"",ROUND(E2,2))))</f>
        <v/>
      </c>
      <c r="H2" s="180">
        <f>IF(A2="","",ROUND(SUMIFS(aditivos!$L$2:$L$200,aditivos!$A$2:$A$200,A2,aditivos!$C$2:$C$200,"C1"),2))</f>
        <v/>
      </c>
      <c r="I2" s="176">
        <f>IF(A2="","",ROUND(E2+H2,2))</f>
        <v/>
      </c>
      <c r="J2" s="176">
        <f>IF(A2="","",IF(itens_Remanesc!E2="","",itens_Remanesc!E2))</f>
        <v/>
      </c>
      <c r="K2" s="182">
        <f>IF(A2="","",IF($Y2="","",IF($Y2&gt;1,"",IF(ISNUMBER(J2),ROUND(J2+H2,2),IF($Y2=1,ROUND(H2,2),"")))))</f>
        <v/>
      </c>
      <c r="L2" s="174">
        <f>IF(A2="","",ROUND(SUMIFS(aditivos!$L$2:$L$200,aditivos!$A$2:$A$200,A2,aditivos!$C$2:$C$200,"C2"),2))</f>
        <v/>
      </c>
      <c r="M2" s="170">
        <f>IF(A2="","",ROUND(I2+L2,2))</f>
        <v/>
      </c>
      <c r="N2" s="170">
        <f>IF(A2="","",IF(itens_Remanesc!G2="","",itens_Remanesc!G2))</f>
        <v/>
      </c>
      <c r="O2" s="178">
        <f>IF(A2="","",IF($Y2="","",IF($Y2&gt;2,"",IF(ISNUMBER(N2),ROUND(N2+L2,2),IF($Y2=2,ROUND(L2,2),"")))))</f>
        <v/>
      </c>
      <c r="P2" s="180">
        <f>IF(A2="","",ROUND(SUMIFS(aditivos!$L$2:$L$200,aditivos!$A$2:$A$200,A2,aditivos!$C$2:$C$200,"C3"),2))</f>
        <v/>
      </c>
      <c r="Q2" s="176">
        <f>IF(A2="","",ROUND(M2+P2,2))</f>
        <v/>
      </c>
      <c r="R2" s="176">
        <f>IF(A2="","",IF(itens_Remanesc!I2="","",itens_Remanesc!I2))</f>
        <v/>
      </c>
      <c r="S2" s="182">
        <f>IF(A2="","",IF($Y2="","",IF($Y2&gt;3,"",IF(ISNUMBER(R2),ROUND(R2+P2,2),IF($Y2=3,ROUND(P2,2),"")))))</f>
        <v/>
      </c>
      <c r="T2" s="174">
        <f>IF(A2="","",ROUND(SUMIFS(aditivos!$L$2:$L$200,aditivos!$A$2:$A$200,A2,aditivos!$C$2:$C$200,"C4"),2))</f>
        <v/>
      </c>
      <c r="U2" s="170">
        <f>IF(A2="","",ROUND(Q2+T2,2))</f>
        <v/>
      </c>
      <c r="V2" s="170">
        <f>IF(A2="","",IF(itens_Remanesc!K2="","",itens_Remanesc!K2))</f>
        <v/>
      </c>
      <c r="W2" s="170">
        <f>IF(A2="","",IF($Y2="","",IF($Y2&gt;4,"",IF(ISNUMBER(V2),ROUND(V2+T2,2),IF($Y2=4,ROUND(T2,2),"")))))</f>
        <v/>
      </c>
      <c r="X2" s="156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>
        <f>IF($A2="","",IF($E2&gt;0,0,IF($I2&gt;0,1,IF($M2&gt;0,2,IF($Q2&gt;0,3,IF($U2&gt;0,4,""))))))</f>
        <v/>
      </c>
      <c r="Z2">
        <f>IF($A2="",FALSE,AND(LEN(TRIM($A2))=4,LEFT(TRIM($A2),1)="N",ISNUMBER(--MID(TRIM($A2),2,3)),ISERROR(FIND(".",$A2)),ISERROR(FIND(",",$A2)),ISERROR(FIND("-",$A2)),ISERROR(FIND("+",$A2)),ISERROR(SEARCH("E",$A2,2)),ISERROR(FIND(" ",TRIM($A2)))))</f>
        <v/>
      </c>
    </row>
    <row r="3">
      <c r="A3" s="156">
        <f>IF(itens_Remanesc!A3="","",itens_Remanesc!A3)</f>
        <v/>
      </c>
      <c r="B3" s="218">
        <f>IF(A3="","",itens_Remanesc!C3)</f>
        <v/>
      </c>
      <c r="C3" s="172">
        <f>IF(A3="","",IF(itens_Remanesc!B3="",0,itens_Remanesc!B3))</f>
        <v/>
      </c>
      <c r="D3" s="174">
        <f>IF(A3="","",ROUND(SUMIFS(aditivos!$L$2:$L$200,aditivos!$A$2:$A$200,A3,aditivos!$C$2:$C$200,"C0"),2))</f>
        <v/>
      </c>
      <c r="E3" s="170">
        <f>IF(A3="","",ROUND(C3+D3,2))</f>
        <v/>
      </c>
      <c r="F3" s="170">
        <f>IF(A3="","",IF(itens_Remanesc!B3&lt;&gt;"",itens_Remanesc!B3,IF($Z3,0,"")))</f>
        <v/>
      </c>
      <c r="G3" s="178">
        <f>IF(A3="","",IF($Y3="","",IF($Y3&gt;0,"",ROUND(E3,2))))</f>
        <v/>
      </c>
      <c r="H3" s="180">
        <f>IF(A3="","",ROUND(SUMIFS(aditivos!$L$2:$L$200,aditivos!$A$2:$A$200,A3,aditivos!$C$2:$C$200,"C1"),2))</f>
        <v/>
      </c>
      <c r="I3" s="176">
        <f>IF(A3="","",ROUND(E3+H3,2))</f>
        <v/>
      </c>
      <c r="J3" s="176">
        <f>IF(A3="","",IF(itens_Remanesc!E3="","",itens_Remanesc!E3))</f>
        <v/>
      </c>
      <c r="K3" s="182">
        <f>IF(A3="","",IF($Y3="","",IF($Y3&gt;1,"",IF(ISNUMBER(J3),ROUND(J3+H3,2),IF($Y3=1,ROUND(H3,2),"")))))</f>
        <v/>
      </c>
      <c r="L3" s="174">
        <f>IF(A3="","",ROUND(SUMIFS(aditivos!$L$2:$L$200,aditivos!$A$2:$A$200,A3,aditivos!$C$2:$C$200,"C2"),2))</f>
        <v/>
      </c>
      <c r="M3" s="170">
        <f>IF(A3="","",ROUND(I3+L3,2))</f>
        <v/>
      </c>
      <c r="N3" s="170">
        <f>IF(A3="","",IF(itens_Remanesc!G3="","",itens_Remanesc!G3))</f>
        <v/>
      </c>
      <c r="O3" s="178">
        <f>IF(A3="","",IF($Y3="","",IF($Y3&gt;2,"",IF(ISNUMBER(N3),ROUND(N3+L3,2),IF($Y3=2,ROUND(L3,2),"")))))</f>
        <v/>
      </c>
      <c r="P3" s="180">
        <f>IF(A3="","",ROUND(SUMIFS(aditivos!$L$2:$L$200,aditivos!$A$2:$A$200,A3,aditivos!$C$2:$C$200,"C3"),2))</f>
        <v/>
      </c>
      <c r="Q3" s="176">
        <f>IF(A3="","",ROUND(M3+P3,2))</f>
        <v/>
      </c>
      <c r="R3" s="176">
        <f>IF(A3="","",IF(itens_Remanesc!I3="","",itens_Remanesc!I3))</f>
        <v/>
      </c>
      <c r="S3" s="182">
        <f>IF(A3="","",IF($Y3="","",IF($Y3&gt;3,"",IF(ISNUMBER(R3),ROUND(R3+P3,2),IF($Y3=3,ROUND(P3,2),"")))))</f>
        <v/>
      </c>
      <c r="T3" s="174">
        <f>IF(A3="","",ROUND(SUMIFS(aditivos!$L$2:$L$200,aditivos!$A$2:$A$200,A3,aditivos!$C$2:$C$200,"C4"),2))</f>
        <v/>
      </c>
      <c r="U3" s="170">
        <f>IF(A3="","",ROUND(Q3+T3,2))</f>
        <v/>
      </c>
      <c r="V3" s="170">
        <f>IF(A3="","",IF(itens_Remanesc!K3="","",itens_Remanesc!K3))</f>
        <v/>
      </c>
      <c r="W3" s="170">
        <f>IF(A3="","",IF($Y3="","",IF($Y3&gt;4,"",IF(ISNUMBER(V3),ROUND(V3+T3,2),IF($Y3=4,ROUND(T3,2),"")))))</f>
        <v/>
      </c>
      <c r="X3" s="156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>
        <f>IF($A3="","",IF($E3&gt;0,0,IF($I3&gt;0,1,IF($M3&gt;0,2,IF($Q3&gt;0,3,IF($U3&gt;0,4,""))))))</f>
        <v/>
      </c>
      <c r="Z3">
        <f>IF($A3="",FALSE,AND(LEN(TRIM($A3))=4,LEFT(TRIM($A3),1)="N",ISNUMBER(--MID(TRIM($A3),2,3)),ISERROR(FIND(".",$A3)),ISERROR(FIND(",",$A3)),ISERROR(FIND("-",$A3)),ISERROR(FIND("+",$A3)),ISERROR(SEARCH("E",$A3,2)),ISERROR(FIND(" ",TRIM($A3)))))</f>
        <v/>
      </c>
    </row>
    <row r="4">
      <c r="A4" s="156">
        <f>IF(itens_Remanesc!A4="","",itens_Remanesc!A4)</f>
        <v/>
      </c>
      <c r="B4" s="218">
        <f>IF(A4="","",itens_Remanesc!C4)</f>
        <v/>
      </c>
      <c r="C4" s="172">
        <f>IF(A4="","",IF(itens_Remanesc!B4="",0,itens_Remanesc!B4))</f>
        <v/>
      </c>
      <c r="D4" s="174">
        <f>IF(A4="","",ROUND(SUMIFS(aditivos!$L$2:$L$200,aditivos!$A$2:$A$200,A4,aditivos!$C$2:$C$200,"C0"),2))</f>
        <v/>
      </c>
      <c r="E4" s="170">
        <f>IF(A4="","",ROUND(C4+D4,2))</f>
        <v/>
      </c>
      <c r="F4" s="170">
        <f>IF(A4="","",IF(itens_Remanesc!B4&lt;&gt;"",itens_Remanesc!B4,IF($Z4,0,"")))</f>
        <v/>
      </c>
      <c r="G4" s="178">
        <f>IF(A4="","",IF($Y4="","",IF($Y4&gt;0,"",ROUND(E4,2))))</f>
        <v/>
      </c>
      <c r="H4" s="180">
        <f>IF(A4="","",ROUND(SUMIFS(aditivos!$L$2:$L$200,aditivos!$A$2:$A$200,A4,aditivos!$C$2:$C$200,"C1"),2))</f>
        <v/>
      </c>
      <c r="I4" s="176">
        <f>IF(A4="","",ROUND(E4+H4,2))</f>
        <v/>
      </c>
      <c r="J4" s="176">
        <f>IF(A4="","",IF(itens_Remanesc!E4="","",itens_Remanesc!E4))</f>
        <v/>
      </c>
      <c r="K4" s="182">
        <f>IF(A4="","",IF($Y4="","",IF($Y4&gt;1,"",IF(ISNUMBER(J4),ROUND(J4+H4,2),IF($Y4=1,ROUND(H4,2),"")))))</f>
        <v/>
      </c>
      <c r="L4" s="174">
        <f>IF(A4="","",ROUND(SUMIFS(aditivos!$L$2:$L$200,aditivos!$A$2:$A$200,A4,aditivos!$C$2:$C$200,"C2"),2))</f>
        <v/>
      </c>
      <c r="M4" s="170">
        <f>IF(A4="","",ROUND(I4+L4,2))</f>
        <v/>
      </c>
      <c r="N4" s="170">
        <f>IF(A4="","",IF(itens_Remanesc!G4="","",itens_Remanesc!G4))</f>
        <v/>
      </c>
      <c r="O4" s="178">
        <f>IF(A4="","",IF($Y4="","",IF($Y4&gt;2,"",IF(ISNUMBER(N4),ROUND(N4+L4,2),IF($Y4=2,ROUND(L4,2),"")))))</f>
        <v/>
      </c>
      <c r="P4" s="180">
        <f>IF(A4="","",ROUND(SUMIFS(aditivos!$L$2:$L$200,aditivos!$A$2:$A$200,A4,aditivos!$C$2:$C$200,"C3"),2))</f>
        <v/>
      </c>
      <c r="Q4" s="176">
        <f>IF(A4="","",ROUND(M4+P4,2))</f>
        <v/>
      </c>
      <c r="R4" s="176">
        <f>IF(A4="","",IF(itens_Remanesc!I4="","",itens_Remanesc!I4))</f>
        <v/>
      </c>
      <c r="S4" s="182">
        <f>IF(A4="","",IF($Y4="","",IF($Y4&gt;3,"",IF(ISNUMBER(R4),ROUND(R4+P4,2),IF($Y4=3,ROUND(P4,2),"")))))</f>
        <v/>
      </c>
      <c r="T4" s="174">
        <f>IF(A4="","",ROUND(SUMIFS(aditivos!$L$2:$L$200,aditivos!$A$2:$A$200,A4,aditivos!$C$2:$C$200,"C4"),2))</f>
        <v/>
      </c>
      <c r="U4" s="170">
        <f>IF(A4="","",ROUND(Q4+T4,2))</f>
        <v/>
      </c>
      <c r="V4" s="170">
        <f>IF(A4="","",IF(itens_Remanesc!K4="","",itens_Remanesc!K4))</f>
        <v/>
      </c>
      <c r="W4" s="170">
        <f>IF(A4="","",IF($Y4="","",IF($Y4&gt;4,"",IF(ISNUMBER(V4),ROUND(V4+T4,2),IF($Y4=4,ROUND(T4,2),"")))))</f>
        <v/>
      </c>
      <c r="X4" s="156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>
        <f>IF($A4="","",IF($E4&gt;0,0,IF($I4&gt;0,1,IF($M4&gt;0,2,IF($Q4&gt;0,3,IF($U4&gt;0,4,""))))))</f>
        <v/>
      </c>
      <c r="Z4">
        <f>IF($A4="",FALSE,AND(LEN(TRIM($A4))=4,LEFT(TRIM($A4),1)="N",ISNUMBER(--MID(TRIM($A4),2,3)),ISERROR(FIND(".",$A4)),ISERROR(FIND(",",$A4)),ISERROR(FIND("-",$A4)),ISERROR(FIND("+",$A4)),ISERROR(SEARCH("E",$A4,2)),ISERROR(FIND(" ",TRIM($A4)))))</f>
        <v/>
      </c>
    </row>
    <row r="5">
      <c r="A5" s="156">
        <f>IF(itens_Remanesc!A5="","",itens_Remanesc!A5)</f>
        <v/>
      </c>
      <c r="B5" s="218">
        <f>IF(A5="","",itens_Remanesc!C5)</f>
        <v/>
      </c>
      <c r="C5" s="172">
        <f>IF(A5="","",IF(itens_Remanesc!B5="",0,itens_Remanesc!B5))</f>
        <v/>
      </c>
      <c r="D5" s="174">
        <f>IF(A5="","",ROUND(SUMIFS(aditivos!$L$2:$L$200,aditivos!$A$2:$A$200,A5,aditivos!$C$2:$C$200,"C0"),2))</f>
        <v/>
      </c>
      <c r="E5" s="170">
        <f>IF(A5="","",ROUND(C5+D5,2))</f>
        <v/>
      </c>
      <c r="F5" s="170">
        <f>IF(A5="","",IF(itens_Remanesc!B5&lt;&gt;"",itens_Remanesc!B5,IF($Z5,0,"")))</f>
        <v/>
      </c>
      <c r="G5" s="178">
        <f>IF(A5="","",IF($Y5="","",IF($Y5&gt;0,"",ROUND(E5,2))))</f>
        <v/>
      </c>
      <c r="H5" s="180">
        <f>IF(A5="","",ROUND(SUMIFS(aditivos!$L$2:$L$200,aditivos!$A$2:$A$200,A5,aditivos!$C$2:$C$200,"C1"),2))</f>
        <v/>
      </c>
      <c r="I5" s="176">
        <f>IF(A5="","",ROUND(E5+H5,2))</f>
        <v/>
      </c>
      <c r="J5" s="176">
        <f>IF(A5="","",IF(itens_Remanesc!E5="","",itens_Remanesc!E5))</f>
        <v/>
      </c>
      <c r="K5" s="182">
        <f>IF(A5="","",IF($Y5="","",IF($Y5&gt;1,"",IF(ISNUMBER(J5),ROUND(J5+H5,2),IF($Y5=1,ROUND(H5,2),"")))))</f>
        <v/>
      </c>
      <c r="L5" s="174">
        <f>IF(A5="","",ROUND(SUMIFS(aditivos!$L$2:$L$200,aditivos!$A$2:$A$200,A5,aditivos!$C$2:$C$200,"C2"),2))</f>
        <v/>
      </c>
      <c r="M5" s="170">
        <f>IF(A5="","",ROUND(I5+L5,2))</f>
        <v/>
      </c>
      <c r="N5" s="170">
        <f>IF(A5="","",IF(itens_Remanesc!G5="","",itens_Remanesc!G5))</f>
        <v/>
      </c>
      <c r="O5" s="178">
        <f>IF(A5="","",IF($Y5="","",IF($Y5&gt;2,"",IF(ISNUMBER(N5),ROUND(N5+L5,2),IF($Y5=2,ROUND(L5,2),"")))))</f>
        <v/>
      </c>
      <c r="P5" s="180">
        <f>IF(A5="","",ROUND(SUMIFS(aditivos!$L$2:$L$200,aditivos!$A$2:$A$200,A5,aditivos!$C$2:$C$200,"C3"),2))</f>
        <v/>
      </c>
      <c r="Q5" s="176">
        <f>IF(A5="","",ROUND(M5+P5,2))</f>
        <v/>
      </c>
      <c r="R5" s="176">
        <f>IF(A5="","",IF(itens_Remanesc!I5="","",itens_Remanesc!I5))</f>
        <v/>
      </c>
      <c r="S5" s="182">
        <f>IF(A5="","",IF($Y5="","",IF($Y5&gt;3,"",IF(ISNUMBER(R5),ROUND(R5+P5,2),IF($Y5=3,ROUND(P5,2),"")))))</f>
        <v/>
      </c>
      <c r="T5" s="174">
        <f>IF(A5="","",ROUND(SUMIFS(aditivos!$L$2:$L$200,aditivos!$A$2:$A$200,A5,aditivos!$C$2:$C$200,"C4"),2))</f>
        <v/>
      </c>
      <c r="U5" s="170">
        <f>IF(A5="","",ROUND(Q5+T5,2))</f>
        <v/>
      </c>
      <c r="V5" s="170">
        <f>IF(A5="","",IF(itens_Remanesc!K5="","",itens_Remanesc!K5))</f>
        <v/>
      </c>
      <c r="W5" s="170">
        <f>IF(A5="","",IF($Y5="","",IF($Y5&gt;4,"",IF(ISNUMBER(V5),ROUND(V5+T5,2),IF($Y5=4,ROUND(T5,2),"")))))</f>
        <v/>
      </c>
      <c r="X5" s="156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>
        <f>IF($A5="","",IF($E5&gt;0,0,IF($I5&gt;0,1,IF($M5&gt;0,2,IF($Q5&gt;0,3,IF($U5&gt;0,4,""))))))</f>
        <v/>
      </c>
      <c r="Z5">
        <f>IF($A5="",FALSE,AND(LEN(TRIM($A5))=4,LEFT(TRIM($A5),1)="N",ISNUMBER(--MID(TRIM($A5),2,3)),ISERROR(FIND(".",$A5)),ISERROR(FIND(",",$A5)),ISERROR(FIND("-",$A5)),ISERROR(FIND("+",$A5)),ISERROR(SEARCH("E",$A5,2)),ISERROR(FIND(" ",TRIM($A5)))))</f>
        <v/>
      </c>
    </row>
    <row r="6">
      <c r="A6" s="156">
        <f>IF(itens_Remanesc!A6="","",itens_Remanesc!A6)</f>
        <v/>
      </c>
      <c r="B6" s="218">
        <f>IF(A6="","",itens_Remanesc!C6)</f>
        <v/>
      </c>
      <c r="C6" s="172">
        <f>IF(A6="","",IF(itens_Remanesc!B6="",0,itens_Remanesc!B6))</f>
        <v/>
      </c>
      <c r="D6" s="174">
        <f>IF(A6="","",ROUND(SUMIFS(aditivos!$L$2:$L$200,aditivos!$A$2:$A$200,A6,aditivos!$C$2:$C$200,"C0"),2))</f>
        <v/>
      </c>
      <c r="E6" s="170">
        <f>IF(A6="","",ROUND(C6+D6,2))</f>
        <v/>
      </c>
      <c r="F6" s="170">
        <f>IF(A6="","",IF(itens_Remanesc!B6&lt;&gt;"",itens_Remanesc!B6,IF($Z6,0,"")))</f>
        <v/>
      </c>
      <c r="G6" s="178">
        <f>IF(A6="","",IF($Y6="","",IF($Y6&gt;0,"",ROUND(E6,2))))</f>
        <v/>
      </c>
      <c r="H6" s="180">
        <f>IF(A6="","",ROUND(SUMIFS(aditivos!$L$2:$L$200,aditivos!$A$2:$A$200,A6,aditivos!$C$2:$C$200,"C1"),2))</f>
        <v/>
      </c>
      <c r="I6" s="176">
        <f>IF(A6="","",ROUND(E6+H6,2))</f>
        <v/>
      </c>
      <c r="J6" s="176">
        <f>IF(A6="","",IF(itens_Remanesc!E6="","",itens_Remanesc!E6))</f>
        <v/>
      </c>
      <c r="K6" s="182">
        <f>IF(A6="","",IF($Y6="","",IF($Y6&gt;1,"",IF(ISNUMBER(J6),ROUND(J6+H6,2),IF($Y6=1,ROUND(H6,2),"")))))</f>
        <v/>
      </c>
      <c r="L6" s="174">
        <f>IF(A6="","",ROUND(SUMIFS(aditivos!$L$2:$L$200,aditivos!$A$2:$A$200,A6,aditivos!$C$2:$C$200,"C2"),2))</f>
        <v/>
      </c>
      <c r="M6" s="170">
        <f>IF(A6="","",ROUND(I6+L6,2))</f>
        <v/>
      </c>
      <c r="N6" s="170">
        <f>IF(A6="","",IF(itens_Remanesc!G6="","",itens_Remanesc!G6))</f>
        <v/>
      </c>
      <c r="O6" s="178">
        <f>IF(A6="","",IF($Y6="","",IF($Y6&gt;2,"",IF(ISNUMBER(N6),ROUND(N6+L6,2),IF($Y6=2,ROUND(L6,2),"")))))</f>
        <v/>
      </c>
      <c r="P6" s="180">
        <f>IF(A6="","",ROUND(SUMIFS(aditivos!$L$2:$L$200,aditivos!$A$2:$A$200,A6,aditivos!$C$2:$C$200,"C3"),2))</f>
        <v/>
      </c>
      <c r="Q6" s="176">
        <f>IF(A6="","",ROUND(M6+P6,2))</f>
        <v/>
      </c>
      <c r="R6" s="176">
        <f>IF(A6="","",IF(itens_Remanesc!I6="","",itens_Remanesc!I6))</f>
        <v/>
      </c>
      <c r="S6" s="182">
        <f>IF(A6="","",IF($Y6="","",IF($Y6&gt;3,"",IF(ISNUMBER(R6),ROUND(R6+P6,2),IF($Y6=3,ROUND(P6,2),"")))))</f>
        <v/>
      </c>
      <c r="T6" s="174">
        <f>IF(A6="","",ROUND(SUMIFS(aditivos!$L$2:$L$200,aditivos!$A$2:$A$200,A6,aditivos!$C$2:$C$200,"C4"),2))</f>
        <v/>
      </c>
      <c r="U6" s="170">
        <f>IF(A6="","",ROUND(Q6+T6,2))</f>
        <v/>
      </c>
      <c r="V6" s="170">
        <f>IF(A6="","",IF(itens_Remanesc!K6="","",itens_Remanesc!K6))</f>
        <v/>
      </c>
      <c r="W6" s="170">
        <f>IF(A6="","",IF($Y6="","",IF($Y6&gt;4,"",IF(ISNUMBER(V6),ROUND(V6+T6,2),IF($Y6=4,ROUND(T6,2),"")))))</f>
        <v/>
      </c>
      <c r="X6" s="156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>
        <f>IF($A6="","",IF($E6&gt;0,0,IF($I6&gt;0,1,IF($M6&gt;0,2,IF($Q6&gt;0,3,IF($U6&gt;0,4,""))))))</f>
        <v/>
      </c>
      <c r="Z6">
        <f>IF($A6="",FALSE,AND(LEN(TRIM($A6))=4,LEFT(TRIM($A6),1)="N",ISNUMBER(--MID(TRIM($A6),2,3)),ISERROR(FIND(".",$A6)),ISERROR(FIND(",",$A6)),ISERROR(FIND("-",$A6)),ISERROR(FIND("+",$A6)),ISERROR(SEARCH("E",$A6,2)),ISERROR(FIND(" ",TRIM($A6)))))</f>
        <v/>
      </c>
    </row>
    <row r="7">
      <c r="A7" s="156">
        <f>IF(itens_Remanesc!A7="","",itens_Remanesc!A7)</f>
        <v/>
      </c>
      <c r="B7" s="218">
        <f>IF(A7="","",itens_Remanesc!C7)</f>
        <v/>
      </c>
      <c r="C7" s="172">
        <f>IF(A7="","",IF(itens_Remanesc!B7="",0,itens_Remanesc!B7))</f>
        <v/>
      </c>
      <c r="D7" s="174">
        <f>IF(A7="","",ROUND(SUMIFS(aditivos!$L$2:$L$200,aditivos!$A$2:$A$200,A7,aditivos!$C$2:$C$200,"C0"),2))</f>
        <v/>
      </c>
      <c r="E7" s="170">
        <f>IF(A7="","",ROUND(C7+D7,2))</f>
        <v/>
      </c>
      <c r="F7" s="170">
        <f>IF(A7="","",IF(itens_Remanesc!B7&lt;&gt;"",itens_Remanesc!B7,IF($Z7,0,"")))</f>
        <v/>
      </c>
      <c r="G7" s="178">
        <f>IF(A7="","",IF($Y7="","",IF($Y7&gt;0,"",ROUND(E7,2))))</f>
        <v/>
      </c>
      <c r="H7" s="180">
        <f>IF(A7="","",ROUND(SUMIFS(aditivos!$L$2:$L$200,aditivos!$A$2:$A$200,A7,aditivos!$C$2:$C$200,"C1"),2))</f>
        <v/>
      </c>
      <c r="I7" s="176">
        <f>IF(A7="","",ROUND(E7+H7,2))</f>
        <v/>
      </c>
      <c r="J7" s="176">
        <f>IF(A7="","",IF(itens_Remanesc!E7="","",itens_Remanesc!E7))</f>
        <v/>
      </c>
      <c r="K7" s="182">
        <f>IF(A7="","",IF($Y7="","",IF($Y7&gt;1,"",IF(ISNUMBER(J7),ROUND(J7+H7,2),IF($Y7=1,ROUND(H7,2),"")))))</f>
        <v/>
      </c>
      <c r="L7" s="174">
        <f>IF(A7="","",ROUND(SUMIFS(aditivos!$L$2:$L$200,aditivos!$A$2:$A$200,A7,aditivos!$C$2:$C$200,"C2"),2))</f>
        <v/>
      </c>
      <c r="M7" s="170">
        <f>IF(A7="","",ROUND(I7+L7,2))</f>
        <v/>
      </c>
      <c r="N7" s="170">
        <f>IF(A7="","",IF(itens_Remanesc!G7="","",itens_Remanesc!G7))</f>
        <v/>
      </c>
      <c r="O7" s="178">
        <f>IF(A7="","",IF($Y7="","",IF($Y7&gt;2,"",IF(ISNUMBER(N7),ROUND(N7+L7,2),IF($Y7=2,ROUND(L7,2),"")))))</f>
        <v/>
      </c>
      <c r="P7" s="180">
        <f>IF(A7="","",ROUND(SUMIFS(aditivos!$L$2:$L$200,aditivos!$A$2:$A$200,A7,aditivos!$C$2:$C$200,"C3"),2))</f>
        <v/>
      </c>
      <c r="Q7" s="176">
        <f>IF(A7="","",ROUND(M7+P7,2))</f>
        <v/>
      </c>
      <c r="R7" s="176">
        <f>IF(A7="","",IF(itens_Remanesc!I7="","",itens_Remanesc!I7))</f>
        <v/>
      </c>
      <c r="S7" s="182">
        <f>IF(A7="","",IF($Y7="","",IF($Y7&gt;3,"",IF(ISNUMBER(R7),ROUND(R7+P7,2),IF($Y7=3,ROUND(P7,2),"")))))</f>
        <v/>
      </c>
      <c r="T7" s="174">
        <f>IF(A7="","",ROUND(SUMIFS(aditivos!$L$2:$L$200,aditivos!$A$2:$A$200,A7,aditivos!$C$2:$C$200,"C4"),2))</f>
        <v/>
      </c>
      <c r="U7" s="170">
        <f>IF(A7="","",ROUND(Q7+T7,2))</f>
        <v/>
      </c>
      <c r="V7" s="170">
        <f>IF(A7="","",IF(itens_Remanesc!K7="","",itens_Remanesc!K7))</f>
        <v/>
      </c>
      <c r="W7" s="170">
        <f>IF(A7="","",IF($Y7="","",IF($Y7&gt;4,"",IF(ISNUMBER(V7),ROUND(V7+T7,2),IF($Y7=4,ROUND(T7,2),"")))))</f>
        <v/>
      </c>
      <c r="X7" s="156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>
        <f>IF($A7="","",IF($E7&gt;0,0,IF($I7&gt;0,1,IF($M7&gt;0,2,IF($Q7&gt;0,3,IF($U7&gt;0,4,""))))))</f>
        <v/>
      </c>
      <c r="Z7">
        <f>IF($A7="",FALSE,AND(LEN(TRIM($A7))=4,LEFT(TRIM($A7),1)="N",ISNUMBER(--MID(TRIM($A7),2,3)),ISERROR(FIND(".",$A7)),ISERROR(FIND(",",$A7)),ISERROR(FIND("-",$A7)),ISERROR(FIND("+",$A7)),ISERROR(SEARCH("E",$A7,2)),ISERROR(FIND(" ",TRIM($A7)))))</f>
        <v/>
      </c>
    </row>
    <row r="8">
      <c r="A8" s="156">
        <f>IF(itens_Remanesc!A8="","",itens_Remanesc!A8)</f>
        <v/>
      </c>
      <c r="B8" s="218">
        <f>IF(A8="","",itens_Remanesc!C8)</f>
        <v/>
      </c>
      <c r="C8" s="172">
        <f>IF(A8="","",IF(itens_Remanesc!B8="",0,itens_Remanesc!B8))</f>
        <v/>
      </c>
      <c r="D8" s="174">
        <f>IF(A8="","",ROUND(SUMIFS(aditivos!$L$2:$L$200,aditivos!$A$2:$A$200,A8,aditivos!$C$2:$C$200,"C0"),2))</f>
        <v/>
      </c>
      <c r="E8" s="170">
        <f>IF(A8="","",ROUND(C8+D8,2))</f>
        <v/>
      </c>
      <c r="F8" s="170">
        <f>IF(A8="","",IF(itens_Remanesc!B8&lt;&gt;"",itens_Remanesc!B8,IF($Z8,0,"")))</f>
        <v/>
      </c>
      <c r="G8" s="178">
        <f>IF(A8="","",IF($Y8="","",IF($Y8&gt;0,"",ROUND(E8,2))))</f>
        <v/>
      </c>
      <c r="H8" s="180">
        <f>IF(A8="","",ROUND(SUMIFS(aditivos!$L$2:$L$200,aditivos!$A$2:$A$200,A8,aditivos!$C$2:$C$200,"C1"),2))</f>
        <v/>
      </c>
      <c r="I8" s="176">
        <f>IF(A8="","",ROUND(E8+H8,2))</f>
        <v/>
      </c>
      <c r="J8" s="176">
        <f>IF(A8="","",IF(itens_Remanesc!E8="","",itens_Remanesc!E8))</f>
        <v/>
      </c>
      <c r="K8" s="182">
        <f>IF(A8="","",IF($Y8="","",IF($Y8&gt;1,"",IF(ISNUMBER(J8),ROUND(J8+H8,2),IF($Y8=1,ROUND(H8,2),"")))))</f>
        <v/>
      </c>
      <c r="L8" s="174">
        <f>IF(A8="","",ROUND(SUMIFS(aditivos!$L$2:$L$200,aditivos!$A$2:$A$200,A8,aditivos!$C$2:$C$200,"C2"),2))</f>
        <v/>
      </c>
      <c r="M8" s="170">
        <f>IF(A8="","",ROUND(I8+L8,2))</f>
        <v/>
      </c>
      <c r="N8" s="170">
        <f>IF(A8="","",IF(itens_Remanesc!G8="","",itens_Remanesc!G8))</f>
        <v/>
      </c>
      <c r="O8" s="178">
        <f>IF(A8="","",IF($Y8="","",IF($Y8&gt;2,"",IF(ISNUMBER(N8),ROUND(N8+L8,2),IF($Y8=2,ROUND(L8,2),"")))))</f>
        <v/>
      </c>
      <c r="P8" s="180">
        <f>IF(A8="","",ROUND(SUMIFS(aditivos!$L$2:$L$200,aditivos!$A$2:$A$200,A8,aditivos!$C$2:$C$200,"C3"),2))</f>
        <v/>
      </c>
      <c r="Q8" s="176">
        <f>IF(A8="","",ROUND(M8+P8,2))</f>
        <v/>
      </c>
      <c r="R8" s="176">
        <f>IF(A8="","",IF(itens_Remanesc!I8="","",itens_Remanesc!I8))</f>
        <v/>
      </c>
      <c r="S8" s="182">
        <f>IF(A8="","",IF($Y8="","",IF($Y8&gt;3,"",IF(ISNUMBER(R8),ROUND(R8+P8,2),IF($Y8=3,ROUND(P8,2),"")))))</f>
        <v/>
      </c>
      <c r="T8" s="174">
        <f>IF(A8="","",ROUND(SUMIFS(aditivos!$L$2:$L$200,aditivos!$A$2:$A$200,A8,aditivos!$C$2:$C$200,"C4"),2))</f>
        <v/>
      </c>
      <c r="U8" s="170">
        <f>IF(A8="","",ROUND(Q8+T8,2))</f>
        <v/>
      </c>
      <c r="V8" s="170">
        <f>IF(A8="","",IF(itens_Remanesc!K8="","",itens_Remanesc!K8))</f>
        <v/>
      </c>
      <c r="W8" s="170">
        <f>IF(A8="","",IF($Y8="","",IF($Y8&gt;4,"",IF(ISNUMBER(V8),ROUND(V8+T8,2),IF($Y8=4,ROUND(T8,2),"")))))</f>
        <v/>
      </c>
      <c r="X8" s="156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>
        <f>IF($A8="","",IF($E8&gt;0,0,IF($I8&gt;0,1,IF($M8&gt;0,2,IF($Q8&gt;0,3,IF($U8&gt;0,4,""))))))</f>
        <v/>
      </c>
      <c r="Z8">
        <f>IF($A8="",FALSE,AND(LEN(TRIM($A8))=4,LEFT(TRIM($A8),1)="N",ISNUMBER(--MID(TRIM($A8),2,3)),ISERROR(FIND(".",$A8)),ISERROR(FIND(",",$A8)),ISERROR(FIND("-",$A8)),ISERROR(FIND("+",$A8)),ISERROR(SEARCH("E",$A8,2)),ISERROR(FIND(" ",TRIM($A8)))))</f>
        <v/>
      </c>
    </row>
    <row r="9">
      <c r="A9" s="156">
        <f>IF(itens_Remanesc!A9="","",itens_Remanesc!A9)</f>
        <v/>
      </c>
      <c r="B9" s="218">
        <f>IF(A9="","",itens_Remanesc!C9)</f>
        <v/>
      </c>
      <c r="C9" s="172">
        <f>IF(A9="","",IF(itens_Remanesc!B9="",0,itens_Remanesc!B9))</f>
        <v/>
      </c>
      <c r="D9" s="174">
        <f>IF(A9="","",ROUND(SUMIFS(aditivos!$L$2:$L$200,aditivos!$A$2:$A$200,A9,aditivos!$C$2:$C$200,"C0"),2))</f>
        <v/>
      </c>
      <c r="E9" s="170">
        <f>IF(A9="","",ROUND(C9+D9,2))</f>
        <v/>
      </c>
      <c r="F9" s="170">
        <f>IF(A9="","",IF(itens_Remanesc!B9&lt;&gt;"",itens_Remanesc!B9,IF($Z9,0,"")))</f>
        <v/>
      </c>
      <c r="G9" s="178">
        <f>IF(A9="","",IF($Y9="","",IF($Y9&gt;0,"",ROUND(E9,2))))</f>
        <v/>
      </c>
      <c r="H9" s="180">
        <f>IF(A9="","",ROUND(SUMIFS(aditivos!$L$2:$L$200,aditivos!$A$2:$A$200,A9,aditivos!$C$2:$C$200,"C1"),2))</f>
        <v/>
      </c>
      <c r="I9" s="176">
        <f>IF(A9="","",ROUND(E9+H9,2))</f>
        <v/>
      </c>
      <c r="J9" s="176">
        <f>IF(A9="","",IF(itens_Remanesc!E9="","",itens_Remanesc!E9))</f>
        <v/>
      </c>
      <c r="K9" s="182">
        <f>IF(A9="","",IF($Y9="","",IF($Y9&gt;1,"",IF(ISNUMBER(J9),ROUND(J9+H9,2),IF($Y9=1,ROUND(H9,2),"")))))</f>
        <v/>
      </c>
      <c r="L9" s="174">
        <f>IF(A9="","",ROUND(SUMIFS(aditivos!$L$2:$L$200,aditivos!$A$2:$A$200,A9,aditivos!$C$2:$C$200,"C2"),2))</f>
        <v/>
      </c>
      <c r="M9" s="170">
        <f>IF(A9="","",ROUND(I9+L9,2))</f>
        <v/>
      </c>
      <c r="N9" s="170">
        <f>IF(A9="","",IF(itens_Remanesc!G9="","",itens_Remanesc!G9))</f>
        <v/>
      </c>
      <c r="O9" s="178">
        <f>IF(A9="","",IF($Y9="","",IF($Y9&gt;2,"",IF(ISNUMBER(N9),ROUND(N9+L9,2),IF($Y9=2,ROUND(L9,2),"")))))</f>
        <v/>
      </c>
      <c r="P9" s="180">
        <f>IF(A9="","",ROUND(SUMIFS(aditivos!$L$2:$L$200,aditivos!$A$2:$A$200,A9,aditivos!$C$2:$C$200,"C3"),2))</f>
        <v/>
      </c>
      <c r="Q9" s="176">
        <f>IF(A9="","",ROUND(M9+P9,2))</f>
        <v/>
      </c>
      <c r="R9" s="176">
        <f>IF(A9="","",IF(itens_Remanesc!I9="","",itens_Remanesc!I9))</f>
        <v/>
      </c>
      <c r="S9" s="182">
        <f>IF(A9="","",IF($Y9="","",IF($Y9&gt;3,"",IF(ISNUMBER(R9),ROUND(R9+P9,2),IF($Y9=3,ROUND(P9,2),"")))))</f>
        <v/>
      </c>
      <c r="T9" s="174">
        <f>IF(A9="","",ROUND(SUMIFS(aditivos!$L$2:$L$200,aditivos!$A$2:$A$200,A9,aditivos!$C$2:$C$200,"C4"),2))</f>
        <v/>
      </c>
      <c r="U9" s="170">
        <f>IF(A9="","",ROUND(Q9+T9,2))</f>
        <v/>
      </c>
      <c r="V9" s="170">
        <f>IF(A9="","",IF(itens_Remanesc!K9="","",itens_Remanesc!K9))</f>
        <v/>
      </c>
      <c r="W9" s="170">
        <f>IF(A9="","",IF($Y9="","",IF($Y9&gt;4,"",IF(ISNUMBER(V9),ROUND(V9+T9,2),IF($Y9=4,ROUND(T9,2),"")))))</f>
        <v/>
      </c>
      <c r="X9" s="156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>
        <f>IF($A9="","",IF($E9&gt;0,0,IF($I9&gt;0,1,IF($M9&gt;0,2,IF($Q9&gt;0,3,IF($U9&gt;0,4,""))))))</f>
        <v/>
      </c>
      <c r="Z9">
        <f>IF($A9="",FALSE,AND(LEN(TRIM($A9))=4,LEFT(TRIM($A9),1)="N",ISNUMBER(--MID(TRIM($A9),2,3)),ISERROR(FIND(".",$A9)),ISERROR(FIND(",",$A9)),ISERROR(FIND("-",$A9)),ISERROR(FIND("+",$A9)),ISERROR(SEARCH("E",$A9,2)),ISERROR(FIND(" ",TRIM($A9)))))</f>
        <v/>
      </c>
    </row>
    <row r="10">
      <c r="A10" s="156">
        <f>IF(itens_Remanesc!A10="","",itens_Remanesc!A10)</f>
        <v/>
      </c>
      <c r="B10" s="218">
        <f>IF(A10="","",itens_Remanesc!C10)</f>
        <v/>
      </c>
      <c r="C10" s="172">
        <f>IF(A10="","",IF(itens_Remanesc!B10="",0,itens_Remanesc!B10))</f>
        <v/>
      </c>
      <c r="D10" s="174">
        <f>IF(A10="","",ROUND(SUMIFS(aditivos!$L$2:$L$200,aditivos!$A$2:$A$200,A10,aditivos!$C$2:$C$200,"C0"),2))</f>
        <v/>
      </c>
      <c r="E10" s="170">
        <f>IF(A10="","",ROUND(C10+D10,2))</f>
        <v/>
      </c>
      <c r="F10" s="170">
        <f>IF(A10="","",IF(itens_Remanesc!B10&lt;&gt;"",itens_Remanesc!B10,IF($Z10,0,"")))</f>
        <v/>
      </c>
      <c r="G10" s="178">
        <f>IF(A10="","",IF($Y10="","",IF($Y10&gt;0,"",ROUND(E10,2))))</f>
        <v/>
      </c>
      <c r="H10" s="180">
        <f>IF(A10="","",ROUND(SUMIFS(aditivos!$L$2:$L$200,aditivos!$A$2:$A$200,A10,aditivos!$C$2:$C$200,"C1"),2))</f>
        <v/>
      </c>
      <c r="I10" s="176">
        <f>IF(A10="","",ROUND(E10+H10,2))</f>
        <v/>
      </c>
      <c r="J10" s="176">
        <f>IF(A10="","",IF(itens_Remanesc!E10="","",itens_Remanesc!E10))</f>
        <v/>
      </c>
      <c r="K10" s="182">
        <f>IF(A10="","",IF($Y10="","",IF($Y10&gt;1,"",IF(ISNUMBER(J10),ROUND(J10+H10,2),IF($Y10=1,ROUND(H10,2),"")))))</f>
        <v/>
      </c>
      <c r="L10" s="174">
        <f>IF(A10="","",ROUND(SUMIFS(aditivos!$L$2:$L$200,aditivos!$A$2:$A$200,A10,aditivos!$C$2:$C$200,"C2"),2))</f>
        <v/>
      </c>
      <c r="M10" s="170">
        <f>IF(A10="","",ROUND(I10+L10,2))</f>
        <v/>
      </c>
      <c r="N10" s="170">
        <f>IF(A10="","",IF(itens_Remanesc!G10="","",itens_Remanesc!G10))</f>
        <v/>
      </c>
      <c r="O10" s="178">
        <f>IF(A10="","",IF($Y10="","",IF($Y10&gt;2,"",IF(ISNUMBER(N10),ROUND(N10+L10,2),IF($Y10=2,ROUND(L10,2),"")))))</f>
        <v/>
      </c>
      <c r="P10" s="180">
        <f>IF(A10="","",ROUND(SUMIFS(aditivos!$L$2:$L$200,aditivos!$A$2:$A$200,A10,aditivos!$C$2:$C$200,"C3"),2))</f>
        <v/>
      </c>
      <c r="Q10" s="176">
        <f>IF(A10="","",ROUND(M10+P10,2))</f>
        <v/>
      </c>
      <c r="R10" s="176">
        <f>IF(A10="","",IF(itens_Remanesc!I10="","",itens_Remanesc!I10))</f>
        <v/>
      </c>
      <c r="S10" s="182">
        <f>IF(A10="","",IF($Y10="","",IF($Y10&gt;3,"",IF(ISNUMBER(R10),ROUND(R10+P10,2),IF($Y10=3,ROUND(P10,2),"")))))</f>
        <v/>
      </c>
      <c r="T10" s="174">
        <f>IF(A10="","",ROUND(SUMIFS(aditivos!$L$2:$L$200,aditivos!$A$2:$A$200,A10,aditivos!$C$2:$C$200,"C4"),2))</f>
        <v/>
      </c>
      <c r="U10" s="170">
        <f>IF(A10="","",ROUND(Q10+T10,2))</f>
        <v/>
      </c>
      <c r="V10" s="170">
        <f>IF(A10="","",IF(itens_Remanesc!K10="","",itens_Remanesc!K10))</f>
        <v/>
      </c>
      <c r="W10" s="170">
        <f>IF(A10="","",IF($Y10="","",IF($Y10&gt;4,"",IF(ISNUMBER(V10),ROUND(V10+T10,2),IF($Y10=4,ROUND(T10,2),"")))))</f>
        <v/>
      </c>
      <c r="X10" s="156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>
        <f>IF($A10="","",IF($E10&gt;0,0,IF($I10&gt;0,1,IF($M10&gt;0,2,IF($Q10&gt;0,3,IF($U10&gt;0,4,""))))))</f>
        <v/>
      </c>
      <c r="Z10">
        <f>IF($A10="",FALSE,AND(LEN(TRIM($A10))=4,LEFT(TRIM($A10),1)="N",ISNUMBER(--MID(TRIM($A10),2,3)),ISERROR(FIND(".",$A10)),ISERROR(FIND(",",$A10)),ISERROR(FIND("-",$A10)),ISERROR(FIND("+",$A10)),ISERROR(SEARCH("E",$A10,2)),ISERROR(FIND(" ",TRIM($A10)))))</f>
        <v/>
      </c>
    </row>
    <row r="11">
      <c r="A11" s="156">
        <f>IF(itens_Remanesc!A11="","",itens_Remanesc!A11)</f>
        <v/>
      </c>
      <c r="B11" s="218">
        <f>IF(A11="","",itens_Remanesc!C11)</f>
        <v/>
      </c>
      <c r="C11" s="172">
        <f>IF(A11="","",IF(itens_Remanesc!B11="",0,itens_Remanesc!B11))</f>
        <v/>
      </c>
      <c r="D11" s="174">
        <f>IF(A11="","",ROUND(SUMIFS(aditivos!$L$2:$L$200,aditivos!$A$2:$A$200,A11,aditivos!$C$2:$C$200,"C0"),2))</f>
        <v/>
      </c>
      <c r="E11" s="170">
        <f>IF(A11="","",ROUND(C11+D11,2))</f>
        <v/>
      </c>
      <c r="F11" s="170">
        <f>IF(A11="","",IF(itens_Remanesc!B11&lt;&gt;"",itens_Remanesc!B11,IF($Z11,0,"")))</f>
        <v/>
      </c>
      <c r="G11" s="178">
        <f>IF(A11="","",IF($Y11="","",IF($Y11&gt;0,"",ROUND(E11,2))))</f>
        <v/>
      </c>
      <c r="H11" s="180">
        <f>IF(A11="","",ROUND(SUMIFS(aditivos!$L$2:$L$200,aditivos!$A$2:$A$200,A11,aditivos!$C$2:$C$200,"C1"),2))</f>
        <v/>
      </c>
      <c r="I11" s="176">
        <f>IF(A11="","",ROUND(E11+H11,2))</f>
        <v/>
      </c>
      <c r="J11" s="176">
        <f>IF(A11="","",IF(itens_Remanesc!E11="","",itens_Remanesc!E11))</f>
        <v/>
      </c>
      <c r="K11" s="182">
        <f>IF(A11="","",IF($Y11="","",IF($Y11&gt;1,"",IF(ISNUMBER(J11),ROUND(J11+H11,2),IF($Y11=1,ROUND(H11,2),"")))))</f>
        <v/>
      </c>
      <c r="L11" s="174">
        <f>IF(A11="","",ROUND(SUMIFS(aditivos!$L$2:$L$200,aditivos!$A$2:$A$200,A11,aditivos!$C$2:$C$200,"C2"),2))</f>
        <v/>
      </c>
      <c r="M11" s="170">
        <f>IF(A11="","",ROUND(I11+L11,2))</f>
        <v/>
      </c>
      <c r="N11" s="170">
        <f>IF(A11="","",IF(itens_Remanesc!G11="","",itens_Remanesc!G11))</f>
        <v/>
      </c>
      <c r="O11" s="178">
        <f>IF(A11="","",IF($Y11="","",IF($Y11&gt;2,"",IF(ISNUMBER(N11),ROUND(N11+L11,2),IF($Y11=2,ROUND(L11,2),"")))))</f>
        <v/>
      </c>
      <c r="P11" s="180">
        <f>IF(A11="","",ROUND(SUMIFS(aditivos!$L$2:$L$200,aditivos!$A$2:$A$200,A11,aditivos!$C$2:$C$200,"C3"),2))</f>
        <v/>
      </c>
      <c r="Q11" s="176">
        <f>IF(A11="","",ROUND(M11+P11,2))</f>
        <v/>
      </c>
      <c r="R11" s="176">
        <f>IF(A11="","",IF(itens_Remanesc!I11="","",itens_Remanesc!I11))</f>
        <v/>
      </c>
      <c r="S11" s="182">
        <f>IF(A11="","",IF($Y11="","",IF($Y11&gt;3,"",IF(ISNUMBER(R11),ROUND(R11+P11,2),IF($Y11=3,ROUND(P11,2),"")))))</f>
        <v/>
      </c>
      <c r="T11" s="174">
        <f>IF(A11="","",ROUND(SUMIFS(aditivos!$L$2:$L$200,aditivos!$A$2:$A$200,A11,aditivos!$C$2:$C$200,"C4"),2))</f>
        <v/>
      </c>
      <c r="U11" s="170">
        <f>IF(A11="","",ROUND(Q11+T11,2))</f>
        <v/>
      </c>
      <c r="V11" s="170">
        <f>IF(A11="","",IF(itens_Remanesc!K11="","",itens_Remanesc!K11))</f>
        <v/>
      </c>
      <c r="W11" s="170">
        <f>IF(A11="","",IF($Y11="","",IF($Y11&gt;4,"",IF(ISNUMBER(V11),ROUND(V11+T11,2),IF($Y11=4,ROUND(T11,2),"")))))</f>
        <v/>
      </c>
      <c r="X11" s="156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>
        <f>IF($A11="","",IF($E11&gt;0,0,IF($I11&gt;0,1,IF($M11&gt;0,2,IF($Q11&gt;0,3,IF($U11&gt;0,4,""))))))</f>
        <v/>
      </c>
      <c r="Z11">
        <f>IF($A11="",FALSE,AND(LEN(TRIM($A11))=4,LEFT(TRIM($A11),1)="N",ISNUMBER(--MID(TRIM($A11),2,3)),ISERROR(FIND(".",$A11)),ISERROR(FIND(",",$A11)),ISERROR(FIND("-",$A11)),ISERROR(FIND("+",$A11)),ISERROR(SEARCH("E",$A11,2)),ISERROR(FIND(" ",TRIM($A11)))))</f>
        <v/>
      </c>
    </row>
    <row r="12">
      <c r="A12" s="156">
        <f>IF(itens_Remanesc!A12="","",itens_Remanesc!A12)</f>
        <v/>
      </c>
      <c r="B12" s="218">
        <f>IF(A12="","",itens_Remanesc!C12)</f>
        <v/>
      </c>
      <c r="C12" s="172">
        <f>IF(A12="","",IF(itens_Remanesc!B12="",0,itens_Remanesc!B12))</f>
        <v/>
      </c>
      <c r="D12" s="174">
        <f>IF(A12="","",ROUND(SUMIFS(aditivos!$L$2:$L$200,aditivos!$A$2:$A$200,A12,aditivos!$C$2:$C$200,"C0"),2))</f>
        <v/>
      </c>
      <c r="E12" s="170">
        <f>IF(A12="","",ROUND(C12+D12,2))</f>
        <v/>
      </c>
      <c r="F12" s="170">
        <f>IF(A12="","",IF(itens_Remanesc!B12&lt;&gt;"",itens_Remanesc!B12,IF($Z12,0,"")))</f>
        <v/>
      </c>
      <c r="G12" s="178">
        <f>IF(A12="","",IF($Y12="","",IF($Y12&gt;0,"",ROUND(E12,2))))</f>
        <v/>
      </c>
      <c r="H12" s="180">
        <f>IF(A12="","",ROUND(SUMIFS(aditivos!$L$2:$L$200,aditivos!$A$2:$A$200,A12,aditivos!$C$2:$C$200,"C1"),2))</f>
        <v/>
      </c>
      <c r="I12" s="176">
        <f>IF(A12="","",ROUND(E12+H12,2))</f>
        <v/>
      </c>
      <c r="J12" s="176">
        <f>IF(A12="","",IF(itens_Remanesc!E12="","",itens_Remanesc!E12))</f>
        <v/>
      </c>
      <c r="K12" s="182">
        <f>IF(A12="","",IF($Y12="","",IF($Y12&gt;1,"",IF(ISNUMBER(J12),ROUND(J12+H12,2),IF($Y12=1,ROUND(H12,2),"")))))</f>
        <v/>
      </c>
      <c r="L12" s="174">
        <f>IF(A12="","",ROUND(SUMIFS(aditivos!$L$2:$L$200,aditivos!$A$2:$A$200,A12,aditivos!$C$2:$C$200,"C2"),2))</f>
        <v/>
      </c>
      <c r="M12" s="170">
        <f>IF(A12="","",ROUND(I12+L12,2))</f>
        <v/>
      </c>
      <c r="N12" s="170">
        <f>IF(A12="","",IF(itens_Remanesc!G12="","",itens_Remanesc!G12))</f>
        <v/>
      </c>
      <c r="O12" s="178">
        <f>IF(A12="","",IF($Y12="","",IF($Y12&gt;2,"",IF(ISNUMBER(N12),ROUND(N12+L12,2),IF($Y12=2,ROUND(L12,2),"")))))</f>
        <v/>
      </c>
      <c r="P12" s="180">
        <f>IF(A12="","",ROUND(SUMIFS(aditivos!$L$2:$L$200,aditivos!$A$2:$A$200,A12,aditivos!$C$2:$C$200,"C3"),2))</f>
        <v/>
      </c>
      <c r="Q12" s="176">
        <f>IF(A12="","",ROUND(M12+P12,2))</f>
        <v/>
      </c>
      <c r="R12" s="176">
        <f>IF(A12="","",IF(itens_Remanesc!I12="","",itens_Remanesc!I12))</f>
        <v/>
      </c>
      <c r="S12" s="182">
        <f>IF(A12="","",IF($Y12="","",IF($Y12&gt;3,"",IF(ISNUMBER(R12),ROUND(R12+P12,2),IF($Y12=3,ROUND(P12,2),"")))))</f>
        <v/>
      </c>
      <c r="T12" s="174">
        <f>IF(A12="","",ROUND(SUMIFS(aditivos!$L$2:$L$200,aditivos!$A$2:$A$200,A12,aditivos!$C$2:$C$200,"C4"),2))</f>
        <v/>
      </c>
      <c r="U12" s="170">
        <f>IF(A12="","",ROUND(Q12+T12,2))</f>
        <v/>
      </c>
      <c r="V12" s="170">
        <f>IF(A12="","",IF(itens_Remanesc!K12="","",itens_Remanesc!K12))</f>
        <v/>
      </c>
      <c r="W12" s="170">
        <f>IF(A12="","",IF($Y12="","",IF($Y12&gt;4,"",IF(ISNUMBER(V12),ROUND(V12+T12,2),IF($Y12=4,ROUND(T12,2),"")))))</f>
        <v/>
      </c>
      <c r="X12" s="156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>
        <f>IF($A12="","",IF($E12&gt;0,0,IF($I12&gt;0,1,IF($M12&gt;0,2,IF($Q12&gt;0,3,IF($U12&gt;0,4,""))))))</f>
        <v/>
      </c>
      <c r="Z12">
        <f>IF($A12="",FALSE,AND(LEN(TRIM($A12))=4,LEFT(TRIM($A12),1)="N",ISNUMBER(--MID(TRIM($A12),2,3)),ISERROR(FIND(".",$A12)),ISERROR(FIND(",",$A12)),ISERROR(FIND("-",$A12)),ISERROR(FIND("+",$A12)),ISERROR(SEARCH("E",$A12,2)),ISERROR(FIND(" ",TRIM($A12)))))</f>
        <v/>
      </c>
    </row>
    <row r="13">
      <c r="A13" s="156">
        <f>IF(itens_Remanesc!A13="","",itens_Remanesc!A13)</f>
        <v/>
      </c>
      <c r="B13" s="218">
        <f>IF(A13="","",itens_Remanesc!C13)</f>
        <v/>
      </c>
      <c r="C13" s="172">
        <f>IF(A13="","",IF(itens_Remanesc!B13="",0,itens_Remanesc!B13))</f>
        <v/>
      </c>
      <c r="D13" s="174">
        <f>IF(A13="","",ROUND(SUMIFS(aditivos!$L$2:$L$200,aditivos!$A$2:$A$200,A13,aditivos!$C$2:$C$200,"C0"),2))</f>
        <v/>
      </c>
      <c r="E13" s="170">
        <f>IF(A13="","",ROUND(C13+D13,2))</f>
        <v/>
      </c>
      <c r="F13" s="170">
        <f>IF(A13="","",IF(itens_Remanesc!B13&lt;&gt;"",itens_Remanesc!B13,IF($Z13,0,"")))</f>
        <v/>
      </c>
      <c r="G13" s="178">
        <f>IF(A13="","",IF($Y13="","",IF($Y13&gt;0,"",ROUND(E13,2))))</f>
        <v/>
      </c>
      <c r="H13" s="180">
        <f>IF(A13="","",ROUND(SUMIFS(aditivos!$L$2:$L$200,aditivos!$A$2:$A$200,A13,aditivos!$C$2:$C$200,"C1"),2))</f>
        <v/>
      </c>
      <c r="I13" s="176">
        <f>IF(A13="","",ROUND(E13+H13,2))</f>
        <v/>
      </c>
      <c r="J13" s="176">
        <f>IF(A13="","",IF(itens_Remanesc!E13="","",itens_Remanesc!E13))</f>
        <v/>
      </c>
      <c r="K13" s="182">
        <f>IF(A13="","",IF($Y13="","",IF($Y13&gt;1,"",IF(ISNUMBER(J13),ROUND(J13+H13,2),IF($Y13=1,ROUND(H13,2),"")))))</f>
        <v/>
      </c>
      <c r="L13" s="174">
        <f>IF(A13="","",ROUND(SUMIFS(aditivos!$L$2:$L$200,aditivos!$A$2:$A$200,A13,aditivos!$C$2:$C$200,"C2"),2))</f>
        <v/>
      </c>
      <c r="M13" s="170">
        <f>IF(A13="","",ROUND(I13+L13,2))</f>
        <v/>
      </c>
      <c r="N13" s="170">
        <f>IF(A13="","",IF(itens_Remanesc!G13="","",itens_Remanesc!G13))</f>
        <v/>
      </c>
      <c r="O13" s="178">
        <f>IF(A13="","",IF($Y13="","",IF($Y13&gt;2,"",IF(ISNUMBER(N13),ROUND(N13+L13,2),IF($Y13=2,ROUND(L13,2),"")))))</f>
        <v/>
      </c>
      <c r="P13" s="180">
        <f>IF(A13="","",ROUND(SUMIFS(aditivos!$L$2:$L$200,aditivos!$A$2:$A$200,A13,aditivos!$C$2:$C$200,"C3"),2))</f>
        <v/>
      </c>
      <c r="Q13" s="176">
        <f>IF(A13="","",ROUND(M13+P13,2))</f>
        <v/>
      </c>
      <c r="R13" s="176">
        <f>IF(A13="","",IF(itens_Remanesc!I13="","",itens_Remanesc!I13))</f>
        <v/>
      </c>
      <c r="S13" s="182">
        <f>IF(A13="","",IF($Y13="","",IF($Y13&gt;3,"",IF(ISNUMBER(R13),ROUND(R13+P13,2),IF($Y13=3,ROUND(P13,2),"")))))</f>
        <v/>
      </c>
      <c r="T13" s="174">
        <f>IF(A13="","",ROUND(SUMIFS(aditivos!$L$2:$L$200,aditivos!$A$2:$A$200,A13,aditivos!$C$2:$C$200,"C4"),2))</f>
        <v/>
      </c>
      <c r="U13" s="170">
        <f>IF(A13="","",ROUND(Q13+T13,2))</f>
        <v/>
      </c>
      <c r="V13" s="170">
        <f>IF(A13="","",IF(itens_Remanesc!K13="","",itens_Remanesc!K13))</f>
        <v/>
      </c>
      <c r="W13" s="170">
        <f>IF(A13="","",IF($Y13="","",IF($Y13&gt;4,"",IF(ISNUMBER(V13),ROUND(V13+T13,2),IF($Y13=4,ROUND(T13,2),"")))))</f>
        <v/>
      </c>
      <c r="X13" s="156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>
        <f>IF($A13="","",IF($E13&gt;0,0,IF($I13&gt;0,1,IF($M13&gt;0,2,IF($Q13&gt;0,3,IF($U13&gt;0,4,""))))))</f>
        <v/>
      </c>
      <c r="Z13">
        <f>IF($A13="",FALSE,AND(LEN(TRIM($A13))=4,LEFT(TRIM($A13),1)="N",ISNUMBER(--MID(TRIM($A13),2,3)),ISERROR(FIND(".",$A13)),ISERROR(FIND(",",$A13)),ISERROR(FIND("-",$A13)),ISERROR(FIND("+",$A13)),ISERROR(SEARCH("E",$A13,2)),ISERROR(FIND(" ",TRIM($A13)))))</f>
        <v/>
      </c>
    </row>
    <row r="14">
      <c r="A14" s="156">
        <f>IF(itens_Remanesc!A14="","",itens_Remanesc!A14)</f>
        <v/>
      </c>
      <c r="B14" s="218">
        <f>IF(A14="","",itens_Remanesc!C14)</f>
        <v/>
      </c>
      <c r="C14" s="172">
        <f>IF(A14="","",IF(itens_Remanesc!B14="",0,itens_Remanesc!B14))</f>
        <v/>
      </c>
      <c r="D14" s="174">
        <f>IF(A14="","",ROUND(SUMIFS(aditivos!$L$2:$L$200,aditivos!$A$2:$A$200,A14,aditivos!$C$2:$C$200,"C0"),2))</f>
        <v/>
      </c>
      <c r="E14" s="170">
        <f>IF(A14="","",ROUND(C14+D14,2))</f>
        <v/>
      </c>
      <c r="F14" s="170">
        <f>IF(A14="","",IF(itens_Remanesc!B14&lt;&gt;"",itens_Remanesc!B14,IF($Z14,0,"")))</f>
        <v/>
      </c>
      <c r="G14" s="178">
        <f>IF(A14="","",IF($Y14="","",IF($Y14&gt;0,"",ROUND(E14,2))))</f>
        <v/>
      </c>
      <c r="H14" s="180">
        <f>IF(A14="","",ROUND(SUMIFS(aditivos!$L$2:$L$200,aditivos!$A$2:$A$200,A14,aditivos!$C$2:$C$200,"C1"),2))</f>
        <v/>
      </c>
      <c r="I14" s="176">
        <f>IF(A14="","",ROUND(E14+H14,2))</f>
        <v/>
      </c>
      <c r="J14" s="176">
        <f>IF(A14="","",IF(itens_Remanesc!E14="","",itens_Remanesc!E14))</f>
        <v/>
      </c>
      <c r="K14" s="182">
        <f>IF(A14="","",IF($Y14="","",IF($Y14&gt;1,"",IF(ISNUMBER(J14),ROUND(J14+H14,2),IF($Y14=1,ROUND(H14,2),"")))))</f>
        <v/>
      </c>
      <c r="L14" s="174">
        <f>IF(A14="","",ROUND(SUMIFS(aditivos!$L$2:$L$200,aditivos!$A$2:$A$200,A14,aditivos!$C$2:$C$200,"C2"),2))</f>
        <v/>
      </c>
      <c r="M14" s="170">
        <f>IF(A14="","",ROUND(I14+L14,2))</f>
        <v/>
      </c>
      <c r="N14" s="170">
        <f>IF(A14="","",IF(itens_Remanesc!G14="","",itens_Remanesc!G14))</f>
        <v/>
      </c>
      <c r="O14" s="178">
        <f>IF(A14="","",IF($Y14="","",IF($Y14&gt;2,"",IF(ISNUMBER(N14),ROUND(N14+L14,2),IF($Y14=2,ROUND(L14,2),"")))))</f>
        <v/>
      </c>
      <c r="P14" s="180">
        <f>IF(A14="","",ROUND(SUMIFS(aditivos!$L$2:$L$200,aditivos!$A$2:$A$200,A14,aditivos!$C$2:$C$200,"C3"),2))</f>
        <v/>
      </c>
      <c r="Q14" s="176">
        <f>IF(A14="","",ROUND(M14+P14,2))</f>
        <v/>
      </c>
      <c r="R14" s="176">
        <f>IF(A14="","",IF(itens_Remanesc!I14="","",itens_Remanesc!I14))</f>
        <v/>
      </c>
      <c r="S14" s="182">
        <f>IF(A14="","",IF($Y14="","",IF($Y14&gt;3,"",IF(ISNUMBER(R14),ROUND(R14+P14,2),IF($Y14=3,ROUND(P14,2),"")))))</f>
        <v/>
      </c>
      <c r="T14" s="174">
        <f>IF(A14="","",ROUND(SUMIFS(aditivos!$L$2:$L$200,aditivos!$A$2:$A$200,A14,aditivos!$C$2:$C$200,"C4"),2))</f>
        <v/>
      </c>
      <c r="U14" s="170">
        <f>IF(A14="","",ROUND(Q14+T14,2))</f>
        <v/>
      </c>
      <c r="V14" s="170">
        <f>IF(A14="","",IF(itens_Remanesc!K14="","",itens_Remanesc!K14))</f>
        <v/>
      </c>
      <c r="W14" s="170">
        <f>IF(A14="","",IF($Y14="","",IF($Y14&gt;4,"",IF(ISNUMBER(V14),ROUND(V14+T14,2),IF($Y14=4,ROUND(T14,2),"")))))</f>
        <v/>
      </c>
      <c r="X14" s="156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>
        <f>IF($A14="","",IF($E14&gt;0,0,IF($I14&gt;0,1,IF($M14&gt;0,2,IF($Q14&gt;0,3,IF($U14&gt;0,4,""))))))</f>
        <v/>
      </c>
      <c r="Z14">
        <f>IF($A14="",FALSE,AND(LEN(TRIM($A14))=4,LEFT(TRIM($A14),1)="N",ISNUMBER(--MID(TRIM($A14),2,3)),ISERROR(FIND(".",$A14)),ISERROR(FIND(",",$A14)),ISERROR(FIND("-",$A14)),ISERROR(FIND("+",$A14)),ISERROR(SEARCH("E",$A14,2)),ISERROR(FIND(" ",TRIM($A14)))))</f>
        <v/>
      </c>
    </row>
    <row r="15">
      <c r="A15" s="156">
        <f>IF(itens_Remanesc!A15="","",itens_Remanesc!A15)</f>
        <v/>
      </c>
      <c r="B15" s="218">
        <f>IF(A15="","",itens_Remanesc!C15)</f>
        <v/>
      </c>
      <c r="C15" s="172">
        <f>IF(A15="","",IF(itens_Remanesc!B15="",0,itens_Remanesc!B15))</f>
        <v/>
      </c>
      <c r="D15" s="174">
        <f>IF(A15="","",ROUND(SUMIFS(aditivos!$L$2:$L$200,aditivos!$A$2:$A$200,A15,aditivos!$C$2:$C$200,"C0"),2))</f>
        <v/>
      </c>
      <c r="E15" s="170">
        <f>IF(A15="","",ROUND(C15+D15,2))</f>
        <v/>
      </c>
      <c r="F15" s="170">
        <f>IF(A15="","",IF(itens_Remanesc!B15&lt;&gt;"",itens_Remanesc!B15,IF($Z15,0,"")))</f>
        <v/>
      </c>
      <c r="G15" s="178">
        <f>IF(A15="","",IF($Y15="","",IF($Y15&gt;0,"",ROUND(E15,2))))</f>
        <v/>
      </c>
      <c r="H15" s="180">
        <f>IF(A15="","",ROUND(SUMIFS(aditivos!$L$2:$L$200,aditivos!$A$2:$A$200,A15,aditivos!$C$2:$C$200,"C1"),2))</f>
        <v/>
      </c>
      <c r="I15" s="176">
        <f>IF(A15="","",ROUND(E15+H15,2))</f>
        <v/>
      </c>
      <c r="J15" s="176">
        <f>IF(A15="","",IF(itens_Remanesc!E15="","",itens_Remanesc!E15))</f>
        <v/>
      </c>
      <c r="K15" s="182">
        <f>IF(A15="","",IF($Y15="","",IF($Y15&gt;1,"",IF(ISNUMBER(J15),ROUND(J15+H15,2),IF($Y15=1,ROUND(H15,2),"")))))</f>
        <v/>
      </c>
      <c r="L15" s="174">
        <f>IF(A15="","",ROUND(SUMIFS(aditivos!$L$2:$L$200,aditivos!$A$2:$A$200,A15,aditivos!$C$2:$C$200,"C2"),2))</f>
        <v/>
      </c>
      <c r="M15" s="170">
        <f>IF(A15="","",ROUND(I15+L15,2))</f>
        <v/>
      </c>
      <c r="N15" s="170">
        <f>IF(A15="","",IF(itens_Remanesc!G15="","",itens_Remanesc!G15))</f>
        <v/>
      </c>
      <c r="O15" s="178">
        <f>IF(A15="","",IF($Y15="","",IF($Y15&gt;2,"",IF(ISNUMBER(N15),ROUND(N15+L15,2),IF($Y15=2,ROUND(L15,2),"")))))</f>
        <v/>
      </c>
      <c r="P15" s="180">
        <f>IF(A15="","",ROUND(SUMIFS(aditivos!$L$2:$L$200,aditivos!$A$2:$A$200,A15,aditivos!$C$2:$C$200,"C3"),2))</f>
        <v/>
      </c>
      <c r="Q15" s="176">
        <f>IF(A15="","",ROUND(M15+P15,2))</f>
        <v/>
      </c>
      <c r="R15" s="176">
        <f>IF(A15="","",IF(itens_Remanesc!I15="","",itens_Remanesc!I15))</f>
        <v/>
      </c>
      <c r="S15" s="182">
        <f>IF(A15="","",IF($Y15="","",IF($Y15&gt;3,"",IF(ISNUMBER(R15),ROUND(R15+P15,2),IF($Y15=3,ROUND(P15,2),"")))))</f>
        <v/>
      </c>
      <c r="T15" s="174">
        <f>IF(A15="","",ROUND(SUMIFS(aditivos!$L$2:$L$200,aditivos!$A$2:$A$200,A15,aditivos!$C$2:$C$200,"C4"),2))</f>
        <v/>
      </c>
      <c r="U15" s="170">
        <f>IF(A15="","",ROUND(Q15+T15,2))</f>
        <v/>
      </c>
      <c r="V15" s="170">
        <f>IF(A15="","",IF(itens_Remanesc!K15="","",itens_Remanesc!K15))</f>
        <v/>
      </c>
      <c r="W15" s="170">
        <f>IF(A15="","",IF($Y15="","",IF($Y15&gt;4,"",IF(ISNUMBER(V15),ROUND(V15+T15,2),IF($Y15=4,ROUND(T15,2),"")))))</f>
        <v/>
      </c>
      <c r="X15" s="156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>
        <f>IF($A15="","",IF($E15&gt;0,0,IF($I15&gt;0,1,IF($M15&gt;0,2,IF($Q15&gt;0,3,IF($U15&gt;0,4,""))))))</f>
        <v/>
      </c>
      <c r="Z15">
        <f>IF($A15="",FALSE,AND(LEN(TRIM($A15))=4,LEFT(TRIM($A15),1)="N",ISNUMBER(--MID(TRIM($A15),2,3)),ISERROR(FIND(".",$A15)),ISERROR(FIND(",",$A15)),ISERROR(FIND("-",$A15)),ISERROR(FIND("+",$A15)),ISERROR(SEARCH("E",$A15,2)),ISERROR(FIND(" ",TRIM($A15)))))</f>
        <v/>
      </c>
    </row>
    <row r="16">
      <c r="A16" s="156">
        <f>IF(itens_Remanesc!A16="","",itens_Remanesc!A16)</f>
        <v/>
      </c>
      <c r="B16" s="218">
        <f>IF(A16="","",itens_Remanesc!C16)</f>
        <v/>
      </c>
      <c r="C16" s="172">
        <f>IF(A16="","",IF(itens_Remanesc!B16="",0,itens_Remanesc!B16))</f>
        <v/>
      </c>
      <c r="D16" s="174">
        <f>IF(A16="","",ROUND(SUMIFS(aditivos!$L$2:$L$200,aditivos!$A$2:$A$200,A16,aditivos!$C$2:$C$200,"C0"),2))</f>
        <v/>
      </c>
      <c r="E16" s="170">
        <f>IF(A16="","",ROUND(C16+D16,2))</f>
        <v/>
      </c>
      <c r="F16" s="170">
        <f>IF(A16="","",IF(itens_Remanesc!B16&lt;&gt;"",itens_Remanesc!B16,IF($Z16,0,"")))</f>
        <v/>
      </c>
      <c r="G16" s="178">
        <f>IF(A16="","",IF($Y16="","",IF($Y16&gt;0,"",ROUND(E16,2))))</f>
        <v/>
      </c>
      <c r="H16" s="180">
        <f>IF(A16="","",ROUND(SUMIFS(aditivos!$L$2:$L$200,aditivos!$A$2:$A$200,A16,aditivos!$C$2:$C$200,"C1"),2))</f>
        <v/>
      </c>
      <c r="I16" s="176">
        <f>IF(A16="","",ROUND(E16+H16,2))</f>
        <v/>
      </c>
      <c r="J16" s="176">
        <f>IF(A16="","",IF(itens_Remanesc!E16="","",itens_Remanesc!E16))</f>
        <v/>
      </c>
      <c r="K16" s="182">
        <f>IF(A16="","",IF($Y16="","",IF($Y16&gt;1,"",IF(ISNUMBER(J16),ROUND(J16+H16,2),IF($Y16=1,ROUND(H16,2),"")))))</f>
        <v/>
      </c>
      <c r="L16" s="174">
        <f>IF(A16="","",ROUND(SUMIFS(aditivos!$L$2:$L$200,aditivos!$A$2:$A$200,A16,aditivos!$C$2:$C$200,"C2"),2))</f>
        <v/>
      </c>
      <c r="M16" s="170">
        <f>IF(A16="","",ROUND(I16+L16,2))</f>
        <v/>
      </c>
      <c r="N16" s="170">
        <f>IF(A16="","",IF(itens_Remanesc!G16="","",itens_Remanesc!G16))</f>
        <v/>
      </c>
      <c r="O16" s="178">
        <f>IF(A16="","",IF($Y16="","",IF($Y16&gt;2,"",IF(ISNUMBER(N16),ROUND(N16+L16,2),IF($Y16=2,ROUND(L16,2),"")))))</f>
        <v/>
      </c>
      <c r="P16" s="180">
        <f>IF(A16="","",ROUND(SUMIFS(aditivos!$L$2:$L$200,aditivos!$A$2:$A$200,A16,aditivos!$C$2:$C$200,"C3"),2))</f>
        <v/>
      </c>
      <c r="Q16" s="176">
        <f>IF(A16="","",ROUND(M16+P16,2))</f>
        <v/>
      </c>
      <c r="R16" s="176">
        <f>IF(A16="","",IF(itens_Remanesc!I16="","",itens_Remanesc!I16))</f>
        <v/>
      </c>
      <c r="S16" s="182">
        <f>IF(A16="","",IF($Y16="","",IF($Y16&gt;3,"",IF(ISNUMBER(R16),ROUND(R16+P16,2),IF($Y16=3,ROUND(P16,2),"")))))</f>
        <v/>
      </c>
      <c r="T16" s="174">
        <f>IF(A16="","",ROUND(SUMIFS(aditivos!$L$2:$L$200,aditivos!$A$2:$A$200,A16,aditivos!$C$2:$C$200,"C4"),2))</f>
        <v/>
      </c>
      <c r="U16" s="170">
        <f>IF(A16="","",ROUND(Q16+T16,2))</f>
        <v/>
      </c>
      <c r="V16" s="170">
        <f>IF(A16="","",IF(itens_Remanesc!K16="","",itens_Remanesc!K16))</f>
        <v/>
      </c>
      <c r="W16" s="170">
        <f>IF(A16="","",IF($Y16="","",IF($Y16&gt;4,"",IF(ISNUMBER(V16),ROUND(V16+T16,2),IF($Y16=4,ROUND(T16,2),"")))))</f>
        <v/>
      </c>
      <c r="X16" s="156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>
        <f>IF($A16="","",IF($E16&gt;0,0,IF($I16&gt;0,1,IF($M16&gt;0,2,IF($Q16&gt;0,3,IF($U16&gt;0,4,""))))))</f>
        <v/>
      </c>
      <c r="Z16">
        <f>IF($A16="",FALSE,AND(LEN(TRIM($A16))=4,LEFT(TRIM($A16),1)="N",ISNUMBER(--MID(TRIM($A16),2,3)),ISERROR(FIND(".",$A16)),ISERROR(FIND(",",$A16)),ISERROR(FIND("-",$A16)),ISERROR(FIND("+",$A16)),ISERROR(SEARCH("E",$A16,2)),ISERROR(FIND(" ",TRIM($A16)))))</f>
        <v/>
      </c>
    </row>
    <row r="17">
      <c r="A17" s="156">
        <f>IF(itens_Remanesc!A17="","",itens_Remanesc!A17)</f>
        <v/>
      </c>
      <c r="B17" s="218">
        <f>IF(A17="","",itens_Remanesc!C17)</f>
        <v/>
      </c>
      <c r="C17" s="172">
        <f>IF(A17="","",IF(itens_Remanesc!B17="",0,itens_Remanesc!B17))</f>
        <v/>
      </c>
      <c r="D17" s="174">
        <f>IF(A17="","",ROUND(SUMIFS(aditivos!$L$2:$L$200,aditivos!$A$2:$A$200,A17,aditivos!$C$2:$C$200,"C0"),2))</f>
        <v/>
      </c>
      <c r="E17" s="170">
        <f>IF(A17="","",ROUND(C17+D17,2))</f>
        <v/>
      </c>
      <c r="F17" s="170">
        <f>IF(A17="","",IF(itens_Remanesc!B17&lt;&gt;"",itens_Remanesc!B17,IF($Z17,0,"")))</f>
        <v/>
      </c>
      <c r="G17" s="178">
        <f>IF(A17="","",IF($Y17="","",IF($Y17&gt;0,"",ROUND(E17,2))))</f>
        <v/>
      </c>
      <c r="H17" s="180">
        <f>IF(A17="","",ROUND(SUMIFS(aditivos!$L$2:$L$200,aditivos!$A$2:$A$200,A17,aditivos!$C$2:$C$200,"C1"),2))</f>
        <v/>
      </c>
      <c r="I17" s="176">
        <f>IF(A17="","",ROUND(E17+H17,2))</f>
        <v/>
      </c>
      <c r="J17" s="176">
        <f>IF(A17="","",IF(itens_Remanesc!E17="","",itens_Remanesc!E17))</f>
        <v/>
      </c>
      <c r="K17" s="182">
        <f>IF(A17="","",IF($Y17="","",IF($Y17&gt;1,"",IF(ISNUMBER(J17),ROUND(J17+H17,2),IF($Y17=1,ROUND(H17,2),"")))))</f>
        <v/>
      </c>
      <c r="L17" s="174">
        <f>IF(A17="","",ROUND(SUMIFS(aditivos!$L$2:$L$200,aditivos!$A$2:$A$200,A17,aditivos!$C$2:$C$200,"C2"),2))</f>
        <v/>
      </c>
      <c r="M17" s="170">
        <f>IF(A17="","",ROUND(I17+L17,2))</f>
        <v/>
      </c>
      <c r="N17" s="170">
        <f>IF(A17="","",IF(itens_Remanesc!G17="","",itens_Remanesc!G17))</f>
        <v/>
      </c>
      <c r="O17" s="178">
        <f>IF(A17="","",IF($Y17="","",IF($Y17&gt;2,"",IF(ISNUMBER(N17),ROUND(N17+L17,2),IF($Y17=2,ROUND(L17,2),"")))))</f>
        <v/>
      </c>
      <c r="P17" s="180">
        <f>IF(A17="","",ROUND(SUMIFS(aditivos!$L$2:$L$200,aditivos!$A$2:$A$200,A17,aditivos!$C$2:$C$200,"C3"),2))</f>
        <v/>
      </c>
      <c r="Q17" s="176">
        <f>IF(A17="","",ROUND(M17+P17,2))</f>
        <v/>
      </c>
      <c r="R17" s="176">
        <f>IF(A17="","",IF(itens_Remanesc!I17="","",itens_Remanesc!I17))</f>
        <v/>
      </c>
      <c r="S17" s="182">
        <f>IF(A17="","",IF($Y17="","",IF($Y17&gt;3,"",IF(ISNUMBER(R17),ROUND(R17+P17,2),IF($Y17=3,ROUND(P17,2),"")))))</f>
        <v/>
      </c>
      <c r="T17" s="174">
        <f>IF(A17="","",ROUND(SUMIFS(aditivos!$L$2:$L$200,aditivos!$A$2:$A$200,A17,aditivos!$C$2:$C$200,"C4"),2))</f>
        <v/>
      </c>
      <c r="U17" s="170">
        <f>IF(A17="","",ROUND(Q17+T17,2))</f>
        <v/>
      </c>
      <c r="V17" s="170">
        <f>IF(A17="","",IF(itens_Remanesc!K17="","",itens_Remanesc!K17))</f>
        <v/>
      </c>
      <c r="W17" s="170">
        <f>IF(A17="","",IF($Y17="","",IF($Y17&gt;4,"",IF(ISNUMBER(V17),ROUND(V17+T17,2),IF($Y17=4,ROUND(T17,2),"")))))</f>
        <v/>
      </c>
      <c r="X17" s="156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>
        <f>IF($A17="","",IF($E17&gt;0,0,IF($I17&gt;0,1,IF($M17&gt;0,2,IF($Q17&gt;0,3,IF($U17&gt;0,4,""))))))</f>
        <v/>
      </c>
      <c r="Z17">
        <f>IF($A17="",FALSE,AND(LEN(TRIM($A17))=4,LEFT(TRIM($A17),1)="N",ISNUMBER(--MID(TRIM($A17),2,3)),ISERROR(FIND(".",$A17)),ISERROR(FIND(",",$A17)),ISERROR(FIND("-",$A17)),ISERROR(FIND("+",$A17)),ISERROR(SEARCH("E",$A17,2)),ISERROR(FIND(" ",TRIM($A17)))))</f>
        <v/>
      </c>
    </row>
    <row r="18">
      <c r="A18" s="156">
        <f>IF(itens_Remanesc!A18="","",itens_Remanesc!A18)</f>
        <v/>
      </c>
      <c r="B18" s="218">
        <f>IF(A18="","",itens_Remanesc!C18)</f>
        <v/>
      </c>
      <c r="C18" s="172">
        <f>IF(A18="","",IF(itens_Remanesc!B18="",0,itens_Remanesc!B18))</f>
        <v/>
      </c>
      <c r="D18" s="174">
        <f>IF(A18="","",ROUND(SUMIFS(aditivos!$L$2:$L$200,aditivos!$A$2:$A$200,A18,aditivos!$C$2:$C$200,"C0"),2))</f>
        <v/>
      </c>
      <c r="E18" s="170">
        <f>IF(A18="","",ROUND(C18+D18,2))</f>
        <v/>
      </c>
      <c r="F18" s="170">
        <f>IF(A18="","",IF(itens_Remanesc!B18&lt;&gt;"",itens_Remanesc!B18,IF($Z18,0,"")))</f>
        <v/>
      </c>
      <c r="G18" s="178">
        <f>IF(A18="","",IF($Y18="","",IF($Y18&gt;0,"",ROUND(E18,2))))</f>
        <v/>
      </c>
      <c r="H18" s="180">
        <f>IF(A18="","",ROUND(SUMIFS(aditivos!$L$2:$L$200,aditivos!$A$2:$A$200,A18,aditivos!$C$2:$C$200,"C1"),2))</f>
        <v/>
      </c>
      <c r="I18" s="176">
        <f>IF(A18="","",ROUND(E18+H18,2))</f>
        <v/>
      </c>
      <c r="J18" s="176">
        <f>IF(A18="","",IF(itens_Remanesc!E18="","",itens_Remanesc!E18))</f>
        <v/>
      </c>
      <c r="K18" s="182">
        <f>IF(A18="","",IF($Y18="","",IF($Y18&gt;1,"",IF(ISNUMBER(J18),ROUND(J18+H18,2),IF($Y18=1,ROUND(H18,2),"")))))</f>
        <v/>
      </c>
      <c r="L18" s="174">
        <f>IF(A18="","",ROUND(SUMIFS(aditivos!$L$2:$L$200,aditivos!$A$2:$A$200,A18,aditivos!$C$2:$C$200,"C2"),2))</f>
        <v/>
      </c>
      <c r="M18" s="170">
        <f>IF(A18="","",ROUND(I18+L18,2))</f>
        <v/>
      </c>
      <c r="N18" s="170">
        <f>IF(A18="","",IF(itens_Remanesc!G18="","",itens_Remanesc!G18))</f>
        <v/>
      </c>
      <c r="O18" s="178">
        <f>IF(A18="","",IF($Y18="","",IF($Y18&gt;2,"",IF(ISNUMBER(N18),ROUND(N18+L18,2),IF($Y18=2,ROUND(L18,2),"")))))</f>
        <v/>
      </c>
      <c r="P18" s="180">
        <f>IF(A18="","",ROUND(SUMIFS(aditivos!$L$2:$L$200,aditivos!$A$2:$A$200,A18,aditivos!$C$2:$C$200,"C3"),2))</f>
        <v/>
      </c>
      <c r="Q18" s="176">
        <f>IF(A18="","",ROUND(M18+P18,2))</f>
        <v/>
      </c>
      <c r="R18" s="176">
        <f>IF(A18="","",IF(itens_Remanesc!I18="","",itens_Remanesc!I18))</f>
        <v/>
      </c>
      <c r="S18" s="182">
        <f>IF(A18="","",IF($Y18="","",IF($Y18&gt;3,"",IF(ISNUMBER(R18),ROUND(R18+P18,2),IF($Y18=3,ROUND(P18,2),"")))))</f>
        <v/>
      </c>
      <c r="T18" s="174">
        <f>IF(A18="","",ROUND(SUMIFS(aditivos!$L$2:$L$200,aditivos!$A$2:$A$200,A18,aditivos!$C$2:$C$200,"C4"),2))</f>
        <v/>
      </c>
      <c r="U18" s="170">
        <f>IF(A18="","",ROUND(Q18+T18,2))</f>
        <v/>
      </c>
      <c r="V18" s="170">
        <f>IF(A18="","",IF(itens_Remanesc!K18="","",itens_Remanesc!K18))</f>
        <v/>
      </c>
      <c r="W18" s="170">
        <f>IF(A18="","",IF($Y18="","",IF($Y18&gt;4,"",IF(ISNUMBER(V18),ROUND(V18+T18,2),IF($Y18=4,ROUND(T18,2),"")))))</f>
        <v/>
      </c>
      <c r="X18" s="156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>
        <f>IF($A18="","",IF($E18&gt;0,0,IF($I18&gt;0,1,IF($M18&gt;0,2,IF($Q18&gt;0,3,IF($U18&gt;0,4,""))))))</f>
        <v/>
      </c>
      <c r="Z18">
        <f>IF($A18="",FALSE,AND(LEN(TRIM($A18))=4,LEFT(TRIM($A18),1)="N",ISNUMBER(--MID(TRIM($A18),2,3)),ISERROR(FIND(".",$A18)),ISERROR(FIND(",",$A18)),ISERROR(FIND("-",$A18)),ISERROR(FIND("+",$A18)),ISERROR(SEARCH("E",$A18,2)),ISERROR(FIND(" ",TRIM($A18)))))</f>
        <v/>
      </c>
    </row>
    <row r="19">
      <c r="A19" s="156">
        <f>IF(itens_Remanesc!A19="","",itens_Remanesc!A19)</f>
        <v/>
      </c>
      <c r="B19" s="218">
        <f>IF(A19="","",itens_Remanesc!C19)</f>
        <v/>
      </c>
      <c r="C19" s="172">
        <f>IF(A19="","",IF(itens_Remanesc!B19="",0,itens_Remanesc!B19))</f>
        <v/>
      </c>
      <c r="D19" s="174">
        <f>IF(A19="","",ROUND(SUMIFS(aditivos!$L$2:$L$200,aditivos!$A$2:$A$200,A19,aditivos!$C$2:$C$200,"C0"),2))</f>
        <v/>
      </c>
      <c r="E19" s="170">
        <f>IF(A19="","",ROUND(C19+D19,2))</f>
        <v/>
      </c>
      <c r="F19" s="170">
        <f>IF(A19="","",IF(itens_Remanesc!B19&lt;&gt;"",itens_Remanesc!B19,IF($Z19,0,"")))</f>
        <v/>
      </c>
      <c r="G19" s="178">
        <f>IF(A19="","",IF($Y19="","",IF($Y19&gt;0,"",ROUND(E19,2))))</f>
        <v/>
      </c>
      <c r="H19" s="180">
        <f>IF(A19="","",ROUND(SUMIFS(aditivos!$L$2:$L$200,aditivos!$A$2:$A$200,A19,aditivos!$C$2:$C$200,"C1"),2))</f>
        <v/>
      </c>
      <c r="I19" s="176">
        <f>IF(A19="","",ROUND(E19+H19,2))</f>
        <v/>
      </c>
      <c r="J19" s="176">
        <f>IF(A19="","",IF(itens_Remanesc!E19="","",itens_Remanesc!E19))</f>
        <v/>
      </c>
      <c r="K19" s="182">
        <f>IF(A19="","",IF($Y19="","",IF($Y19&gt;1,"",IF(ISNUMBER(J19),ROUND(J19+H19,2),IF($Y19=1,ROUND(H19,2),"")))))</f>
        <v/>
      </c>
      <c r="L19" s="174">
        <f>IF(A19="","",ROUND(SUMIFS(aditivos!$L$2:$L$200,aditivos!$A$2:$A$200,A19,aditivos!$C$2:$C$200,"C2"),2))</f>
        <v/>
      </c>
      <c r="M19" s="170">
        <f>IF(A19="","",ROUND(I19+L19,2))</f>
        <v/>
      </c>
      <c r="N19" s="170">
        <f>IF(A19="","",IF(itens_Remanesc!G19="","",itens_Remanesc!G19))</f>
        <v/>
      </c>
      <c r="O19" s="178">
        <f>IF(A19="","",IF($Y19="","",IF($Y19&gt;2,"",IF(ISNUMBER(N19),ROUND(N19+L19,2),IF($Y19=2,ROUND(L19,2),"")))))</f>
        <v/>
      </c>
      <c r="P19" s="180">
        <f>IF(A19="","",ROUND(SUMIFS(aditivos!$L$2:$L$200,aditivos!$A$2:$A$200,A19,aditivos!$C$2:$C$200,"C3"),2))</f>
        <v/>
      </c>
      <c r="Q19" s="176">
        <f>IF(A19="","",ROUND(M19+P19,2))</f>
        <v/>
      </c>
      <c r="R19" s="176">
        <f>IF(A19="","",IF(itens_Remanesc!I19="","",itens_Remanesc!I19))</f>
        <v/>
      </c>
      <c r="S19" s="182">
        <f>IF(A19="","",IF($Y19="","",IF($Y19&gt;3,"",IF(ISNUMBER(R19),ROUND(R19+P19,2),IF($Y19=3,ROUND(P19,2),"")))))</f>
        <v/>
      </c>
      <c r="T19" s="174">
        <f>IF(A19="","",ROUND(SUMIFS(aditivos!$L$2:$L$200,aditivos!$A$2:$A$200,A19,aditivos!$C$2:$C$200,"C4"),2))</f>
        <v/>
      </c>
      <c r="U19" s="170">
        <f>IF(A19="","",ROUND(Q19+T19,2))</f>
        <v/>
      </c>
      <c r="V19" s="170">
        <f>IF(A19="","",IF(itens_Remanesc!K19="","",itens_Remanesc!K19))</f>
        <v/>
      </c>
      <c r="W19" s="170">
        <f>IF(A19="","",IF($Y19="","",IF($Y19&gt;4,"",IF(ISNUMBER(V19),ROUND(V19+T19,2),IF($Y19=4,ROUND(T19,2),"")))))</f>
        <v/>
      </c>
      <c r="X19" s="156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>
        <f>IF($A19="","",IF($E19&gt;0,0,IF($I19&gt;0,1,IF($M19&gt;0,2,IF($Q19&gt;0,3,IF($U19&gt;0,4,""))))))</f>
        <v/>
      </c>
      <c r="Z19">
        <f>IF($A19="",FALSE,AND(LEN(TRIM($A19))=4,LEFT(TRIM($A19),1)="N",ISNUMBER(--MID(TRIM($A19),2,3)),ISERROR(FIND(".",$A19)),ISERROR(FIND(",",$A19)),ISERROR(FIND("-",$A19)),ISERROR(FIND("+",$A19)),ISERROR(SEARCH("E",$A19,2)),ISERROR(FIND(" ",TRIM($A19)))))</f>
        <v/>
      </c>
    </row>
    <row r="20">
      <c r="A20" s="156">
        <f>IF(itens_Remanesc!A20="","",itens_Remanesc!A20)</f>
        <v/>
      </c>
      <c r="B20" s="218">
        <f>IF(A20="","",itens_Remanesc!C20)</f>
        <v/>
      </c>
      <c r="C20" s="172">
        <f>IF(A20="","",IF(itens_Remanesc!B20="",0,itens_Remanesc!B20))</f>
        <v/>
      </c>
      <c r="D20" s="174">
        <f>IF(A20="","",ROUND(SUMIFS(aditivos!$L$2:$L$200,aditivos!$A$2:$A$200,A20,aditivos!$C$2:$C$200,"C0"),2))</f>
        <v/>
      </c>
      <c r="E20" s="170">
        <f>IF(A20="","",ROUND(C20+D20,2))</f>
        <v/>
      </c>
      <c r="F20" s="170">
        <f>IF(A20="","",IF(itens_Remanesc!B20&lt;&gt;"",itens_Remanesc!B20,IF($Z20,0,"")))</f>
        <v/>
      </c>
      <c r="G20" s="178">
        <f>IF(A20="","",IF($Y20="","",IF($Y20&gt;0,"",ROUND(E20,2))))</f>
        <v/>
      </c>
      <c r="H20" s="180">
        <f>IF(A20="","",ROUND(SUMIFS(aditivos!$L$2:$L$200,aditivos!$A$2:$A$200,A20,aditivos!$C$2:$C$200,"C1"),2))</f>
        <v/>
      </c>
      <c r="I20" s="176">
        <f>IF(A20="","",ROUND(E20+H20,2))</f>
        <v/>
      </c>
      <c r="J20" s="176">
        <f>IF(A20="","",IF(itens_Remanesc!E20="","",itens_Remanesc!E20))</f>
        <v/>
      </c>
      <c r="K20" s="182">
        <f>IF(A20="","",IF($Y20="","",IF($Y20&gt;1,"",IF(ISNUMBER(J20),ROUND(J20+H20,2),IF($Y20=1,ROUND(H20,2),"")))))</f>
        <v/>
      </c>
      <c r="L20" s="174">
        <f>IF(A20="","",ROUND(SUMIFS(aditivos!$L$2:$L$200,aditivos!$A$2:$A$200,A20,aditivos!$C$2:$C$200,"C2"),2))</f>
        <v/>
      </c>
      <c r="M20" s="170">
        <f>IF(A20="","",ROUND(I20+L20,2))</f>
        <v/>
      </c>
      <c r="N20" s="170">
        <f>IF(A20="","",IF(itens_Remanesc!G20="","",itens_Remanesc!G20))</f>
        <v/>
      </c>
      <c r="O20" s="178">
        <f>IF(A20="","",IF($Y20="","",IF($Y20&gt;2,"",IF(ISNUMBER(N20),ROUND(N20+L20,2),IF($Y20=2,ROUND(L20,2),"")))))</f>
        <v/>
      </c>
      <c r="P20" s="180">
        <f>IF(A20="","",ROUND(SUMIFS(aditivos!$L$2:$L$200,aditivos!$A$2:$A$200,A20,aditivos!$C$2:$C$200,"C3"),2))</f>
        <v/>
      </c>
      <c r="Q20" s="176">
        <f>IF(A20="","",ROUND(M20+P20,2))</f>
        <v/>
      </c>
      <c r="R20" s="176">
        <f>IF(A20="","",IF(itens_Remanesc!I20="","",itens_Remanesc!I20))</f>
        <v/>
      </c>
      <c r="S20" s="182">
        <f>IF(A20="","",IF($Y20="","",IF($Y20&gt;3,"",IF(ISNUMBER(R20),ROUND(R20+P20,2),IF($Y20=3,ROUND(P20,2),"")))))</f>
        <v/>
      </c>
      <c r="T20" s="174">
        <f>IF(A20="","",ROUND(SUMIFS(aditivos!$L$2:$L$200,aditivos!$A$2:$A$200,A20,aditivos!$C$2:$C$200,"C4"),2))</f>
        <v/>
      </c>
      <c r="U20" s="170">
        <f>IF(A20="","",ROUND(Q20+T20,2))</f>
        <v/>
      </c>
      <c r="V20" s="170">
        <f>IF(A20="","",IF(itens_Remanesc!K20="","",itens_Remanesc!K20))</f>
        <v/>
      </c>
      <c r="W20" s="170">
        <f>IF(A20="","",IF($Y20="","",IF($Y20&gt;4,"",IF(ISNUMBER(V20),ROUND(V20+T20,2),IF($Y20=4,ROUND(T20,2),"")))))</f>
        <v/>
      </c>
      <c r="X20" s="156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>
        <f>IF($A20="","",IF($E20&gt;0,0,IF($I20&gt;0,1,IF($M20&gt;0,2,IF($Q20&gt;0,3,IF($U20&gt;0,4,""))))))</f>
        <v/>
      </c>
      <c r="Z20">
        <f>IF($A20="",FALSE,AND(LEN(TRIM($A20))=4,LEFT(TRIM($A20),1)="N",ISNUMBER(--MID(TRIM($A20),2,3)),ISERROR(FIND(".",$A20)),ISERROR(FIND(",",$A20)),ISERROR(FIND("-",$A20)),ISERROR(FIND("+",$A20)),ISERROR(SEARCH("E",$A20,2)),ISERROR(FIND(" ",TRIM($A20)))))</f>
        <v/>
      </c>
    </row>
    <row r="21">
      <c r="A21" s="156">
        <f>IF(itens_Remanesc!A21="","",itens_Remanesc!A21)</f>
        <v/>
      </c>
      <c r="B21" s="218">
        <f>IF(A21="","",itens_Remanesc!C21)</f>
        <v/>
      </c>
      <c r="C21" s="172">
        <f>IF(A21="","",IF(itens_Remanesc!B21="",0,itens_Remanesc!B21))</f>
        <v/>
      </c>
      <c r="D21" s="174">
        <f>IF(A21="","",ROUND(SUMIFS(aditivos!$L$2:$L$200,aditivos!$A$2:$A$200,A21,aditivos!$C$2:$C$200,"C0"),2))</f>
        <v/>
      </c>
      <c r="E21" s="170">
        <f>IF(A21="","",ROUND(C21+D21,2))</f>
        <v/>
      </c>
      <c r="F21" s="170">
        <f>IF(A21="","",IF(itens_Remanesc!B21&lt;&gt;"",itens_Remanesc!B21,IF($Z21,0,"")))</f>
        <v/>
      </c>
      <c r="G21" s="178">
        <f>IF(A21="","",IF($Y21="","",IF($Y21&gt;0,"",ROUND(E21,2))))</f>
        <v/>
      </c>
      <c r="H21" s="180">
        <f>IF(A21="","",ROUND(SUMIFS(aditivos!$L$2:$L$200,aditivos!$A$2:$A$200,A21,aditivos!$C$2:$C$200,"C1"),2))</f>
        <v/>
      </c>
      <c r="I21" s="176">
        <f>IF(A21="","",ROUND(E21+H21,2))</f>
        <v/>
      </c>
      <c r="J21" s="176">
        <f>IF(A21="","",IF(itens_Remanesc!E21="","",itens_Remanesc!E21))</f>
        <v/>
      </c>
      <c r="K21" s="182">
        <f>IF(A21="","",IF($Y21="","",IF($Y21&gt;1,"",IF(ISNUMBER(J21),ROUND(J21+H21,2),IF($Y21=1,ROUND(H21,2),"")))))</f>
        <v/>
      </c>
      <c r="L21" s="174">
        <f>IF(A21="","",ROUND(SUMIFS(aditivos!$L$2:$L$200,aditivos!$A$2:$A$200,A21,aditivos!$C$2:$C$200,"C2"),2))</f>
        <v/>
      </c>
      <c r="M21" s="170">
        <f>IF(A21="","",ROUND(I21+L21,2))</f>
        <v/>
      </c>
      <c r="N21" s="170">
        <f>IF(A21="","",IF(itens_Remanesc!G21="","",itens_Remanesc!G21))</f>
        <v/>
      </c>
      <c r="O21" s="178">
        <f>IF(A21="","",IF($Y21="","",IF($Y21&gt;2,"",IF(ISNUMBER(N21),ROUND(N21+L21,2),IF($Y21=2,ROUND(L21,2),"")))))</f>
        <v/>
      </c>
      <c r="P21" s="180">
        <f>IF(A21="","",ROUND(SUMIFS(aditivos!$L$2:$L$200,aditivos!$A$2:$A$200,A21,aditivos!$C$2:$C$200,"C3"),2))</f>
        <v/>
      </c>
      <c r="Q21" s="176">
        <f>IF(A21="","",ROUND(M21+P21,2))</f>
        <v/>
      </c>
      <c r="R21" s="176">
        <f>IF(A21="","",IF(itens_Remanesc!I21="","",itens_Remanesc!I21))</f>
        <v/>
      </c>
      <c r="S21" s="182">
        <f>IF(A21="","",IF($Y21="","",IF($Y21&gt;3,"",IF(ISNUMBER(R21),ROUND(R21+P21,2),IF($Y21=3,ROUND(P21,2),"")))))</f>
        <v/>
      </c>
      <c r="T21" s="174">
        <f>IF(A21="","",ROUND(SUMIFS(aditivos!$L$2:$L$200,aditivos!$A$2:$A$200,A21,aditivos!$C$2:$C$200,"C4"),2))</f>
        <v/>
      </c>
      <c r="U21" s="170">
        <f>IF(A21="","",ROUND(Q21+T21,2))</f>
        <v/>
      </c>
      <c r="V21" s="170">
        <f>IF(A21="","",IF(itens_Remanesc!K21="","",itens_Remanesc!K21))</f>
        <v/>
      </c>
      <c r="W21" s="170">
        <f>IF(A21="","",IF($Y21="","",IF($Y21&gt;4,"",IF(ISNUMBER(V21),ROUND(V21+T21,2),IF($Y21=4,ROUND(T21,2),"")))))</f>
        <v/>
      </c>
      <c r="X21" s="156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>
        <f>IF($A21="","",IF($E21&gt;0,0,IF($I21&gt;0,1,IF($M21&gt;0,2,IF($Q21&gt;0,3,IF($U21&gt;0,4,""))))))</f>
        <v/>
      </c>
      <c r="Z21">
        <f>IF($A21="",FALSE,AND(LEN(TRIM($A21))=4,LEFT(TRIM($A21),1)="N",ISNUMBER(--MID(TRIM($A21),2,3)),ISERROR(FIND(".",$A21)),ISERROR(FIND(",",$A21)),ISERROR(FIND("-",$A21)),ISERROR(FIND("+",$A21)),ISERROR(SEARCH("E",$A21,2)),ISERROR(FIND(" ",TRIM($A21)))))</f>
        <v/>
      </c>
    </row>
    <row r="22">
      <c r="A22" s="156">
        <f>IF(itens_Remanesc!A22="","",itens_Remanesc!A22)</f>
        <v/>
      </c>
      <c r="B22" s="218">
        <f>IF(A22="","",itens_Remanesc!C22)</f>
        <v/>
      </c>
      <c r="C22" s="172">
        <f>IF(A22="","",IF(itens_Remanesc!B22="",0,itens_Remanesc!B22))</f>
        <v/>
      </c>
      <c r="D22" s="174">
        <f>IF(A22="","",ROUND(SUMIFS(aditivos!$L$2:$L$200,aditivos!$A$2:$A$200,A22,aditivos!$C$2:$C$200,"C0"),2))</f>
        <v/>
      </c>
      <c r="E22" s="170">
        <f>IF(A22="","",ROUND(C22+D22,2))</f>
        <v/>
      </c>
      <c r="F22" s="170">
        <f>IF(A22="","",IF(itens_Remanesc!B22&lt;&gt;"",itens_Remanesc!B22,IF($Z22,0,"")))</f>
        <v/>
      </c>
      <c r="G22" s="178">
        <f>IF(A22="","",IF($Y22="","",IF($Y22&gt;0,"",ROUND(E22,2))))</f>
        <v/>
      </c>
      <c r="H22" s="180">
        <f>IF(A22="","",ROUND(SUMIFS(aditivos!$L$2:$L$200,aditivos!$A$2:$A$200,A22,aditivos!$C$2:$C$200,"C1"),2))</f>
        <v/>
      </c>
      <c r="I22" s="176">
        <f>IF(A22="","",ROUND(E22+H22,2))</f>
        <v/>
      </c>
      <c r="J22" s="176">
        <f>IF(A22="","",IF(itens_Remanesc!E22="","",itens_Remanesc!E22))</f>
        <v/>
      </c>
      <c r="K22" s="182">
        <f>IF(A22="","",IF($Y22="","",IF($Y22&gt;1,"",IF(ISNUMBER(J22),ROUND(J22+H22,2),IF($Y22=1,ROUND(H22,2),"")))))</f>
        <v/>
      </c>
      <c r="L22" s="174">
        <f>IF(A22="","",ROUND(SUMIFS(aditivos!$L$2:$L$200,aditivos!$A$2:$A$200,A22,aditivos!$C$2:$C$200,"C2"),2))</f>
        <v/>
      </c>
      <c r="M22" s="170">
        <f>IF(A22="","",ROUND(I22+L22,2))</f>
        <v/>
      </c>
      <c r="N22" s="170">
        <f>IF(A22="","",IF(itens_Remanesc!G22="","",itens_Remanesc!G22))</f>
        <v/>
      </c>
      <c r="O22" s="178">
        <f>IF(A22="","",IF($Y22="","",IF($Y22&gt;2,"",IF(ISNUMBER(N22),ROUND(N22+L22,2),IF($Y22=2,ROUND(L22,2),"")))))</f>
        <v/>
      </c>
      <c r="P22" s="180">
        <f>IF(A22="","",ROUND(SUMIFS(aditivos!$L$2:$L$200,aditivos!$A$2:$A$200,A22,aditivos!$C$2:$C$200,"C3"),2))</f>
        <v/>
      </c>
      <c r="Q22" s="176">
        <f>IF(A22="","",ROUND(M22+P22,2))</f>
        <v/>
      </c>
      <c r="R22" s="176">
        <f>IF(A22="","",IF(itens_Remanesc!I22="","",itens_Remanesc!I22))</f>
        <v/>
      </c>
      <c r="S22" s="182">
        <f>IF(A22="","",IF($Y22="","",IF($Y22&gt;3,"",IF(ISNUMBER(R22),ROUND(R22+P22,2),IF($Y22=3,ROUND(P22,2),"")))))</f>
        <v/>
      </c>
      <c r="T22" s="174">
        <f>IF(A22="","",ROUND(SUMIFS(aditivos!$L$2:$L$200,aditivos!$A$2:$A$200,A22,aditivos!$C$2:$C$200,"C4"),2))</f>
        <v/>
      </c>
      <c r="U22" s="170">
        <f>IF(A22="","",ROUND(Q22+T22,2))</f>
        <v/>
      </c>
      <c r="V22" s="170">
        <f>IF(A22="","",IF(itens_Remanesc!K22="","",itens_Remanesc!K22))</f>
        <v/>
      </c>
      <c r="W22" s="170">
        <f>IF(A22="","",IF($Y22="","",IF($Y22&gt;4,"",IF(ISNUMBER(V22),ROUND(V22+T22,2),IF($Y22=4,ROUND(T22,2),"")))))</f>
        <v/>
      </c>
      <c r="X22" s="156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>
        <f>IF($A22="","",IF($E22&gt;0,0,IF($I22&gt;0,1,IF($M22&gt;0,2,IF($Q22&gt;0,3,IF($U22&gt;0,4,""))))))</f>
        <v/>
      </c>
      <c r="Z22">
        <f>IF($A22="",FALSE,AND(LEN(TRIM($A22))=4,LEFT(TRIM($A22),1)="N",ISNUMBER(--MID(TRIM($A22),2,3)),ISERROR(FIND(".",$A22)),ISERROR(FIND(",",$A22)),ISERROR(FIND("-",$A22)),ISERROR(FIND("+",$A22)),ISERROR(SEARCH("E",$A22,2)),ISERROR(FIND(" ",TRIM($A22)))))</f>
        <v/>
      </c>
    </row>
    <row r="23">
      <c r="A23" s="156">
        <f>IF(itens_Remanesc!A23="","",itens_Remanesc!A23)</f>
        <v/>
      </c>
      <c r="B23" s="218">
        <f>IF(A23="","",itens_Remanesc!C23)</f>
        <v/>
      </c>
      <c r="C23" s="172">
        <f>IF(A23="","",IF(itens_Remanesc!B23="",0,itens_Remanesc!B23))</f>
        <v/>
      </c>
      <c r="D23" s="174">
        <f>IF(A23="","",ROUND(SUMIFS(aditivos!$L$2:$L$200,aditivos!$A$2:$A$200,A23,aditivos!$C$2:$C$200,"C0"),2))</f>
        <v/>
      </c>
      <c r="E23" s="170">
        <f>IF(A23="","",ROUND(C23+D23,2))</f>
        <v/>
      </c>
      <c r="F23" s="170">
        <f>IF(A23="","",IF(itens_Remanesc!B23&lt;&gt;"",itens_Remanesc!B23,IF($Z23,0,"")))</f>
        <v/>
      </c>
      <c r="G23" s="178">
        <f>IF(A23="","",IF($Y23="","",IF($Y23&gt;0,"",ROUND(E23,2))))</f>
        <v/>
      </c>
      <c r="H23" s="180">
        <f>IF(A23="","",ROUND(SUMIFS(aditivos!$L$2:$L$200,aditivos!$A$2:$A$200,A23,aditivos!$C$2:$C$200,"C1"),2))</f>
        <v/>
      </c>
      <c r="I23" s="176">
        <f>IF(A23="","",ROUND(E23+H23,2))</f>
        <v/>
      </c>
      <c r="J23" s="176">
        <f>IF(A23="","",IF(itens_Remanesc!E23="","",itens_Remanesc!E23))</f>
        <v/>
      </c>
      <c r="K23" s="182">
        <f>IF(A23="","",IF($Y23="","",IF($Y23&gt;1,"",IF(ISNUMBER(J23),ROUND(J23+H23,2),IF($Y23=1,ROUND(H23,2),"")))))</f>
        <v/>
      </c>
      <c r="L23" s="174">
        <f>IF(A23="","",ROUND(SUMIFS(aditivos!$L$2:$L$200,aditivos!$A$2:$A$200,A23,aditivos!$C$2:$C$200,"C2"),2))</f>
        <v/>
      </c>
      <c r="M23" s="170">
        <f>IF(A23="","",ROUND(I23+L23,2))</f>
        <v/>
      </c>
      <c r="N23" s="170">
        <f>IF(A23="","",IF(itens_Remanesc!G23="","",itens_Remanesc!G23))</f>
        <v/>
      </c>
      <c r="O23" s="178">
        <f>IF(A23="","",IF($Y23="","",IF($Y23&gt;2,"",IF(ISNUMBER(N23),ROUND(N23+L23,2),IF($Y23=2,ROUND(L23,2),"")))))</f>
        <v/>
      </c>
      <c r="P23" s="180">
        <f>IF(A23="","",ROUND(SUMIFS(aditivos!$L$2:$L$200,aditivos!$A$2:$A$200,A23,aditivos!$C$2:$C$200,"C3"),2))</f>
        <v/>
      </c>
      <c r="Q23" s="176">
        <f>IF(A23="","",ROUND(M23+P23,2))</f>
        <v/>
      </c>
      <c r="R23" s="176">
        <f>IF(A23="","",IF(itens_Remanesc!I23="","",itens_Remanesc!I23))</f>
        <v/>
      </c>
      <c r="S23" s="182">
        <f>IF(A23="","",IF($Y23="","",IF($Y23&gt;3,"",IF(ISNUMBER(R23),ROUND(R23+P23,2),IF($Y23=3,ROUND(P23,2),"")))))</f>
        <v/>
      </c>
      <c r="T23" s="174">
        <f>IF(A23="","",ROUND(SUMIFS(aditivos!$L$2:$L$200,aditivos!$A$2:$A$200,A23,aditivos!$C$2:$C$200,"C4"),2))</f>
        <v/>
      </c>
      <c r="U23" s="170">
        <f>IF(A23="","",ROUND(Q23+T23,2))</f>
        <v/>
      </c>
      <c r="V23" s="170">
        <f>IF(A23="","",IF(itens_Remanesc!K23="","",itens_Remanesc!K23))</f>
        <v/>
      </c>
      <c r="W23" s="170">
        <f>IF(A23="","",IF($Y23="","",IF($Y23&gt;4,"",IF(ISNUMBER(V23),ROUND(V23+T23,2),IF($Y23=4,ROUND(T23,2),"")))))</f>
        <v/>
      </c>
      <c r="X23" s="156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>
        <f>IF($A23="","",IF($E23&gt;0,0,IF($I23&gt;0,1,IF($M23&gt;0,2,IF($Q23&gt;0,3,IF($U23&gt;0,4,""))))))</f>
        <v/>
      </c>
      <c r="Z23">
        <f>IF($A23="",FALSE,AND(LEN(TRIM($A23))=4,LEFT(TRIM($A23),1)="N",ISNUMBER(--MID(TRIM($A23),2,3)),ISERROR(FIND(".",$A23)),ISERROR(FIND(",",$A23)),ISERROR(FIND("-",$A23)),ISERROR(FIND("+",$A23)),ISERROR(SEARCH("E",$A23,2)),ISERROR(FIND(" ",TRIM($A23)))))</f>
        <v/>
      </c>
    </row>
    <row r="24">
      <c r="A24" s="156">
        <f>IF(itens_Remanesc!A24="","",itens_Remanesc!A24)</f>
        <v/>
      </c>
      <c r="B24" s="218">
        <f>IF(A24="","",itens_Remanesc!C24)</f>
        <v/>
      </c>
      <c r="C24" s="172">
        <f>IF(A24="","",IF(itens_Remanesc!B24="",0,itens_Remanesc!B24))</f>
        <v/>
      </c>
      <c r="D24" s="174">
        <f>IF(A24="","",ROUND(SUMIFS(aditivos!$L$2:$L$200,aditivos!$A$2:$A$200,A24,aditivos!$C$2:$C$200,"C0"),2))</f>
        <v/>
      </c>
      <c r="E24" s="170">
        <f>IF(A24="","",ROUND(C24+D24,2))</f>
        <v/>
      </c>
      <c r="F24" s="170">
        <f>IF(A24="","",IF(itens_Remanesc!B24&lt;&gt;"",itens_Remanesc!B24,IF($Z24,0,"")))</f>
        <v/>
      </c>
      <c r="G24" s="178">
        <f>IF(A24="","",IF($Y24="","",IF($Y24&gt;0,"",ROUND(E24,2))))</f>
        <v/>
      </c>
      <c r="H24" s="180">
        <f>IF(A24="","",ROUND(SUMIFS(aditivos!$L$2:$L$200,aditivos!$A$2:$A$200,A24,aditivos!$C$2:$C$200,"C1"),2))</f>
        <v/>
      </c>
      <c r="I24" s="176">
        <f>IF(A24="","",ROUND(E24+H24,2))</f>
        <v/>
      </c>
      <c r="J24" s="176">
        <f>IF(A24="","",IF(itens_Remanesc!E24="","",itens_Remanesc!E24))</f>
        <v/>
      </c>
      <c r="K24" s="182">
        <f>IF(A24="","",IF($Y24="","",IF($Y24&gt;1,"",IF(ISNUMBER(J24),ROUND(J24+H24,2),IF($Y24=1,ROUND(H24,2),"")))))</f>
        <v/>
      </c>
      <c r="L24" s="174">
        <f>IF(A24="","",ROUND(SUMIFS(aditivos!$L$2:$L$200,aditivos!$A$2:$A$200,A24,aditivos!$C$2:$C$200,"C2"),2))</f>
        <v/>
      </c>
      <c r="M24" s="170">
        <f>IF(A24="","",ROUND(I24+L24,2))</f>
        <v/>
      </c>
      <c r="N24" s="170">
        <f>IF(A24="","",IF(itens_Remanesc!G24="","",itens_Remanesc!G24))</f>
        <v/>
      </c>
      <c r="O24" s="178">
        <f>IF(A24="","",IF($Y24="","",IF($Y24&gt;2,"",IF(ISNUMBER(N24),ROUND(N24+L24,2),IF($Y24=2,ROUND(L24,2),"")))))</f>
        <v/>
      </c>
      <c r="P24" s="180">
        <f>IF(A24="","",ROUND(SUMIFS(aditivos!$L$2:$L$200,aditivos!$A$2:$A$200,A24,aditivos!$C$2:$C$200,"C3"),2))</f>
        <v/>
      </c>
      <c r="Q24" s="176">
        <f>IF(A24="","",ROUND(M24+P24,2))</f>
        <v/>
      </c>
      <c r="R24" s="176">
        <f>IF(A24="","",IF(itens_Remanesc!I24="","",itens_Remanesc!I24))</f>
        <v/>
      </c>
      <c r="S24" s="182">
        <f>IF(A24="","",IF($Y24="","",IF($Y24&gt;3,"",IF(ISNUMBER(R24),ROUND(R24+P24,2),IF($Y24=3,ROUND(P24,2),"")))))</f>
        <v/>
      </c>
      <c r="T24" s="174">
        <f>IF(A24="","",ROUND(SUMIFS(aditivos!$L$2:$L$200,aditivos!$A$2:$A$200,A24,aditivos!$C$2:$C$200,"C4"),2))</f>
        <v/>
      </c>
      <c r="U24" s="170">
        <f>IF(A24="","",ROUND(Q24+T24,2))</f>
        <v/>
      </c>
      <c r="V24" s="170">
        <f>IF(A24="","",IF(itens_Remanesc!K24="","",itens_Remanesc!K24))</f>
        <v/>
      </c>
      <c r="W24" s="170">
        <f>IF(A24="","",IF($Y24="","",IF($Y24&gt;4,"",IF(ISNUMBER(V24),ROUND(V24+T24,2),IF($Y24=4,ROUND(T24,2),"")))))</f>
        <v/>
      </c>
      <c r="X24" s="156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>
        <f>IF($A24="","",IF($E24&gt;0,0,IF($I24&gt;0,1,IF($M24&gt;0,2,IF($Q24&gt;0,3,IF($U24&gt;0,4,""))))))</f>
        <v/>
      </c>
      <c r="Z24">
        <f>IF($A24="",FALSE,AND(LEN(TRIM($A24))=4,LEFT(TRIM($A24),1)="N",ISNUMBER(--MID(TRIM($A24),2,3)),ISERROR(FIND(".",$A24)),ISERROR(FIND(",",$A24)),ISERROR(FIND("-",$A24)),ISERROR(FIND("+",$A24)),ISERROR(SEARCH("E",$A24,2)),ISERROR(FIND(" ",TRIM($A24)))))</f>
        <v/>
      </c>
    </row>
    <row r="25">
      <c r="A25" s="156">
        <f>IF(itens_Remanesc!A25="","",itens_Remanesc!A25)</f>
        <v/>
      </c>
      <c r="B25" s="218">
        <f>IF(A25="","",itens_Remanesc!C25)</f>
        <v/>
      </c>
      <c r="C25" s="172">
        <f>IF(A25="","",IF(itens_Remanesc!B25="",0,itens_Remanesc!B25))</f>
        <v/>
      </c>
      <c r="D25" s="174">
        <f>IF(A25="","",ROUND(SUMIFS(aditivos!$L$2:$L$200,aditivos!$A$2:$A$200,A25,aditivos!$C$2:$C$200,"C0"),2))</f>
        <v/>
      </c>
      <c r="E25" s="170">
        <f>IF(A25="","",ROUND(C25+D25,2))</f>
        <v/>
      </c>
      <c r="F25" s="170">
        <f>IF(A25="","",IF(itens_Remanesc!B25&lt;&gt;"",itens_Remanesc!B25,IF($Z25,0,"")))</f>
        <v/>
      </c>
      <c r="G25" s="178">
        <f>IF(A25="","",IF($Y25="","",IF($Y25&gt;0,"",ROUND(E25,2))))</f>
        <v/>
      </c>
      <c r="H25" s="180">
        <f>IF(A25="","",ROUND(SUMIFS(aditivos!$L$2:$L$200,aditivos!$A$2:$A$200,A25,aditivos!$C$2:$C$200,"C1"),2))</f>
        <v/>
      </c>
      <c r="I25" s="176">
        <f>IF(A25="","",ROUND(E25+H25,2))</f>
        <v/>
      </c>
      <c r="J25" s="176">
        <f>IF(A25="","",IF(itens_Remanesc!E25="","",itens_Remanesc!E25))</f>
        <v/>
      </c>
      <c r="K25" s="182">
        <f>IF(A25="","",IF($Y25="","",IF($Y25&gt;1,"",IF(ISNUMBER(J25),ROUND(J25+H25,2),IF($Y25=1,ROUND(H25,2),"")))))</f>
        <v/>
      </c>
      <c r="L25" s="174">
        <f>IF(A25="","",ROUND(SUMIFS(aditivos!$L$2:$L$200,aditivos!$A$2:$A$200,A25,aditivos!$C$2:$C$200,"C2"),2))</f>
        <v/>
      </c>
      <c r="M25" s="170">
        <f>IF(A25="","",ROUND(I25+L25,2))</f>
        <v/>
      </c>
      <c r="N25" s="170">
        <f>IF(A25="","",IF(itens_Remanesc!G25="","",itens_Remanesc!G25))</f>
        <v/>
      </c>
      <c r="O25" s="178">
        <f>IF(A25="","",IF($Y25="","",IF($Y25&gt;2,"",IF(ISNUMBER(N25),ROUND(N25+L25,2),IF($Y25=2,ROUND(L25,2),"")))))</f>
        <v/>
      </c>
      <c r="P25" s="180">
        <f>IF(A25="","",ROUND(SUMIFS(aditivos!$L$2:$L$200,aditivos!$A$2:$A$200,A25,aditivos!$C$2:$C$200,"C3"),2))</f>
        <v/>
      </c>
      <c r="Q25" s="176">
        <f>IF(A25="","",ROUND(M25+P25,2))</f>
        <v/>
      </c>
      <c r="R25" s="176">
        <f>IF(A25="","",IF(itens_Remanesc!I25="","",itens_Remanesc!I25))</f>
        <v/>
      </c>
      <c r="S25" s="182">
        <f>IF(A25="","",IF($Y25="","",IF($Y25&gt;3,"",IF(ISNUMBER(R25),ROUND(R25+P25,2),IF($Y25=3,ROUND(P25,2),"")))))</f>
        <v/>
      </c>
      <c r="T25" s="174">
        <f>IF(A25="","",ROUND(SUMIFS(aditivos!$L$2:$L$200,aditivos!$A$2:$A$200,A25,aditivos!$C$2:$C$200,"C4"),2))</f>
        <v/>
      </c>
      <c r="U25" s="170">
        <f>IF(A25="","",ROUND(Q25+T25,2))</f>
        <v/>
      </c>
      <c r="V25" s="170">
        <f>IF(A25="","",IF(itens_Remanesc!K25="","",itens_Remanesc!K25))</f>
        <v/>
      </c>
      <c r="W25" s="170">
        <f>IF(A25="","",IF($Y25="","",IF($Y25&gt;4,"",IF(ISNUMBER(V25),ROUND(V25+T25,2),IF($Y25=4,ROUND(T25,2),"")))))</f>
        <v/>
      </c>
      <c r="X25" s="156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>
        <f>IF($A25="","",IF($E25&gt;0,0,IF($I25&gt;0,1,IF($M25&gt;0,2,IF($Q25&gt;0,3,IF($U25&gt;0,4,""))))))</f>
        <v/>
      </c>
      <c r="Z25">
        <f>IF($A25="",FALSE,AND(LEN(TRIM($A25))=4,LEFT(TRIM($A25),1)="N",ISNUMBER(--MID(TRIM($A25),2,3)),ISERROR(FIND(".",$A25)),ISERROR(FIND(",",$A25)),ISERROR(FIND("-",$A25)),ISERROR(FIND("+",$A25)),ISERROR(SEARCH("E",$A25,2)),ISERROR(FIND(" ",TRIM($A25)))))</f>
        <v/>
      </c>
    </row>
    <row r="26">
      <c r="A26" s="156">
        <f>IF(itens_Remanesc!A26="","",itens_Remanesc!A26)</f>
        <v/>
      </c>
      <c r="B26" s="218">
        <f>IF(A26="","",itens_Remanesc!C26)</f>
        <v/>
      </c>
      <c r="C26" s="172">
        <f>IF(A26="","",IF(itens_Remanesc!B26="",0,itens_Remanesc!B26))</f>
        <v/>
      </c>
      <c r="D26" s="174">
        <f>IF(A26="","",ROUND(SUMIFS(aditivos!$L$2:$L$200,aditivos!$A$2:$A$200,A26,aditivos!$C$2:$C$200,"C0"),2))</f>
        <v/>
      </c>
      <c r="E26" s="170">
        <f>IF(A26="","",ROUND(C26+D26,2))</f>
        <v/>
      </c>
      <c r="F26" s="170">
        <f>IF(A26="","",IF(itens_Remanesc!B26&lt;&gt;"",itens_Remanesc!B26,IF($Z26,0,"")))</f>
        <v/>
      </c>
      <c r="G26" s="178">
        <f>IF(A26="","",IF($Y26="","",IF($Y26&gt;0,"",ROUND(E26,2))))</f>
        <v/>
      </c>
      <c r="H26" s="180">
        <f>IF(A26="","",ROUND(SUMIFS(aditivos!$L$2:$L$200,aditivos!$A$2:$A$200,A26,aditivos!$C$2:$C$200,"C1"),2))</f>
        <v/>
      </c>
      <c r="I26" s="176">
        <f>IF(A26="","",ROUND(E26+H26,2))</f>
        <v/>
      </c>
      <c r="J26" s="176">
        <f>IF(A26="","",IF(itens_Remanesc!E26="","",itens_Remanesc!E26))</f>
        <v/>
      </c>
      <c r="K26" s="182">
        <f>IF(A26="","",IF($Y26="","",IF($Y26&gt;1,"",IF(ISNUMBER(J26),ROUND(J26+H26,2),IF($Y26=1,ROUND(H26,2),"")))))</f>
        <v/>
      </c>
      <c r="L26" s="174">
        <f>IF(A26="","",ROUND(SUMIFS(aditivos!$L$2:$L$200,aditivos!$A$2:$A$200,A26,aditivos!$C$2:$C$200,"C2"),2))</f>
        <v/>
      </c>
      <c r="M26" s="170">
        <f>IF(A26="","",ROUND(I26+L26,2))</f>
        <v/>
      </c>
      <c r="N26" s="170">
        <f>IF(A26="","",IF(itens_Remanesc!G26="","",itens_Remanesc!G26))</f>
        <v/>
      </c>
      <c r="O26" s="178">
        <f>IF(A26="","",IF($Y26="","",IF($Y26&gt;2,"",IF(ISNUMBER(N26),ROUND(N26+L26,2),IF($Y26=2,ROUND(L26,2),"")))))</f>
        <v/>
      </c>
      <c r="P26" s="180">
        <f>IF(A26="","",ROUND(SUMIFS(aditivos!$L$2:$L$200,aditivos!$A$2:$A$200,A26,aditivos!$C$2:$C$200,"C3"),2))</f>
        <v/>
      </c>
      <c r="Q26" s="176">
        <f>IF(A26="","",ROUND(M26+P26,2))</f>
        <v/>
      </c>
      <c r="R26" s="176">
        <f>IF(A26="","",IF(itens_Remanesc!I26="","",itens_Remanesc!I26))</f>
        <v/>
      </c>
      <c r="S26" s="182">
        <f>IF(A26="","",IF($Y26="","",IF($Y26&gt;3,"",IF(ISNUMBER(R26),ROUND(R26+P26,2),IF($Y26=3,ROUND(P26,2),"")))))</f>
        <v/>
      </c>
      <c r="T26" s="174">
        <f>IF(A26="","",ROUND(SUMIFS(aditivos!$L$2:$L$200,aditivos!$A$2:$A$200,A26,aditivos!$C$2:$C$200,"C4"),2))</f>
        <v/>
      </c>
      <c r="U26" s="170">
        <f>IF(A26="","",ROUND(Q26+T26,2))</f>
        <v/>
      </c>
      <c r="V26" s="170">
        <f>IF(A26="","",IF(itens_Remanesc!K26="","",itens_Remanesc!K26))</f>
        <v/>
      </c>
      <c r="W26" s="170">
        <f>IF(A26="","",IF($Y26="","",IF($Y26&gt;4,"",IF(ISNUMBER(V26),ROUND(V26+T26,2),IF($Y26=4,ROUND(T26,2),"")))))</f>
        <v/>
      </c>
      <c r="X26" s="156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>
        <f>IF($A26="","",IF($E26&gt;0,0,IF($I26&gt;0,1,IF($M26&gt;0,2,IF($Q26&gt;0,3,IF($U26&gt;0,4,""))))))</f>
        <v/>
      </c>
      <c r="Z26">
        <f>IF($A26="",FALSE,AND(LEN(TRIM($A26))=4,LEFT(TRIM($A26),1)="N",ISNUMBER(--MID(TRIM($A26),2,3)),ISERROR(FIND(".",$A26)),ISERROR(FIND(",",$A26)),ISERROR(FIND("-",$A26)),ISERROR(FIND("+",$A26)),ISERROR(SEARCH("E",$A26,2)),ISERROR(FIND(" ",TRIM($A26)))))</f>
        <v/>
      </c>
    </row>
    <row r="27">
      <c r="A27" s="156">
        <f>IF(itens_Remanesc!A27="","",itens_Remanesc!A27)</f>
        <v/>
      </c>
      <c r="B27" s="218">
        <f>IF(A27="","",itens_Remanesc!C27)</f>
        <v/>
      </c>
      <c r="C27" s="172">
        <f>IF(A27="","",IF(itens_Remanesc!B27="",0,itens_Remanesc!B27))</f>
        <v/>
      </c>
      <c r="D27" s="174">
        <f>IF(A27="","",ROUND(SUMIFS(aditivos!$L$2:$L$200,aditivos!$A$2:$A$200,A27,aditivos!$C$2:$C$200,"C0"),2))</f>
        <v/>
      </c>
      <c r="E27" s="170">
        <f>IF(A27="","",ROUND(C27+D27,2))</f>
        <v/>
      </c>
      <c r="F27" s="170">
        <f>IF(A27="","",IF(itens_Remanesc!B27&lt;&gt;"",itens_Remanesc!B27,IF($Z27,0,"")))</f>
        <v/>
      </c>
      <c r="G27" s="178">
        <f>IF(A27="","",IF($Y27="","",IF($Y27&gt;0,"",ROUND(E27,2))))</f>
        <v/>
      </c>
      <c r="H27" s="180">
        <f>IF(A27="","",ROUND(SUMIFS(aditivos!$L$2:$L$200,aditivos!$A$2:$A$200,A27,aditivos!$C$2:$C$200,"C1"),2))</f>
        <v/>
      </c>
      <c r="I27" s="176">
        <f>IF(A27="","",ROUND(E27+H27,2))</f>
        <v/>
      </c>
      <c r="J27" s="176">
        <f>IF(A27="","",IF(itens_Remanesc!E27="","",itens_Remanesc!E27))</f>
        <v/>
      </c>
      <c r="K27" s="182">
        <f>IF(A27="","",IF($Y27="","",IF($Y27&gt;1,"",IF(ISNUMBER(J27),ROUND(J27+H27,2),IF($Y27=1,ROUND(H27,2),"")))))</f>
        <v/>
      </c>
      <c r="L27" s="174">
        <f>IF(A27="","",ROUND(SUMIFS(aditivos!$L$2:$L$200,aditivos!$A$2:$A$200,A27,aditivos!$C$2:$C$200,"C2"),2))</f>
        <v/>
      </c>
      <c r="M27" s="170">
        <f>IF(A27="","",ROUND(I27+L27,2))</f>
        <v/>
      </c>
      <c r="N27" s="170">
        <f>IF(A27="","",IF(itens_Remanesc!G27="","",itens_Remanesc!G27))</f>
        <v/>
      </c>
      <c r="O27" s="178">
        <f>IF(A27="","",IF($Y27="","",IF($Y27&gt;2,"",IF(ISNUMBER(N27),ROUND(N27+L27,2),IF($Y27=2,ROUND(L27,2),"")))))</f>
        <v/>
      </c>
      <c r="P27" s="180">
        <f>IF(A27="","",ROUND(SUMIFS(aditivos!$L$2:$L$200,aditivos!$A$2:$A$200,A27,aditivos!$C$2:$C$200,"C3"),2))</f>
        <v/>
      </c>
      <c r="Q27" s="176">
        <f>IF(A27="","",ROUND(M27+P27,2))</f>
        <v/>
      </c>
      <c r="R27" s="176">
        <f>IF(A27="","",IF(itens_Remanesc!I27="","",itens_Remanesc!I27))</f>
        <v/>
      </c>
      <c r="S27" s="182">
        <f>IF(A27="","",IF($Y27="","",IF($Y27&gt;3,"",IF(ISNUMBER(R27),ROUND(R27+P27,2),IF($Y27=3,ROUND(P27,2),"")))))</f>
        <v/>
      </c>
      <c r="T27" s="174">
        <f>IF(A27="","",ROUND(SUMIFS(aditivos!$L$2:$L$200,aditivos!$A$2:$A$200,A27,aditivos!$C$2:$C$200,"C4"),2))</f>
        <v/>
      </c>
      <c r="U27" s="170">
        <f>IF(A27="","",ROUND(Q27+T27,2))</f>
        <v/>
      </c>
      <c r="V27" s="170">
        <f>IF(A27="","",IF(itens_Remanesc!K27="","",itens_Remanesc!K27))</f>
        <v/>
      </c>
      <c r="W27" s="170">
        <f>IF(A27="","",IF($Y27="","",IF($Y27&gt;4,"",IF(ISNUMBER(V27),ROUND(V27+T27,2),IF($Y27=4,ROUND(T27,2),"")))))</f>
        <v/>
      </c>
      <c r="X27" s="156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>
        <f>IF($A27="","",IF($E27&gt;0,0,IF($I27&gt;0,1,IF($M27&gt;0,2,IF($Q27&gt;0,3,IF($U27&gt;0,4,""))))))</f>
        <v/>
      </c>
      <c r="Z27">
        <f>IF($A27="",FALSE,AND(LEN(TRIM($A27))=4,LEFT(TRIM($A27),1)="N",ISNUMBER(--MID(TRIM($A27),2,3)),ISERROR(FIND(".",$A27)),ISERROR(FIND(",",$A27)),ISERROR(FIND("-",$A27)),ISERROR(FIND("+",$A27)),ISERROR(SEARCH("E",$A27,2)),ISERROR(FIND(" ",TRIM($A27)))))</f>
        <v/>
      </c>
    </row>
    <row r="28">
      <c r="A28" s="156">
        <f>IF(itens_Remanesc!A28="","",itens_Remanesc!A28)</f>
        <v/>
      </c>
      <c r="B28" s="218">
        <f>IF(A28="","",itens_Remanesc!C28)</f>
        <v/>
      </c>
      <c r="C28" s="172">
        <f>IF(A28="","",IF(itens_Remanesc!B28="",0,itens_Remanesc!B28))</f>
        <v/>
      </c>
      <c r="D28" s="174">
        <f>IF(A28="","",ROUND(SUMIFS(aditivos!$L$2:$L$200,aditivos!$A$2:$A$200,A28,aditivos!$C$2:$C$200,"C0"),2))</f>
        <v/>
      </c>
      <c r="E28" s="170">
        <f>IF(A28="","",ROUND(C28+D28,2))</f>
        <v/>
      </c>
      <c r="F28" s="170">
        <f>IF(A28="","",IF(itens_Remanesc!B28&lt;&gt;"",itens_Remanesc!B28,IF($Z28,0,"")))</f>
        <v/>
      </c>
      <c r="G28" s="178">
        <f>IF(A28="","",IF($Y28="","",IF($Y28&gt;0,"",ROUND(E28,2))))</f>
        <v/>
      </c>
      <c r="H28" s="180">
        <f>IF(A28="","",ROUND(SUMIFS(aditivos!$L$2:$L$200,aditivos!$A$2:$A$200,A28,aditivos!$C$2:$C$200,"C1"),2))</f>
        <v/>
      </c>
      <c r="I28" s="176">
        <f>IF(A28="","",ROUND(E28+H28,2))</f>
        <v/>
      </c>
      <c r="J28" s="176">
        <f>IF(A28="","",IF(itens_Remanesc!E28="","",itens_Remanesc!E28))</f>
        <v/>
      </c>
      <c r="K28" s="182">
        <f>IF(A28="","",IF($Y28="","",IF($Y28&gt;1,"",IF(ISNUMBER(J28),ROUND(J28+H28,2),IF($Y28=1,ROUND(H28,2),"")))))</f>
        <v/>
      </c>
      <c r="L28" s="174">
        <f>IF(A28="","",ROUND(SUMIFS(aditivos!$L$2:$L$200,aditivos!$A$2:$A$200,A28,aditivos!$C$2:$C$200,"C2"),2))</f>
        <v/>
      </c>
      <c r="M28" s="170">
        <f>IF(A28="","",ROUND(I28+L28,2))</f>
        <v/>
      </c>
      <c r="N28" s="170">
        <f>IF(A28="","",IF(itens_Remanesc!G28="","",itens_Remanesc!G28))</f>
        <v/>
      </c>
      <c r="O28" s="178">
        <f>IF(A28="","",IF($Y28="","",IF($Y28&gt;2,"",IF(ISNUMBER(N28),ROUND(N28+L28,2),IF($Y28=2,ROUND(L28,2),"")))))</f>
        <v/>
      </c>
      <c r="P28" s="180">
        <f>IF(A28="","",ROUND(SUMIFS(aditivos!$L$2:$L$200,aditivos!$A$2:$A$200,A28,aditivos!$C$2:$C$200,"C3"),2))</f>
        <v/>
      </c>
      <c r="Q28" s="176">
        <f>IF(A28="","",ROUND(M28+P28,2))</f>
        <v/>
      </c>
      <c r="R28" s="176">
        <f>IF(A28="","",IF(itens_Remanesc!I28="","",itens_Remanesc!I28))</f>
        <v/>
      </c>
      <c r="S28" s="182">
        <f>IF(A28="","",IF($Y28="","",IF($Y28&gt;3,"",IF(ISNUMBER(R28),ROUND(R28+P28,2),IF($Y28=3,ROUND(P28,2),"")))))</f>
        <v/>
      </c>
      <c r="T28" s="174">
        <f>IF(A28="","",ROUND(SUMIFS(aditivos!$L$2:$L$200,aditivos!$A$2:$A$200,A28,aditivos!$C$2:$C$200,"C4"),2))</f>
        <v/>
      </c>
      <c r="U28" s="170">
        <f>IF(A28="","",ROUND(Q28+T28,2))</f>
        <v/>
      </c>
      <c r="V28" s="170">
        <f>IF(A28="","",IF(itens_Remanesc!K28="","",itens_Remanesc!K28))</f>
        <v/>
      </c>
      <c r="W28" s="170">
        <f>IF(A28="","",IF($Y28="","",IF($Y28&gt;4,"",IF(ISNUMBER(V28),ROUND(V28+T28,2),IF($Y28=4,ROUND(T28,2),"")))))</f>
        <v/>
      </c>
      <c r="X28" s="156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>
        <f>IF($A28="","",IF($E28&gt;0,0,IF($I28&gt;0,1,IF($M28&gt;0,2,IF($Q28&gt;0,3,IF($U28&gt;0,4,""))))))</f>
        <v/>
      </c>
      <c r="Z28">
        <f>IF($A28="",FALSE,AND(LEN(TRIM($A28))=4,LEFT(TRIM($A28),1)="N",ISNUMBER(--MID(TRIM($A28),2,3)),ISERROR(FIND(".",$A28)),ISERROR(FIND(",",$A28)),ISERROR(FIND("-",$A28)),ISERROR(FIND("+",$A28)),ISERROR(SEARCH("E",$A28,2)),ISERROR(FIND(" ",TRIM($A28)))))</f>
        <v/>
      </c>
    </row>
    <row r="29">
      <c r="A29" s="156">
        <f>IF(itens_Remanesc!A29="","",itens_Remanesc!A29)</f>
        <v/>
      </c>
      <c r="B29" s="218">
        <f>IF(A29="","",itens_Remanesc!C29)</f>
        <v/>
      </c>
      <c r="C29" s="172">
        <f>IF(A29="","",IF(itens_Remanesc!B29="",0,itens_Remanesc!B29))</f>
        <v/>
      </c>
      <c r="D29" s="174">
        <f>IF(A29="","",ROUND(SUMIFS(aditivos!$L$2:$L$200,aditivos!$A$2:$A$200,A29,aditivos!$C$2:$C$200,"C0"),2))</f>
        <v/>
      </c>
      <c r="E29" s="170">
        <f>IF(A29="","",ROUND(C29+D29,2))</f>
        <v/>
      </c>
      <c r="F29" s="170">
        <f>IF(A29="","",IF(itens_Remanesc!B29&lt;&gt;"",itens_Remanesc!B29,IF($Z29,0,"")))</f>
        <v/>
      </c>
      <c r="G29" s="178">
        <f>IF(A29="","",IF($Y29="","",IF($Y29&gt;0,"",ROUND(E29,2))))</f>
        <v/>
      </c>
      <c r="H29" s="180">
        <f>IF(A29="","",ROUND(SUMIFS(aditivos!$L$2:$L$200,aditivos!$A$2:$A$200,A29,aditivos!$C$2:$C$200,"C1"),2))</f>
        <v/>
      </c>
      <c r="I29" s="176">
        <f>IF(A29="","",ROUND(E29+H29,2))</f>
        <v/>
      </c>
      <c r="J29" s="176">
        <f>IF(A29="","",IF(itens_Remanesc!E29="","",itens_Remanesc!E29))</f>
        <v/>
      </c>
      <c r="K29" s="182">
        <f>IF(A29="","",IF($Y29="","",IF($Y29&gt;1,"",IF(ISNUMBER(J29),ROUND(J29+H29,2),IF($Y29=1,ROUND(H29,2),"")))))</f>
        <v/>
      </c>
      <c r="L29" s="174">
        <f>IF(A29="","",ROUND(SUMIFS(aditivos!$L$2:$L$200,aditivos!$A$2:$A$200,A29,aditivos!$C$2:$C$200,"C2"),2))</f>
        <v/>
      </c>
      <c r="M29" s="170">
        <f>IF(A29="","",ROUND(I29+L29,2))</f>
        <v/>
      </c>
      <c r="N29" s="170">
        <f>IF(A29="","",IF(itens_Remanesc!G29="","",itens_Remanesc!G29))</f>
        <v/>
      </c>
      <c r="O29" s="178">
        <f>IF(A29="","",IF($Y29="","",IF($Y29&gt;2,"",IF(ISNUMBER(N29),ROUND(N29+L29,2),IF($Y29=2,ROUND(L29,2),"")))))</f>
        <v/>
      </c>
      <c r="P29" s="180">
        <f>IF(A29="","",ROUND(SUMIFS(aditivos!$L$2:$L$200,aditivos!$A$2:$A$200,A29,aditivos!$C$2:$C$200,"C3"),2))</f>
        <v/>
      </c>
      <c r="Q29" s="176">
        <f>IF(A29="","",ROUND(M29+P29,2))</f>
        <v/>
      </c>
      <c r="R29" s="176">
        <f>IF(A29="","",IF(itens_Remanesc!I29="","",itens_Remanesc!I29))</f>
        <v/>
      </c>
      <c r="S29" s="182">
        <f>IF(A29="","",IF($Y29="","",IF($Y29&gt;3,"",IF(ISNUMBER(R29),ROUND(R29+P29,2),IF($Y29=3,ROUND(P29,2),"")))))</f>
        <v/>
      </c>
      <c r="T29" s="174">
        <f>IF(A29="","",ROUND(SUMIFS(aditivos!$L$2:$L$200,aditivos!$A$2:$A$200,A29,aditivos!$C$2:$C$200,"C4"),2))</f>
        <v/>
      </c>
      <c r="U29" s="170">
        <f>IF(A29="","",ROUND(Q29+T29,2))</f>
        <v/>
      </c>
      <c r="V29" s="170">
        <f>IF(A29="","",IF(itens_Remanesc!K29="","",itens_Remanesc!K29))</f>
        <v/>
      </c>
      <c r="W29" s="170">
        <f>IF(A29="","",IF($Y29="","",IF($Y29&gt;4,"",IF(ISNUMBER(V29),ROUND(V29+T29,2),IF($Y29=4,ROUND(T29,2),"")))))</f>
        <v/>
      </c>
      <c r="X29" s="156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>
        <f>IF($A29="","",IF($E29&gt;0,0,IF($I29&gt;0,1,IF($M29&gt;0,2,IF($Q29&gt;0,3,IF($U29&gt;0,4,""))))))</f>
        <v/>
      </c>
      <c r="Z29">
        <f>IF($A29="",FALSE,AND(LEN(TRIM($A29))=4,LEFT(TRIM($A29),1)="N",ISNUMBER(--MID(TRIM($A29),2,3)),ISERROR(FIND(".",$A29)),ISERROR(FIND(",",$A29)),ISERROR(FIND("-",$A29)),ISERROR(FIND("+",$A29)),ISERROR(SEARCH("E",$A29,2)),ISERROR(FIND(" ",TRIM($A29)))))</f>
        <v/>
      </c>
    </row>
    <row r="30">
      <c r="A30" s="156">
        <f>IF(itens_Remanesc!A30="","",itens_Remanesc!A30)</f>
        <v/>
      </c>
      <c r="B30" s="218">
        <f>IF(A30="","",itens_Remanesc!C30)</f>
        <v/>
      </c>
      <c r="C30" s="172">
        <f>IF(A30="","",IF(itens_Remanesc!B30="",0,itens_Remanesc!B30))</f>
        <v/>
      </c>
      <c r="D30" s="174">
        <f>IF(A30="","",ROUND(SUMIFS(aditivos!$L$2:$L$200,aditivos!$A$2:$A$200,A30,aditivos!$C$2:$C$200,"C0"),2))</f>
        <v/>
      </c>
      <c r="E30" s="170">
        <f>IF(A30="","",ROUND(C30+D30,2))</f>
        <v/>
      </c>
      <c r="F30" s="170">
        <f>IF(A30="","",IF(itens_Remanesc!B30&lt;&gt;"",itens_Remanesc!B30,IF($Z30,0,"")))</f>
        <v/>
      </c>
      <c r="G30" s="178">
        <f>IF(A30="","",IF($Y30="","",IF($Y30&gt;0,"",ROUND(E30,2))))</f>
        <v/>
      </c>
      <c r="H30" s="180">
        <f>IF(A30="","",ROUND(SUMIFS(aditivos!$L$2:$L$200,aditivos!$A$2:$A$200,A30,aditivos!$C$2:$C$200,"C1"),2))</f>
        <v/>
      </c>
      <c r="I30" s="176">
        <f>IF(A30="","",ROUND(E30+H30,2))</f>
        <v/>
      </c>
      <c r="J30" s="176">
        <f>IF(A30="","",IF(itens_Remanesc!E30="","",itens_Remanesc!E30))</f>
        <v/>
      </c>
      <c r="K30" s="182">
        <f>IF(A30="","",IF($Y30="","",IF($Y30&gt;1,"",IF(ISNUMBER(J30),ROUND(J30+H30,2),IF($Y30=1,ROUND(H30,2),"")))))</f>
        <v/>
      </c>
      <c r="L30" s="174">
        <f>IF(A30="","",ROUND(SUMIFS(aditivos!$L$2:$L$200,aditivos!$A$2:$A$200,A30,aditivos!$C$2:$C$200,"C2"),2))</f>
        <v/>
      </c>
      <c r="M30" s="170">
        <f>IF(A30="","",ROUND(I30+L30,2))</f>
        <v/>
      </c>
      <c r="N30" s="170">
        <f>IF(A30="","",IF(itens_Remanesc!G30="","",itens_Remanesc!G30))</f>
        <v/>
      </c>
      <c r="O30" s="178">
        <f>IF(A30="","",IF($Y30="","",IF($Y30&gt;2,"",IF(ISNUMBER(N30),ROUND(N30+L30,2),IF($Y30=2,ROUND(L30,2),"")))))</f>
        <v/>
      </c>
      <c r="P30" s="180">
        <f>IF(A30="","",ROUND(SUMIFS(aditivos!$L$2:$L$200,aditivos!$A$2:$A$200,A30,aditivos!$C$2:$C$200,"C3"),2))</f>
        <v/>
      </c>
      <c r="Q30" s="176">
        <f>IF(A30="","",ROUND(M30+P30,2))</f>
        <v/>
      </c>
      <c r="R30" s="176">
        <f>IF(A30="","",IF(itens_Remanesc!I30="","",itens_Remanesc!I30))</f>
        <v/>
      </c>
      <c r="S30" s="182">
        <f>IF(A30="","",IF($Y30="","",IF($Y30&gt;3,"",IF(ISNUMBER(R30),ROUND(R30+P30,2),IF($Y30=3,ROUND(P30,2),"")))))</f>
        <v/>
      </c>
      <c r="T30" s="174">
        <f>IF(A30="","",ROUND(SUMIFS(aditivos!$L$2:$L$200,aditivos!$A$2:$A$200,A30,aditivos!$C$2:$C$200,"C4"),2))</f>
        <v/>
      </c>
      <c r="U30" s="170">
        <f>IF(A30="","",ROUND(Q30+T30,2))</f>
        <v/>
      </c>
      <c r="V30" s="170">
        <f>IF(A30="","",IF(itens_Remanesc!K30="","",itens_Remanesc!K30))</f>
        <v/>
      </c>
      <c r="W30" s="170">
        <f>IF(A30="","",IF($Y30="","",IF($Y30&gt;4,"",IF(ISNUMBER(V30),ROUND(V30+T30,2),IF($Y30=4,ROUND(T30,2),"")))))</f>
        <v/>
      </c>
      <c r="X30" s="156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>
        <f>IF($A30="","",IF($E30&gt;0,0,IF($I30&gt;0,1,IF($M30&gt;0,2,IF($Q30&gt;0,3,IF($U30&gt;0,4,""))))))</f>
        <v/>
      </c>
      <c r="Z30">
        <f>IF($A30="",FALSE,AND(LEN(TRIM($A30))=4,LEFT(TRIM($A30),1)="N",ISNUMBER(--MID(TRIM($A30),2,3)),ISERROR(FIND(".",$A30)),ISERROR(FIND(",",$A30)),ISERROR(FIND("-",$A30)),ISERROR(FIND("+",$A30)),ISERROR(SEARCH("E",$A30,2)),ISERROR(FIND(" ",TRIM($A30)))))</f>
        <v/>
      </c>
    </row>
    <row r="31">
      <c r="A31" s="156">
        <f>IF(itens_Remanesc!A31="","",itens_Remanesc!A31)</f>
        <v/>
      </c>
      <c r="B31" s="218">
        <f>IF(A31="","",itens_Remanesc!C31)</f>
        <v/>
      </c>
      <c r="C31" s="172">
        <f>IF(A31="","",IF(itens_Remanesc!B31="",0,itens_Remanesc!B31))</f>
        <v/>
      </c>
      <c r="D31" s="174">
        <f>IF(A31="","",ROUND(SUMIFS(aditivos!$L$2:$L$200,aditivos!$A$2:$A$200,A31,aditivos!$C$2:$C$200,"C0"),2))</f>
        <v/>
      </c>
      <c r="E31" s="170">
        <f>IF(A31="","",ROUND(C31+D31,2))</f>
        <v/>
      </c>
      <c r="F31" s="170">
        <f>IF(A31="","",IF(itens_Remanesc!B31&lt;&gt;"",itens_Remanesc!B31,IF($Z31,0,"")))</f>
        <v/>
      </c>
      <c r="G31" s="178">
        <f>IF(A31="","",IF($Y31="","",IF($Y31&gt;0,"",ROUND(E31,2))))</f>
        <v/>
      </c>
      <c r="H31" s="180">
        <f>IF(A31="","",ROUND(SUMIFS(aditivos!$L$2:$L$200,aditivos!$A$2:$A$200,A31,aditivos!$C$2:$C$200,"C1"),2))</f>
        <v/>
      </c>
      <c r="I31" s="176">
        <f>IF(A31="","",ROUND(E31+H31,2))</f>
        <v/>
      </c>
      <c r="J31" s="176">
        <f>IF(A31="","",IF(itens_Remanesc!E31="","",itens_Remanesc!E31))</f>
        <v/>
      </c>
      <c r="K31" s="182">
        <f>IF(A31="","",IF($Y31="","",IF($Y31&gt;1,"",IF(ISNUMBER(J31),ROUND(J31+H31,2),IF($Y31=1,ROUND(H31,2),"")))))</f>
        <v/>
      </c>
      <c r="L31" s="174">
        <f>IF(A31="","",ROUND(SUMIFS(aditivos!$L$2:$L$200,aditivos!$A$2:$A$200,A31,aditivos!$C$2:$C$200,"C2"),2))</f>
        <v/>
      </c>
      <c r="M31" s="170">
        <f>IF(A31="","",ROUND(I31+L31,2))</f>
        <v/>
      </c>
      <c r="N31" s="170">
        <f>IF(A31="","",IF(itens_Remanesc!G31="","",itens_Remanesc!G31))</f>
        <v/>
      </c>
      <c r="O31" s="178">
        <f>IF(A31="","",IF($Y31="","",IF($Y31&gt;2,"",IF(ISNUMBER(N31),ROUND(N31+L31,2),IF($Y31=2,ROUND(L31,2),"")))))</f>
        <v/>
      </c>
      <c r="P31" s="180">
        <f>IF(A31="","",ROUND(SUMIFS(aditivos!$L$2:$L$200,aditivos!$A$2:$A$200,A31,aditivos!$C$2:$C$200,"C3"),2))</f>
        <v/>
      </c>
      <c r="Q31" s="176">
        <f>IF(A31="","",ROUND(M31+P31,2))</f>
        <v/>
      </c>
      <c r="R31" s="176">
        <f>IF(A31="","",IF(itens_Remanesc!I31="","",itens_Remanesc!I31))</f>
        <v/>
      </c>
      <c r="S31" s="182">
        <f>IF(A31="","",IF($Y31="","",IF($Y31&gt;3,"",IF(ISNUMBER(R31),ROUND(R31+P31,2),IF($Y31=3,ROUND(P31,2),"")))))</f>
        <v/>
      </c>
      <c r="T31" s="174">
        <f>IF(A31="","",ROUND(SUMIFS(aditivos!$L$2:$L$200,aditivos!$A$2:$A$200,A31,aditivos!$C$2:$C$200,"C4"),2))</f>
        <v/>
      </c>
      <c r="U31" s="170">
        <f>IF(A31="","",ROUND(Q31+T31,2))</f>
        <v/>
      </c>
      <c r="V31" s="170">
        <f>IF(A31="","",IF(itens_Remanesc!K31="","",itens_Remanesc!K31))</f>
        <v/>
      </c>
      <c r="W31" s="170">
        <f>IF(A31="","",IF($Y31="","",IF($Y31&gt;4,"",IF(ISNUMBER(V31),ROUND(V31+T31,2),IF($Y31=4,ROUND(T31,2),"")))))</f>
        <v/>
      </c>
      <c r="X31" s="156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>
        <f>IF($A31="","",IF($E31&gt;0,0,IF($I31&gt;0,1,IF($M31&gt;0,2,IF($Q31&gt;0,3,IF($U31&gt;0,4,""))))))</f>
        <v/>
      </c>
      <c r="Z31">
        <f>IF($A31="",FALSE,AND(LEN(TRIM($A31))=4,LEFT(TRIM($A31),1)="N",ISNUMBER(--MID(TRIM($A31),2,3)),ISERROR(FIND(".",$A31)),ISERROR(FIND(",",$A31)),ISERROR(FIND("-",$A31)),ISERROR(FIND("+",$A31)),ISERROR(SEARCH("E",$A31,2)),ISERROR(FIND(" ",TRIM($A31)))))</f>
        <v/>
      </c>
    </row>
    <row r="32">
      <c r="A32" s="156">
        <f>IF(itens_Remanesc!A32="","",itens_Remanesc!A32)</f>
        <v/>
      </c>
      <c r="B32" s="218">
        <f>IF(A32="","",itens_Remanesc!C32)</f>
        <v/>
      </c>
      <c r="C32" s="172">
        <f>IF(A32="","",IF(itens_Remanesc!B32="",0,itens_Remanesc!B32))</f>
        <v/>
      </c>
      <c r="D32" s="174">
        <f>IF(A32="","",ROUND(SUMIFS(aditivos!$L$2:$L$200,aditivos!$A$2:$A$200,A32,aditivos!$C$2:$C$200,"C0"),2))</f>
        <v/>
      </c>
      <c r="E32" s="170">
        <f>IF(A32="","",ROUND(C32+D32,2))</f>
        <v/>
      </c>
      <c r="F32" s="170">
        <f>IF(A32="","",IF(itens_Remanesc!B32&lt;&gt;"",itens_Remanesc!B32,IF($Z32,0,"")))</f>
        <v/>
      </c>
      <c r="G32" s="178">
        <f>IF(A32="","",IF($Y32="","",IF($Y32&gt;0,"",ROUND(E32,2))))</f>
        <v/>
      </c>
      <c r="H32" s="180">
        <f>IF(A32="","",ROUND(SUMIFS(aditivos!$L$2:$L$200,aditivos!$A$2:$A$200,A32,aditivos!$C$2:$C$200,"C1"),2))</f>
        <v/>
      </c>
      <c r="I32" s="176">
        <f>IF(A32="","",ROUND(E32+H32,2))</f>
        <v/>
      </c>
      <c r="J32" s="176">
        <f>IF(A32="","",IF(itens_Remanesc!E32="","",itens_Remanesc!E32))</f>
        <v/>
      </c>
      <c r="K32" s="182">
        <f>IF(A32="","",IF($Y32="","",IF($Y32&gt;1,"",IF(ISNUMBER(J32),ROUND(J32+H32,2),IF($Y32=1,ROUND(H32,2),"")))))</f>
        <v/>
      </c>
      <c r="L32" s="174">
        <f>IF(A32="","",ROUND(SUMIFS(aditivos!$L$2:$L$200,aditivos!$A$2:$A$200,A32,aditivos!$C$2:$C$200,"C2"),2))</f>
        <v/>
      </c>
      <c r="M32" s="170">
        <f>IF(A32="","",ROUND(I32+L32,2))</f>
        <v/>
      </c>
      <c r="N32" s="170">
        <f>IF(A32="","",IF(itens_Remanesc!G32="","",itens_Remanesc!G32))</f>
        <v/>
      </c>
      <c r="O32" s="178">
        <f>IF(A32="","",IF($Y32="","",IF($Y32&gt;2,"",IF(ISNUMBER(N32),ROUND(N32+L32,2),IF($Y32=2,ROUND(L32,2),"")))))</f>
        <v/>
      </c>
      <c r="P32" s="180">
        <f>IF(A32="","",ROUND(SUMIFS(aditivos!$L$2:$L$200,aditivos!$A$2:$A$200,A32,aditivos!$C$2:$C$200,"C3"),2))</f>
        <v/>
      </c>
      <c r="Q32" s="176">
        <f>IF(A32="","",ROUND(M32+P32,2))</f>
        <v/>
      </c>
      <c r="R32" s="176">
        <f>IF(A32="","",IF(itens_Remanesc!I32="","",itens_Remanesc!I32))</f>
        <v/>
      </c>
      <c r="S32" s="182">
        <f>IF(A32="","",IF($Y32="","",IF($Y32&gt;3,"",IF(ISNUMBER(R32),ROUND(R32+P32,2),IF($Y32=3,ROUND(P32,2),"")))))</f>
        <v/>
      </c>
      <c r="T32" s="174">
        <f>IF(A32="","",ROUND(SUMIFS(aditivos!$L$2:$L$200,aditivos!$A$2:$A$200,A32,aditivos!$C$2:$C$200,"C4"),2))</f>
        <v/>
      </c>
      <c r="U32" s="170">
        <f>IF(A32="","",ROUND(Q32+T32,2))</f>
        <v/>
      </c>
      <c r="V32" s="170">
        <f>IF(A32="","",IF(itens_Remanesc!K32="","",itens_Remanesc!K32))</f>
        <v/>
      </c>
      <c r="W32" s="170">
        <f>IF(A32="","",IF($Y32="","",IF($Y32&gt;4,"",IF(ISNUMBER(V32),ROUND(V32+T32,2),IF($Y32=4,ROUND(T32,2),"")))))</f>
        <v/>
      </c>
      <c r="X32" s="156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>
        <f>IF($A32="","",IF($E32&gt;0,0,IF($I32&gt;0,1,IF($M32&gt;0,2,IF($Q32&gt;0,3,IF($U32&gt;0,4,""))))))</f>
        <v/>
      </c>
      <c r="Z32">
        <f>IF($A32="",FALSE,AND(LEN(TRIM($A32))=4,LEFT(TRIM($A32),1)="N",ISNUMBER(--MID(TRIM($A32),2,3)),ISERROR(FIND(".",$A32)),ISERROR(FIND(",",$A32)),ISERROR(FIND("-",$A32)),ISERROR(FIND("+",$A32)),ISERROR(SEARCH("E",$A32,2)),ISERROR(FIND(" ",TRIM($A32)))))</f>
        <v/>
      </c>
    </row>
    <row r="33">
      <c r="A33" s="156">
        <f>IF(itens_Remanesc!A33="","",itens_Remanesc!A33)</f>
        <v/>
      </c>
      <c r="B33" s="218">
        <f>IF(A33="","",itens_Remanesc!C33)</f>
        <v/>
      </c>
      <c r="C33" s="172">
        <f>IF(A33="","",IF(itens_Remanesc!B33="",0,itens_Remanesc!B33))</f>
        <v/>
      </c>
      <c r="D33" s="174">
        <f>IF(A33="","",ROUND(SUMIFS(aditivos!$L$2:$L$200,aditivos!$A$2:$A$200,A33,aditivos!$C$2:$C$200,"C0"),2))</f>
        <v/>
      </c>
      <c r="E33" s="170">
        <f>IF(A33="","",ROUND(C33+D33,2))</f>
        <v/>
      </c>
      <c r="F33" s="170">
        <f>IF(A33="","",IF(itens_Remanesc!B33&lt;&gt;"",itens_Remanesc!B33,IF($Z33,0,"")))</f>
        <v/>
      </c>
      <c r="G33" s="178">
        <f>IF(A33="","",IF($Y33="","",IF($Y33&gt;0,"",ROUND(E33,2))))</f>
        <v/>
      </c>
      <c r="H33" s="180">
        <f>IF(A33="","",ROUND(SUMIFS(aditivos!$L$2:$L$200,aditivos!$A$2:$A$200,A33,aditivos!$C$2:$C$200,"C1"),2))</f>
        <v/>
      </c>
      <c r="I33" s="176">
        <f>IF(A33="","",ROUND(E33+H33,2))</f>
        <v/>
      </c>
      <c r="J33" s="176">
        <f>IF(A33="","",IF(itens_Remanesc!E33="","",itens_Remanesc!E33))</f>
        <v/>
      </c>
      <c r="K33" s="182">
        <f>IF(A33="","",IF($Y33="","",IF($Y33&gt;1,"",IF(ISNUMBER(J33),ROUND(J33+H33,2),IF($Y33=1,ROUND(H33,2),"")))))</f>
        <v/>
      </c>
      <c r="L33" s="174">
        <f>IF(A33="","",ROUND(SUMIFS(aditivos!$L$2:$L$200,aditivos!$A$2:$A$200,A33,aditivos!$C$2:$C$200,"C2"),2))</f>
        <v/>
      </c>
      <c r="M33" s="170">
        <f>IF(A33="","",ROUND(I33+L33,2))</f>
        <v/>
      </c>
      <c r="N33" s="170">
        <f>IF(A33="","",IF(itens_Remanesc!G33="","",itens_Remanesc!G33))</f>
        <v/>
      </c>
      <c r="O33" s="178">
        <f>IF(A33="","",IF($Y33="","",IF($Y33&gt;2,"",IF(ISNUMBER(N33),ROUND(N33+L33,2),IF($Y33=2,ROUND(L33,2),"")))))</f>
        <v/>
      </c>
      <c r="P33" s="180">
        <f>IF(A33="","",ROUND(SUMIFS(aditivos!$L$2:$L$200,aditivos!$A$2:$A$200,A33,aditivos!$C$2:$C$200,"C3"),2))</f>
        <v/>
      </c>
      <c r="Q33" s="176">
        <f>IF(A33="","",ROUND(M33+P33,2))</f>
        <v/>
      </c>
      <c r="R33" s="176">
        <f>IF(A33="","",IF(itens_Remanesc!I33="","",itens_Remanesc!I33))</f>
        <v/>
      </c>
      <c r="S33" s="182">
        <f>IF(A33="","",IF($Y33="","",IF($Y33&gt;3,"",IF(ISNUMBER(R33),ROUND(R33+P33,2),IF($Y33=3,ROUND(P33,2),"")))))</f>
        <v/>
      </c>
      <c r="T33" s="174">
        <f>IF(A33="","",ROUND(SUMIFS(aditivos!$L$2:$L$200,aditivos!$A$2:$A$200,A33,aditivos!$C$2:$C$200,"C4"),2))</f>
        <v/>
      </c>
      <c r="U33" s="170">
        <f>IF(A33="","",ROUND(Q33+T33,2))</f>
        <v/>
      </c>
      <c r="V33" s="170">
        <f>IF(A33="","",IF(itens_Remanesc!K33="","",itens_Remanesc!K33))</f>
        <v/>
      </c>
      <c r="W33" s="170">
        <f>IF(A33="","",IF($Y33="","",IF($Y33&gt;4,"",IF(ISNUMBER(V33),ROUND(V33+T33,2),IF($Y33=4,ROUND(T33,2),"")))))</f>
        <v/>
      </c>
      <c r="X33" s="156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>
        <f>IF($A33="","",IF($E33&gt;0,0,IF($I33&gt;0,1,IF($M33&gt;0,2,IF($Q33&gt;0,3,IF($U33&gt;0,4,""))))))</f>
        <v/>
      </c>
      <c r="Z33">
        <f>IF($A33="",FALSE,AND(LEN(TRIM($A33))=4,LEFT(TRIM($A33),1)="N",ISNUMBER(--MID(TRIM($A33),2,3)),ISERROR(FIND(".",$A33)),ISERROR(FIND(",",$A33)),ISERROR(FIND("-",$A33)),ISERROR(FIND("+",$A33)),ISERROR(SEARCH("E",$A33,2)),ISERROR(FIND(" ",TRIM($A33)))))</f>
        <v/>
      </c>
    </row>
    <row r="34">
      <c r="A34" s="156">
        <f>IF(itens_Remanesc!A34="","",itens_Remanesc!A34)</f>
        <v/>
      </c>
      <c r="B34" s="218">
        <f>IF(A34="","",itens_Remanesc!C34)</f>
        <v/>
      </c>
      <c r="C34" s="172">
        <f>IF(A34="","",IF(itens_Remanesc!B34="",0,itens_Remanesc!B34))</f>
        <v/>
      </c>
      <c r="D34" s="174">
        <f>IF(A34="","",ROUND(SUMIFS(aditivos!$L$2:$L$200,aditivos!$A$2:$A$200,A34,aditivos!$C$2:$C$200,"C0"),2))</f>
        <v/>
      </c>
      <c r="E34" s="170">
        <f>IF(A34="","",ROUND(C34+D34,2))</f>
        <v/>
      </c>
      <c r="F34" s="170">
        <f>IF(A34="","",IF(itens_Remanesc!B34&lt;&gt;"",itens_Remanesc!B34,IF($Z34,0,"")))</f>
        <v/>
      </c>
      <c r="G34" s="178">
        <f>IF(A34="","",IF($Y34="","",IF($Y34&gt;0,"",ROUND(E34,2))))</f>
        <v/>
      </c>
      <c r="H34" s="180">
        <f>IF(A34="","",ROUND(SUMIFS(aditivos!$L$2:$L$200,aditivos!$A$2:$A$200,A34,aditivos!$C$2:$C$200,"C1"),2))</f>
        <v/>
      </c>
      <c r="I34" s="176">
        <f>IF(A34="","",ROUND(E34+H34,2))</f>
        <v/>
      </c>
      <c r="J34" s="176">
        <f>IF(A34="","",IF(itens_Remanesc!E34="","",itens_Remanesc!E34))</f>
        <v/>
      </c>
      <c r="K34" s="182">
        <f>IF(A34="","",IF($Y34="","",IF($Y34&gt;1,"",IF(ISNUMBER(J34),ROUND(J34+H34,2),IF($Y34=1,ROUND(H34,2),"")))))</f>
        <v/>
      </c>
      <c r="L34" s="174">
        <f>IF(A34="","",ROUND(SUMIFS(aditivos!$L$2:$L$200,aditivos!$A$2:$A$200,A34,aditivos!$C$2:$C$200,"C2"),2))</f>
        <v/>
      </c>
      <c r="M34" s="170">
        <f>IF(A34="","",ROUND(I34+L34,2))</f>
        <v/>
      </c>
      <c r="N34" s="170">
        <f>IF(A34="","",IF(itens_Remanesc!G34="","",itens_Remanesc!G34))</f>
        <v/>
      </c>
      <c r="O34" s="178">
        <f>IF(A34="","",IF($Y34="","",IF($Y34&gt;2,"",IF(ISNUMBER(N34),ROUND(N34+L34,2),IF($Y34=2,ROUND(L34,2),"")))))</f>
        <v/>
      </c>
      <c r="P34" s="180">
        <f>IF(A34="","",ROUND(SUMIFS(aditivos!$L$2:$L$200,aditivos!$A$2:$A$200,A34,aditivos!$C$2:$C$200,"C3"),2))</f>
        <v/>
      </c>
      <c r="Q34" s="176">
        <f>IF(A34="","",ROUND(M34+P34,2))</f>
        <v/>
      </c>
      <c r="R34" s="176">
        <f>IF(A34="","",IF(itens_Remanesc!I34="","",itens_Remanesc!I34))</f>
        <v/>
      </c>
      <c r="S34" s="182">
        <f>IF(A34="","",IF($Y34="","",IF($Y34&gt;3,"",IF(ISNUMBER(R34),ROUND(R34+P34,2),IF($Y34=3,ROUND(P34,2),"")))))</f>
        <v/>
      </c>
      <c r="T34" s="174">
        <f>IF(A34="","",ROUND(SUMIFS(aditivos!$L$2:$L$200,aditivos!$A$2:$A$200,A34,aditivos!$C$2:$C$200,"C4"),2))</f>
        <v/>
      </c>
      <c r="U34" s="170">
        <f>IF(A34="","",ROUND(Q34+T34,2))</f>
        <v/>
      </c>
      <c r="V34" s="170">
        <f>IF(A34="","",IF(itens_Remanesc!K34="","",itens_Remanesc!K34))</f>
        <v/>
      </c>
      <c r="W34" s="170">
        <f>IF(A34="","",IF($Y34="","",IF($Y34&gt;4,"",IF(ISNUMBER(V34),ROUND(V34+T34,2),IF($Y34=4,ROUND(T34,2),"")))))</f>
        <v/>
      </c>
      <c r="X34" s="156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>
        <f>IF($A34="","",IF($E34&gt;0,0,IF($I34&gt;0,1,IF($M34&gt;0,2,IF($Q34&gt;0,3,IF($U34&gt;0,4,""))))))</f>
        <v/>
      </c>
      <c r="Z34">
        <f>IF($A34="",FALSE,AND(LEN(TRIM($A34))=4,LEFT(TRIM($A34),1)="N",ISNUMBER(--MID(TRIM($A34),2,3)),ISERROR(FIND(".",$A34)),ISERROR(FIND(",",$A34)),ISERROR(FIND("-",$A34)),ISERROR(FIND("+",$A34)),ISERROR(SEARCH("E",$A34,2)),ISERROR(FIND(" ",TRIM($A34)))))</f>
        <v/>
      </c>
    </row>
    <row r="35">
      <c r="A35" s="156">
        <f>IF(itens_Remanesc!A35="","",itens_Remanesc!A35)</f>
        <v/>
      </c>
      <c r="B35" s="218">
        <f>IF(A35="","",itens_Remanesc!C35)</f>
        <v/>
      </c>
      <c r="C35" s="172">
        <f>IF(A35="","",IF(itens_Remanesc!B35="",0,itens_Remanesc!B35))</f>
        <v/>
      </c>
      <c r="D35" s="174">
        <f>IF(A35="","",ROUND(SUMIFS(aditivos!$L$2:$L$200,aditivos!$A$2:$A$200,A35,aditivos!$C$2:$C$200,"C0"),2))</f>
        <v/>
      </c>
      <c r="E35" s="170">
        <f>IF(A35="","",ROUND(C35+D35,2))</f>
        <v/>
      </c>
      <c r="F35" s="170">
        <f>IF(A35="","",IF(itens_Remanesc!B35&lt;&gt;"",itens_Remanesc!B35,IF($Z35,0,"")))</f>
        <v/>
      </c>
      <c r="G35" s="178">
        <f>IF(A35="","",IF($Y35="","",IF($Y35&gt;0,"",ROUND(E35,2))))</f>
        <v/>
      </c>
      <c r="H35" s="180">
        <f>IF(A35="","",ROUND(SUMIFS(aditivos!$L$2:$L$200,aditivos!$A$2:$A$200,A35,aditivos!$C$2:$C$200,"C1"),2))</f>
        <v/>
      </c>
      <c r="I35" s="176">
        <f>IF(A35="","",ROUND(E35+H35,2))</f>
        <v/>
      </c>
      <c r="J35" s="176">
        <f>IF(A35="","",IF(itens_Remanesc!E35="","",itens_Remanesc!E35))</f>
        <v/>
      </c>
      <c r="K35" s="182">
        <f>IF(A35="","",IF($Y35="","",IF($Y35&gt;1,"",IF(ISNUMBER(J35),ROUND(J35+H35,2),IF($Y35=1,ROUND(H35,2),"")))))</f>
        <v/>
      </c>
      <c r="L35" s="174">
        <f>IF(A35="","",ROUND(SUMIFS(aditivos!$L$2:$L$200,aditivos!$A$2:$A$200,A35,aditivos!$C$2:$C$200,"C2"),2))</f>
        <v/>
      </c>
      <c r="M35" s="170">
        <f>IF(A35="","",ROUND(I35+L35,2))</f>
        <v/>
      </c>
      <c r="N35" s="170">
        <f>IF(A35="","",IF(itens_Remanesc!G35="","",itens_Remanesc!G35))</f>
        <v/>
      </c>
      <c r="O35" s="178">
        <f>IF(A35="","",IF($Y35="","",IF($Y35&gt;2,"",IF(ISNUMBER(N35),ROUND(N35+L35,2),IF($Y35=2,ROUND(L35,2),"")))))</f>
        <v/>
      </c>
      <c r="P35" s="180">
        <f>IF(A35="","",ROUND(SUMIFS(aditivos!$L$2:$L$200,aditivos!$A$2:$A$200,A35,aditivos!$C$2:$C$200,"C3"),2))</f>
        <v/>
      </c>
      <c r="Q35" s="176">
        <f>IF(A35="","",ROUND(M35+P35,2))</f>
        <v/>
      </c>
      <c r="R35" s="176">
        <f>IF(A35="","",IF(itens_Remanesc!I35="","",itens_Remanesc!I35))</f>
        <v/>
      </c>
      <c r="S35" s="182">
        <f>IF(A35="","",IF($Y35="","",IF($Y35&gt;3,"",IF(ISNUMBER(R35),ROUND(R35+P35,2),IF($Y35=3,ROUND(P35,2),"")))))</f>
        <v/>
      </c>
      <c r="T35" s="174">
        <f>IF(A35="","",ROUND(SUMIFS(aditivos!$L$2:$L$200,aditivos!$A$2:$A$200,A35,aditivos!$C$2:$C$200,"C4"),2))</f>
        <v/>
      </c>
      <c r="U35" s="170">
        <f>IF(A35="","",ROUND(Q35+T35,2))</f>
        <v/>
      </c>
      <c r="V35" s="170">
        <f>IF(A35="","",IF(itens_Remanesc!K35="","",itens_Remanesc!K35))</f>
        <v/>
      </c>
      <c r="W35" s="170">
        <f>IF(A35="","",IF($Y35="","",IF($Y35&gt;4,"",IF(ISNUMBER(V35),ROUND(V35+T35,2),IF($Y35=4,ROUND(T35,2),"")))))</f>
        <v/>
      </c>
      <c r="X35" s="156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>
        <f>IF($A35="","",IF($E35&gt;0,0,IF($I35&gt;0,1,IF($M35&gt;0,2,IF($Q35&gt;0,3,IF($U35&gt;0,4,""))))))</f>
        <v/>
      </c>
      <c r="Z35">
        <f>IF($A35="",FALSE,AND(LEN(TRIM($A35))=4,LEFT(TRIM($A35),1)="N",ISNUMBER(--MID(TRIM($A35),2,3)),ISERROR(FIND(".",$A35)),ISERROR(FIND(",",$A35)),ISERROR(FIND("-",$A35)),ISERROR(FIND("+",$A35)),ISERROR(SEARCH("E",$A35,2)),ISERROR(FIND(" ",TRIM($A35)))))</f>
        <v/>
      </c>
    </row>
    <row r="36">
      <c r="A36" s="156">
        <f>IF(itens_Remanesc!A36="","",itens_Remanesc!A36)</f>
        <v/>
      </c>
      <c r="B36" s="218">
        <f>IF(A36="","",itens_Remanesc!C36)</f>
        <v/>
      </c>
      <c r="C36" s="172">
        <f>IF(A36="","",IF(itens_Remanesc!B36="",0,itens_Remanesc!B36))</f>
        <v/>
      </c>
      <c r="D36" s="174">
        <f>IF(A36="","",ROUND(SUMIFS(aditivos!$L$2:$L$200,aditivos!$A$2:$A$200,A36,aditivos!$C$2:$C$200,"C0"),2))</f>
        <v/>
      </c>
      <c r="E36" s="170">
        <f>IF(A36="","",ROUND(C36+D36,2))</f>
        <v/>
      </c>
      <c r="F36" s="170">
        <f>IF(A36="","",IF(itens_Remanesc!B36&lt;&gt;"",itens_Remanesc!B36,IF($Z36,0,"")))</f>
        <v/>
      </c>
      <c r="G36" s="178">
        <f>IF(A36="","",IF($Y36="","",IF($Y36&gt;0,"",ROUND(E36,2))))</f>
        <v/>
      </c>
      <c r="H36" s="180">
        <f>IF(A36="","",ROUND(SUMIFS(aditivos!$L$2:$L$200,aditivos!$A$2:$A$200,A36,aditivos!$C$2:$C$200,"C1"),2))</f>
        <v/>
      </c>
      <c r="I36" s="176">
        <f>IF(A36="","",ROUND(E36+H36,2))</f>
        <v/>
      </c>
      <c r="J36" s="176">
        <f>IF(A36="","",IF(itens_Remanesc!E36="","",itens_Remanesc!E36))</f>
        <v/>
      </c>
      <c r="K36" s="182">
        <f>IF(A36="","",IF($Y36="","",IF($Y36&gt;1,"",IF(ISNUMBER(J36),ROUND(J36+H36,2),IF($Y36=1,ROUND(H36,2),"")))))</f>
        <v/>
      </c>
      <c r="L36" s="174">
        <f>IF(A36="","",ROUND(SUMIFS(aditivos!$L$2:$L$200,aditivos!$A$2:$A$200,A36,aditivos!$C$2:$C$200,"C2"),2))</f>
        <v/>
      </c>
      <c r="M36" s="170">
        <f>IF(A36="","",ROUND(I36+L36,2))</f>
        <v/>
      </c>
      <c r="N36" s="170">
        <f>IF(A36="","",IF(itens_Remanesc!G36="","",itens_Remanesc!G36))</f>
        <v/>
      </c>
      <c r="O36" s="178">
        <f>IF(A36="","",IF($Y36="","",IF($Y36&gt;2,"",IF(ISNUMBER(N36),ROUND(N36+L36,2),IF($Y36=2,ROUND(L36,2),"")))))</f>
        <v/>
      </c>
      <c r="P36" s="180">
        <f>IF(A36="","",ROUND(SUMIFS(aditivos!$L$2:$L$200,aditivos!$A$2:$A$200,A36,aditivos!$C$2:$C$200,"C3"),2))</f>
        <v/>
      </c>
      <c r="Q36" s="176">
        <f>IF(A36="","",ROUND(M36+P36,2))</f>
        <v/>
      </c>
      <c r="R36" s="176">
        <f>IF(A36="","",IF(itens_Remanesc!I36="","",itens_Remanesc!I36))</f>
        <v/>
      </c>
      <c r="S36" s="182">
        <f>IF(A36="","",IF($Y36="","",IF($Y36&gt;3,"",IF(ISNUMBER(R36),ROUND(R36+P36,2),IF($Y36=3,ROUND(P36,2),"")))))</f>
        <v/>
      </c>
      <c r="T36" s="174">
        <f>IF(A36="","",ROUND(SUMIFS(aditivos!$L$2:$L$200,aditivos!$A$2:$A$200,A36,aditivos!$C$2:$C$200,"C4"),2))</f>
        <v/>
      </c>
      <c r="U36" s="170">
        <f>IF(A36="","",ROUND(Q36+T36,2))</f>
        <v/>
      </c>
      <c r="V36" s="170">
        <f>IF(A36="","",IF(itens_Remanesc!K36="","",itens_Remanesc!K36))</f>
        <v/>
      </c>
      <c r="W36" s="170">
        <f>IF(A36="","",IF($Y36="","",IF($Y36&gt;4,"",IF(ISNUMBER(V36),ROUND(V36+T36,2),IF($Y36=4,ROUND(T36,2),"")))))</f>
        <v/>
      </c>
      <c r="X36" s="156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>
        <f>IF($A36="","",IF($E36&gt;0,0,IF($I36&gt;0,1,IF($M36&gt;0,2,IF($Q36&gt;0,3,IF($U36&gt;0,4,""))))))</f>
        <v/>
      </c>
      <c r="Z36">
        <f>IF($A36="",FALSE,AND(LEN(TRIM($A36))=4,LEFT(TRIM($A36),1)="N",ISNUMBER(--MID(TRIM($A36),2,3)),ISERROR(FIND(".",$A36)),ISERROR(FIND(",",$A36)),ISERROR(FIND("-",$A36)),ISERROR(FIND("+",$A36)),ISERROR(SEARCH("E",$A36,2)),ISERROR(FIND(" ",TRIM($A36)))))</f>
        <v/>
      </c>
    </row>
    <row r="37">
      <c r="A37" s="156">
        <f>IF(itens_Remanesc!A37="","",itens_Remanesc!A37)</f>
        <v/>
      </c>
      <c r="B37" s="218">
        <f>IF(A37="","",itens_Remanesc!C37)</f>
        <v/>
      </c>
      <c r="C37" s="172">
        <f>IF(A37="","",IF(itens_Remanesc!B37="",0,itens_Remanesc!B37))</f>
        <v/>
      </c>
      <c r="D37" s="174">
        <f>IF(A37="","",ROUND(SUMIFS(aditivos!$L$2:$L$200,aditivos!$A$2:$A$200,A37,aditivos!$C$2:$C$200,"C0"),2))</f>
        <v/>
      </c>
      <c r="E37" s="170">
        <f>IF(A37="","",ROUND(C37+D37,2))</f>
        <v/>
      </c>
      <c r="F37" s="170">
        <f>IF(A37="","",IF(itens_Remanesc!B37&lt;&gt;"",itens_Remanesc!B37,IF($Z37,0,"")))</f>
        <v/>
      </c>
      <c r="G37" s="178">
        <f>IF(A37="","",IF($Y37="","",IF($Y37&gt;0,"",ROUND(E37,2))))</f>
        <v/>
      </c>
      <c r="H37" s="180">
        <f>IF(A37="","",ROUND(SUMIFS(aditivos!$L$2:$L$200,aditivos!$A$2:$A$200,A37,aditivos!$C$2:$C$200,"C1"),2))</f>
        <v/>
      </c>
      <c r="I37" s="176">
        <f>IF(A37="","",ROUND(E37+H37,2))</f>
        <v/>
      </c>
      <c r="J37" s="176">
        <f>IF(A37="","",IF(itens_Remanesc!E37="","",itens_Remanesc!E37))</f>
        <v/>
      </c>
      <c r="K37" s="182">
        <f>IF(A37="","",IF($Y37="","",IF($Y37&gt;1,"",IF(ISNUMBER(J37),ROUND(J37+H37,2),IF($Y37=1,ROUND(H37,2),"")))))</f>
        <v/>
      </c>
      <c r="L37" s="174">
        <f>IF(A37="","",ROUND(SUMIFS(aditivos!$L$2:$L$200,aditivos!$A$2:$A$200,A37,aditivos!$C$2:$C$200,"C2"),2))</f>
        <v/>
      </c>
      <c r="M37" s="170">
        <f>IF(A37="","",ROUND(I37+L37,2))</f>
        <v/>
      </c>
      <c r="N37" s="170">
        <f>IF(A37="","",IF(itens_Remanesc!G37="","",itens_Remanesc!G37))</f>
        <v/>
      </c>
      <c r="O37" s="178">
        <f>IF(A37="","",IF($Y37="","",IF($Y37&gt;2,"",IF(ISNUMBER(N37),ROUND(N37+L37,2),IF($Y37=2,ROUND(L37,2),"")))))</f>
        <v/>
      </c>
      <c r="P37" s="180">
        <f>IF(A37="","",ROUND(SUMIFS(aditivos!$L$2:$L$200,aditivos!$A$2:$A$200,A37,aditivos!$C$2:$C$200,"C3"),2))</f>
        <v/>
      </c>
      <c r="Q37" s="176">
        <f>IF(A37="","",ROUND(M37+P37,2))</f>
        <v/>
      </c>
      <c r="R37" s="176">
        <f>IF(A37="","",IF(itens_Remanesc!I37="","",itens_Remanesc!I37))</f>
        <v/>
      </c>
      <c r="S37" s="182">
        <f>IF(A37="","",IF($Y37="","",IF($Y37&gt;3,"",IF(ISNUMBER(R37),ROUND(R37+P37,2),IF($Y37=3,ROUND(P37,2),"")))))</f>
        <v/>
      </c>
      <c r="T37" s="174">
        <f>IF(A37="","",ROUND(SUMIFS(aditivos!$L$2:$L$200,aditivos!$A$2:$A$200,A37,aditivos!$C$2:$C$200,"C4"),2))</f>
        <v/>
      </c>
      <c r="U37" s="170">
        <f>IF(A37="","",ROUND(Q37+T37,2))</f>
        <v/>
      </c>
      <c r="V37" s="170">
        <f>IF(A37="","",IF(itens_Remanesc!K37="","",itens_Remanesc!K37))</f>
        <v/>
      </c>
      <c r="W37" s="170">
        <f>IF(A37="","",IF($Y37="","",IF($Y37&gt;4,"",IF(ISNUMBER(V37),ROUND(V37+T37,2),IF($Y37=4,ROUND(T37,2),"")))))</f>
        <v/>
      </c>
      <c r="X37" s="156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>
        <f>IF($A37="","",IF($E37&gt;0,0,IF($I37&gt;0,1,IF($M37&gt;0,2,IF($Q37&gt;0,3,IF($U37&gt;0,4,""))))))</f>
        <v/>
      </c>
      <c r="Z37">
        <f>IF($A37="",FALSE,AND(LEN(TRIM($A37))=4,LEFT(TRIM($A37),1)="N",ISNUMBER(--MID(TRIM($A37),2,3)),ISERROR(FIND(".",$A37)),ISERROR(FIND(",",$A37)),ISERROR(FIND("-",$A37)),ISERROR(FIND("+",$A37)),ISERROR(SEARCH("E",$A37,2)),ISERROR(FIND(" ",TRIM($A37)))))</f>
        <v/>
      </c>
    </row>
    <row r="38">
      <c r="A38" s="156">
        <f>IF(itens_Remanesc!A38="","",itens_Remanesc!A38)</f>
        <v/>
      </c>
      <c r="B38" s="218">
        <f>IF(A38="","",itens_Remanesc!C38)</f>
        <v/>
      </c>
      <c r="C38" s="172">
        <f>IF(A38="","",IF(itens_Remanesc!B38="",0,itens_Remanesc!B38))</f>
        <v/>
      </c>
      <c r="D38" s="174">
        <f>IF(A38="","",ROUND(SUMIFS(aditivos!$L$2:$L$200,aditivos!$A$2:$A$200,A38,aditivos!$C$2:$C$200,"C0"),2))</f>
        <v/>
      </c>
      <c r="E38" s="170">
        <f>IF(A38="","",ROUND(C38+D38,2))</f>
        <v/>
      </c>
      <c r="F38" s="170">
        <f>IF(A38="","",IF(itens_Remanesc!B38&lt;&gt;"",itens_Remanesc!B38,IF($Z38,0,"")))</f>
        <v/>
      </c>
      <c r="G38" s="178">
        <f>IF(A38="","",IF($Y38="","",IF($Y38&gt;0,"",ROUND(E38,2))))</f>
        <v/>
      </c>
      <c r="H38" s="180">
        <f>IF(A38="","",ROUND(SUMIFS(aditivos!$L$2:$L$200,aditivos!$A$2:$A$200,A38,aditivos!$C$2:$C$200,"C1"),2))</f>
        <v/>
      </c>
      <c r="I38" s="176">
        <f>IF(A38="","",ROUND(E38+H38,2))</f>
        <v/>
      </c>
      <c r="J38" s="176">
        <f>IF(A38="","",IF(itens_Remanesc!E38="","",itens_Remanesc!E38))</f>
        <v/>
      </c>
      <c r="K38" s="182">
        <f>IF(A38="","",IF($Y38="","",IF($Y38&gt;1,"",IF(ISNUMBER(J38),ROUND(J38+H38,2),IF($Y38=1,ROUND(H38,2),"")))))</f>
        <v/>
      </c>
      <c r="L38" s="174">
        <f>IF(A38="","",ROUND(SUMIFS(aditivos!$L$2:$L$200,aditivos!$A$2:$A$200,A38,aditivos!$C$2:$C$200,"C2"),2))</f>
        <v/>
      </c>
      <c r="M38" s="170">
        <f>IF(A38="","",ROUND(I38+L38,2))</f>
        <v/>
      </c>
      <c r="N38" s="170">
        <f>IF(A38="","",IF(itens_Remanesc!G38="","",itens_Remanesc!G38))</f>
        <v/>
      </c>
      <c r="O38" s="178">
        <f>IF(A38="","",IF($Y38="","",IF($Y38&gt;2,"",IF(ISNUMBER(N38),ROUND(N38+L38,2),IF($Y38=2,ROUND(L38,2),"")))))</f>
        <v/>
      </c>
      <c r="P38" s="180">
        <f>IF(A38="","",ROUND(SUMIFS(aditivos!$L$2:$L$200,aditivos!$A$2:$A$200,A38,aditivos!$C$2:$C$200,"C3"),2))</f>
        <v/>
      </c>
      <c r="Q38" s="176">
        <f>IF(A38="","",ROUND(M38+P38,2))</f>
        <v/>
      </c>
      <c r="R38" s="176">
        <f>IF(A38="","",IF(itens_Remanesc!I38="","",itens_Remanesc!I38))</f>
        <v/>
      </c>
      <c r="S38" s="182">
        <f>IF(A38="","",IF($Y38="","",IF($Y38&gt;3,"",IF(ISNUMBER(R38),ROUND(R38+P38,2),IF($Y38=3,ROUND(P38,2),"")))))</f>
        <v/>
      </c>
      <c r="T38" s="174">
        <f>IF(A38="","",ROUND(SUMIFS(aditivos!$L$2:$L$200,aditivos!$A$2:$A$200,A38,aditivos!$C$2:$C$200,"C4"),2))</f>
        <v/>
      </c>
      <c r="U38" s="170">
        <f>IF(A38="","",ROUND(Q38+T38,2))</f>
        <v/>
      </c>
      <c r="V38" s="170">
        <f>IF(A38="","",IF(itens_Remanesc!K38="","",itens_Remanesc!K38))</f>
        <v/>
      </c>
      <c r="W38" s="170">
        <f>IF(A38="","",IF($Y38="","",IF($Y38&gt;4,"",IF(ISNUMBER(V38),ROUND(V38+T38,2),IF($Y38=4,ROUND(T38,2),"")))))</f>
        <v/>
      </c>
      <c r="X38" s="156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>
        <f>IF($A38="","",IF($E38&gt;0,0,IF($I38&gt;0,1,IF($M38&gt;0,2,IF($Q38&gt;0,3,IF($U38&gt;0,4,""))))))</f>
        <v/>
      </c>
      <c r="Z38">
        <f>IF($A38="",FALSE,AND(LEN(TRIM($A38))=4,LEFT(TRIM($A38),1)="N",ISNUMBER(--MID(TRIM($A38),2,3)),ISERROR(FIND(".",$A38)),ISERROR(FIND(",",$A38)),ISERROR(FIND("-",$A38)),ISERROR(FIND("+",$A38)),ISERROR(SEARCH("E",$A38,2)),ISERROR(FIND(" ",TRIM($A38)))))</f>
        <v/>
      </c>
    </row>
    <row r="39">
      <c r="A39" s="156">
        <f>IF(itens_Remanesc!A39="","",itens_Remanesc!A39)</f>
        <v/>
      </c>
      <c r="B39" s="218">
        <f>IF(A39="","",itens_Remanesc!C39)</f>
        <v/>
      </c>
      <c r="C39" s="172">
        <f>IF(A39="","",IF(itens_Remanesc!B39="",0,itens_Remanesc!B39))</f>
        <v/>
      </c>
      <c r="D39" s="174">
        <f>IF(A39="","",ROUND(SUMIFS(aditivos!$L$2:$L$200,aditivos!$A$2:$A$200,A39,aditivos!$C$2:$C$200,"C0"),2))</f>
        <v/>
      </c>
      <c r="E39" s="170">
        <f>IF(A39="","",ROUND(C39+D39,2))</f>
        <v/>
      </c>
      <c r="F39" s="170">
        <f>IF(A39="","",IF(itens_Remanesc!B39&lt;&gt;"",itens_Remanesc!B39,IF($Z39,0,"")))</f>
        <v/>
      </c>
      <c r="G39" s="178">
        <f>IF(A39="","",IF($Y39="","",IF($Y39&gt;0,"",ROUND(E39,2))))</f>
        <v/>
      </c>
      <c r="H39" s="180">
        <f>IF(A39="","",ROUND(SUMIFS(aditivos!$L$2:$L$200,aditivos!$A$2:$A$200,A39,aditivos!$C$2:$C$200,"C1"),2))</f>
        <v/>
      </c>
      <c r="I39" s="176">
        <f>IF(A39="","",ROUND(E39+H39,2))</f>
        <v/>
      </c>
      <c r="J39" s="176">
        <f>IF(A39="","",IF(itens_Remanesc!E39="","",itens_Remanesc!E39))</f>
        <v/>
      </c>
      <c r="K39" s="182">
        <f>IF(A39="","",IF($Y39="","",IF($Y39&gt;1,"",IF(ISNUMBER(J39),ROUND(J39+H39,2),IF($Y39=1,ROUND(H39,2),"")))))</f>
        <v/>
      </c>
      <c r="L39" s="174">
        <f>IF(A39="","",ROUND(SUMIFS(aditivos!$L$2:$L$200,aditivos!$A$2:$A$200,A39,aditivos!$C$2:$C$200,"C2"),2))</f>
        <v/>
      </c>
      <c r="M39" s="170">
        <f>IF(A39="","",ROUND(I39+L39,2))</f>
        <v/>
      </c>
      <c r="N39" s="170">
        <f>IF(A39="","",IF(itens_Remanesc!G39="","",itens_Remanesc!G39))</f>
        <v/>
      </c>
      <c r="O39" s="178">
        <f>IF(A39="","",IF($Y39="","",IF($Y39&gt;2,"",IF(ISNUMBER(N39),ROUND(N39+L39,2),IF($Y39=2,ROUND(L39,2),"")))))</f>
        <v/>
      </c>
      <c r="P39" s="180">
        <f>IF(A39="","",ROUND(SUMIFS(aditivos!$L$2:$L$200,aditivos!$A$2:$A$200,A39,aditivos!$C$2:$C$200,"C3"),2))</f>
        <v/>
      </c>
      <c r="Q39" s="176">
        <f>IF(A39="","",ROUND(M39+P39,2))</f>
        <v/>
      </c>
      <c r="R39" s="176">
        <f>IF(A39="","",IF(itens_Remanesc!I39="","",itens_Remanesc!I39))</f>
        <v/>
      </c>
      <c r="S39" s="182">
        <f>IF(A39="","",IF($Y39="","",IF($Y39&gt;3,"",IF(ISNUMBER(R39),ROUND(R39+P39,2),IF($Y39=3,ROUND(P39,2),"")))))</f>
        <v/>
      </c>
      <c r="T39" s="174">
        <f>IF(A39="","",ROUND(SUMIFS(aditivos!$L$2:$L$200,aditivos!$A$2:$A$200,A39,aditivos!$C$2:$C$200,"C4"),2))</f>
        <v/>
      </c>
      <c r="U39" s="170">
        <f>IF(A39="","",ROUND(Q39+T39,2))</f>
        <v/>
      </c>
      <c r="V39" s="170">
        <f>IF(A39="","",IF(itens_Remanesc!K39="","",itens_Remanesc!K39))</f>
        <v/>
      </c>
      <c r="W39" s="170">
        <f>IF(A39="","",IF($Y39="","",IF($Y39&gt;4,"",IF(ISNUMBER(V39),ROUND(V39+T39,2),IF($Y39=4,ROUND(T39,2),"")))))</f>
        <v/>
      </c>
      <c r="X39" s="156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>
        <f>IF($A39="","",IF($E39&gt;0,0,IF($I39&gt;0,1,IF($M39&gt;0,2,IF($Q39&gt;0,3,IF($U39&gt;0,4,""))))))</f>
        <v/>
      </c>
      <c r="Z39">
        <f>IF($A39="",FALSE,AND(LEN(TRIM($A39))=4,LEFT(TRIM($A39),1)="N",ISNUMBER(--MID(TRIM($A39),2,3)),ISERROR(FIND(".",$A39)),ISERROR(FIND(",",$A39)),ISERROR(FIND("-",$A39)),ISERROR(FIND("+",$A39)),ISERROR(SEARCH("E",$A39,2)),ISERROR(FIND(" ",TRIM($A39)))))</f>
        <v/>
      </c>
    </row>
    <row r="40">
      <c r="A40" s="156">
        <f>IF(itens_Remanesc!A40="","",itens_Remanesc!A40)</f>
        <v/>
      </c>
      <c r="B40" s="218">
        <f>IF(A40="","",itens_Remanesc!C40)</f>
        <v/>
      </c>
      <c r="C40" s="172">
        <f>IF(A40="","",IF(itens_Remanesc!B40="",0,itens_Remanesc!B40))</f>
        <v/>
      </c>
      <c r="D40" s="174">
        <f>IF(A40="","",ROUND(SUMIFS(aditivos!$L$2:$L$200,aditivos!$A$2:$A$200,A40,aditivos!$C$2:$C$200,"C0"),2))</f>
        <v/>
      </c>
      <c r="E40" s="170">
        <f>IF(A40="","",ROUND(C40+D40,2))</f>
        <v/>
      </c>
      <c r="F40" s="170">
        <f>IF(A40="","",IF(itens_Remanesc!B40&lt;&gt;"",itens_Remanesc!B40,IF($Z40,0,"")))</f>
        <v/>
      </c>
      <c r="G40" s="178">
        <f>IF(A40="","",IF($Y40="","",IF($Y40&gt;0,"",ROUND(E40,2))))</f>
        <v/>
      </c>
      <c r="H40" s="180">
        <f>IF(A40="","",ROUND(SUMIFS(aditivos!$L$2:$L$200,aditivos!$A$2:$A$200,A40,aditivos!$C$2:$C$200,"C1"),2))</f>
        <v/>
      </c>
      <c r="I40" s="176">
        <f>IF(A40="","",ROUND(E40+H40,2))</f>
        <v/>
      </c>
      <c r="J40" s="176">
        <f>IF(A40="","",IF(itens_Remanesc!E40="","",itens_Remanesc!E40))</f>
        <v/>
      </c>
      <c r="K40" s="182">
        <f>IF(A40="","",IF($Y40="","",IF($Y40&gt;1,"",IF(ISNUMBER(J40),ROUND(J40+H40,2),IF($Y40=1,ROUND(H40,2),"")))))</f>
        <v/>
      </c>
      <c r="L40" s="174">
        <f>IF(A40="","",ROUND(SUMIFS(aditivos!$L$2:$L$200,aditivos!$A$2:$A$200,A40,aditivos!$C$2:$C$200,"C2"),2))</f>
        <v/>
      </c>
      <c r="M40" s="170">
        <f>IF(A40="","",ROUND(I40+L40,2))</f>
        <v/>
      </c>
      <c r="N40" s="170">
        <f>IF(A40="","",IF(itens_Remanesc!G40="","",itens_Remanesc!G40))</f>
        <v/>
      </c>
      <c r="O40" s="178">
        <f>IF(A40="","",IF($Y40="","",IF($Y40&gt;2,"",IF(ISNUMBER(N40),ROUND(N40+L40,2),IF($Y40=2,ROUND(L40,2),"")))))</f>
        <v/>
      </c>
      <c r="P40" s="180">
        <f>IF(A40="","",ROUND(SUMIFS(aditivos!$L$2:$L$200,aditivos!$A$2:$A$200,A40,aditivos!$C$2:$C$200,"C3"),2))</f>
        <v/>
      </c>
      <c r="Q40" s="176">
        <f>IF(A40="","",ROUND(M40+P40,2))</f>
        <v/>
      </c>
      <c r="R40" s="176">
        <f>IF(A40="","",IF(itens_Remanesc!I40="","",itens_Remanesc!I40))</f>
        <v/>
      </c>
      <c r="S40" s="182">
        <f>IF(A40="","",IF($Y40="","",IF($Y40&gt;3,"",IF(ISNUMBER(R40),ROUND(R40+P40,2),IF($Y40=3,ROUND(P40,2),"")))))</f>
        <v/>
      </c>
      <c r="T40" s="174">
        <f>IF(A40="","",ROUND(SUMIFS(aditivos!$L$2:$L$200,aditivos!$A$2:$A$200,A40,aditivos!$C$2:$C$200,"C4"),2))</f>
        <v/>
      </c>
      <c r="U40" s="170">
        <f>IF(A40="","",ROUND(Q40+T40,2))</f>
        <v/>
      </c>
      <c r="V40" s="170">
        <f>IF(A40="","",IF(itens_Remanesc!K40="","",itens_Remanesc!K40))</f>
        <v/>
      </c>
      <c r="W40" s="170">
        <f>IF(A40="","",IF($Y40="","",IF($Y40&gt;4,"",IF(ISNUMBER(V40),ROUND(V40+T40,2),IF($Y40=4,ROUND(T40,2),"")))))</f>
        <v/>
      </c>
      <c r="X40" s="156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>
        <f>IF($A40="","",IF($E40&gt;0,0,IF($I40&gt;0,1,IF($M40&gt;0,2,IF($Q40&gt;0,3,IF($U40&gt;0,4,""))))))</f>
        <v/>
      </c>
      <c r="Z40">
        <f>IF($A40="",FALSE,AND(LEN(TRIM($A40))=4,LEFT(TRIM($A40),1)="N",ISNUMBER(--MID(TRIM($A40),2,3)),ISERROR(FIND(".",$A40)),ISERROR(FIND(",",$A40)),ISERROR(FIND("-",$A40)),ISERROR(FIND("+",$A40)),ISERROR(SEARCH("E",$A40,2)),ISERROR(FIND(" ",TRIM($A40)))))</f>
        <v/>
      </c>
    </row>
    <row r="41">
      <c r="A41" s="156">
        <f>IF(itens_Remanesc!A41="","",itens_Remanesc!A41)</f>
        <v/>
      </c>
      <c r="B41" s="218">
        <f>IF(A41="","",itens_Remanesc!C41)</f>
        <v/>
      </c>
      <c r="C41" s="172">
        <f>IF(A41="","",IF(itens_Remanesc!B41="",0,itens_Remanesc!B41))</f>
        <v/>
      </c>
      <c r="D41" s="174">
        <f>IF(A41="","",ROUND(SUMIFS(aditivos!$L$2:$L$200,aditivos!$A$2:$A$200,A41,aditivos!$C$2:$C$200,"C0"),2))</f>
        <v/>
      </c>
      <c r="E41" s="170">
        <f>IF(A41="","",ROUND(C41+D41,2))</f>
        <v/>
      </c>
      <c r="F41" s="170">
        <f>IF(A41="","",IF(itens_Remanesc!B41&lt;&gt;"",itens_Remanesc!B41,IF($Z41,0,"")))</f>
        <v/>
      </c>
      <c r="G41" s="178">
        <f>IF(A41="","",IF($Y41="","",IF($Y41&gt;0,"",ROUND(E41,2))))</f>
        <v/>
      </c>
      <c r="H41" s="180">
        <f>IF(A41="","",ROUND(SUMIFS(aditivos!$L$2:$L$200,aditivos!$A$2:$A$200,A41,aditivos!$C$2:$C$200,"C1"),2))</f>
        <v/>
      </c>
      <c r="I41" s="176">
        <f>IF(A41="","",ROUND(E41+H41,2))</f>
        <v/>
      </c>
      <c r="J41" s="176">
        <f>IF(A41="","",IF(itens_Remanesc!E41="","",itens_Remanesc!E41))</f>
        <v/>
      </c>
      <c r="K41" s="182">
        <f>IF(A41="","",IF($Y41="","",IF($Y41&gt;1,"",IF(ISNUMBER(J41),ROUND(J41+H41,2),IF($Y41=1,ROUND(H41,2),"")))))</f>
        <v/>
      </c>
      <c r="L41" s="174">
        <f>IF(A41="","",ROUND(SUMIFS(aditivos!$L$2:$L$200,aditivos!$A$2:$A$200,A41,aditivos!$C$2:$C$200,"C2"),2))</f>
        <v/>
      </c>
      <c r="M41" s="170">
        <f>IF(A41="","",ROUND(I41+L41,2))</f>
        <v/>
      </c>
      <c r="N41" s="170">
        <f>IF(A41="","",IF(itens_Remanesc!G41="","",itens_Remanesc!G41))</f>
        <v/>
      </c>
      <c r="O41" s="178">
        <f>IF(A41="","",IF($Y41="","",IF($Y41&gt;2,"",IF(ISNUMBER(N41),ROUND(N41+L41,2),IF($Y41=2,ROUND(L41,2),"")))))</f>
        <v/>
      </c>
      <c r="P41" s="180">
        <f>IF(A41="","",ROUND(SUMIFS(aditivos!$L$2:$L$200,aditivos!$A$2:$A$200,A41,aditivos!$C$2:$C$200,"C3"),2))</f>
        <v/>
      </c>
      <c r="Q41" s="176">
        <f>IF(A41="","",ROUND(M41+P41,2))</f>
        <v/>
      </c>
      <c r="R41" s="176">
        <f>IF(A41="","",IF(itens_Remanesc!I41="","",itens_Remanesc!I41))</f>
        <v/>
      </c>
      <c r="S41" s="182">
        <f>IF(A41="","",IF($Y41="","",IF($Y41&gt;3,"",IF(ISNUMBER(R41),ROUND(R41+P41,2),IF($Y41=3,ROUND(P41,2),"")))))</f>
        <v/>
      </c>
      <c r="T41" s="174">
        <f>IF(A41="","",ROUND(SUMIFS(aditivos!$L$2:$L$200,aditivos!$A$2:$A$200,A41,aditivos!$C$2:$C$200,"C4"),2))</f>
        <v/>
      </c>
      <c r="U41" s="170">
        <f>IF(A41="","",ROUND(Q41+T41,2))</f>
        <v/>
      </c>
      <c r="V41" s="170">
        <f>IF(A41="","",IF(itens_Remanesc!K41="","",itens_Remanesc!K41))</f>
        <v/>
      </c>
      <c r="W41" s="170">
        <f>IF(A41="","",IF($Y41="","",IF($Y41&gt;4,"",IF(ISNUMBER(V41),ROUND(V41+T41,2),IF($Y41=4,ROUND(T41,2),"")))))</f>
        <v/>
      </c>
      <c r="X41" s="156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>
        <f>IF($A41="","",IF($E41&gt;0,0,IF($I41&gt;0,1,IF($M41&gt;0,2,IF($Q41&gt;0,3,IF($U41&gt;0,4,""))))))</f>
        <v/>
      </c>
      <c r="Z41">
        <f>IF($A41="",FALSE,AND(LEN(TRIM($A41))=4,LEFT(TRIM($A41),1)="N",ISNUMBER(--MID(TRIM($A41),2,3)),ISERROR(FIND(".",$A41)),ISERROR(FIND(",",$A41)),ISERROR(FIND("-",$A41)),ISERROR(FIND("+",$A41)),ISERROR(SEARCH("E",$A41,2)),ISERROR(FIND(" ",TRIM($A41)))))</f>
        <v/>
      </c>
    </row>
    <row r="42">
      <c r="A42" s="156">
        <f>IF(itens_Remanesc!A42="","",itens_Remanesc!A42)</f>
        <v/>
      </c>
      <c r="B42" s="218">
        <f>IF(A42="","",itens_Remanesc!C42)</f>
        <v/>
      </c>
      <c r="C42" s="172">
        <f>IF(A42="","",IF(itens_Remanesc!B42="",0,itens_Remanesc!B42))</f>
        <v/>
      </c>
      <c r="D42" s="174">
        <f>IF(A42="","",ROUND(SUMIFS(aditivos!$L$2:$L$200,aditivos!$A$2:$A$200,A42,aditivos!$C$2:$C$200,"C0"),2))</f>
        <v/>
      </c>
      <c r="E42" s="170">
        <f>IF(A42="","",ROUND(C42+D42,2))</f>
        <v/>
      </c>
      <c r="F42" s="170">
        <f>IF(A42="","",IF(itens_Remanesc!B42&lt;&gt;"",itens_Remanesc!B42,IF($Z42,0,"")))</f>
        <v/>
      </c>
      <c r="G42" s="178">
        <f>IF(A42="","",IF($Y42="","",IF($Y42&gt;0,"",ROUND(E42,2))))</f>
        <v/>
      </c>
      <c r="H42" s="180">
        <f>IF(A42="","",ROUND(SUMIFS(aditivos!$L$2:$L$200,aditivos!$A$2:$A$200,A42,aditivos!$C$2:$C$200,"C1"),2))</f>
        <v/>
      </c>
      <c r="I42" s="176">
        <f>IF(A42="","",ROUND(E42+H42,2))</f>
        <v/>
      </c>
      <c r="J42" s="176">
        <f>IF(A42="","",IF(itens_Remanesc!E42="","",itens_Remanesc!E42))</f>
        <v/>
      </c>
      <c r="K42" s="182">
        <f>IF(A42="","",IF($Y42="","",IF($Y42&gt;1,"",IF(ISNUMBER(J42),ROUND(J42+H42,2),IF($Y42=1,ROUND(H42,2),"")))))</f>
        <v/>
      </c>
      <c r="L42" s="174">
        <f>IF(A42="","",ROUND(SUMIFS(aditivos!$L$2:$L$200,aditivos!$A$2:$A$200,A42,aditivos!$C$2:$C$200,"C2"),2))</f>
        <v/>
      </c>
      <c r="M42" s="170">
        <f>IF(A42="","",ROUND(I42+L42,2))</f>
        <v/>
      </c>
      <c r="N42" s="170">
        <f>IF(A42="","",IF(itens_Remanesc!G42="","",itens_Remanesc!G42))</f>
        <v/>
      </c>
      <c r="O42" s="178">
        <f>IF(A42="","",IF($Y42="","",IF($Y42&gt;2,"",IF(ISNUMBER(N42),ROUND(N42+L42,2),IF($Y42=2,ROUND(L42,2),"")))))</f>
        <v/>
      </c>
      <c r="P42" s="180">
        <f>IF(A42="","",ROUND(SUMIFS(aditivos!$L$2:$L$200,aditivos!$A$2:$A$200,A42,aditivos!$C$2:$C$200,"C3"),2))</f>
        <v/>
      </c>
      <c r="Q42" s="176">
        <f>IF(A42="","",ROUND(M42+P42,2))</f>
        <v/>
      </c>
      <c r="R42" s="176">
        <f>IF(A42="","",IF(itens_Remanesc!I42="","",itens_Remanesc!I42))</f>
        <v/>
      </c>
      <c r="S42" s="182">
        <f>IF(A42="","",IF($Y42="","",IF($Y42&gt;3,"",IF(ISNUMBER(R42),ROUND(R42+P42,2),IF($Y42=3,ROUND(P42,2),"")))))</f>
        <v/>
      </c>
      <c r="T42" s="174">
        <f>IF(A42="","",ROUND(SUMIFS(aditivos!$L$2:$L$200,aditivos!$A$2:$A$200,A42,aditivos!$C$2:$C$200,"C4"),2))</f>
        <v/>
      </c>
      <c r="U42" s="170">
        <f>IF(A42="","",ROUND(Q42+T42,2))</f>
        <v/>
      </c>
      <c r="V42" s="170">
        <f>IF(A42="","",IF(itens_Remanesc!K42="","",itens_Remanesc!K42))</f>
        <v/>
      </c>
      <c r="W42" s="170">
        <f>IF(A42="","",IF($Y42="","",IF($Y42&gt;4,"",IF(ISNUMBER(V42),ROUND(V42+T42,2),IF($Y42=4,ROUND(T42,2),"")))))</f>
        <v/>
      </c>
      <c r="X42" s="156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>
        <f>IF($A42="","",IF($E42&gt;0,0,IF($I42&gt;0,1,IF($M42&gt;0,2,IF($Q42&gt;0,3,IF($U42&gt;0,4,""))))))</f>
        <v/>
      </c>
      <c r="Z42">
        <f>IF($A42="",FALSE,AND(LEN(TRIM($A42))=4,LEFT(TRIM($A42),1)="N",ISNUMBER(--MID(TRIM($A42),2,3)),ISERROR(FIND(".",$A42)),ISERROR(FIND(",",$A42)),ISERROR(FIND("-",$A42)),ISERROR(FIND("+",$A42)),ISERROR(SEARCH("E",$A42,2)),ISERROR(FIND(" ",TRIM($A42)))))</f>
        <v/>
      </c>
    </row>
    <row r="43">
      <c r="A43" s="156">
        <f>IF(itens_Remanesc!A43="","",itens_Remanesc!A43)</f>
        <v/>
      </c>
      <c r="B43" s="218">
        <f>IF(A43="","",itens_Remanesc!C43)</f>
        <v/>
      </c>
      <c r="C43" s="172">
        <f>IF(A43="","",IF(itens_Remanesc!B43="",0,itens_Remanesc!B43))</f>
        <v/>
      </c>
      <c r="D43" s="174">
        <f>IF(A43="","",ROUND(SUMIFS(aditivos!$L$2:$L$200,aditivos!$A$2:$A$200,A43,aditivos!$C$2:$C$200,"C0"),2))</f>
        <v/>
      </c>
      <c r="E43" s="170">
        <f>IF(A43="","",ROUND(C43+D43,2))</f>
        <v/>
      </c>
      <c r="F43" s="170">
        <f>IF(A43="","",IF(itens_Remanesc!B43&lt;&gt;"",itens_Remanesc!B43,IF($Z43,0,"")))</f>
        <v/>
      </c>
      <c r="G43" s="178">
        <f>IF(A43="","",IF($Y43="","",IF($Y43&gt;0,"",ROUND(E43,2))))</f>
        <v/>
      </c>
      <c r="H43" s="180">
        <f>IF(A43="","",ROUND(SUMIFS(aditivos!$L$2:$L$200,aditivos!$A$2:$A$200,A43,aditivos!$C$2:$C$200,"C1"),2))</f>
        <v/>
      </c>
      <c r="I43" s="176">
        <f>IF(A43="","",ROUND(E43+H43,2))</f>
        <v/>
      </c>
      <c r="J43" s="176">
        <f>IF(A43="","",IF(itens_Remanesc!E43="","",itens_Remanesc!E43))</f>
        <v/>
      </c>
      <c r="K43" s="182">
        <f>IF(A43="","",IF($Y43="","",IF($Y43&gt;1,"",IF(ISNUMBER(J43),ROUND(J43+H43,2),IF($Y43=1,ROUND(H43,2),"")))))</f>
        <v/>
      </c>
      <c r="L43" s="174">
        <f>IF(A43="","",ROUND(SUMIFS(aditivos!$L$2:$L$200,aditivos!$A$2:$A$200,A43,aditivos!$C$2:$C$200,"C2"),2))</f>
        <v/>
      </c>
      <c r="M43" s="170">
        <f>IF(A43="","",ROUND(I43+L43,2))</f>
        <v/>
      </c>
      <c r="N43" s="170">
        <f>IF(A43="","",IF(itens_Remanesc!G43="","",itens_Remanesc!G43))</f>
        <v/>
      </c>
      <c r="O43" s="178">
        <f>IF(A43="","",IF($Y43="","",IF($Y43&gt;2,"",IF(ISNUMBER(N43),ROUND(N43+L43,2),IF($Y43=2,ROUND(L43,2),"")))))</f>
        <v/>
      </c>
      <c r="P43" s="180">
        <f>IF(A43="","",ROUND(SUMIFS(aditivos!$L$2:$L$200,aditivos!$A$2:$A$200,A43,aditivos!$C$2:$C$200,"C3"),2))</f>
        <v/>
      </c>
      <c r="Q43" s="176">
        <f>IF(A43="","",ROUND(M43+P43,2))</f>
        <v/>
      </c>
      <c r="R43" s="176">
        <f>IF(A43="","",IF(itens_Remanesc!I43="","",itens_Remanesc!I43))</f>
        <v/>
      </c>
      <c r="S43" s="182">
        <f>IF(A43="","",IF($Y43="","",IF($Y43&gt;3,"",IF(ISNUMBER(R43),ROUND(R43+P43,2),IF($Y43=3,ROUND(P43,2),"")))))</f>
        <v/>
      </c>
      <c r="T43" s="174">
        <f>IF(A43="","",ROUND(SUMIFS(aditivos!$L$2:$L$200,aditivos!$A$2:$A$200,A43,aditivos!$C$2:$C$200,"C4"),2))</f>
        <v/>
      </c>
      <c r="U43" s="170">
        <f>IF(A43="","",ROUND(Q43+T43,2))</f>
        <v/>
      </c>
      <c r="V43" s="170">
        <f>IF(A43="","",IF(itens_Remanesc!K43="","",itens_Remanesc!K43))</f>
        <v/>
      </c>
      <c r="W43" s="170">
        <f>IF(A43="","",IF($Y43="","",IF($Y43&gt;4,"",IF(ISNUMBER(V43),ROUND(V43+T43,2),IF($Y43=4,ROUND(T43,2),"")))))</f>
        <v/>
      </c>
      <c r="X43" s="156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>
        <f>IF($A43="","",IF($E43&gt;0,0,IF($I43&gt;0,1,IF($M43&gt;0,2,IF($Q43&gt;0,3,IF($U43&gt;0,4,""))))))</f>
        <v/>
      </c>
      <c r="Z43">
        <f>IF($A43="",FALSE,AND(LEN(TRIM($A43))=4,LEFT(TRIM($A43),1)="N",ISNUMBER(--MID(TRIM($A43),2,3)),ISERROR(FIND(".",$A43)),ISERROR(FIND(",",$A43)),ISERROR(FIND("-",$A43)),ISERROR(FIND("+",$A43)),ISERROR(SEARCH("E",$A43,2)),ISERROR(FIND(" ",TRIM($A43)))))</f>
        <v/>
      </c>
    </row>
    <row r="44">
      <c r="A44" s="156">
        <f>IF(itens_Remanesc!A44="","",itens_Remanesc!A44)</f>
        <v/>
      </c>
      <c r="B44" s="218">
        <f>IF(A44="","",itens_Remanesc!C44)</f>
        <v/>
      </c>
      <c r="C44" s="172">
        <f>IF(A44="","",IF(itens_Remanesc!B44="",0,itens_Remanesc!B44))</f>
        <v/>
      </c>
      <c r="D44" s="174">
        <f>IF(A44="","",ROUND(SUMIFS(aditivos!$L$2:$L$200,aditivos!$A$2:$A$200,A44,aditivos!$C$2:$C$200,"C0"),2))</f>
        <v/>
      </c>
      <c r="E44" s="170">
        <f>IF(A44="","",ROUND(C44+D44,2))</f>
        <v/>
      </c>
      <c r="F44" s="170">
        <f>IF(A44="","",IF(itens_Remanesc!B44&lt;&gt;"",itens_Remanesc!B44,IF($Z44,0,"")))</f>
        <v/>
      </c>
      <c r="G44" s="178">
        <f>IF(A44="","",IF($Y44="","",IF($Y44&gt;0,"",ROUND(E44,2))))</f>
        <v/>
      </c>
      <c r="H44" s="180">
        <f>IF(A44="","",ROUND(SUMIFS(aditivos!$L$2:$L$200,aditivos!$A$2:$A$200,A44,aditivos!$C$2:$C$200,"C1"),2))</f>
        <v/>
      </c>
      <c r="I44" s="176">
        <f>IF(A44="","",ROUND(E44+H44,2))</f>
        <v/>
      </c>
      <c r="J44" s="176">
        <f>IF(A44="","",IF(itens_Remanesc!E44="","",itens_Remanesc!E44))</f>
        <v/>
      </c>
      <c r="K44" s="182">
        <f>IF(A44="","",IF($Y44="","",IF($Y44&gt;1,"",IF(ISNUMBER(J44),ROUND(J44+H44,2),IF($Y44=1,ROUND(H44,2),"")))))</f>
        <v/>
      </c>
      <c r="L44" s="174">
        <f>IF(A44="","",ROUND(SUMIFS(aditivos!$L$2:$L$200,aditivos!$A$2:$A$200,A44,aditivos!$C$2:$C$200,"C2"),2))</f>
        <v/>
      </c>
      <c r="M44" s="170">
        <f>IF(A44="","",ROUND(I44+L44,2))</f>
        <v/>
      </c>
      <c r="N44" s="170">
        <f>IF(A44="","",IF(itens_Remanesc!G44="","",itens_Remanesc!G44))</f>
        <v/>
      </c>
      <c r="O44" s="178">
        <f>IF(A44="","",IF($Y44="","",IF($Y44&gt;2,"",IF(ISNUMBER(N44),ROUND(N44+L44,2),IF($Y44=2,ROUND(L44,2),"")))))</f>
        <v/>
      </c>
      <c r="P44" s="180">
        <f>IF(A44="","",ROUND(SUMIFS(aditivos!$L$2:$L$200,aditivos!$A$2:$A$200,A44,aditivos!$C$2:$C$200,"C3"),2))</f>
        <v/>
      </c>
      <c r="Q44" s="176">
        <f>IF(A44="","",ROUND(M44+P44,2))</f>
        <v/>
      </c>
      <c r="R44" s="176">
        <f>IF(A44="","",IF(itens_Remanesc!I44="","",itens_Remanesc!I44))</f>
        <v/>
      </c>
      <c r="S44" s="182">
        <f>IF(A44="","",IF($Y44="","",IF($Y44&gt;3,"",IF(ISNUMBER(R44),ROUND(R44+P44,2),IF($Y44=3,ROUND(P44,2),"")))))</f>
        <v/>
      </c>
      <c r="T44" s="174">
        <f>IF(A44="","",ROUND(SUMIFS(aditivos!$L$2:$L$200,aditivos!$A$2:$A$200,A44,aditivos!$C$2:$C$200,"C4"),2))</f>
        <v/>
      </c>
      <c r="U44" s="170">
        <f>IF(A44="","",ROUND(Q44+T44,2))</f>
        <v/>
      </c>
      <c r="V44" s="170">
        <f>IF(A44="","",IF(itens_Remanesc!K44="","",itens_Remanesc!K44))</f>
        <v/>
      </c>
      <c r="W44" s="170">
        <f>IF(A44="","",IF($Y44="","",IF($Y44&gt;4,"",IF(ISNUMBER(V44),ROUND(V44+T44,2),IF($Y44=4,ROUND(T44,2),"")))))</f>
        <v/>
      </c>
      <c r="X44" s="156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>
        <f>IF($A44="","",IF($E44&gt;0,0,IF($I44&gt;0,1,IF($M44&gt;0,2,IF($Q44&gt;0,3,IF($U44&gt;0,4,""))))))</f>
        <v/>
      </c>
      <c r="Z44">
        <f>IF($A44="",FALSE,AND(LEN(TRIM($A44))=4,LEFT(TRIM($A44),1)="N",ISNUMBER(--MID(TRIM($A44),2,3)),ISERROR(FIND(".",$A44)),ISERROR(FIND(",",$A44)),ISERROR(FIND("-",$A44)),ISERROR(FIND("+",$A44)),ISERROR(SEARCH("E",$A44,2)),ISERROR(FIND(" ",TRIM($A44)))))</f>
        <v/>
      </c>
    </row>
    <row r="45">
      <c r="A45" s="156">
        <f>IF(itens_Remanesc!A45="","",itens_Remanesc!A45)</f>
        <v/>
      </c>
      <c r="B45" s="218">
        <f>IF(A45="","",itens_Remanesc!C45)</f>
        <v/>
      </c>
      <c r="C45" s="172">
        <f>IF(A45="","",IF(itens_Remanesc!B45="",0,itens_Remanesc!B45))</f>
        <v/>
      </c>
      <c r="D45" s="174">
        <f>IF(A45="","",ROUND(SUMIFS(aditivos!$L$2:$L$200,aditivos!$A$2:$A$200,A45,aditivos!$C$2:$C$200,"C0"),2))</f>
        <v/>
      </c>
      <c r="E45" s="170">
        <f>IF(A45="","",ROUND(C45+D45,2))</f>
        <v/>
      </c>
      <c r="F45" s="170">
        <f>IF(A45="","",IF(itens_Remanesc!B45&lt;&gt;"",itens_Remanesc!B45,IF($Z45,0,"")))</f>
        <v/>
      </c>
      <c r="G45" s="178">
        <f>IF(A45="","",IF($Y45="","",IF($Y45&gt;0,"",ROUND(E45,2))))</f>
        <v/>
      </c>
      <c r="H45" s="180">
        <f>IF(A45="","",ROUND(SUMIFS(aditivos!$L$2:$L$200,aditivos!$A$2:$A$200,A45,aditivos!$C$2:$C$200,"C1"),2))</f>
        <v/>
      </c>
      <c r="I45" s="176">
        <f>IF(A45="","",ROUND(E45+H45,2))</f>
        <v/>
      </c>
      <c r="J45" s="176">
        <f>IF(A45="","",IF(itens_Remanesc!E45="","",itens_Remanesc!E45))</f>
        <v/>
      </c>
      <c r="K45" s="182">
        <f>IF(A45="","",IF($Y45="","",IF($Y45&gt;1,"",IF(ISNUMBER(J45),ROUND(J45+H45,2),IF($Y45=1,ROUND(H45,2),"")))))</f>
        <v/>
      </c>
      <c r="L45" s="174">
        <f>IF(A45="","",ROUND(SUMIFS(aditivos!$L$2:$L$200,aditivos!$A$2:$A$200,A45,aditivos!$C$2:$C$200,"C2"),2))</f>
        <v/>
      </c>
      <c r="M45" s="170">
        <f>IF(A45="","",ROUND(I45+L45,2))</f>
        <v/>
      </c>
      <c r="N45" s="170">
        <f>IF(A45="","",IF(itens_Remanesc!G45="","",itens_Remanesc!G45))</f>
        <v/>
      </c>
      <c r="O45" s="178">
        <f>IF(A45="","",IF($Y45="","",IF($Y45&gt;2,"",IF(ISNUMBER(N45),ROUND(N45+L45,2),IF($Y45=2,ROUND(L45,2),"")))))</f>
        <v/>
      </c>
      <c r="P45" s="180">
        <f>IF(A45="","",ROUND(SUMIFS(aditivos!$L$2:$L$200,aditivos!$A$2:$A$200,A45,aditivos!$C$2:$C$200,"C3"),2))</f>
        <v/>
      </c>
      <c r="Q45" s="176">
        <f>IF(A45="","",ROUND(M45+P45,2))</f>
        <v/>
      </c>
      <c r="R45" s="176">
        <f>IF(A45="","",IF(itens_Remanesc!I45="","",itens_Remanesc!I45))</f>
        <v/>
      </c>
      <c r="S45" s="182">
        <f>IF(A45="","",IF($Y45="","",IF($Y45&gt;3,"",IF(ISNUMBER(R45),ROUND(R45+P45,2),IF($Y45=3,ROUND(P45,2),"")))))</f>
        <v/>
      </c>
      <c r="T45" s="174">
        <f>IF(A45="","",ROUND(SUMIFS(aditivos!$L$2:$L$200,aditivos!$A$2:$A$200,A45,aditivos!$C$2:$C$200,"C4"),2))</f>
        <v/>
      </c>
      <c r="U45" s="170">
        <f>IF(A45="","",ROUND(Q45+T45,2))</f>
        <v/>
      </c>
      <c r="V45" s="170">
        <f>IF(A45="","",IF(itens_Remanesc!K45="","",itens_Remanesc!K45))</f>
        <v/>
      </c>
      <c r="W45" s="170">
        <f>IF(A45="","",IF($Y45="","",IF($Y45&gt;4,"",IF(ISNUMBER(V45),ROUND(V45+T45,2),IF($Y45=4,ROUND(T45,2),"")))))</f>
        <v/>
      </c>
      <c r="X45" s="156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>
        <f>IF($A45="","",IF($E45&gt;0,0,IF($I45&gt;0,1,IF($M45&gt;0,2,IF($Q45&gt;0,3,IF($U45&gt;0,4,""))))))</f>
        <v/>
      </c>
      <c r="Z45">
        <f>IF($A45="",FALSE,AND(LEN(TRIM($A45))=4,LEFT(TRIM($A45),1)="N",ISNUMBER(--MID(TRIM($A45),2,3)),ISERROR(FIND(".",$A45)),ISERROR(FIND(",",$A45)),ISERROR(FIND("-",$A45)),ISERROR(FIND("+",$A45)),ISERROR(SEARCH("E",$A45,2)),ISERROR(FIND(" ",TRIM($A45)))))</f>
        <v/>
      </c>
    </row>
    <row r="46">
      <c r="A46" s="156">
        <f>IF(itens_Remanesc!A46="","",itens_Remanesc!A46)</f>
        <v/>
      </c>
      <c r="B46" s="218">
        <f>IF(A46="","",itens_Remanesc!C46)</f>
        <v/>
      </c>
      <c r="C46" s="172">
        <f>IF(A46="","",IF(itens_Remanesc!B46="",0,itens_Remanesc!B46))</f>
        <v/>
      </c>
      <c r="D46" s="174">
        <f>IF(A46="","",ROUND(SUMIFS(aditivos!$L$2:$L$200,aditivos!$A$2:$A$200,A46,aditivos!$C$2:$C$200,"C0"),2))</f>
        <v/>
      </c>
      <c r="E46" s="170">
        <f>IF(A46="","",ROUND(C46+D46,2))</f>
        <v/>
      </c>
      <c r="F46" s="170">
        <f>IF(A46="","",IF(itens_Remanesc!B46&lt;&gt;"",itens_Remanesc!B46,IF($Z46,0,"")))</f>
        <v/>
      </c>
      <c r="G46" s="178">
        <f>IF(A46="","",IF($Y46="","",IF($Y46&gt;0,"",ROUND(E46,2))))</f>
        <v/>
      </c>
      <c r="H46" s="180">
        <f>IF(A46="","",ROUND(SUMIFS(aditivos!$L$2:$L$200,aditivos!$A$2:$A$200,A46,aditivos!$C$2:$C$200,"C1"),2))</f>
        <v/>
      </c>
      <c r="I46" s="176">
        <f>IF(A46="","",ROUND(E46+H46,2))</f>
        <v/>
      </c>
      <c r="J46" s="176">
        <f>IF(A46="","",IF(itens_Remanesc!E46="","",itens_Remanesc!E46))</f>
        <v/>
      </c>
      <c r="K46" s="182">
        <f>IF(A46="","",IF($Y46="","",IF($Y46&gt;1,"",IF(ISNUMBER(J46),ROUND(J46+H46,2),IF($Y46=1,ROUND(H46,2),"")))))</f>
        <v/>
      </c>
      <c r="L46" s="174">
        <f>IF(A46="","",ROUND(SUMIFS(aditivos!$L$2:$L$200,aditivos!$A$2:$A$200,A46,aditivos!$C$2:$C$200,"C2"),2))</f>
        <v/>
      </c>
      <c r="M46" s="170">
        <f>IF(A46="","",ROUND(I46+L46,2))</f>
        <v/>
      </c>
      <c r="N46" s="170">
        <f>IF(A46="","",IF(itens_Remanesc!G46="","",itens_Remanesc!G46))</f>
        <v/>
      </c>
      <c r="O46" s="178">
        <f>IF(A46="","",IF($Y46="","",IF($Y46&gt;2,"",IF(ISNUMBER(N46),ROUND(N46+L46,2),IF($Y46=2,ROUND(L46,2),"")))))</f>
        <v/>
      </c>
      <c r="P46" s="180">
        <f>IF(A46="","",ROUND(SUMIFS(aditivos!$L$2:$L$200,aditivos!$A$2:$A$200,A46,aditivos!$C$2:$C$200,"C3"),2))</f>
        <v/>
      </c>
      <c r="Q46" s="176">
        <f>IF(A46="","",ROUND(M46+P46,2))</f>
        <v/>
      </c>
      <c r="R46" s="176">
        <f>IF(A46="","",IF(itens_Remanesc!I46="","",itens_Remanesc!I46))</f>
        <v/>
      </c>
      <c r="S46" s="182">
        <f>IF(A46="","",IF($Y46="","",IF($Y46&gt;3,"",IF(ISNUMBER(R46),ROUND(R46+P46,2),IF($Y46=3,ROUND(P46,2),"")))))</f>
        <v/>
      </c>
      <c r="T46" s="174">
        <f>IF(A46="","",ROUND(SUMIFS(aditivos!$L$2:$L$200,aditivos!$A$2:$A$200,A46,aditivos!$C$2:$C$200,"C4"),2))</f>
        <v/>
      </c>
      <c r="U46" s="170">
        <f>IF(A46="","",ROUND(Q46+T46,2))</f>
        <v/>
      </c>
      <c r="V46" s="170">
        <f>IF(A46="","",IF(itens_Remanesc!K46="","",itens_Remanesc!K46))</f>
        <v/>
      </c>
      <c r="W46" s="170">
        <f>IF(A46="","",IF($Y46="","",IF($Y46&gt;4,"",IF(ISNUMBER(V46),ROUND(V46+T46,2),IF($Y46=4,ROUND(T46,2),"")))))</f>
        <v/>
      </c>
      <c r="X46" s="156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>
        <f>IF($A46="","",IF($E46&gt;0,0,IF($I46&gt;0,1,IF($M46&gt;0,2,IF($Q46&gt;0,3,IF($U46&gt;0,4,""))))))</f>
        <v/>
      </c>
      <c r="Z46">
        <f>IF($A46="",FALSE,AND(LEN(TRIM($A46))=4,LEFT(TRIM($A46),1)="N",ISNUMBER(--MID(TRIM($A46),2,3)),ISERROR(FIND(".",$A46)),ISERROR(FIND(",",$A46)),ISERROR(FIND("-",$A46)),ISERROR(FIND("+",$A46)),ISERROR(SEARCH("E",$A46,2)),ISERROR(FIND(" ",TRIM($A46)))))</f>
        <v/>
      </c>
    </row>
    <row r="47">
      <c r="A47" s="156">
        <f>IF(itens_Remanesc!A47="","",itens_Remanesc!A47)</f>
        <v/>
      </c>
      <c r="B47" s="218">
        <f>IF(A47="","",itens_Remanesc!C47)</f>
        <v/>
      </c>
      <c r="C47" s="172">
        <f>IF(A47="","",IF(itens_Remanesc!B47="",0,itens_Remanesc!B47))</f>
        <v/>
      </c>
      <c r="D47" s="174">
        <f>IF(A47="","",ROUND(SUMIFS(aditivos!$L$2:$L$200,aditivos!$A$2:$A$200,A47,aditivos!$C$2:$C$200,"C0"),2))</f>
        <v/>
      </c>
      <c r="E47" s="170">
        <f>IF(A47="","",ROUND(C47+D47,2))</f>
        <v/>
      </c>
      <c r="F47" s="170">
        <f>IF(A47="","",IF(itens_Remanesc!B47&lt;&gt;"",itens_Remanesc!B47,IF($Z47,0,"")))</f>
        <v/>
      </c>
      <c r="G47" s="178">
        <f>IF(A47="","",IF($Y47="","",IF($Y47&gt;0,"",ROUND(E47,2))))</f>
        <v/>
      </c>
      <c r="H47" s="180">
        <f>IF(A47="","",ROUND(SUMIFS(aditivos!$L$2:$L$200,aditivos!$A$2:$A$200,A47,aditivos!$C$2:$C$200,"C1"),2))</f>
        <v/>
      </c>
      <c r="I47" s="176">
        <f>IF(A47="","",ROUND(E47+H47,2))</f>
        <v/>
      </c>
      <c r="J47" s="176">
        <f>IF(A47="","",IF(itens_Remanesc!E47="","",itens_Remanesc!E47))</f>
        <v/>
      </c>
      <c r="K47" s="182">
        <f>IF(A47="","",IF($Y47="","",IF($Y47&gt;1,"",IF(ISNUMBER(J47),ROUND(J47+H47,2),IF($Y47=1,ROUND(H47,2),"")))))</f>
        <v/>
      </c>
      <c r="L47" s="174">
        <f>IF(A47="","",ROUND(SUMIFS(aditivos!$L$2:$L$200,aditivos!$A$2:$A$200,A47,aditivos!$C$2:$C$200,"C2"),2))</f>
        <v/>
      </c>
      <c r="M47" s="170">
        <f>IF(A47="","",ROUND(I47+L47,2))</f>
        <v/>
      </c>
      <c r="N47" s="170">
        <f>IF(A47="","",IF(itens_Remanesc!G47="","",itens_Remanesc!G47))</f>
        <v/>
      </c>
      <c r="O47" s="178">
        <f>IF(A47="","",IF($Y47="","",IF($Y47&gt;2,"",IF(ISNUMBER(N47),ROUND(N47+L47,2),IF($Y47=2,ROUND(L47,2),"")))))</f>
        <v/>
      </c>
      <c r="P47" s="180">
        <f>IF(A47="","",ROUND(SUMIFS(aditivos!$L$2:$L$200,aditivos!$A$2:$A$200,A47,aditivos!$C$2:$C$200,"C3"),2))</f>
        <v/>
      </c>
      <c r="Q47" s="176">
        <f>IF(A47="","",ROUND(M47+P47,2))</f>
        <v/>
      </c>
      <c r="R47" s="176">
        <f>IF(A47="","",IF(itens_Remanesc!I47="","",itens_Remanesc!I47))</f>
        <v/>
      </c>
      <c r="S47" s="182">
        <f>IF(A47="","",IF($Y47="","",IF($Y47&gt;3,"",IF(ISNUMBER(R47),ROUND(R47+P47,2),IF($Y47=3,ROUND(P47,2),"")))))</f>
        <v/>
      </c>
      <c r="T47" s="174">
        <f>IF(A47="","",ROUND(SUMIFS(aditivos!$L$2:$L$200,aditivos!$A$2:$A$200,A47,aditivos!$C$2:$C$200,"C4"),2))</f>
        <v/>
      </c>
      <c r="U47" s="170">
        <f>IF(A47="","",ROUND(Q47+T47,2))</f>
        <v/>
      </c>
      <c r="V47" s="170">
        <f>IF(A47="","",IF(itens_Remanesc!K47="","",itens_Remanesc!K47))</f>
        <v/>
      </c>
      <c r="W47" s="170">
        <f>IF(A47="","",IF($Y47="","",IF($Y47&gt;4,"",IF(ISNUMBER(V47),ROUND(V47+T47,2),IF($Y47=4,ROUND(T47,2),"")))))</f>
        <v/>
      </c>
      <c r="X47" s="156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>
        <f>IF($A47="","",IF($E47&gt;0,0,IF($I47&gt;0,1,IF($M47&gt;0,2,IF($Q47&gt;0,3,IF($U47&gt;0,4,""))))))</f>
        <v/>
      </c>
      <c r="Z47">
        <f>IF($A47="",FALSE,AND(LEN(TRIM($A47))=4,LEFT(TRIM($A47),1)="N",ISNUMBER(--MID(TRIM($A47),2,3)),ISERROR(FIND(".",$A47)),ISERROR(FIND(",",$A47)),ISERROR(FIND("-",$A47)),ISERROR(FIND("+",$A47)),ISERROR(SEARCH("E",$A47,2)),ISERROR(FIND(" ",TRIM($A47)))))</f>
        <v/>
      </c>
    </row>
    <row r="48">
      <c r="A48" s="156">
        <f>IF(itens_Remanesc!A48="","",itens_Remanesc!A48)</f>
        <v/>
      </c>
      <c r="B48" s="218">
        <f>IF(A48="","",itens_Remanesc!C48)</f>
        <v/>
      </c>
      <c r="C48" s="172">
        <f>IF(A48="","",IF(itens_Remanesc!B48="",0,itens_Remanesc!B48))</f>
        <v/>
      </c>
      <c r="D48" s="174">
        <f>IF(A48="","",ROUND(SUMIFS(aditivos!$L$2:$L$200,aditivos!$A$2:$A$200,A48,aditivos!$C$2:$C$200,"C0"),2))</f>
        <v/>
      </c>
      <c r="E48" s="170">
        <f>IF(A48="","",ROUND(C48+D48,2))</f>
        <v/>
      </c>
      <c r="F48" s="170">
        <f>IF(A48="","",IF(itens_Remanesc!B48&lt;&gt;"",itens_Remanesc!B48,IF($Z48,0,"")))</f>
        <v/>
      </c>
      <c r="G48" s="178">
        <f>IF(A48="","",IF($Y48="","",IF($Y48&gt;0,"",ROUND(E48,2))))</f>
        <v/>
      </c>
      <c r="H48" s="180">
        <f>IF(A48="","",ROUND(SUMIFS(aditivos!$L$2:$L$200,aditivos!$A$2:$A$200,A48,aditivos!$C$2:$C$200,"C1"),2))</f>
        <v/>
      </c>
      <c r="I48" s="176">
        <f>IF(A48="","",ROUND(E48+H48,2))</f>
        <v/>
      </c>
      <c r="J48" s="176">
        <f>IF(A48="","",IF(itens_Remanesc!E48="","",itens_Remanesc!E48))</f>
        <v/>
      </c>
      <c r="K48" s="182">
        <f>IF(A48="","",IF($Y48="","",IF($Y48&gt;1,"",IF(ISNUMBER(J48),ROUND(J48+H48,2),IF($Y48=1,ROUND(H48,2),"")))))</f>
        <v/>
      </c>
      <c r="L48" s="174">
        <f>IF(A48="","",ROUND(SUMIFS(aditivos!$L$2:$L$200,aditivos!$A$2:$A$200,A48,aditivos!$C$2:$C$200,"C2"),2))</f>
        <v/>
      </c>
      <c r="M48" s="170">
        <f>IF(A48="","",ROUND(I48+L48,2))</f>
        <v/>
      </c>
      <c r="N48" s="170">
        <f>IF(A48="","",IF(itens_Remanesc!G48="","",itens_Remanesc!G48))</f>
        <v/>
      </c>
      <c r="O48" s="178">
        <f>IF(A48="","",IF($Y48="","",IF($Y48&gt;2,"",IF(ISNUMBER(N48),ROUND(N48+L48,2),IF($Y48=2,ROUND(L48,2),"")))))</f>
        <v/>
      </c>
      <c r="P48" s="180">
        <f>IF(A48="","",ROUND(SUMIFS(aditivos!$L$2:$L$200,aditivos!$A$2:$A$200,A48,aditivos!$C$2:$C$200,"C3"),2))</f>
        <v/>
      </c>
      <c r="Q48" s="176">
        <f>IF(A48="","",ROUND(M48+P48,2))</f>
        <v/>
      </c>
      <c r="R48" s="176">
        <f>IF(A48="","",IF(itens_Remanesc!I48="","",itens_Remanesc!I48))</f>
        <v/>
      </c>
      <c r="S48" s="182">
        <f>IF(A48="","",IF($Y48="","",IF($Y48&gt;3,"",IF(ISNUMBER(R48),ROUND(R48+P48,2),IF($Y48=3,ROUND(P48,2),"")))))</f>
        <v/>
      </c>
      <c r="T48" s="174">
        <f>IF(A48="","",ROUND(SUMIFS(aditivos!$L$2:$L$200,aditivos!$A$2:$A$200,A48,aditivos!$C$2:$C$200,"C4"),2))</f>
        <v/>
      </c>
      <c r="U48" s="170">
        <f>IF(A48="","",ROUND(Q48+T48,2))</f>
        <v/>
      </c>
      <c r="V48" s="170">
        <f>IF(A48="","",IF(itens_Remanesc!K48="","",itens_Remanesc!K48))</f>
        <v/>
      </c>
      <c r="W48" s="170">
        <f>IF(A48="","",IF($Y48="","",IF($Y48&gt;4,"",IF(ISNUMBER(V48),ROUND(V48+T48,2),IF($Y48=4,ROUND(T48,2),"")))))</f>
        <v/>
      </c>
      <c r="X48" s="156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>
        <f>IF($A48="","",IF($E48&gt;0,0,IF($I48&gt;0,1,IF($M48&gt;0,2,IF($Q48&gt;0,3,IF($U48&gt;0,4,""))))))</f>
        <v/>
      </c>
      <c r="Z48">
        <f>IF($A48="",FALSE,AND(LEN(TRIM($A48))=4,LEFT(TRIM($A48),1)="N",ISNUMBER(--MID(TRIM($A48),2,3)),ISERROR(FIND(".",$A48)),ISERROR(FIND(",",$A48)),ISERROR(FIND("-",$A48)),ISERROR(FIND("+",$A48)),ISERROR(SEARCH("E",$A48,2)),ISERROR(FIND(" ",TRIM($A48)))))</f>
        <v/>
      </c>
    </row>
    <row r="49">
      <c r="A49" s="156">
        <f>IF(itens_Remanesc!A49="","",itens_Remanesc!A49)</f>
        <v/>
      </c>
      <c r="B49" s="218">
        <f>IF(A49="","",itens_Remanesc!C49)</f>
        <v/>
      </c>
      <c r="C49" s="172">
        <f>IF(A49="","",IF(itens_Remanesc!B49="",0,itens_Remanesc!B49))</f>
        <v/>
      </c>
      <c r="D49" s="174">
        <f>IF(A49="","",ROUND(SUMIFS(aditivos!$L$2:$L$200,aditivos!$A$2:$A$200,A49,aditivos!$C$2:$C$200,"C0"),2))</f>
        <v/>
      </c>
      <c r="E49" s="170">
        <f>IF(A49="","",ROUND(C49+D49,2))</f>
        <v/>
      </c>
      <c r="F49" s="170">
        <f>IF(A49="","",IF(itens_Remanesc!B49&lt;&gt;"",itens_Remanesc!B49,IF($Z49,0,"")))</f>
        <v/>
      </c>
      <c r="G49" s="178">
        <f>IF(A49="","",IF($Y49="","",IF($Y49&gt;0,"",ROUND(E49,2))))</f>
        <v/>
      </c>
      <c r="H49" s="180">
        <f>IF(A49="","",ROUND(SUMIFS(aditivos!$L$2:$L$200,aditivos!$A$2:$A$200,A49,aditivos!$C$2:$C$200,"C1"),2))</f>
        <v/>
      </c>
      <c r="I49" s="176">
        <f>IF(A49="","",ROUND(E49+H49,2))</f>
        <v/>
      </c>
      <c r="J49" s="176">
        <f>IF(A49="","",IF(itens_Remanesc!E49="","",itens_Remanesc!E49))</f>
        <v/>
      </c>
      <c r="K49" s="182">
        <f>IF(A49="","",IF($Y49="","",IF($Y49&gt;1,"",IF(ISNUMBER(J49),ROUND(J49+H49,2),IF($Y49=1,ROUND(H49,2),"")))))</f>
        <v/>
      </c>
      <c r="L49" s="174">
        <f>IF(A49="","",ROUND(SUMIFS(aditivos!$L$2:$L$200,aditivos!$A$2:$A$200,A49,aditivos!$C$2:$C$200,"C2"),2))</f>
        <v/>
      </c>
      <c r="M49" s="170">
        <f>IF(A49="","",ROUND(I49+L49,2))</f>
        <v/>
      </c>
      <c r="N49" s="170">
        <f>IF(A49="","",IF(itens_Remanesc!G49="","",itens_Remanesc!G49))</f>
        <v/>
      </c>
      <c r="O49" s="178">
        <f>IF(A49="","",IF($Y49="","",IF($Y49&gt;2,"",IF(ISNUMBER(N49),ROUND(N49+L49,2),IF($Y49=2,ROUND(L49,2),"")))))</f>
        <v/>
      </c>
      <c r="P49" s="180">
        <f>IF(A49="","",ROUND(SUMIFS(aditivos!$L$2:$L$200,aditivos!$A$2:$A$200,A49,aditivos!$C$2:$C$200,"C3"),2))</f>
        <v/>
      </c>
      <c r="Q49" s="176">
        <f>IF(A49="","",ROUND(M49+P49,2))</f>
        <v/>
      </c>
      <c r="R49" s="176">
        <f>IF(A49="","",IF(itens_Remanesc!I49="","",itens_Remanesc!I49))</f>
        <v/>
      </c>
      <c r="S49" s="182">
        <f>IF(A49="","",IF($Y49="","",IF($Y49&gt;3,"",IF(ISNUMBER(R49),ROUND(R49+P49,2),IF($Y49=3,ROUND(P49,2),"")))))</f>
        <v/>
      </c>
      <c r="T49" s="174">
        <f>IF(A49="","",ROUND(SUMIFS(aditivos!$L$2:$L$200,aditivos!$A$2:$A$200,A49,aditivos!$C$2:$C$200,"C4"),2))</f>
        <v/>
      </c>
      <c r="U49" s="170">
        <f>IF(A49="","",ROUND(Q49+T49,2))</f>
        <v/>
      </c>
      <c r="V49" s="170">
        <f>IF(A49="","",IF(itens_Remanesc!K49="","",itens_Remanesc!K49))</f>
        <v/>
      </c>
      <c r="W49" s="170">
        <f>IF(A49="","",IF($Y49="","",IF($Y49&gt;4,"",IF(ISNUMBER(V49),ROUND(V49+T49,2),IF($Y49=4,ROUND(T49,2),"")))))</f>
        <v/>
      </c>
      <c r="X49" s="156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>
        <f>IF($A49="","",IF($E49&gt;0,0,IF($I49&gt;0,1,IF($M49&gt;0,2,IF($Q49&gt;0,3,IF($U49&gt;0,4,""))))))</f>
        <v/>
      </c>
      <c r="Z49">
        <f>IF($A49="",FALSE,AND(LEN(TRIM($A49))=4,LEFT(TRIM($A49),1)="N",ISNUMBER(--MID(TRIM($A49),2,3)),ISERROR(FIND(".",$A49)),ISERROR(FIND(",",$A49)),ISERROR(FIND("-",$A49)),ISERROR(FIND("+",$A49)),ISERROR(SEARCH("E",$A49,2)),ISERROR(FIND(" ",TRIM($A49)))))</f>
        <v/>
      </c>
    </row>
    <row r="50">
      <c r="A50" s="156">
        <f>IF(itens_Remanesc!A50="","",itens_Remanesc!A50)</f>
        <v/>
      </c>
      <c r="B50" s="218">
        <f>IF(A50="","",itens_Remanesc!C50)</f>
        <v/>
      </c>
      <c r="C50" s="172">
        <f>IF(A50="","",IF(itens_Remanesc!B50="",0,itens_Remanesc!B50))</f>
        <v/>
      </c>
      <c r="D50" s="174">
        <f>IF(A50="","",ROUND(SUMIFS(aditivos!$L$2:$L$200,aditivos!$A$2:$A$200,A50,aditivos!$C$2:$C$200,"C0"),2))</f>
        <v/>
      </c>
      <c r="E50" s="170">
        <f>IF(A50="","",ROUND(C50+D50,2))</f>
        <v/>
      </c>
      <c r="F50" s="170">
        <f>IF(A50="","",IF(itens_Remanesc!B50&lt;&gt;"",itens_Remanesc!B50,IF($Z50,0,"")))</f>
        <v/>
      </c>
      <c r="G50" s="178">
        <f>IF(A50="","",IF($Y50="","",IF($Y50&gt;0,"",ROUND(E50,2))))</f>
        <v/>
      </c>
      <c r="H50" s="180">
        <f>IF(A50="","",ROUND(SUMIFS(aditivos!$L$2:$L$200,aditivos!$A$2:$A$200,A50,aditivos!$C$2:$C$200,"C1"),2))</f>
        <v/>
      </c>
      <c r="I50" s="176">
        <f>IF(A50="","",ROUND(E50+H50,2))</f>
        <v/>
      </c>
      <c r="J50" s="176">
        <f>IF(A50="","",IF(itens_Remanesc!E50="","",itens_Remanesc!E50))</f>
        <v/>
      </c>
      <c r="K50" s="182">
        <f>IF(A50="","",IF($Y50="","",IF($Y50&gt;1,"",IF(ISNUMBER(J50),ROUND(J50+H50,2),IF($Y50=1,ROUND(H50,2),"")))))</f>
        <v/>
      </c>
      <c r="L50" s="174">
        <f>IF(A50="","",ROUND(SUMIFS(aditivos!$L$2:$L$200,aditivos!$A$2:$A$200,A50,aditivos!$C$2:$C$200,"C2"),2))</f>
        <v/>
      </c>
      <c r="M50" s="170">
        <f>IF(A50="","",ROUND(I50+L50,2))</f>
        <v/>
      </c>
      <c r="N50" s="170">
        <f>IF(A50="","",IF(itens_Remanesc!G50="","",itens_Remanesc!G50))</f>
        <v/>
      </c>
      <c r="O50" s="178">
        <f>IF(A50="","",IF($Y50="","",IF($Y50&gt;2,"",IF(ISNUMBER(N50),ROUND(N50+L50,2),IF($Y50=2,ROUND(L50,2),"")))))</f>
        <v/>
      </c>
      <c r="P50" s="180">
        <f>IF(A50="","",ROUND(SUMIFS(aditivos!$L$2:$L$200,aditivos!$A$2:$A$200,A50,aditivos!$C$2:$C$200,"C3"),2))</f>
        <v/>
      </c>
      <c r="Q50" s="176">
        <f>IF(A50="","",ROUND(M50+P50,2))</f>
        <v/>
      </c>
      <c r="R50" s="176">
        <f>IF(A50="","",IF(itens_Remanesc!I50="","",itens_Remanesc!I50))</f>
        <v/>
      </c>
      <c r="S50" s="182">
        <f>IF(A50="","",IF($Y50="","",IF($Y50&gt;3,"",IF(ISNUMBER(R50),ROUND(R50+P50,2),IF($Y50=3,ROUND(P50,2),"")))))</f>
        <v/>
      </c>
      <c r="T50" s="174">
        <f>IF(A50="","",ROUND(SUMIFS(aditivos!$L$2:$L$200,aditivos!$A$2:$A$200,A50,aditivos!$C$2:$C$200,"C4"),2))</f>
        <v/>
      </c>
      <c r="U50" s="170">
        <f>IF(A50="","",ROUND(Q50+T50,2))</f>
        <v/>
      </c>
      <c r="V50" s="170">
        <f>IF(A50="","",IF(itens_Remanesc!K50="","",itens_Remanesc!K50))</f>
        <v/>
      </c>
      <c r="W50" s="170">
        <f>IF(A50="","",IF($Y50="","",IF($Y50&gt;4,"",IF(ISNUMBER(V50),ROUND(V50+T50,2),IF($Y50=4,ROUND(T50,2),"")))))</f>
        <v/>
      </c>
      <c r="X50" s="156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>
        <f>IF($A50="","",IF($E50&gt;0,0,IF($I50&gt;0,1,IF($M50&gt;0,2,IF($Q50&gt;0,3,IF($U50&gt;0,4,""))))))</f>
        <v/>
      </c>
      <c r="Z50">
        <f>IF($A50="",FALSE,AND(LEN(TRIM($A50))=4,LEFT(TRIM($A50),1)="N",ISNUMBER(--MID(TRIM($A50),2,3)),ISERROR(FIND(".",$A50)),ISERROR(FIND(",",$A50)),ISERROR(FIND("-",$A50)),ISERROR(FIND("+",$A50)),ISERROR(SEARCH("E",$A50,2)),ISERROR(FIND(" ",TRIM($A50)))))</f>
        <v/>
      </c>
    </row>
    <row r="51">
      <c r="A51" s="156">
        <f>IF(itens_Remanesc!A51="","",itens_Remanesc!A51)</f>
        <v/>
      </c>
      <c r="B51" s="218">
        <f>IF(A51="","",itens_Remanesc!C51)</f>
        <v/>
      </c>
      <c r="C51" s="172">
        <f>IF(A51="","",IF(itens_Remanesc!B51="",0,itens_Remanesc!B51))</f>
        <v/>
      </c>
      <c r="D51" s="174">
        <f>IF(A51="","",ROUND(SUMIFS(aditivos!$L$2:$L$200,aditivos!$A$2:$A$200,A51,aditivos!$C$2:$C$200,"C0"),2))</f>
        <v/>
      </c>
      <c r="E51" s="170">
        <f>IF(A51="","",ROUND(C51+D51,2))</f>
        <v/>
      </c>
      <c r="F51" s="170">
        <f>IF(A51="","",IF(itens_Remanesc!B51&lt;&gt;"",itens_Remanesc!B51,IF($Z51,0,"")))</f>
        <v/>
      </c>
      <c r="G51" s="178">
        <f>IF(A51="","",IF($Y51="","",IF($Y51&gt;0,"",ROUND(E51,2))))</f>
        <v/>
      </c>
      <c r="H51" s="180">
        <f>IF(A51="","",ROUND(SUMIFS(aditivos!$L$2:$L$200,aditivos!$A$2:$A$200,A51,aditivos!$C$2:$C$200,"C1"),2))</f>
        <v/>
      </c>
      <c r="I51" s="176">
        <f>IF(A51="","",ROUND(E51+H51,2))</f>
        <v/>
      </c>
      <c r="J51" s="176">
        <f>IF(A51="","",IF(itens_Remanesc!E51="","",itens_Remanesc!E51))</f>
        <v/>
      </c>
      <c r="K51" s="182">
        <f>IF(A51="","",IF($Y51="","",IF($Y51&gt;1,"",IF(ISNUMBER(J51),ROUND(J51+H51,2),IF($Y51=1,ROUND(H51,2),"")))))</f>
        <v/>
      </c>
      <c r="L51" s="174">
        <f>IF(A51="","",ROUND(SUMIFS(aditivos!$L$2:$L$200,aditivos!$A$2:$A$200,A51,aditivos!$C$2:$C$200,"C2"),2))</f>
        <v/>
      </c>
      <c r="M51" s="170">
        <f>IF(A51="","",ROUND(I51+L51,2))</f>
        <v/>
      </c>
      <c r="N51" s="170">
        <f>IF(A51="","",IF(itens_Remanesc!G51="","",itens_Remanesc!G51))</f>
        <v/>
      </c>
      <c r="O51" s="178">
        <f>IF(A51="","",IF($Y51="","",IF($Y51&gt;2,"",IF(ISNUMBER(N51),ROUND(N51+L51,2),IF($Y51=2,ROUND(L51,2),"")))))</f>
        <v/>
      </c>
      <c r="P51" s="180">
        <f>IF(A51="","",ROUND(SUMIFS(aditivos!$L$2:$L$200,aditivos!$A$2:$A$200,A51,aditivos!$C$2:$C$200,"C3"),2))</f>
        <v/>
      </c>
      <c r="Q51" s="176">
        <f>IF(A51="","",ROUND(M51+P51,2))</f>
        <v/>
      </c>
      <c r="R51" s="176">
        <f>IF(A51="","",IF(itens_Remanesc!I51="","",itens_Remanesc!I51))</f>
        <v/>
      </c>
      <c r="S51" s="182">
        <f>IF(A51="","",IF($Y51="","",IF($Y51&gt;3,"",IF(ISNUMBER(R51),ROUND(R51+P51,2),IF($Y51=3,ROUND(P51,2),"")))))</f>
        <v/>
      </c>
      <c r="T51" s="174">
        <f>IF(A51="","",ROUND(SUMIFS(aditivos!$L$2:$L$200,aditivos!$A$2:$A$200,A51,aditivos!$C$2:$C$200,"C4"),2))</f>
        <v/>
      </c>
      <c r="U51" s="170">
        <f>IF(A51="","",ROUND(Q51+T51,2))</f>
        <v/>
      </c>
      <c r="V51" s="170">
        <f>IF(A51="","",IF(itens_Remanesc!K51="","",itens_Remanesc!K51))</f>
        <v/>
      </c>
      <c r="W51" s="170">
        <f>IF(A51="","",IF($Y51="","",IF($Y51&gt;4,"",IF(ISNUMBER(V51),ROUND(V51+T51,2),IF($Y51=4,ROUND(T51,2),"")))))</f>
        <v/>
      </c>
      <c r="X51" s="156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>
        <f>IF($A51="","",IF($E51&gt;0,0,IF($I51&gt;0,1,IF($M51&gt;0,2,IF($Q51&gt;0,3,IF($U51&gt;0,4,""))))))</f>
        <v/>
      </c>
      <c r="Z51">
        <f>IF($A51="",FALSE,AND(LEN(TRIM($A51))=4,LEFT(TRIM($A51),1)="N",ISNUMBER(--MID(TRIM($A51),2,3)),ISERROR(FIND(".",$A51)),ISERROR(FIND(",",$A51)),ISERROR(FIND("-",$A51)),ISERROR(FIND("+",$A51)),ISERROR(SEARCH("E",$A51,2)),ISERROR(FIND(" ",TRIM($A51)))))</f>
        <v/>
      </c>
    </row>
    <row r="52">
      <c r="A52" s="156">
        <f>IF(itens_Remanesc!A52="","",itens_Remanesc!A52)</f>
        <v/>
      </c>
      <c r="B52" s="218">
        <f>IF(A52="","",itens_Remanesc!C52)</f>
        <v/>
      </c>
      <c r="C52" s="172">
        <f>IF(A52="","",IF(itens_Remanesc!B52="",0,itens_Remanesc!B52))</f>
        <v/>
      </c>
      <c r="D52" s="174">
        <f>IF(A52="","",ROUND(SUMIFS(aditivos!$L$2:$L$200,aditivos!$A$2:$A$200,A52,aditivos!$C$2:$C$200,"C0"),2))</f>
        <v/>
      </c>
      <c r="E52" s="170">
        <f>IF(A52="","",ROUND(C52+D52,2))</f>
        <v/>
      </c>
      <c r="F52" s="170">
        <f>IF(A52="","",IF(itens_Remanesc!B52&lt;&gt;"",itens_Remanesc!B52,IF($Z52,0,"")))</f>
        <v/>
      </c>
      <c r="G52" s="178">
        <f>IF(A52="","",IF($Y52="","",IF($Y52&gt;0,"",ROUND(E52,2))))</f>
        <v/>
      </c>
      <c r="H52" s="180">
        <f>IF(A52="","",ROUND(SUMIFS(aditivos!$L$2:$L$200,aditivos!$A$2:$A$200,A52,aditivos!$C$2:$C$200,"C1"),2))</f>
        <v/>
      </c>
      <c r="I52" s="176">
        <f>IF(A52="","",ROUND(E52+H52,2))</f>
        <v/>
      </c>
      <c r="J52" s="176">
        <f>IF(A52="","",IF(itens_Remanesc!E52="","",itens_Remanesc!E52))</f>
        <v/>
      </c>
      <c r="K52" s="182">
        <f>IF(A52="","",IF($Y52="","",IF($Y52&gt;1,"",IF(ISNUMBER(J52),ROUND(J52+H52,2),IF($Y52=1,ROUND(H52,2),"")))))</f>
        <v/>
      </c>
      <c r="L52" s="174">
        <f>IF(A52="","",ROUND(SUMIFS(aditivos!$L$2:$L$200,aditivos!$A$2:$A$200,A52,aditivos!$C$2:$C$200,"C2"),2))</f>
        <v/>
      </c>
      <c r="M52" s="170">
        <f>IF(A52="","",ROUND(I52+L52,2))</f>
        <v/>
      </c>
      <c r="N52" s="170">
        <f>IF(A52="","",IF(itens_Remanesc!G52="","",itens_Remanesc!G52))</f>
        <v/>
      </c>
      <c r="O52" s="178">
        <f>IF(A52="","",IF($Y52="","",IF($Y52&gt;2,"",IF(ISNUMBER(N52),ROUND(N52+L52,2),IF($Y52=2,ROUND(L52,2),"")))))</f>
        <v/>
      </c>
      <c r="P52" s="180">
        <f>IF(A52="","",ROUND(SUMIFS(aditivos!$L$2:$L$200,aditivos!$A$2:$A$200,A52,aditivos!$C$2:$C$200,"C3"),2))</f>
        <v/>
      </c>
      <c r="Q52" s="176">
        <f>IF(A52="","",ROUND(M52+P52,2))</f>
        <v/>
      </c>
      <c r="R52" s="176">
        <f>IF(A52="","",IF(itens_Remanesc!I52="","",itens_Remanesc!I52))</f>
        <v/>
      </c>
      <c r="S52" s="182">
        <f>IF(A52="","",IF($Y52="","",IF($Y52&gt;3,"",IF(ISNUMBER(R52),ROUND(R52+P52,2),IF($Y52=3,ROUND(P52,2),"")))))</f>
        <v/>
      </c>
      <c r="T52" s="174">
        <f>IF(A52="","",ROUND(SUMIFS(aditivos!$L$2:$L$200,aditivos!$A$2:$A$200,A52,aditivos!$C$2:$C$200,"C4"),2))</f>
        <v/>
      </c>
      <c r="U52" s="170">
        <f>IF(A52="","",ROUND(Q52+T52,2))</f>
        <v/>
      </c>
      <c r="V52" s="170">
        <f>IF(A52="","",IF(itens_Remanesc!K52="","",itens_Remanesc!K52))</f>
        <v/>
      </c>
      <c r="W52" s="170">
        <f>IF(A52="","",IF($Y52="","",IF($Y52&gt;4,"",IF(ISNUMBER(V52),ROUND(V52+T52,2),IF($Y52=4,ROUND(T52,2),"")))))</f>
        <v/>
      </c>
      <c r="X52" s="156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>
        <f>IF($A52="","",IF($E52&gt;0,0,IF($I52&gt;0,1,IF($M52&gt;0,2,IF($Q52&gt;0,3,IF($U52&gt;0,4,""))))))</f>
        <v/>
      </c>
      <c r="Z52">
        <f>IF($A52="",FALSE,AND(LEN(TRIM($A52))=4,LEFT(TRIM($A52),1)="N",ISNUMBER(--MID(TRIM($A52),2,3)),ISERROR(FIND(".",$A52)),ISERROR(FIND(",",$A52)),ISERROR(FIND("-",$A52)),ISERROR(FIND("+",$A52)),ISERROR(SEARCH("E",$A52,2)),ISERROR(FIND(" ",TRIM($A52)))))</f>
        <v/>
      </c>
    </row>
    <row r="53">
      <c r="A53" s="156">
        <f>IF(itens_Remanesc!A53="","",itens_Remanesc!A53)</f>
        <v/>
      </c>
      <c r="B53" s="218">
        <f>IF(A53="","",itens_Remanesc!C53)</f>
        <v/>
      </c>
      <c r="C53" s="172">
        <f>IF(A53="","",IF(itens_Remanesc!B53="",0,itens_Remanesc!B53))</f>
        <v/>
      </c>
      <c r="D53" s="174">
        <f>IF(A53="","",ROUND(SUMIFS(aditivos!$L$2:$L$200,aditivos!$A$2:$A$200,A53,aditivos!$C$2:$C$200,"C0"),2))</f>
        <v/>
      </c>
      <c r="E53" s="170">
        <f>IF(A53="","",ROUND(C53+D53,2))</f>
        <v/>
      </c>
      <c r="F53" s="170">
        <f>IF(A53="","",IF(itens_Remanesc!B53&lt;&gt;"",itens_Remanesc!B53,IF($Z53,0,"")))</f>
        <v/>
      </c>
      <c r="G53" s="178">
        <f>IF(A53="","",IF($Y53="","",IF($Y53&gt;0,"",ROUND(E53,2))))</f>
        <v/>
      </c>
      <c r="H53" s="180">
        <f>IF(A53="","",ROUND(SUMIFS(aditivos!$L$2:$L$200,aditivos!$A$2:$A$200,A53,aditivos!$C$2:$C$200,"C1"),2))</f>
        <v/>
      </c>
      <c r="I53" s="176">
        <f>IF(A53="","",ROUND(E53+H53,2))</f>
        <v/>
      </c>
      <c r="J53" s="176">
        <f>IF(A53="","",IF(itens_Remanesc!E53="","",itens_Remanesc!E53))</f>
        <v/>
      </c>
      <c r="K53" s="182">
        <f>IF(A53="","",IF($Y53="","",IF($Y53&gt;1,"",IF(ISNUMBER(J53),ROUND(J53+H53,2),IF($Y53=1,ROUND(H53,2),"")))))</f>
        <v/>
      </c>
      <c r="L53" s="174">
        <f>IF(A53="","",ROUND(SUMIFS(aditivos!$L$2:$L$200,aditivos!$A$2:$A$200,A53,aditivos!$C$2:$C$200,"C2"),2))</f>
        <v/>
      </c>
      <c r="M53" s="170">
        <f>IF(A53="","",ROUND(I53+L53,2))</f>
        <v/>
      </c>
      <c r="N53" s="170">
        <f>IF(A53="","",IF(itens_Remanesc!G53="","",itens_Remanesc!G53))</f>
        <v/>
      </c>
      <c r="O53" s="178">
        <f>IF(A53="","",IF($Y53="","",IF($Y53&gt;2,"",IF(ISNUMBER(N53),ROUND(N53+L53,2),IF($Y53=2,ROUND(L53,2),"")))))</f>
        <v/>
      </c>
      <c r="P53" s="180">
        <f>IF(A53="","",ROUND(SUMIFS(aditivos!$L$2:$L$200,aditivos!$A$2:$A$200,A53,aditivos!$C$2:$C$200,"C3"),2))</f>
        <v/>
      </c>
      <c r="Q53" s="176">
        <f>IF(A53="","",ROUND(M53+P53,2))</f>
        <v/>
      </c>
      <c r="R53" s="176">
        <f>IF(A53="","",IF(itens_Remanesc!I53="","",itens_Remanesc!I53))</f>
        <v/>
      </c>
      <c r="S53" s="182">
        <f>IF(A53="","",IF($Y53="","",IF($Y53&gt;3,"",IF(ISNUMBER(R53),ROUND(R53+P53,2),IF($Y53=3,ROUND(P53,2),"")))))</f>
        <v/>
      </c>
      <c r="T53" s="174">
        <f>IF(A53="","",ROUND(SUMIFS(aditivos!$L$2:$L$200,aditivos!$A$2:$A$200,A53,aditivos!$C$2:$C$200,"C4"),2))</f>
        <v/>
      </c>
      <c r="U53" s="170">
        <f>IF(A53="","",ROUND(Q53+T53,2))</f>
        <v/>
      </c>
      <c r="V53" s="170">
        <f>IF(A53="","",IF(itens_Remanesc!K53="","",itens_Remanesc!K53))</f>
        <v/>
      </c>
      <c r="W53" s="170">
        <f>IF(A53="","",IF($Y53="","",IF($Y53&gt;4,"",IF(ISNUMBER(V53),ROUND(V53+T53,2),IF($Y53=4,ROUND(T53,2),"")))))</f>
        <v/>
      </c>
      <c r="X53" s="156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>
        <f>IF($A53="","",IF($E53&gt;0,0,IF($I53&gt;0,1,IF($M53&gt;0,2,IF($Q53&gt;0,3,IF($U53&gt;0,4,""))))))</f>
        <v/>
      </c>
      <c r="Z53">
        <f>IF($A53="",FALSE,AND(LEN(TRIM($A53))=4,LEFT(TRIM($A53),1)="N",ISNUMBER(--MID(TRIM($A53),2,3)),ISERROR(FIND(".",$A53)),ISERROR(FIND(",",$A53)),ISERROR(FIND("-",$A53)),ISERROR(FIND("+",$A53)),ISERROR(SEARCH("E",$A53,2)),ISERROR(FIND(" ",TRIM($A53)))))</f>
        <v/>
      </c>
    </row>
    <row r="54">
      <c r="A54" s="156">
        <f>IF(itens_Remanesc!A54="","",itens_Remanesc!A54)</f>
        <v/>
      </c>
      <c r="B54" s="218">
        <f>IF(A54="","",itens_Remanesc!C54)</f>
        <v/>
      </c>
      <c r="C54" s="172">
        <f>IF(A54="","",IF(itens_Remanesc!B54="",0,itens_Remanesc!B54))</f>
        <v/>
      </c>
      <c r="D54" s="174">
        <f>IF(A54="","",ROUND(SUMIFS(aditivos!$L$2:$L$200,aditivos!$A$2:$A$200,A54,aditivos!$C$2:$C$200,"C0"),2))</f>
        <v/>
      </c>
      <c r="E54" s="170">
        <f>IF(A54="","",ROUND(C54+D54,2))</f>
        <v/>
      </c>
      <c r="F54" s="170">
        <f>IF(A54="","",IF(itens_Remanesc!B54&lt;&gt;"",itens_Remanesc!B54,IF($Z54,0,"")))</f>
        <v/>
      </c>
      <c r="G54" s="178">
        <f>IF(A54="","",IF($Y54="","",IF($Y54&gt;0,"",ROUND(E54,2))))</f>
        <v/>
      </c>
      <c r="H54" s="180">
        <f>IF(A54="","",ROUND(SUMIFS(aditivos!$L$2:$L$200,aditivos!$A$2:$A$200,A54,aditivos!$C$2:$C$200,"C1"),2))</f>
        <v/>
      </c>
      <c r="I54" s="176">
        <f>IF(A54="","",ROUND(E54+H54,2))</f>
        <v/>
      </c>
      <c r="J54" s="176">
        <f>IF(A54="","",IF(itens_Remanesc!E54="","",itens_Remanesc!E54))</f>
        <v/>
      </c>
      <c r="K54" s="182">
        <f>IF(A54="","",IF($Y54="","",IF($Y54&gt;1,"",IF(ISNUMBER(J54),ROUND(J54+H54,2),IF($Y54=1,ROUND(H54,2),"")))))</f>
        <v/>
      </c>
      <c r="L54" s="174">
        <f>IF(A54="","",ROUND(SUMIFS(aditivos!$L$2:$L$200,aditivos!$A$2:$A$200,A54,aditivos!$C$2:$C$200,"C2"),2))</f>
        <v/>
      </c>
      <c r="M54" s="170">
        <f>IF(A54="","",ROUND(I54+L54,2))</f>
        <v/>
      </c>
      <c r="N54" s="170">
        <f>IF(A54="","",IF(itens_Remanesc!G54="","",itens_Remanesc!G54))</f>
        <v/>
      </c>
      <c r="O54" s="178">
        <f>IF(A54="","",IF($Y54="","",IF($Y54&gt;2,"",IF(ISNUMBER(N54),ROUND(N54+L54,2),IF($Y54=2,ROUND(L54,2),"")))))</f>
        <v/>
      </c>
      <c r="P54" s="180">
        <f>IF(A54="","",ROUND(SUMIFS(aditivos!$L$2:$L$200,aditivos!$A$2:$A$200,A54,aditivos!$C$2:$C$200,"C3"),2))</f>
        <v/>
      </c>
      <c r="Q54" s="176">
        <f>IF(A54="","",ROUND(M54+P54,2))</f>
        <v/>
      </c>
      <c r="R54" s="176">
        <f>IF(A54="","",IF(itens_Remanesc!I54="","",itens_Remanesc!I54))</f>
        <v/>
      </c>
      <c r="S54" s="182">
        <f>IF(A54="","",IF($Y54="","",IF($Y54&gt;3,"",IF(ISNUMBER(R54),ROUND(R54+P54,2),IF($Y54=3,ROUND(P54,2),"")))))</f>
        <v/>
      </c>
      <c r="T54" s="174">
        <f>IF(A54="","",ROUND(SUMIFS(aditivos!$L$2:$L$200,aditivos!$A$2:$A$200,A54,aditivos!$C$2:$C$200,"C4"),2))</f>
        <v/>
      </c>
      <c r="U54" s="170">
        <f>IF(A54="","",ROUND(Q54+T54,2))</f>
        <v/>
      </c>
      <c r="V54" s="170">
        <f>IF(A54="","",IF(itens_Remanesc!K54="","",itens_Remanesc!K54))</f>
        <v/>
      </c>
      <c r="W54" s="170">
        <f>IF(A54="","",IF($Y54="","",IF($Y54&gt;4,"",IF(ISNUMBER(V54),ROUND(V54+T54,2),IF($Y54=4,ROUND(T54,2),"")))))</f>
        <v/>
      </c>
      <c r="X54" s="156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>
        <f>IF($A54="","",IF($E54&gt;0,0,IF($I54&gt;0,1,IF($M54&gt;0,2,IF($Q54&gt;0,3,IF($U54&gt;0,4,""))))))</f>
        <v/>
      </c>
      <c r="Z54">
        <f>IF($A54="",FALSE,AND(LEN(TRIM($A54))=4,LEFT(TRIM($A54),1)="N",ISNUMBER(--MID(TRIM($A54),2,3)),ISERROR(FIND(".",$A54)),ISERROR(FIND(",",$A54)),ISERROR(FIND("-",$A54)),ISERROR(FIND("+",$A54)),ISERROR(SEARCH("E",$A54,2)),ISERROR(FIND(" ",TRIM($A54)))))</f>
        <v/>
      </c>
    </row>
    <row r="55">
      <c r="A55" s="156">
        <f>IF(itens_Remanesc!A55="","",itens_Remanesc!A55)</f>
        <v/>
      </c>
      <c r="B55" s="218">
        <f>IF(A55="","",itens_Remanesc!C55)</f>
        <v/>
      </c>
      <c r="C55" s="172">
        <f>IF(A55="","",IF(itens_Remanesc!B55="",0,itens_Remanesc!B55))</f>
        <v/>
      </c>
      <c r="D55" s="174">
        <f>IF(A55="","",ROUND(SUMIFS(aditivos!$L$2:$L$200,aditivos!$A$2:$A$200,A55,aditivos!$C$2:$C$200,"C0"),2))</f>
        <v/>
      </c>
      <c r="E55" s="170">
        <f>IF(A55="","",ROUND(C55+D55,2))</f>
        <v/>
      </c>
      <c r="F55" s="170">
        <f>IF(A55="","",IF(itens_Remanesc!B55&lt;&gt;"",itens_Remanesc!B55,IF($Z55,0,"")))</f>
        <v/>
      </c>
      <c r="G55" s="178">
        <f>IF(A55="","",IF($Y55="","",IF($Y55&gt;0,"",ROUND(E55,2))))</f>
        <v/>
      </c>
      <c r="H55" s="180">
        <f>IF(A55="","",ROUND(SUMIFS(aditivos!$L$2:$L$200,aditivos!$A$2:$A$200,A55,aditivos!$C$2:$C$200,"C1"),2))</f>
        <v/>
      </c>
      <c r="I55" s="176">
        <f>IF(A55="","",ROUND(E55+H55,2))</f>
        <v/>
      </c>
      <c r="J55" s="176">
        <f>IF(A55="","",IF(itens_Remanesc!E55="","",itens_Remanesc!E55))</f>
        <v/>
      </c>
      <c r="K55" s="182">
        <f>IF(A55="","",IF($Y55="","",IF($Y55&gt;1,"",IF(ISNUMBER(J55),ROUND(J55+H55,2),IF($Y55=1,ROUND(H55,2),"")))))</f>
        <v/>
      </c>
      <c r="L55" s="174">
        <f>IF(A55="","",ROUND(SUMIFS(aditivos!$L$2:$L$200,aditivos!$A$2:$A$200,A55,aditivos!$C$2:$C$200,"C2"),2))</f>
        <v/>
      </c>
      <c r="M55" s="170">
        <f>IF(A55="","",ROUND(I55+L55,2))</f>
        <v/>
      </c>
      <c r="N55" s="170">
        <f>IF(A55="","",IF(itens_Remanesc!G55="","",itens_Remanesc!G55))</f>
        <v/>
      </c>
      <c r="O55" s="178">
        <f>IF(A55="","",IF($Y55="","",IF($Y55&gt;2,"",IF(ISNUMBER(N55),ROUND(N55+L55,2),IF($Y55=2,ROUND(L55,2),"")))))</f>
        <v/>
      </c>
      <c r="P55" s="180">
        <f>IF(A55="","",ROUND(SUMIFS(aditivos!$L$2:$L$200,aditivos!$A$2:$A$200,A55,aditivos!$C$2:$C$200,"C3"),2))</f>
        <v/>
      </c>
      <c r="Q55" s="176">
        <f>IF(A55="","",ROUND(M55+P55,2))</f>
        <v/>
      </c>
      <c r="R55" s="176">
        <f>IF(A55="","",IF(itens_Remanesc!I55="","",itens_Remanesc!I55))</f>
        <v/>
      </c>
      <c r="S55" s="182">
        <f>IF(A55="","",IF($Y55="","",IF($Y55&gt;3,"",IF(ISNUMBER(R55),ROUND(R55+P55,2),IF($Y55=3,ROUND(P55,2),"")))))</f>
        <v/>
      </c>
      <c r="T55" s="174">
        <f>IF(A55="","",ROUND(SUMIFS(aditivos!$L$2:$L$200,aditivos!$A$2:$A$200,A55,aditivos!$C$2:$C$200,"C4"),2))</f>
        <v/>
      </c>
      <c r="U55" s="170">
        <f>IF(A55="","",ROUND(Q55+T55,2))</f>
        <v/>
      </c>
      <c r="V55" s="170">
        <f>IF(A55="","",IF(itens_Remanesc!K55="","",itens_Remanesc!K55))</f>
        <v/>
      </c>
      <c r="W55" s="170">
        <f>IF(A55="","",IF($Y55="","",IF($Y55&gt;4,"",IF(ISNUMBER(V55),ROUND(V55+T55,2),IF($Y55=4,ROUND(T55,2),"")))))</f>
        <v/>
      </c>
      <c r="X55" s="156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>
        <f>IF($A55="","",IF($E55&gt;0,0,IF($I55&gt;0,1,IF($M55&gt;0,2,IF($Q55&gt;0,3,IF($U55&gt;0,4,""))))))</f>
        <v/>
      </c>
      <c r="Z55">
        <f>IF($A55="",FALSE,AND(LEN(TRIM($A55))=4,LEFT(TRIM($A55),1)="N",ISNUMBER(--MID(TRIM($A55),2,3)),ISERROR(FIND(".",$A55)),ISERROR(FIND(",",$A55)),ISERROR(FIND("-",$A55)),ISERROR(FIND("+",$A55)),ISERROR(SEARCH("E",$A55,2)),ISERROR(FIND(" ",TRIM($A55)))))</f>
        <v/>
      </c>
    </row>
    <row r="56">
      <c r="A56" s="156">
        <f>IF(itens_Remanesc!A56="","",itens_Remanesc!A56)</f>
        <v/>
      </c>
      <c r="B56" s="218">
        <f>IF(A56="","",itens_Remanesc!C56)</f>
        <v/>
      </c>
      <c r="C56" s="172">
        <f>IF(A56="","",IF(itens_Remanesc!B56="",0,itens_Remanesc!B56))</f>
        <v/>
      </c>
      <c r="D56" s="174">
        <f>IF(A56="","",ROUND(SUMIFS(aditivos!$L$2:$L$200,aditivos!$A$2:$A$200,A56,aditivos!$C$2:$C$200,"C0"),2))</f>
        <v/>
      </c>
      <c r="E56" s="170">
        <f>IF(A56="","",ROUND(C56+D56,2))</f>
        <v/>
      </c>
      <c r="F56" s="170">
        <f>IF(A56="","",IF(itens_Remanesc!B56&lt;&gt;"",itens_Remanesc!B56,IF($Z56,0,"")))</f>
        <v/>
      </c>
      <c r="G56" s="178">
        <f>IF(A56="","",IF($Y56="","",IF($Y56&gt;0,"",ROUND(E56,2))))</f>
        <v/>
      </c>
      <c r="H56" s="180">
        <f>IF(A56="","",ROUND(SUMIFS(aditivos!$L$2:$L$200,aditivos!$A$2:$A$200,A56,aditivos!$C$2:$C$200,"C1"),2))</f>
        <v/>
      </c>
      <c r="I56" s="176">
        <f>IF(A56="","",ROUND(E56+H56,2))</f>
        <v/>
      </c>
      <c r="J56" s="176">
        <f>IF(A56="","",IF(itens_Remanesc!E56="","",itens_Remanesc!E56))</f>
        <v/>
      </c>
      <c r="K56" s="182">
        <f>IF(A56="","",IF($Y56="","",IF($Y56&gt;1,"",IF(ISNUMBER(J56),ROUND(J56+H56,2),IF($Y56=1,ROUND(H56,2),"")))))</f>
        <v/>
      </c>
      <c r="L56" s="174">
        <f>IF(A56="","",ROUND(SUMIFS(aditivos!$L$2:$L$200,aditivos!$A$2:$A$200,A56,aditivos!$C$2:$C$200,"C2"),2))</f>
        <v/>
      </c>
      <c r="M56" s="170">
        <f>IF(A56="","",ROUND(I56+L56,2))</f>
        <v/>
      </c>
      <c r="N56" s="170">
        <f>IF(A56="","",IF(itens_Remanesc!G56="","",itens_Remanesc!G56))</f>
        <v/>
      </c>
      <c r="O56" s="178">
        <f>IF(A56="","",IF($Y56="","",IF($Y56&gt;2,"",IF(ISNUMBER(N56),ROUND(N56+L56,2),IF($Y56=2,ROUND(L56,2),"")))))</f>
        <v/>
      </c>
      <c r="P56" s="180">
        <f>IF(A56="","",ROUND(SUMIFS(aditivos!$L$2:$L$200,aditivos!$A$2:$A$200,A56,aditivos!$C$2:$C$200,"C3"),2))</f>
        <v/>
      </c>
      <c r="Q56" s="176">
        <f>IF(A56="","",ROUND(M56+P56,2))</f>
        <v/>
      </c>
      <c r="R56" s="176">
        <f>IF(A56="","",IF(itens_Remanesc!I56="","",itens_Remanesc!I56))</f>
        <v/>
      </c>
      <c r="S56" s="182">
        <f>IF(A56="","",IF($Y56="","",IF($Y56&gt;3,"",IF(ISNUMBER(R56),ROUND(R56+P56,2),IF($Y56=3,ROUND(P56,2),"")))))</f>
        <v/>
      </c>
      <c r="T56" s="174">
        <f>IF(A56="","",ROUND(SUMIFS(aditivos!$L$2:$L$200,aditivos!$A$2:$A$200,A56,aditivos!$C$2:$C$200,"C4"),2))</f>
        <v/>
      </c>
      <c r="U56" s="170">
        <f>IF(A56="","",ROUND(Q56+T56,2))</f>
        <v/>
      </c>
      <c r="V56" s="170">
        <f>IF(A56="","",IF(itens_Remanesc!K56="","",itens_Remanesc!K56))</f>
        <v/>
      </c>
      <c r="W56" s="170">
        <f>IF(A56="","",IF($Y56="","",IF($Y56&gt;4,"",IF(ISNUMBER(V56),ROUND(V56+T56,2),IF($Y56=4,ROUND(T56,2),"")))))</f>
        <v/>
      </c>
      <c r="X56" s="156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>
        <f>IF($A56="","",IF($E56&gt;0,0,IF($I56&gt;0,1,IF($M56&gt;0,2,IF($Q56&gt;0,3,IF($U56&gt;0,4,""))))))</f>
        <v/>
      </c>
      <c r="Z56">
        <f>IF($A56="",FALSE,AND(LEN(TRIM($A56))=4,LEFT(TRIM($A56),1)="N",ISNUMBER(--MID(TRIM($A56),2,3)),ISERROR(FIND(".",$A56)),ISERROR(FIND(",",$A56)),ISERROR(FIND("-",$A56)),ISERROR(FIND("+",$A56)),ISERROR(SEARCH("E",$A56,2)),ISERROR(FIND(" ",TRIM($A56)))))</f>
        <v/>
      </c>
    </row>
    <row r="57">
      <c r="A57" s="156">
        <f>IF(itens_Remanesc!A57="","",itens_Remanesc!A57)</f>
        <v/>
      </c>
      <c r="B57" s="218">
        <f>IF(A57="","",itens_Remanesc!C57)</f>
        <v/>
      </c>
      <c r="C57" s="172">
        <f>IF(A57="","",IF(itens_Remanesc!B57="",0,itens_Remanesc!B57))</f>
        <v/>
      </c>
      <c r="D57" s="174">
        <f>IF(A57="","",ROUND(SUMIFS(aditivos!$L$2:$L$200,aditivos!$A$2:$A$200,A57,aditivos!$C$2:$C$200,"C0"),2))</f>
        <v/>
      </c>
      <c r="E57" s="170">
        <f>IF(A57="","",ROUND(C57+D57,2))</f>
        <v/>
      </c>
      <c r="F57" s="170">
        <f>IF(A57="","",IF(itens_Remanesc!B57&lt;&gt;"",itens_Remanesc!B57,IF($Z57,0,"")))</f>
        <v/>
      </c>
      <c r="G57" s="178">
        <f>IF(A57="","",IF($Y57="","",IF($Y57&gt;0,"",ROUND(E57,2))))</f>
        <v/>
      </c>
      <c r="H57" s="180">
        <f>IF(A57="","",ROUND(SUMIFS(aditivos!$L$2:$L$200,aditivos!$A$2:$A$200,A57,aditivos!$C$2:$C$200,"C1"),2))</f>
        <v/>
      </c>
      <c r="I57" s="176">
        <f>IF(A57="","",ROUND(E57+H57,2))</f>
        <v/>
      </c>
      <c r="J57" s="176">
        <f>IF(A57="","",IF(itens_Remanesc!E57="","",itens_Remanesc!E57))</f>
        <v/>
      </c>
      <c r="K57" s="182">
        <f>IF(A57="","",IF($Y57="","",IF($Y57&gt;1,"",IF(ISNUMBER(J57),ROUND(J57+H57,2),IF($Y57=1,ROUND(H57,2),"")))))</f>
        <v/>
      </c>
      <c r="L57" s="174">
        <f>IF(A57="","",ROUND(SUMIFS(aditivos!$L$2:$L$200,aditivos!$A$2:$A$200,A57,aditivos!$C$2:$C$200,"C2"),2))</f>
        <v/>
      </c>
      <c r="M57" s="170">
        <f>IF(A57="","",ROUND(I57+L57,2))</f>
        <v/>
      </c>
      <c r="N57" s="170">
        <f>IF(A57="","",IF(itens_Remanesc!G57="","",itens_Remanesc!G57))</f>
        <v/>
      </c>
      <c r="O57" s="178">
        <f>IF(A57="","",IF($Y57="","",IF($Y57&gt;2,"",IF(ISNUMBER(N57),ROUND(N57+L57,2),IF($Y57=2,ROUND(L57,2),"")))))</f>
        <v/>
      </c>
      <c r="P57" s="180">
        <f>IF(A57="","",ROUND(SUMIFS(aditivos!$L$2:$L$200,aditivos!$A$2:$A$200,A57,aditivos!$C$2:$C$200,"C3"),2))</f>
        <v/>
      </c>
      <c r="Q57" s="176">
        <f>IF(A57="","",ROUND(M57+P57,2))</f>
        <v/>
      </c>
      <c r="R57" s="176">
        <f>IF(A57="","",IF(itens_Remanesc!I57="","",itens_Remanesc!I57))</f>
        <v/>
      </c>
      <c r="S57" s="182">
        <f>IF(A57="","",IF($Y57="","",IF($Y57&gt;3,"",IF(ISNUMBER(R57),ROUND(R57+P57,2),IF($Y57=3,ROUND(P57,2),"")))))</f>
        <v/>
      </c>
      <c r="T57" s="174">
        <f>IF(A57="","",ROUND(SUMIFS(aditivos!$L$2:$L$200,aditivos!$A$2:$A$200,A57,aditivos!$C$2:$C$200,"C4"),2))</f>
        <v/>
      </c>
      <c r="U57" s="170">
        <f>IF(A57="","",ROUND(Q57+T57,2))</f>
        <v/>
      </c>
      <c r="V57" s="170">
        <f>IF(A57="","",IF(itens_Remanesc!K57="","",itens_Remanesc!K57))</f>
        <v/>
      </c>
      <c r="W57" s="170">
        <f>IF(A57="","",IF($Y57="","",IF($Y57&gt;4,"",IF(ISNUMBER(V57),ROUND(V57+T57,2),IF($Y57=4,ROUND(T57,2),"")))))</f>
        <v/>
      </c>
      <c r="X57" s="156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>
        <f>IF($A57="","",IF($E57&gt;0,0,IF($I57&gt;0,1,IF($M57&gt;0,2,IF($Q57&gt;0,3,IF($U57&gt;0,4,""))))))</f>
        <v/>
      </c>
      <c r="Z57">
        <f>IF($A57="",FALSE,AND(LEN(TRIM($A57))=4,LEFT(TRIM($A57),1)="N",ISNUMBER(--MID(TRIM($A57),2,3)),ISERROR(FIND(".",$A57)),ISERROR(FIND(",",$A57)),ISERROR(FIND("-",$A57)),ISERROR(FIND("+",$A57)),ISERROR(SEARCH("E",$A57,2)),ISERROR(FIND(" ",TRIM($A57)))))</f>
        <v/>
      </c>
    </row>
    <row r="58">
      <c r="A58" s="156">
        <f>IF(itens_Remanesc!A58="","",itens_Remanesc!A58)</f>
        <v/>
      </c>
      <c r="B58" s="218">
        <f>IF(A58="","",itens_Remanesc!C58)</f>
        <v/>
      </c>
      <c r="C58" s="172">
        <f>IF(A58="","",IF(itens_Remanesc!B58="",0,itens_Remanesc!B58))</f>
        <v/>
      </c>
      <c r="D58" s="174">
        <f>IF(A58="","",ROUND(SUMIFS(aditivos!$L$2:$L$200,aditivos!$A$2:$A$200,A58,aditivos!$C$2:$C$200,"C0"),2))</f>
        <v/>
      </c>
      <c r="E58" s="170">
        <f>IF(A58="","",ROUND(C58+D58,2))</f>
        <v/>
      </c>
      <c r="F58" s="170">
        <f>IF(A58="","",IF(itens_Remanesc!B58&lt;&gt;"",itens_Remanesc!B58,IF($Z58,0,"")))</f>
        <v/>
      </c>
      <c r="G58" s="178">
        <f>IF(A58="","",IF($Y58="","",IF($Y58&gt;0,"",ROUND(E58,2))))</f>
        <v/>
      </c>
      <c r="H58" s="180">
        <f>IF(A58="","",ROUND(SUMIFS(aditivos!$L$2:$L$200,aditivos!$A$2:$A$200,A58,aditivos!$C$2:$C$200,"C1"),2))</f>
        <v/>
      </c>
      <c r="I58" s="176">
        <f>IF(A58="","",ROUND(E58+H58,2))</f>
        <v/>
      </c>
      <c r="J58" s="176">
        <f>IF(A58="","",IF(itens_Remanesc!E58="","",itens_Remanesc!E58))</f>
        <v/>
      </c>
      <c r="K58" s="182">
        <f>IF(A58="","",IF($Y58="","",IF($Y58&gt;1,"",IF(ISNUMBER(J58),ROUND(J58+H58,2),IF($Y58=1,ROUND(H58,2),"")))))</f>
        <v/>
      </c>
      <c r="L58" s="174">
        <f>IF(A58="","",ROUND(SUMIFS(aditivos!$L$2:$L$200,aditivos!$A$2:$A$200,A58,aditivos!$C$2:$C$200,"C2"),2))</f>
        <v/>
      </c>
      <c r="M58" s="170">
        <f>IF(A58="","",ROUND(I58+L58,2))</f>
        <v/>
      </c>
      <c r="N58" s="170">
        <f>IF(A58="","",IF(itens_Remanesc!G58="","",itens_Remanesc!G58))</f>
        <v/>
      </c>
      <c r="O58" s="178">
        <f>IF(A58="","",IF($Y58="","",IF($Y58&gt;2,"",IF(ISNUMBER(N58),ROUND(N58+L58,2),IF($Y58=2,ROUND(L58,2),"")))))</f>
        <v/>
      </c>
      <c r="P58" s="180">
        <f>IF(A58="","",ROUND(SUMIFS(aditivos!$L$2:$L$200,aditivos!$A$2:$A$200,A58,aditivos!$C$2:$C$200,"C3"),2))</f>
        <v/>
      </c>
      <c r="Q58" s="176">
        <f>IF(A58="","",ROUND(M58+P58,2))</f>
        <v/>
      </c>
      <c r="R58" s="176">
        <f>IF(A58="","",IF(itens_Remanesc!I58="","",itens_Remanesc!I58))</f>
        <v/>
      </c>
      <c r="S58" s="182">
        <f>IF(A58="","",IF($Y58="","",IF($Y58&gt;3,"",IF(ISNUMBER(R58),ROUND(R58+P58,2),IF($Y58=3,ROUND(P58,2),"")))))</f>
        <v/>
      </c>
      <c r="T58" s="174">
        <f>IF(A58="","",ROUND(SUMIFS(aditivos!$L$2:$L$200,aditivos!$A$2:$A$200,A58,aditivos!$C$2:$C$200,"C4"),2))</f>
        <v/>
      </c>
      <c r="U58" s="170">
        <f>IF(A58="","",ROUND(Q58+T58,2))</f>
        <v/>
      </c>
      <c r="V58" s="170">
        <f>IF(A58="","",IF(itens_Remanesc!K58="","",itens_Remanesc!K58))</f>
        <v/>
      </c>
      <c r="W58" s="170">
        <f>IF(A58="","",IF($Y58="","",IF($Y58&gt;4,"",IF(ISNUMBER(V58),ROUND(V58+T58,2),IF($Y58=4,ROUND(T58,2),"")))))</f>
        <v/>
      </c>
      <c r="X58" s="156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>
        <f>IF($A58="","",IF($E58&gt;0,0,IF($I58&gt;0,1,IF($M58&gt;0,2,IF($Q58&gt;0,3,IF($U58&gt;0,4,""))))))</f>
        <v/>
      </c>
      <c r="Z58">
        <f>IF($A58="",FALSE,AND(LEN(TRIM($A58))=4,LEFT(TRIM($A58),1)="N",ISNUMBER(--MID(TRIM($A58),2,3)),ISERROR(FIND(".",$A58)),ISERROR(FIND(",",$A58)),ISERROR(FIND("-",$A58)),ISERROR(FIND("+",$A58)),ISERROR(SEARCH("E",$A58,2)),ISERROR(FIND(" ",TRIM($A58)))))</f>
        <v/>
      </c>
    </row>
    <row r="59">
      <c r="A59" s="156">
        <f>IF(itens_Remanesc!A59="","",itens_Remanesc!A59)</f>
        <v/>
      </c>
      <c r="B59" s="218">
        <f>IF(A59="","",itens_Remanesc!C59)</f>
        <v/>
      </c>
      <c r="C59" s="172">
        <f>IF(A59="","",IF(itens_Remanesc!B59="",0,itens_Remanesc!B59))</f>
        <v/>
      </c>
      <c r="D59" s="174">
        <f>IF(A59="","",ROUND(SUMIFS(aditivos!$L$2:$L$200,aditivos!$A$2:$A$200,A59,aditivos!$C$2:$C$200,"C0"),2))</f>
        <v/>
      </c>
      <c r="E59" s="170">
        <f>IF(A59="","",ROUND(C59+D59,2))</f>
        <v/>
      </c>
      <c r="F59" s="170">
        <f>IF(A59="","",IF(itens_Remanesc!B59&lt;&gt;"",itens_Remanesc!B59,IF($Z59,0,"")))</f>
        <v/>
      </c>
      <c r="G59" s="178">
        <f>IF(A59="","",IF($Y59="","",IF($Y59&gt;0,"",ROUND(E59,2))))</f>
        <v/>
      </c>
      <c r="H59" s="180">
        <f>IF(A59="","",ROUND(SUMIFS(aditivos!$L$2:$L$200,aditivos!$A$2:$A$200,A59,aditivos!$C$2:$C$200,"C1"),2))</f>
        <v/>
      </c>
      <c r="I59" s="176">
        <f>IF(A59="","",ROUND(E59+H59,2))</f>
        <v/>
      </c>
      <c r="J59" s="176">
        <f>IF(A59="","",IF(itens_Remanesc!E59="","",itens_Remanesc!E59))</f>
        <v/>
      </c>
      <c r="K59" s="182">
        <f>IF(A59="","",IF($Y59="","",IF($Y59&gt;1,"",IF(ISNUMBER(J59),ROUND(J59+H59,2),IF($Y59=1,ROUND(H59,2),"")))))</f>
        <v/>
      </c>
      <c r="L59" s="174">
        <f>IF(A59="","",ROUND(SUMIFS(aditivos!$L$2:$L$200,aditivos!$A$2:$A$200,A59,aditivos!$C$2:$C$200,"C2"),2))</f>
        <v/>
      </c>
      <c r="M59" s="170">
        <f>IF(A59="","",ROUND(I59+L59,2))</f>
        <v/>
      </c>
      <c r="N59" s="170">
        <f>IF(A59="","",IF(itens_Remanesc!G59="","",itens_Remanesc!G59))</f>
        <v/>
      </c>
      <c r="O59" s="178">
        <f>IF(A59="","",IF($Y59="","",IF($Y59&gt;2,"",IF(ISNUMBER(N59),ROUND(N59+L59,2),IF($Y59=2,ROUND(L59,2),"")))))</f>
        <v/>
      </c>
      <c r="P59" s="180">
        <f>IF(A59="","",ROUND(SUMIFS(aditivos!$L$2:$L$200,aditivos!$A$2:$A$200,A59,aditivos!$C$2:$C$200,"C3"),2))</f>
        <v/>
      </c>
      <c r="Q59" s="176">
        <f>IF(A59="","",ROUND(M59+P59,2))</f>
        <v/>
      </c>
      <c r="R59" s="176">
        <f>IF(A59="","",IF(itens_Remanesc!I59="","",itens_Remanesc!I59))</f>
        <v/>
      </c>
      <c r="S59" s="182">
        <f>IF(A59="","",IF($Y59="","",IF($Y59&gt;3,"",IF(ISNUMBER(R59),ROUND(R59+P59,2),IF($Y59=3,ROUND(P59,2),"")))))</f>
        <v/>
      </c>
      <c r="T59" s="174">
        <f>IF(A59="","",ROUND(SUMIFS(aditivos!$L$2:$L$200,aditivos!$A$2:$A$200,A59,aditivos!$C$2:$C$200,"C4"),2))</f>
        <v/>
      </c>
      <c r="U59" s="170">
        <f>IF(A59="","",ROUND(Q59+T59,2))</f>
        <v/>
      </c>
      <c r="V59" s="170">
        <f>IF(A59="","",IF(itens_Remanesc!K59="","",itens_Remanesc!K59))</f>
        <v/>
      </c>
      <c r="W59" s="170">
        <f>IF(A59="","",IF($Y59="","",IF($Y59&gt;4,"",IF(ISNUMBER(V59),ROUND(V59+T59,2),IF($Y59=4,ROUND(T59,2),"")))))</f>
        <v/>
      </c>
      <c r="X59" s="156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>
        <f>IF($A59="","",IF($E59&gt;0,0,IF($I59&gt;0,1,IF($M59&gt;0,2,IF($Q59&gt;0,3,IF($U59&gt;0,4,""))))))</f>
        <v/>
      </c>
      <c r="Z59">
        <f>IF($A59="",FALSE,AND(LEN(TRIM($A59))=4,LEFT(TRIM($A59),1)="N",ISNUMBER(--MID(TRIM($A59),2,3)),ISERROR(FIND(".",$A59)),ISERROR(FIND(",",$A59)),ISERROR(FIND("-",$A59)),ISERROR(FIND("+",$A59)),ISERROR(SEARCH("E",$A59,2)),ISERROR(FIND(" ",TRIM($A59)))))</f>
        <v/>
      </c>
    </row>
    <row r="60">
      <c r="A60" s="156">
        <f>IF(itens_Remanesc!A60="","",itens_Remanesc!A60)</f>
        <v/>
      </c>
      <c r="B60" s="218">
        <f>IF(A60="","",itens_Remanesc!C60)</f>
        <v/>
      </c>
      <c r="C60" s="172">
        <f>IF(A60="","",IF(itens_Remanesc!B60="",0,itens_Remanesc!B60))</f>
        <v/>
      </c>
      <c r="D60" s="174">
        <f>IF(A60="","",ROUND(SUMIFS(aditivos!$L$2:$L$200,aditivos!$A$2:$A$200,A60,aditivos!$C$2:$C$200,"C0"),2))</f>
        <v/>
      </c>
      <c r="E60" s="170">
        <f>IF(A60="","",ROUND(C60+D60,2))</f>
        <v/>
      </c>
      <c r="F60" s="170">
        <f>IF(A60="","",IF(itens_Remanesc!B60&lt;&gt;"",itens_Remanesc!B60,IF($Z60,0,"")))</f>
        <v/>
      </c>
      <c r="G60" s="178">
        <f>IF(A60="","",IF($Y60="","",IF($Y60&gt;0,"",ROUND(E60,2))))</f>
        <v/>
      </c>
      <c r="H60" s="180">
        <f>IF(A60="","",ROUND(SUMIFS(aditivos!$L$2:$L$200,aditivos!$A$2:$A$200,A60,aditivos!$C$2:$C$200,"C1"),2))</f>
        <v/>
      </c>
      <c r="I60" s="176">
        <f>IF(A60="","",ROUND(E60+H60,2))</f>
        <v/>
      </c>
      <c r="J60" s="176">
        <f>IF(A60="","",IF(itens_Remanesc!E60="","",itens_Remanesc!E60))</f>
        <v/>
      </c>
      <c r="K60" s="182">
        <f>IF(A60="","",IF($Y60="","",IF($Y60&gt;1,"",IF(ISNUMBER(J60),ROUND(J60+H60,2),IF($Y60=1,ROUND(H60,2),"")))))</f>
        <v/>
      </c>
      <c r="L60" s="174">
        <f>IF(A60="","",ROUND(SUMIFS(aditivos!$L$2:$L$200,aditivos!$A$2:$A$200,A60,aditivos!$C$2:$C$200,"C2"),2))</f>
        <v/>
      </c>
      <c r="M60" s="170">
        <f>IF(A60="","",ROUND(I60+L60,2))</f>
        <v/>
      </c>
      <c r="N60" s="170">
        <f>IF(A60="","",IF(itens_Remanesc!G60="","",itens_Remanesc!G60))</f>
        <v/>
      </c>
      <c r="O60" s="178">
        <f>IF(A60="","",IF($Y60="","",IF($Y60&gt;2,"",IF(ISNUMBER(N60),ROUND(N60+L60,2),IF($Y60=2,ROUND(L60,2),"")))))</f>
        <v/>
      </c>
      <c r="P60" s="180">
        <f>IF(A60="","",ROUND(SUMIFS(aditivos!$L$2:$L$200,aditivos!$A$2:$A$200,A60,aditivos!$C$2:$C$200,"C3"),2))</f>
        <v/>
      </c>
      <c r="Q60" s="176">
        <f>IF(A60="","",ROUND(M60+P60,2))</f>
        <v/>
      </c>
      <c r="R60" s="176">
        <f>IF(A60="","",IF(itens_Remanesc!I60="","",itens_Remanesc!I60))</f>
        <v/>
      </c>
      <c r="S60" s="182">
        <f>IF(A60="","",IF($Y60="","",IF($Y60&gt;3,"",IF(ISNUMBER(R60),ROUND(R60+P60,2),IF($Y60=3,ROUND(P60,2),"")))))</f>
        <v/>
      </c>
      <c r="T60" s="174">
        <f>IF(A60="","",ROUND(SUMIFS(aditivos!$L$2:$L$200,aditivos!$A$2:$A$200,A60,aditivos!$C$2:$C$200,"C4"),2))</f>
        <v/>
      </c>
      <c r="U60" s="170">
        <f>IF(A60="","",ROUND(Q60+T60,2))</f>
        <v/>
      </c>
      <c r="V60" s="170">
        <f>IF(A60="","",IF(itens_Remanesc!K60="","",itens_Remanesc!K60))</f>
        <v/>
      </c>
      <c r="W60" s="170">
        <f>IF(A60="","",IF($Y60="","",IF($Y60&gt;4,"",IF(ISNUMBER(V60),ROUND(V60+T60,2),IF($Y60=4,ROUND(T60,2),"")))))</f>
        <v/>
      </c>
      <c r="X60" s="156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>
        <f>IF($A60="","",IF($E60&gt;0,0,IF($I60&gt;0,1,IF($M60&gt;0,2,IF($Q60&gt;0,3,IF($U60&gt;0,4,""))))))</f>
        <v/>
      </c>
      <c r="Z60">
        <f>IF($A60="",FALSE,AND(LEN(TRIM($A60))=4,LEFT(TRIM($A60),1)="N",ISNUMBER(--MID(TRIM($A60),2,3)),ISERROR(FIND(".",$A60)),ISERROR(FIND(",",$A60)),ISERROR(FIND("-",$A60)),ISERROR(FIND("+",$A60)),ISERROR(SEARCH("E",$A60,2)),ISERROR(FIND(" ",TRIM($A60)))))</f>
        <v/>
      </c>
    </row>
    <row r="61">
      <c r="A61" s="156">
        <f>IF(itens_Remanesc!A61="","",itens_Remanesc!A61)</f>
        <v/>
      </c>
      <c r="B61" s="218">
        <f>IF(A61="","",itens_Remanesc!C61)</f>
        <v/>
      </c>
      <c r="C61" s="172">
        <f>IF(A61="","",IF(itens_Remanesc!B61="",0,itens_Remanesc!B61))</f>
        <v/>
      </c>
      <c r="D61" s="174">
        <f>IF(A61="","",ROUND(SUMIFS(aditivos!$L$2:$L$200,aditivos!$A$2:$A$200,A61,aditivos!$C$2:$C$200,"C0"),2))</f>
        <v/>
      </c>
      <c r="E61" s="170">
        <f>IF(A61="","",ROUND(C61+D61,2))</f>
        <v/>
      </c>
      <c r="F61" s="170">
        <f>IF(A61="","",IF(itens_Remanesc!B61&lt;&gt;"",itens_Remanesc!B61,IF($Z61,0,"")))</f>
        <v/>
      </c>
      <c r="G61" s="178">
        <f>IF(A61="","",IF($Y61="","",IF($Y61&gt;0,"",ROUND(E61,2))))</f>
        <v/>
      </c>
      <c r="H61" s="180">
        <f>IF(A61="","",ROUND(SUMIFS(aditivos!$L$2:$L$200,aditivos!$A$2:$A$200,A61,aditivos!$C$2:$C$200,"C1"),2))</f>
        <v/>
      </c>
      <c r="I61" s="176">
        <f>IF(A61="","",ROUND(E61+H61,2))</f>
        <v/>
      </c>
      <c r="J61" s="176">
        <f>IF(A61="","",IF(itens_Remanesc!E61="","",itens_Remanesc!E61))</f>
        <v/>
      </c>
      <c r="K61" s="182">
        <f>IF(A61="","",IF($Y61="","",IF($Y61&gt;1,"",IF(ISNUMBER(J61),ROUND(J61+H61,2),IF($Y61=1,ROUND(H61,2),"")))))</f>
        <v/>
      </c>
      <c r="L61" s="174">
        <f>IF(A61="","",ROUND(SUMIFS(aditivos!$L$2:$L$200,aditivos!$A$2:$A$200,A61,aditivos!$C$2:$C$200,"C2"),2))</f>
        <v/>
      </c>
      <c r="M61" s="170">
        <f>IF(A61="","",ROUND(I61+L61,2))</f>
        <v/>
      </c>
      <c r="N61" s="170">
        <f>IF(A61="","",IF(itens_Remanesc!G61="","",itens_Remanesc!G61))</f>
        <v/>
      </c>
      <c r="O61" s="178">
        <f>IF(A61="","",IF($Y61="","",IF($Y61&gt;2,"",IF(ISNUMBER(N61),ROUND(N61+L61,2),IF($Y61=2,ROUND(L61,2),"")))))</f>
        <v/>
      </c>
      <c r="P61" s="180">
        <f>IF(A61="","",ROUND(SUMIFS(aditivos!$L$2:$L$200,aditivos!$A$2:$A$200,A61,aditivos!$C$2:$C$200,"C3"),2))</f>
        <v/>
      </c>
      <c r="Q61" s="176">
        <f>IF(A61="","",ROUND(M61+P61,2))</f>
        <v/>
      </c>
      <c r="R61" s="176">
        <f>IF(A61="","",IF(itens_Remanesc!I61="","",itens_Remanesc!I61))</f>
        <v/>
      </c>
      <c r="S61" s="182">
        <f>IF(A61="","",IF($Y61="","",IF($Y61&gt;3,"",IF(ISNUMBER(R61),ROUND(R61+P61,2),IF($Y61=3,ROUND(P61,2),"")))))</f>
        <v/>
      </c>
      <c r="T61" s="174">
        <f>IF(A61="","",ROUND(SUMIFS(aditivos!$L$2:$L$200,aditivos!$A$2:$A$200,A61,aditivos!$C$2:$C$200,"C4"),2))</f>
        <v/>
      </c>
      <c r="U61" s="170">
        <f>IF(A61="","",ROUND(Q61+T61,2))</f>
        <v/>
      </c>
      <c r="V61" s="170">
        <f>IF(A61="","",IF(itens_Remanesc!K61="","",itens_Remanesc!K61))</f>
        <v/>
      </c>
      <c r="W61" s="170">
        <f>IF(A61="","",IF($Y61="","",IF($Y61&gt;4,"",IF(ISNUMBER(V61),ROUND(V61+T61,2),IF($Y61=4,ROUND(T61,2),"")))))</f>
        <v/>
      </c>
      <c r="X61" s="156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>
        <f>IF($A61="","",IF($E61&gt;0,0,IF($I61&gt;0,1,IF($M61&gt;0,2,IF($Q61&gt;0,3,IF($U61&gt;0,4,""))))))</f>
        <v/>
      </c>
      <c r="Z61">
        <f>IF($A61="",FALSE,AND(LEN(TRIM($A61))=4,LEFT(TRIM($A61),1)="N",ISNUMBER(--MID(TRIM($A61),2,3)),ISERROR(FIND(".",$A61)),ISERROR(FIND(",",$A61)),ISERROR(FIND("-",$A61)),ISERROR(FIND("+",$A61)),ISERROR(SEARCH("E",$A61,2)),ISERROR(FIND(" ",TRIM($A61)))))</f>
        <v/>
      </c>
    </row>
    <row r="62">
      <c r="A62" s="156">
        <f>IF(itens_Remanesc!A62="","",itens_Remanesc!A62)</f>
        <v/>
      </c>
      <c r="B62" s="218">
        <f>IF(A62="","",itens_Remanesc!C62)</f>
        <v/>
      </c>
      <c r="C62" s="172">
        <f>IF(A62="","",IF(itens_Remanesc!B62="",0,itens_Remanesc!B62))</f>
        <v/>
      </c>
      <c r="D62" s="174">
        <f>IF(A62="","",ROUND(SUMIFS(aditivos!$L$2:$L$200,aditivos!$A$2:$A$200,A62,aditivos!$C$2:$C$200,"C0"),2))</f>
        <v/>
      </c>
      <c r="E62" s="170">
        <f>IF(A62="","",ROUND(C62+D62,2))</f>
        <v/>
      </c>
      <c r="F62" s="170">
        <f>IF(A62="","",IF(itens_Remanesc!B62&lt;&gt;"",itens_Remanesc!B62,IF($Z62,0,"")))</f>
        <v/>
      </c>
      <c r="G62" s="178">
        <f>IF(A62="","",IF($Y62="","",IF($Y62&gt;0,"",ROUND(E62,2))))</f>
        <v/>
      </c>
      <c r="H62" s="180">
        <f>IF(A62="","",ROUND(SUMIFS(aditivos!$L$2:$L$200,aditivos!$A$2:$A$200,A62,aditivos!$C$2:$C$200,"C1"),2))</f>
        <v/>
      </c>
      <c r="I62" s="176">
        <f>IF(A62="","",ROUND(E62+H62,2))</f>
        <v/>
      </c>
      <c r="J62" s="176">
        <f>IF(A62="","",IF(itens_Remanesc!E62="","",itens_Remanesc!E62))</f>
        <v/>
      </c>
      <c r="K62" s="182">
        <f>IF(A62="","",IF($Y62="","",IF($Y62&gt;1,"",IF(ISNUMBER(J62),ROUND(J62+H62,2),IF($Y62=1,ROUND(H62,2),"")))))</f>
        <v/>
      </c>
      <c r="L62" s="174">
        <f>IF(A62="","",ROUND(SUMIFS(aditivos!$L$2:$L$200,aditivos!$A$2:$A$200,A62,aditivos!$C$2:$C$200,"C2"),2))</f>
        <v/>
      </c>
      <c r="M62" s="170">
        <f>IF(A62="","",ROUND(I62+L62,2))</f>
        <v/>
      </c>
      <c r="N62" s="170">
        <f>IF(A62="","",IF(itens_Remanesc!G62="","",itens_Remanesc!G62))</f>
        <v/>
      </c>
      <c r="O62" s="178">
        <f>IF(A62="","",IF($Y62="","",IF($Y62&gt;2,"",IF(ISNUMBER(N62),ROUND(N62+L62,2),IF($Y62=2,ROUND(L62,2),"")))))</f>
        <v/>
      </c>
      <c r="P62" s="180">
        <f>IF(A62="","",ROUND(SUMIFS(aditivos!$L$2:$L$200,aditivos!$A$2:$A$200,A62,aditivos!$C$2:$C$200,"C3"),2))</f>
        <v/>
      </c>
      <c r="Q62" s="176">
        <f>IF(A62="","",ROUND(M62+P62,2))</f>
        <v/>
      </c>
      <c r="R62" s="176">
        <f>IF(A62="","",IF(itens_Remanesc!I62="","",itens_Remanesc!I62))</f>
        <v/>
      </c>
      <c r="S62" s="182">
        <f>IF(A62="","",IF($Y62="","",IF($Y62&gt;3,"",IF(ISNUMBER(R62),ROUND(R62+P62,2),IF($Y62=3,ROUND(P62,2),"")))))</f>
        <v/>
      </c>
      <c r="T62" s="174">
        <f>IF(A62="","",ROUND(SUMIFS(aditivos!$L$2:$L$200,aditivos!$A$2:$A$200,A62,aditivos!$C$2:$C$200,"C4"),2))</f>
        <v/>
      </c>
      <c r="U62" s="170">
        <f>IF(A62="","",ROUND(Q62+T62,2))</f>
        <v/>
      </c>
      <c r="V62" s="170">
        <f>IF(A62="","",IF(itens_Remanesc!K62="","",itens_Remanesc!K62))</f>
        <v/>
      </c>
      <c r="W62" s="170">
        <f>IF(A62="","",IF($Y62="","",IF($Y62&gt;4,"",IF(ISNUMBER(V62),ROUND(V62+T62,2),IF($Y62=4,ROUND(T62,2),"")))))</f>
        <v/>
      </c>
      <c r="X62" s="156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>
        <f>IF($A62="","",IF($E62&gt;0,0,IF($I62&gt;0,1,IF($M62&gt;0,2,IF($Q62&gt;0,3,IF($U62&gt;0,4,""))))))</f>
        <v/>
      </c>
      <c r="Z62">
        <f>IF($A62="",FALSE,AND(LEN(TRIM($A62))=4,LEFT(TRIM($A62),1)="N",ISNUMBER(--MID(TRIM($A62),2,3)),ISERROR(FIND(".",$A62)),ISERROR(FIND(",",$A62)),ISERROR(FIND("-",$A62)),ISERROR(FIND("+",$A62)),ISERROR(SEARCH("E",$A62,2)),ISERROR(FIND(" ",TRIM($A62)))))</f>
        <v/>
      </c>
    </row>
    <row r="63">
      <c r="A63" s="156">
        <f>IF(itens_Remanesc!A63="","",itens_Remanesc!A63)</f>
        <v/>
      </c>
      <c r="B63" s="218">
        <f>IF(A63="","",itens_Remanesc!C63)</f>
        <v/>
      </c>
      <c r="C63" s="172">
        <f>IF(A63="","",IF(itens_Remanesc!B63="",0,itens_Remanesc!B63))</f>
        <v/>
      </c>
      <c r="D63" s="174">
        <f>IF(A63="","",ROUND(SUMIFS(aditivos!$L$2:$L$200,aditivos!$A$2:$A$200,A63,aditivos!$C$2:$C$200,"C0"),2))</f>
        <v/>
      </c>
      <c r="E63" s="170">
        <f>IF(A63="","",ROUND(C63+D63,2))</f>
        <v/>
      </c>
      <c r="F63" s="170">
        <f>IF(A63="","",IF(itens_Remanesc!B63&lt;&gt;"",itens_Remanesc!B63,IF($Z63,0,"")))</f>
        <v/>
      </c>
      <c r="G63" s="178">
        <f>IF(A63="","",IF($Y63="","",IF($Y63&gt;0,"",ROUND(E63,2))))</f>
        <v/>
      </c>
      <c r="H63" s="180">
        <f>IF(A63="","",ROUND(SUMIFS(aditivos!$L$2:$L$200,aditivos!$A$2:$A$200,A63,aditivos!$C$2:$C$200,"C1"),2))</f>
        <v/>
      </c>
      <c r="I63" s="176">
        <f>IF(A63="","",ROUND(E63+H63,2))</f>
        <v/>
      </c>
      <c r="J63" s="176">
        <f>IF(A63="","",IF(itens_Remanesc!E63="","",itens_Remanesc!E63))</f>
        <v/>
      </c>
      <c r="K63" s="182">
        <f>IF(A63="","",IF($Y63="","",IF($Y63&gt;1,"",IF(ISNUMBER(J63),ROUND(J63+H63,2),IF($Y63=1,ROUND(H63,2),"")))))</f>
        <v/>
      </c>
      <c r="L63" s="174">
        <f>IF(A63="","",ROUND(SUMIFS(aditivos!$L$2:$L$200,aditivos!$A$2:$A$200,A63,aditivos!$C$2:$C$200,"C2"),2))</f>
        <v/>
      </c>
      <c r="M63" s="170">
        <f>IF(A63="","",ROUND(I63+L63,2))</f>
        <v/>
      </c>
      <c r="N63" s="170">
        <f>IF(A63="","",IF(itens_Remanesc!G63="","",itens_Remanesc!G63))</f>
        <v/>
      </c>
      <c r="O63" s="178">
        <f>IF(A63="","",IF($Y63="","",IF($Y63&gt;2,"",IF(ISNUMBER(N63),ROUND(N63+L63,2),IF($Y63=2,ROUND(L63,2),"")))))</f>
        <v/>
      </c>
      <c r="P63" s="180">
        <f>IF(A63="","",ROUND(SUMIFS(aditivos!$L$2:$L$200,aditivos!$A$2:$A$200,A63,aditivos!$C$2:$C$200,"C3"),2))</f>
        <v/>
      </c>
      <c r="Q63" s="176">
        <f>IF(A63="","",ROUND(M63+P63,2))</f>
        <v/>
      </c>
      <c r="R63" s="176">
        <f>IF(A63="","",IF(itens_Remanesc!I63="","",itens_Remanesc!I63))</f>
        <v/>
      </c>
      <c r="S63" s="182">
        <f>IF(A63="","",IF($Y63="","",IF($Y63&gt;3,"",IF(ISNUMBER(R63),ROUND(R63+P63,2),IF($Y63=3,ROUND(P63,2),"")))))</f>
        <v/>
      </c>
      <c r="T63" s="174">
        <f>IF(A63="","",ROUND(SUMIFS(aditivos!$L$2:$L$200,aditivos!$A$2:$A$200,A63,aditivos!$C$2:$C$200,"C4"),2))</f>
        <v/>
      </c>
      <c r="U63" s="170">
        <f>IF(A63="","",ROUND(Q63+T63,2))</f>
        <v/>
      </c>
      <c r="V63" s="170">
        <f>IF(A63="","",IF(itens_Remanesc!K63="","",itens_Remanesc!K63))</f>
        <v/>
      </c>
      <c r="W63" s="170">
        <f>IF(A63="","",IF($Y63="","",IF($Y63&gt;4,"",IF(ISNUMBER(V63),ROUND(V63+T63,2),IF($Y63=4,ROUND(T63,2),"")))))</f>
        <v/>
      </c>
      <c r="X63" s="156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>
        <f>IF($A63="","",IF($E63&gt;0,0,IF($I63&gt;0,1,IF($M63&gt;0,2,IF($Q63&gt;0,3,IF($U63&gt;0,4,""))))))</f>
        <v/>
      </c>
      <c r="Z63">
        <f>IF($A63="",FALSE,AND(LEN(TRIM($A63))=4,LEFT(TRIM($A63),1)="N",ISNUMBER(--MID(TRIM($A63),2,3)),ISERROR(FIND(".",$A63)),ISERROR(FIND(",",$A63)),ISERROR(FIND("-",$A63)),ISERROR(FIND("+",$A63)),ISERROR(SEARCH("E",$A63,2)),ISERROR(FIND(" ",TRIM($A63)))))</f>
        <v/>
      </c>
    </row>
    <row r="64">
      <c r="A64" s="156">
        <f>IF(itens_Remanesc!A64="","",itens_Remanesc!A64)</f>
        <v/>
      </c>
      <c r="B64" s="218">
        <f>IF(A64="","",itens_Remanesc!C64)</f>
        <v/>
      </c>
      <c r="C64" s="172">
        <f>IF(A64="","",IF(itens_Remanesc!B64="",0,itens_Remanesc!B64))</f>
        <v/>
      </c>
      <c r="D64" s="174">
        <f>IF(A64="","",ROUND(SUMIFS(aditivos!$L$2:$L$200,aditivos!$A$2:$A$200,A64,aditivos!$C$2:$C$200,"C0"),2))</f>
        <v/>
      </c>
      <c r="E64" s="170">
        <f>IF(A64="","",ROUND(C64+D64,2))</f>
        <v/>
      </c>
      <c r="F64" s="170">
        <f>IF(A64="","",IF(itens_Remanesc!B64&lt;&gt;"",itens_Remanesc!B64,IF($Z64,0,"")))</f>
        <v/>
      </c>
      <c r="G64" s="178">
        <f>IF(A64="","",IF($Y64="","",IF($Y64&gt;0,"",ROUND(E64,2))))</f>
        <v/>
      </c>
      <c r="H64" s="180">
        <f>IF(A64="","",ROUND(SUMIFS(aditivos!$L$2:$L$200,aditivos!$A$2:$A$200,A64,aditivos!$C$2:$C$200,"C1"),2))</f>
        <v/>
      </c>
      <c r="I64" s="176">
        <f>IF(A64="","",ROUND(E64+H64,2))</f>
        <v/>
      </c>
      <c r="J64" s="176">
        <f>IF(A64="","",IF(itens_Remanesc!E64="","",itens_Remanesc!E64))</f>
        <v/>
      </c>
      <c r="K64" s="182">
        <f>IF(A64="","",IF($Y64="","",IF($Y64&gt;1,"",IF(ISNUMBER(J64),ROUND(J64+H64,2),IF($Y64=1,ROUND(H64,2),"")))))</f>
        <v/>
      </c>
      <c r="L64" s="174">
        <f>IF(A64="","",ROUND(SUMIFS(aditivos!$L$2:$L$200,aditivos!$A$2:$A$200,A64,aditivos!$C$2:$C$200,"C2"),2))</f>
        <v/>
      </c>
      <c r="M64" s="170">
        <f>IF(A64="","",ROUND(I64+L64,2))</f>
        <v/>
      </c>
      <c r="N64" s="170">
        <f>IF(A64="","",IF(itens_Remanesc!G64="","",itens_Remanesc!G64))</f>
        <v/>
      </c>
      <c r="O64" s="178">
        <f>IF(A64="","",IF($Y64="","",IF($Y64&gt;2,"",IF(ISNUMBER(N64),ROUND(N64+L64,2),IF($Y64=2,ROUND(L64,2),"")))))</f>
        <v/>
      </c>
      <c r="P64" s="180">
        <f>IF(A64="","",ROUND(SUMIFS(aditivos!$L$2:$L$200,aditivos!$A$2:$A$200,A64,aditivos!$C$2:$C$200,"C3"),2))</f>
        <v/>
      </c>
      <c r="Q64" s="176">
        <f>IF(A64="","",ROUND(M64+P64,2))</f>
        <v/>
      </c>
      <c r="R64" s="176">
        <f>IF(A64="","",IF(itens_Remanesc!I64="","",itens_Remanesc!I64))</f>
        <v/>
      </c>
      <c r="S64" s="182">
        <f>IF(A64="","",IF($Y64="","",IF($Y64&gt;3,"",IF(ISNUMBER(R64),ROUND(R64+P64,2),IF($Y64=3,ROUND(P64,2),"")))))</f>
        <v/>
      </c>
      <c r="T64" s="174">
        <f>IF(A64="","",ROUND(SUMIFS(aditivos!$L$2:$L$200,aditivos!$A$2:$A$200,A64,aditivos!$C$2:$C$200,"C4"),2))</f>
        <v/>
      </c>
      <c r="U64" s="170">
        <f>IF(A64="","",ROUND(Q64+T64,2))</f>
        <v/>
      </c>
      <c r="V64" s="170">
        <f>IF(A64="","",IF(itens_Remanesc!K64="","",itens_Remanesc!K64))</f>
        <v/>
      </c>
      <c r="W64" s="170">
        <f>IF(A64="","",IF($Y64="","",IF($Y64&gt;4,"",IF(ISNUMBER(V64),ROUND(V64+T64,2),IF($Y64=4,ROUND(T64,2),"")))))</f>
        <v/>
      </c>
      <c r="X64" s="156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>
        <f>IF($A64="","",IF($E64&gt;0,0,IF($I64&gt;0,1,IF($M64&gt;0,2,IF($Q64&gt;0,3,IF($U64&gt;0,4,""))))))</f>
        <v/>
      </c>
      <c r="Z64">
        <f>IF($A64="",FALSE,AND(LEN(TRIM($A64))=4,LEFT(TRIM($A64),1)="N",ISNUMBER(--MID(TRIM($A64),2,3)),ISERROR(FIND(".",$A64)),ISERROR(FIND(",",$A64)),ISERROR(FIND("-",$A64)),ISERROR(FIND("+",$A64)),ISERROR(SEARCH("E",$A64,2)),ISERROR(FIND(" ",TRIM($A64)))))</f>
        <v/>
      </c>
    </row>
    <row r="65">
      <c r="A65" s="156">
        <f>IF(itens_Remanesc!A65="","",itens_Remanesc!A65)</f>
        <v/>
      </c>
      <c r="B65" s="218">
        <f>IF(A65="","",itens_Remanesc!C65)</f>
        <v/>
      </c>
      <c r="C65" s="172">
        <f>IF(A65="","",IF(itens_Remanesc!B65="",0,itens_Remanesc!B65))</f>
        <v/>
      </c>
      <c r="D65" s="174">
        <f>IF(A65="","",ROUND(SUMIFS(aditivos!$L$2:$L$200,aditivos!$A$2:$A$200,A65,aditivos!$C$2:$C$200,"C0"),2))</f>
        <v/>
      </c>
      <c r="E65" s="170">
        <f>IF(A65="","",ROUND(C65+D65,2))</f>
        <v/>
      </c>
      <c r="F65" s="170">
        <f>IF(A65="","",IF(itens_Remanesc!B65&lt;&gt;"",itens_Remanesc!B65,IF($Z65,0,"")))</f>
        <v/>
      </c>
      <c r="G65" s="178">
        <f>IF(A65="","",IF($Y65="","",IF($Y65&gt;0,"",ROUND(E65,2))))</f>
        <v/>
      </c>
      <c r="H65" s="180">
        <f>IF(A65="","",ROUND(SUMIFS(aditivos!$L$2:$L$200,aditivos!$A$2:$A$200,A65,aditivos!$C$2:$C$200,"C1"),2))</f>
        <v/>
      </c>
      <c r="I65" s="176">
        <f>IF(A65="","",ROUND(E65+H65,2))</f>
        <v/>
      </c>
      <c r="J65" s="176">
        <f>IF(A65="","",IF(itens_Remanesc!E65="","",itens_Remanesc!E65))</f>
        <v/>
      </c>
      <c r="K65" s="182">
        <f>IF(A65="","",IF($Y65="","",IF($Y65&gt;1,"",IF(ISNUMBER(J65),ROUND(J65+H65,2),IF($Y65=1,ROUND(H65,2),"")))))</f>
        <v/>
      </c>
      <c r="L65" s="174">
        <f>IF(A65="","",ROUND(SUMIFS(aditivos!$L$2:$L$200,aditivos!$A$2:$A$200,A65,aditivos!$C$2:$C$200,"C2"),2))</f>
        <v/>
      </c>
      <c r="M65" s="170">
        <f>IF(A65="","",ROUND(I65+L65,2))</f>
        <v/>
      </c>
      <c r="N65" s="170">
        <f>IF(A65="","",IF(itens_Remanesc!G65="","",itens_Remanesc!G65))</f>
        <v/>
      </c>
      <c r="O65" s="178">
        <f>IF(A65="","",IF($Y65="","",IF($Y65&gt;2,"",IF(ISNUMBER(N65),ROUND(N65+L65,2),IF($Y65=2,ROUND(L65,2),"")))))</f>
        <v/>
      </c>
      <c r="P65" s="180">
        <f>IF(A65="","",ROUND(SUMIFS(aditivos!$L$2:$L$200,aditivos!$A$2:$A$200,A65,aditivos!$C$2:$C$200,"C3"),2))</f>
        <v/>
      </c>
      <c r="Q65" s="176">
        <f>IF(A65="","",ROUND(M65+P65,2))</f>
        <v/>
      </c>
      <c r="R65" s="176">
        <f>IF(A65="","",IF(itens_Remanesc!I65="","",itens_Remanesc!I65))</f>
        <v/>
      </c>
      <c r="S65" s="182">
        <f>IF(A65="","",IF($Y65="","",IF($Y65&gt;3,"",IF(ISNUMBER(R65),ROUND(R65+P65,2),IF($Y65=3,ROUND(P65,2),"")))))</f>
        <v/>
      </c>
      <c r="T65" s="174">
        <f>IF(A65="","",ROUND(SUMIFS(aditivos!$L$2:$L$200,aditivos!$A$2:$A$200,A65,aditivos!$C$2:$C$200,"C4"),2))</f>
        <v/>
      </c>
      <c r="U65" s="170">
        <f>IF(A65="","",ROUND(Q65+T65,2))</f>
        <v/>
      </c>
      <c r="V65" s="170">
        <f>IF(A65="","",IF(itens_Remanesc!K65="","",itens_Remanesc!K65))</f>
        <v/>
      </c>
      <c r="W65" s="170">
        <f>IF(A65="","",IF($Y65="","",IF($Y65&gt;4,"",IF(ISNUMBER(V65),ROUND(V65+T65,2),IF($Y65=4,ROUND(T65,2),"")))))</f>
        <v/>
      </c>
      <c r="X65" s="156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>
        <f>IF($A65="","",IF($E65&gt;0,0,IF($I65&gt;0,1,IF($M65&gt;0,2,IF($Q65&gt;0,3,IF($U65&gt;0,4,""))))))</f>
        <v/>
      </c>
      <c r="Z65">
        <f>IF($A65="",FALSE,AND(LEN(TRIM($A65))=4,LEFT(TRIM($A65),1)="N",ISNUMBER(--MID(TRIM($A65),2,3)),ISERROR(FIND(".",$A65)),ISERROR(FIND(",",$A65)),ISERROR(FIND("-",$A65)),ISERROR(FIND("+",$A65)),ISERROR(SEARCH("E",$A65,2)),ISERROR(FIND(" ",TRIM($A65)))))</f>
        <v/>
      </c>
    </row>
    <row r="66">
      <c r="A66" s="156">
        <f>IF(itens_Remanesc!A66="","",itens_Remanesc!A66)</f>
        <v/>
      </c>
      <c r="B66" s="218">
        <f>IF(A66="","",itens_Remanesc!C66)</f>
        <v/>
      </c>
      <c r="C66" s="172">
        <f>IF(A66="","",IF(itens_Remanesc!B66="",0,itens_Remanesc!B66))</f>
        <v/>
      </c>
      <c r="D66" s="174">
        <f>IF(A66="","",ROUND(SUMIFS(aditivos!$L$2:$L$200,aditivos!$A$2:$A$200,A66,aditivos!$C$2:$C$200,"C0"),2))</f>
        <v/>
      </c>
      <c r="E66" s="170">
        <f>IF(A66="","",ROUND(C66+D66,2))</f>
        <v/>
      </c>
      <c r="F66" s="170">
        <f>IF(A66="","",IF(itens_Remanesc!B66&lt;&gt;"",itens_Remanesc!B66,IF($Z66,0,"")))</f>
        <v/>
      </c>
      <c r="G66" s="178">
        <f>IF(A66="","",IF($Y66="","",IF($Y66&gt;0,"",ROUND(E66,2))))</f>
        <v/>
      </c>
      <c r="H66" s="180">
        <f>IF(A66="","",ROUND(SUMIFS(aditivos!$L$2:$L$200,aditivos!$A$2:$A$200,A66,aditivos!$C$2:$C$200,"C1"),2))</f>
        <v/>
      </c>
      <c r="I66" s="176">
        <f>IF(A66="","",ROUND(E66+H66,2))</f>
        <v/>
      </c>
      <c r="J66" s="176">
        <f>IF(A66="","",IF(itens_Remanesc!E66="","",itens_Remanesc!E66))</f>
        <v/>
      </c>
      <c r="K66" s="182">
        <f>IF(A66="","",IF($Y66="","",IF($Y66&gt;1,"",IF(ISNUMBER(J66),ROUND(J66+H66,2),IF($Y66=1,ROUND(H66,2),"")))))</f>
        <v/>
      </c>
      <c r="L66" s="174">
        <f>IF(A66="","",ROUND(SUMIFS(aditivos!$L$2:$L$200,aditivos!$A$2:$A$200,A66,aditivos!$C$2:$C$200,"C2"),2))</f>
        <v/>
      </c>
      <c r="M66" s="170">
        <f>IF(A66="","",ROUND(I66+L66,2))</f>
        <v/>
      </c>
      <c r="N66" s="170">
        <f>IF(A66="","",IF(itens_Remanesc!G66="","",itens_Remanesc!G66))</f>
        <v/>
      </c>
      <c r="O66" s="178">
        <f>IF(A66="","",IF($Y66="","",IF($Y66&gt;2,"",IF(ISNUMBER(N66),ROUND(N66+L66,2),IF($Y66=2,ROUND(L66,2),"")))))</f>
        <v/>
      </c>
      <c r="P66" s="180">
        <f>IF(A66="","",ROUND(SUMIFS(aditivos!$L$2:$L$200,aditivos!$A$2:$A$200,A66,aditivos!$C$2:$C$200,"C3"),2))</f>
        <v/>
      </c>
      <c r="Q66" s="176">
        <f>IF(A66="","",ROUND(M66+P66,2))</f>
        <v/>
      </c>
      <c r="R66" s="176">
        <f>IF(A66="","",IF(itens_Remanesc!I66="","",itens_Remanesc!I66))</f>
        <v/>
      </c>
      <c r="S66" s="182">
        <f>IF(A66="","",IF($Y66="","",IF($Y66&gt;3,"",IF(ISNUMBER(R66),ROUND(R66+P66,2),IF($Y66=3,ROUND(P66,2),"")))))</f>
        <v/>
      </c>
      <c r="T66" s="174">
        <f>IF(A66="","",ROUND(SUMIFS(aditivos!$L$2:$L$200,aditivos!$A$2:$A$200,A66,aditivos!$C$2:$C$200,"C4"),2))</f>
        <v/>
      </c>
      <c r="U66" s="170">
        <f>IF(A66="","",ROUND(Q66+T66,2))</f>
        <v/>
      </c>
      <c r="V66" s="170">
        <f>IF(A66="","",IF(itens_Remanesc!K66="","",itens_Remanesc!K66))</f>
        <v/>
      </c>
      <c r="W66" s="170">
        <f>IF(A66="","",IF($Y66="","",IF($Y66&gt;4,"",IF(ISNUMBER(V66),ROUND(V66+T66,2),IF($Y66=4,ROUND(T66,2),"")))))</f>
        <v/>
      </c>
      <c r="X66" s="156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>
        <f>IF($A66="","",IF($E66&gt;0,0,IF($I66&gt;0,1,IF($M66&gt;0,2,IF($Q66&gt;0,3,IF($U66&gt;0,4,""))))))</f>
        <v/>
      </c>
      <c r="Z66">
        <f>IF($A66="",FALSE,AND(LEN(TRIM($A66))=4,LEFT(TRIM($A66),1)="N",ISNUMBER(--MID(TRIM($A66),2,3)),ISERROR(FIND(".",$A66)),ISERROR(FIND(",",$A66)),ISERROR(FIND("-",$A66)),ISERROR(FIND("+",$A66)),ISERROR(SEARCH("E",$A66,2)),ISERROR(FIND(" ",TRIM($A66)))))</f>
        <v/>
      </c>
    </row>
    <row r="67">
      <c r="A67" s="156">
        <f>IF(itens_Remanesc!A67="","",itens_Remanesc!A67)</f>
        <v/>
      </c>
      <c r="B67" s="218">
        <f>IF(A67="","",itens_Remanesc!C67)</f>
        <v/>
      </c>
      <c r="C67" s="172">
        <f>IF(A67="","",IF(itens_Remanesc!B67="",0,itens_Remanesc!B67))</f>
        <v/>
      </c>
      <c r="D67" s="174">
        <f>IF(A67="","",ROUND(SUMIFS(aditivos!$L$2:$L$200,aditivos!$A$2:$A$200,A67,aditivos!$C$2:$C$200,"C0"),2))</f>
        <v/>
      </c>
      <c r="E67" s="170">
        <f>IF(A67="","",ROUND(C67+D67,2))</f>
        <v/>
      </c>
      <c r="F67" s="170">
        <f>IF(A67="","",IF(itens_Remanesc!B67&lt;&gt;"",itens_Remanesc!B67,IF($Z67,0,"")))</f>
        <v/>
      </c>
      <c r="G67" s="178">
        <f>IF(A67="","",IF($Y67="","",IF($Y67&gt;0,"",ROUND(E67,2))))</f>
        <v/>
      </c>
      <c r="H67" s="180">
        <f>IF(A67="","",ROUND(SUMIFS(aditivos!$L$2:$L$200,aditivos!$A$2:$A$200,A67,aditivos!$C$2:$C$200,"C1"),2))</f>
        <v/>
      </c>
      <c r="I67" s="176">
        <f>IF(A67="","",ROUND(E67+H67,2))</f>
        <v/>
      </c>
      <c r="J67" s="176">
        <f>IF(A67="","",IF(itens_Remanesc!E67="","",itens_Remanesc!E67))</f>
        <v/>
      </c>
      <c r="K67" s="182">
        <f>IF(A67="","",IF($Y67="","",IF($Y67&gt;1,"",IF(ISNUMBER(J67),ROUND(J67+H67,2),IF($Y67=1,ROUND(H67,2),"")))))</f>
        <v/>
      </c>
      <c r="L67" s="174">
        <f>IF(A67="","",ROUND(SUMIFS(aditivos!$L$2:$L$200,aditivos!$A$2:$A$200,A67,aditivos!$C$2:$C$200,"C2"),2))</f>
        <v/>
      </c>
      <c r="M67" s="170">
        <f>IF(A67="","",ROUND(I67+L67,2))</f>
        <v/>
      </c>
      <c r="N67" s="170">
        <f>IF(A67="","",IF(itens_Remanesc!G67="","",itens_Remanesc!G67))</f>
        <v/>
      </c>
      <c r="O67" s="178">
        <f>IF(A67="","",IF($Y67="","",IF($Y67&gt;2,"",IF(ISNUMBER(N67),ROUND(N67+L67,2),IF($Y67=2,ROUND(L67,2),"")))))</f>
        <v/>
      </c>
      <c r="P67" s="180">
        <f>IF(A67="","",ROUND(SUMIFS(aditivos!$L$2:$L$200,aditivos!$A$2:$A$200,A67,aditivos!$C$2:$C$200,"C3"),2))</f>
        <v/>
      </c>
      <c r="Q67" s="176">
        <f>IF(A67="","",ROUND(M67+P67,2))</f>
        <v/>
      </c>
      <c r="R67" s="176">
        <f>IF(A67="","",IF(itens_Remanesc!I67="","",itens_Remanesc!I67))</f>
        <v/>
      </c>
      <c r="S67" s="182">
        <f>IF(A67="","",IF($Y67="","",IF($Y67&gt;3,"",IF(ISNUMBER(R67),ROUND(R67+P67,2),IF($Y67=3,ROUND(P67,2),"")))))</f>
        <v/>
      </c>
      <c r="T67" s="174">
        <f>IF(A67="","",ROUND(SUMIFS(aditivos!$L$2:$L$200,aditivos!$A$2:$A$200,A67,aditivos!$C$2:$C$200,"C4"),2))</f>
        <v/>
      </c>
      <c r="U67" s="170">
        <f>IF(A67="","",ROUND(Q67+T67,2))</f>
        <v/>
      </c>
      <c r="V67" s="170">
        <f>IF(A67="","",IF(itens_Remanesc!K67="","",itens_Remanesc!K67))</f>
        <v/>
      </c>
      <c r="W67" s="170">
        <f>IF(A67="","",IF($Y67="","",IF($Y67&gt;4,"",IF(ISNUMBER(V67),ROUND(V67+T67,2),IF($Y67=4,ROUND(T67,2),"")))))</f>
        <v/>
      </c>
      <c r="X67" s="156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>
        <f>IF($A67="","",IF($E67&gt;0,0,IF($I67&gt;0,1,IF($M67&gt;0,2,IF($Q67&gt;0,3,IF($U67&gt;0,4,""))))))</f>
        <v/>
      </c>
      <c r="Z67">
        <f>IF($A67="",FALSE,AND(LEN(TRIM($A67))=4,LEFT(TRIM($A67),1)="N",ISNUMBER(--MID(TRIM($A67),2,3)),ISERROR(FIND(".",$A67)),ISERROR(FIND(",",$A67)),ISERROR(FIND("-",$A67)),ISERROR(FIND("+",$A67)),ISERROR(SEARCH("E",$A67,2)),ISERROR(FIND(" ",TRIM($A67)))))</f>
        <v/>
      </c>
    </row>
    <row r="68">
      <c r="A68" s="156">
        <f>IF(itens_Remanesc!A68="","",itens_Remanesc!A68)</f>
        <v/>
      </c>
      <c r="B68" s="218">
        <f>IF(A68="","",itens_Remanesc!C68)</f>
        <v/>
      </c>
      <c r="C68" s="172">
        <f>IF(A68="","",IF(itens_Remanesc!B68="",0,itens_Remanesc!B68))</f>
        <v/>
      </c>
      <c r="D68" s="174">
        <f>IF(A68="","",ROUND(SUMIFS(aditivos!$L$2:$L$200,aditivos!$A$2:$A$200,A68,aditivos!$C$2:$C$200,"C0"),2))</f>
        <v/>
      </c>
      <c r="E68" s="170">
        <f>IF(A68="","",ROUND(C68+D68,2))</f>
        <v/>
      </c>
      <c r="F68" s="170">
        <f>IF(A68="","",IF(itens_Remanesc!B68&lt;&gt;"",itens_Remanesc!B68,IF($Z68,0,"")))</f>
        <v/>
      </c>
      <c r="G68" s="178">
        <f>IF(A68="","",IF($Y68="","",IF($Y68&gt;0,"",ROUND(E68,2))))</f>
        <v/>
      </c>
      <c r="H68" s="180">
        <f>IF(A68="","",ROUND(SUMIFS(aditivos!$L$2:$L$200,aditivos!$A$2:$A$200,A68,aditivos!$C$2:$C$200,"C1"),2))</f>
        <v/>
      </c>
      <c r="I68" s="176">
        <f>IF(A68="","",ROUND(E68+H68,2))</f>
        <v/>
      </c>
      <c r="J68" s="176">
        <f>IF(A68="","",IF(itens_Remanesc!E68="","",itens_Remanesc!E68))</f>
        <v/>
      </c>
      <c r="K68" s="182">
        <f>IF(A68="","",IF($Y68="","",IF($Y68&gt;1,"",IF(ISNUMBER(J68),ROUND(J68+H68,2),IF($Y68=1,ROUND(H68,2),"")))))</f>
        <v/>
      </c>
      <c r="L68" s="174">
        <f>IF(A68="","",ROUND(SUMIFS(aditivos!$L$2:$L$200,aditivos!$A$2:$A$200,A68,aditivos!$C$2:$C$200,"C2"),2))</f>
        <v/>
      </c>
      <c r="M68" s="170">
        <f>IF(A68="","",ROUND(I68+L68,2))</f>
        <v/>
      </c>
      <c r="N68" s="170">
        <f>IF(A68="","",IF(itens_Remanesc!G68="","",itens_Remanesc!G68))</f>
        <v/>
      </c>
      <c r="O68" s="178">
        <f>IF(A68="","",IF($Y68="","",IF($Y68&gt;2,"",IF(ISNUMBER(N68),ROUND(N68+L68,2),IF($Y68=2,ROUND(L68,2),"")))))</f>
        <v/>
      </c>
      <c r="P68" s="180">
        <f>IF(A68="","",ROUND(SUMIFS(aditivos!$L$2:$L$200,aditivos!$A$2:$A$200,A68,aditivos!$C$2:$C$200,"C3"),2))</f>
        <v/>
      </c>
      <c r="Q68" s="176">
        <f>IF(A68="","",ROUND(M68+P68,2))</f>
        <v/>
      </c>
      <c r="R68" s="176">
        <f>IF(A68="","",IF(itens_Remanesc!I68="","",itens_Remanesc!I68))</f>
        <v/>
      </c>
      <c r="S68" s="182">
        <f>IF(A68="","",IF($Y68="","",IF($Y68&gt;3,"",IF(ISNUMBER(R68),ROUND(R68+P68,2),IF($Y68=3,ROUND(P68,2),"")))))</f>
        <v/>
      </c>
      <c r="T68" s="174">
        <f>IF(A68="","",ROUND(SUMIFS(aditivos!$L$2:$L$200,aditivos!$A$2:$A$200,A68,aditivos!$C$2:$C$200,"C4"),2))</f>
        <v/>
      </c>
      <c r="U68" s="170">
        <f>IF(A68="","",ROUND(Q68+T68,2))</f>
        <v/>
      </c>
      <c r="V68" s="170">
        <f>IF(A68="","",IF(itens_Remanesc!K68="","",itens_Remanesc!K68))</f>
        <v/>
      </c>
      <c r="W68" s="170">
        <f>IF(A68="","",IF($Y68="","",IF($Y68&gt;4,"",IF(ISNUMBER(V68),ROUND(V68+T68,2),IF($Y68=4,ROUND(T68,2),"")))))</f>
        <v/>
      </c>
      <c r="X68" s="156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>
        <f>IF($A68="","",IF($E68&gt;0,0,IF($I68&gt;0,1,IF($M68&gt;0,2,IF($Q68&gt;0,3,IF($U68&gt;0,4,""))))))</f>
        <v/>
      </c>
      <c r="Z68">
        <f>IF($A68="",FALSE,AND(LEN(TRIM($A68))=4,LEFT(TRIM($A68),1)="N",ISNUMBER(--MID(TRIM($A68),2,3)),ISERROR(FIND(".",$A68)),ISERROR(FIND(",",$A68)),ISERROR(FIND("-",$A68)),ISERROR(FIND("+",$A68)),ISERROR(SEARCH("E",$A68,2)),ISERROR(FIND(" ",TRIM($A68)))))</f>
        <v/>
      </c>
    </row>
    <row r="69">
      <c r="A69" s="156">
        <f>IF(itens_Remanesc!A69="","",itens_Remanesc!A69)</f>
        <v/>
      </c>
      <c r="B69" s="218">
        <f>IF(A69="","",itens_Remanesc!C69)</f>
        <v/>
      </c>
      <c r="C69" s="172">
        <f>IF(A69="","",IF(itens_Remanesc!B69="",0,itens_Remanesc!B69))</f>
        <v/>
      </c>
      <c r="D69" s="174">
        <f>IF(A69="","",ROUND(SUMIFS(aditivos!$L$2:$L$200,aditivos!$A$2:$A$200,A69,aditivos!$C$2:$C$200,"C0"),2))</f>
        <v/>
      </c>
      <c r="E69" s="170">
        <f>IF(A69="","",ROUND(C69+D69,2))</f>
        <v/>
      </c>
      <c r="F69" s="170">
        <f>IF(A69="","",IF(itens_Remanesc!B69&lt;&gt;"",itens_Remanesc!B69,IF($Z69,0,"")))</f>
        <v/>
      </c>
      <c r="G69" s="178">
        <f>IF(A69="","",IF($Y69="","",IF($Y69&gt;0,"",ROUND(E69,2))))</f>
        <v/>
      </c>
      <c r="H69" s="180">
        <f>IF(A69="","",ROUND(SUMIFS(aditivos!$L$2:$L$200,aditivos!$A$2:$A$200,A69,aditivos!$C$2:$C$200,"C1"),2))</f>
        <v/>
      </c>
      <c r="I69" s="176">
        <f>IF(A69="","",ROUND(E69+H69,2))</f>
        <v/>
      </c>
      <c r="J69" s="176">
        <f>IF(A69="","",IF(itens_Remanesc!E69="","",itens_Remanesc!E69))</f>
        <v/>
      </c>
      <c r="K69" s="182">
        <f>IF(A69="","",IF($Y69="","",IF($Y69&gt;1,"",IF(ISNUMBER(J69),ROUND(J69+H69,2),IF($Y69=1,ROUND(H69,2),"")))))</f>
        <v/>
      </c>
      <c r="L69" s="174">
        <f>IF(A69="","",ROUND(SUMIFS(aditivos!$L$2:$L$200,aditivos!$A$2:$A$200,A69,aditivos!$C$2:$C$200,"C2"),2))</f>
        <v/>
      </c>
      <c r="M69" s="170">
        <f>IF(A69="","",ROUND(I69+L69,2))</f>
        <v/>
      </c>
      <c r="N69" s="170">
        <f>IF(A69="","",IF(itens_Remanesc!G69="","",itens_Remanesc!G69))</f>
        <v/>
      </c>
      <c r="O69" s="178">
        <f>IF(A69="","",IF($Y69="","",IF($Y69&gt;2,"",IF(ISNUMBER(N69),ROUND(N69+L69,2),IF($Y69=2,ROUND(L69,2),"")))))</f>
        <v/>
      </c>
      <c r="P69" s="180">
        <f>IF(A69="","",ROUND(SUMIFS(aditivos!$L$2:$L$200,aditivos!$A$2:$A$200,A69,aditivos!$C$2:$C$200,"C3"),2))</f>
        <v/>
      </c>
      <c r="Q69" s="176">
        <f>IF(A69="","",ROUND(M69+P69,2))</f>
        <v/>
      </c>
      <c r="R69" s="176">
        <f>IF(A69="","",IF(itens_Remanesc!I69="","",itens_Remanesc!I69))</f>
        <v/>
      </c>
      <c r="S69" s="182">
        <f>IF(A69="","",IF($Y69="","",IF($Y69&gt;3,"",IF(ISNUMBER(R69),ROUND(R69+P69,2),IF($Y69=3,ROUND(P69,2),"")))))</f>
        <v/>
      </c>
      <c r="T69" s="174">
        <f>IF(A69="","",ROUND(SUMIFS(aditivos!$L$2:$L$200,aditivos!$A$2:$A$200,A69,aditivos!$C$2:$C$200,"C4"),2))</f>
        <v/>
      </c>
      <c r="U69" s="170">
        <f>IF(A69="","",ROUND(Q69+T69,2))</f>
        <v/>
      </c>
      <c r="V69" s="170">
        <f>IF(A69="","",IF(itens_Remanesc!K69="","",itens_Remanesc!K69))</f>
        <v/>
      </c>
      <c r="W69" s="170">
        <f>IF(A69="","",IF($Y69="","",IF($Y69&gt;4,"",IF(ISNUMBER(V69),ROUND(V69+T69,2),IF($Y69=4,ROUND(T69,2),"")))))</f>
        <v/>
      </c>
      <c r="X69" s="156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>
        <f>IF($A69="","",IF($E69&gt;0,0,IF($I69&gt;0,1,IF($M69&gt;0,2,IF($Q69&gt;0,3,IF($U69&gt;0,4,""))))))</f>
        <v/>
      </c>
      <c r="Z69">
        <f>IF($A69="",FALSE,AND(LEN(TRIM($A69))=4,LEFT(TRIM($A69),1)="N",ISNUMBER(--MID(TRIM($A69),2,3)),ISERROR(FIND(".",$A69)),ISERROR(FIND(",",$A69)),ISERROR(FIND("-",$A69)),ISERROR(FIND("+",$A69)),ISERROR(SEARCH("E",$A69,2)),ISERROR(FIND(" ",TRIM($A69)))))</f>
        <v/>
      </c>
    </row>
    <row r="70">
      <c r="A70" s="156">
        <f>IF(itens_Remanesc!A70="","",itens_Remanesc!A70)</f>
        <v/>
      </c>
      <c r="B70" s="218">
        <f>IF(A70="","",itens_Remanesc!C70)</f>
        <v/>
      </c>
      <c r="C70" s="172">
        <f>IF(A70="","",IF(itens_Remanesc!B70="",0,itens_Remanesc!B70))</f>
        <v/>
      </c>
      <c r="D70" s="174">
        <f>IF(A70="","",ROUND(SUMIFS(aditivos!$L$2:$L$200,aditivos!$A$2:$A$200,A70,aditivos!$C$2:$C$200,"C0"),2))</f>
        <v/>
      </c>
      <c r="E70" s="170">
        <f>IF(A70="","",ROUND(C70+D70,2))</f>
        <v/>
      </c>
      <c r="F70" s="170">
        <f>IF(A70="","",IF(itens_Remanesc!B70&lt;&gt;"",itens_Remanesc!B70,IF($Z70,0,"")))</f>
        <v/>
      </c>
      <c r="G70" s="178">
        <f>IF(A70="","",IF($Y70="","",IF($Y70&gt;0,"",ROUND(E70,2))))</f>
        <v/>
      </c>
      <c r="H70" s="180">
        <f>IF(A70="","",ROUND(SUMIFS(aditivos!$L$2:$L$200,aditivos!$A$2:$A$200,A70,aditivos!$C$2:$C$200,"C1"),2))</f>
        <v/>
      </c>
      <c r="I70" s="176">
        <f>IF(A70="","",ROUND(E70+H70,2))</f>
        <v/>
      </c>
      <c r="J70" s="176">
        <f>IF(A70="","",IF(itens_Remanesc!E70="","",itens_Remanesc!E70))</f>
        <v/>
      </c>
      <c r="K70" s="182">
        <f>IF(A70="","",IF($Y70="","",IF($Y70&gt;1,"",IF(ISNUMBER(J70),ROUND(J70+H70,2),IF($Y70=1,ROUND(H70,2),"")))))</f>
        <v/>
      </c>
      <c r="L70" s="174">
        <f>IF(A70="","",ROUND(SUMIFS(aditivos!$L$2:$L$200,aditivos!$A$2:$A$200,A70,aditivos!$C$2:$C$200,"C2"),2))</f>
        <v/>
      </c>
      <c r="M70" s="170">
        <f>IF(A70="","",ROUND(I70+L70,2))</f>
        <v/>
      </c>
      <c r="N70" s="170">
        <f>IF(A70="","",IF(itens_Remanesc!G70="","",itens_Remanesc!G70))</f>
        <v/>
      </c>
      <c r="O70" s="178">
        <f>IF(A70="","",IF($Y70="","",IF($Y70&gt;2,"",IF(ISNUMBER(N70),ROUND(N70+L70,2),IF($Y70=2,ROUND(L70,2),"")))))</f>
        <v/>
      </c>
      <c r="P70" s="180">
        <f>IF(A70="","",ROUND(SUMIFS(aditivos!$L$2:$L$200,aditivos!$A$2:$A$200,A70,aditivos!$C$2:$C$200,"C3"),2))</f>
        <v/>
      </c>
      <c r="Q70" s="176">
        <f>IF(A70="","",ROUND(M70+P70,2))</f>
        <v/>
      </c>
      <c r="R70" s="176">
        <f>IF(A70="","",IF(itens_Remanesc!I70="","",itens_Remanesc!I70))</f>
        <v/>
      </c>
      <c r="S70" s="182">
        <f>IF(A70="","",IF($Y70="","",IF($Y70&gt;3,"",IF(ISNUMBER(R70),ROUND(R70+P70,2),IF($Y70=3,ROUND(P70,2),"")))))</f>
        <v/>
      </c>
      <c r="T70" s="174">
        <f>IF(A70="","",ROUND(SUMIFS(aditivos!$L$2:$L$200,aditivos!$A$2:$A$200,A70,aditivos!$C$2:$C$200,"C4"),2))</f>
        <v/>
      </c>
      <c r="U70" s="170">
        <f>IF(A70="","",ROUND(Q70+T70,2))</f>
        <v/>
      </c>
      <c r="V70" s="170">
        <f>IF(A70="","",IF(itens_Remanesc!K70="","",itens_Remanesc!K70))</f>
        <v/>
      </c>
      <c r="W70" s="170">
        <f>IF(A70="","",IF($Y70="","",IF($Y70&gt;4,"",IF(ISNUMBER(V70),ROUND(V70+T70,2),IF($Y70=4,ROUND(T70,2),"")))))</f>
        <v/>
      </c>
      <c r="X70" s="156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>
        <f>IF($A70="","",IF($E70&gt;0,0,IF($I70&gt;0,1,IF($M70&gt;0,2,IF($Q70&gt;0,3,IF($U70&gt;0,4,""))))))</f>
        <v/>
      </c>
      <c r="Z70">
        <f>IF($A70="",FALSE,AND(LEN(TRIM($A70))=4,LEFT(TRIM($A70),1)="N",ISNUMBER(--MID(TRIM($A70),2,3)),ISERROR(FIND(".",$A70)),ISERROR(FIND(",",$A70)),ISERROR(FIND("-",$A70)),ISERROR(FIND("+",$A70)),ISERROR(SEARCH("E",$A70,2)),ISERROR(FIND(" ",TRIM($A70)))))</f>
        <v/>
      </c>
    </row>
    <row r="71">
      <c r="A71" s="156">
        <f>IF(itens_Remanesc!A71="","",itens_Remanesc!A71)</f>
        <v/>
      </c>
      <c r="B71" s="218">
        <f>IF(A71="","",itens_Remanesc!C71)</f>
        <v/>
      </c>
      <c r="C71" s="172">
        <f>IF(A71="","",IF(itens_Remanesc!B71="",0,itens_Remanesc!B71))</f>
        <v/>
      </c>
      <c r="D71" s="174">
        <f>IF(A71="","",ROUND(SUMIFS(aditivos!$L$2:$L$200,aditivos!$A$2:$A$200,A71,aditivos!$C$2:$C$200,"C0"),2))</f>
        <v/>
      </c>
      <c r="E71" s="170">
        <f>IF(A71="","",ROUND(C71+D71,2))</f>
        <v/>
      </c>
      <c r="F71" s="170">
        <f>IF(A71="","",IF(itens_Remanesc!B71&lt;&gt;"",itens_Remanesc!B71,IF($Z71,0,"")))</f>
        <v/>
      </c>
      <c r="G71" s="178">
        <f>IF(A71="","",IF($Y71="","",IF($Y71&gt;0,"",ROUND(E71,2))))</f>
        <v/>
      </c>
      <c r="H71" s="180">
        <f>IF(A71="","",ROUND(SUMIFS(aditivos!$L$2:$L$200,aditivos!$A$2:$A$200,A71,aditivos!$C$2:$C$200,"C1"),2))</f>
        <v/>
      </c>
      <c r="I71" s="176">
        <f>IF(A71="","",ROUND(E71+H71,2))</f>
        <v/>
      </c>
      <c r="J71" s="176">
        <f>IF(A71="","",IF(itens_Remanesc!E71="","",itens_Remanesc!E71))</f>
        <v/>
      </c>
      <c r="K71" s="182">
        <f>IF(A71="","",IF($Y71="","",IF($Y71&gt;1,"",IF(ISNUMBER(J71),ROUND(J71+H71,2),IF($Y71=1,ROUND(H71,2),"")))))</f>
        <v/>
      </c>
      <c r="L71" s="174">
        <f>IF(A71="","",ROUND(SUMIFS(aditivos!$L$2:$L$200,aditivos!$A$2:$A$200,A71,aditivos!$C$2:$C$200,"C2"),2))</f>
        <v/>
      </c>
      <c r="M71" s="170">
        <f>IF(A71="","",ROUND(I71+L71,2))</f>
        <v/>
      </c>
      <c r="N71" s="170">
        <f>IF(A71="","",IF(itens_Remanesc!G71="","",itens_Remanesc!G71))</f>
        <v/>
      </c>
      <c r="O71" s="178">
        <f>IF(A71="","",IF($Y71="","",IF($Y71&gt;2,"",IF(ISNUMBER(N71),ROUND(N71+L71,2),IF($Y71=2,ROUND(L71,2),"")))))</f>
        <v/>
      </c>
      <c r="P71" s="180">
        <f>IF(A71="","",ROUND(SUMIFS(aditivos!$L$2:$L$200,aditivos!$A$2:$A$200,A71,aditivos!$C$2:$C$200,"C3"),2))</f>
        <v/>
      </c>
      <c r="Q71" s="176">
        <f>IF(A71="","",ROUND(M71+P71,2))</f>
        <v/>
      </c>
      <c r="R71" s="176">
        <f>IF(A71="","",IF(itens_Remanesc!I71="","",itens_Remanesc!I71))</f>
        <v/>
      </c>
      <c r="S71" s="182">
        <f>IF(A71="","",IF($Y71="","",IF($Y71&gt;3,"",IF(ISNUMBER(R71),ROUND(R71+P71,2),IF($Y71=3,ROUND(P71,2),"")))))</f>
        <v/>
      </c>
      <c r="T71" s="174">
        <f>IF(A71="","",ROUND(SUMIFS(aditivos!$L$2:$L$200,aditivos!$A$2:$A$200,A71,aditivos!$C$2:$C$200,"C4"),2))</f>
        <v/>
      </c>
      <c r="U71" s="170">
        <f>IF(A71="","",ROUND(Q71+T71,2))</f>
        <v/>
      </c>
      <c r="V71" s="170">
        <f>IF(A71="","",IF(itens_Remanesc!K71="","",itens_Remanesc!K71))</f>
        <v/>
      </c>
      <c r="W71" s="170">
        <f>IF(A71="","",IF($Y71="","",IF($Y71&gt;4,"",IF(ISNUMBER(V71),ROUND(V71+T71,2),IF($Y71=4,ROUND(T71,2),"")))))</f>
        <v/>
      </c>
      <c r="X71" s="156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>
        <f>IF($A71="","",IF($E71&gt;0,0,IF($I71&gt;0,1,IF($M71&gt;0,2,IF($Q71&gt;0,3,IF($U71&gt;0,4,""))))))</f>
        <v/>
      </c>
      <c r="Z71">
        <f>IF($A71="",FALSE,AND(LEN(TRIM($A71))=4,LEFT(TRIM($A71),1)="N",ISNUMBER(--MID(TRIM($A71),2,3)),ISERROR(FIND(".",$A71)),ISERROR(FIND(",",$A71)),ISERROR(FIND("-",$A71)),ISERROR(FIND("+",$A71)),ISERROR(SEARCH("E",$A71,2)),ISERROR(FIND(" ",TRIM($A71)))))</f>
        <v/>
      </c>
    </row>
    <row r="72">
      <c r="A72" s="156">
        <f>IF(itens_Remanesc!A72="","",itens_Remanesc!A72)</f>
        <v/>
      </c>
      <c r="B72" s="218">
        <f>IF(A72="","",itens_Remanesc!C72)</f>
        <v/>
      </c>
      <c r="C72" s="172">
        <f>IF(A72="","",IF(itens_Remanesc!B72="",0,itens_Remanesc!B72))</f>
        <v/>
      </c>
      <c r="D72" s="174">
        <f>IF(A72="","",ROUND(SUMIFS(aditivos!$L$2:$L$200,aditivos!$A$2:$A$200,A72,aditivos!$C$2:$C$200,"C0"),2))</f>
        <v/>
      </c>
      <c r="E72" s="170">
        <f>IF(A72="","",ROUND(C72+D72,2))</f>
        <v/>
      </c>
      <c r="F72" s="170">
        <f>IF(A72="","",IF(itens_Remanesc!B72&lt;&gt;"",itens_Remanesc!B72,IF($Z72,0,"")))</f>
        <v/>
      </c>
      <c r="G72" s="178">
        <f>IF(A72="","",IF($Y72="","",IF($Y72&gt;0,"",ROUND(E72,2))))</f>
        <v/>
      </c>
      <c r="H72" s="180">
        <f>IF(A72="","",ROUND(SUMIFS(aditivos!$L$2:$L$200,aditivos!$A$2:$A$200,A72,aditivos!$C$2:$C$200,"C1"),2))</f>
        <v/>
      </c>
      <c r="I72" s="176">
        <f>IF(A72="","",ROUND(E72+H72,2))</f>
        <v/>
      </c>
      <c r="J72" s="176">
        <f>IF(A72="","",IF(itens_Remanesc!E72="","",itens_Remanesc!E72))</f>
        <v/>
      </c>
      <c r="K72" s="182">
        <f>IF(A72="","",IF($Y72="","",IF($Y72&gt;1,"",IF(ISNUMBER(J72),ROUND(J72+H72,2),IF($Y72=1,ROUND(H72,2),"")))))</f>
        <v/>
      </c>
      <c r="L72" s="174">
        <f>IF(A72="","",ROUND(SUMIFS(aditivos!$L$2:$L$200,aditivos!$A$2:$A$200,A72,aditivos!$C$2:$C$200,"C2"),2))</f>
        <v/>
      </c>
      <c r="M72" s="170">
        <f>IF(A72="","",ROUND(I72+L72,2))</f>
        <v/>
      </c>
      <c r="N72" s="170">
        <f>IF(A72="","",IF(itens_Remanesc!G72="","",itens_Remanesc!G72))</f>
        <v/>
      </c>
      <c r="O72" s="178">
        <f>IF(A72="","",IF($Y72="","",IF($Y72&gt;2,"",IF(ISNUMBER(N72),ROUND(N72+L72,2),IF($Y72=2,ROUND(L72,2),"")))))</f>
        <v/>
      </c>
      <c r="P72" s="180">
        <f>IF(A72="","",ROUND(SUMIFS(aditivos!$L$2:$L$200,aditivos!$A$2:$A$200,A72,aditivos!$C$2:$C$200,"C3"),2))</f>
        <v/>
      </c>
      <c r="Q72" s="176">
        <f>IF(A72="","",ROUND(M72+P72,2))</f>
        <v/>
      </c>
      <c r="R72" s="176">
        <f>IF(A72="","",IF(itens_Remanesc!I72="","",itens_Remanesc!I72))</f>
        <v/>
      </c>
      <c r="S72" s="182">
        <f>IF(A72="","",IF($Y72="","",IF($Y72&gt;3,"",IF(ISNUMBER(R72),ROUND(R72+P72,2),IF($Y72=3,ROUND(P72,2),"")))))</f>
        <v/>
      </c>
      <c r="T72" s="174">
        <f>IF(A72="","",ROUND(SUMIFS(aditivos!$L$2:$L$200,aditivos!$A$2:$A$200,A72,aditivos!$C$2:$C$200,"C4"),2))</f>
        <v/>
      </c>
      <c r="U72" s="170">
        <f>IF(A72="","",ROUND(Q72+T72,2))</f>
        <v/>
      </c>
      <c r="V72" s="170">
        <f>IF(A72="","",IF(itens_Remanesc!K72="","",itens_Remanesc!K72))</f>
        <v/>
      </c>
      <c r="W72" s="170">
        <f>IF(A72="","",IF($Y72="","",IF($Y72&gt;4,"",IF(ISNUMBER(V72),ROUND(V72+T72,2),IF($Y72=4,ROUND(T72,2),"")))))</f>
        <v/>
      </c>
      <c r="X72" s="156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>
        <f>IF($A72="","",IF($E72&gt;0,0,IF($I72&gt;0,1,IF($M72&gt;0,2,IF($Q72&gt;0,3,IF($U72&gt;0,4,""))))))</f>
        <v/>
      </c>
      <c r="Z72">
        <f>IF($A72="",FALSE,AND(LEN(TRIM($A72))=4,LEFT(TRIM($A72),1)="N",ISNUMBER(--MID(TRIM($A72),2,3)),ISERROR(FIND(".",$A72)),ISERROR(FIND(",",$A72)),ISERROR(FIND("-",$A72)),ISERROR(FIND("+",$A72)),ISERROR(SEARCH("E",$A72,2)),ISERROR(FIND(" ",TRIM($A72)))))</f>
        <v/>
      </c>
    </row>
    <row r="73">
      <c r="A73" s="156">
        <f>IF(itens_Remanesc!A73="","",itens_Remanesc!A73)</f>
        <v/>
      </c>
      <c r="B73" s="218">
        <f>IF(A73="","",itens_Remanesc!C73)</f>
        <v/>
      </c>
      <c r="C73" s="172">
        <f>IF(A73="","",IF(itens_Remanesc!B73="",0,itens_Remanesc!B73))</f>
        <v/>
      </c>
      <c r="D73" s="174">
        <f>IF(A73="","",ROUND(SUMIFS(aditivos!$L$2:$L$200,aditivos!$A$2:$A$200,A73,aditivos!$C$2:$C$200,"C0"),2))</f>
        <v/>
      </c>
      <c r="E73" s="170">
        <f>IF(A73="","",ROUND(C73+D73,2))</f>
        <v/>
      </c>
      <c r="F73" s="170">
        <f>IF(A73="","",IF(itens_Remanesc!B73&lt;&gt;"",itens_Remanesc!B73,IF($Z73,0,"")))</f>
        <v/>
      </c>
      <c r="G73" s="178">
        <f>IF(A73="","",IF($Y73="","",IF($Y73&gt;0,"",ROUND(E73,2))))</f>
        <v/>
      </c>
      <c r="H73" s="180">
        <f>IF(A73="","",ROUND(SUMIFS(aditivos!$L$2:$L$200,aditivos!$A$2:$A$200,A73,aditivos!$C$2:$C$200,"C1"),2))</f>
        <v/>
      </c>
      <c r="I73" s="176">
        <f>IF(A73="","",ROUND(E73+H73,2))</f>
        <v/>
      </c>
      <c r="J73" s="176">
        <f>IF(A73="","",IF(itens_Remanesc!E73="","",itens_Remanesc!E73))</f>
        <v/>
      </c>
      <c r="K73" s="182">
        <f>IF(A73="","",IF($Y73="","",IF($Y73&gt;1,"",IF(ISNUMBER(J73),ROUND(J73+H73,2),IF($Y73=1,ROUND(H73,2),"")))))</f>
        <v/>
      </c>
      <c r="L73" s="174">
        <f>IF(A73="","",ROUND(SUMIFS(aditivos!$L$2:$L$200,aditivos!$A$2:$A$200,A73,aditivos!$C$2:$C$200,"C2"),2))</f>
        <v/>
      </c>
      <c r="M73" s="170">
        <f>IF(A73="","",ROUND(I73+L73,2))</f>
        <v/>
      </c>
      <c r="N73" s="170">
        <f>IF(A73="","",IF(itens_Remanesc!G73="","",itens_Remanesc!G73))</f>
        <v/>
      </c>
      <c r="O73" s="178">
        <f>IF(A73="","",IF($Y73="","",IF($Y73&gt;2,"",IF(ISNUMBER(N73),ROUND(N73+L73,2),IF($Y73=2,ROUND(L73,2),"")))))</f>
        <v/>
      </c>
      <c r="P73" s="180">
        <f>IF(A73="","",ROUND(SUMIFS(aditivos!$L$2:$L$200,aditivos!$A$2:$A$200,A73,aditivos!$C$2:$C$200,"C3"),2))</f>
        <v/>
      </c>
      <c r="Q73" s="176">
        <f>IF(A73="","",ROUND(M73+P73,2))</f>
        <v/>
      </c>
      <c r="R73" s="176">
        <f>IF(A73="","",IF(itens_Remanesc!I73="","",itens_Remanesc!I73))</f>
        <v/>
      </c>
      <c r="S73" s="182">
        <f>IF(A73="","",IF($Y73="","",IF($Y73&gt;3,"",IF(ISNUMBER(R73),ROUND(R73+P73,2),IF($Y73=3,ROUND(P73,2),"")))))</f>
        <v/>
      </c>
      <c r="T73" s="174">
        <f>IF(A73="","",ROUND(SUMIFS(aditivos!$L$2:$L$200,aditivos!$A$2:$A$200,A73,aditivos!$C$2:$C$200,"C4"),2))</f>
        <v/>
      </c>
      <c r="U73" s="170">
        <f>IF(A73="","",ROUND(Q73+T73,2))</f>
        <v/>
      </c>
      <c r="V73" s="170">
        <f>IF(A73="","",IF(itens_Remanesc!K73="","",itens_Remanesc!K73))</f>
        <v/>
      </c>
      <c r="W73" s="170">
        <f>IF(A73="","",IF($Y73="","",IF($Y73&gt;4,"",IF(ISNUMBER(V73),ROUND(V73+T73,2),IF($Y73=4,ROUND(T73,2),"")))))</f>
        <v/>
      </c>
      <c r="X73" s="156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>
        <f>IF($A73="","",IF($E73&gt;0,0,IF($I73&gt;0,1,IF($M73&gt;0,2,IF($Q73&gt;0,3,IF($U73&gt;0,4,""))))))</f>
        <v/>
      </c>
      <c r="Z73">
        <f>IF($A73="",FALSE,AND(LEN(TRIM($A73))=4,LEFT(TRIM($A73),1)="N",ISNUMBER(--MID(TRIM($A73),2,3)),ISERROR(FIND(".",$A73)),ISERROR(FIND(",",$A73)),ISERROR(FIND("-",$A73)),ISERROR(FIND("+",$A73)),ISERROR(SEARCH("E",$A73,2)),ISERROR(FIND(" ",TRIM($A73)))))</f>
        <v/>
      </c>
    </row>
    <row r="74">
      <c r="A74" s="156">
        <f>IF(itens_Remanesc!A74="","",itens_Remanesc!A74)</f>
        <v/>
      </c>
      <c r="B74" s="218">
        <f>IF(A74="","",itens_Remanesc!C74)</f>
        <v/>
      </c>
      <c r="C74" s="172">
        <f>IF(A74="","",IF(itens_Remanesc!B74="",0,itens_Remanesc!B74))</f>
        <v/>
      </c>
      <c r="D74" s="174">
        <f>IF(A74="","",ROUND(SUMIFS(aditivos!$L$2:$L$200,aditivos!$A$2:$A$200,A74,aditivos!$C$2:$C$200,"C0"),2))</f>
        <v/>
      </c>
      <c r="E74" s="170">
        <f>IF(A74="","",ROUND(C74+D74,2))</f>
        <v/>
      </c>
      <c r="F74" s="170">
        <f>IF(A74="","",IF(itens_Remanesc!B74&lt;&gt;"",itens_Remanesc!B74,IF($Z74,0,"")))</f>
        <v/>
      </c>
      <c r="G74" s="178">
        <f>IF(A74="","",IF($Y74="","",IF($Y74&gt;0,"",ROUND(E74,2))))</f>
        <v/>
      </c>
      <c r="H74" s="180">
        <f>IF(A74="","",ROUND(SUMIFS(aditivos!$L$2:$L$200,aditivos!$A$2:$A$200,A74,aditivos!$C$2:$C$200,"C1"),2))</f>
        <v/>
      </c>
      <c r="I74" s="176">
        <f>IF(A74="","",ROUND(E74+H74,2))</f>
        <v/>
      </c>
      <c r="J74" s="176">
        <f>IF(A74="","",IF(itens_Remanesc!E74="","",itens_Remanesc!E74))</f>
        <v/>
      </c>
      <c r="K74" s="182">
        <f>IF(A74="","",IF($Y74="","",IF($Y74&gt;1,"",IF(ISNUMBER(J74),ROUND(J74+H74,2),IF($Y74=1,ROUND(H74,2),"")))))</f>
        <v/>
      </c>
      <c r="L74" s="174">
        <f>IF(A74="","",ROUND(SUMIFS(aditivos!$L$2:$L$200,aditivos!$A$2:$A$200,A74,aditivos!$C$2:$C$200,"C2"),2))</f>
        <v/>
      </c>
      <c r="M74" s="170">
        <f>IF(A74="","",ROUND(I74+L74,2))</f>
        <v/>
      </c>
      <c r="N74" s="170">
        <f>IF(A74="","",IF(itens_Remanesc!G74="","",itens_Remanesc!G74))</f>
        <v/>
      </c>
      <c r="O74" s="178">
        <f>IF(A74="","",IF($Y74="","",IF($Y74&gt;2,"",IF(ISNUMBER(N74),ROUND(N74+L74,2),IF($Y74=2,ROUND(L74,2),"")))))</f>
        <v/>
      </c>
      <c r="P74" s="180">
        <f>IF(A74="","",ROUND(SUMIFS(aditivos!$L$2:$L$200,aditivos!$A$2:$A$200,A74,aditivos!$C$2:$C$200,"C3"),2))</f>
        <v/>
      </c>
      <c r="Q74" s="176">
        <f>IF(A74="","",ROUND(M74+P74,2))</f>
        <v/>
      </c>
      <c r="R74" s="176">
        <f>IF(A74="","",IF(itens_Remanesc!I74="","",itens_Remanesc!I74))</f>
        <v/>
      </c>
      <c r="S74" s="182">
        <f>IF(A74="","",IF($Y74="","",IF($Y74&gt;3,"",IF(ISNUMBER(R74),ROUND(R74+P74,2),IF($Y74=3,ROUND(P74,2),"")))))</f>
        <v/>
      </c>
      <c r="T74" s="174">
        <f>IF(A74="","",ROUND(SUMIFS(aditivos!$L$2:$L$200,aditivos!$A$2:$A$200,A74,aditivos!$C$2:$C$200,"C4"),2))</f>
        <v/>
      </c>
      <c r="U74" s="170">
        <f>IF(A74="","",ROUND(Q74+T74,2))</f>
        <v/>
      </c>
      <c r="V74" s="170">
        <f>IF(A74="","",IF(itens_Remanesc!K74="","",itens_Remanesc!K74))</f>
        <v/>
      </c>
      <c r="W74" s="170">
        <f>IF(A74="","",IF($Y74="","",IF($Y74&gt;4,"",IF(ISNUMBER(V74),ROUND(V74+T74,2),IF($Y74=4,ROUND(T74,2),"")))))</f>
        <v/>
      </c>
      <c r="X74" s="156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>
        <f>IF($A74="","",IF($E74&gt;0,0,IF($I74&gt;0,1,IF($M74&gt;0,2,IF($Q74&gt;0,3,IF($U74&gt;0,4,""))))))</f>
        <v/>
      </c>
      <c r="Z74">
        <f>IF($A74="",FALSE,AND(LEN(TRIM($A74))=4,LEFT(TRIM($A74),1)="N",ISNUMBER(--MID(TRIM($A74),2,3)),ISERROR(FIND(".",$A74)),ISERROR(FIND(",",$A74)),ISERROR(FIND("-",$A74)),ISERROR(FIND("+",$A74)),ISERROR(SEARCH("E",$A74,2)),ISERROR(FIND(" ",TRIM($A74)))))</f>
        <v/>
      </c>
    </row>
    <row r="75">
      <c r="A75" s="156">
        <f>IF(itens_Remanesc!A75="","",itens_Remanesc!A75)</f>
        <v/>
      </c>
      <c r="B75" s="218">
        <f>IF(A75="","",itens_Remanesc!C75)</f>
        <v/>
      </c>
      <c r="C75" s="172">
        <f>IF(A75="","",IF(itens_Remanesc!B75="",0,itens_Remanesc!B75))</f>
        <v/>
      </c>
      <c r="D75" s="174">
        <f>IF(A75="","",ROUND(SUMIFS(aditivos!$L$2:$L$200,aditivos!$A$2:$A$200,A75,aditivos!$C$2:$C$200,"C0"),2))</f>
        <v/>
      </c>
      <c r="E75" s="170">
        <f>IF(A75="","",ROUND(C75+D75,2))</f>
        <v/>
      </c>
      <c r="F75" s="170">
        <f>IF(A75="","",IF(itens_Remanesc!B75&lt;&gt;"",itens_Remanesc!B75,IF($Z75,0,"")))</f>
        <v/>
      </c>
      <c r="G75" s="178">
        <f>IF(A75="","",IF($Y75="","",IF($Y75&gt;0,"",ROUND(E75,2))))</f>
        <v/>
      </c>
      <c r="H75" s="180">
        <f>IF(A75="","",ROUND(SUMIFS(aditivos!$L$2:$L$200,aditivos!$A$2:$A$200,A75,aditivos!$C$2:$C$200,"C1"),2))</f>
        <v/>
      </c>
      <c r="I75" s="176">
        <f>IF(A75="","",ROUND(E75+H75,2))</f>
        <v/>
      </c>
      <c r="J75" s="176">
        <f>IF(A75="","",IF(itens_Remanesc!E75="","",itens_Remanesc!E75))</f>
        <v/>
      </c>
      <c r="K75" s="182">
        <f>IF(A75="","",IF($Y75="","",IF($Y75&gt;1,"",IF(ISNUMBER(J75),ROUND(J75+H75,2),IF($Y75=1,ROUND(H75,2),"")))))</f>
        <v/>
      </c>
      <c r="L75" s="174">
        <f>IF(A75="","",ROUND(SUMIFS(aditivos!$L$2:$L$200,aditivos!$A$2:$A$200,A75,aditivos!$C$2:$C$200,"C2"),2))</f>
        <v/>
      </c>
      <c r="M75" s="170">
        <f>IF(A75="","",ROUND(I75+L75,2))</f>
        <v/>
      </c>
      <c r="N75" s="170">
        <f>IF(A75="","",IF(itens_Remanesc!G75="","",itens_Remanesc!G75))</f>
        <v/>
      </c>
      <c r="O75" s="178">
        <f>IF(A75="","",IF($Y75="","",IF($Y75&gt;2,"",IF(ISNUMBER(N75),ROUND(N75+L75,2),IF($Y75=2,ROUND(L75,2),"")))))</f>
        <v/>
      </c>
      <c r="P75" s="180">
        <f>IF(A75="","",ROUND(SUMIFS(aditivos!$L$2:$L$200,aditivos!$A$2:$A$200,A75,aditivos!$C$2:$C$200,"C3"),2))</f>
        <v/>
      </c>
      <c r="Q75" s="176">
        <f>IF(A75="","",ROUND(M75+P75,2))</f>
        <v/>
      </c>
      <c r="R75" s="176">
        <f>IF(A75="","",IF(itens_Remanesc!I75="","",itens_Remanesc!I75))</f>
        <v/>
      </c>
      <c r="S75" s="182">
        <f>IF(A75="","",IF($Y75="","",IF($Y75&gt;3,"",IF(ISNUMBER(R75),ROUND(R75+P75,2),IF($Y75=3,ROUND(P75,2),"")))))</f>
        <v/>
      </c>
      <c r="T75" s="174">
        <f>IF(A75="","",ROUND(SUMIFS(aditivos!$L$2:$L$200,aditivos!$A$2:$A$200,A75,aditivos!$C$2:$C$200,"C4"),2))</f>
        <v/>
      </c>
      <c r="U75" s="170">
        <f>IF(A75="","",ROUND(Q75+T75,2))</f>
        <v/>
      </c>
      <c r="V75" s="170">
        <f>IF(A75="","",IF(itens_Remanesc!K75="","",itens_Remanesc!K75))</f>
        <v/>
      </c>
      <c r="W75" s="170">
        <f>IF(A75="","",IF($Y75="","",IF($Y75&gt;4,"",IF(ISNUMBER(V75),ROUND(V75+T75,2),IF($Y75=4,ROUND(T75,2),"")))))</f>
        <v/>
      </c>
      <c r="X75" s="156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>
        <f>IF($A75="","",IF($E75&gt;0,0,IF($I75&gt;0,1,IF($M75&gt;0,2,IF($Q75&gt;0,3,IF($U75&gt;0,4,""))))))</f>
        <v/>
      </c>
      <c r="Z75">
        <f>IF($A75="",FALSE,AND(LEN(TRIM($A75))=4,LEFT(TRIM($A75),1)="N",ISNUMBER(--MID(TRIM($A75),2,3)),ISERROR(FIND(".",$A75)),ISERROR(FIND(",",$A75)),ISERROR(FIND("-",$A75)),ISERROR(FIND("+",$A75)),ISERROR(SEARCH("E",$A75,2)),ISERROR(FIND(" ",TRIM($A75)))))</f>
        <v/>
      </c>
    </row>
    <row r="76">
      <c r="A76" s="156">
        <f>IF(itens_Remanesc!A76="","",itens_Remanesc!A76)</f>
        <v/>
      </c>
      <c r="B76" s="218">
        <f>IF(A76="","",itens_Remanesc!C76)</f>
        <v/>
      </c>
      <c r="C76" s="172">
        <f>IF(A76="","",IF(itens_Remanesc!B76="",0,itens_Remanesc!B76))</f>
        <v/>
      </c>
      <c r="D76" s="174">
        <f>IF(A76="","",ROUND(SUMIFS(aditivos!$L$2:$L$200,aditivos!$A$2:$A$200,A76,aditivos!$C$2:$C$200,"C0"),2))</f>
        <v/>
      </c>
      <c r="E76" s="170">
        <f>IF(A76="","",ROUND(C76+D76,2))</f>
        <v/>
      </c>
      <c r="F76" s="170">
        <f>IF(A76="","",IF(itens_Remanesc!B76&lt;&gt;"",itens_Remanesc!B76,IF($Z76,0,"")))</f>
        <v/>
      </c>
      <c r="G76" s="178">
        <f>IF(A76="","",IF($Y76="","",IF($Y76&gt;0,"",ROUND(E76,2))))</f>
        <v/>
      </c>
      <c r="H76" s="180">
        <f>IF(A76="","",ROUND(SUMIFS(aditivos!$L$2:$L$200,aditivos!$A$2:$A$200,A76,aditivos!$C$2:$C$200,"C1"),2))</f>
        <v/>
      </c>
      <c r="I76" s="176">
        <f>IF(A76="","",ROUND(E76+H76,2))</f>
        <v/>
      </c>
      <c r="J76" s="176">
        <f>IF(A76="","",IF(itens_Remanesc!E76="","",itens_Remanesc!E76))</f>
        <v/>
      </c>
      <c r="K76" s="182">
        <f>IF(A76="","",IF($Y76="","",IF($Y76&gt;1,"",IF(ISNUMBER(J76),ROUND(J76+H76,2),IF($Y76=1,ROUND(H76,2),"")))))</f>
        <v/>
      </c>
      <c r="L76" s="174">
        <f>IF(A76="","",ROUND(SUMIFS(aditivos!$L$2:$L$200,aditivos!$A$2:$A$200,A76,aditivos!$C$2:$C$200,"C2"),2))</f>
        <v/>
      </c>
      <c r="M76" s="170">
        <f>IF(A76="","",ROUND(I76+L76,2))</f>
        <v/>
      </c>
      <c r="N76" s="170">
        <f>IF(A76="","",IF(itens_Remanesc!G76="","",itens_Remanesc!G76))</f>
        <v/>
      </c>
      <c r="O76" s="178">
        <f>IF(A76="","",IF($Y76="","",IF($Y76&gt;2,"",IF(ISNUMBER(N76),ROUND(N76+L76,2),IF($Y76=2,ROUND(L76,2),"")))))</f>
        <v/>
      </c>
      <c r="P76" s="180">
        <f>IF(A76="","",ROUND(SUMIFS(aditivos!$L$2:$L$200,aditivos!$A$2:$A$200,A76,aditivos!$C$2:$C$200,"C3"),2))</f>
        <v/>
      </c>
      <c r="Q76" s="176">
        <f>IF(A76="","",ROUND(M76+P76,2))</f>
        <v/>
      </c>
      <c r="R76" s="176">
        <f>IF(A76="","",IF(itens_Remanesc!I76="","",itens_Remanesc!I76))</f>
        <v/>
      </c>
      <c r="S76" s="182">
        <f>IF(A76="","",IF($Y76="","",IF($Y76&gt;3,"",IF(ISNUMBER(R76),ROUND(R76+P76,2),IF($Y76=3,ROUND(P76,2),"")))))</f>
        <v/>
      </c>
      <c r="T76" s="174">
        <f>IF(A76="","",ROUND(SUMIFS(aditivos!$L$2:$L$200,aditivos!$A$2:$A$200,A76,aditivos!$C$2:$C$200,"C4"),2))</f>
        <v/>
      </c>
      <c r="U76" s="170">
        <f>IF(A76="","",ROUND(Q76+T76,2))</f>
        <v/>
      </c>
      <c r="V76" s="170">
        <f>IF(A76="","",IF(itens_Remanesc!K76="","",itens_Remanesc!K76))</f>
        <v/>
      </c>
      <c r="W76" s="170">
        <f>IF(A76="","",IF($Y76="","",IF($Y76&gt;4,"",IF(ISNUMBER(V76),ROUND(V76+T76,2),IF($Y76=4,ROUND(T76,2),"")))))</f>
        <v/>
      </c>
      <c r="X76" s="156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>
        <f>IF($A76="","",IF($E76&gt;0,0,IF($I76&gt;0,1,IF($M76&gt;0,2,IF($Q76&gt;0,3,IF($U76&gt;0,4,""))))))</f>
        <v/>
      </c>
      <c r="Z76">
        <f>IF($A76="",FALSE,AND(LEN(TRIM($A76))=4,LEFT(TRIM($A76),1)="N",ISNUMBER(--MID(TRIM($A76),2,3)),ISERROR(FIND(".",$A76)),ISERROR(FIND(",",$A76)),ISERROR(FIND("-",$A76)),ISERROR(FIND("+",$A76)),ISERROR(SEARCH("E",$A76,2)),ISERROR(FIND(" ",TRIM($A76)))))</f>
        <v/>
      </c>
    </row>
    <row r="77">
      <c r="A77" s="156">
        <f>IF(itens_Remanesc!A77="","",itens_Remanesc!A77)</f>
        <v/>
      </c>
      <c r="B77" s="218">
        <f>IF(A77="","",itens_Remanesc!C77)</f>
        <v/>
      </c>
      <c r="C77" s="172">
        <f>IF(A77="","",IF(itens_Remanesc!B77="",0,itens_Remanesc!B77))</f>
        <v/>
      </c>
      <c r="D77" s="174">
        <f>IF(A77="","",ROUND(SUMIFS(aditivos!$L$2:$L$200,aditivos!$A$2:$A$200,A77,aditivos!$C$2:$C$200,"C0"),2))</f>
        <v/>
      </c>
      <c r="E77" s="170">
        <f>IF(A77="","",ROUND(C77+D77,2))</f>
        <v/>
      </c>
      <c r="F77" s="170">
        <f>IF(A77="","",IF(itens_Remanesc!B77&lt;&gt;"",itens_Remanesc!B77,IF($Z77,0,"")))</f>
        <v/>
      </c>
      <c r="G77" s="178">
        <f>IF(A77="","",IF($Y77="","",IF($Y77&gt;0,"",ROUND(E77,2))))</f>
        <v/>
      </c>
      <c r="H77" s="180">
        <f>IF(A77="","",ROUND(SUMIFS(aditivos!$L$2:$L$200,aditivos!$A$2:$A$200,A77,aditivos!$C$2:$C$200,"C1"),2))</f>
        <v/>
      </c>
      <c r="I77" s="176">
        <f>IF(A77="","",ROUND(E77+H77,2))</f>
        <v/>
      </c>
      <c r="J77" s="176">
        <f>IF(A77="","",IF(itens_Remanesc!E77="","",itens_Remanesc!E77))</f>
        <v/>
      </c>
      <c r="K77" s="182">
        <f>IF(A77="","",IF($Y77="","",IF($Y77&gt;1,"",IF(ISNUMBER(J77),ROUND(J77+H77,2),IF($Y77=1,ROUND(H77,2),"")))))</f>
        <v/>
      </c>
      <c r="L77" s="174">
        <f>IF(A77="","",ROUND(SUMIFS(aditivos!$L$2:$L$200,aditivos!$A$2:$A$200,A77,aditivos!$C$2:$C$200,"C2"),2))</f>
        <v/>
      </c>
      <c r="M77" s="170">
        <f>IF(A77="","",ROUND(I77+L77,2))</f>
        <v/>
      </c>
      <c r="N77" s="170">
        <f>IF(A77="","",IF(itens_Remanesc!G77="","",itens_Remanesc!G77))</f>
        <v/>
      </c>
      <c r="O77" s="178">
        <f>IF(A77="","",IF($Y77="","",IF($Y77&gt;2,"",IF(ISNUMBER(N77),ROUND(N77+L77,2),IF($Y77=2,ROUND(L77,2),"")))))</f>
        <v/>
      </c>
      <c r="P77" s="180">
        <f>IF(A77="","",ROUND(SUMIFS(aditivos!$L$2:$L$200,aditivos!$A$2:$A$200,A77,aditivos!$C$2:$C$200,"C3"),2))</f>
        <v/>
      </c>
      <c r="Q77" s="176">
        <f>IF(A77="","",ROUND(M77+P77,2))</f>
        <v/>
      </c>
      <c r="R77" s="176">
        <f>IF(A77="","",IF(itens_Remanesc!I77="","",itens_Remanesc!I77))</f>
        <v/>
      </c>
      <c r="S77" s="182">
        <f>IF(A77="","",IF($Y77="","",IF($Y77&gt;3,"",IF(ISNUMBER(R77),ROUND(R77+P77,2),IF($Y77=3,ROUND(P77,2),"")))))</f>
        <v/>
      </c>
      <c r="T77" s="174">
        <f>IF(A77="","",ROUND(SUMIFS(aditivos!$L$2:$L$200,aditivos!$A$2:$A$200,A77,aditivos!$C$2:$C$200,"C4"),2))</f>
        <v/>
      </c>
      <c r="U77" s="170">
        <f>IF(A77="","",ROUND(Q77+T77,2))</f>
        <v/>
      </c>
      <c r="V77" s="170">
        <f>IF(A77="","",IF(itens_Remanesc!K77="","",itens_Remanesc!K77))</f>
        <v/>
      </c>
      <c r="W77" s="170">
        <f>IF(A77="","",IF($Y77="","",IF($Y77&gt;4,"",IF(ISNUMBER(V77),ROUND(V77+T77,2),IF($Y77=4,ROUND(T77,2),"")))))</f>
        <v/>
      </c>
      <c r="X77" s="156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>
        <f>IF($A77="","",IF($E77&gt;0,0,IF($I77&gt;0,1,IF($M77&gt;0,2,IF($Q77&gt;0,3,IF($U77&gt;0,4,""))))))</f>
        <v/>
      </c>
      <c r="Z77">
        <f>IF($A77="",FALSE,AND(LEN(TRIM($A77))=4,LEFT(TRIM($A77),1)="N",ISNUMBER(--MID(TRIM($A77),2,3)),ISERROR(FIND(".",$A77)),ISERROR(FIND(",",$A77)),ISERROR(FIND("-",$A77)),ISERROR(FIND("+",$A77)),ISERROR(SEARCH("E",$A77,2)),ISERROR(FIND(" ",TRIM($A77)))))</f>
        <v/>
      </c>
    </row>
    <row r="78">
      <c r="A78" s="156">
        <f>IF(itens_Remanesc!A78="","",itens_Remanesc!A78)</f>
        <v/>
      </c>
      <c r="B78" s="218">
        <f>IF(A78="","",itens_Remanesc!C78)</f>
        <v/>
      </c>
      <c r="C78" s="172">
        <f>IF(A78="","",IF(itens_Remanesc!B78="",0,itens_Remanesc!B78))</f>
        <v/>
      </c>
      <c r="D78" s="174">
        <f>IF(A78="","",ROUND(SUMIFS(aditivos!$L$2:$L$200,aditivos!$A$2:$A$200,A78,aditivos!$C$2:$C$200,"C0"),2))</f>
        <v/>
      </c>
      <c r="E78" s="170">
        <f>IF(A78="","",ROUND(C78+D78,2))</f>
        <v/>
      </c>
      <c r="F78" s="170">
        <f>IF(A78="","",IF(itens_Remanesc!B78&lt;&gt;"",itens_Remanesc!B78,IF($Z78,0,"")))</f>
        <v/>
      </c>
      <c r="G78" s="178">
        <f>IF(A78="","",IF($Y78="","",IF($Y78&gt;0,"",ROUND(E78,2))))</f>
        <v/>
      </c>
      <c r="H78" s="180">
        <f>IF(A78="","",ROUND(SUMIFS(aditivos!$L$2:$L$200,aditivos!$A$2:$A$200,A78,aditivos!$C$2:$C$200,"C1"),2))</f>
        <v/>
      </c>
      <c r="I78" s="176">
        <f>IF(A78="","",ROUND(E78+H78,2))</f>
        <v/>
      </c>
      <c r="J78" s="176">
        <f>IF(A78="","",IF(itens_Remanesc!E78="","",itens_Remanesc!E78))</f>
        <v/>
      </c>
      <c r="K78" s="182">
        <f>IF(A78="","",IF($Y78="","",IF($Y78&gt;1,"",IF(ISNUMBER(J78),ROUND(J78+H78,2),IF($Y78=1,ROUND(H78,2),"")))))</f>
        <v/>
      </c>
      <c r="L78" s="174">
        <f>IF(A78="","",ROUND(SUMIFS(aditivos!$L$2:$L$200,aditivos!$A$2:$A$200,A78,aditivos!$C$2:$C$200,"C2"),2))</f>
        <v/>
      </c>
      <c r="M78" s="170">
        <f>IF(A78="","",ROUND(I78+L78,2))</f>
        <v/>
      </c>
      <c r="N78" s="170">
        <f>IF(A78="","",IF(itens_Remanesc!G78="","",itens_Remanesc!G78))</f>
        <v/>
      </c>
      <c r="O78" s="178">
        <f>IF(A78="","",IF($Y78="","",IF($Y78&gt;2,"",IF(ISNUMBER(N78),ROUND(N78+L78,2),IF($Y78=2,ROUND(L78,2),"")))))</f>
        <v/>
      </c>
      <c r="P78" s="180">
        <f>IF(A78="","",ROUND(SUMIFS(aditivos!$L$2:$L$200,aditivos!$A$2:$A$200,A78,aditivos!$C$2:$C$200,"C3"),2))</f>
        <v/>
      </c>
      <c r="Q78" s="176">
        <f>IF(A78="","",ROUND(M78+P78,2))</f>
        <v/>
      </c>
      <c r="R78" s="176">
        <f>IF(A78="","",IF(itens_Remanesc!I78="","",itens_Remanesc!I78))</f>
        <v/>
      </c>
      <c r="S78" s="182">
        <f>IF(A78="","",IF($Y78="","",IF($Y78&gt;3,"",IF(ISNUMBER(R78),ROUND(R78+P78,2),IF($Y78=3,ROUND(P78,2),"")))))</f>
        <v/>
      </c>
      <c r="T78" s="174">
        <f>IF(A78="","",ROUND(SUMIFS(aditivos!$L$2:$L$200,aditivos!$A$2:$A$200,A78,aditivos!$C$2:$C$200,"C4"),2))</f>
        <v/>
      </c>
      <c r="U78" s="170">
        <f>IF(A78="","",ROUND(Q78+T78,2))</f>
        <v/>
      </c>
      <c r="V78" s="170">
        <f>IF(A78="","",IF(itens_Remanesc!K78="","",itens_Remanesc!K78))</f>
        <v/>
      </c>
      <c r="W78" s="170">
        <f>IF(A78="","",IF($Y78="","",IF($Y78&gt;4,"",IF(ISNUMBER(V78),ROUND(V78+T78,2),IF($Y78=4,ROUND(T78,2),"")))))</f>
        <v/>
      </c>
      <c r="X78" s="156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>
        <f>IF($A78="","",IF($E78&gt;0,0,IF($I78&gt;0,1,IF($M78&gt;0,2,IF($Q78&gt;0,3,IF($U78&gt;0,4,""))))))</f>
        <v/>
      </c>
      <c r="Z78">
        <f>IF($A78="",FALSE,AND(LEN(TRIM($A78))=4,LEFT(TRIM($A78),1)="N",ISNUMBER(--MID(TRIM($A78),2,3)),ISERROR(FIND(".",$A78)),ISERROR(FIND(",",$A78)),ISERROR(FIND("-",$A78)),ISERROR(FIND("+",$A78)),ISERROR(SEARCH("E",$A78,2)),ISERROR(FIND(" ",TRIM($A78)))))</f>
        <v/>
      </c>
    </row>
    <row r="79">
      <c r="A79" s="156">
        <f>IF(itens_Remanesc!A79="","",itens_Remanesc!A79)</f>
        <v/>
      </c>
      <c r="B79" s="218">
        <f>IF(A79="","",itens_Remanesc!C79)</f>
        <v/>
      </c>
      <c r="C79" s="172">
        <f>IF(A79="","",IF(itens_Remanesc!B79="",0,itens_Remanesc!B79))</f>
        <v/>
      </c>
      <c r="D79" s="174">
        <f>IF(A79="","",ROUND(SUMIFS(aditivos!$L$2:$L$200,aditivos!$A$2:$A$200,A79,aditivos!$C$2:$C$200,"C0"),2))</f>
        <v/>
      </c>
      <c r="E79" s="170">
        <f>IF(A79="","",ROUND(C79+D79,2))</f>
        <v/>
      </c>
      <c r="F79" s="170">
        <f>IF(A79="","",IF(itens_Remanesc!B79&lt;&gt;"",itens_Remanesc!B79,IF($Z79,0,"")))</f>
        <v/>
      </c>
      <c r="G79" s="178">
        <f>IF(A79="","",IF($Y79="","",IF($Y79&gt;0,"",ROUND(E79,2))))</f>
        <v/>
      </c>
      <c r="H79" s="180">
        <f>IF(A79="","",ROUND(SUMIFS(aditivos!$L$2:$L$200,aditivos!$A$2:$A$200,A79,aditivos!$C$2:$C$200,"C1"),2))</f>
        <v/>
      </c>
      <c r="I79" s="176">
        <f>IF(A79="","",ROUND(E79+H79,2))</f>
        <v/>
      </c>
      <c r="J79" s="176">
        <f>IF(A79="","",IF(itens_Remanesc!E79="","",itens_Remanesc!E79))</f>
        <v/>
      </c>
      <c r="K79" s="182">
        <f>IF(A79="","",IF($Y79="","",IF($Y79&gt;1,"",IF(ISNUMBER(J79),ROUND(J79+H79,2),IF($Y79=1,ROUND(H79,2),"")))))</f>
        <v/>
      </c>
      <c r="L79" s="174">
        <f>IF(A79="","",ROUND(SUMIFS(aditivos!$L$2:$L$200,aditivos!$A$2:$A$200,A79,aditivos!$C$2:$C$200,"C2"),2))</f>
        <v/>
      </c>
      <c r="M79" s="170">
        <f>IF(A79="","",ROUND(I79+L79,2))</f>
        <v/>
      </c>
      <c r="N79" s="170">
        <f>IF(A79="","",IF(itens_Remanesc!G79="","",itens_Remanesc!G79))</f>
        <v/>
      </c>
      <c r="O79" s="178">
        <f>IF(A79="","",IF($Y79="","",IF($Y79&gt;2,"",IF(ISNUMBER(N79),ROUND(N79+L79,2),IF($Y79=2,ROUND(L79,2),"")))))</f>
        <v/>
      </c>
      <c r="P79" s="180">
        <f>IF(A79="","",ROUND(SUMIFS(aditivos!$L$2:$L$200,aditivos!$A$2:$A$200,A79,aditivos!$C$2:$C$200,"C3"),2))</f>
        <v/>
      </c>
      <c r="Q79" s="176">
        <f>IF(A79="","",ROUND(M79+P79,2))</f>
        <v/>
      </c>
      <c r="R79" s="176">
        <f>IF(A79="","",IF(itens_Remanesc!I79="","",itens_Remanesc!I79))</f>
        <v/>
      </c>
      <c r="S79" s="182">
        <f>IF(A79="","",IF($Y79="","",IF($Y79&gt;3,"",IF(ISNUMBER(R79),ROUND(R79+P79,2),IF($Y79=3,ROUND(P79,2),"")))))</f>
        <v/>
      </c>
      <c r="T79" s="174">
        <f>IF(A79="","",ROUND(SUMIFS(aditivos!$L$2:$L$200,aditivos!$A$2:$A$200,A79,aditivos!$C$2:$C$200,"C4"),2))</f>
        <v/>
      </c>
      <c r="U79" s="170">
        <f>IF(A79="","",ROUND(Q79+T79,2))</f>
        <v/>
      </c>
      <c r="V79" s="170">
        <f>IF(A79="","",IF(itens_Remanesc!K79="","",itens_Remanesc!K79))</f>
        <v/>
      </c>
      <c r="W79" s="170">
        <f>IF(A79="","",IF($Y79="","",IF($Y79&gt;4,"",IF(ISNUMBER(V79),ROUND(V79+T79,2),IF($Y79=4,ROUND(T79,2),"")))))</f>
        <v/>
      </c>
      <c r="X79" s="156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>
        <f>IF($A79="","",IF($E79&gt;0,0,IF($I79&gt;0,1,IF($M79&gt;0,2,IF($Q79&gt;0,3,IF($U79&gt;0,4,""))))))</f>
        <v/>
      </c>
      <c r="Z79">
        <f>IF($A79="",FALSE,AND(LEN(TRIM($A79))=4,LEFT(TRIM($A79),1)="N",ISNUMBER(--MID(TRIM($A79),2,3)),ISERROR(FIND(".",$A79)),ISERROR(FIND(",",$A79)),ISERROR(FIND("-",$A79)),ISERROR(FIND("+",$A79)),ISERROR(SEARCH("E",$A79,2)),ISERROR(FIND(" ",TRIM($A79)))))</f>
        <v/>
      </c>
    </row>
    <row r="80">
      <c r="A80" s="156">
        <f>IF(itens_Remanesc!A80="","",itens_Remanesc!A80)</f>
        <v/>
      </c>
      <c r="B80" s="218">
        <f>IF(A80="","",itens_Remanesc!C80)</f>
        <v/>
      </c>
      <c r="C80" s="172">
        <f>IF(A80="","",IF(itens_Remanesc!B80="",0,itens_Remanesc!B80))</f>
        <v/>
      </c>
      <c r="D80" s="174">
        <f>IF(A80="","",ROUND(SUMIFS(aditivos!$L$2:$L$200,aditivos!$A$2:$A$200,A80,aditivos!$C$2:$C$200,"C0"),2))</f>
        <v/>
      </c>
      <c r="E80" s="170">
        <f>IF(A80="","",ROUND(C80+D80,2))</f>
        <v/>
      </c>
      <c r="F80" s="170">
        <f>IF(A80="","",IF(itens_Remanesc!B80&lt;&gt;"",itens_Remanesc!B80,IF($Z80,0,"")))</f>
        <v/>
      </c>
      <c r="G80" s="178">
        <f>IF(A80="","",IF($Y80="","",IF($Y80&gt;0,"",ROUND(E80,2))))</f>
        <v/>
      </c>
      <c r="H80" s="180">
        <f>IF(A80="","",ROUND(SUMIFS(aditivos!$L$2:$L$200,aditivos!$A$2:$A$200,A80,aditivos!$C$2:$C$200,"C1"),2))</f>
        <v/>
      </c>
      <c r="I80" s="176">
        <f>IF(A80="","",ROUND(E80+H80,2))</f>
        <v/>
      </c>
      <c r="J80" s="176">
        <f>IF(A80="","",IF(itens_Remanesc!E80="","",itens_Remanesc!E80))</f>
        <v/>
      </c>
      <c r="K80" s="182">
        <f>IF(A80="","",IF($Y80="","",IF($Y80&gt;1,"",IF(ISNUMBER(J80),ROUND(J80+H80,2),IF($Y80=1,ROUND(H80,2),"")))))</f>
        <v/>
      </c>
      <c r="L80" s="174">
        <f>IF(A80="","",ROUND(SUMIFS(aditivos!$L$2:$L$200,aditivos!$A$2:$A$200,A80,aditivos!$C$2:$C$200,"C2"),2))</f>
        <v/>
      </c>
      <c r="M80" s="170">
        <f>IF(A80="","",ROUND(I80+L80,2))</f>
        <v/>
      </c>
      <c r="N80" s="170">
        <f>IF(A80="","",IF(itens_Remanesc!G80="","",itens_Remanesc!G80))</f>
        <v/>
      </c>
      <c r="O80" s="178">
        <f>IF(A80="","",IF($Y80="","",IF($Y80&gt;2,"",IF(ISNUMBER(N80),ROUND(N80+L80,2),IF($Y80=2,ROUND(L80,2),"")))))</f>
        <v/>
      </c>
      <c r="P80" s="180">
        <f>IF(A80="","",ROUND(SUMIFS(aditivos!$L$2:$L$200,aditivos!$A$2:$A$200,A80,aditivos!$C$2:$C$200,"C3"),2))</f>
        <v/>
      </c>
      <c r="Q80" s="176">
        <f>IF(A80="","",ROUND(M80+P80,2))</f>
        <v/>
      </c>
      <c r="R80" s="176">
        <f>IF(A80="","",IF(itens_Remanesc!I80="","",itens_Remanesc!I80))</f>
        <v/>
      </c>
      <c r="S80" s="182">
        <f>IF(A80="","",IF($Y80="","",IF($Y80&gt;3,"",IF(ISNUMBER(R80),ROUND(R80+P80,2),IF($Y80=3,ROUND(P80,2),"")))))</f>
        <v/>
      </c>
      <c r="T80" s="174">
        <f>IF(A80="","",ROUND(SUMIFS(aditivos!$L$2:$L$200,aditivos!$A$2:$A$200,A80,aditivos!$C$2:$C$200,"C4"),2))</f>
        <v/>
      </c>
      <c r="U80" s="170">
        <f>IF(A80="","",ROUND(Q80+T80,2))</f>
        <v/>
      </c>
      <c r="V80" s="170">
        <f>IF(A80="","",IF(itens_Remanesc!K80="","",itens_Remanesc!K80))</f>
        <v/>
      </c>
      <c r="W80" s="170">
        <f>IF(A80="","",IF($Y80="","",IF($Y80&gt;4,"",IF(ISNUMBER(V80),ROUND(V80+T80,2),IF($Y80=4,ROUND(T80,2),"")))))</f>
        <v/>
      </c>
      <c r="X80" s="156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>
        <f>IF($A80="","",IF($E80&gt;0,0,IF($I80&gt;0,1,IF($M80&gt;0,2,IF($Q80&gt;0,3,IF($U80&gt;0,4,""))))))</f>
        <v/>
      </c>
      <c r="Z80">
        <f>IF($A80="",FALSE,AND(LEN(TRIM($A80))=4,LEFT(TRIM($A80),1)="N",ISNUMBER(--MID(TRIM($A80),2,3)),ISERROR(FIND(".",$A80)),ISERROR(FIND(",",$A80)),ISERROR(FIND("-",$A80)),ISERROR(FIND("+",$A80)),ISERROR(SEARCH("E",$A80,2)),ISERROR(FIND(" ",TRIM($A80)))))</f>
        <v/>
      </c>
    </row>
    <row r="81">
      <c r="A81" s="156">
        <f>IF(itens_Remanesc!A81="","",itens_Remanesc!A81)</f>
        <v/>
      </c>
      <c r="B81" s="218">
        <f>IF(A81="","",itens_Remanesc!C81)</f>
        <v/>
      </c>
      <c r="C81" s="172">
        <f>IF(A81="","",IF(itens_Remanesc!B81="",0,itens_Remanesc!B81))</f>
        <v/>
      </c>
      <c r="D81" s="174">
        <f>IF(A81="","",ROUND(SUMIFS(aditivos!$L$2:$L$200,aditivos!$A$2:$A$200,A81,aditivos!$C$2:$C$200,"C0"),2))</f>
        <v/>
      </c>
      <c r="E81" s="170">
        <f>IF(A81="","",ROUND(C81+D81,2))</f>
        <v/>
      </c>
      <c r="F81" s="170">
        <f>IF(A81="","",IF(itens_Remanesc!B81&lt;&gt;"",itens_Remanesc!B81,IF($Z81,0,"")))</f>
        <v/>
      </c>
      <c r="G81" s="178">
        <f>IF(A81="","",IF($Y81="","",IF($Y81&gt;0,"",ROUND(E81,2))))</f>
        <v/>
      </c>
      <c r="H81" s="180">
        <f>IF(A81="","",ROUND(SUMIFS(aditivos!$L$2:$L$200,aditivos!$A$2:$A$200,A81,aditivos!$C$2:$C$200,"C1"),2))</f>
        <v/>
      </c>
      <c r="I81" s="176">
        <f>IF(A81="","",ROUND(E81+H81,2))</f>
        <v/>
      </c>
      <c r="J81" s="176">
        <f>IF(A81="","",IF(itens_Remanesc!E81="","",itens_Remanesc!E81))</f>
        <v/>
      </c>
      <c r="K81" s="182">
        <f>IF(A81="","",IF($Y81="","",IF($Y81&gt;1,"",IF(ISNUMBER(J81),ROUND(J81+H81,2),IF($Y81=1,ROUND(H81,2),"")))))</f>
        <v/>
      </c>
      <c r="L81" s="174">
        <f>IF(A81="","",ROUND(SUMIFS(aditivos!$L$2:$L$200,aditivos!$A$2:$A$200,A81,aditivos!$C$2:$C$200,"C2"),2))</f>
        <v/>
      </c>
      <c r="M81" s="170">
        <f>IF(A81="","",ROUND(I81+L81,2))</f>
        <v/>
      </c>
      <c r="N81" s="170">
        <f>IF(A81="","",IF(itens_Remanesc!G81="","",itens_Remanesc!G81))</f>
        <v/>
      </c>
      <c r="O81" s="178">
        <f>IF(A81="","",IF($Y81="","",IF($Y81&gt;2,"",IF(ISNUMBER(N81),ROUND(N81+L81,2),IF($Y81=2,ROUND(L81,2),"")))))</f>
        <v/>
      </c>
      <c r="P81" s="180">
        <f>IF(A81="","",ROUND(SUMIFS(aditivos!$L$2:$L$200,aditivos!$A$2:$A$200,A81,aditivos!$C$2:$C$200,"C3"),2))</f>
        <v/>
      </c>
      <c r="Q81" s="176">
        <f>IF(A81="","",ROUND(M81+P81,2))</f>
        <v/>
      </c>
      <c r="R81" s="176">
        <f>IF(A81="","",IF(itens_Remanesc!I81="","",itens_Remanesc!I81))</f>
        <v/>
      </c>
      <c r="S81" s="182">
        <f>IF(A81="","",IF($Y81="","",IF($Y81&gt;3,"",IF(ISNUMBER(R81),ROUND(R81+P81,2),IF($Y81=3,ROUND(P81,2),"")))))</f>
        <v/>
      </c>
      <c r="T81" s="174">
        <f>IF(A81="","",ROUND(SUMIFS(aditivos!$L$2:$L$200,aditivos!$A$2:$A$200,A81,aditivos!$C$2:$C$200,"C4"),2))</f>
        <v/>
      </c>
      <c r="U81" s="170">
        <f>IF(A81="","",ROUND(Q81+T81,2))</f>
        <v/>
      </c>
      <c r="V81" s="170">
        <f>IF(A81="","",IF(itens_Remanesc!K81="","",itens_Remanesc!K81))</f>
        <v/>
      </c>
      <c r="W81" s="170">
        <f>IF(A81="","",IF($Y81="","",IF($Y81&gt;4,"",IF(ISNUMBER(V81),ROUND(V81+T81,2),IF($Y81=4,ROUND(T81,2),"")))))</f>
        <v/>
      </c>
      <c r="X81" s="156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>
        <f>IF($A81="","",IF($E81&gt;0,0,IF($I81&gt;0,1,IF($M81&gt;0,2,IF($Q81&gt;0,3,IF($U81&gt;0,4,""))))))</f>
        <v/>
      </c>
      <c r="Z81">
        <f>IF($A81="",FALSE,AND(LEN(TRIM($A81))=4,LEFT(TRIM($A81),1)="N",ISNUMBER(--MID(TRIM($A81),2,3)),ISERROR(FIND(".",$A81)),ISERROR(FIND(",",$A81)),ISERROR(FIND("-",$A81)),ISERROR(FIND("+",$A81)),ISERROR(SEARCH("E",$A81,2)),ISERROR(FIND(" ",TRIM($A81)))))</f>
        <v/>
      </c>
    </row>
    <row r="82">
      <c r="A82" s="156">
        <f>IF(itens_Remanesc!A82="","",itens_Remanesc!A82)</f>
        <v/>
      </c>
      <c r="B82" s="218">
        <f>IF(A82="","",itens_Remanesc!C82)</f>
        <v/>
      </c>
      <c r="C82" s="172">
        <f>IF(A82="","",IF(itens_Remanesc!B82="",0,itens_Remanesc!B82))</f>
        <v/>
      </c>
      <c r="D82" s="174">
        <f>IF(A82="","",ROUND(SUMIFS(aditivos!$L$2:$L$200,aditivos!$A$2:$A$200,A82,aditivos!$C$2:$C$200,"C0"),2))</f>
        <v/>
      </c>
      <c r="E82" s="170">
        <f>IF(A82="","",ROUND(C82+D82,2))</f>
        <v/>
      </c>
      <c r="F82" s="170">
        <f>IF(A82="","",IF(itens_Remanesc!B82&lt;&gt;"",itens_Remanesc!B82,IF($Z82,0,"")))</f>
        <v/>
      </c>
      <c r="G82" s="178">
        <f>IF(A82="","",IF($Y82="","",IF($Y82&gt;0,"",ROUND(E82,2))))</f>
        <v/>
      </c>
      <c r="H82" s="180">
        <f>IF(A82="","",ROUND(SUMIFS(aditivos!$L$2:$L$200,aditivos!$A$2:$A$200,A82,aditivos!$C$2:$C$200,"C1"),2))</f>
        <v/>
      </c>
      <c r="I82" s="176">
        <f>IF(A82="","",ROUND(E82+H82,2))</f>
        <v/>
      </c>
      <c r="J82" s="176">
        <f>IF(A82="","",IF(itens_Remanesc!E82="","",itens_Remanesc!E82))</f>
        <v/>
      </c>
      <c r="K82" s="182">
        <f>IF(A82="","",IF($Y82="","",IF($Y82&gt;1,"",IF(ISNUMBER(J82),ROUND(J82+H82,2),IF($Y82=1,ROUND(H82,2),"")))))</f>
        <v/>
      </c>
      <c r="L82" s="174">
        <f>IF(A82="","",ROUND(SUMIFS(aditivos!$L$2:$L$200,aditivos!$A$2:$A$200,A82,aditivos!$C$2:$C$200,"C2"),2))</f>
        <v/>
      </c>
      <c r="M82" s="170">
        <f>IF(A82="","",ROUND(I82+L82,2))</f>
        <v/>
      </c>
      <c r="N82" s="170">
        <f>IF(A82="","",IF(itens_Remanesc!G82="","",itens_Remanesc!G82))</f>
        <v/>
      </c>
      <c r="O82" s="178">
        <f>IF(A82="","",IF($Y82="","",IF($Y82&gt;2,"",IF(ISNUMBER(N82),ROUND(N82+L82,2),IF($Y82=2,ROUND(L82,2),"")))))</f>
        <v/>
      </c>
      <c r="P82" s="180">
        <f>IF(A82="","",ROUND(SUMIFS(aditivos!$L$2:$L$200,aditivos!$A$2:$A$200,A82,aditivos!$C$2:$C$200,"C3"),2))</f>
        <v/>
      </c>
      <c r="Q82" s="176">
        <f>IF(A82="","",ROUND(M82+P82,2))</f>
        <v/>
      </c>
      <c r="R82" s="176">
        <f>IF(A82="","",IF(itens_Remanesc!I82="","",itens_Remanesc!I82))</f>
        <v/>
      </c>
      <c r="S82" s="182">
        <f>IF(A82="","",IF($Y82="","",IF($Y82&gt;3,"",IF(ISNUMBER(R82),ROUND(R82+P82,2),IF($Y82=3,ROUND(P82,2),"")))))</f>
        <v/>
      </c>
      <c r="T82" s="174">
        <f>IF(A82="","",ROUND(SUMIFS(aditivos!$L$2:$L$200,aditivos!$A$2:$A$200,A82,aditivos!$C$2:$C$200,"C4"),2))</f>
        <v/>
      </c>
      <c r="U82" s="170">
        <f>IF(A82="","",ROUND(Q82+T82,2))</f>
        <v/>
      </c>
      <c r="V82" s="170">
        <f>IF(A82="","",IF(itens_Remanesc!K82="","",itens_Remanesc!K82))</f>
        <v/>
      </c>
      <c r="W82" s="170">
        <f>IF(A82="","",IF($Y82="","",IF($Y82&gt;4,"",IF(ISNUMBER(V82),ROUND(V82+T82,2),IF($Y82=4,ROUND(T82,2),"")))))</f>
        <v/>
      </c>
      <c r="X82" s="156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>
        <f>IF($A82="","",IF($E82&gt;0,0,IF($I82&gt;0,1,IF($M82&gt;0,2,IF($Q82&gt;0,3,IF($U82&gt;0,4,""))))))</f>
        <v/>
      </c>
      <c r="Z82">
        <f>IF($A82="",FALSE,AND(LEN(TRIM($A82))=4,LEFT(TRIM($A82),1)="N",ISNUMBER(--MID(TRIM($A82),2,3)),ISERROR(FIND(".",$A82)),ISERROR(FIND(",",$A82)),ISERROR(FIND("-",$A82)),ISERROR(FIND("+",$A82)),ISERROR(SEARCH("E",$A82,2)),ISERROR(FIND(" ",TRIM($A82)))))</f>
        <v/>
      </c>
    </row>
    <row r="83">
      <c r="A83" s="156">
        <f>IF(itens_Remanesc!A83="","",itens_Remanesc!A83)</f>
        <v/>
      </c>
      <c r="B83" s="218">
        <f>IF(A83="","",itens_Remanesc!C83)</f>
        <v/>
      </c>
      <c r="C83" s="172">
        <f>IF(A83="","",IF(itens_Remanesc!B83="",0,itens_Remanesc!B83))</f>
        <v/>
      </c>
      <c r="D83" s="174">
        <f>IF(A83="","",ROUND(SUMIFS(aditivos!$L$2:$L$200,aditivos!$A$2:$A$200,A83,aditivos!$C$2:$C$200,"C0"),2))</f>
        <v/>
      </c>
      <c r="E83" s="170">
        <f>IF(A83="","",ROUND(C83+D83,2))</f>
        <v/>
      </c>
      <c r="F83" s="170">
        <f>IF(A83="","",IF(itens_Remanesc!B83&lt;&gt;"",itens_Remanesc!B83,IF($Z83,0,"")))</f>
        <v/>
      </c>
      <c r="G83" s="178">
        <f>IF(A83="","",IF($Y83="","",IF($Y83&gt;0,"",ROUND(E83,2))))</f>
        <v/>
      </c>
      <c r="H83" s="180">
        <f>IF(A83="","",ROUND(SUMIFS(aditivos!$L$2:$L$200,aditivos!$A$2:$A$200,A83,aditivos!$C$2:$C$200,"C1"),2))</f>
        <v/>
      </c>
      <c r="I83" s="176">
        <f>IF(A83="","",ROUND(E83+H83,2))</f>
        <v/>
      </c>
      <c r="J83" s="176">
        <f>IF(A83="","",IF(itens_Remanesc!E83="","",itens_Remanesc!E83))</f>
        <v/>
      </c>
      <c r="K83" s="182">
        <f>IF(A83="","",IF($Y83="","",IF($Y83&gt;1,"",IF(ISNUMBER(J83),ROUND(J83+H83,2),IF($Y83=1,ROUND(H83,2),"")))))</f>
        <v/>
      </c>
      <c r="L83" s="174">
        <f>IF(A83="","",ROUND(SUMIFS(aditivos!$L$2:$L$200,aditivos!$A$2:$A$200,A83,aditivos!$C$2:$C$200,"C2"),2))</f>
        <v/>
      </c>
      <c r="M83" s="170">
        <f>IF(A83="","",ROUND(I83+L83,2))</f>
        <v/>
      </c>
      <c r="N83" s="170">
        <f>IF(A83="","",IF(itens_Remanesc!G83="","",itens_Remanesc!G83))</f>
        <v/>
      </c>
      <c r="O83" s="178">
        <f>IF(A83="","",IF($Y83="","",IF($Y83&gt;2,"",IF(ISNUMBER(N83),ROUND(N83+L83,2),IF($Y83=2,ROUND(L83,2),"")))))</f>
        <v/>
      </c>
      <c r="P83" s="180">
        <f>IF(A83="","",ROUND(SUMIFS(aditivos!$L$2:$L$200,aditivos!$A$2:$A$200,A83,aditivos!$C$2:$C$200,"C3"),2))</f>
        <v/>
      </c>
      <c r="Q83" s="176">
        <f>IF(A83="","",ROUND(M83+P83,2))</f>
        <v/>
      </c>
      <c r="R83" s="176">
        <f>IF(A83="","",IF(itens_Remanesc!I83="","",itens_Remanesc!I83))</f>
        <v/>
      </c>
      <c r="S83" s="182">
        <f>IF(A83="","",IF($Y83="","",IF($Y83&gt;3,"",IF(ISNUMBER(R83),ROUND(R83+P83,2),IF($Y83=3,ROUND(P83,2),"")))))</f>
        <v/>
      </c>
      <c r="T83" s="174">
        <f>IF(A83="","",ROUND(SUMIFS(aditivos!$L$2:$L$200,aditivos!$A$2:$A$200,A83,aditivos!$C$2:$C$200,"C4"),2))</f>
        <v/>
      </c>
      <c r="U83" s="170">
        <f>IF(A83="","",ROUND(Q83+T83,2))</f>
        <v/>
      </c>
      <c r="V83" s="170">
        <f>IF(A83="","",IF(itens_Remanesc!K83="","",itens_Remanesc!K83))</f>
        <v/>
      </c>
      <c r="W83" s="170">
        <f>IF(A83="","",IF($Y83="","",IF($Y83&gt;4,"",IF(ISNUMBER(V83),ROUND(V83+T83,2),IF($Y83=4,ROUND(T83,2),"")))))</f>
        <v/>
      </c>
      <c r="X83" s="156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>
        <f>IF($A83="","",IF($E83&gt;0,0,IF($I83&gt;0,1,IF($M83&gt;0,2,IF($Q83&gt;0,3,IF($U83&gt;0,4,""))))))</f>
        <v/>
      </c>
      <c r="Z83">
        <f>IF($A83="",FALSE,AND(LEN(TRIM($A83))=4,LEFT(TRIM($A83),1)="N",ISNUMBER(--MID(TRIM($A83),2,3)),ISERROR(FIND(".",$A83)),ISERROR(FIND(",",$A83)),ISERROR(FIND("-",$A83)),ISERROR(FIND("+",$A83)),ISERROR(SEARCH("E",$A83,2)),ISERROR(FIND(" ",TRIM($A83)))))</f>
        <v/>
      </c>
    </row>
    <row r="84">
      <c r="A84" s="156">
        <f>IF(itens_Remanesc!A84="","",itens_Remanesc!A84)</f>
        <v/>
      </c>
      <c r="B84" s="218">
        <f>IF(A84="","",itens_Remanesc!C84)</f>
        <v/>
      </c>
      <c r="C84" s="172">
        <f>IF(A84="","",IF(itens_Remanesc!B84="",0,itens_Remanesc!B84))</f>
        <v/>
      </c>
      <c r="D84" s="174">
        <f>IF(A84="","",ROUND(SUMIFS(aditivos!$L$2:$L$200,aditivos!$A$2:$A$200,A84,aditivos!$C$2:$C$200,"C0"),2))</f>
        <v/>
      </c>
      <c r="E84" s="170">
        <f>IF(A84="","",ROUND(C84+D84,2))</f>
        <v/>
      </c>
      <c r="F84" s="170">
        <f>IF(A84="","",IF(itens_Remanesc!B84&lt;&gt;"",itens_Remanesc!B84,IF($Z84,0,"")))</f>
        <v/>
      </c>
      <c r="G84" s="178">
        <f>IF(A84="","",IF($Y84="","",IF($Y84&gt;0,"",ROUND(E84,2))))</f>
        <v/>
      </c>
      <c r="H84" s="180">
        <f>IF(A84="","",ROUND(SUMIFS(aditivos!$L$2:$L$200,aditivos!$A$2:$A$200,A84,aditivos!$C$2:$C$200,"C1"),2))</f>
        <v/>
      </c>
      <c r="I84" s="176">
        <f>IF(A84="","",ROUND(E84+H84,2))</f>
        <v/>
      </c>
      <c r="J84" s="176">
        <f>IF(A84="","",IF(itens_Remanesc!E84="","",itens_Remanesc!E84))</f>
        <v/>
      </c>
      <c r="K84" s="182">
        <f>IF(A84="","",IF($Y84="","",IF($Y84&gt;1,"",IF(ISNUMBER(J84),ROUND(J84+H84,2),IF($Y84=1,ROUND(H84,2),"")))))</f>
        <v/>
      </c>
      <c r="L84" s="174">
        <f>IF(A84="","",ROUND(SUMIFS(aditivos!$L$2:$L$200,aditivos!$A$2:$A$200,A84,aditivos!$C$2:$C$200,"C2"),2))</f>
        <v/>
      </c>
      <c r="M84" s="170">
        <f>IF(A84="","",ROUND(I84+L84,2))</f>
        <v/>
      </c>
      <c r="N84" s="170">
        <f>IF(A84="","",IF(itens_Remanesc!G84="","",itens_Remanesc!G84))</f>
        <v/>
      </c>
      <c r="O84" s="178">
        <f>IF(A84="","",IF($Y84="","",IF($Y84&gt;2,"",IF(ISNUMBER(N84),ROUND(N84+L84,2),IF($Y84=2,ROUND(L84,2),"")))))</f>
        <v/>
      </c>
      <c r="P84" s="180">
        <f>IF(A84="","",ROUND(SUMIFS(aditivos!$L$2:$L$200,aditivos!$A$2:$A$200,A84,aditivos!$C$2:$C$200,"C3"),2))</f>
        <v/>
      </c>
      <c r="Q84" s="176">
        <f>IF(A84="","",ROUND(M84+P84,2))</f>
        <v/>
      </c>
      <c r="R84" s="176">
        <f>IF(A84="","",IF(itens_Remanesc!I84="","",itens_Remanesc!I84))</f>
        <v/>
      </c>
      <c r="S84" s="182">
        <f>IF(A84="","",IF($Y84="","",IF($Y84&gt;3,"",IF(ISNUMBER(R84),ROUND(R84+P84,2),IF($Y84=3,ROUND(P84,2),"")))))</f>
        <v/>
      </c>
      <c r="T84" s="174">
        <f>IF(A84="","",ROUND(SUMIFS(aditivos!$L$2:$L$200,aditivos!$A$2:$A$200,A84,aditivos!$C$2:$C$200,"C4"),2))</f>
        <v/>
      </c>
      <c r="U84" s="170">
        <f>IF(A84="","",ROUND(Q84+T84,2))</f>
        <v/>
      </c>
      <c r="V84" s="170">
        <f>IF(A84="","",IF(itens_Remanesc!K84="","",itens_Remanesc!K84))</f>
        <v/>
      </c>
      <c r="W84" s="170">
        <f>IF(A84="","",IF($Y84="","",IF($Y84&gt;4,"",IF(ISNUMBER(V84),ROUND(V84+T84,2),IF($Y84=4,ROUND(T84,2),"")))))</f>
        <v/>
      </c>
      <c r="X84" s="156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>
        <f>IF($A84="","",IF($E84&gt;0,0,IF($I84&gt;0,1,IF($M84&gt;0,2,IF($Q84&gt;0,3,IF($U84&gt;0,4,""))))))</f>
        <v/>
      </c>
      <c r="Z84">
        <f>IF($A84="",FALSE,AND(LEN(TRIM($A84))=4,LEFT(TRIM($A84),1)="N",ISNUMBER(--MID(TRIM($A84),2,3)),ISERROR(FIND(".",$A84)),ISERROR(FIND(",",$A84)),ISERROR(FIND("-",$A84)),ISERROR(FIND("+",$A84)),ISERROR(SEARCH("E",$A84,2)),ISERROR(FIND(" ",TRIM($A84)))))</f>
        <v/>
      </c>
    </row>
    <row r="85">
      <c r="A85" s="156">
        <f>IF(itens_Remanesc!A85="","",itens_Remanesc!A85)</f>
        <v/>
      </c>
      <c r="B85" s="218">
        <f>IF(A85="","",itens_Remanesc!C85)</f>
        <v/>
      </c>
      <c r="C85" s="172">
        <f>IF(A85="","",IF(itens_Remanesc!B85="",0,itens_Remanesc!B85))</f>
        <v/>
      </c>
      <c r="D85" s="174">
        <f>IF(A85="","",ROUND(SUMIFS(aditivos!$L$2:$L$200,aditivos!$A$2:$A$200,A85,aditivos!$C$2:$C$200,"C0"),2))</f>
        <v/>
      </c>
      <c r="E85" s="170">
        <f>IF(A85="","",ROUND(C85+D85,2))</f>
        <v/>
      </c>
      <c r="F85" s="170">
        <f>IF(A85="","",IF(itens_Remanesc!B85&lt;&gt;"",itens_Remanesc!B85,IF($Z85,0,"")))</f>
        <v/>
      </c>
      <c r="G85" s="178">
        <f>IF(A85="","",IF($Y85="","",IF($Y85&gt;0,"",ROUND(E85,2))))</f>
        <v/>
      </c>
      <c r="H85" s="180">
        <f>IF(A85="","",ROUND(SUMIFS(aditivos!$L$2:$L$200,aditivos!$A$2:$A$200,A85,aditivos!$C$2:$C$200,"C1"),2))</f>
        <v/>
      </c>
      <c r="I85" s="176">
        <f>IF(A85="","",ROUND(E85+H85,2))</f>
        <v/>
      </c>
      <c r="J85" s="176">
        <f>IF(A85="","",IF(itens_Remanesc!E85="","",itens_Remanesc!E85))</f>
        <v/>
      </c>
      <c r="K85" s="182">
        <f>IF(A85="","",IF($Y85="","",IF($Y85&gt;1,"",IF(ISNUMBER(J85),ROUND(J85+H85,2),IF($Y85=1,ROUND(H85,2),"")))))</f>
        <v/>
      </c>
      <c r="L85" s="174">
        <f>IF(A85="","",ROUND(SUMIFS(aditivos!$L$2:$L$200,aditivos!$A$2:$A$200,A85,aditivos!$C$2:$C$200,"C2"),2))</f>
        <v/>
      </c>
      <c r="M85" s="170">
        <f>IF(A85="","",ROUND(I85+L85,2))</f>
        <v/>
      </c>
      <c r="N85" s="170">
        <f>IF(A85="","",IF(itens_Remanesc!G85="","",itens_Remanesc!G85))</f>
        <v/>
      </c>
      <c r="O85" s="178">
        <f>IF(A85="","",IF($Y85="","",IF($Y85&gt;2,"",IF(ISNUMBER(N85),ROUND(N85+L85,2),IF($Y85=2,ROUND(L85,2),"")))))</f>
        <v/>
      </c>
      <c r="P85" s="180">
        <f>IF(A85="","",ROUND(SUMIFS(aditivos!$L$2:$L$200,aditivos!$A$2:$A$200,A85,aditivos!$C$2:$C$200,"C3"),2))</f>
        <v/>
      </c>
      <c r="Q85" s="176">
        <f>IF(A85="","",ROUND(M85+P85,2))</f>
        <v/>
      </c>
      <c r="R85" s="176">
        <f>IF(A85="","",IF(itens_Remanesc!I85="","",itens_Remanesc!I85))</f>
        <v/>
      </c>
      <c r="S85" s="182">
        <f>IF(A85="","",IF($Y85="","",IF($Y85&gt;3,"",IF(ISNUMBER(R85),ROUND(R85+P85,2),IF($Y85=3,ROUND(P85,2),"")))))</f>
        <v/>
      </c>
      <c r="T85" s="174">
        <f>IF(A85="","",ROUND(SUMIFS(aditivos!$L$2:$L$200,aditivos!$A$2:$A$200,A85,aditivos!$C$2:$C$200,"C4"),2))</f>
        <v/>
      </c>
      <c r="U85" s="170">
        <f>IF(A85="","",ROUND(Q85+T85,2))</f>
        <v/>
      </c>
      <c r="V85" s="170">
        <f>IF(A85="","",IF(itens_Remanesc!K85="","",itens_Remanesc!K85))</f>
        <v/>
      </c>
      <c r="W85" s="170">
        <f>IF(A85="","",IF($Y85="","",IF($Y85&gt;4,"",IF(ISNUMBER(V85),ROUND(V85+T85,2),IF($Y85=4,ROUND(T85,2),"")))))</f>
        <v/>
      </c>
      <c r="X85" s="156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>
        <f>IF($A85="","",IF($E85&gt;0,0,IF($I85&gt;0,1,IF($M85&gt;0,2,IF($Q85&gt;0,3,IF($U85&gt;0,4,""))))))</f>
        <v/>
      </c>
      <c r="Z85">
        <f>IF($A85="",FALSE,AND(LEN(TRIM($A85))=4,LEFT(TRIM($A85),1)="N",ISNUMBER(--MID(TRIM($A85),2,3)),ISERROR(FIND(".",$A85)),ISERROR(FIND(",",$A85)),ISERROR(FIND("-",$A85)),ISERROR(FIND("+",$A85)),ISERROR(SEARCH("E",$A85,2)),ISERROR(FIND(" ",TRIM($A85)))))</f>
        <v/>
      </c>
    </row>
    <row r="86">
      <c r="A86" s="156">
        <f>IF(itens_Remanesc!A86="","",itens_Remanesc!A86)</f>
        <v/>
      </c>
      <c r="B86" s="218">
        <f>IF(A86="","",itens_Remanesc!C86)</f>
        <v/>
      </c>
      <c r="C86" s="172">
        <f>IF(A86="","",IF(itens_Remanesc!B86="",0,itens_Remanesc!B86))</f>
        <v/>
      </c>
      <c r="D86" s="174">
        <f>IF(A86="","",ROUND(SUMIFS(aditivos!$L$2:$L$200,aditivos!$A$2:$A$200,A86,aditivos!$C$2:$C$200,"C0"),2))</f>
        <v/>
      </c>
      <c r="E86" s="170">
        <f>IF(A86="","",ROUND(C86+D86,2))</f>
        <v/>
      </c>
      <c r="F86" s="170">
        <f>IF(A86="","",IF(itens_Remanesc!B86&lt;&gt;"",itens_Remanesc!B86,IF($Z86,0,"")))</f>
        <v/>
      </c>
      <c r="G86" s="178">
        <f>IF(A86="","",IF($Y86="","",IF($Y86&gt;0,"",ROUND(E86,2))))</f>
        <v/>
      </c>
      <c r="H86" s="180">
        <f>IF(A86="","",ROUND(SUMIFS(aditivos!$L$2:$L$200,aditivos!$A$2:$A$200,A86,aditivos!$C$2:$C$200,"C1"),2))</f>
        <v/>
      </c>
      <c r="I86" s="176">
        <f>IF(A86="","",ROUND(E86+H86,2))</f>
        <v/>
      </c>
      <c r="J86" s="176">
        <f>IF(A86="","",IF(itens_Remanesc!E86="","",itens_Remanesc!E86))</f>
        <v/>
      </c>
      <c r="K86" s="182">
        <f>IF(A86="","",IF($Y86="","",IF($Y86&gt;1,"",IF(ISNUMBER(J86),ROUND(J86+H86,2),IF($Y86=1,ROUND(H86,2),"")))))</f>
        <v/>
      </c>
      <c r="L86" s="174">
        <f>IF(A86="","",ROUND(SUMIFS(aditivos!$L$2:$L$200,aditivos!$A$2:$A$200,A86,aditivos!$C$2:$C$200,"C2"),2))</f>
        <v/>
      </c>
      <c r="M86" s="170">
        <f>IF(A86="","",ROUND(I86+L86,2))</f>
        <v/>
      </c>
      <c r="N86" s="170">
        <f>IF(A86="","",IF(itens_Remanesc!G86="","",itens_Remanesc!G86))</f>
        <v/>
      </c>
      <c r="O86" s="178">
        <f>IF(A86="","",IF($Y86="","",IF($Y86&gt;2,"",IF(ISNUMBER(N86),ROUND(N86+L86,2),IF($Y86=2,ROUND(L86,2),"")))))</f>
        <v/>
      </c>
      <c r="P86" s="180">
        <f>IF(A86="","",ROUND(SUMIFS(aditivos!$L$2:$L$200,aditivos!$A$2:$A$200,A86,aditivos!$C$2:$C$200,"C3"),2))</f>
        <v/>
      </c>
      <c r="Q86" s="176">
        <f>IF(A86="","",ROUND(M86+P86,2))</f>
        <v/>
      </c>
      <c r="R86" s="176">
        <f>IF(A86="","",IF(itens_Remanesc!I86="","",itens_Remanesc!I86))</f>
        <v/>
      </c>
      <c r="S86" s="182">
        <f>IF(A86="","",IF($Y86="","",IF($Y86&gt;3,"",IF(ISNUMBER(R86),ROUND(R86+P86,2),IF($Y86=3,ROUND(P86,2),"")))))</f>
        <v/>
      </c>
      <c r="T86" s="174">
        <f>IF(A86="","",ROUND(SUMIFS(aditivos!$L$2:$L$200,aditivos!$A$2:$A$200,A86,aditivos!$C$2:$C$200,"C4"),2))</f>
        <v/>
      </c>
      <c r="U86" s="170">
        <f>IF(A86="","",ROUND(Q86+T86,2))</f>
        <v/>
      </c>
      <c r="V86" s="170">
        <f>IF(A86="","",IF(itens_Remanesc!K86="","",itens_Remanesc!K86))</f>
        <v/>
      </c>
      <c r="W86" s="170">
        <f>IF(A86="","",IF($Y86="","",IF($Y86&gt;4,"",IF(ISNUMBER(V86),ROUND(V86+T86,2),IF($Y86=4,ROUND(T86,2),"")))))</f>
        <v/>
      </c>
      <c r="X86" s="156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>
        <f>IF($A86="","",IF($E86&gt;0,0,IF($I86&gt;0,1,IF($M86&gt;0,2,IF($Q86&gt;0,3,IF($U86&gt;0,4,""))))))</f>
        <v/>
      </c>
      <c r="Z86">
        <f>IF($A86="",FALSE,AND(LEN(TRIM($A86))=4,LEFT(TRIM($A86),1)="N",ISNUMBER(--MID(TRIM($A86),2,3)),ISERROR(FIND(".",$A86)),ISERROR(FIND(",",$A86)),ISERROR(FIND("-",$A86)),ISERROR(FIND("+",$A86)),ISERROR(SEARCH("E",$A86,2)),ISERROR(FIND(" ",TRIM($A86)))))</f>
        <v/>
      </c>
    </row>
    <row r="87">
      <c r="A87" s="156">
        <f>IF(itens_Remanesc!A87="","",itens_Remanesc!A87)</f>
        <v/>
      </c>
      <c r="B87" s="218">
        <f>IF(A87="","",itens_Remanesc!C87)</f>
        <v/>
      </c>
      <c r="C87" s="172">
        <f>IF(A87="","",IF(itens_Remanesc!B87="",0,itens_Remanesc!B87))</f>
        <v/>
      </c>
      <c r="D87" s="174">
        <f>IF(A87="","",ROUND(SUMIFS(aditivos!$L$2:$L$200,aditivos!$A$2:$A$200,A87,aditivos!$C$2:$C$200,"C0"),2))</f>
        <v/>
      </c>
      <c r="E87" s="170">
        <f>IF(A87="","",ROUND(C87+D87,2))</f>
        <v/>
      </c>
      <c r="F87" s="170">
        <f>IF(A87="","",IF(itens_Remanesc!B87&lt;&gt;"",itens_Remanesc!B87,IF($Z87,0,"")))</f>
        <v/>
      </c>
      <c r="G87" s="178">
        <f>IF(A87="","",IF($Y87="","",IF($Y87&gt;0,"",ROUND(E87,2))))</f>
        <v/>
      </c>
      <c r="H87" s="180">
        <f>IF(A87="","",ROUND(SUMIFS(aditivos!$L$2:$L$200,aditivos!$A$2:$A$200,A87,aditivos!$C$2:$C$200,"C1"),2))</f>
        <v/>
      </c>
      <c r="I87" s="176">
        <f>IF(A87="","",ROUND(E87+H87,2))</f>
        <v/>
      </c>
      <c r="J87" s="176">
        <f>IF(A87="","",IF(itens_Remanesc!E87="","",itens_Remanesc!E87))</f>
        <v/>
      </c>
      <c r="K87" s="182">
        <f>IF(A87="","",IF($Y87="","",IF($Y87&gt;1,"",IF(ISNUMBER(J87),ROUND(J87+H87,2),IF($Y87=1,ROUND(H87,2),"")))))</f>
        <v/>
      </c>
      <c r="L87" s="174">
        <f>IF(A87="","",ROUND(SUMIFS(aditivos!$L$2:$L$200,aditivos!$A$2:$A$200,A87,aditivos!$C$2:$C$200,"C2"),2))</f>
        <v/>
      </c>
      <c r="M87" s="170">
        <f>IF(A87="","",ROUND(I87+L87,2))</f>
        <v/>
      </c>
      <c r="N87" s="170">
        <f>IF(A87="","",IF(itens_Remanesc!G87="","",itens_Remanesc!G87))</f>
        <v/>
      </c>
      <c r="O87" s="178">
        <f>IF(A87="","",IF($Y87="","",IF($Y87&gt;2,"",IF(ISNUMBER(N87),ROUND(N87+L87,2),IF($Y87=2,ROUND(L87,2),"")))))</f>
        <v/>
      </c>
      <c r="P87" s="180">
        <f>IF(A87="","",ROUND(SUMIFS(aditivos!$L$2:$L$200,aditivos!$A$2:$A$200,A87,aditivos!$C$2:$C$200,"C3"),2))</f>
        <v/>
      </c>
      <c r="Q87" s="176">
        <f>IF(A87="","",ROUND(M87+P87,2))</f>
        <v/>
      </c>
      <c r="R87" s="176">
        <f>IF(A87="","",IF(itens_Remanesc!I87="","",itens_Remanesc!I87))</f>
        <v/>
      </c>
      <c r="S87" s="182">
        <f>IF(A87="","",IF($Y87="","",IF($Y87&gt;3,"",IF(ISNUMBER(R87),ROUND(R87+P87,2),IF($Y87=3,ROUND(P87,2),"")))))</f>
        <v/>
      </c>
      <c r="T87" s="174">
        <f>IF(A87="","",ROUND(SUMIFS(aditivos!$L$2:$L$200,aditivos!$A$2:$A$200,A87,aditivos!$C$2:$C$200,"C4"),2))</f>
        <v/>
      </c>
      <c r="U87" s="170">
        <f>IF(A87="","",ROUND(Q87+T87,2))</f>
        <v/>
      </c>
      <c r="V87" s="170">
        <f>IF(A87="","",IF(itens_Remanesc!K87="","",itens_Remanesc!K87))</f>
        <v/>
      </c>
      <c r="W87" s="170">
        <f>IF(A87="","",IF($Y87="","",IF($Y87&gt;4,"",IF(ISNUMBER(V87),ROUND(V87+T87,2),IF($Y87=4,ROUND(T87,2),"")))))</f>
        <v/>
      </c>
      <c r="X87" s="156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>
        <f>IF($A87="","",IF($E87&gt;0,0,IF($I87&gt;0,1,IF($M87&gt;0,2,IF($Q87&gt;0,3,IF($U87&gt;0,4,""))))))</f>
        <v/>
      </c>
      <c r="Z87">
        <f>IF($A87="",FALSE,AND(LEN(TRIM($A87))=4,LEFT(TRIM($A87),1)="N",ISNUMBER(--MID(TRIM($A87),2,3)),ISERROR(FIND(".",$A87)),ISERROR(FIND(",",$A87)),ISERROR(FIND("-",$A87)),ISERROR(FIND("+",$A87)),ISERROR(SEARCH("E",$A87,2)),ISERROR(FIND(" ",TRIM($A87)))))</f>
        <v/>
      </c>
    </row>
    <row r="88">
      <c r="A88" s="156">
        <f>IF(itens_Remanesc!A88="","",itens_Remanesc!A88)</f>
        <v/>
      </c>
      <c r="B88" s="218">
        <f>IF(A88="","",itens_Remanesc!C88)</f>
        <v/>
      </c>
      <c r="C88" s="172">
        <f>IF(A88="","",IF(itens_Remanesc!B88="",0,itens_Remanesc!B88))</f>
        <v/>
      </c>
      <c r="D88" s="174">
        <f>IF(A88="","",ROUND(SUMIFS(aditivos!$L$2:$L$200,aditivos!$A$2:$A$200,A88,aditivos!$C$2:$C$200,"C0"),2))</f>
        <v/>
      </c>
      <c r="E88" s="170">
        <f>IF(A88="","",ROUND(C88+D88,2))</f>
        <v/>
      </c>
      <c r="F88" s="170">
        <f>IF(A88="","",IF(itens_Remanesc!B88&lt;&gt;"",itens_Remanesc!B88,IF($Z88,0,"")))</f>
        <v/>
      </c>
      <c r="G88" s="178">
        <f>IF(A88="","",IF($Y88="","",IF($Y88&gt;0,"",ROUND(E88,2))))</f>
        <v/>
      </c>
      <c r="H88" s="180">
        <f>IF(A88="","",ROUND(SUMIFS(aditivos!$L$2:$L$200,aditivos!$A$2:$A$200,A88,aditivos!$C$2:$C$200,"C1"),2))</f>
        <v/>
      </c>
      <c r="I88" s="176">
        <f>IF(A88="","",ROUND(E88+H88,2))</f>
        <v/>
      </c>
      <c r="J88" s="176">
        <f>IF(A88="","",IF(itens_Remanesc!E88="","",itens_Remanesc!E88))</f>
        <v/>
      </c>
      <c r="K88" s="182">
        <f>IF(A88="","",IF($Y88="","",IF($Y88&gt;1,"",IF(ISNUMBER(J88),ROUND(J88+H88,2),IF($Y88=1,ROUND(H88,2),"")))))</f>
        <v/>
      </c>
      <c r="L88" s="174">
        <f>IF(A88="","",ROUND(SUMIFS(aditivos!$L$2:$L$200,aditivos!$A$2:$A$200,A88,aditivos!$C$2:$C$200,"C2"),2))</f>
        <v/>
      </c>
      <c r="M88" s="170">
        <f>IF(A88="","",ROUND(I88+L88,2))</f>
        <v/>
      </c>
      <c r="N88" s="170">
        <f>IF(A88="","",IF(itens_Remanesc!G88="","",itens_Remanesc!G88))</f>
        <v/>
      </c>
      <c r="O88" s="178">
        <f>IF(A88="","",IF($Y88="","",IF($Y88&gt;2,"",IF(ISNUMBER(N88),ROUND(N88+L88,2),IF($Y88=2,ROUND(L88,2),"")))))</f>
        <v/>
      </c>
      <c r="P88" s="180">
        <f>IF(A88="","",ROUND(SUMIFS(aditivos!$L$2:$L$200,aditivos!$A$2:$A$200,A88,aditivos!$C$2:$C$200,"C3"),2))</f>
        <v/>
      </c>
      <c r="Q88" s="176">
        <f>IF(A88="","",ROUND(M88+P88,2))</f>
        <v/>
      </c>
      <c r="R88" s="176">
        <f>IF(A88="","",IF(itens_Remanesc!I88="","",itens_Remanesc!I88))</f>
        <v/>
      </c>
      <c r="S88" s="182">
        <f>IF(A88="","",IF($Y88="","",IF($Y88&gt;3,"",IF(ISNUMBER(R88),ROUND(R88+P88,2),IF($Y88=3,ROUND(P88,2),"")))))</f>
        <v/>
      </c>
      <c r="T88" s="174">
        <f>IF(A88="","",ROUND(SUMIFS(aditivos!$L$2:$L$200,aditivos!$A$2:$A$200,A88,aditivos!$C$2:$C$200,"C4"),2))</f>
        <v/>
      </c>
      <c r="U88" s="170">
        <f>IF(A88="","",ROUND(Q88+T88,2))</f>
        <v/>
      </c>
      <c r="V88" s="170">
        <f>IF(A88="","",IF(itens_Remanesc!K88="","",itens_Remanesc!K88))</f>
        <v/>
      </c>
      <c r="W88" s="170">
        <f>IF(A88="","",IF($Y88="","",IF($Y88&gt;4,"",IF(ISNUMBER(V88),ROUND(V88+T88,2),IF($Y88=4,ROUND(T88,2),"")))))</f>
        <v/>
      </c>
      <c r="X88" s="156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>
        <f>IF($A88="","",IF($E88&gt;0,0,IF($I88&gt;0,1,IF($M88&gt;0,2,IF($Q88&gt;0,3,IF($U88&gt;0,4,""))))))</f>
        <v/>
      </c>
      <c r="Z88">
        <f>IF($A88="",FALSE,AND(LEN(TRIM($A88))=4,LEFT(TRIM($A88),1)="N",ISNUMBER(--MID(TRIM($A88),2,3)),ISERROR(FIND(".",$A88)),ISERROR(FIND(",",$A88)),ISERROR(FIND("-",$A88)),ISERROR(FIND("+",$A88)),ISERROR(SEARCH("E",$A88,2)),ISERROR(FIND(" ",TRIM($A88)))))</f>
        <v/>
      </c>
    </row>
    <row r="89">
      <c r="A89" s="156">
        <f>IF(itens_Remanesc!A89="","",itens_Remanesc!A89)</f>
        <v/>
      </c>
      <c r="B89" s="218">
        <f>IF(A89="","",itens_Remanesc!C89)</f>
        <v/>
      </c>
      <c r="C89" s="172">
        <f>IF(A89="","",IF(itens_Remanesc!B89="",0,itens_Remanesc!B89))</f>
        <v/>
      </c>
      <c r="D89" s="174">
        <f>IF(A89="","",ROUND(SUMIFS(aditivos!$L$2:$L$200,aditivos!$A$2:$A$200,A89,aditivos!$C$2:$C$200,"C0"),2))</f>
        <v/>
      </c>
      <c r="E89" s="170">
        <f>IF(A89="","",ROUND(C89+D89,2))</f>
        <v/>
      </c>
      <c r="F89" s="170">
        <f>IF(A89="","",IF(itens_Remanesc!B89&lt;&gt;"",itens_Remanesc!B89,IF($Z89,0,"")))</f>
        <v/>
      </c>
      <c r="G89" s="178">
        <f>IF(A89="","",IF($Y89="","",IF($Y89&gt;0,"",ROUND(E89,2))))</f>
        <v/>
      </c>
      <c r="H89" s="180">
        <f>IF(A89="","",ROUND(SUMIFS(aditivos!$L$2:$L$200,aditivos!$A$2:$A$200,A89,aditivos!$C$2:$C$200,"C1"),2))</f>
        <v/>
      </c>
      <c r="I89" s="176">
        <f>IF(A89="","",ROUND(E89+H89,2))</f>
        <v/>
      </c>
      <c r="J89" s="176">
        <f>IF(A89="","",IF(itens_Remanesc!E89="","",itens_Remanesc!E89))</f>
        <v/>
      </c>
      <c r="K89" s="182">
        <f>IF(A89="","",IF($Y89="","",IF($Y89&gt;1,"",IF(ISNUMBER(J89),ROUND(J89+H89,2),IF($Y89=1,ROUND(H89,2),"")))))</f>
        <v/>
      </c>
      <c r="L89" s="174">
        <f>IF(A89="","",ROUND(SUMIFS(aditivos!$L$2:$L$200,aditivos!$A$2:$A$200,A89,aditivos!$C$2:$C$200,"C2"),2))</f>
        <v/>
      </c>
      <c r="M89" s="170">
        <f>IF(A89="","",ROUND(I89+L89,2))</f>
        <v/>
      </c>
      <c r="N89" s="170">
        <f>IF(A89="","",IF(itens_Remanesc!G89="","",itens_Remanesc!G89))</f>
        <v/>
      </c>
      <c r="O89" s="178">
        <f>IF(A89="","",IF($Y89="","",IF($Y89&gt;2,"",IF(ISNUMBER(N89),ROUND(N89+L89,2),IF($Y89=2,ROUND(L89,2),"")))))</f>
        <v/>
      </c>
      <c r="P89" s="180">
        <f>IF(A89="","",ROUND(SUMIFS(aditivos!$L$2:$L$200,aditivos!$A$2:$A$200,A89,aditivos!$C$2:$C$200,"C3"),2))</f>
        <v/>
      </c>
      <c r="Q89" s="176">
        <f>IF(A89="","",ROUND(M89+P89,2))</f>
        <v/>
      </c>
      <c r="R89" s="176">
        <f>IF(A89="","",IF(itens_Remanesc!I89="","",itens_Remanesc!I89))</f>
        <v/>
      </c>
      <c r="S89" s="182">
        <f>IF(A89="","",IF($Y89="","",IF($Y89&gt;3,"",IF(ISNUMBER(R89),ROUND(R89+P89,2),IF($Y89=3,ROUND(P89,2),"")))))</f>
        <v/>
      </c>
      <c r="T89" s="174">
        <f>IF(A89="","",ROUND(SUMIFS(aditivos!$L$2:$L$200,aditivos!$A$2:$A$200,A89,aditivos!$C$2:$C$200,"C4"),2))</f>
        <v/>
      </c>
      <c r="U89" s="170">
        <f>IF(A89="","",ROUND(Q89+T89,2))</f>
        <v/>
      </c>
      <c r="V89" s="170">
        <f>IF(A89="","",IF(itens_Remanesc!K89="","",itens_Remanesc!K89))</f>
        <v/>
      </c>
      <c r="W89" s="170">
        <f>IF(A89="","",IF($Y89="","",IF($Y89&gt;4,"",IF(ISNUMBER(V89),ROUND(V89+T89,2),IF($Y89=4,ROUND(T89,2),"")))))</f>
        <v/>
      </c>
      <c r="X89" s="156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>
        <f>IF($A89="","",IF($E89&gt;0,0,IF($I89&gt;0,1,IF($M89&gt;0,2,IF($Q89&gt;0,3,IF($U89&gt;0,4,""))))))</f>
        <v/>
      </c>
      <c r="Z89">
        <f>IF($A89="",FALSE,AND(LEN(TRIM($A89))=4,LEFT(TRIM($A89),1)="N",ISNUMBER(--MID(TRIM($A89),2,3)),ISERROR(FIND(".",$A89)),ISERROR(FIND(",",$A89)),ISERROR(FIND("-",$A89)),ISERROR(FIND("+",$A89)),ISERROR(SEARCH("E",$A89,2)),ISERROR(FIND(" ",TRIM($A89)))))</f>
        <v/>
      </c>
    </row>
    <row r="90">
      <c r="A90" s="156">
        <f>IF(itens_Remanesc!A90="","",itens_Remanesc!A90)</f>
        <v/>
      </c>
      <c r="B90" s="218">
        <f>IF(A90="","",itens_Remanesc!C90)</f>
        <v/>
      </c>
      <c r="C90" s="172">
        <f>IF(A90="","",IF(itens_Remanesc!B90="",0,itens_Remanesc!B90))</f>
        <v/>
      </c>
      <c r="D90" s="174">
        <f>IF(A90="","",ROUND(SUMIFS(aditivos!$L$2:$L$200,aditivos!$A$2:$A$200,A90,aditivos!$C$2:$C$200,"C0"),2))</f>
        <v/>
      </c>
      <c r="E90" s="170">
        <f>IF(A90="","",ROUND(C90+D90,2))</f>
        <v/>
      </c>
      <c r="F90" s="170">
        <f>IF(A90="","",IF(itens_Remanesc!B90&lt;&gt;"",itens_Remanesc!B90,IF($Z90,0,"")))</f>
        <v/>
      </c>
      <c r="G90" s="178">
        <f>IF(A90="","",IF($Y90="","",IF($Y90&gt;0,"",ROUND(E90,2))))</f>
        <v/>
      </c>
      <c r="H90" s="180">
        <f>IF(A90="","",ROUND(SUMIFS(aditivos!$L$2:$L$200,aditivos!$A$2:$A$200,A90,aditivos!$C$2:$C$200,"C1"),2))</f>
        <v/>
      </c>
      <c r="I90" s="176">
        <f>IF(A90="","",ROUND(E90+H90,2))</f>
        <v/>
      </c>
      <c r="J90" s="176">
        <f>IF(A90="","",IF(itens_Remanesc!E90="","",itens_Remanesc!E90))</f>
        <v/>
      </c>
      <c r="K90" s="182">
        <f>IF(A90="","",IF($Y90="","",IF($Y90&gt;1,"",IF(ISNUMBER(J90),ROUND(J90+H90,2),IF($Y90=1,ROUND(H90,2),"")))))</f>
        <v/>
      </c>
      <c r="L90" s="174">
        <f>IF(A90="","",ROUND(SUMIFS(aditivos!$L$2:$L$200,aditivos!$A$2:$A$200,A90,aditivos!$C$2:$C$200,"C2"),2))</f>
        <v/>
      </c>
      <c r="M90" s="170">
        <f>IF(A90="","",ROUND(I90+L90,2))</f>
        <v/>
      </c>
      <c r="N90" s="170">
        <f>IF(A90="","",IF(itens_Remanesc!G90="","",itens_Remanesc!G90))</f>
        <v/>
      </c>
      <c r="O90" s="178">
        <f>IF(A90="","",IF($Y90="","",IF($Y90&gt;2,"",IF(ISNUMBER(N90),ROUND(N90+L90,2),IF($Y90=2,ROUND(L90,2),"")))))</f>
        <v/>
      </c>
      <c r="P90" s="180">
        <f>IF(A90="","",ROUND(SUMIFS(aditivos!$L$2:$L$200,aditivos!$A$2:$A$200,A90,aditivos!$C$2:$C$200,"C3"),2))</f>
        <v/>
      </c>
      <c r="Q90" s="176">
        <f>IF(A90="","",ROUND(M90+P90,2))</f>
        <v/>
      </c>
      <c r="R90" s="176">
        <f>IF(A90="","",IF(itens_Remanesc!I90="","",itens_Remanesc!I90))</f>
        <v/>
      </c>
      <c r="S90" s="182">
        <f>IF(A90="","",IF($Y90="","",IF($Y90&gt;3,"",IF(ISNUMBER(R90),ROUND(R90+P90,2),IF($Y90=3,ROUND(P90,2),"")))))</f>
        <v/>
      </c>
      <c r="T90" s="174">
        <f>IF(A90="","",ROUND(SUMIFS(aditivos!$L$2:$L$200,aditivos!$A$2:$A$200,A90,aditivos!$C$2:$C$200,"C4"),2))</f>
        <v/>
      </c>
      <c r="U90" s="170">
        <f>IF(A90="","",ROUND(Q90+T90,2))</f>
        <v/>
      </c>
      <c r="V90" s="170">
        <f>IF(A90="","",IF(itens_Remanesc!K90="","",itens_Remanesc!K90))</f>
        <v/>
      </c>
      <c r="W90" s="170">
        <f>IF(A90="","",IF($Y90="","",IF($Y90&gt;4,"",IF(ISNUMBER(V90),ROUND(V90+T90,2),IF($Y90=4,ROUND(T90,2),"")))))</f>
        <v/>
      </c>
      <c r="X90" s="156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>
        <f>IF($A90="","",IF($E90&gt;0,0,IF($I90&gt;0,1,IF($M90&gt;0,2,IF($Q90&gt;0,3,IF($U90&gt;0,4,""))))))</f>
        <v/>
      </c>
      <c r="Z90">
        <f>IF($A90="",FALSE,AND(LEN(TRIM($A90))=4,LEFT(TRIM($A90),1)="N",ISNUMBER(--MID(TRIM($A90),2,3)),ISERROR(FIND(".",$A90)),ISERROR(FIND(",",$A90)),ISERROR(FIND("-",$A90)),ISERROR(FIND("+",$A90)),ISERROR(SEARCH("E",$A90,2)),ISERROR(FIND(" ",TRIM($A90)))))</f>
        <v/>
      </c>
    </row>
    <row r="91">
      <c r="A91" s="156">
        <f>IF(itens_Remanesc!A91="","",itens_Remanesc!A91)</f>
        <v/>
      </c>
      <c r="B91" s="218">
        <f>IF(A91="","",itens_Remanesc!C91)</f>
        <v/>
      </c>
      <c r="C91" s="172">
        <f>IF(A91="","",IF(itens_Remanesc!B91="",0,itens_Remanesc!B91))</f>
        <v/>
      </c>
      <c r="D91" s="174">
        <f>IF(A91="","",ROUND(SUMIFS(aditivos!$L$2:$L$200,aditivos!$A$2:$A$200,A91,aditivos!$C$2:$C$200,"C0"),2))</f>
        <v/>
      </c>
      <c r="E91" s="170">
        <f>IF(A91="","",ROUND(C91+D91,2))</f>
        <v/>
      </c>
      <c r="F91" s="170">
        <f>IF(A91="","",IF(itens_Remanesc!B91&lt;&gt;"",itens_Remanesc!B91,IF($Z91,0,"")))</f>
        <v/>
      </c>
      <c r="G91" s="178">
        <f>IF(A91="","",IF($Y91="","",IF($Y91&gt;0,"",ROUND(E91,2))))</f>
        <v/>
      </c>
      <c r="H91" s="180">
        <f>IF(A91="","",ROUND(SUMIFS(aditivos!$L$2:$L$200,aditivos!$A$2:$A$200,A91,aditivos!$C$2:$C$200,"C1"),2))</f>
        <v/>
      </c>
      <c r="I91" s="176">
        <f>IF(A91="","",ROUND(E91+H91,2))</f>
        <v/>
      </c>
      <c r="J91" s="176">
        <f>IF(A91="","",IF(itens_Remanesc!E91="","",itens_Remanesc!E91))</f>
        <v/>
      </c>
      <c r="K91" s="182">
        <f>IF(A91="","",IF($Y91="","",IF($Y91&gt;1,"",IF(ISNUMBER(J91),ROUND(J91+H91,2),IF($Y91=1,ROUND(H91,2),"")))))</f>
        <v/>
      </c>
      <c r="L91" s="174">
        <f>IF(A91="","",ROUND(SUMIFS(aditivos!$L$2:$L$200,aditivos!$A$2:$A$200,A91,aditivos!$C$2:$C$200,"C2"),2))</f>
        <v/>
      </c>
      <c r="M91" s="170">
        <f>IF(A91="","",ROUND(I91+L91,2))</f>
        <v/>
      </c>
      <c r="N91" s="170">
        <f>IF(A91="","",IF(itens_Remanesc!G91="","",itens_Remanesc!G91))</f>
        <v/>
      </c>
      <c r="O91" s="178">
        <f>IF(A91="","",IF($Y91="","",IF($Y91&gt;2,"",IF(ISNUMBER(N91),ROUND(N91+L91,2),IF($Y91=2,ROUND(L91,2),"")))))</f>
        <v/>
      </c>
      <c r="P91" s="180">
        <f>IF(A91="","",ROUND(SUMIFS(aditivos!$L$2:$L$200,aditivos!$A$2:$A$200,A91,aditivos!$C$2:$C$200,"C3"),2))</f>
        <v/>
      </c>
      <c r="Q91" s="176">
        <f>IF(A91="","",ROUND(M91+P91,2))</f>
        <v/>
      </c>
      <c r="R91" s="176">
        <f>IF(A91="","",IF(itens_Remanesc!I91="","",itens_Remanesc!I91))</f>
        <v/>
      </c>
      <c r="S91" s="182">
        <f>IF(A91="","",IF($Y91="","",IF($Y91&gt;3,"",IF(ISNUMBER(R91),ROUND(R91+P91,2),IF($Y91=3,ROUND(P91,2),"")))))</f>
        <v/>
      </c>
      <c r="T91" s="174">
        <f>IF(A91="","",ROUND(SUMIFS(aditivos!$L$2:$L$200,aditivos!$A$2:$A$200,A91,aditivos!$C$2:$C$200,"C4"),2))</f>
        <v/>
      </c>
      <c r="U91" s="170">
        <f>IF(A91="","",ROUND(Q91+T91,2))</f>
        <v/>
      </c>
      <c r="V91" s="170">
        <f>IF(A91="","",IF(itens_Remanesc!K91="","",itens_Remanesc!K91))</f>
        <v/>
      </c>
      <c r="W91" s="170">
        <f>IF(A91="","",IF($Y91="","",IF($Y91&gt;4,"",IF(ISNUMBER(V91),ROUND(V91+T91,2),IF($Y91=4,ROUND(T91,2),"")))))</f>
        <v/>
      </c>
      <c r="X91" s="156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>
        <f>IF($A91="","",IF($E91&gt;0,0,IF($I91&gt;0,1,IF($M91&gt;0,2,IF($Q91&gt;0,3,IF($U91&gt;0,4,""))))))</f>
        <v/>
      </c>
      <c r="Z91">
        <f>IF($A91="",FALSE,AND(LEN(TRIM($A91))=4,LEFT(TRIM($A91),1)="N",ISNUMBER(--MID(TRIM($A91),2,3)),ISERROR(FIND(".",$A91)),ISERROR(FIND(",",$A91)),ISERROR(FIND("-",$A91)),ISERROR(FIND("+",$A91)),ISERROR(SEARCH("E",$A91,2)),ISERROR(FIND(" ",TRIM($A91)))))</f>
        <v/>
      </c>
    </row>
    <row r="92">
      <c r="A92" s="156">
        <f>IF(itens_Remanesc!A92="","",itens_Remanesc!A92)</f>
        <v/>
      </c>
      <c r="B92" s="218">
        <f>IF(A92="","",itens_Remanesc!C92)</f>
        <v/>
      </c>
      <c r="C92" s="172">
        <f>IF(A92="","",IF(itens_Remanesc!B92="",0,itens_Remanesc!B92))</f>
        <v/>
      </c>
      <c r="D92" s="174">
        <f>IF(A92="","",ROUND(SUMIFS(aditivos!$L$2:$L$200,aditivos!$A$2:$A$200,A92,aditivos!$C$2:$C$200,"C0"),2))</f>
        <v/>
      </c>
      <c r="E92" s="170">
        <f>IF(A92="","",ROUND(C92+D92,2))</f>
        <v/>
      </c>
      <c r="F92" s="170">
        <f>IF(A92="","",IF(itens_Remanesc!B92&lt;&gt;"",itens_Remanesc!B92,IF($Z92,0,"")))</f>
        <v/>
      </c>
      <c r="G92" s="178">
        <f>IF(A92="","",IF($Y92="","",IF($Y92&gt;0,"",ROUND(E92,2))))</f>
        <v/>
      </c>
      <c r="H92" s="180">
        <f>IF(A92="","",ROUND(SUMIFS(aditivos!$L$2:$L$200,aditivos!$A$2:$A$200,A92,aditivos!$C$2:$C$200,"C1"),2))</f>
        <v/>
      </c>
      <c r="I92" s="176">
        <f>IF(A92="","",ROUND(E92+H92,2))</f>
        <v/>
      </c>
      <c r="J92" s="176">
        <f>IF(A92="","",IF(itens_Remanesc!E92="","",itens_Remanesc!E92))</f>
        <v/>
      </c>
      <c r="K92" s="182">
        <f>IF(A92="","",IF($Y92="","",IF($Y92&gt;1,"",IF(ISNUMBER(J92),ROUND(J92+H92,2),IF($Y92=1,ROUND(H92,2),"")))))</f>
        <v/>
      </c>
      <c r="L92" s="174">
        <f>IF(A92="","",ROUND(SUMIFS(aditivos!$L$2:$L$200,aditivos!$A$2:$A$200,A92,aditivos!$C$2:$C$200,"C2"),2))</f>
        <v/>
      </c>
      <c r="M92" s="170">
        <f>IF(A92="","",ROUND(I92+L92,2))</f>
        <v/>
      </c>
      <c r="N92" s="170">
        <f>IF(A92="","",IF(itens_Remanesc!G92="","",itens_Remanesc!G92))</f>
        <v/>
      </c>
      <c r="O92" s="178">
        <f>IF(A92="","",IF($Y92="","",IF($Y92&gt;2,"",IF(ISNUMBER(N92),ROUND(N92+L92,2),IF($Y92=2,ROUND(L92,2),"")))))</f>
        <v/>
      </c>
      <c r="P92" s="180">
        <f>IF(A92="","",ROUND(SUMIFS(aditivos!$L$2:$L$200,aditivos!$A$2:$A$200,A92,aditivos!$C$2:$C$200,"C3"),2))</f>
        <v/>
      </c>
      <c r="Q92" s="176">
        <f>IF(A92="","",ROUND(M92+P92,2))</f>
        <v/>
      </c>
      <c r="R92" s="176">
        <f>IF(A92="","",IF(itens_Remanesc!I92="","",itens_Remanesc!I92))</f>
        <v/>
      </c>
      <c r="S92" s="182">
        <f>IF(A92="","",IF($Y92="","",IF($Y92&gt;3,"",IF(ISNUMBER(R92),ROUND(R92+P92,2),IF($Y92=3,ROUND(P92,2),"")))))</f>
        <v/>
      </c>
      <c r="T92" s="174">
        <f>IF(A92="","",ROUND(SUMIFS(aditivos!$L$2:$L$200,aditivos!$A$2:$A$200,A92,aditivos!$C$2:$C$200,"C4"),2))</f>
        <v/>
      </c>
      <c r="U92" s="170">
        <f>IF(A92="","",ROUND(Q92+T92,2))</f>
        <v/>
      </c>
      <c r="V92" s="170">
        <f>IF(A92="","",IF(itens_Remanesc!K92="","",itens_Remanesc!K92))</f>
        <v/>
      </c>
      <c r="W92" s="170">
        <f>IF(A92="","",IF($Y92="","",IF($Y92&gt;4,"",IF(ISNUMBER(V92),ROUND(V92+T92,2),IF($Y92=4,ROUND(T92,2),"")))))</f>
        <v/>
      </c>
      <c r="X92" s="156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>
        <f>IF($A92="","",IF($E92&gt;0,0,IF($I92&gt;0,1,IF($M92&gt;0,2,IF($Q92&gt;0,3,IF($U92&gt;0,4,""))))))</f>
        <v/>
      </c>
      <c r="Z92">
        <f>IF($A92="",FALSE,AND(LEN(TRIM($A92))=4,LEFT(TRIM($A92),1)="N",ISNUMBER(--MID(TRIM($A92),2,3)),ISERROR(FIND(".",$A92)),ISERROR(FIND(",",$A92)),ISERROR(FIND("-",$A92)),ISERROR(FIND("+",$A92)),ISERROR(SEARCH("E",$A92,2)),ISERROR(FIND(" ",TRIM($A92)))))</f>
        <v/>
      </c>
    </row>
    <row r="93">
      <c r="A93" s="156">
        <f>IF(itens_Remanesc!A93="","",itens_Remanesc!A93)</f>
        <v/>
      </c>
      <c r="B93" s="218">
        <f>IF(A93="","",itens_Remanesc!C93)</f>
        <v/>
      </c>
      <c r="C93" s="172">
        <f>IF(A93="","",IF(itens_Remanesc!B93="",0,itens_Remanesc!B93))</f>
        <v/>
      </c>
      <c r="D93" s="174">
        <f>IF(A93="","",ROUND(SUMIFS(aditivos!$L$2:$L$200,aditivos!$A$2:$A$200,A93,aditivos!$C$2:$C$200,"C0"),2))</f>
        <v/>
      </c>
      <c r="E93" s="170">
        <f>IF(A93="","",ROUND(C93+D93,2))</f>
        <v/>
      </c>
      <c r="F93" s="170">
        <f>IF(A93="","",IF(itens_Remanesc!B93&lt;&gt;"",itens_Remanesc!B93,IF($Z93,0,"")))</f>
        <v/>
      </c>
      <c r="G93" s="178">
        <f>IF(A93="","",IF($Y93="","",IF($Y93&gt;0,"",ROUND(E93,2))))</f>
        <v/>
      </c>
      <c r="H93" s="180">
        <f>IF(A93="","",ROUND(SUMIFS(aditivos!$L$2:$L$200,aditivos!$A$2:$A$200,A93,aditivos!$C$2:$C$200,"C1"),2))</f>
        <v/>
      </c>
      <c r="I93" s="176">
        <f>IF(A93="","",ROUND(E93+H93,2))</f>
        <v/>
      </c>
      <c r="J93" s="176">
        <f>IF(A93="","",IF(itens_Remanesc!E93="","",itens_Remanesc!E93))</f>
        <v/>
      </c>
      <c r="K93" s="182">
        <f>IF(A93="","",IF($Y93="","",IF($Y93&gt;1,"",IF(ISNUMBER(J93),ROUND(J93+H93,2),IF($Y93=1,ROUND(H93,2),"")))))</f>
        <v/>
      </c>
      <c r="L93" s="174">
        <f>IF(A93="","",ROUND(SUMIFS(aditivos!$L$2:$L$200,aditivos!$A$2:$A$200,A93,aditivos!$C$2:$C$200,"C2"),2))</f>
        <v/>
      </c>
      <c r="M93" s="170">
        <f>IF(A93="","",ROUND(I93+L93,2))</f>
        <v/>
      </c>
      <c r="N93" s="170">
        <f>IF(A93="","",IF(itens_Remanesc!G93="","",itens_Remanesc!G93))</f>
        <v/>
      </c>
      <c r="O93" s="178">
        <f>IF(A93="","",IF($Y93="","",IF($Y93&gt;2,"",IF(ISNUMBER(N93),ROUND(N93+L93,2),IF($Y93=2,ROUND(L93,2),"")))))</f>
        <v/>
      </c>
      <c r="P93" s="180">
        <f>IF(A93="","",ROUND(SUMIFS(aditivos!$L$2:$L$200,aditivos!$A$2:$A$200,A93,aditivos!$C$2:$C$200,"C3"),2))</f>
        <v/>
      </c>
      <c r="Q93" s="176">
        <f>IF(A93="","",ROUND(M93+P93,2))</f>
        <v/>
      </c>
      <c r="R93" s="176">
        <f>IF(A93="","",IF(itens_Remanesc!I93="","",itens_Remanesc!I93))</f>
        <v/>
      </c>
      <c r="S93" s="182">
        <f>IF(A93="","",IF($Y93="","",IF($Y93&gt;3,"",IF(ISNUMBER(R93),ROUND(R93+P93,2),IF($Y93=3,ROUND(P93,2),"")))))</f>
        <v/>
      </c>
      <c r="T93" s="174">
        <f>IF(A93="","",ROUND(SUMIFS(aditivos!$L$2:$L$200,aditivos!$A$2:$A$200,A93,aditivos!$C$2:$C$200,"C4"),2))</f>
        <v/>
      </c>
      <c r="U93" s="170">
        <f>IF(A93="","",ROUND(Q93+T93,2))</f>
        <v/>
      </c>
      <c r="V93" s="170">
        <f>IF(A93="","",IF(itens_Remanesc!K93="","",itens_Remanesc!K93))</f>
        <v/>
      </c>
      <c r="W93" s="170">
        <f>IF(A93="","",IF($Y93="","",IF($Y93&gt;4,"",IF(ISNUMBER(V93),ROUND(V93+T93,2),IF($Y93=4,ROUND(T93,2),"")))))</f>
        <v/>
      </c>
      <c r="X93" s="156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>
        <f>IF($A93="","",IF($E93&gt;0,0,IF($I93&gt;0,1,IF($M93&gt;0,2,IF($Q93&gt;0,3,IF($U93&gt;0,4,""))))))</f>
        <v/>
      </c>
      <c r="Z93">
        <f>IF($A93="",FALSE,AND(LEN(TRIM($A93))=4,LEFT(TRIM($A93),1)="N",ISNUMBER(--MID(TRIM($A93),2,3)),ISERROR(FIND(".",$A93)),ISERROR(FIND(",",$A93)),ISERROR(FIND("-",$A93)),ISERROR(FIND("+",$A93)),ISERROR(SEARCH("E",$A93,2)),ISERROR(FIND(" ",TRIM($A93)))))</f>
        <v/>
      </c>
    </row>
    <row r="94">
      <c r="A94" s="156">
        <f>IF(itens_Remanesc!A94="","",itens_Remanesc!A94)</f>
        <v/>
      </c>
      <c r="B94" s="218">
        <f>IF(A94="","",itens_Remanesc!C94)</f>
        <v/>
      </c>
      <c r="C94" s="172">
        <f>IF(A94="","",IF(itens_Remanesc!B94="",0,itens_Remanesc!B94))</f>
        <v/>
      </c>
      <c r="D94" s="174">
        <f>IF(A94="","",ROUND(SUMIFS(aditivos!$L$2:$L$200,aditivos!$A$2:$A$200,A94,aditivos!$C$2:$C$200,"C0"),2))</f>
        <v/>
      </c>
      <c r="E94" s="170">
        <f>IF(A94="","",ROUND(C94+D94,2))</f>
        <v/>
      </c>
      <c r="F94" s="170">
        <f>IF(A94="","",IF(itens_Remanesc!B94&lt;&gt;"",itens_Remanesc!B94,IF($Z94,0,"")))</f>
        <v/>
      </c>
      <c r="G94" s="178">
        <f>IF(A94="","",IF($Y94="","",IF($Y94&gt;0,"",ROUND(E94,2))))</f>
        <v/>
      </c>
      <c r="H94" s="180">
        <f>IF(A94="","",ROUND(SUMIFS(aditivos!$L$2:$L$200,aditivos!$A$2:$A$200,A94,aditivos!$C$2:$C$200,"C1"),2))</f>
        <v/>
      </c>
      <c r="I94" s="176">
        <f>IF(A94="","",ROUND(E94+H94,2))</f>
        <v/>
      </c>
      <c r="J94" s="176">
        <f>IF(A94="","",IF(itens_Remanesc!E94="","",itens_Remanesc!E94))</f>
        <v/>
      </c>
      <c r="K94" s="182">
        <f>IF(A94="","",IF($Y94="","",IF($Y94&gt;1,"",IF(ISNUMBER(J94),ROUND(J94+H94,2),IF($Y94=1,ROUND(H94,2),"")))))</f>
        <v/>
      </c>
      <c r="L94" s="174">
        <f>IF(A94="","",ROUND(SUMIFS(aditivos!$L$2:$L$200,aditivos!$A$2:$A$200,A94,aditivos!$C$2:$C$200,"C2"),2))</f>
        <v/>
      </c>
      <c r="M94" s="170">
        <f>IF(A94="","",ROUND(I94+L94,2))</f>
        <v/>
      </c>
      <c r="N94" s="170">
        <f>IF(A94="","",IF(itens_Remanesc!G94="","",itens_Remanesc!G94))</f>
        <v/>
      </c>
      <c r="O94" s="178">
        <f>IF(A94="","",IF($Y94="","",IF($Y94&gt;2,"",IF(ISNUMBER(N94),ROUND(N94+L94,2),IF($Y94=2,ROUND(L94,2),"")))))</f>
        <v/>
      </c>
      <c r="P94" s="180">
        <f>IF(A94="","",ROUND(SUMIFS(aditivos!$L$2:$L$200,aditivos!$A$2:$A$200,A94,aditivos!$C$2:$C$200,"C3"),2))</f>
        <v/>
      </c>
      <c r="Q94" s="176">
        <f>IF(A94="","",ROUND(M94+P94,2))</f>
        <v/>
      </c>
      <c r="R94" s="176">
        <f>IF(A94="","",IF(itens_Remanesc!I94="","",itens_Remanesc!I94))</f>
        <v/>
      </c>
      <c r="S94" s="182">
        <f>IF(A94="","",IF($Y94="","",IF($Y94&gt;3,"",IF(ISNUMBER(R94),ROUND(R94+P94,2),IF($Y94=3,ROUND(P94,2),"")))))</f>
        <v/>
      </c>
      <c r="T94" s="174">
        <f>IF(A94="","",ROUND(SUMIFS(aditivos!$L$2:$L$200,aditivos!$A$2:$A$200,A94,aditivos!$C$2:$C$200,"C4"),2))</f>
        <v/>
      </c>
      <c r="U94" s="170">
        <f>IF(A94="","",ROUND(Q94+T94,2))</f>
        <v/>
      </c>
      <c r="V94" s="170">
        <f>IF(A94="","",IF(itens_Remanesc!K94="","",itens_Remanesc!K94))</f>
        <v/>
      </c>
      <c r="W94" s="170">
        <f>IF(A94="","",IF($Y94="","",IF($Y94&gt;4,"",IF(ISNUMBER(V94),ROUND(V94+T94,2),IF($Y94=4,ROUND(T94,2),"")))))</f>
        <v/>
      </c>
      <c r="X94" s="156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>
        <f>IF($A94="","",IF($E94&gt;0,0,IF($I94&gt;0,1,IF($M94&gt;0,2,IF($Q94&gt;0,3,IF($U94&gt;0,4,""))))))</f>
        <v/>
      </c>
      <c r="Z94">
        <f>IF($A94="",FALSE,AND(LEN(TRIM($A94))=4,LEFT(TRIM($A94),1)="N",ISNUMBER(--MID(TRIM($A94),2,3)),ISERROR(FIND(".",$A94)),ISERROR(FIND(",",$A94)),ISERROR(FIND("-",$A94)),ISERROR(FIND("+",$A94)),ISERROR(SEARCH("E",$A94,2)),ISERROR(FIND(" ",TRIM($A94)))))</f>
        <v/>
      </c>
    </row>
    <row r="95">
      <c r="A95" s="156">
        <f>IF(itens_Remanesc!A95="","",itens_Remanesc!A95)</f>
        <v/>
      </c>
      <c r="B95" s="218">
        <f>IF(A95="","",itens_Remanesc!C95)</f>
        <v/>
      </c>
      <c r="C95" s="172">
        <f>IF(A95="","",IF(itens_Remanesc!B95="",0,itens_Remanesc!B95))</f>
        <v/>
      </c>
      <c r="D95" s="174">
        <f>IF(A95="","",ROUND(SUMIFS(aditivos!$L$2:$L$200,aditivos!$A$2:$A$200,A95,aditivos!$C$2:$C$200,"C0"),2))</f>
        <v/>
      </c>
      <c r="E95" s="170">
        <f>IF(A95="","",ROUND(C95+D95,2))</f>
        <v/>
      </c>
      <c r="F95" s="170">
        <f>IF(A95="","",IF(itens_Remanesc!B95&lt;&gt;"",itens_Remanesc!B95,IF($Z95,0,"")))</f>
        <v/>
      </c>
      <c r="G95" s="178">
        <f>IF(A95="","",IF($Y95="","",IF($Y95&gt;0,"",ROUND(E95,2))))</f>
        <v/>
      </c>
      <c r="H95" s="180">
        <f>IF(A95="","",ROUND(SUMIFS(aditivos!$L$2:$L$200,aditivos!$A$2:$A$200,A95,aditivos!$C$2:$C$200,"C1"),2))</f>
        <v/>
      </c>
      <c r="I95" s="176">
        <f>IF(A95="","",ROUND(E95+H95,2))</f>
        <v/>
      </c>
      <c r="J95" s="176">
        <f>IF(A95="","",IF(itens_Remanesc!E95="","",itens_Remanesc!E95))</f>
        <v/>
      </c>
      <c r="K95" s="182">
        <f>IF(A95="","",IF($Y95="","",IF($Y95&gt;1,"",IF(ISNUMBER(J95),ROUND(J95+H95,2),IF($Y95=1,ROUND(H95,2),"")))))</f>
        <v/>
      </c>
      <c r="L95" s="174">
        <f>IF(A95="","",ROUND(SUMIFS(aditivos!$L$2:$L$200,aditivos!$A$2:$A$200,A95,aditivos!$C$2:$C$200,"C2"),2))</f>
        <v/>
      </c>
      <c r="M95" s="170">
        <f>IF(A95="","",ROUND(I95+L95,2))</f>
        <v/>
      </c>
      <c r="N95" s="170">
        <f>IF(A95="","",IF(itens_Remanesc!G95="","",itens_Remanesc!G95))</f>
        <v/>
      </c>
      <c r="O95" s="178">
        <f>IF(A95="","",IF($Y95="","",IF($Y95&gt;2,"",IF(ISNUMBER(N95),ROUND(N95+L95,2),IF($Y95=2,ROUND(L95,2),"")))))</f>
        <v/>
      </c>
      <c r="P95" s="180">
        <f>IF(A95="","",ROUND(SUMIFS(aditivos!$L$2:$L$200,aditivos!$A$2:$A$200,A95,aditivos!$C$2:$C$200,"C3"),2))</f>
        <v/>
      </c>
      <c r="Q95" s="176">
        <f>IF(A95="","",ROUND(M95+P95,2))</f>
        <v/>
      </c>
      <c r="R95" s="176">
        <f>IF(A95="","",IF(itens_Remanesc!I95="","",itens_Remanesc!I95))</f>
        <v/>
      </c>
      <c r="S95" s="182">
        <f>IF(A95="","",IF($Y95="","",IF($Y95&gt;3,"",IF(ISNUMBER(R95),ROUND(R95+P95,2),IF($Y95=3,ROUND(P95,2),"")))))</f>
        <v/>
      </c>
      <c r="T95" s="174">
        <f>IF(A95="","",ROUND(SUMIFS(aditivos!$L$2:$L$200,aditivos!$A$2:$A$200,A95,aditivos!$C$2:$C$200,"C4"),2))</f>
        <v/>
      </c>
      <c r="U95" s="170">
        <f>IF(A95="","",ROUND(Q95+T95,2))</f>
        <v/>
      </c>
      <c r="V95" s="170">
        <f>IF(A95="","",IF(itens_Remanesc!K95="","",itens_Remanesc!K95))</f>
        <v/>
      </c>
      <c r="W95" s="170">
        <f>IF(A95="","",IF($Y95="","",IF($Y95&gt;4,"",IF(ISNUMBER(V95),ROUND(V95+T95,2),IF($Y95=4,ROUND(T95,2),"")))))</f>
        <v/>
      </c>
      <c r="X95" s="156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>
        <f>IF($A95="","",IF($E95&gt;0,0,IF($I95&gt;0,1,IF($M95&gt;0,2,IF($Q95&gt;0,3,IF($U95&gt;0,4,""))))))</f>
        <v/>
      </c>
      <c r="Z95">
        <f>IF($A95="",FALSE,AND(LEN(TRIM($A95))=4,LEFT(TRIM($A95),1)="N",ISNUMBER(--MID(TRIM($A95),2,3)),ISERROR(FIND(".",$A95)),ISERROR(FIND(",",$A95)),ISERROR(FIND("-",$A95)),ISERROR(FIND("+",$A95)),ISERROR(SEARCH("E",$A95,2)),ISERROR(FIND(" ",TRIM($A95)))))</f>
        <v/>
      </c>
    </row>
    <row r="96">
      <c r="A96" s="156">
        <f>IF(itens_Remanesc!A96="","",itens_Remanesc!A96)</f>
        <v/>
      </c>
      <c r="B96" s="218">
        <f>IF(A96="","",itens_Remanesc!C96)</f>
        <v/>
      </c>
      <c r="C96" s="172">
        <f>IF(A96="","",IF(itens_Remanesc!B96="",0,itens_Remanesc!B96))</f>
        <v/>
      </c>
      <c r="D96" s="174">
        <f>IF(A96="","",ROUND(SUMIFS(aditivos!$L$2:$L$200,aditivos!$A$2:$A$200,A96,aditivos!$C$2:$C$200,"C0"),2))</f>
        <v/>
      </c>
      <c r="E96" s="170">
        <f>IF(A96="","",ROUND(C96+D96,2))</f>
        <v/>
      </c>
      <c r="F96" s="170">
        <f>IF(A96="","",IF(itens_Remanesc!B96&lt;&gt;"",itens_Remanesc!B96,IF($Z96,0,"")))</f>
        <v/>
      </c>
      <c r="G96" s="178">
        <f>IF(A96="","",IF($Y96="","",IF($Y96&gt;0,"",ROUND(E96,2))))</f>
        <v/>
      </c>
      <c r="H96" s="180">
        <f>IF(A96="","",ROUND(SUMIFS(aditivos!$L$2:$L$200,aditivos!$A$2:$A$200,A96,aditivos!$C$2:$C$200,"C1"),2))</f>
        <v/>
      </c>
      <c r="I96" s="176">
        <f>IF(A96="","",ROUND(E96+H96,2))</f>
        <v/>
      </c>
      <c r="J96" s="176">
        <f>IF(A96="","",IF(itens_Remanesc!E96="","",itens_Remanesc!E96))</f>
        <v/>
      </c>
      <c r="K96" s="182">
        <f>IF(A96="","",IF($Y96="","",IF($Y96&gt;1,"",IF(ISNUMBER(J96),ROUND(J96+H96,2),IF($Y96=1,ROUND(H96,2),"")))))</f>
        <v/>
      </c>
      <c r="L96" s="174">
        <f>IF(A96="","",ROUND(SUMIFS(aditivos!$L$2:$L$200,aditivos!$A$2:$A$200,A96,aditivos!$C$2:$C$200,"C2"),2))</f>
        <v/>
      </c>
      <c r="M96" s="170">
        <f>IF(A96="","",ROUND(I96+L96,2))</f>
        <v/>
      </c>
      <c r="N96" s="170">
        <f>IF(A96="","",IF(itens_Remanesc!G96="","",itens_Remanesc!G96))</f>
        <v/>
      </c>
      <c r="O96" s="178">
        <f>IF(A96="","",IF($Y96="","",IF($Y96&gt;2,"",IF(ISNUMBER(N96),ROUND(N96+L96,2),IF($Y96=2,ROUND(L96,2),"")))))</f>
        <v/>
      </c>
      <c r="P96" s="180">
        <f>IF(A96="","",ROUND(SUMIFS(aditivos!$L$2:$L$200,aditivos!$A$2:$A$200,A96,aditivos!$C$2:$C$200,"C3"),2))</f>
        <v/>
      </c>
      <c r="Q96" s="176">
        <f>IF(A96="","",ROUND(M96+P96,2))</f>
        <v/>
      </c>
      <c r="R96" s="176">
        <f>IF(A96="","",IF(itens_Remanesc!I96="","",itens_Remanesc!I96))</f>
        <v/>
      </c>
      <c r="S96" s="182">
        <f>IF(A96="","",IF($Y96="","",IF($Y96&gt;3,"",IF(ISNUMBER(R96),ROUND(R96+P96,2),IF($Y96=3,ROUND(P96,2),"")))))</f>
        <v/>
      </c>
      <c r="T96" s="174">
        <f>IF(A96="","",ROUND(SUMIFS(aditivos!$L$2:$L$200,aditivos!$A$2:$A$200,A96,aditivos!$C$2:$C$200,"C4"),2))</f>
        <v/>
      </c>
      <c r="U96" s="170">
        <f>IF(A96="","",ROUND(Q96+T96,2))</f>
        <v/>
      </c>
      <c r="V96" s="170">
        <f>IF(A96="","",IF(itens_Remanesc!K96="","",itens_Remanesc!K96))</f>
        <v/>
      </c>
      <c r="W96" s="170">
        <f>IF(A96="","",IF($Y96="","",IF($Y96&gt;4,"",IF(ISNUMBER(V96),ROUND(V96+T96,2),IF($Y96=4,ROUND(T96,2),"")))))</f>
        <v/>
      </c>
      <c r="X96" s="156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>
        <f>IF($A96="","",IF($E96&gt;0,0,IF($I96&gt;0,1,IF($M96&gt;0,2,IF($Q96&gt;0,3,IF($U96&gt;0,4,""))))))</f>
        <v/>
      </c>
      <c r="Z96">
        <f>IF($A96="",FALSE,AND(LEN(TRIM($A96))=4,LEFT(TRIM($A96),1)="N",ISNUMBER(--MID(TRIM($A96),2,3)),ISERROR(FIND(".",$A96)),ISERROR(FIND(",",$A96)),ISERROR(FIND("-",$A96)),ISERROR(FIND("+",$A96)),ISERROR(SEARCH("E",$A96,2)),ISERROR(FIND(" ",TRIM($A96)))))</f>
        <v/>
      </c>
    </row>
    <row r="97">
      <c r="A97" s="156">
        <f>IF(itens_Remanesc!A97="","",itens_Remanesc!A97)</f>
        <v/>
      </c>
      <c r="B97" s="218">
        <f>IF(A97="","",itens_Remanesc!C97)</f>
        <v/>
      </c>
      <c r="C97" s="172">
        <f>IF(A97="","",IF(itens_Remanesc!B97="",0,itens_Remanesc!B97))</f>
        <v/>
      </c>
      <c r="D97" s="174">
        <f>IF(A97="","",ROUND(SUMIFS(aditivos!$L$2:$L$200,aditivos!$A$2:$A$200,A97,aditivos!$C$2:$C$200,"C0"),2))</f>
        <v/>
      </c>
      <c r="E97" s="170">
        <f>IF(A97="","",ROUND(C97+D97,2))</f>
        <v/>
      </c>
      <c r="F97" s="170">
        <f>IF(A97="","",IF(itens_Remanesc!B97&lt;&gt;"",itens_Remanesc!B97,IF($Z97,0,"")))</f>
        <v/>
      </c>
      <c r="G97" s="178">
        <f>IF(A97="","",IF($Y97="","",IF($Y97&gt;0,"",ROUND(E97,2))))</f>
        <v/>
      </c>
      <c r="H97" s="180">
        <f>IF(A97="","",ROUND(SUMIFS(aditivos!$L$2:$L$200,aditivos!$A$2:$A$200,A97,aditivos!$C$2:$C$200,"C1"),2))</f>
        <v/>
      </c>
      <c r="I97" s="176">
        <f>IF(A97="","",ROUND(E97+H97,2))</f>
        <v/>
      </c>
      <c r="J97" s="176">
        <f>IF(A97="","",IF(itens_Remanesc!E97="","",itens_Remanesc!E97))</f>
        <v/>
      </c>
      <c r="K97" s="182">
        <f>IF(A97="","",IF($Y97="","",IF($Y97&gt;1,"",IF(ISNUMBER(J97),ROUND(J97+H97,2),IF($Y97=1,ROUND(H97,2),"")))))</f>
        <v/>
      </c>
      <c r="L97" s="174">
        <f>IF(A97="","",ROUND(SUMIFS(aditivos!$L$2:$L$200,aditivos!$A$2:$A$200,A97,aditivos!$C$2:$C$200,"C2"),2))</f>
        <v/>
      </c>
      <c r="M97" s="170">
        <f>IF(A97="","",ROUND(I97+L97,2))</f>
        <v/>
      </c>
      <c r="N97" s="170">
        <f>IF(A97="","",IF(itens_Remanesc!G97="","",itens_Remanesc!G97))</f>
        <v/>
      </c>
      <c r="O97" s="178">
        <f>IF(A97="","",IF($Y97="","",IF($Y97&gt;2,"",IF(ISNUMBER(N97),ROUND(N97+L97,2),IF($Y97=2,ROUND(L97,2),"")))))</f>
        <v/>
      </c>
      <c r="P97" s="180">
        <f>IF(A97="","",ROUND(SUMIFS(aditivos!$L$2:$L$200,aditivos!$A$2:$A$200,A97,aditivos!$C$2:$C$200,"C3"),2))</f>
        <v/>
      </c>
      <c r="Q97" s="176">
        <f>IF(A97="","",ROUND(M97+P97,2))</f>
        <v/>
      </c>
      <c r="R97" s="176">
        <f>IF(A97="","",IF(itens_Remanesc!I97="","",itens_Remanesc!I97))</f>
        <v/>
      </c>
      <c r="S97" s="182">
        <f>IF(A97="","",IF($Y97="","",IF($Y97&gt;3,"",IF(ISNUMBER(R97),ROUND(R97+P97,2),IF($Y97=3,ROUND(P97,2),"")))))</f>
        <v/>
      </c>
      <c r="T97" s="174">
        <f>IF(A97="","",ROUND(SUMIFS(aditivos!$L$2:$L$200,aditivos!$A$2:$A$200,A97,aditivos!$C$2:$C$200,"C4"),2))</f>
        <v/>
      </c>
      <c r="U97" s="170">
        <f>IF(A97="","",ROUND(Q97+T97,2))</f>
        <v/>
      </c>
      <c r="V97" s="170">
        <f>IF(A97="","",IF(itens_Remanesc!K97="","",itens_Remanesc!K97))</f>
        <v/>
      </c>
      <c r="W97" s="170">
        <f>IF(A97="","",IF($Y97="","",IF($Y97&gt;4,"",IF(ISNUMBER(V97),ROUND(V97+T97,2),IF($Y97=4,ROUND(T97,2),"")))))</f>
        <v/>
      </c>
      <c r="X97" s="156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>
        <f>IF($A97="","",IF($E97&gt;0,0,IF($I97&gt;0,1,IF($M97&gt;0,2,IF($Q97&gt;0,3,IF($U97&gt;0,4,""))))))</f>
        <v/>
      </c>
      <c r="Z97">
        <f>IF($A97="",FALSE,AND(LEN(TRIM($A97))=4,LEFT(TRIM($A97),1)="N",ISNUMBER(--MID(TRIM($A97),2,3)),ISERROR(FIND(".",$A97)),ISERROR(FIND(",",$A97)),ISERROR(FIND("-",$A97)),ISERROR(FIND("+",$A97)),ISERROR(SEARCH("E",$A97,2)),ISERROR(FIND(" ",TRIM($A97)))))</f>
        <v/>
      </c>
    </row>
    <row r="98">
      <c r="A98" s="156">
        <f>IF(itens_Remanesc!A98="","",itens_Remanesc!A98)</f>
        <v/>
      </c>
      <c r="B98" s="218">
        <f>IF(A98="","",itens_Remanesc!C98)</f>
        <v/>
      </c>
      <c r="C98" s="172">
        <f>IF(A98="","",IF(itens_Remanesc!B98="",0,itens_Remanesc!B98))</f>
        <v/>
      </c>
      <c r="D98" s="174">
        <f>IF(A98="","",ROUND(SUMIFS(aditivos!$L$2:$L$200,aditivos!$A$2:$A$200,A98,aditivos!$C$2:$C$200,"C0"),2))</f>
        <v/>
      </c>
      <c r="E98" s="170">
        <f>IF(A98="","",ROUND(C98+D98,2))</f>
        <v/>
      </c>
      <c r="F98" s="170">
        <f>IF(A98="","",IF(itens_Remanesc!B98&lt;&gt;"",itens_Remanesc!B98,IF($Z98,0,"")))</f>
        <v/>
      </c>
      <c r="G98" s="178">
        <f>IF(A98="","",IF($Y98="","",IF($Y98&gt;0,"",ROUND(E98,2))))</f>
        <v/>
      </c>
      <c r="H98" s="180">
        <f>IF(A98="","",ROUND(SUMIFS(aditivos!$L$2:$L$200,aditivos!$A$2:$A$200,A98,aditivos!$C$2:$C$200,"C1"),2))</f>
        <v/>
      </c>
      <c r="I98" s="176">
        <f>IF(A98="","",ROUND(E98+H98,2))</f>
        <v/>
      </c>
      <c r="J98" s="176">
        <f>IF(A98="","",IF(itens_Remanesc!E98="","",itens_Remanesc!E98))</f>
        <v/>
      </c>
      <c r="K98" s="182">
        <f>IF(A98="","",IF($Y98="","",IF($Y98&gt;1,"",IF(ISNUMBER(J98),ROUND(J98+H98,2),IF($Y98=1,ROUND(H98,2),"")))))</f>
        <v/>
      </c>
      <c r="L98" s="174">
        <f>IF(A98="","",ROUND(SUMIFS(aditivos!$L$2:$L$200,aditivos!$A$2:$A$200,A98,aditivos!$C$2:$C$200,"C2"),2))</f>
        <v/>
      </c>
      <c r="M98" s="170">
        <f>IF(A98="","",ROUND(I98+L98,2))</f>
        <v/>
      </c>
      <c r="N98" s="170">
        <f>IF(A98="","",IF(itens_Remanesc!G98="","",itens_Remanesc!G98))</f>
        <v/>
      </c>
      <c r="O98" s="178">
        <f>IF(A98="","",IF($Y98="","",IF($Y98&gt;2,"",IF(ISNUMBER(N98),ROUND(N98+L98,2),IF($Y98=2,ROUND(L98,2),"")))))</f>
        <v/>
      </c>
      <c r="P98" s="180">
        <f>IF(A98="","",ROUND(SUMIFS(aditivos!$L$2:$L$200,aditivos!$A$2:$A$200,A98,aditivos!$C$2:$C$200,"C3"),2))</f>
        <v/>
      </c>
      <c r="Q98" s="176">
        <f>IF(A98="","",ROUND(M98+P98,2))</f>
        <v/>
      </c>
      <c r="R98" s="176">
        <f>IF(A98="","",IF(itens_Remanesc!I98="","",itens_Remanesc!I98))</f>
        <v/>
      </c>
      <c r="S98" s="182">
        <f>IF(A98="","",IF($Y98="","",IF($Y98&gt;3,"",IF(ISNUMBER(R98),ROUND(R98+P98,2),IF($Y98=3,ROUND(P98,2),"")))))</f>
        <v/>
      </c>
      <c r="T98" s="174">
        <f>IF(A98="","",ROUND(SUMIFS(aditivos!$L$2:$L$200,aditivos!$A$2:$A$200,A98,aditivos!$C$2:$C$200,"C4"),2))</f>
        <v/>
      </c>
      <c r="U98" s="170">
        <f>IF(A98="","",ROUND(Q98+T98,2))</f>
        <v/>
      </c>
      <c r="V98" s="170">
        <f>IF(A98="","",IF(itens_Remanesc!K98="","",itens_Remanesc!K98))</f>
        <v/>
      </c>
      <c r="W98" s="170">
        <f>IF(A98="","",IF($Y98="","",IF($Y98&gt;4,"",IF(ISNUMBER(V98),ROUND(V98+T98,2),IF($Y98=4,ROUND(T98,2),"")))))</f>
        <v/>
      </c>
      <c r="X98" s="156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>
        <f>IF($A98="","",IF($E98&gt;0,0,IF($I98&gt;0,1,IF($M98&gt;0,2,IF($Q98&gt;0,3,IF($U98&gt;0,4,""))))))</f>
        <v/>
      </c>
      <c r="Z98">
        <f>IF($A98="",FALSE,AND(LEN(TRIM($A98))=4,LEFT(TRIM($A98),1)="N",ISNUMBER(--MID(TRIM($A98),2,3)),ISERROR(FIND(".",$A98)),ISERROR(FIND(",",$A98)),ISERROR(FIND("-",$A98)),ISERROR(FIND("+",$A98)),ISERROR(SEARCH("E",$A98,2)),ISERROR(FIND(" ",TRIM($A98)))))</f>
        <v/>
      </c>
    </row>
    <row r="99">
      <c r="A99" s="156">
        <f>IF(itens_Remanesc!A99="","",itens_Remanesc!A99)</f>
        <v/>
      </c>
      <c r="B99" s="218">
        <f>IF(A99="","",itens_Remanesc!C99)</f>
        <v/>
      </c>
      <c r="C99" s="172">
        <f>IF(A99="","",IF(itens_Remanesc!B99="",0,itens_Remanesc!B99))</f>
        <v/>
      </c>
      <c r="D99" s="174">
        <f>IF(A99="","",ROUND(SUMIFS(aditivos!$L$2:$L$200,aditivos!$A$2:$A$200,A99,aditivos!$C$2:$C$200,"C0"),2))</f>
        <v/>
      </c>
      <c r="E99" s="170">
        <f>IF(A99="","",ROUND(C99+D99,2))</f>
        <v/>
      </c>
      <c r="F99" s="170">
        <f>IF(A99="","",IF(itens_Remanesc!B99&lt;&gt;"",itens_Remanesc!B99,IF($Z99,0,"")))</f>
        <v/>
      </c>
      <c r="G99" s="178">
        <f>IF(A99="","",IF($Y99="","",IF($Y99&gt;0,"",ROUND(E99,2))))</f>
        <v/>
      </c>
      <c r="H99" s="180">
        <f>IF(A99="","",ROUND(SUMIFS(aditivos!$L$2:$L$200,aditivos!$A$2:$A$200,A99,aditivos!$C$2:$C$200,"C1"),2))</f>
        <v/>
      </c>
      <c r="I99" s="176">
        <f>IF(A99="","",ROUND(E99+H99,2))</f>
        <v/>
      </c>
      <c r="J99" s="176">
        <f>IF(A99="","",IF(itens_Remanesc!E99="","",itens_Remanesc!E99))</f>
        <v/>
      </c>
      <c r="K99" s="182">
        <f>IF(A99="","",IF($Y99="","",IF($Y99&gt;1,"",IF(ISNUMBER(J99),ROUND(J99+H99,2),IF($Y99=1,ROUND(H99,2),"")))))</f>
        <v/>
      </c>
      <c r="L99" s="174">
        <f>IF(A99="","",ROUND(SUMIFS(aditivos!$L$2:$L$200,aditivos!$A$2:$A$200,A99,aditivos!$C$2:$C$200,"C2"),2))</f>
        <v/>
      </c>
      <c r="M99" s="170">
        <f>IF(A99="","",ROUND(I99+L99,2))</f>
        <v/>
      </c>
      <c r="N99" s="170">
        <f>IF(A99="","",IF(itens_Remanesc!G99="","",itens_Remanesc!G99))</f>
        <v/>
      </c>
      <c r="O99" s="178">
        <f>IF(A99="","",IF($Y99="","",IF($Y99&gt;2,"",IF(ISNUMBER(N99),ROUND(N99+L99,2),IF($Y99=2,ROUND(L99,2),"")))))</f>
        <v/>
      </c>
      <c r="P99" s="180">
        <f>IF(A99="","",ROUND(SUMIFS(aditivos!$L$2:$L$200,aditivos!$A$2:$A$200,A99,aditivos!$C$2:$C$200,"C3"),2))</f>
        <v/>
      </c>
      <c r="Q99" s="176">
        <f>IF(A99="","",ROUND(M99+P99,2))</f>
        <v/>
      </c>
      <c r="R99" s="176">
        <f>IF(A99="","",IF(itens_Remanesc!I99="","",itens_Remanesc!I99))</f>
        <v/>
      </c>
      <c r="S99" s="182">
        <f>IF(A99="","",IF($Y99="","",IF($Y99&gt;3,"",IF(ISNUMBER(R99),ROUND(R99+P99,2),IF($Y99=3,ROUND(P99,2),"")))))</f>
        <v/>
      </c>
      <c r="T99" s="174">
        <f>IF(A99="","",ROUND(SUMIFS(aditivos!$L$2:$L$200,aditivos!$A$2:$A$200,A99,aditivos!$C$2:$C$200,"C4"),2))</f>
        <v/>
      </c>
      <c r="U99" s="170">
        <f>IF(A99="","",ROUND(Q99+T99,2))</f>
        <v/>
      </c>
      <c r="V99" s="170">
        <f>IF(A99="","",IF(itens_Remanesc!K99="","",itens_Remanesc!K99))</f>
        <v/>
      </c>
      <c r="W99" s="170">
        <f>IF(A99="","",IF($Y99="","",IF($Y99&gt;4,"",IF(ISNUMBER(V99),ROUND(V99+T99,2),IF($Y99=4,ROUND(T99,2),"")))))</f>
        <v/>
      </c>
      <c r="X99" s="156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>
        <f>IF($A99="","",IF($E99&gt;0,0,IF($I99&gt;0,1,IF($M99&gt;0,2,IF($Q99&gt;0,3,IF($U99&gt;0,4,""))))))</f>
        <v/>
      </c>
      <c r="Z99">
        <f>IF($A99="",FALSE,AND(LEN(TRIM($A99))=4,LEFT(TRIM($A99),1)="N",ISNUMBER(--MID(TRIM($A99),2,3)),ISERROR(FIND(".",$A99)),ISERROR(FIND(",",$A99)),ISERROR(FIND("-",$A99)),ISERROR(FIND("+",$A99)),ISERROR(SEARCH("E",$A99,2)),ISERROR(FIND(" ",TRIM($A99)))))</f>
        <v/>
      </c>
    </row>
    <row r="100">
      <c r="A100" s="156">
        <f>IF(itens_Remanesc!A100="","",itens_Remanesc!A100)</f>
        <v/>
      </c>
      <c r="B100" s="218">
        <f>IF(A100="","",itens_Remanesc!C100)</f>
        <v/>
      </c>
      <c r="C100" s="172">
        <f>IF(A100="","",IF(itens_Remanesc!B100="",0,itens_Remanesc!B100))</f>
        <v/>
      </c>
      <c r="D100" s="174">
        <f>IF(A100="","",ROUND(SUMIFS(aditivos!$L$2:$L$200,aditivos!$A$2:$A$200,A100,aditivos!$C$2:$C$200,"C0"),2))</f>
        <v/>
      </c>
      <c r="E100" s="170">
        <f>IF(A100="","",ROUND(C100+D100,2))</f>
        <v/>
      </c>
      <c r="F100" s="170">
        <f>IF(A100="","",IF(itens_Remanesc!B100&lt;&gt;"",itens_Remanesc!B100,IF($Z100,0,"")))</f>
        <v/>
      </c>
      <c r="G100" s="178">
        <f>IF(A100="","",IF($Y100="","",IF($Y100&gt;0,"",ROUND(E100,2))))</f>
        <v/>
      </c>
      <c r="H100" s="180">
        <f>IF(A100="","",ROUND(SUMIFS(aditivos!$L$2:$L$200,aditivos!$A$2:$A$200,A100,aditivos!$C$2:$C$200,"C1"),2))</f>
        <v/>
      </c>
      <c r="I100" s="176">
        <f>IF(A100="","",ROUND(E100+H100,2))</f>
        <v/>
      </c>
      <c r="J100" s="176">
        <f>IF(A100="","",IF(itens_Remanesc!E100="","",itens_Remanesc!E100))</f>
        <v/>
      </c>
      <c r="K100" s="182">
        <f>IF(A100="","",IF($Y100="","",IF($Y100&gt;1,"",IF(ISNUMBER(J100),ROUND(J100+H100,2),IF($Y100=1,ROUND(H100,2),"")))))</f>
        <v/>
      </c>
      <c r="L100" s="174">
        <f>IF(A100="","",ROUND(SUMIFS(aditivos!$L$2:$L$200,aditivos!$A$2:$A$200,A100,aditivos!$C$2:$C$200,"C2"),2))</f>
        <v/>
      </c>
      <c r="M100" s="170">
        <f>IF(A100="","",ROUND(I100+L100,2))</f>
        <v/>
      </c>
      <c r="N100" s="170">
        <f>IF(A100="","",IF(itens_Remanesc!G100="","",itens_Remanesc!G100))</f>
        <v/>
      </c>
      <c r="O100" s="178">
        <f>IF(A100="","",IF($Y100="","",IF($Y100&gt;2,"",IF(ISNUMBER(N100),ROUND(N100+L100,2),IF($Y100=2,ROUND(L100,2),"")))))</f>
        <v/>
      </c>
      <c r="P100" s="180">
        <f>IF(A100="","",ROUND(SUMIFS(aditivos!$L$2:$L$200,aditivos!$A$2:$A$200,A100,aditivos!$C$2:$C$200,"C3"),2))</f>
        <v/>
      </c>
      <c r="Q100" s="176">
        <f>IF(A100="","",ROUND(M100+P100,2))</f>
        <v/>
      </c>
      <c r="R100" s="176">
        <f>IF(A100="","",IF(itens_Remanesc!I100="","",itens_Remanesc!I100))</f>
        <v/>
      </c>
      <c r="S100" s="182">
        <f>IF(A100="","",IF($Y100="","",IF($Y100&gt;3,"",IF(ISNUMBER(R100),ROUND(R100+P100,2),IF($Y100=3,ROUND(P100,2),"")))))</f>
        <v/>
      </c>
      <c r="T100" s="174">
        <f>IF(A100="","",ROUND(SUMIFS(aditivos!$L$2:$L$200,aditivos!$A$2:$A$200,A100,aditivos!$C$2:$C$200,"C4"),2))</f>
        <v/>
      </c>
      <c r="U100" s="170">
        <f>IF(A100="","",ROUND(Q100+T100,2))</f>
        <v/>
      </c>
      <c r="V100" s="170">
        <f>IF(A100="","",IF(itens_Remanesc!K100="","",itens_Remanesc!K100))</f>
        <v/>
      </c>
      <c r="W100" s="170">
        <f>IF(A100="","",IF($Y100="","",IF($Y100&gt;4,"",IF(ISNUMBER(V100),ROUND(V100+T100,2),IF($Y100=4,ROUND(T100,2),"")))))</f>
        <v/>
      </c>
      <c r="X100" s="156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>
        <f>IF($A100="","",IF($E100&gt;0,0,IF($I100&gt;0,1,IF($M100&gt;0,2,IF($Q100&gt;0,3,IF($U100&gt;0,4,""))))))</f>
        <v/>
      </c>
      <c r="Z100">
        <f>IF($A100="",FALSE,AND(LEN(TRIM($A100))=4,LEFT(TRIM($A100),1)="N",ISNUMBER(--MID(TRIM($A100),2,3)),ISERROR(FIND(".",$A100)),ISERROR(FIND(",",$A100)),ISERROR(FIND("-",$A100)),ISERROR(FIND("+",$A100)),ISERROR(SEARCH("E",$A100,2)),ISERROR(FIND(" ",TRIM($A100)))))</f>
        <v/>
      </c>
    </row>
    <row r="101">
      <c r="A101" s="156">
        <f>IF(itens_Remanesc!A101="","",itens_Remanesc!A101)</f>
        <v/>
      </c>
      <c r="B101" s="218">
        <f>IF(A101="","",itens_Remanesc!C101)</f>
        <v/>
      </c>
      <c r="C101" s="172">
        <f>IF(A101="","",IF(itens_Remanesc!B101="",0,itens_Remanesc!B101))</f>
        <v/>
      </c>
      <c r="D101" s="174">
        <f>IF(A101="","",ROUND(SUMIFS(aditivos!$L$2:$L$200,aditivos!$A$2:$A$200,A101,aditivos!$C$2:$C$200,"C0"),2))</f>
        <v/>
      </c>
      <c r="E101" s="170">
        <f>IF(A101="","",ROUND(C101+D101,2))</f>
        <v/>
      </c>
      <c r="F101" s="170">
        <f>IF(A101="","",IF(itens_Remanesc!B101&lt;&gt;"",itens_Remanesc!B101,IF($Z101,0,"")))</f>
        <v/>
      </c>
      <c r="G101" s="178">
        <f>IF(A101="","",IF($Y101="","",IF($Y101&gt;0,"",ROUND(E101,2))))</f>
        <v/>
      </c>
      <c r="H101" s="180">
        <f>IF(A101="","",ROUND(SUMIFS(aditivos!$L$2:$L$200,aditivos!$A$2:$A$200,A101,aditivos!$C$2:$C$200,"C1"),2))</f>
        <v/>
      </c>
      <c r="I101" s="176">
        <f>IF(A101="","",ROUND(E101+H101,2))</f>
        <v/>
      </c>
      <c r="J101" s="176">
        <f>IF(A101="","",IF(itens_Remanesc!E101="","",itens_Remanesc!E101))</f>
        <v/>
      </c>
      <c r="K101" s="182">
        <f>IF(A101="","",IF($Y101="","",IF($Y101&gt;1,"",IF(ISNUMBER(J101),ROUND(J101+H101,2),IF($Y101=1,ROUND(H101,2),"")))))</f>
        <v/>
      </c>
      <c r="L101" s="174">
        <f>IF(A101="","",ROUND(SUMIFS(aditivos!$L$2:$L$200,aditivos!$A$2:$A$200,A101,aditivos!$C$2:$C$200,"C2"),2))</f>
        <v/>
      </c>
      <c r="M101" s="170">
        <f>IF(A101="","",ROUND(I101+L101,2))</f>
        <v/>
      </c>
      <c r="N101" s="170">
        <f>IF(A101="","",IF(itens_Remanesc!G101="","",itens_Remanesc!G101))</f>
        <v/>
      </c>
      <c r="O101" s="178">
        <f>IF(A101="","",IF($Y101="","",IF($Y101&gt;2,"",IF(ISNUMBER(N101),ROUND(N101+L101,2),IF($Y101=2,ROUND(L101,2),"")))))</f>
        <v/>
      </c>
      <c r="P101" s="180">
        <f>IF(A101="","",ROUND(SUMIFS(aditivos!$L$2:$L$200,aditivos!$A$2:$A$200,A101,aditivos!$C$2:$C$200,"C3"),2))</f>
        <v/>
      </c>
      <c r="Q101" s="176">
        <f>IF(A101="","",ROUND(M101+P101,2))</f>
        <v/>
      </c>
      <c r="R101" s="176">
        <f>IF(A101="","",IF(itens_Remanesc!I101="","",itens_Remanesc!I101))</f>
        <v/>
      </c>
      <c r="S101" s="182">
        <f>IF(A101="","",IF($Y101="","",IF($Y101&gt;3,"",IF(ISNUMBER(R101),ROUND(R101+P101,2),IF($Y101=3,ROUND(P101,2),"")))))</f>
        <v/>
      </c>
      <c r="T101" s="174">
        <f>IF(A101="","",ROUND(SUMIFS(aditivos!$L$2:$L$200,aditivos!$A$2:$A$200,A101,aditivos!$C$2:$C$200,"C4"),2))</f>
        <v/>
      </c>
      <c r="U101" s="170">
        <f>IF(A101="","",ROUND(Q101+T101,2))</f>
        <v/>
      </c>
      <c r="V101" s="170">
        <f>IF(A101="","",IF(itens_Remanesc!K101="","",itens_Remanesc!K101))</f>
        <v/>
      </c>
      <c r="W101" s="170">
        <f>IF(A101="","",IF($Y101="","",IF($Y101&gt;4,"",IF(ISNUMBER(V101),ROUND(V101+T101,2),IF($Y101=4,ROUND(T101,2),"")))))</f>
        <v/>
      </c>
      <c r="X101" s="156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>
        <f>IF($A101="","",IF($E101&gt;0,0,IF($I101&gt;0,1,IF($M101&gt;0,2,IF($Q101&gt;0,3,IF($U101&gt;0,4,""))))))</f>
        <v/>
      </c>
      <c r="Z101">
        <f>IF($A101="",FALSE,AND(LEN(TRIM($A101))=4,LEFT(TRIM($A101),1)="N",ISNUMBER(--MID(TRIM($A101),2,3)),ISERROR(FIND(".",$A101)),ISERROR(FIND(",",$A101)),ISERROR(FIND("-",$A101)),ISERROR(FIND("+",$A101)),ISERROR(SEARCH("E",$A101,2)),ISERROR(FIND(" ",TRIM($A101)))))</f>
        <v/>
      </c>
    </row>
    <row r="102">
      <c r="A102" s="156">
        <f>IF(itens_Remanesc!A102="","",itens_Remanesc!A102)</f>
        <v/>
      </c>
      <c r="B102" s="218">
        <f>IF(A102="","",itens_Remanesc!C102)</f>
        <v/>
      </c>
      <c r="C102" s="172">
        <f>IF(A102="","",IF(itens_Remanesc!B102="",0,itens_Remanesc!B102))</f>
        <v/>
      </c>
      <c r="D102" s="174">
        <f>IF(A102="","",ROUND(SUMIFS(aditivos!$L$2:$L$200,aditivos!$A$2:$A$200,A102,aditivos!$C$2:$C$200,"C0"),2))</f>
        <v/>
      </c>
      <c r="E102" s="170">
        <f>IF(A102="","",ROUND(C102+D102,2))</f>
        <v/>
      </c>
      <c r="F102" s="170">
        <f>IF(A102="","",IF(itens_Remanesc!B102&lt;&gt;"",itens_Remanesc!B102,IF($Z102,0,"")))</f>
        <v/>
      </c>
      <c r="G102" s="178">
        <f>IF(A102="","",IF($Y102="","",IF($Y102&gt;0,"",ROUND(E102,2))))</f>
        <v/>
      </c>
      <c r="H102" s="180">
        <f>IF(A102="","",ROUND(SUMIFS(aditivos!$L$2:$L$200,aditivos!$A$2:$A$200,A102,aditivos!$C$2:$C$200,"C1"),2))</f>
        <v/>
      </c>
      <c r="I102" s="176">
        <f>IF(A102="","",ROUND(E102+H102,2))</f>
        <v/>
      </c>
      <c r="J102" s="176">
        <f>IF(A102="","",IF(itens_Remanesc!E102="","",itens_Remanesc!E102))</f>
        <v/>
      </c>
      <c r="K102" s="182">
        <f>IF(A102="","",IF($Y102="","",IF($Y102&gt;1,"",IF(ISNUMBER(J102),ROUND(J102+H102,2),IF($Y102=1,ROUND(H102,2),"")))))</f>
        <v/>
      </c>
      <c r="L102" s="174">
        <f>IF(A102="","",ROUND(SUMIFS(aditivos!$L$2:$L$200,aditivos!$A$2:$A$200,A102,aditivos!$C$2:$C$200,"C2"),2))</f>
        <v/>
      </c>
      <c r="M102" s="170">
        <f>IF(A102="","",ROUND(I102+L102,2))</f>
        <v/>
      </c>
      <c r="N102" s="170">
        <f>IF(A102="","",IF(itens_Remanesc!G102="","",itens_Remanesc!G102))</f>
        <v/>
      </c>
      <c r="O102" s="178">
        <f>IF(A102="","",IF($Y102="","",IF($Y102&gt;2,"",IF(ISNUMBER(N102),ROUND(N102+L102,2),IF($Y102=2,ROUND(L102,2),"")))))</f>
        <v/>
      </c>
      <c r="P102" s="180">
        <f>IF(A102="","",ROUND(SUMIFS(aditivos!$L$2:$L$200,aditivos!$A$2:$A$200,A102,aditivos!$C$2:$C$200,"C3"),2))</f>
        <v/>
      </c>
      <c r="Q102" s="176">
        <f>IF(A102="","",ROUND(M102+P102,2))</f>
        <v/>
      </c>
      <c r="R102" s="176">
        <f>IF(A102="","",IF(itens_Remanesc!I102="","",itens_Remanesc!I102))</f>
        <v/>
      </c>
      <c r="S102" s="182">
        <f>IF(A102="","",IF($Y102="","",IF($Y102&gt;3,"",IF(ISNUMBER(R102),ROUND(R102+P102,2),IF($Y102=3,ROUND(P102,2),"")))))</f>
        <v/>
      </c>
      <c r="T102" s="174">
        <f>IF(A102="","",ROUND(SUMIFS(aditivos!$L$2:$L$200,aditivos!$A$2:$A$200,A102,aditivos!$C$2:$C$200,"C4"),2))</f>
        <v/>
      </c>
      <c r="U102" s="170">
        <f>IF(A102="","",ROUND(Q102+T102,2))</f>
        <v/>
      </c>
      <c r="V102" s="170">
        <f>IF(A102="","",IF(itens_Remanesc!K102="","",itens_Remanesc!K102))</f>
        <v/>
      </c>
      <c r="W102" s="170">
        <f>IF(A102="","",IF($Y102="","",IF($Y102&gt;4,"",IF(ISNUMBER(V102),ROUND(V102+T102,2),IF($Y102=4,ROUND(T102,2),"")))))</f>
        <v/>
      </c>
      <c r="X102" s="156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>
        <f>IF($A102="","",IF($E102&gt;0,0,IF($I102&gt;0,1,IF($M102&gt;0,2,IF($Q102&gt;0,3,IF($U102&gt;0,4,""))))))</f>
        <v/>
      </c>
      <c r="Z102">
        <f>IF($A102="",FALSE,AND(LEN(TRIM($A102))=4,LEFT(TRIM($A102),1)="N",ISNUMBER(--MID(TRIM($A102),2,3)),ISERROR(FIND(".",$A102)),ISERROR(FIND(",",$A102)),ISERROR(FIND("-",$A102)),ISERROR(FIND("+",$A102)),ISERROR(SEARCH("E",$A102,2)),ISERROR(FIND(" ",TRIM($A102)))))</f>
        <v/>
      </c>
    </row>
    <row r="103">
      <c r="A103" s="156">
        <f>IF(itens_Remanesc!A103="","",itens_Remanesc!A103)</f>
        <v/>
      </c>
      <c r="B103" s="218">
        <f>IF(A103="","",itens_Remanesc!C103)</f>
        <v/>
      </c>
      <c r="C103" s="172">
        <f>IF(A103="","",IF(itens_Remanesc!B103="",0,itens_Remanesc!B103))</f>
        <v/>
      </c>
      <c r="D103" s="174">
        <f>IF(A103="","",ROUND(SUMIFS(aditivos!$L$2:$L$200,aditivos!$A$2:$A$200,A103,aditivos!$C$2:$C$200,"C0"),2))</f>
        <v/>
      </c>
      <c r="E103" s="170">
        <f>IF(A103="","",ROUND(C103+D103,2))</f>
        <v/>
      </c>
      <c r="F103" s="170">
        <f>IF(A103="","",IF(itens_Remanesc!B103&lt;&gt;"",itens_Remanesc!B103,IF($Z103,0,"")))</f>
        <v/>
      </c>
      <c r="G103" s="178">
        <f>IF(A103="","",IF($Y103="","",IF($Y103&gt;0,"",ROUND(E103,2))))</f>
        <v/>
      </c>
      <c r="H103" s="180">
        <f>IF(A103="","",ROUND(SUMIFS(aditivos!$L$2:$L$200,aditivos!$A$2:$A$200,A103,aditivos!$C$2:$C$200,"C1"),2))</f>
        <v/>
      </c>
      <c r="I103" s="176">
        <f>IF(A103="","",ROUND(E103+H103,2))</f>
        <v/>
      </c>
      <c r="J103" s="176">
        <f>IF(A103="","",IF(itens_Remanesc!E103="","",itens_Remanesc!E103))</f>
        <v/>
      </c>
      <c r="K103" s="182">
        <f>IF(A103="","",IF($Y103="","",IF($Y103&gt;1,"",IF(ISNUMBER(J103),ROUND(J103+H103,2),IF($Y103=1,ROUND(H103,2),"")))))</f>
        <v/>
      </c>
      <c r="L103" s="174">
        <f>IF(A103="","",ROUND(SUMIFS(aditivos!$L$2:$L$200,aditivos!$A$2:$A$200,A103,aditivos!$C$2:$C$200,"C2"),2))</f>
        <v/>
      </c>
      <c r="M103" s="170">
        <f>IF(A103="","",ROUND(I103+L103,2))</f>
        <v/>
      </c>
      <c r="N103" s="170">
        <f>IF(A103="","",IF(itens_Remanesc!G103="","",itens_Remanesc!G103))</f>
        <v/>
      </c>
      <c r="O103" s="178">
        <f>IF(A103="","",IF($Y103="","",IF($Y103&gt;2,"",IF(ISNUMBER(N103),ROUND(N103+L103,2),IF($Y103=2,ROUND(L103,2),"")))))</f>
        <v/>
      </c>
      <c r="P103" s="180">
        <f>IF(A103="","",ROUND(SUMIFS(aditivos!$L$2:$L$200,aditivos!$A$2:$A$200,A103,aditivos!$C$2:$C$200,"C3"),2))</f>
        <v/>
      </c>
      <c r="Q103" s="176">
        <f>IF(A103="","",ROUND(M103+P103,2))</f>
        <v/>
      </c>
      <c r="R103" s="176">
        <f>IF(A103="","",IF(itens_Remanesc!I103="","",itens_Remanesc!I103))</f>
        <v/>
      </c>
      <c r="S103" s="182">
        <f>IF(A103="","",IF($Y103="","",IF($Y103&gt;3,"",IF(ISNUMBER(R103),ROUND(R103+P103,2),IF($Y103=3,ROUND(P103,2),"")))))</f>
        <v/>
      </c>
      <c r="T103" s="174">
        <f>IF(A103="","",ROUND(SUMIFS(aditivos!$L$2:$L$200,aditivos!$A$2:$A$200,A103,aditivos!$C$2:$C$200,"C4"),2))</f>
        <v/>
      </c>
      <c r="U103" s="170">
        <f>IF(A103="","",ROUND(Q103+T103,2))</f>
        <v/>
      </c>
      <c r="V103" s="170">
        <f>IF(A103="","",IF(itens_Remanesc!K103="","",itens_Remanesc!K103))</f>
        <v/>
      </c>
      <c r="W103" s="170">
        <f>IF(A103="","",IF($Y103="","",IF($Y103&gt;4,"",IF(ISNUMBER(V103),ROUND(V103+T103,2),IF($Y103=4,ROUND(T103,2),"")))))</f>
        <v/>
      </c>
      <c r="X103" s="156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>
        <f>IF($A103="","",IF($E103&gt;0,0,IF($I103&gt;0,1,IF($M103&gt;0,2,IF($Q103&gt;0,3,IF($U103&gt;0,4,""))))))</f>
        <v/>
      </c>
      <c r="Z103">
        <f>IF($A103="",FALSE,AND(LEN(TRIM($A103))=4,LEFT(TRIM($A103),1)="N",ISNUMBER(--MID(TRIM($A103),2,3)),ISERROR(FIND(".",$A103)),ISERROR(FIND(",",$A103)),ISERROR(FIND("-",$A103)),ISERROR(FIND("+",$A103)),ISERROR(SEARCH("E",$A103,2)),ISERROR(FIND(" ",TRIM($A103)))))</f>
        <v/>
      </c>
    </row>
    <row r="104">
      <c r="A104" s="156">
        <f>IF(itens_Remanesc!A104="","",itens_Remanesc!A104)</f>
        <v/>
      </c>
      <c r="B104" s="218">
        <f>IF(A104="","",itens_Remanesc!C104)</f>
        <v/>
      </c>
      <c r="C104" s="172">
        <f>IF(A104="","",IF(itens_Remanesc!B104="",0,itens_Remanesc!B104))</f>
        <v/>
      </c>
      <c r="D104" s="174">
        <f>IF(A104="","",ROUND(SUMIFS(aditivos!$L$2:$L$200,aditivos!$A$2:$A$200,A104,aditivos!$C$2:$C$200,"C0"),2))</f>
        <v/>
      </c>
      <c r="E104" s="170">
        <f>IF(A104="","",ROUND(C104+D104,2))</f>
        <v/>
      </c>
      <c r="F104" s="170">
        <f>IF(A104="","",IF(itens_Remanesc!B104&lt;&gt;"",itens_Remanesc!B104,IF($Z104,0,"")))</f>
        <v/>
      </c>
      <c r="G104" s="178">
        <f>IF(A104="","",IF($Y104="","",IF($Y104&gt;0,"",ROUND(E104,2))))</f>
        <v/>
      </c>
      <c r="H104" s="180">
        <f>IF(A104="","",ROUND(SUMIFS(aditivos!$L$2:$L$200,aditivos!$A$2:$A$200,A104,aditivos!$C$2:$C$200,"C1"),2))</f>
        <v/>
      </c>
      <c r="I104" s="176">
        <f>IF(A104="","",ROUND(E104+H104,2))</f>
        <v/>
      </c>
      <c r="J104" s="176">
        <f>IF(A104="","",IF(itens_Remanesc!E104="","",itens_Remanesc!E104))</f>
        <v/>
      </c>
      <c r="K104" s="182">
        <f>IF(A104="","",IF($Y104="","",IF($Y104&gt;1,"",IF(ISNUMBER(J104),ROUND(J104+H104,2),IF($Y104=1,ROUND(H104,2),"")))))</f>
        <v/>
      </c>
      <c r="L104" s="174">
        <f>IF(A104="","",ROUND(SUMIFS(aditivos!$L$2:$L$200,aditivos!$A$2:$A$200,A104,aditivos!$C$2:$C$200,"C2"),2))</f>
        <v/>
      </c>
      <c r="M104" s="170">
        <f>IF(A104="","",ROUND(I104+L104,2))</f>
        <v/>
      </c>
      <c r="N104" s="170">
        <f>IF(A104="","",IF(itens_Remanesc!G104="","",itens_Remanesc!G104))</f>
        <v/>
      </c>
      <c r="O104" s="178">
        <f>IF(A104="","",IF($Y104="","",IF($Y104&gt;2,"",IF(ISNUMBER(N104),ROUND(N104+L104,2),IF($Y104=2,ROUND(L104,2),"")))))</f>
        <v/>
      </c>
      <c r="P104" s="180">
        <f>IF(A104="","",ROUND(SUMIFS(aditivos!$L$2:$L$200,aditivos!$A$2:$A$200,A104,aditivos!$C$2:$C$200,"C3"),2))</f>
        <v/>
      </c>
      <c r="Q104" s="176">
        <f>IF(A104="","",ROUND(M104+P104,2))</f>
        <v/>
      </c>
      <c r="R104" s="176">
        <f>IF(A104="","",IF(itens_Remanesc!I104="","",itens_Remanesc!I104))</f>
        <v/>
      </c>
      <c r="S104" s="182">
        <f>IF(A104="","",IF($Y104="","",IF($Y104&gt;3,"",IF(ISNUMBER(R104),ROUND(R104+P104,2),IF($Y104=3,ROUND(P104,2),"")))))</f>
        <v/>
      </c>
      <c r="T104" s="174">
        <f>IF(A104="","",ROUND(SUMIFS(aditivos!$L$2:$L$200,aditivos!$A$2:$A$200,A104,aditivos!$C$2:$C$200,"C4"),2))</f>
        <v/>
      </c>
      <c r="U104" s="170">
        <f>IF(A104="","",ROUND(Q104+T104,2))</f>
        <v/>
      </c>
      <c r="V104" s="170">
        <f>IF(A104="","",IF(itens_Remanesc!K104="","",itens_Remanesc!K104))</f>
        <v/>
      </c>
      <c r="W104" s="170">
        <f>IF(A104="","",IF($Y104="","",IF($Y104&gt;4,"",IF(ISNUMBER(V104),ROUND(V104+T104,2),IF($Y104=4,ROUND(T104,2),"")))))</f>
        <v/>
      </c>
      <c r="X104" s="156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>
        <f>IF($A104="","",IF($E104&gt;0,0,IF($I104&gt;0,1,IF($M104&gt;0,2,IF($Q104&gt;0,3,IF($U104&gt;0,4,""))))))</f>
        <v/>
      </c>
      <c r="Z104">
        <f>IF($A104="",FALSE,AND(LEN(TRIM($A104))=4,LEFT(TRIM($A104),1)="N",ISNUMBER(--MID(TRIM($A104),2,3)),ISERROR(FIND(".",$A104)),ISERROR(FIND(",",$A104)),ISERROR(FIND("-",$A104)),ISERROR(FIND("+",$A104)),ISERROR(SEARCH("E",$A104,2)),ISERROR(FIND(" ",TRIM($A104)))))</f>
        <v/>
      </c>
    </row>
    <row r="105">
      <c r="A105" s="156">
        <f>IF(itens_Remanesc!A105="","",itens_Remanesc!A105)</f>
        <v/>
      </c>
      <c r="B105" s="218">
        <f>IF(A105="","",itens_Remanesc!C105)</f>
        <v/>
      </c>
      <c r="C105" s="172">
        <f>IF(A105="","",IF(itens_Remanesc!B105="",0,itens_Remanesc!B105))</f>
        <v/>
      </c>
      <c r="D105" s="174">
        <f>IF(A105="","",ROUND(SUMIFS(aditivos!$L$2:$L$200,aditivos!$A$2:$A$200,A105,aditivos!$C$2:$C$200,"C0"),2))</f>
        <v/>
      </c>
      <c r="E105" s="170">
        <f>IF(A105="","",ROUND(C105+D105,2))</f>
        <v/>
      </c>
      <c r="F105" s="170">
        <f>IF(A105="","",IF(itens_Remanesc!B105&lt;&gt;"",itens_Remanesc!B105,IF($Z105,0,"")))</f>
        <v/>
      </c>
      <c r="G105" s="178">
        <f>IF(A105="","",IF($Y105="","",IF($Y105&gt;0,"",ROUND(E105,2))))</f>
        <v/>
      </c>
      <c r="H105" s="180">
        <f>IF(A105="","",ROUND(SUMIFS(aditivos!$L$2:$L$200,aditivos!$A$2:$A$200,A105,aditivos!$C$2:$C$200,"C1"),2))</f>
        <v/>
      </c>
      <c r="I105" s="176">
        <f>IF(A105="","",ROUND(E105+H105,2))</f>
        <v/>
      </c>
      <c r="J105" s="176">
        <f>IF(A105="","",IF(itens_Remanesc!E105="","",itens_Remanesc!E105))</f>
        <v/>
      </c>
      <c r="K105" s="182">
        <f>IF(A105="","",IF($Y105="","",IF($Y105&gt;1,"",IF(ISNUMBER(J105),ROUND(J105+H105,2),IF($Y105=1,ROUND(H105,2),"")))))</f>
        <v/>
      </c>
      <c r="L105" s="174">
        <f>IF(A105="","",ROUND(SUMIFS(aditivos!$L$2:$L$200,aditivos!$A$2:$A$200,A105,aditivos!$C$2:$C$200,"C2"),2))</f>
        <v/>
      </c>
      <c r="M105" s="170">
        <f>IF(A105="","",ROUND(I105+L105,2))</f>
        <v/>
      </c>
      <c r="N105" s="170">
        <f>IF(A105="","",IF(itens_Remanesc!G105="","",itens_Remanesc!G105))</f>
        <v/>
      </c>
      <c r="O105" s="178">
        <f>IF(A105="","",IF($Y105="","",IF($Y105&gt;2,"",IF(ISNUMBER(N105),ROUND(N105+L105,2),IF($Y105=2,ROUND(L105,2),"")))))</f>
        <v/>
      </c>
      <c r="P105" s="180">
        <f>IF(A105="","",ROUND(SUMIFS(aditivos!$L$2:$L$200,aditivos!$A$2:$A$200,A105,aditivos!$C$2:$C$200,"C3"),2))</f>
        <v/>
      </c>
      <c r="Q105" s="176">
        <f>IF(A105="","",ROUND(M105+P105,2))</f>
        <v/>
      </c>
      <c r="R105" s="176">
        <f>IF(A105="","",IF(itens_Remanesc!I105="","",itens_Remanesc!I105))</f>
        <v/>
      </c>
      <c r="S105" s="182">
        <f>IF(A105="","",IF($Y105="","",IF($Y105&gt;3,"",IF(ISNUMBER(R105),ROUND(R105+P105,2),IF($Y105=3,ROUND(P105,2),"")))))</f>
        <v/>
      </c>
      <c r="T105" s="174">
        <f>IF(A105="","",ROUND(SUMIFS(aditivos!$L$2:$L$200,aditivos!$A$2:$A$200,A105,aditivos!$C$2:$C$200,"C4"),2))</f>
        <v/>
      </c>
      <c r="U105" s="170">
        <f>IF(A105="","",ROUND(Q105+T105,2))</f>
        <v/>
      </c>
      <c r="V105" s="170">
        <f>IF(A105="","",IF(itens_Remanesc!K105="","",itens_Remanesc!K105))</f>
        <v/>
      </c>
      <c r="W105" s="170">
        <f>IF(A105="","",IF($Y105="","",IF($Y105&gt;4,"",IF(ISNUMBER(V105),ROUND(V105+T105,2),IF($Y105=4,ROUND(T105,2),"")))))</f>
        <v/>
      </c>
      <c r="X105" s="156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>
        <f>IF($A105="","",IF($E105&gt;0,0,IF($I105&gt;0,1,IF($M105&gt;0,2,IF($Q105&gt;0,3,IF($U105&gt;0,4,""))))))</f>
        <v/>
      </c>
      <c r="Z105">
        <f>IF($A105="",FALSE,AND(LEN(TRIM($A105))=4,LEFT(TRIM($A105),1)="N",ISNUMBER(--MID(TRIM($A105),2,3)),ISERROR(FIND(".",$A105)),ISERROR(FIND(",",$A105)),ISERROR(FIND("-",$A105)),ISERROR(FIND("+",$A105)),ISERROR(SEARCH("E",$A105,2)),ISERROR(FIND(" ",TRIM($A105)))))</f>
        <v/>
      </c>
    </row>
    <row r="106">
      <c r="A106" s="156">
        <f>IF(itens_Remanesc!A106="","",itens_Remanesc!A106)</f>
        <v/>
      </c>
      <c r="B106" s="218">
        <f>IF(A106="","",itens_Remanesc!C106)</f>
        <v/>
      </c>
      <c r="C106" s="172">
        <f>IF(A106="","",IF(itens_Remanesc!B106="",0,itens_Remanesc!B106))</f>
        <v/>
      </c>
      <c r="D106" s="174">
        <f>IF(A106="","",ROUND(SUMIFS(aditivos!$L$2:$L$200,aditivos!$A$2:$A$200,A106,aditivos!$C$2:$C$200,"C0"),2))</f>
        <v/>
      </c>
      <c r="E106" s="170">
        <f>IF(A106="","",ROUND(C106+D106,2))</f>
        <v/>
      </c>
      <c r="F106" s="170">
        <f>IF(A106="","",IF(itens_Remanesc!B106&lt;&gt;"",itens_Remanesc!B106,IF($Z106,0,"")))</f>
        <v/>
      </c>
      <c r="G106" s="178">
        <f>IF(A106="","",IF($Y106="","",IF($Y106&gt;0,"",ROUND(E106,2))))</f>
        <v/>
      </c>
      <c r="H106" s="180">
        <f>IF(A106="","",ROUND(SUMIFS(aditivos!$L$2:$L$200,aditivos!$A$2:$A$200,A106,aditivos!$C$2:$C$200,"C1"),2))</f>
        <v/>
      </c>
      <c r="I106" s="176">
        <f>IF(A106="","",ROUND(E106+H106,2))</f>
        <v/>
      </c>
      <c r="J106" s="176">
        <f>IF(A106="","",IF(itens_Remanesc!E106="","",itens_Remanesc!E106))</f>
        <v/>
      </c>
      <c r="K106" s="182">
        <f>IF(A106="","",IF($Y106="","",IF($Y106&gt;1,"",IF(ISNUMBER(J106),ROUND(J106+H106,2),IF($Y106=1,ROUND(H106,2),"")))))</f>
        <v/>
      </c>
      <c r="L106" s="174">
        <f>IF(A106="","",ROUND(SUMIFS(aditivos!$L$2:$L$200,aditivos!$A$2:$A$200,A106,aditivos!$C$2:$C$200,"C2"),2))</f>
        <v/>
      </c>
      <c r="M106" s="170">
        <f>IF(A106="","",ROUND(I106+L106,2))</f>
        <v/>
      </c>
      <c r="N106" s="170">
        <f>IF(A106="","",IF(itens_Remanesc!G106="","",itens_Remanesc!G106))</f>
        <v/>
      </c>
      <c r="O106" s="178">
        <f>IF(A106="","",IF($Y106="","",IF($Y106&gt;2,"",IF(ISNUMBER(N106),ROUND(N106+L106,2),IF($Y106=2,ROUND(L106,2),"")))))</f>
        <v/>
      </c>
      <c r="P106" s="180">
        <f>IF(A106="","",ROUND(SUMIFS(aditivos!$L$2:$L$200,aditivos!$A$2:$A$200,A106,aditivos!$C$2:$C$200,"C3"),2))</f>
        <v/>
      </c>
      <c r="Q106" s="176">
        <f>IF(A106="","",ROUND(M106+P106,2))</f>
        <v/>
      </c>
      <c r="R106" s="176">
        <f>IF(A106="","",IF(itens_Remanesc!I106="","",itens_Remanesc!I106))</f>
        <v/>
      </c>
      <c r="S106" s="182">
        <f>IF(A106="","",IF($Y106="","",IF($Y106&gt;3,"",IF(ISNUMBER(R106),ROUND(R106+P106,2),IF($Y106=3,ROUND(P106,2),"")))))</f>
        <v/>
      </c>
      <c r="T106" s="174">
        <f>IF(A106="","",ROUND(SUMIFS(aditivos!$L$2:$L$200,aditivos!$A$2:$A$200,A106,aditivos!$C$2:$C$200,"C4"),2))</f>
        <v/>
      </c>
      <c r="U106" s="170">
        <f>IF(A106="","",ROUND(Q106+T106,2))</f>
        <v/>
      </c>
      <c r="V106" s="170">
        <f>IF(A106="","",IF(itens_Remanesc!K106="","",itens_Remanesc!K106))</f>
        <v/>
      </c>
      <c r="W106" s="170">
        <f>IF(A106="","",IF($Y106="","",IF($Y106&gt;4,"",IF(ISNUMBER(V106),ROUND(V106+T106,2),IF($Y106=4,ROUND(T106,2),"")))))</f>
        <v/>
      </c>
      <c r="X106" s="156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>
        <f>IF($A106="","",IF($E106&gt;0,0,IF($I106&gt;0,1,IF($M106&gt;0,2,IF($Q106&gt;0,3,IF($U106&gt;0,4,""))))))</f>
        <v/>
      </c>
      <c r="Z106">
        <f>IF($A106="",FALSE,AND(LEN(TRIM($A106))=4,LEFT(TRIM($A106),1)="N",ISNUMBER(--MID(TRIM($A106),2,3)),ISERROR(FIND(".",$A106)),ISERROR(FIND(",",$A106)),ISERROR(FIND("-",$A106)),ISERROR(FIND("+",$A106)),ISERROR(SEARCH("E",$A106,2)),ISERROR(FIND(" ",TRIM($A106)))))</f>
        <v/>
      </c>
    </row>
    <row r="107">
      <c r="A107" s="156">
        <f>IF(itens_Remanesc!A107="","",itens_Remanesc!A107)</f>
        <v/>
      </c>
      <c r="B107" s="218">
        <f>IF(A107="","",itens_Remanesc!C107)</f>
        <v/>
      </c>
      <c r="C107" s="172">
        <f>IF(A107="","",IF(itens_Remanesc!B107="",0,itens_Remanesc!B107))</f>
        <v/>
      </c>
      <c r="D107" s="174">
        <f>IF(A107="","",ROUND(SUMIFS(aditivos!$L$2:$L$200,aditivos!$A$2:$A$200,A107,aditivos!$C$2:$C$200,"C0"),2))</f>
        <v/>
      </c>
      <c r="E107" s="170">
        <f>IF(A107="","",ROUND(C107+D107,2))</f>
        <v/>
      </c>
      <c r="F107" s="170">
        <f>IF(A107="","",IF(itens_Remanesc!B107&lt;&gt;"",itens_Remanesc!B107,IF($Z107,0,"")))</f>
        <v/>
      </c>
      <c r="G107" s="178">
        <f>IF(A107="","",IF($Y107="","",IF($Y107&gt;0,"",ROUND(E107,2))))</f>
        <v/>
      </c>
      <c r="H107" s="180">
        <f>IF(A107="","",ROUND(SUMIFS(aditivos!$L$2:$L$200,aditivos!$A$2:$A$200,A107,aditivos!$C$2:$C$200,"C1"),2))</f>
        <v/>
      </c>
      <c r="I107" s="176">
        <f>IF(A107="","",ROUND(E107+H107,2))</f>
        <v/>
      </c>
      <c r="J107" s="176">
        <f>IF(A107="","",IF(itens_Remanesc!E107="","",itens_Remanesc!E107))</f>
        <v/>
      </c>
      <c r="K107" s="182">
        <f>IF(A107="","",IF($Y107="","",IF($Y107&gt;1,"",IF(ISNUMBER(J107),ROUND(J107+H107,2),IF($Y107=1,ROUND(H107,2),"")))))</f>
        <v/>
      </c>
      <c r="L107" s="174">
        <f>IF(A107="","",ROUND(SUMIFS(aditivos!$L$2:$L$200,aditivos!$A$2:$A$200,A107,aditivos!$C$2:$C$200,"C2"),2))</f>
        <v/>
      </c>
      <c r="M107" s="170">
        <f>IF(A107="","",ROUND(I107+L107,2))</f>
        <v/>
      </c>
      <c r="N107" s="170">
        <f>IF(A107="","",IF(itens_Remanesc!G107="","",itens_Remanesc!G107))</f>
        <v/>
      </c>
      <c r="O107" s="178">
        <f>IF(A107="","",IF($Y107="","",IF($Y107&gt;2,"",IF(ISNUMBER(N107),ROUND(N107+L107,2),IF($Y107=2,ROUND(L107,2),"")))))</f>
        <v/>
      </c>
      <c r="P107" s="180">
        <f>IF(A107="","",ROUND(SUMIFS(aditivos!$L$2:$L$200,aditivos!$A$2:$A$200,A107,aditivos!$C$2:$C$200,"C3"),2))</f>
        <v/>
      </c>
      <c r="Q107" s="176">
        <f>IF(A107="","",ROUND(M107+P107,2))</f>
        <v/>
      </c>
      <c r="R107" s="176">
        <f>IF(A107="","",IF(itens_Remanesc!I107="","",itens_Remanesc!I107))</f>
        <v/>
      </c>
      <c r="S107" s="182">
        <f>IF(A107="","",IF($Y107="","",IF($Y107&gt;3,"",IF(ISNUMBER(R107),ROUND(R107+P107,2),IF($Y107=3,ROUND(P107,2),"")))))</f>
        <v/>
      </c>
      <c r="T107" s="174">
        <f>IF(A107="","",ROUND(SUMIFS(aditivos!$L$2:$L$200,aditivos!$A$2:$A$200,A107,aditivos!$C$2:$C$200,"C4"),2))</f>
        <v/>
      </c>
      <c r="U107" s="170">
        <f>IF(A107="","",ROUND(Q107+T107,2))</f>
        <v/>
      </c>
      <c r="V107" s="170">
        <f>IF(A107="","",IF(itens_Remanesc!K107="","",itens_Remanesc!K107))</f>
        <v/>
      </c>
      <c r="W107" s="170">
        <f>IF(A107="","",IF($Y107="","",IF($Y107&gt;4,"",IF(ISNUMBER(V107),ROUND(V107+T107,2),IF($Y107=4,ROUND(T107,2),"")))))</f>
        <v/>
      </c>
      <c r="X107" s="156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>
        <f>IF($A107="","",IF($E107&gt;0,0,IF($I107&gt;0,1,IF($M107&gt;0,2,IF($Q107&gt;0,3,IF($U107&gt;0,4,""))))))</f>
        <v/>
      </c>
      <c r="Z107">
        <f>IF($A107="",FALSE,AND(LEN(TRIM($A107))=4,LEFT(TRIM($A107),1)="N",ISNUMBER(--MID(TRIM($A107),2,3)),ISERROR(FIND(".",$A107)),ISERROR(FIND(",",$A107)),ISERROR(FIND("-",$A107)),ISERROR(FIND("+",$A107)),ISERROR(SEARCH("E",$A107,2)),ISERROR(FIND(" ",TRIM($A107)))))</f>
        <v/>
      </c>
    </row>
    <row r="108">
      <c r="A108" s="156">
        <f>IF(itens_Remanesc!A108="","",itens_Remanesc!A108)</f>
        <v/>
      </c>
      <c r="B108" s="218">
        <f>IF(A108="","",itens_Remanesc!C108)</f>
        <v/>
      </c>
      <c r="C108" s="172">
        <f>IF(A108="","",IF(itens_Remanesc!B108="",0,itens_Remanesc!B108))</f>
        <v/>
      </c>
      <c r="D108" s="174">
        <f>IF(A108="","",ROUND(SUMIFS(aditivos!$L$2:$L$200,aditivos!$A$2:$A$200,A108,aditivos!$C$2:$C$200,"C0"),2))</f>
        <v/>
      </c>
      <c r="E108" s="170">
        <f>IF(A108="","",ROUND(C108+D108,2))</f>
        <v/>
      </c>
      <c r="F108" s="170">
        <f>IF(A108="","",IF(itens_Remanesc!B108&lt;&gt;"",itens_Remanesc!B108,IF($Z108,0,"")))</f>
        <v/>
      </c>
      <c r="G108" s="178">
        <f>IF(A108="","",IF($Y108="","",IF($Y108&gt;0,"",ROUND(E108,2))))</f>
        <v/>
      </c>
      <c r="H108" s="180">
        <f>IF(A108="","",ROUND(SUMIFS(aditivos!$L$2:$L$200,aditivos!$A$2:$A$200,A108,aditivos!$C$2:$C$200,"C1"),2))</f>
        <v/>
      </c>
      <c r="I108" s="176">
        <f>IF(A108="","",ROUND(E108+H108,2))</f>
        <v/>
      </c>
      <c r="J108" s="176">
        <f>IF(A108="","",IF(itens_Remanesc!E108="","",itens_Remanesc!E108))</f>
        <v/>
      </c>
      <c r="K108" s="182">
        <f>IF(A108="","",IF($Y108="","",IF($Y108&gt;1,"",IF(ISNUMBER(J108),ROUND(J108+H108,2),IF($Y108=1,ROUND(H108,2),"")))))</f>
        <v/>
      </c>
      <c r="L108" s="174">
        <f>IF(A108="","",ROUND(SUMIFS(aditivos!$L$2:$L$200,aditivos!$A$2:$A$200,A108,aditivos!$C$2:$C$200,"C2"),2))</f>
        <v/>
      </c>
      <c r="M108" s="170">
        <f>IF(A108="","",ROUND(I108+L108,2))</f>
        <v/>
      </c>
      <c r="N108" s="170">
        <f>IF(A108="","",IF(itens_Remanesc!G108="","",itens_Remanesc!G108))</f>
        <v/>
      </c>
      <c r="O108" s="178">
        <f>IF(A108="","",IF($Y108="","",IF($Y108&gt;2,"",IF(ISNUMBER(N108),ROUND(N108+L108,2),IF($Y108=2,ROUND(L108,2),"")))))</f>
        <v/>
      </c>
      <c r="P108" s="180">
        <f>IF(A108="","",ROUND(SUMIFS(aditivos!$L$2:$L$200,aditivos!$A$2:$A$200,A108,aditivos!$C$2:$C$200,"C3"),2))</f>
        <v/>
      </c>
      <c r="Q108" s="176">
        <f>IF(A108="","",ROUND(M108+P108,2))</f>
        <v/>
      </c>
      <c r="R108" s="176">
        <f>IF(A108="","",IF(itens_Remanesc!I108="","",itens_Remanesc!I108))</f>
        <v/>
      </c>
      <c r="S108" s="182">
        <f>IF(A108="","",IF($Y108="","",IF($Y108&gt;3,"",IF(ISNUMBER(R108),ROUND(R108+P108,2),IF($Y108=3,ROUND(P108,2),"")))))</f>
        <v/>
      </c>
      <c r="T108" s="174">
        <f>IF(A108="","",ROUND(SUMIFS(aditivos!$L$2:$L$200,aditivos!$A$2:$A$200,A108,aditivos!$C$2:$C$200,"C4"),2))</f>
        <v/>
      </c>
      <c r="U108" s="170">
        <f>IF(A108="","",ROUND(Q108+T108,2))</f>
        <v/>
      </c>
      <c r="V108" s="170">
        <f>IF(A108="","",IF(itens_Remanesc!K108="","",itens_Remanesc!K108))</f>
        <v/>
      </c>
      <c r="W108" s="170">
        <f>IF(A108="","",IF($Y108="","",IF($Y108&gt;4,"",IF(ISNUMBER(V108),ROUND(V108+T108,2),IF($Y108=4,ROUND(T108,2),"")))))</f>
        <v/>
      </c>
      <c r="X108" s="156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>
        <f>IF($A108="","",IF($E108&gt;0,0,IF($I108&gt;0,1,IF($M108&gt;0,2,IF($Q108&gt;0,3,IF($U108&gt;0,4,""))))))</f>
        <v/>
      </c>
      <c r="Z108">
        <f>IF($A108="",FALSE,AND(LEN(TRIM($A108))=4,LEFT(TRIM($A108),1)="N",ISNUMBER(--MID(TRIM($A108),2,3)),ISERROR(FIND(".",$A108)),ISERROR(FIND(",",$A108)),ISERROR(FIND("-",$A108)),ISERROR(FIND("+",$A108)),ISERROR(SEARCH("E",$A108,2)),ISERROR(FIND(" ",TRIM($A108)))))</f>
        <v/>
      </c>
    </row>
    <row r="109">
      <c r="A109" s="156">
        <f>IF(itens_Remanesc!A109="","",itens_Remanesc!A109)</f>
        <v/>
      </c>
      <c r="B109" s="218">
        <f>IF(A109="","",itens_Remanesc!C109)</f>
        <v/>
      </c>
      <c r="C109" s="172">
        <f>IF(A109="","",IF(itens_Remanesc!B109="",0,itens_Remanesc!B109))</f>
        <v/>
      </c>
      <c r="D109" s="174">
        <f>IF(A109="","",ROUND(SUMIFS(aditivos!$L$2:$L$200,aditivos!$A$2:$A$200,A109,aditivos!$C$2:$C$200,"C0"),2))</f>
        <v/>
      </c>
      <c r="E109" s="170">
        <f>IF(A109="","",ROUND(C109+D109,2))</f>
        <v/>
      </c>
      <c r="F109" s="170">
        <f>IF(A109="","",IF(itens_Remanesc!B109&lt;&gt;"",itens_Remanesc!B109,IF($Z109,0,"")))</f>
        <v/>
      </c>
      <c r="G109" s="178">
        <f>IF(A109="","",IF($Y109="","",IF($Y109&gt;0,"",ROUND(E109,2))))</f>
        <v/>
      </c>
      <c r="H109" s="180">
        <f>IF(A109="","",ROUND(SUMIFS(aditivos!$L$2:$L$200,aditivos!$A$2:$A$200,A109,aditivos!$C$2:$C$200,"C1"),2))</f>
        <v/>
      </c>
      <c r="I109" s="176">
        <f>IF(A109="","",ROUND(E109+H109,2))</f>
        <v/>
      </c>
      <c r="J109" s="176">
        <f>IF(A109="","",IF(itens_Remanesc!E109="","",itens_Remanesc!E109))</f>
        <v/>
      </c>
      <c r="K109" s="182">
        <f>IF(A109="","",IF($Y109="","",IF($Y109&gt;1,"",IF(ISNUMBER(J109),ROUND(J109+H109,2),IF($Y109=1,ROUND(H109,2),"")))))</f>
        <v/>
      </c>
      <c r="L109" s="174">
        <f>IF(A109="","",ROUND(SUMIFS(aditivos!$L$2:$L$200,aditivos!$A$2:$A$200,A109,aditivos!$C$2:$C$200,"C2"),2))</f>
        <v/>
      </c>
      <c r="M109" s="170">
        <f>IF(A109="","",ROUND(I109+L109,2))</f>
        <v/>
      </c>
      <c r="N109" s="170">
        <f>IF(A109="","",IF(itens_Remanesc!G109="","",itens_Remanesc!G109))</f>
        <v/>
      </c>
      <c r="O109" s="178">
        <f>IF(A109="","",IF($Y109="","",IF($Y109&gt;2,"",IF(ISNUMBER(N109),ROUND(N109+L109,2),IF($Y109=2,ROUND(L109,2),"")))))</f>
        <v/>
      </c>
      <c r="P109" s="180">
        <f>IF(A109="","",ROUND(SUMIFS(aditivos!$L$2:$L$200,aditivos!$A$2:$A$200,A109,aditivos!$C$2:$C$200,"C3"),2))</f>
        <v/>
      </c>
      <c r="Q109" s="176">
        <f>IF(A109="","",ROUND(M109+P109,2))</f>
        <v/>
      </c>
      <c r="R109" s="176">
        <f>IF(A109="","",IF(itens_Remanesc!I109="","",itens_Remanesc!I109))</f>
        <v/>
      </c>
      <c r="S109" s="182">
        <f>IF(A109="","",IF($Y109="","",IF($Y109&gt;3,"",IF(ISNUMBER(R109),ROUND(R109+P109,2),IF($Y109=3,ROUND(P109,2),"")))))</f>
        <v/>
      </c>
      <c r="T109" s="174">
        <f>IF(A109="","",ROUND(SUMIFS(aditivos!$L$2:$L$200,aditivos!$A$2:$A$200,A109,aditivos!$C$2:$C$200,"C4"),2))</f>
        <v/>
      </c>
      <c r="U109" s="170">
        <f>IF(A109="","",ROUND(Q109+T109,2))</f>
        <v/>
      </c>
      <c r="V109" s="170">
        <f>IF(A109="","",IF(itens_Remanesc!K109="","",itens_Remanesc!K109))</f>
        <v/>
      </c>
      <c r="W109" s="170">
        <f>IF(A109="","",IF($Y109="","",IF($Y109&gt;4,"",IF(ISNUMBER(V109),ROUND(V109+T109,2),IF($Y109=4,ROUND(T109,2),"")))))</f>
        <v/>
      </c>
      <c r="X109" s="156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>
        <f>IF($A109="","",IF($E109&gt;0,0,IF($I109&gt;0,1,IF($M109&gt;0,2,IF($Q109&gt;0,3,IF($U109&gt;0,4,""))))))</f>
        <v/>
      </c>
      <c r="Z109">
        <f>IF($A109="",FALSE,AND(LEN(TRIM($A109))=4,LEFT(TRIM($A109),1)="N",ISNUMBER(--MID(TRIM($A109),2,3)),ISERROR(FIND(".",$A109)),ISERROR(FIND(",",$A109)),ISERROR(FIND("-",$A109)),ISERROR(FIND("+",$A109)),ISERROR(SEARCH("E",$A109,2)),ISERROR(FIND(" ",TRIM($A109)))))</f>
        <v/>
      </c>
    </row>
    <row r="110">
      <c r="A110" s="156">
        <f>IF(itens_Remanesc!A110="","",itens_Remanesc!A110)</f>
        <v/>
      </c>
      <c r="B110" s="218">
        <f>IF(A110="","",itens_Remanesc!C110)</f>
        <v/>
      </c>
      <c r="C110" s="172">
        <f>IF(A110="","",IF(itens_Remanesc!B110="",0,itens_Remanesc!B110))</f>
        <v/>
      </c>
      <c r="D110" s="174">
        <f>IF(A110="","",ROUND(SUMIFS(aditivos!$L$2:$L$200,aditivos!$A$2:$A$200,A110,aditivos!$C$2:$C$200,"C0"),2))</f>
        <v/>
      </c>
      <c r="E110" s="170">
        <f>IF(A110="","",ROUND(C110+D110,2))</f>
        <v/>
      </c>
      <c r="F110" s="170">
        <f>IF(A110="","",IF(itens_Remanesc!B110&lt;&gt;"",itens_Remanesc!B110,IF($Z110,0,"")))</f>
        <v/>
      </c>
      <c r="G110" s="178">
        <f>IF(A110="","",IF($Y110="","",IF($Y110&gt;0,"",ROUND(E110,2))))</f>
        <v/>
      </c>
      <c r="H110" s="180">
        <f>IF(A110="","",ROUND(SUMIFS(aditivos!$L$2:$L$200,aditivos!$A$2:$A$200,A110,aditivos!$C$2:$C$200,"C1"),2))</f>
        <v/>
      </c>
      <c r="I110" s="176">
        <f>IF(A110="","",ROUND(E110+H110,2))</f>
        <v/>
      </c>
      <c r="J110" s="176">
        <f>IF(A110="","",IF(itens_Remanesc!E110="","",itens_Remanesc!E110))</f>
        <v/>
      </c>
      <c r="K110" s="182">
        <f>IF(A110="","",IF($Y110="","",IF($Y110&gt;1,"",IF(ISNUMBER(J110),ROUND(J110+H110,2),IF($Y110=1,ROUND(H110,2),"")))))</f>
        <v/>
      </c>
      <c r="L110" s="174">
        <f>IF(A110="","",ROUND(SUMIFS(aditivos!$L$2:$L$200,aditivos!$A$2:$A$200,A110,aditivos!$C$2:$C$200,"C2"),2))</f>
        <v/>
      </c>
      <c r="M110" s="170">
        <f>IF(A110="","",ROUND(I110+L110,2))</f>
        <v/>
      </c>
      <c r="N110" s="170">
        <f>IF(A110="","",IF(itens_Remanesc!G110="","",itens_Remanesc!G110))</f>
        <v/>
      </c>
      <c r="O110" s="178">
        <f>IF(A110="","",IF($Y110="","",IF($Y110&gt;2,"",IF(ISNUMBER(N110),ROUND(N110+L110,2),IF($Y110=2,ROUND(L110,2),"")))))</f>
        <v/>
      </c>
      <c r="P110" s="180">
        <f>IF(A110="","",ROUND(SUMIFS(aditivos!$L$2:$L$200,aditivos!$A$2:$A$200,A110,aditivos!$C$2:$C$200,"C3"),2))</f>
        <v/>
      </c>
      <c r="Q110" s="176">
        <f>IF(A110="","",ROUND(M110+P110,2))</f>
        <v/>
      </c>
      <c r="R110" s="176">
        <f>IF(A110="","",IF(itens_Remanesc!I110="","",itens_Remanesc!I110))</f>
        <v/>
      </c>
      <c r="S110" s="182">
        <f>IF(A110="","",IF($Y110="","",IF($Y110&gt;3,"",IF(ISNUMBER(R110),ROUND(R110+P110,2),IF($Y110=3,ROUND(P110,2),"")))))</f>
        <v/>
      </c>
      <c r="T110" s="174">
        <f>IF(A110="","",ROUND(SUMIFS(aditivos!$L$2:$L$200,aditivos!$A$2:$A$200,A110,aditivos!$C$2:$C$200,"C4"),2))</f>
        <v/>
      </c>
      <c r="U110" s="170">
        <f>IF(A110="","",ROUND(Q110+T110,2))</f>
        <v/>
      </c>
      <c r="V110" s="170">
        <f>IF(A110="","",IF(itens_Remanesc!K110="","",itens_Remanesc!K110))</f>
        <v/>
      </c>
      <c r="W110" s="170">
        <f>IF(A110="","",IF($Y110="","",IF($Y110&gt;4,"",IF(ISNUMBER(V110),ROUND(V110+T110,2),IF($Y110=4,ROUND(T110,2),"")))))</f>
        <v/>
      </c>
      <c r="X110" s="156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>
        <f>IF($A110="","",IF($E110&gt;0,0,IF($I110&gt;0,1,IF($M110&gt;0,2,IF($Q110&gt;0,3,IF($U110&gt;0,4,""))))))</f>
        <v/>
      </c>
      <c r="Z110">
        <f>IF($A110="",FALSE,AND(LEN(TRIM($A110))=4,LEFT(TRIM($A110),1)="N",ISNUMBER(--MID(TRIM($A110),2,3)),ISERROR(FIND(".",$A110)),ISERROR(FIND(",",$A110)),ISERROR(FIND("-",$A110)),ISERROR(FIND("+",$A110)),ISERROR(SEARCH("E",$A110,2)),ISERROR(FIND(" ",TRIM($A110)))))</f>
        <v/>
      </c>
    </row>
    <row r="111">
      <c r="A111" s="156">
        <f>IF(itens_Remanesc!A111="","",itens_Remanesc!A111)</f>
        <v/>
      </c>
      <c r="B111" s="218">
        <f>IF(A111="","",itens_Remanesc!C111)</f>
        <v/>
      </c>
      <c r="C111" s="172">
        <f>IF(A111="","",IF(itens_Remanesc!B111="",0,itens_Remanesc!B111))</f>
        <v/>
      </c>
      <c r="D111" s="174">
        <f>IF(A111="","",ROUND(SUMIFS(aditivos!$L$2:$L$200,aditivos!$A$2:$A$200,A111,aditivos!$C$2:$C$200,"C0"),2))</f>
        <v/>
      </c>
      <c r="E111" s="170">
        <f>IF(A111="","",ROUND(C111+D111,2))</f>
        <v/>
      </c>
      <c r="F111" s="170">
        <f>IF(A111="","",IF(itens_Remanesc!B111&lt;&gt;"",itens_Remanesc!B111,IF($Z111,0,"")))</f>
        <v/>
      </c>
      <c r="G111" s="178">
        <f>IF(A111="","",IF($Y111="","",IF($Y111&gt;0,"",ROUND(E111,2))))</f>
        <v/>
      </c>
      <c r="H111" s="180">
        <f>IF(A111="","",ROUND(SUMIFS(aditivos!$L$2:$L$200,aditivos!$A$2:$A$200,A111,aditivos!$C$2:$C$200,"C1"),2))</f>
        <v/>
      </c>
      <c r="I111" s="176">
        <f>IF(A111="","",ROUND(E111+H111,2))</f>
        <v/>
      </c>
      <c r="J111" s="176">
        <f>IF(A111="","",IF(itens_Remanesc!E111="","",itens_Remanesc!E111))</f>
        <v/>
      </c>
      <c r="K111" s="182">
        <f>IF(A111="","",IF($Y111="","",IF($Y111&gt;1,"",IF(ISNUMBER(J111),ROUND(J111+H111,2),IF($Y111=1,ROUND(H111,2),"")))))</f>
        <v/>
      </c>
      <c r="L111" s="174">
        <f>IF(A111="","",ROUND(SUMIFS(aditivos!$L$2:$L$200,aditivos!$A$2:$A$200,A111,aditivos!$C$2:$C$200,"C2"),2))</f>
        <v/>
      </c>
      <c r="M111" s="170">
        <f>IF(A111="","",ROUND(I111+L111,2))</f>
        <v/>
      </c>
      <c r="N111" s="170">
        <f>IF(A111="","",IF(itens_Remanesc!G111="","",itens_Remanesc!G111))</f>
        <v/>
      </c>
      <c r="O111" s="178">
        <f>IF(A111="","",IF($Y111="","",IF($Y111&gt;2,"",IF(ISNUMBER(N111),ROUND(N111+L111,2),IF($Y111=2,ROUND(L111,2),"")))))</f>
        <v/>
      </c>
      <c r="P111" s="180">
        <f>IF(A111="","",ROUND(SUMIFS(aditivos!$L$2:$L$200,aditivos!$A$2:$A$200,A111,aditivos!$C$2:$C$200,"C3"),2))</f>
        <v/>
      </c>
      <c r="Q111" s="176">
        <f>IF(A111="","",ROUND(M111+P111,2))</f>
        <v/>
      </c>
      <c r="R111" s="176">
        <f>IF(A111="","",IF(itens_Remanesc!I111="","",itens_Remanesc!I111))</f>
        <v/>
      </c>
      <c r="S111" s="182">
        <f>IF(A111="","",IF($Y111="","",IF($Y111&gt;3,"",IF(ISNUMBER(R111),ROUND(R111+P111,2),IF($Y111=3,ROUND(P111,2),"")))))</f>
        <v/>
      </c>
      <c r="T111" s="174">
        <f>IF(A111="","",ROUND(SUMIFS(aditivos!$L$2:$L$200,aditivos!$A$2:$A$200,A111,aditivos!$C$2:$C$200,"C4"),2))</f>
        <v/>
      </c>
      <c r="U111" s="170">
        <f>IF(A111="","",ROUND(Q111+T111,2))</f>
        <v/>
      </c>
      <c r="V111" s="170">
        <f>IF(A111="","",IF(itens_Remanesc!K111="","",itens_Remanesc!K111))</f>
        <v/>
      </c>
      <c r="W111" s="170">
        <f>IF(A111="","",IF($Y111="","",IF($Y111&gt;4,"",IF(ISNUMBER(V111),ROUND(V111+T111,2),IF($Y111=4,ROUND(T111,2),"")))))</f>
        <v/>
      </c>
      <c r="X111" s="156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>
        <f>IF($A111="","",IF($E111&gt;0,0,IF($I111&gt;0,1,IF($M111&gt;0,2,IF($Q111&gt;0,3,IF($U111&gt;0,4,""))))))</f>
        <v/>
      </c>
      <c r="Z111">
        <f>IF($A111="",FALSE,AND(LEN(TRIM($A111))=4,LEFT(TRIM($A111),1)="N",ISNUMBER(--MID(TRIM($A111),2,3)),ISERROR(FIND(".",$A111)),ISERROR(FIND(",",$A111)),ISERROR(FIND("-",$A111)),ISERROR(FIND("+",$A111)),ISERROR(SEARCH("E",$A111,2)),ISERROR(FIND(" ",TRIM($A111)))))</f>
        <v/>
      </c>
    </row>
    <row r="112">
      <c r="A112" s="156">
        <f>IF(itens_Remanesc!A112="","",itens_Remanesc!A112)</f>
        <v/>
      </c>
      <c r="B112" s="218">
        <f>IF(A112="","",itens_Remanesc!C112)</f>
        <v/>
      </c>
      <c r="C112" s="172">
        <f>IF(A112="","",IF(itens_Remanesc!B112="",0,itens_Remanesc!B112))</f>
        <v/>
      </c>
      <c r="D112" s="174">
        <f>IF(A112="","",ROUND(SUMIFS(aditivos!$L$2:$L$200,aditivos!$A$2:$A$200,A112,aditivos!$C$2:$C$200,"C0"),2))</f>
        <v/>
      </c>
      <c r="E112" s="170">
        <f>IF(A112="","",ROUND(C112+D112,2))</f>
        <v/>
      </c>
      <c r="F112" s="170">
        <f>IF(A112="","",IF(itens_Remanesc!B112&lt;&gt;"",itens_Remanesc!B112,IF($Z112,0,"")))</f>
        <v/>
      </c>
      <c r="G112" s="178">
        <f>IF(A112="","",IF($Y112="","",IF($Y112&gt;0,"",ROUND(E112,2))))</f>
        <v/>
      </c>
      <c r="H112" s="180">
        <f>IF(A112="","",ROUND(SUMIFS(aditivos!$L$2:$L$200,aditivos!$A$2:$A$200,A112,aditivos!$C$2:$C$200,"C1"),2))</f>
        <v/>
      </c>
      <c r="I112" s="176">
        <f>IF(A112="","",ROUND(E112+H112,2))</f>
        <v/>
      </c>
      <c r="J112" s="176">
        <f>IF(A112="","",IF(itens_Remanesc!E112="","",itens_Remanesc!E112))</f>
        <v/>
      </c>
      <c r="K112" s="182">
        <f>IF(A112="","",IF($Y112="","",IF($Y112&gt;1,"",IF(ISNUMBER(J112),ROUND(J112+H112,2),IF($Y112=1,ROUND(H112,2),"")))))</f>
        <v/>
      </c>
      <c r="L112" s="174">
        <f>IF(A112="","",ROUND(SUMIFS(aditivos!$L$2:$L$200,aditivos!$A$2:$A$200,A112,aditivos!$C$2:$C$200,"C2"),2))</f>
        <v/>
      </c>
      <c r="M112" s="170">
        <f>IF(A112="","",ROUND(I112+L112,2))</f>
        <v/>
      </c>
      <c r="N112" s="170">
        <f>IF(A112="","",IF(itens_Remanesc!G112="","",itens_Remanesc!G112))</f>
        <v/>
      </c>
      <c r="O112" s="178">
        <f>IF(A112="","",IF($Y112="","",IF($Y112&gt;2,"",IF(ISNUMBER(N112),ROUND(N112+L112,2),IF($Y112=2,ROUND(L112,2),"")))))</f>
        <v/>
      </c>
      <c r="P112" s="180">
        <f>IF(A112="","",ROUND(SUMIFS(aditivos!$L$2:$L$200,aditivos!$A$2:$A$200,A112,aditivos!$C$2:$C$200,"C3"),2))</f>
        <v/>
      </c>
      <c r="Q112" s="176">
        <f>IF(A112="","",ROUND(M112+P112,2))</f>
        <v/>
      </c>
      <c r="R112" s="176">
        <f>IF(A112="","",IF(itens_Remanesc!I112="","",itens_Remanesc!I112))</f>
        <v/>
      </c>
      <c r="S112" s="182">
        <f>IF(A112="","",IF($Y112="","",IF($Y112&gt;3,"",IF(ISNUMBER(R112),ROUND(R112+P112,2),IF($Y112=3,ROUND(P112,2),"")))))</f>
        <v/>
      </c>
      <c r="T112" s="174">
        <f>IF(A112="","",ROUND(SUMIFS(aditivos!$L$2:$L$200,aditivos!$A$2:$A$200,A112,aditivos!$C$2:$C$200,"C4"),2))</f>
        <v/>
      </c>
      <c r="U112" s="170">
        <f>IF(A112="","",ROUND(Q112+T112,2))</f>
        <v/>
      </c>
      <c r="V112" s="170">
        <f>IF(A112="","",IF(itens_Remanesc!K112="","",itens_Remanesc!K112))</f>
        <v/>
      </c>
      <c r="W112" s="170">
        <f>IF(A112="","",IF($Y112="","",IF($Y112&gt;4,"",IF(ISNUMBER(V112),ROUND(V112+T112,2),IF($Y112=4,ROUND(T112,2),"")))))</f>
        <v/>
      </c>
      <c r="X112" s="156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>
        <f>IF($A112="","",IF($E112&gt;0,0,IF($I112&gt;0,1,IF($M112&gt;0,2,IF($Q112&gt;0,3,IF($U112&gt;0,4,""))))))</f>
        <v/>
      </c>
      <c r="Z112">
        <f>IF($A112="",FALSE,AND(LEN(TRIM($A112))=4,LEFT(TRIM($A112),1)="N",ISNUMBER(--MID(TRIM($A112),2,3)),ISERROR(FIND(".",$A112)),ISERROR(FIND(",",$A112)),ISERROR(FIND("-",$A112)),ISERROR(FIND("+",$A112)),ISERROR(SEARCH("E",$A112,2)),ISERROR(FIND(" ",TRIM($A112)))))</f>
        <v/>
      </c>
    </row>
    <row r="113">
      <c r="A113" s="156">
        <f>IF(itens_Remanesc!A113="","",itens_Remanesc!A113)</f>
        <v/>
      </c>
      <c r="B113" s="218">
        <f>IF(A113="","",itens_Remanesc!C113)</f>
        <v/>
      </c>
      <c r="C113" s="172">
        <f>IF(A113="","",IF(itens_Remanesc!B113="",0,itens_Remanesc!B113))</f>
        <v/>
      </c>
      <c r="D113" s="174">
        <f>IF(A113="","",ROUND(SUMIFS(aditivos!$L$2:$L$200,aditivos!$A$2:$A$200,A113,aditivos!$C$2:$C$200,"C0"),2))</f>
        <v/>
      </c>
      <c r="E113" s="170">
        <f>IF(A113="","",ROUND(C113+D113,2))</f>
        <v/>
      </c>
      <c r="F113" s="170">
        <f>IF(A113="","",IF(itens_Remanesc!B113&lt;&gt;"",itens_Remanesc!B113,IF($Z113,0,"")))</f>
        <v/>
      </c>
      <c r="G113" s="178">
        <f>IF(A113="","",IF($Y113="","",IF($Y113&gt;0,"",ROUND(E113,2))))</f>
        <v/>
      </c>
      <c r="H113" s="180">
        <f>IF(A113="","",ROUND(SUMIFS(aditivos!$L$2:$L$200,aditivos!$A$2:$A$200,A113,aditivos!$C$2:$C$200,"C1"),2))</f>
        <v/>
      </c>
      <c r="I113" s="176">
        <f>IF(A113="","",ROUND(E113+H113,2))</f>
        <v/>
      </c>
      <c r="J113" s="176">
        <f>IF(A113="","",IF(itens_Remanesc!E113="","",itens_Remanesc!E113))</f>
        <v/>
      </c>
      <c r="K113" s="182">
        <f>IF(A113="","",IF($Y113="","",IF($Y113&gt;1,"",IF(ISNUMBER(J113),ROUND(J113+H113,2),IF($Y113=1,ROUND(H113,2),"")))))</f>
        <v/>
      </c>
      <c r="L113" s="174">
        <f>IF(A113="","",ROUND(SUMIFS(aditivos!$L$2:$L$200,aditivos!$A$2:$A$200,A113,aditivos!$C$2:$C$200,"C2"),2))</f>
        <v/>
      </c>
      <c r="M113" s="170">
        <f>IF(A113="","",ROUND(I113+L113,2))</f>
        <v/>
      </c>
      <c r="N113" s="170">
        <f>IF(A113="","",IF(itens_Remanesc!G113="","",itens_Remanesc!G113))</f>
        <v/>
      </c>
      <c r="O113" s="178">
        <f>IF(A113="","",IF($Y113="","",IF($Y113&gt;2,"",IF(ISNUMBER(N113),ROUND(N113+L113,2),IF($Y113=2,ROUND(L113,2),"")))))</f>
        <v/>
      </c>
      <c r="P113" s="180">
        <f>IF(A113="","",ROUND(SUMIFS(aditivos!$L$2:$L$200,aditivos!$A$2:$A$200,A113,aditivos!$C$2:$C$200,"C3"),2))</f>
        <v/>
      </c>
      <c r="Q113" s="176">
        <f>IF(A113="","",ROUND(M113+P113,2))</f>
        <v/>
      </c>
      <c r="R113" s="176">
        <f>IF(A113="","",IF(itens_Remanesc!I113="","",itens_Remanesc!I113))</f>
        <v/>
      </c>
      <c r="S113" s="182">
        <f>IF(A113="","",IF($Y113="","",IF($Y113&gt;3,"",IF(ISNUMBER(R113),ROUND(R113+P113,2),IF($Y113=3,ROUND(P113,2),"")))))</f>
        <v/>
      </c>
      <c r="T113" s="174">
        <f>IF(A113="","",ROUND(SUMIFS(aditivos!$L$2:$L$200,aditivos!$A$2:$A$200,A113,aditivos!$C$2:$C$200,"C4"),2))</f>
        <v/>
      </c>
      <c r="U113" s="170">
        <f>IF(A113="","",ROUND(Q113+T113,2))</f>
        <v/>
      </c>
      <c r="V113" s="170">
        <f>IF(A113="","",IF(itens_Remanesc!K113="","",itens_Remanesc!K113))</f>
        <v/>
      </c>
      <c r="W113" s="170">
        <f>IF(A113="","",IF($Y113="","",IF($Y113&gt;4,"",IF(ISNUMBER(V113),ROUND(V113+T113,2),IF($Y113=4,ROUND(T113,2),"")))))</f>
        <v/>
      </c>
      <c r="X113" s="156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>
        <f>IF($A113="","",IF($E113&gt;0,0,IF($I113&gt;0,1,IF($M113&gt;0,2,IF($Q113&gt;0,3,IF($U113&gt;0,4,""))))))</f>
        <v/>
      </c>
      <c r="Z113">
        <f>IF($A113="",FALSE,AND(LEN(TRIM($A113))=4,LEFT(TRIM($A113),1)="N",ISNUMBER(--MID(TRIM($A113),2,3)),ISERROR(FIND(".",$A113)),ISERROR(FIND(",",$A113)),ISERROR(FIND("-",$A113)),ISERROR(FIND("+",$A113)),ISERROR(SEARCH("E",$A113,2)),ISERROR(FIND(" ",TRIM($A113)))))</f>
        <v/>
      </c>
    </row>
    <row r="114">
      <c r="A114" s="156">
        <f>IF(itens_Remanesc!A114="","",itens_Remanesc!A114)</f>
        <v/>
      </c>
      <c r="B114" s="218">
        <f>IF(A114="","",itens_Remanesc!C114)</f>
        <v/>
      </c>
      <c r="C114" s="172">
        <f>IF(A114="","",IF(itens_Remanesc!B114="",0,itens_Remanesc!B114))</f>
        <v/>
      </c>
      <c r="D114" s="174">
        <f>IF(A114="","",ROUND(SUMIFS(aditivos!$L$2:$L$200,aditivos!$A$2:$A$200,A114,aditivos!$C$2:$C$200,"C0"),2))</f>
        <v/>
      </c>
      <c r="E114" s="170">
        <f>IF(A114="","",ROUND(C114+D114,2))</f>
        <v/>
      </c>
      <c r="F114" s="170">
        <f>IF(A114="","",IF(itens_Remanesc!B114&lt;&gt;"",itens_Remanesc!B114,IF($Z114,0,"")))</f>
        <v/>
      </c>
      <c r="G114" s="178">
        <f>IF(A114="","",IF($Y114="","",IF($Y114&gt;0,"",ROUND(E114,2))))</f>
        <v/>
      </c>
      <c r="H114" s="180">
        <f>IF(A114="","",ROUND(SUMIFS(aditivos!$L$2:$L$200,aditivos!$A$2:$A$200,A114,aditivos!$C$2:$C$200,"C1"),2))</f>
        <v/>
      </c>
      <c r="I114" s="176">
        <f>IF(A114="","",ROUND(E114+H114,2))</f>
        <v/>
      </c>
      <c r="J114" s="176">
        <f>IF(A114="","",IF(itens_Remanesc!E114="","",itens_Remanesc!E114))</f>
        <v/>
      </c>
      <c r="K114" s="182">
        <f>IF(A114="","",IF($Y114="","",IF($Y114&gt;1,"",IF(ISNUMBER(J114),ROUND(J114+H114,2),IF($Y114=1,ROUND(H114,2),"")))))</f>
        <v/>
      </c>
      <c r="L114" s="174">
        <f>IF(A114="","",ROUND(SUMIFS(aditivos!$L$2:$L$200,aditivos!$A$2:$A$200,A114,aditivos!$C$2:$C$200,"C2"),2))</f>
        <v/>
      </c>
      <c r="M114" s="170">
        <f>IF(A114="","",ROUND(I114+L114,2))</f>
        <v/>
      </c>
      <c r="N114" s="170">
        <f>IF(A114="","",IF(itens_Remanesc!G114="","",itens_Remanesc!G114))</f>
        <v/>
      </c>
      <c r="O114" s="178">
        <f>IF(A114="","",IF($Y114="","",IF($Y114&gt;2,"",IF(ISNUMBER(N114),ROUND(N114+L114,2),IF($Y114=2,ROUND(L114,2),"")))))</f>
        <v/>
      </c>
      <c r="P114" s="180">
        <f>IF(A114="","",ROUND(SUMIFS(aditivos!$L$2:$L$200,aditivos!$A$2:$A$200,A114,aditivos!$C$2:$C$200,"C3"),2))</f>
        <v/>
      </c>
      <c r="Q114" s="176">
        <f>IF(A114="","",ROUND(M114+P114,2))</f>
        <v/>
      </c>
      <c r="R114" s="176">
        <f>IF(A114="","",IF(itens_Remanesc!I114="","",itens_Remanesc!I114))</f>
        <v/>
      </c>
      <c r="S114" s="182">
        <f>IF(A114="","",IF($Y114="","",IF($Y114&gt;3,"",IF(ISNUMBER(R114),ROUND(R114+P114,2),IF($Y114=3,ROUND(P114,2),"")))))</f>
        <v/>
      </c>
      <c r="T114" s="174">
        <f>IF(A114="","",ROUND(SUMIFS(aditivos!$L$2:$L$200,aditivos!$A$2:$A$200,A114,aditivos!$C$2:$C$200,"C4"),2))</f>
        <v/>
      </c>
      <c r="U114" s="170">
        <f>IF(A114="","",ROUND(Q114+T114,2))</f>
        <v/>
      </c>
      <c r="V114" s="170">
        <f>IF(A114="","",IF(itens_Remanesc!K114="","",itens_Remanesc!K114))</f>
        <v/>
      </c>
      <c r="W114" s="170">
        <f>IF(A114="","",IF($Y114="","",IF($Y114&gt;4,"",IF(ISNUMBER(V114),ROUND(V114+T114,2),IF($Y114=4,ROUND(T114,2),"")))))</f>
        <v/>
      </c>
      <c r="X114" s="156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>
        <f>IF($A114="","",IF($E114&gt;0,0,IF($I114&gt;0,1,IF($M114&gt;0,2,IF($Q114&gt;0,3,IF($U114&gt;0,4,""))))))</f>
        <v/>
      </c>
      <c r="Z114">
        <f>IF($A114="",FALSE,AND(LEN(TRIM($A114))=4,LEFT(TRIM($A114),1)="N",ISNUMBER(--MID(TRIM($A114),2,3)),ISERROR(FIND(".",$A114)),ISERROR(FIND(",",$A114)),ISERROR(FIND("-",$A114)),ISERROR(FIND("+",$A114)),ISERROR(SEARCH("E",$A114,2)),ISERROR(FIND(" ",TRIM($A114)))))</f>
        <v/>
      </c>
    </row>
    <row r="115">
      <c r="A115" s="156">
        <f>IF(itens_Remanesc!A115="","",itens_Remanesc!A115)</f>
        <v/>
      </c>
      <c r="B115" s="218">
        <f>IF(A115="","",itens_Remanesc!C115)</f>
        <v/>
      </c>
      <c r="C115" s="172">
        <f>IF(A115="","",IF(itens_Remanesc!B115="",0,itens_Remanesc!B115))</f>
        <v/>
      </c>
      <c r="D115" s="174">
        <f>IF(A115="","",ROUND(SUMIFS(aditivos!$L$2:$L$200,aditivos!$A$2:$A$200,A115,aditivos!$C$2:$C$200,"C0"),2))</f>
        <v/>
      </c>
      <c r="E115" s="170">
        <f>IF(A115="","",ROUND(C115+D115,2))</f>
        <v/>
      </c>
      <c r="F115" s="170">
        <f>IF(A115="","",IF(itens_Remanesc!B115&lt;&gt;"",itens_Remanesc!B115,IF($Z115,0,"")))</f>
        <v/>
      </c>
      <c r="G115" s="178">
        <f>IF(A115="","",IF($Y115="","",IF($Y115&gt;0,"",ROUND(E115,2))))</f>
        <v/>
      </c>
      <c r="H115" s="180">
        <f>IF(A115="","",ROUND(SUMIFS(aditivos!$L$2:$L$200,aditivos!$A$2:$A$200,A115,aditivos!$C$2:$C$200,"C1"),2))</f>
        <v/>
      </c>
      <c r="I115" s="176">
        <f>IF(A115="","",ROUND(E115+H115,2))</f>
        <v/>
      </c>
      <c r="J115" s="176">
        <f>IF(A115="","",IF(itens_Remanesc!E115="","",itens_Remanesc!E115))</f>
        <v/>
      </c>
      <c r="K115" s="182">
        <f>IF(A115="","",IF($Y115="","",IF($Y115&gt;1,"",IF(ISNUMBER(J115),ROUND(J115+H115,2),IF($Y115=1,ROUND(H115,2),"")))))</f>
        <v/>
      </c>
      <c r="L115" s="174">
        <f>IF(A115="","",ROUND(SUMIFS(aditivos!$L$2:$L$200,aditivos!$A$2:$A$200,A115,aditivos!$C$2:$C$200,"C2"),2))</f>
        <v/>
      </c>
      <c r="M115" s="170">
        <f>IF(A115="","",ROUND(I115+L115,2))</f>
        <v/>
      </c>
      <c r="N115" s="170">
        <f>IF(A115="","",IF(itens_Remanesc!G115="","",itens_Remanesc!G115))</f>
        <v/>
      </c>
      <c r="O115" s="178">
        <f>IF(A115="","",IF($Y115="","",IF($Y115&gt;2,"",IF(ISNUMBER(N115),ROUND(N115+L115,2),IF($Y115=2,ROUND(L115,2),"")))))</f>
        <v/>
      </c>
      <c r="P115" s="180">
        <f>IF(A115="","",ROUND(SUMIFS(aditivos!$L$2:$L$200,aditivos!$A$2:$A$200,A115,aditivos!$C$2:$C$200,"C3"),2))</f>
        <v/>
      </c>
      <c r="Q115" s="176">
        <f>IF(A115="","",ROUND(M115+P115,2))</f>
        <v/>
      </c>
      <c r="R115" s="176">
        <f>IF(A115="","",IF(itens_Remanesc!I115="","",itens_Remanesc!I115))</f>
        <v/>
      </c>
      <c r="S115" s="182">
        <f>IF(A115="","",IF($Y115="","",IF($Y115&gt;3,"",IF(ISNUMBER(R115),ROUND(R115+P115,2),IF($Y115=3,ROUND(P115,2),"")))))</f>
        <v/>
      </c>
      <c r="T115" s="174">
        <f>IF(A115="","",ROUND(SUMIFS(aditivos!$L$2:$L$200,aditivos!$A$2:$A$200,A115,aditivos!$C$2:$C$200,"C4"),2))</f>
        <v/>
      </c>
      <c r="U115" s="170">
        <f>IF(A115="","",ROUND(Q115+T115,2))</f>
        <v/>
      </c>
      <c r="V115" s="170">
        <f>IF(A115="","",IF(itens_Remanesc!K115="","",itens_Remanesc!K115))</f>
        <v/>
      </c>
      <c r="W115" s="170">
        <f>IF(A115="","",IF($Y115="","",IF($Y115&gt;4,"",IF(ISNUMBER(V115),ROUND(V115+T115,2),IF($Y115=4,ROUND(T115,2),"")))))</f>
        <v/>
      </c>
      <c r="X115" s="156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>
        <f>IF($A115="","",IF($E115&gt;0,0,IF($I115&gt;0,1,IF($M115&gt;0,2,IF($Q115&gt;0,3,IF($U115&gt;0,4,""))))))</f>
        <v/>
      </c>
      <c r="Z115">
        <f>IF($A115="",FALSE,AND(LEN(TRIM($A115))=4,LEFT(TRIM($A115),1)="N",ISNUMBER(--MID(TRIM($A115),2,3)),ISERROR(FIND(".",$A115)),ISERROR(FIND(",",$A115)),ISERROR(FIND("-",$A115)),ISERROR(FIND("+",$A115)),ISERROR(SEARCH("E",$A115,2)),ISERROR(FIND(" ",TRIM($A115)))))</f>
        <v/>
      </c>
    </row>
    <row r="116">
      <c r="A116" s="156">
        <f>IF(itens_Remanesc!A116="","",itens_Remanesc!A116)</f>
        <v/>
      </c>
      <c r="B116" s="218">
        <f>IF(A116="","",itens_Remanesc!C116)</f>
        <v/>
      </c>
      <c r="C116" s="172">
        <f>IF(A116="","",IF(itens_Remanesc!B116="",0,itens_Remanesc!B116))</f>
        <v/>
      </c>
      <c r="D116" s="174">
        <f>IF(A116="","",ROUND(SUMIFS(aditivos!$L$2:$L$200,aditivos!$A$2:$A$200,A116,aditivos!$C$2:$C$200,"C0"),2))</f>
        <v/>
      </c>
      <c r="E116" s="170">
        <f>IF(A116="","",ROUND(C116+D116,2))</f>
        <v/>
      </c>
      <c r="F116" s="170">
        <f>IF(A116="","",IF(itens_Remanesc!B116&lt;&gt;"",itens_Remanesc!B116,IF($Z116,0,"")))</f>
        <v/>
      </c>
      <c r="G116" s="178">
        <f>IF(A116="","",IF($Y116="","",IF($Y116&gt;0,"",ROUND(E116,2))))</f>
        <v/>
      </c>
      <c r="H116" s="180">
        <f>IF(A116="","",ROUND(SUMIFS(aditivos!$L$2:$L$200,aditivos!$A$2:$A$200,A116,aditivos!$C$2:$C$200,"C1"),2))</f>
        <v/>
      </c>
      <c r="I116" s="176">
        <f>IF(A116="","",ROUND(E116+H116,2))</f>
        <v/>
      </c>
      <c r="J116" s="176">
        <f>IF(A116="","",IF(itens_Remanesc!E116="","",itens_Remanesc!E116))</f>
        <v/>
      </c>
      <c r="K116" s="182">
        <f>IF(A116="","",IF($Y116="","",IF($Y116&gt;1,"",IF(ISNUMBER(J116),ROUND(J116+H116,2),IF($Y116=1,ROUND(H116,2),"")))))</f>
        <v/>
      </c>
      <c r="L116" s="174">
        <f>IF(A116="","",ROUND(SUMIFS(aditivos!$L$2:$L$200,aditivos!$A$2:$A$200,A116,aditivos!$C$2:$C$200,"C2"),2))</f>
        <v/>
      </c>
      <c r="M116" s="170">
        <f>IF(A116="","",ROUND(I116+L116,2))</f>
        <v/>
      </c>
      <c r="N116" s="170">
        <f>IF(A116="","",IF(itens_Remanesc!G116="","",itens_Remanesc!G116))</f>
        <v/>
      </c>
      <c r="O116" s="178">
        <f>IF(A116="","",IF($Y116="","",IF($Y116&gt;2,"",IF(ISNUMBER(N116),ROUND(N116+L116,2),IF($Y116=2,ROUND(L116,2),"")))))</f>
        <v/>
      </c>
      <c r="P116" s="180">
        <f>IF(A116="","",ROUND(SUMIFS(aditivos!$L$2:$L$200,aditivos!$A$2:$A$200,A116,aditivos!$C$2:$C$200,"C3"),2))</f>
        <v/>
      </c>
      <c r="Q116" s="176">
        <f>IF(A116="","",ROUND(M116+P116,2))</f>
        <v/>
      </c>
      <c r="R116" s="176">
        <f>IF(A116="","",IF(itens_Remanesc!I116="","",itens_Remanesc!I116))</f>
        <v/>
      </c>
      <c r="S116" s="182">
        <f>IF(A116="","",IF($Y116="","",IF($Y116&gt;3,"",IF(ISNUMBER(R116),ROUND(R116+P116,2),IF($Y116=3,ROUND(P116,2),"")))))</f>
        <v/>
      </c>
      <c r="T116" s="174">
        <f>IF(A116="","",ROUND(SUMIFS(aditivos!$L$2:$L$200,aditivos!$A$2:$A$200,A116,aditivos!$C$2:$C$200,"C4"),2))</f>
        <v/>
      </c>
      <c r="U116" s="170">
        <f>IF(A116="","",ROUND(Q116+T116,2))</f>
        <v/>
      </c>
      <c r="V116" s="170">
        <f>IF(A116="","",IF(itens_Remanesc!K116="","",itens_Remanesc!K116))</f>
        <v/>
      </c>
      <c r="W116" s="170">
        <f>IF(A116="","",IF($Y116="","",IF($Y116&gt;4,"",IF(ISNUMBER(V116),ROUND(V116+T116,2),IF($Y116=4,ROUND(T116,2),"")))))</f>
        <v/>
      </c>
      <c r="X116" s="156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>
        <f>IF($A116="","",IF($E116&gt;0,0,IF($I116&gt;0,1,IF($M116&gt;0,2,IF($Q116&gt;0,3,IF($U116&gt;0,4,""))))))</f>
        <v/>
      </c>
      <c r="Z116">
        <f>IF($A116="",FALSE,AND(LEN(TRIM($A116))=4,LEFT(TRIM($A116),1)="N",ISNUMBER(--MID(TRIM($A116),2,3)),ISERROR(FIND(".",$A116)),ISERROR(FIND(",",$A116)),ISERROR(FIND("-",$A116)),ISERROR(FIND("+",$A116)),ISERROR(SEARCH("E",$A116,2)),ISERROR(FIND(" ",TRIM($A116)))))</f>
        <v/>
      </c>
    </row>
    <row r="117">
      <c r="A117" s="156">
        <f>IF(itens_Remanesc!A117="","",itens_Remanesc!A117)</f>
        <v/>
      </c>
      <c r="B117" s="218">
        <f>IF(A117="","",itens_Remanesc!C117)</f>
        <v/>
      </c>
      <c r="C117" s="172">
        <f>IF(A117="","",IF(itens_Remanesc!B117="",0,itens_Remanesc!B117))</f>
        <v/>
      </c>
      <c r="D117" s="174">
        <f>IF(A117="","",ROUND(SUMIFS(aditivos!$L$2:$L$200,aditivos!$A$2:$A$200,A117,aditivos!$C$2:$C$200,"C0"),2))</f>
        <v/>
      </c>
      <c r="E117" s="170">
        <f>IF(A117="","",ROUND(C117+D117,2))</f>
        <v/>
      </c>
      <c r="F117" s="170">
        <f>IF(A117="","",IF(itens_Remanesc!B117&lt;&gt;"",itens_Remanesc!B117,IF($Z117,0,"")))</f>
        <v/>
      </c>
      <c r="G117" s="178">
        <f>IF(A117="","",IF($Y117="","",IF($Y117&gt;0,"",ROUND(E117,2))))</f>
        <v/>
      </c>
      <c r="H117" s="180">
        <f>IF(A117="","",ROUND(SUMIFS(aditivos!$L$2:$L$200,aditivos!$A$2:$A$200,A117,aditivos!$C$2:$C$200,"C1"),2))</f>
        <v/>
      </c>
      <c r="I117" s="176">
        <f>IF(A117="","",ROUND(E117+H117,2))</f>
        <v/>
      </c>
      <c r="J117" s="176">
        <f>IF(A117="","",IF(itens_Remanesc!E117="","",itens_Remanesc!E117))</f>
        <v/>
      </c>
      <c r="K117" s="182">
        <f>IF(A117="","",IF($Y117="","",IF($Y117&gt;1,"",IF(ISNUMBER(J117),ROUND(J117+H117,2),IF($Y117=1,ROUND(H117,2),"")))))</f>
        <v/>
      </c>
      <c r="L117" s="174">
        <f>IF(A117="","",ROUND(SUMIFS(aditivos!$L$2:$L$200,aditivos!$A$2:$A$200,A117,aditivos!$C$2:$C$200,"C2"),2))</f>
        <v/>
      </c>
      <c r="M117" s="170">
        <f>IF(A117="","",ROUND(I117+L117,2))</f>
        <v/>
      </c>
      <c r="N117" s="170">
        <f>IF(A117="","",IF(itens_Remanesc!G117="","",itens_Remanesc!G117))</f>
        <v/>
      </c>
      <c r="O117" s="178">
        <f>IF(A117="","",IF($Y117="","",IF($Y117&gt;2,"",IF(ISNUMBER(N117),ROUND(N117+L117,2),IF($Y117=2,ROUND(L117,2),"")))))</f>
        <v/>
      </c>
      <c r="P117" s="180">
        <f>IF(A117="","",ROUND(SUMIFS(aditivos!$L$2:$L$200,aditivos!$A$2:$A$200,A117,aditivos!$C$2:$C$200,"C3"),2))</f>
        <v/>
      </c>
      <c r="Q117" s="176">
        <f>IF(A117="","",ROUND(M117+P117,2))</f>
        <v/>
      </c>
      <c r="R117" s="176">
        <f>IF(A117="","",IF(itens_Remanesc!I117="","",itens_Remanesc!I117))</f>
        <v/>
      </c>
      <c r="S117" s="182">
        <f>IF(A117="","",IF($Y117="","",IF($Y117&gt;3,"",IF(ISNUMBER(R117),ROUND(R117+P117,2),IF($Y117=3,ROUND(P117,2),"")))))</f>
        <v/>
      </c>
      <c r="T117" s="174">
        <f>IF(A117="","",ROUND(SUMIFS(aditivos!$L$2:$L$200,aditivos!$A$2:$A$200,A117,aditivos!$C$2:$C$200,"C4"),2))</f>
        <v/>
      </c>
      <c r="U117" s="170">
        <f>IF(A117="","",ROUND(Q117+T117,2))</f>
        <v/>
      </c>
      <c r="V117" s="170">
        <f>IF(A117="","",IF(itens_Remanesc!K117="","",itens_Remanesc!K117))</f>
        <v/>
      </c>
      <c r="W117" s="170">
        <f>IF(A117="","",IF($Y117="","",IF($Y117&gt;4,"",IF(ISNUMBER(V117),ROUND(V117+T117,2),IF($Y117=4,ROUND(T117,2),"")))))</f>
        <v/>
      </c>
      <c r="X117" s="156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>
        <f>IF($A117="","",IF($E117&gt;0,0,IF($I117&gt;0,1,IF($M117&gt;0,2,IF($Q117&gt;0,3,IF($U117&gt;0,4,""))))))</f>
        <v/>
      </c>
      <c r="Z117">
        <f>IF($A117="",FALSE,AND(LEN(TRIM($A117))=4,LEFT(TRIM($A117),1)="N",ISNUMBER(--MID(TRIM($A117),2,3)),ISERROR(FIND(".",$A117)),ISERROR(FIND(",",$A117)),ISERROR(FIND("-",$A117)),ISERROR(FIND("+",$A117)),ISERROR(SEARCH("E",$A117,2)),ISERROR(FIND(" ",TRIM($A117)))))</f>
        <v/>
      </c>
    </row>
    <row r="118">
      <c r="A118" s="156">
        <f>IF(itens_Remanesc!A118="","",itens_Remanesc!A118)</f>
        <v/>
      </c>
      <c r="B118" s="218">
        <f>IF(A118="","",itens_Remanesc!C118)</f>
        <v/>
      </c>
      <c r="C118" s="172">
        <f>IF(A118="","",IF(itens_Remanesc!B118="",0,itens_Remanesc!B118))</f>
        <v/>
      </c>
      <c r="D118" s="174">
        <f>IF(A118="","",ROUND(SUMIFS(aditivos!$L$2:$L$200,aditivos!$A$2:$A$200,A118,aditivos!$C$2:$C$200,"C0"),2))</f>
        <v/>
      </c>
      <c r="E118" s="170">
        <f>IF(A118="","",ROUND(C118+D118,2))</f>
        <v/>
      </c>
      <c r="F118" s="170">
        <f>IF(A118="","",IF(itens_Remanesc!B118&lt;&gt;"",itens_Remanesc!B118,IF($Z118,0,"")))</f>
        <v/>
      </c>
      <c r="G118" s="178">
        <f>IF(A118="","",IF($Y118="","",IF($Y118&gt;0,"",ROUND(E118,2))))</f>
        <v/>
      </c>
      <c r="H118" s="180">
        <f>IF(A118="","",ROUND(SUMIFS(aditivos!$L$2:$L$200,aditivos!$A$2:$A$200,A118,aditivos!$C$2:$C$200,"C1"),2))</f>
        <v/>
      </c>
      <c r="I118" s="176">
        <f>IF(A118="","",ROUND(E118+H118,2))</f>
        <v/>
      </c>
      <c r="J118" s="176">
        <f>IF(A118="","",IF(itens_Remanesc!E118="","",itens_Remanesc!E118))</f>
        <v/>
      </c>
      <c r="K118" s="182">
        <f>IF(A118="","",IF($Y118="","",IF($Y118&gt;1,"",IF(ISNUMBER(J118),ROUND(J118+H118,2),IF($Y118=1,ROUND(H118,2),"")))))</f>
        <v/>
      </c>
      <c r="L118" s="174">
        <f>IF(A118="","",ROUND(SUMIFS(aditivos!$L$2:$L$200,aditivos!$A$2:$A$200,A118,aditivos!$C$2:$C$200,"C2"),2))</f>
        <v/>
      </c>
      <c r="M118" s="170">
        <f>IF(A118="","",ROUND(I118+L118,2))</f>
        <v/>
      </c>
      <c r="N118" s="170">
        <f>IF(A118="","",IF(itens_Remanesc!G118="","",itens_Remanesc!G118))</f>
        <v/>
      </c>
      <c r="O118" s="178">
        <f>IF(A118="","",IF($Y118="","",IF($Y118&gt;2,"",IF(ISNUMBER(N118),ROUND(N118+L118,2),IF($Y118=2,ROUND(L118,2),"")))))</f>
        <v/>
      </c>
      <c r="P118" s="180">
        <f>IF(A118="","",ROUND(SUMIFS(aditivos!$L$2:$L$200,aditivos!$A$2:$A$200,A118,aditivos!$C$2:$C$200,"C3"),2))</f>
        <v/>
      </c>
      <c r="Q118" s="176">
        <f>IF(A118="","",ROUND(M118+P118,2))</f>
        <v/>
      </c>
      <c r="R118" s="176">
        <f>IF(A118="","",IF(itens_Remanesc!I118="","",itens_Remanesc!I118))</f>
        <v/>
      </c>
      <c r="S118" s="182">
        <f>IF(A118="","",IF($Y118="","",IF($Y118&gt;3,"",IF(ISNUMBER(R118),ROUND(R118+P118,2),IF($Y118=3,ROUND(P118,2),"")))))</f>
        <v/>
      </c>
      <c r="T118" s="174">
        <f>IF(A118="","",ROUND(SUMIFS(aditivos!$L$2:$L$200,aditivos!$A$2:$A$200,A118,aditivos!$C$2:$C$200,"C4"),2))</f>
        <v/>
      </c>
      <c r="U118" s="170">
        <f>IF(A118="","",ROUND(Q118+T118,2))</f>
        <v/>
      </c>
      <c r="V118" s="170">
        <f>IF(A118="","",IF(itens_Remanesc!K118="","",itens_Remanesc!K118))</f>
        <v/>
      </c>
      <c r="W118" s="170">
        <f>IF(A118="","",IF($Y118="","",IF($Y118&gt;4,"",IF(ISNUMBER(V118),ROUND(V118+T118,2),IF($Y118=4,ROUND(T118,2),"")))))</f>
        <v/>
      </c>
      <c r="X118" s="156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>
        <f>IF($A118="","",IF($E118&gt;0,0,IF($I118&gt;0,1,IF($M118&gt;0,2,IF($Q118&gt;0,3,IF($U118&gt;0,4,""))))))</f>
        <v/>
      </c>
      <c r="Z118">
        <f>IF($A118="",FALSE,AND(LEN(TRIM($A118))=4,LEFT(TRIM($A118),1)="N",ISNUMBER(--MID(TRIM($A118),2,3)),ISERROR(FIND(".",$A118)),ISERROR(FIND(",",$A118)),ISERROR(FIND("-",$A118)),ISERROR(FIND("+",$A118)),ISERROR(SEARCH("E",$A118,2)),ISERROR(FIND(" ",TRIM($A118)))))</f>
        <v/>
      </c>
    </row>
    <row r="119">
      <c r="A119" s="156">
        <f>IF(itens_Remanesc!A119="","",itens_Remanesc!A119)</f>
        <v/>
      </c>
      <c r="B119" s="218">
        <f>IF(A119="","",itens_Remanesc!C119)</f>
        <v/>
      </c>
      <c r="C119" s="172">
        <f>IF(A119="","",IF(itens_Remanesc!B119="",0,itens_Remanesc!B119))</f>
        <v/>
      </c>
      <c r="D119" s="174">
        <f>IF(A119="","",ROUND(SUMIFS(aditivos!$L$2:$L$200,aditivos!$A$2:$A$200,A119,aditivos!$C$2:$C$200,"C0"),2))</f>
        <v/>
      </c>
      <c r="E119" s="170">
        <f>IF(A119="","",ROUND(C119+D119,2))</f>
        <v/>
      </c>
      <c r="F119" s="170">
        <f>IF(A119="","",IF(itens_Remanesc!B119&lt;&gt;"",itens_Remanesc!B119,IF($Z119,0,"")))</f>
        <v/>
      </c>
      <c r="G119" s="178">
        <f>IF(A119="","",IF($Y119="","",IF($Y119&gt;0,"",ROUND(E119,2))))</f>
        <v/>
      </c>
      <c r="H119" s="180">
        <f>IF(A119="","",ROUND(SUMIFS(aditivos!$L$2:$L$200,aditivos!$A$2:$A$200,A119,aditivos!$C$2:$C$200,"C1"),2))</f>
        <v/>
      </c>
      <c r="I119" s="176">
        <f>IF(A119="","",ROUND(E119+H119,2))</f>
        <v/>
      </c>
      <c r="J119" s="176">
        <f>IF(A119="","",IF(itens_Remanesc!E119="","",itens_Remanesc!E119))</f>
        <v/>
      </c>
      <c r="K119" s="182">
        <f>IF(A119="","",IF($Y119="","",IF($Y119&gt;1,"",IF(ISNUMBER(J119),ROUND(J119+H119,2),IF($Y119=1,ROUND(H119,2),"")))))</f>
        <v/>
      </c>
      <c r="L119" s="174">
        <f>IF(A119="","",ROUND(SUMIFS(aditivos!$L$2:$L$200,aditivos!$A$2:$A$200,A119,aditivos!$C$2:$C$200,"C2"),2))</f>
        <v/>
      </c>
      <c r="M119" s="170">
        <f>IF(A119="","",ROUND(I119+L119,2))</f>
        <v/>
      </c>
      <c r="N119" s="170">
        <f>IF(A119="","",IF(itens_Remanesc!G119="","",itens_Remanesc!G119))</f>
        <v/>
      </c>
      <c r="O119" s="178">
        <f>IF(A119="","",IF($Y119="","",IF($Y119&gt;2,"",IF(ISNUMBER(N119),ROUND(N119+L119,2),IF($Y119=2,ROUND(L119,2),"")))))</f>
        <v/>
      </c>
      <c r="P119" s="180">
        <f>IF(A119="","",ROUND(SUMIFS(aditivos!$L$2:$L$200,aditivos!$A$2:$A$200,A119,aditivos!$C$2:$C$200,"C3"),2))</f>
        <v/>
      </c>
      <c r="Q119" s="176">
        <f>IF(A119="","",ROUND(M119+P119,2))</f>
        <v/>
      </c>
      <c r="R119" s="176">
        <f>IF(A119="","",IF(itens_Remanesc!I119="","",itens_Remanesc!I119))</f>
        <v/>
      </c>
      <c r="S119" s="182">
        <f>IF(A119="","",IF($Y119="","",IF($Y119&gt;3,"",IF(ISNUMBER(R119),ROUND(R119+P119,2),IF($Y119=3,ROUND(P119,2),"")))))</f>
        <v/>
      </c>
      <c r="T119" s="174">
        <f>IF(A119="","",ROUND(SUMIFS(aditivos!$L$2:$L$200,aditivos!$A$2:$A$200,A119,aditivos!$C$2:$C$200,"C4"),2))</f>
        <v/>
      </c>
      <c r="U119" s="170">
        <f>IF(A119="","",ROUND(Q119+T119,2))</f>
        <v/>
      </c>
      <c r="V119" s="170">
        <f>IF(A119="","",IF(itens_Remanesc!K119="","",itens_Remanesc!K119))</f>
        <v/>
      </c>
      <c r="W119" s="170">
        <f>IF(A119="","",IF($Y119="","",IF($Y119&gt;4,"",IF(ISNUMBER(V119),ROUND(V119+T119,2),IF($Y119=4,ROUND(T119,2),"")))))</f>
        <v/>
      </c>
      <c r="X119" s="156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>
        <f>IF($A119="","",IF($E119&gt;0,0,IF($I119&gt;0,1,IF($M119&gt;0,2,IF($Q119&gt;0,3,IF($U119&gt;0,4,""))))))</f>
        <v/>
      </c>
      <c r="Z119">
        <f>IF($A119="",FALSE,AND(LEN(TRIM($A119))=4,LEFT(TRIM($A119),1)="N",ISNUMBER(--MID(TRIM($A119),2,3)),ISERROR(FIND(".",$A119)),ISERROR(FIND(",",$A119)),ISERROR(FIND("-",$A119)),ISERROR(FIND("+",$A119)),ISERROR(SEARCH("E",$A119,2)),ISERROR(FIND(" ",TRIM($A119)))))</f>
        <v/>
      </c>
    </row>
    <row r="120">
      <c r="A120" s="156">
        <f>IF(itens_Remanesc!A120="","",itens_Remanesc!A120)</f>
        <v/>
      </c>
      <c r="B120" s="218">
        <f>IF(A120="","",itens_Remanesc!C120)</f>
        <v/>
      </c>
      <c r="C120" s="172">
        <f>IF(A120="","",IF(itens_Remanesc!B120="",0,itens_Remanesc!B120))</f>
        <v/>
      </c>
      <c r="D120" s="174">
        <f>IF(A120="","",ROUND(SUMIFS(aditivos!$L$2:$L$200,aditivos!$A$2:$A$200,A120,aditivos!$C$2:$C$200,"C0"),2))</f>
        <v/>
      </c>
      <c r="E120" s="170">
        <f>IF(A120="","",ROUND(C120+D120,2))</f>
        <v/>
      </c>
      <c r="F120" s="170">
        <f>IF(A120="","",IF(itens_Remanesc!B120&lt;&gt;"",itens_Remanesc!B120,IF($Z120,0,"")))</f>
        <v/>
      </c>
      <c r="G120" s="178">
        <f>IF(A120="","",IF($Y120="","",IF($Y120&gt;0,"",ROUND(E120,2))))</f>
        <v/>
      </c>
      <c r="H120" s="180">
        <f>IF(A120="","",ROUND(SUMIFS(aditivos!$L$2:$L$200,aditivos!$A$2:$A$200,A120,aditivos!$C$2:$C$200,"C1"),2))</f>
        <v/>
      </c>
      <c r="I120" s="176">
        <f>IF(A120="","",ROUND(E120+H120,2))</f>
        <v/>
      </c>
      <c r="J120" s="176">
        <f>IF(A120="","",IF(itens_Remanesc!E120="","",itens_Remanesc!E120))</f>
        <v/>
      </c>
      <c r="K120" s="182">
        <f>IF(A120="","",IF($Y120="","",IF($Y120&gt;1,"",IF(ISNUMBER(J120),ROUND(J120+H120,2),IF($Y120=1,ROUND(H120,2),"")))))</f>
        <v/>
      </c>
      <c r="L120" s="174">
        <f>IF(A120="","",ROUND(SUMIFS(aditivos!$L$2:$L$200,aditivos!$A$2:$A$200,A120,aditivos!$C$2:$C$200,"C2"),2))</f>
        <v/>
      </c>
      <c r="M120" s="170">
        <f>IF(A120="","",ROUND(I120+L120,2))</f>
        <v/>
      </c>
      <c r="N120" s="170">
        <f>IF(A120="","",IF(itens_Remanesc!G120="","",itens_Remanesc!G120))</f>
        <v/>
      </c>
      <c r="O120" s="178">
        <f>IF(A120="","",IF($Y120="","",IF($Y120&gt;2,"",IF(ISNUMBER(N120),ROUND(N120+L120,2),IF($Y120=2,ROUND(L120,2),"")))))</f>
        <v/>
      </c>
      <c r="P120" s="180">
        <f>IF(A120="","",ROUND(SUMIFS(aditivos!$L$2:$L$200,aditivos!$A$2:$A$200,A120,aditivos!$C$2:$C$200,"C3"),2))</f>
        <v/>
      </c>
      <c r="Q120" s="176">
        <f>IF(A120="","",ROUND(M120+P120,2))</f>
        <v/>
      </c>
      <c r="R120" s="176">
        <f>IF(A120="","",IF(itens_Remanesc!I120="","",itens_Remanesc!I120))</f>
        <v/>
      </c>
      <c r="S120" s="182">
        <f>IF(A120="","",IF($Y120="","",IF($Y120&gt;3,"",IF(ISNUMBER(R120),ROUND(R120+P120,2),IF($Y120=3,ROUND(P120,2),"")))))</f>
        <v/>
      </c>
      <c r="T120" s="174">
        <f>IF(A120="","",ROUND(SUMIFS(aditivos!$L$2:$L$200,aditivos!$A$2:$A$200,A120,aditivos!$C$2:$C$200,"C4"),2))</f>
        <v/>
      </c>
      <c r="U120" s="170">
        <f>IF(A120="","",ROUND(Q120+T120,2))</f>
        <v/>
      </c>
      <c r="V120" s="170">
        <f>IF(A120="","",IF(itens_Remanesc!K120="","",itens_Remanesc!K120))</f>
        <v/>
      </c>
      <c r="W120" s="170">
        <f>IF(A120="","",IF($Y120="","",IF($Y120&gt;4,"",IF(ISNUMBER(V120),ROUND(V120+T120,2),IF($Y120=4,ROUND(T120,2),"")))))</f>
        <v/>
      </c>
      <c r="X120" s="156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>
        <f>IF($A120="","",IF($E120&gt;0,0,IF($I120&gt;0,1,IF($M120&gt;0,2,IF($Q120&gt;0,3,IF($U120&gt;0,4,""))))))</f>
        <v/>
      </c>
      <c r="Z120">
        <f>IF($A120="",FALSE,AND(LEN(TRIM($A120))=4,LEFT(TRIM($A120),1)="N",ISNUMBER(--MID(TRIM($A120),2,3)),ISERROR(FIND(".",$A120)),ISERROR(FIND(",",$A120)),ISERROR(FIND("-",$A120)),ISERROR(FIND("+",$A120)),ISERROR(SEARCH("E",$A120,2)),ISERROR(FIND(" ",TRIM($A120)))))</f>
        <v/>
      </c>
    </row>
    <row r="121">
      <c r="A121" s="156">
        <f>IF(itens_Remanesc!A121="","",itens_Remanesc!A121)</f>
        <v/>
      </c>
      <c r="B121" s="218">
        <f>IF(A121="","",itens_Remanesc!C121)</f>
        <v/>
      </c>
      <c r="C121" s="172">
        <f>IF(A121="","",IF(itens_Remanesc!B121="",0,itens_Remanesc!B121))</f>
        <v/>
      </c>
      <c r="D121" s="174">
        <f>IF(A121="","",ROUND(SUMIFS(aditivos!$L$2:$L$200,aditivos!$A$2:$A$200,A121,aditivos!$C$2:$C$200,"C0"),2))</f>
        <v/>
      </c>
      <c r="E121" s="170">
        <f>IF(A121="","",ROUND(C121+D121,2))</f>
        <v/>
      </c>
      <c r="F121" s="170">
        <f>IF(A121="","",IF(itens_Remanesc!B121&lt;&gt;"",itens_Remanesc!B121,IF($Z121,0,"")))</f>
        <v/>
      </c>
      <c r="G121" s="178">
        <f>IF(A121="","",IF($Y121="","",IF($Y121&gt;0,"",ROUND(E121,2))))</f>
        <v/>
      </c>
      <c r="H121" s="180">
        <f>IF(A121="","",ROUND(SUMIFS(aditivos!$L$2:$L$200,aditivos!$A$2:$A$200,A121,aditivos!$C$2:$C$200,"C1"),2))</f>
        <v/>
      </c>
      <c r="I121" s="176">
        <f>IF(A121="","",ROUND(E121+H121,2))</f>
        <v/>
      </c>
      <c r="J121" s="176">
        <f>IF(A121="","",IF(itens_Remanesc!E121="","",itens_Remanesc!E121))</f>
        <v/>
      </c>
      <c r="K121" s="182">
        <f>IF(A121="","",IF($Y121="","",IF($Y121&gt;1,"",IF(ISNUMBER(J121),ROUND(J121+H121,2),IF($Y121=1,ROUND(H121,2),"")))))</f>
        <v/>
      </c>
      <c r="L121" s="174">
        <f>IF(A121="","",ROUND(SUMIFS(aditivos!$L$2:$L$200,aditivos!$A$2:$A$200,A121,aditivos!$C$2:$C$200,"C2"),2))</f>
        <v/>
      </c>
      <c r="M121" s="170">
        <f>IF(A121="","",ROUND(I121+L121,2))</f>
        <v/>
      </c>
      <c r="N121" s="170">
        <f>IF(A121="","",IF(itens_Remanesc!G121="","",itens_Remanesc!G121))</f>
        <v/>
      </c>
      <c r="O121" s="178">
        <f>IF(A121="","",IF($Y121="","",IF($Y121&gt;2,"",IF(ISNUMBER(N121),ROUND(N121+L121,2),IF($Y121=2,ROUND(L121,2),"")))))</f>
        <v/>
      </c>
      <c r="P121" s="180">
        <f>IF(A121="","",ROUND(SUMIFS(aditivos!$L$2:$L$200,aditivos!$A$2:$A$200,A121,aditivos!$C$2:$C$200,"C3"),2))</f>
        <v/>
      </c>
      <c r="Q121" s="176">
        <f>IF(A121="","",ROUND(M121+P121,2))</f>
        <v/>
      </c>
      <c r="R121" s="176">
        <f>IF(A121="","",IF(itens_Remanesc!I121="","",itens_Remanesc!I121))</f>
        <v/>
      </c>
      <c r="S121" s="182">
        <f>IF(A121="","",IF($Y121="","",IF($Y121&gt;3,"",IF(ISNUMBER(R121),ROUND(R121+P121,2),IF($Y121=3,ROUND(P121,2),"")))))</f>
        <v/>
      </c>
      <c r="T121" s="174">
        <f>IF(A121="","",ROUND(SUMIFS(aditivos!$L$2:$L$200,aditivos!$A$2:$A$200,A121,aditivos!$C$2:$C$200,"C4"),2))</f>
        <v/>
      </c>
      <c r="U121" s="170">
        <f>IF(A121="","",ROUND(Q121+T121,2))</f>
        <v/>
      </c>
      <c r="V121" s="170">
        <f>IF(A121="","",IF(itens_Remanesc!K121="","",itens_Remanesc!K121))</f>
        <v/>
      </c>
      <c r="W121" s="170">
        <f>IF(A121="","",IF($Y121="","",IF($Y121&gt;4,"",IF(ISNUMBER(V121),ROUND(V121+T121,2),IF($Y121=4,ROUND(T121,2),"")))))</f>
        <v/>
      </c>
      <c r="X121" s="156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>
        <f>IF($A121="","",IF($E121&gt;0,0,IF($I121&gt;0,1,IF($M121&gt;0,2,IF($Q121&gt;0,3,IF($U121&gt;0,4,""))))))</f>
        <v/>
      </c>
      <c r="Z121">
        <f>IF($A121="",FALSE,AND(LEN(TRIM($A121))=4,LEFT(TRIM($A121),1)="N",ISNUMBER(--MID(TRIM($A121),2,3)),ISERROR(FIND(".",$A121)),ISERROR(FIND(",",$A121)),ISERROR(FIND("-",$A121)),ISERROR(FIND("+",$A121)),ISERROR(SEARCH("E",$A121,2)),ISERROR(FIND(" ",TRIM($A121)))))</f>
        <v/>
      </c>
    </row>
    <row r="122">
      <c r="A122" s="156">
        <f>IF(itens_Remanesc!A122="","",itens_Remanesc!A122)</f>
        <v/>
      </c>
      <c r="B122" s="218">
        <f>IF(A122="","",itens_Remanesc!C122)</f>
        <v/>
      </c>
      <c r="C122" s="172">
        <f>IF(A122="","",IF(itens_Remanesc!B122="",0,itens_Remanesc!B122))</f>
        <v/>
      </c>
      <c r="D122" s="174">
        <f>IF(A122="","",ROUND(SUMIFS(aditivos!$L$2:$L$200,aditivos!$A$2:$A$200,A122,aditivos!$C$2:$C$200,"C0"),2))</f>
        <v/>
      </c>
      <c r="E122" s="170">
        <f>IF(A122="","",ROUND(C122+D122,2))</f>
        <v/>
      </c>
      <c r="F122" s="170">
        <f>IF(A122="","",IF(itens_Remanesc!B122&lt;&gt;"",itens_Remanesc!B122,IF($Z122,0,"")))</f>
        <v/>
      </c>
      <c r="G122" s="178">
        <f>IF(A122="","",IF($Y122="","",IF($Y122&gt;0,"",ROUND(E122,2))))</f>
        <v/>
      </c>
      <c r="H122" s="180">
        <f>IF(A122="","",ROUND(SUMIFS(aditivos!$L$2:$L$200,aditivos!$A$2:$A$200,A122,aditivos!$C$2:$C$200,"C1"),2))</f>
        <v/>
      </c>
      <c r="I122" s="176">
        <f>IF(A122="","",ROUND(E122+H122,2))</f>
        <v/>
      </c>
      <c r="J122" s="176">
        <f>IF(A122="","",IF(itens_Remanesc!E122="","",itens_Remanesc!E122))</f>
        <v/>
      </c>
      <c r="K122" s="182">
        <f>IF(A122="","",IF($Y122="","",IF($Y122&gt;1,"",IF(ISNUMBER(J122),ROUND(J122+H122,2),IF($Y122=1,ROUND(H122,2),"")))))</f>
        <v/>
      </c>
      <c r="L122" s="174">
        <f>IF(A122="","",ROUND(SUMIFS(aditivos!$L$2:$L$200,aditivos!$A$2:$A$200,A122,aditivos!$C$2:$C$200,"C2"),2))</f>
        <v/>
      </c>
      <c r="M122" s="170">
        <f>IF(A122="","",ROUND(I122+L122,2))</f>
        <v/>
      </c>
      <c r="N122" s="170">
        <f>IF(A122="","",IF(itens_Remanesc!G122="","",itens_Remanesc!G122))</f>
        <v/>
      </c>
      <c r="O122" s="178">
        <f>IF(A122="","",IF($Y122="","",IF($Y122&gt;2,"",IF(ISNUMBER(N122),ROUND(N122+L122,2),IF($Y122=2,ROUND(L122,2),"")))))</f>
        <v/>
      </c>
      <c r="P122" s="180">
        <f>IF(A122="","",ROUND(SUMIFS(aditivos!$L$2:$L$200,aditivos!$A$2:$A$200,A122,aditivos!$C$2:$C$200,"C3"),2))</f>
        <v/>
      </c>
      <c r="Q122" s="176">
        <f>IF(A122="","",ROUND(M122+P122,2))</f>
        <v/>
      </c>
      <c r="R122" s="176">
        <f>IF(A122="","",IF(itens_Remanesc!I122="","",itens_Remanesc!I122))</f>
        <v/>
      </c>
      <c r="S122" s="182">
        <f>IF(A122="","",IF($Y122="","",IF($Y122&gt;3,"",IF(ISNUMBER(R122),ROUND(R122+P122,2),IF($Y122=3,ROUND(P122,2),"")))))</f>
        <v/>
      </c>
      <c r="T122" s="174">
        <f>IF(A122="","",ROUND(SUMIFS(aditivos!$L$2:$L$200,aditivos!$A$2:$A$200,A122,aditivos!$C$2:$C$200,"C4"),2))</f>
        <v/>
      </c>
      <c r="U122" s="170">
        <f>IF(A122="","",ROUND(Q122+T122,2))</f>
        <v/>
      </c>
      <c r="V122" s="170">
        <f>IF(A122="","",IF(itens_Remanesc!K122="","",itens_Remanesc!K122))</f>
        <v/>
      </c>
      <c r="W122" s="170">
        <f>IF(A122="","",IF($Y122="","",IF($Y122&gt;4,"",IF(ISNUMBER(V122),ROUND(V122+T122,2),IF($Y122=4,ROUND(T122,2),"")))))</f>
        <v/>
      </c>
      <c r="X122" s="156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>
        <f>IF($A122="","",IF($E122&gt;0,0,IF($I122&gt;0,1,IF($M122&gt;0,2,IF($Q122&gt;0,3,IF($U122&gt;0,4,""))))))</f>
        <v/>
      </c>
      <c r="Z122">
        <f>IF($A122="",FALSE,AND(LEN(TRIM($A122))=4,LEFT(TRIM($A122),1)="N",ISNUMBER(--MID(TRIM($A122),2,3)),ISERROR(FIND(".",$A122)),ISERROR(FIND(",",$A122)),ISERROR(FIND("-",$A122)),ISERROR(FIND("+",$A122)),ISERROR(SEARCH("E",$A122,2)),ISERROR(FIND(" ",TRIM($A122)))))</f>
        <v/>
      </c>
    </row>
    <row r="123">
      <c r="A123" s="156">
        <f>IF(itens_Remanesc!A123="","",itens_Remanesc!A123)</f>
        <v/>
      </c>
      <c r="B123" s="218">
        <f>IF(A123="","",itens_Remanesc!C123)</f>
        <v/>
      </c>
      <c r="C123" s="172">
        <f>IF(A123="","",IF(itens_Remanesc!B123="",0,itens_Remanesc!B123))</f>
        <v/>
      </c>
      <c r="D123" s="174">
        <f>IF(A123="","",ROUND(SUMIFS(aditivos!$L$2:$L$200,aditivos!$A$2:$A$200,A123,aditivos!$C$2:$C$200,"C0"),2))</f>
        <v/>
      </c>
      <c r="E123" s="170">
        <f>IF(A123="","",ROUND(C123+D123,2))</f>
        <v/>
      </c>
      <c r="F123" s="170">
        <f>IF(A123="","",IF(itens_Remanesc!B123&lt;&gt;"",itens_Remanesc!B123,IF($Z123,0,"")))</f>
        <v/>
      </c>
      <c r="G123" s="178">
        <f>IF(A123="","",IF($Y123="","",IF($Y123&gt;0,"",ROUND(E123,2))))</f>
        <v/>
      </c>
      <c r="H123" s="180">
        <f>IF(A123="","",ROUND(SUMIFS(aditivos!$L$2:$L$200,aditivos!$A$2:$A$200,A123,aditivos!$C$2:$C$200,"C1"),2))</f>
        <v/>
      </c>
      <c r="I123" s="176">
        <f>IF(A123="","",ROUND(E123+H123,2))</f>
        <v/>
      </c>
      <c r="J123" s="176">
        <f>IF(A123="","",IF(itens_Remanesc!E123="","",itens_Remanesc!E123))</f>
        <v/>
      </c>
      <c r="K123" s="182">
        <f>IF(A123="","",IF($Y123="","",IF($Y123&gt;1,"",IF(ISNUMBER(J123),ROUND(J123+H123,2),IF($Y123=1,ROUND(H123,2),"")))))</f>
        <v/>
      </c>
      <c r="L123" s="174">
        <f>IF(A123="","",ROUND(SUMIFS(aditivos!$L$2:$L$200,aditivos!$A$2:$A$200,A123,aditivos!$C$2:$C$200,"C2"),2))</f>
        <v/>
      </c>
      <c r="M123" s="170">
        <f>IF(A123="","",ROUND(I123+L123,2))</f>
        <v/>
      </c>
      <c r="N123" s="170">
        <f>IF(A123="","",IF(itens_Remanesc!G123="","",itens_Remanesc!G123))</f>
        <v/>
      </c>
      <c r="O123" s="178">
        <f>IF(A123="","",IF($Y123="","",IF($Y123&gt;2,"",IF(ISNUMBER(N123),ROUND(N123+L123,2),IF($Y123=2,ROUND(L123,2),"")))))</f>
        <v/>
      </c>
      <c r="P123" s="180">
        <f>IF(A123="","",ROUND(SUMIFS(aditivos!$L$2:$L$200,aditivos!$A$2:$A$200,A123,aditivos!$C$2:$C$200,"C3"),2))</f>
        <v/>
      </c>
      <c r="Q123" s="176">
        <f>IF(A123="","",ROUND(M123+P123,2))</f>
        <v/>
      </c>
      <c r="R123" s="176">
        <f>IF(A123="","",IF(itens_Remanesc!I123="","",itens_Remanesc!I123))</f>
        <v/>
      </c>
      <c r="S123" s="182">
        <f>IF(A123="","",IF($Y123="","",IF($Y123&gt;3,"",IF(ISNUMBER(R123),ROUND(R123+P123,2),IF($Y123=3,ROUND(P123,2),"")))))</f>
        <v/>
      </c>
      <c r="T123" s="174">
        <f>IF(A123="","",ROUND(SUMIFS(aditivos!$L$2:$L$200,aditivos!$A$2:$A$200,A123,aditivos!$C$2:$C$200,"C4"),2))</f>
        <v/>
      </c>
      <c r="U123" s="170">
        <f>IF(A123="","",ROUND(Q123+T123,2))</f>
        <v/>
      </c>
      <c r="V123" s="170">
        <f>IF(A123="","",IF(itens_Remanesc!K123="","",itens_Remanesc!K123))</f>
        <v/>
      </c>
      <c r="W123" s="170">
        <f>IF(A123="","",IF($Y123="","",IF($Y123&gt;4,"",IF(ISNUMBER(V123),ROUND(V123+T123,2),IF($Y123=4,ROUND(T123,2),"")))))</f>
        <v/>
      </c>
      <c r="X123" s="156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>
        <f>IF($A123="","",IF($E123&gt;0,0,IF($I123&gt;0,1,IF($M123&gt;0,2,IF($Q123&gt;0,3,IF($U123&gt;0,4,""))))))</f>
        <v/>
      </c>
      <c r="Z123">
        <f>IF($A123="",FALSE,AND(LEN(TRIM($A123))=4,LEFT(TRIM($A123),1)="N",ISNUMBER(--MID(TRIM($A123),2,3)),ISERROR(FIND(".",$A123)),ISERROR(FIND(",",$A123)),ISERROR(FIND("-",$A123)),ISERROR(FIND("+",$A123)),ISERROR(SEARCH("E",$A123,2)),ISERROR(FIND(" ",TRIM($A123)))))</f>
        <v/>
      </c>
    </row>
    <row r="124">
      <c r="A124" s="156">
        <f>IF(itens_Remanesc!A124="","",itens_Remanesc!A124)</f>
        <v/>
      </c>
      <c r="B124" s="218">
        <f>IF(A124="","",itens_Remanesc!C124)</f>
        <v/>
      </c>
      <c r="C124" s="172">
        <f>IF(A124="","",IF(itens_Remanesc!B124="",0,itens_Remanesc!B124))</f>
        <v/>
      </c>
      <c r="D124" s="174">
        <f>IF(A124="","",ROUND(SUMIFS(aditivos!$L$2:$L$200,aditivos!$A$2:$A$200,A124,aditivos!$C$2:$C$200,"C0"),2))</f>
        <v/>
      </c>
      <c r="E124" s="170">
        <f>IF(A124="","",ROUND(C124+D124,2))</f>
        <v/>
      </c>
      <c r="F124" s="170">
        <f>IF(A124="","",IF(itens_Remanesc!B124&lt;&gt;"",itens_Remanesc!B124,IF($Z124,0,"")))</f>
        <v/>
      </c>
      <c r="G124" s="178">
        <f>IF(A124="","",IF($Y124="","",IF($Y124&gt;0,"",ROUND(E124,2))))</f>
        <v/>
      </c>
      <c r="H124" s="180">
        <f>IF(A124="","",ROUND(SUMIFS(aditivos!$L$2:$L$200,aditivos!$A$2:$A$200,A124,aditivos!$C$2:$C$200,"C1"),2))</f>
        <v/>
      </c>
      <c r="I124" s="176">
        <f>IF(A124="","",ROUND(E124+H124,2))</f>
        <v/>
      </c>
      <c r="J124" s="176">
        <f>IF(A124="","",IF(itens_Remanesc!E124="","",itens_Remanesc!E124))</f>
        <v/>
      </c>
      <c r="K124" s="182">
        <f>IF(A124="","",IF($Y124="","",IF($Y124&gt;1,"",IF(ISNUMBER(J124),ROUND(J124+H124,2),IF($Y124=1,ROUND(H124,2),"")))))</f>
        <v/>
      </c>
      <c r="L124" s="174">
        <f>IF(A124="","",ROUND(SUMIFS(aditivos!$L$2:$L$200,aditivos!$A$2:$A$200,A124,aditivos!$C$2:$C$200,"C2"),2))</f>
        <v/>
      </c>
      <c r="M124" s="170">
        <f>IF(A124="","",ROUND(I124+L124,2))</f>
        <v/>
      </c>
      <c r="N124" s="170">
        <f>IF(A124="","",IF(itens_Remanesc!G124="","",itens_Remanesc!G124))</f>
        <v/>
      </c>
      <c r="O124" s="178">
        <f>IF(A124="","",IF($Y124="","",IF($Y124&gt;2,"",IF(ISNUMBER(N124),ROUND(N124+L124,2),IF($Y124=2,ROUND(L124,2),"")))))</f>
        <v/>
      </c>
      <c r="P124" s="180">
        <f>IF(A124="","",ROUND(SUMIFS(aditivos!$L$2:$L$200,aditivos!$A$2:$A$200,A124,aditivos!$C$2:$C$200,"C3"),2))</f>
        <v/>
      </c>
      <c r="Q124" s="176">
        <f>IF(A124="","",ROUND(M124+P124,2))</f>
        <v/>
      </c>
      <c r="R124" s="176">
        <f>IF(A124="","",IF(itens_Remanesc!I124="","",itens_Remanesc!I124))</f>
        <v/>
      </c>
      <c r="S124" s="182">
        <f>IF(A124="","",IF($Y124="","",IF($Y124&gt;3,"",IF(ISNUMBER(R124),ROUND(R124+P124,2),IF($Y124=3,ROUND(P124,2),"")))))</f>
        <v/>
      </c>
      <c r="T124" s="174">
        <f>IF(A124="","",ROUND(SUMIFS(aditivos!$L$2:$L$200,aditivos!$A$2:$A$200,A124,aditivos!$C$2:$C$200,"C4"),2))</f>
        <v/>
      </c>
      <c r="U124" s="170">
        <f>IF(A124="","",ROUND(Q124+T124,2))</f>
        <v/>
      </c>
      <c r="V124" s="170">
        <f>IF(A124="","",IF(itens_Remanesc!K124="","",itens_Remanesc!K124))</f>
        <v/>
      </c>
      <c r="W124" s="170">
        <f>IF(A124="","",IF($Y124="","",IF($Y124&gt;4,"",IF(ISNUMBER(V124),ROUND(V124+T124,2),IF($Y124=4,ROUND(T124,2),"")))))</f>
        <v/>
      </c>
      <c r="X124" s="156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>
        <f>IF($A124="","",IF($E124&gt;0,0,IF($I124&gt;0,1,IF($M124&gt;0,2,IF($Q124&gt;0,3,IF($U124&gt;0,4,""))))))</f>
        <v/>
      </c>
      <c r="Z124">
        <f>IF($A124="",FALSE,AND(LEN(TRIM($A124))=4,LEFT(TRIM($A124),1)="N",ISNUMBER(--MID(TRIM($A124),2,3)),ISERROR(FIND(".",$A124)),ISERROR(FIND(",",$A124)),ISERROR(FIND("-",$A124)),ISERROR(FIND("+",$A124)),ISERROR(SEARCH("E",$A124,2)),ISERROR(FIND(" ",TRIM($A124)))))</f>
        <v/>
      </c>
    </row>
    <row r="125">
      <c r="A125" s="156">
        <f>IF(itens_Remanesc!A125="","",itens_Remanesc!A125)</f>
        <v/>
      </c>
      <c r="B125" s="218">
        <f>IF(A125="","",itens_Remanesc!C125)</f>
        <v/>
      </c>
      <c r="C125" s="172">
        <f>IF(A125="","",IF(itens_Remanesc!B125="",0,itens_Remanesc!B125))</f>
        <v/>
      </c>
      <c r="D125" s="174">
        <f>IF(A125="","",ROUND(SUMIFS(aditivos!$L$2:$L$200,aditivos!$A$2:$A$200,A125,aditivos!$C$2:$C$200,"C0"),2))</f>
        <v/>
      </c>
      <c r="E125" s="170">
        <f>IF(A125="","",ROUND(C125+D125,2))</f>
        <v/>
      </c>
      <c r="F125" s="170">
        <f>IF(A125="","",IF(itens_Remanesc!B125&lt;&gt;"",itens_Remanesc!B125,IF($Z125,0,"")))</f>
        <v/>
      </c>
      <c r="G125" s="178">
        <f>IF(A125="","",IF($Y125="","",IF($Y125&gt;0,"",ROUND(E125,2))))</f>
        <v/>
      </c>
      <c r="H125" s="180">
        <f>IF(A125="","",ROUND(SUMIFS(aditivos!$L$2:$L$200,aditivos!$A$2:$A$200,A125,aditivos!$C$2:$C$200,"C1"),2))</f>
        <v/>
      </c>
      <c r="I125" s="176">
        <f>IF(A125="","",ROUND(E125+H125,2))</f>
        <v/>
      </c>
      <c r="J125" s="176">
        <f>IF(A125="","",IF(itens_Remanesc!E125="","",itens_Remanesc!E125))</f>
        <v/>
      </c>
      <c r="K125" s="182">
        <f>IF(A125="","",IF($Y125="","",IF($Y125&gt;1,"",IF(ISNUMBER(J125),ROUND(J125+H125,2),IF($Y125=1,ROUND(H125,2),"")))))</f>
        <v/>
      </c>
      <c r="L125" s="174">
        <f>IF(A125="","",ROUND(SUMIFS(aditivos!$L$2:$L$200,aditivos!$A$2:$A$200,A125,aditivos!$C$2:$C$200,"C2"),2))</f>
        <v/>
      </c>
      <c r="M125" s="170">
        <f>IF(A125="","",ROUND(I125+L125,2))</f>
        <v/>
      </c>
      <c r="N125" s="170">
        <f>IF(A125="","",IF(itens_Remanesc!G125="","",itens_Remanesc!G125))</f>
        <v/>
      </c>
      <c r="O125" s="178">
        <f>IF(A125="","",IF($Y125="","",IF($Y125&gt;2,"",IF(ISNUMBER(N125),ROUND(N125+L125,2),IF($Y125=2,ROUND(L125,2),"")))))</f>
        <v/>
      </c>
      <c r="P125" s="180">
        <f>IF(A125="","",ROUND(SUMIFS(aditivos!$L$2:$L$200,aditivos!$A$2:$A$200,A125,aditivos!$C$2:$C$200,"C3"),2))</f>
        <v/>
      </c>
      <c r="Q125" s="176">
        <f>IF(A125="","",ROUND(M125+P125,2))</f>
        <v/>
      </c>
      <c r="R125" s="176">
        <f>IF(A125="","",IF(itens_Remanesc!I125="","",itens_Remanesc!I125))</f>
        <v/>
      </c>
      <c r="S125" s="182">
        <f>IF(A125="","",IF($Y125="","",IF($Y125&gt;3,"",IF(ISNUMBER(R125),ROUND(R125+P125,2),IF($Y125=3,ROUND(P125,2),"")))))</f>
        <v/>
      </c>
      <c r="T125" s="174">
        <f>IF(A125="","",ROUND(SUMIFS(aditivos!$L$2:$L$200,aditivos!$A$2:$A$200,A125,aditivos!$C$2:$C$200,"C4"),2))</f>
        <v/>
      </c>
      <c r="U125" s="170">
        <f>IF(A125="","",ROUND(Q125+T125,2))</f>
        <v/>
      </c>
      <c r="V125" s="170">
        <f>IF(A125="","",IF(itens_Remanesc!K125="","",itens_Remanesc!K125))</f>
        <v/>
      </c>
      <c r="W125" s="170">
        <f>IF(A125="","",IF($Y125="","",IF($Y125&gt;4,"",IF(ISNUMBER(V125),ROUND(V125+T125,2),IF($Y125=4,ROUND(T125,2),"")))))</f>
        <v/>
      </c>
      <c r="X125" s="156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>
        <f>IF($A125="","",IF($E125&gt;0,0,IF($I125&gt;0,1,IF($M125&gt;0,2,IF($Q125&gt;0,3,IF($U125&gt;0,4,""))))))</f>
        <v/>
      </c>
      <c r="Z125">
        <f>IF($A125="",FALSE,AND(LEN(TRIM($A125))=4,LEFT(TRIM($A125),1)="N",ISNUMBER(--MID(TRIM($A125),2,3)),ISERROR(FIND(".",$A125)),ISERROR(FIND(",",$A125)),ISERROR(FIND("-",$A125)),ISERROR(FIND("+",$A125)),ISERROR(SEARCH("E",$A125,2)),ISERROR(FIND(" ",TRIM($A125)))))</f>
        <v/>
      </c>
    </row>
    <row r="126">
      <c r="A126" s="156">
        <f>IF(itens_Remanesc!A126="","",itens_Remanesc!A126)</f>
        <v/>
      </c>
      <c r="B126" s="218">
        <f>IF(A126="","",itens_Remanesc!C126)</f>
        <v/>
      </c>
      <c r="C126" s="172">
        <f>IF(A126="","",IF(itens_Remanesc!B126="",0,itens_Remanesc!B126))</f>
        <v/>
      </c>
      <c r="D126" s="174">
        <f>IF(A126="","",ROUND(SUMIFS(aditivos!$L$2:$L$200,aditivos!$A$2:$A$200,A126,aditivos!$C$2:$C$200,"C0"),2))</f>
        <v/>
      </c>
      <c r="E126" s="170">
        <f>IF(A126="","",ROUND(C126+D126,2))</f>
        <v/>
      </c>
      <c r="F126" s="170">
        <f>IF(A126="","",IF(itens_Remanesc!B126&lt;&gt;"",itens_Remanesc!B126,IF($Z126,0,"")))</f>
        <v/>
      </c>
      <c r="G126" s="178">
        <f>IF(A126="","",IF($Y126="","",IF($Y126&gt;0,"",ROUND(E126,2))))</f>
        <v/>
      </c>
      <c r="H126" s="180">
        <f>IF(A126="","",ROUND(SUMIFS(aditivos!$L$2:$L$200,aditivos!$A$2:$A$200,A126,aditivos!$C$2:$C$200,"C1"),2))</f>
        <v/>
      </c>
      <c r="I126" s="176">
        <f>IF(A126="","",ROUND(E126+H126,2))</f>
        <v/>
      </c>
      <c r="J126" s="176">
        <f>IF(A126="","",IF(itens_Remanesc!E126="","",itens_Remanesc!E126))</f>
        <v/>
      </c>
      <c r="K126" s="182">
        <f>IF(A126="","",IF($Y126="","",IF($Y126&gt;1,"",IF(ISNUMBER(J126),ROUND(J126+H126,2),IF($Y126=1,ROUND(H126,2),"")))))</f>
        <v/>
      </c>
      <c r="L126" s="174">
        <f>IF(A126="","",ROUND(SUMIFS(aditivos!$L$2:$L$200,aditivos!$A$2:$A$200,A126,aditivos!$C$2:$C$200,"C2"),2))</f>
        <v/>
      </c>
      <c r="M126" s="170">
        <f>IF(A126="","",ROUND(I126+L126,2))</f>
        <v/>
      </c>
      <c r="N126" s="170">
        <f>IF(A126="","",IF(itens_Remanesc!G126="","",itens_Remanesc!G126))</f>
        <v/>
      </c>
      <c r="O126" s="178">
        <f>IF(A126="","",IF($Y126="","",IF($Y126&gt;2,"",IF(ISNUMBER(N126),ROUND(N126+L126,2),IF($Y126=2,ROUND(L126,2),"")))))</f>
        <v/>
      </c>
      <c r="P126" s="180">
        <f>IF(A126="","",ROUND(SUMIFS(aditivos!$L$2:$L$200,aditivos!$A$2:$A$200,A126,aditivos!$C$2:$C$200,"C3"),2))</f>
        <v/>
      </c>
      <c r="Q126" s="176">
        <f>IF(A126="","",ROUND(M126+P126,2))</f>
        <v/>
      </c>
      <c r="R126" s="176">
        <f>IF(A126="","",IF(itens_Remanesc!I126="","",itens_Remanesc!I126))</f>
        <v/>
      </c>
      <c r="S126" s="182">
        <f>IF(A126="","",IF($Y126="","",IF($Y126&gt;3,"",IF(ISNUMBER(R126),ROUND(R126+P126,2),IF($Y126=3,ROUND(P126,2),"")))))</f>
        <v/>
      </c>
      <c r="T126" s="174">
        <f>IF(A126="","",ROUND(SUMIFS(aditivos!$L$2:$L$200,aditivos!$A$2:$A$200,A126,aditivos!$C$2:$C$200,"C4"),2))</f>
        <v/>
      </c>
      <c r="U126" s="170">
        <f>IF(A126="","",ROUND(Q126+T126,2))</f>
        <v/>
      </c>
      <c r="V126" s="170">
        <f>IF(A126="","",IF(itens_Remanesc!K126="","",itens_Remanesc!K126))</f>
        <v/>
      </c>
      <c r="W126" s="170">
        <f>IF(A126="","",IF($Y126="","",IF($Y126&gt;4,"",IF(ISNUMBER(V126),ROUND(V126+T126,2),IF($Y126=4,ROUND(T126,2),"")))))</f>
        <v/>
      </c>
      <c r="X126" s="156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>
        <f>IF($A126="","",IF($E126&gt;0,0,IF($I126&gt;0,1,IF($M126&gt;0,2,IF($Q126&gt;0,3,IF($U126&gt;0,4,""))))))</f>
        <v/>
      </c>
      <c r="Z126">
        <f>IF($A126="",FALSE,AND(LEN(TRIM($A126))=4,LEFT(TRIM($A126),1)="N",ISNUMBER(--MID(TRIM($A126),2,3)),ISERROR(FIND(".",$A126)),ISERROR(FIND(",",$A126)),ISERROR(FIND("-",$A126)),ISERROR(FIND("+",$A126)),ISERROR(SEARCH("E",$A126,2)),ISERROR(FIND(" ",TRIM($A126)))))</f>
        <v/>
      </c>
    </row>
    <row r="127">
      <c r="A127" s="156">
        <f>IF(itens_Remanesc!A127="","",itens_Remanesc!A127)</f>
        <v/>
      </c>
      <c r="B127" s="218">
        <f>IF(A127="","",itens_Remanesc!C127)</f>
        <v/>
      </c>
      <c r="C127" s="172">
        <f>IF(A127="","",IF(itens_Remanesc!B127="",0,itens_Remanesc!B127))</f>
        <v/>
      </c>
      <c r="D127" s="174">
        <f>IF(A127="","",ROUND(SUMIFS(aditivos!$L$2:$L$200,aditivos!$A$2:$A$200,A127,aditivos!$C$2:$C$200,"C0"),2))</f>
        <v/>
      </c>
      <c r="E127" s="170">
        <f>IF(A127="","",ROUND(C127+D127,2))</f>
        <v/>
      </c>
      <c r="F127" s="170">
        <f>IF(A127="","",IF(itens_Remanesc!B127&lt;&gt;"",itens_Remanesc!B127,IF($Z127,0,"")))</f>
        <v/>
      </c>
      <c r="G127" s="178">
        <f>IF(A127="","",IF($Y127="","",IF($Y127&gt;0,"",ROUND(E127,2))))</f>
        <v/>
      </c>
      <c r="H127" s="180">
        <f>IF(A127="","",ROUND(SUMIFS(aditivos!$L$2:$L$200,aditivos!$A$2:$A$200,A127,aditivos!$C$2:$C$200,"C1"),2))</f>
        <v/>
      </c>
      <c r="I127" s="176">
        <f>IF(A127="","",ROUND(E127+H127,2))</f>
        <v/>
      </c>
      <c r="J127" s="176">
        <f>IF(A127="","",IF(itens_Remanesc!E127="","",itens_Remanesc!E127))</f>
        <v/>
      </c>
      <c r="K127" s="182">
        <f>IF(A127="","",IF($Y127="","",IF($Y127&gt;1,"",IF(ISNUMBER(J127),ROUND(J127+H127,2),IF($Y127=1,ROUND(H127,2),"")))))</f>
        <v/>
      </c>
      <c r="L127" s="174">
        <f>IF(A127="","",ROUND(SUMIFS(aditivos!$L$2:$L$200,aditivos!$A$2:$A$200,A127,aditivos!$C$2:$C$200,"C2"),2))</f>
        <v/>
      </c>
      <c r="M127" s="170">
        <f>IF(A127="","",ROUND(I127+L127,2))</f>
        <v/>
      </c>
      <c r="N127" s="170">
        <f>IF(A127="","",IF(itens_Remanesc!G127="","",itens_Remanesc!G127))</f>
        <v/>
      </c>
      <c r="O127" s="178">
        <f>IF(A127="","",IF($Y127="","",IF($Y127&gt;2,"",IF(ISNUMBER(N127),ROUND(N127+L127,2),IF($Y127=2,ROUND(L127,2),"")))))</f>
        <v/>
      </c>
      <c r="P127" s="180">
        <f>IF(A127="","",ROUND(SUMIFS(aditivos!$L$2:$L$200,aditivos!$A$2:$A$200,A127,aditivos!$C$2:$C$200,"C3"),2))</f>
        <v/>
      </c>
      <c r="Q127" s="176">
        <f>IF(A127="","",ROUND(M127+P127,2))</f>
        <v/>
      </c>
      <c r="R127" s="176">
        <f>IF(A127="","",IF(itens_Remanesc!I127="","",itens_Remanesc!I127))</f>
        <v/>
      </c>
      <c r="S127" s="182">
        <f>IF(A127="","",IF($Y127="","",IF($Y127&gt;3,"",IF(ISNUMBER(R127),ROUND(R127+P127,2),IF($Y127=3,ROUND(P127,2),"")))))</f>
        <v/>
      </c>
      <c r="T127" s="174">
        <f>IF(A127="","",ROUND(SUMIFS(aditivos!$L$2:$L$200,aditivos!$A$2:$A$200,A127,aditivos!$C$2:$C$200,"C4"),2))</f>
        <v/>
      </c>
      <c r="U127" s="170">
        <f>IF(A127="","",ROUND(Q127+T127,2))</f>
        <v/>
      </c>
      <c r="V127" s="170">
        <f>IF(A127="","",IF(itens_Remanesc!K127="","",itens_Remanesc!K127))</f>
        <v/>
      </c>
      <c r="W127" s="170">
        <f>IF(A127="","",IF($Y127="","",IF($Y127&gt;4,"",IF(ISNUMBER(V127),ROUND(V127+T127,2),IF($Y127=4,ROUND(T127,2),"")))))</f>
        <v/>
      </c>
      <c r="X127" s="156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>
        <f>IF($A127="","",IF($E127&gt;0,0,IF($I127&gt;0,1,IF($M127&gt;0,2,IF($Q127&gt;0,3,IF($U127&gt;0,4,""))))))</f>
        <v/>
      </c>
      <c r="Z127">
        <f>IF($A127="",FALSE,AND(LEN(TRIM($A127))=4,LEFT(TRIM($A127),1)="N",ISNUMBER(--MID(TRIM($A127),2,3)),ISERROR(FIND(".",$A127)),ISERROR(FIND(",",$A127)),ISERROR(FIND("-",$A127)),ISERROR(FIND("+",$A127)),ISERROR(SEARCH("E",$A127,2)),ISERROR(FIND(" ",TRIM($A127)))))</f>
        <v/>
      </c>
    </row>
    <row r="128">
      <c r="A128" s="156">
        <f>IF(itens_Remanesc!A128="","",itens_Remanesc!A128)</f>
        <v/>
      </c>
      <c r="B128" s="218">
        <f>IF(A128="","",itens_Remanesc!C128)</f>
        <v/>
      </c>
      <c r="C128" s="172">
        <f>IF(A128="","",IF(itens_Remanesc!B128="",0,itens_Remanesc!B128))</f>
        <v/>
      </c>
      <c r="D128" s="174">
        <f>IF(A128="","",ROUND(SUMIFS(aditivos!$L$2:$L$200,aditivos!$A$2:$A$200,A128,aditivos!$C$2:$C$200,"C0"),2))</f>
        <v/>
      </c>
      <c r="E128" s="170">
        <f>IF(A128="","",ROUND(C128+D128,2))</f>
        <v/>
      </c>
      <c r="F128" s="170">
        <f>IF(A128="","",IF(itens_Remanesc!B128&lt;&gt;"",itens_Remanesc!B128,IF($Z128,0,"")))</f>
        <v/>
      </c>
      <c r="G128" s="178">
        <f>IF(A128="","",IF($Y128="","",IF($Y128&gt;0,"",ROUND(E128,2))))</f>
        <v/>
      </c>
      <c r="H128" s="180">
        <f>IF(A128="","",ROUND(SUMIFS(aditivos!$L$2:$L$200,aditivos!$A$2:$A$200,A128,aditivos!$C$2:$C$200,"C1"),2))</f>
        <v/>
      </c>
      <c r="I128" s="176">
        <f>IF(A128="","",ROUND(E128+H128,2))</f>
        <v/>
      </c>
      <c r="J128" s="176">
        <f>IF(A128="","",IF(itens_Remanesc!E128="","",itens_Remanesc!E128))</f>
        <v/>
      </c>
      <c r="K128" s="182">
        <f>IF(A128="","",IF($Y128="","",IF($Y128&gt;1,"",IF(ISNUMBER(J128),ROUND(J128+H128,2),IF($Y128=1,ROUND(H128,2),"")))))</f>
        <v/>
      </c>
      <c r="L128" s="174">
        <f>IF(A128="","",ROUND(SUMIFS(aditivos!$L$2:$L$200,aditivos!$A$2:$A$200,A128,aditivos!$C$2:$C$200,"C2"),2))</f>
        <v/>
      </c>
      <c r="M128" s="170">
        <f>IF(A128="","",ROUND(I128+L128,2))</f>
        <v/>
      </c>
      <c r="N128" s="170">
        <f>IF(A128="","",IF(itens_Remanesc!G128="","",itens_Remanesc!G128))</f>
        <v/>
      </c>
      <c r="O128" s="178">
        <f>IF(A128="","",IF($Y128="","",IF($Y128&gt;2,"",IF(ISNUMBER(N128),ROUND(N128+L128,2),IF($Y128=2,ROUND(L128,2),"")))))</f>
        <v/>
      </c>
      <c r="P128" s="180">
        <f>IF(A128="","",ROUND(SUMIFS(aditivos!$L$2:$L$200,aditivos!$A$2:$A$200,A128,aditivos!$C$2:$C$200,"C3"),2))</f>
        <v/>
      </c>
      <c r="Q128" s="176">
        <f>IF(A128="","",ROUND(M128+P128,2))</f>
        <v/>
      </c>
      <c r="R128" s="176">
        <f>IF(A128="","",IF(itens_Remanesc!I128="","",itens_Remanesc!I128))</f>
        <v/>
      </c>
      <c r="S128" s="182">
        <f>IF(A128="","",IF($Y128="","",IF($Y128&gt;3,"",IF(ISNUMBER(R128),ROUND(R128+P128,2),IF($Y128=3,ROUND(P128,2),"")))))</f>
        <v/>
      </c>
      <c r="T128" s="174">
        <f>IF(A128="","",ROUND(SUMIFS(aditivos!$L$2:$L$200,aditivos!$A$2:$A$200,A128,aditivos!$C$2:$C$200,"C4"),2))</f>
        <v/>
      </c>
      <c r="U128" s="170">
        <f>IF(A128="","",ROUND(Q128+T128,2))</f>
        <v/>
      </c>
      <c r="V128" s="170">
        <f>IF(A128="","",IF(itens_Remanesc!K128="","",itens_Remanesc!K128))</f>
        <v/>
      </c>
      <c r="W128" s="170">
        <f>IF(A128="","",IF($Y128="","",IF($Y128&gt;4,"",IF(ISNUMBER(V128),ROUND(V128+T128,2),IF($Y128=4,ROUND(T128,2),"")))))</f>
        <v/>
      </c>
      <c r="X128" s="156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>
        <f>IF($A128="","",IF($E128&gt;0,0,IF($I128&gt;0,1,IF($M128&gt;0,2,IF($Q128&gt;0,3,IF($U128&gt;0,4,""))))))</f>
        <v/>
      </c>
      <c r="Z128">
        <f>IF($A128="",FALSE,AND(LEN(TRIM($A128))=4,LEFT(TRIM($A128),1)="N",ISNUMBER(--MID(TRIM($A128),2,3)),ISERROR(FIND(".",$A128)),ISERROR(FIND(",",$A128)),ISERROR(FIND("-",$A128)),ISERROR(FIND("+",$A128)),ISERROR(SEARCH("E",$A128,2)),ISERROR(FIND(" ",TRIM($A128)))))</f>
        <v/>
      </c>
    </row>
    <row r="129">
      <c r="A129" s="156">
        <f>IF(itens_Remanesc!A129="","",itens_Remanesc!A129)</f>
        <v/>
      </c>
      <c r="B129" s="218">
        <f>IF(A129="","",itens_Remanesc!C129)</f>
        <v/>
      </c>
      <c r="C129" s="172">
        <f>IF(A129="","",IF(itens_Remanesc!B129="",0,itens_Remanesc!B129))</f>
        <v/>
      </c>
      <c r="D129" s="174">
        <f>IF(A129="","",ROUND(SUMIFS(aditivos!$L$2:$L$200,aditivos!$A$2:$A$200,A129,aditivos!$C$2:$C$200,"C0"),2))</f>
        <v/>
      </c>
      <c r="E129" s="170">
        <f>IF(A129="","",ROUND(C129+D129,2))</f>
        <v/>
      </c>
      <c r="F129" s="170">
        <f>IF(A129="","",IF(itens_Remanesc!B129&lt;&gt;"",itens_Remanesc!B129,IF($Z129,0,"")))</f>
        <v/>
      </c>
      <c r="G129" s="178">
        <f>IF(A129="","",IF($Y129="","",IF($Y129&gt;0,"",ROUND(E129,2))))</f>
        <v/>
      </c>
      <c r="H129" s="180">
        <f>IF(A129="","",ROUND(SUMIFS(aditivos!$L$2:$L$200,aditivos!$A$2:$A$200,A129,aditivos!$C$2:$C$200,"C1"),2))</f>
        <v/>
      </c>
      <c r="I129" s="176">
        <f>IF(A129="","",ROUND(E129+H129,2))</f>
        <v/>
      </c>
      <c r="J129" s="176">
        <f>IF(A129="","",IF(itens_Remanesc!E129="","",itens_Remanesc!E129))</f>
        <v/>
      </c>
      <c r="K129" s="182">
        <f>IF(A129="","",IF($Y129="","",IF($Y129&gt;1,"",IF(ISNUMBER(J129),ROUND(J129+H129,2),IF($Y129=1,ROUND(H129,2),"")))))</f>
        <v/>
      </c>
      <c r="L129" s="174">
        <f>IF(A129="","",ROUND(SUMIFS(aditivos!$L$2:$L$200,aditivos!$A$2:$A$200,A129,aditivos!$C$2:$C$200,"C2"),2))</f>
        <v/>
      </c>
      <c r="M129" s="170">
        <f>IF(A129="","",ROUND(I129+L129,2))</f>
        <v/>
      </c>
      <c r="N129" s="170">
        <f>IF(A129="","",IF(itens_Remanesc!G129="","",itens_Remanesc!G129))</f>
        <v/>
      </c>
      <c r="O129" s="178">
        <f>IF(A129="","",IF($Y129="","",IF($Y129&gt;2,"",IF(ISNUMBER(N129),ROUND(N129+L129,2),IF($Y129=2,ROUND(L129,2),"")))))</f>
        <v/>
      </c>
      <c r="P129" s="180">
        <f>IF(A129="","",ROUND(SUMIFS(aditivos!$L$2:$L$200,aditivos!$A$2:$A$200,A129,aditivos!$C$2:$C$200,"C3"),2))</f>
        <v/>
      </c>
      <c r="Q129" s="176">
        <f>IF(A129="","",ROUND(M129+P129,2))</f>
        <v/>
      </c>
      <c r="R129" s="176">
        <f>IF(A129="","",IF(itens_Remanesc!I129="","",itens_Remanesc!I129))</f>
        <v/>
      </c>
      <c r="S129" s="182">
        <f>IF(A129="","",IF($Y129="","",IF($Y129&gt;3,"",IF(ISNUMBER(R129),ROUND(R129+P129,2),IF($Y129=3,ROUND(P129,2),"")))))</f>
        <v/>
      </c>
      <c r="T129" s="174">
        <f>IF(A129="","",ROUND(SUMIFS(aditivos!$L$2:$L$200,aditivos!$A$2:$A$200,A129,aditivos!$C$2:$C$200,"C4"),2))</f>
        <v/>
      </c>
      <c r="U129" s="170">
        <f>IF(A129="","",ROUND(Q129+T129,2))</f>
        <v/>
      </c>
      <c r="V129" s="170">
        <f>IF(A129="","",IF(itens_Remanesc!K129="","",itens_Remanesc!K129))</f>
        <v/>
      </c>
      <c r="W129" s="170">
        <f>IF(A129="","",IF($Y129="","",IF($Y129&gt;4,"",IF(ISNUMBER(V129),ROUND(V129+T129,2),IF($Y129=4,ROUND(T129,2),"")))))</f>
        <v/>
      </c>
      <c r="X129" s="156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>
        <f>IF($A129="","",IF($E129&gt;0,0,IF($I129&gt;0,1,IF($M129&gt;0,2,IF($Q129&gt;0,3,IF($U129&gt;0,4,""))))))</f>
        <v/>
      </c>
      <c r="Z129">
        <f>IF($A129="",FALSE,AND(LEN(TRIM($A129))=4,LEFT(TRIM($A129),1)="N",ISNUMBER(--MID(TRIM($A129),2,3)),ISERROR(FIND(".",$A129)),ISERROR(FIND(",",$A129)),ISERROR(FIND("-",$A129)),ISERROR(FIND("+",$A129)),ISERROR(SEARCH("E",$A129,2)),ISERROR(FIND(" ",TRIM($A129)))))</f>
        <v/>
      </c>
    </row>
    <row r="130">
      <c r="A130" s="156">
        <f>IF(itens_Remanesc!A130="","",itens_Remanesc!A130)</f>
        <v/>
      </c>
      <c r="B130" s="218">
        <f>IF(A130="","",itens_Remanesc!C130)</f>
        <v/>
      </c>
      <c r="C130" s="172">
        <f>IF(A130="","",IF(itens_Remanesc!B130="",0,itens_Remanesc!B130))</f>
        <v/>
      </c>
      <c r="D130" s="174">
        <f>IF(A130="","",ROUND(SUMIFS(aditivos!$L$2:$L$200,aditivos!$A$2:$A$200,A130,aditivos!$C$2:$C$200,"C0"),2))</f>
        <v/>
      </c>
      <c r="E130" s="170">
        <f>IF(A130="","",ROUND(C130+D130,2))</f>
        <v/>
      </c>
      <c r="F130" s="170">
        <f>IF(A130="","",IF(itens_Remanesc!B130&lt;&gt;"",itens_Remanesc!B130,IF($Z130,0,"")))</f>
        <v/>
      </c>
      <c r="G130" s="178">
        <f>IF(A130="","",IF($Y130="","",IF($Y130&gt;0,"",ROUND(E130,2))))</f>
        <v/>
      </c>
      <c r="H130" s="180">
        <f>IF(A130="","",ROUND(SUMIFS(aditivos!$L$2:$L$200,aditivos!$A$2:$A$200,A130,aditivos!$C$2:$C$200,"C1"),2))</f>
        <v/>
      </c>
      <c r="I130" s="176">
        <f>IF(A130="","",ROUND(E130+H130,2))</f>
        <v/>
      </c>
      <c r="J130" s="176">
        <f>IF(A130="","",IF(itens_Remanesc!E130="","",itens_Remanesc!E130))</f>
        <v/>
      </c>
      <c r="K130" s="182">
        <f>IF(A130="","",IF($Y130="","",IF($Y130&gt;1,"",IF(ISNUMBER(J130),ROUND(J130+H130,2),IF($Y130=1,ROUND(H130,2),"")))))</f>
        <v/>
      </c>
      <c r="L130" s="174">
        <f>IF(A130="","",ROUND(SUMIFS(aditivos!$L$2:$L$200,aditivos!$A$2:$A$200,A130,aditivos!$C$2:$C$200,"C2"),2))</f>
        <v/>
      </c>
      <c r="M130" s="170">
        <f>IF(A130="","",ROUND(I130+L130,2))</f>
        <v/>
      </c>
      <c r="N130" s="170">
        <f>IF(A130="","",IF(itens_Remanesc!G130="","",itens_Remanesc!G130))</f>
        <v/>
      </c>
      <c r="O130" s="178">
        <f>IF(A130="","",IF($Y130="","",IF($Y130&gt;2,"",IF(ISNUMBER(N130),ROUND(N130+L130,2),IF($Y130=2,ROUND(L130,2),"")))))</f>
        <v/>
      </c>
      <c r="P130" s="180">
        <f>IF(A130="","",ROUND(SUMIFS(aditivos!$L$2:$L$200,aditivos!$A$2:$A$200,A130,aditivos!$C$2:$C$200,"C3"),2))</f>
        <v/>
      </c>
      <c r="Q130" s="176">
        <f>IF(A130="","",ROUND(M130+P130,2))</f>
        <v/>
      </c>
      <c r="R130" s="176">
        <f>IF(A130="","",IF(itens_Remanesc!I130="","",itens_Remanesc!I130))</f>
        <v/>
      </c>
      <c r="S130" s="182">
        <f>IF(A130="","",IF($Y130="","",IF($Y130&gt;3,"",IF(ISNUMBER(R130),ROUND(R130+P130,2),IF($Y130=3,ROUND(P130,2),"")))))</f>
        <v/>
      </c>
      <c r="T130" s="174">
        <f>IF(A130="","",ROUND(SUMIFS(aditivos!$L$2:$L$200,aditivos!$A$2:$A$200,A130,aditivos!$C$2:$C$200,"C4"),2))</f>
        <v/>
      </c>
      <c r="U130" s="170">
        <f>IF(A130="","",ROUND(Q130+T130,2))</f>
        <v/>
      </c>
      <c r="V130" s="170">
        <f>IF(A130="","",IF(itens_Remanesc!K130="","",itens_Remanesc!K130))</f>
        <v/>
      </c>
      <c r="W130" s="170">
        <f>IF(A130="","",IF($Y130="","",IF($Y130&gt;4,"",IF(ISNUMBER(V130),ROUND(V130+T130,2),IF($Y130=4,ROUND(T130,2),"")))))</f>
        <v/>
      </c>
      <c r="X130" s="156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>
        <f>IF($A130="","",IF($E130&gt;0,0,IF($I130&gt;0,1,IF($M130&gt;0,2,IF($Q130&gt;0,3,IF($U130&gt;0,4,""))))))</f>
        <v/>
      </c>
      <c r="Z130">
        <f>IF($A130="",FALSE,AND(LEN(TRIM($A130))=4,LEFT(TRIM($A130),1)="N",ISNUMBER(--MID(TRIM($A130),2,3)),ISERROR(FIND(".",$A130)),ISERROR(FIND(",",$A130)),ISERROR(FIND("-",$A130)),ISERROR(FIND("+",$A130)),ISERROR(SEARCH("E",$A130,2)),ISERROR(FIND(" ",TRIM($A130)))))</f>
        <v/>
      </c>
    </row>
    <row r="131">
      <c r="A131" s="156">
        <f>IF(itens_Remanesc!A131="","",itens_Remanesc!A131)</f>
        <v/>
      </c>
      <c r="B131" s="218">
        <f>IF(A131="","",itens_Remanesc!C131)</f>
        <v/>
      </c>
      <c r="C131" s="172">
        <f>IF(A131="","",IF(itens_Remanesc!B131="",0,itens_Remanesc!B131))</f>
        <v/>
      </c>
      <c r="D131" s="174">
        <f>IF(A131="","",ROUND(SUMIFS(aditivos!$L$2:$L$200,aditivos!$A$2:$A$200,A131,aditivos!$C$2:$C$200,"C0"),2))</f>
        <v/>
      </c>
      <c r="E131" s="170">
        <f>IF(A131="","",ROUND(C131+D131,2))</f>
        <v/>
      </c>
      <c r="F131" s="170">
        <f>IF(A131="","",IF(itens_Remanesc!B131&lt;&gt;"",itens_Remanesc!B131,IF($Z131,0,"")))</f>
        <v/>
      </c>
      <c r="G131" s="178">
        <f>IF(A131="","",IF($Y131="","",IF($Y131&gt;0,"",ROUND(E131,2))))</f>
        <v/>
      </c>
      <c r="H131" s="180">
        <f>IF(A131="","",ROUND(SUMIFS(aditivos!$L$2:$L$200,aditivos!$A$2:$A$200,A131,aditivos!$C$2:$C$200,"C1"),2))</f>
        <v/>
      </c>
      <c r="I131" s="176">
        <f>IF(A131="","",ROUND(E131+H131,2))</f>
        <v/>
      </c>
      <c r="J131" s="176">
        <f>IF(A131="","",IF(itens_Remanesc!E131="","",itens_Remanesc!E131))</f>
        <v/>
      </c>
      <c r="K131" s="182">
        <f>IF(A131="","",IF($Y131="","",IF($Y131&gt;1,"",IF(ISNUMBER(J131),ROUND(J131+H131,2),IF($Y131=1,ROUND(H131,2),"")))))</f>
        <v/>
      </c>
      <c r="L131" s="174">
        <f>IF(A131="","",ROUND(SUMIFS(aditivos!$L$2:$L$200,aditivos!$A$2:$A$200,A131,aditivos!$C$2:$C$200,"C2"),2))</f>
        <v/>
      </c>
      <c r="M131" s="170">
        <f>IF(A131="","",ROUND(I131+L131,2))</f>
        <v/>
      </c>
      <c r="N131" s="170">
        <f>IF(A131="","",IF(itens_Remanesc!G131="","",itens_Remanesc!G131))</f>
        <v/>
      </c>
      <c r="O131" s="178">
        <f>IF(A131="","",IF($Y131="","",IF($Y131&gt;2,"",IF(ISNUMBER(N131),ROUND(N131+L131,2),IF($Y131=2,ROUND(L131,2),"")))))</f>
        <v/>
      </c>
      <c r="P131" s="180">
        <f>IF(A131="","",ROUND(SUMIFS(aditivos!$L$2:$L$200,aditivos!$A$2:$A$200,A131,aditivos!$C$2:$C$200,"C3"),2))</f>
        <v/>
      </c>
      <c r="Q131" s="176">
        <f>IF(A131="","",ROUND(M131+P131,2))</f>
        <v/>
      </c>
      <c r="R131" s="176">
        <f>IF(A131="","",IF(itens_Remanesc!I131="","",itens_Remanesc!I131))</f>
        <v/>
      </c>
      <c r="S131" s="182">
        <f>IF(A131="","",IF($Y131="","",IF($Y131&gt;3,"",IF(ISNUMBER(R131),ROUND(R131+P131,2),IF($Y131=3,ROUND(P131,2),"")))))</f>
        <v/>
      </c>
      <c r="T131" s="174">
        <f>IF(A131="","",ROUND(SUMIFS(aditivos!$L$2:$L$200,aditivos!$A$2:$A$200,A131,aditivos!$C$2:$C$200,"C4"),2))</f>
        <v/>
      </c>
      <c r="U131" s="170">
        <f>IF(A131="","",ROUND(Q131+T131,2))</f>
        <v/>
      </c>
      <c r="V131" s="170">
        <f>IF(A131="","",IF(itens_Remanesc!K131="","",itens_Remanesc!K131))</f>
        <v/>
      </c>
      <c r="W131" s="170">
        <f>IF(A131="","",IF($Y131="","",IF($Y131&gt;4,"",IF(ISNUMBER(V131),ROUND(V131+T131,2),IF($Y131=4,ROUND(T131,2),"")))))</f>
        <v/>
      </c>
      <c r="X131" s="156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>
        <f>IF($A131="","",IF($E131&gt;0,0,IF($I131&gt;0,1,IF($M131&gt;0,2,IF($Q131&gt;0,3,IF($U131&gt;0,4,""))))))</f>
        <v/>
      </c>
      <c r="Z131">
        <f>IF($A131="",FALSE,AND(LEN(TRIM($A131))=4,LEFT(TRIM($A131),1)="N",ISNUMBER(--MID(TRIM($A131),2,3)),ISERROR(FIND(".",$A131)),ISERROR(FIND(",",$A131)),ISERROR(FIND("-",$A131)),ISERROR(FIND("+",$A131)),ISERROR(SEARCH("E",$A131,2)),ISERROR(FIND(" ",TRIM($A131)))))</f>
        <v/>
      </c>
    </row>
    <row r="132">
      <c r="A132" s="156">
        <f>IF(itens_Remanesc!A132="","",itens_Remanesc!A132)</f>
        <v/>
      </c>
      <c r="B132" s="218">
        <f>IF(A132="","",itens_Remanesc!C132)</f>
        <v/>
      </c>
      <c r="C132" s="172">
        <f>IF(A132="","",IF(itens_Remanesc!B132="",0,itens_Remanesc!B132))</f>
        <v/>
      </c>
      <c r="D132" s="174">
        <f>IF(A132="","",ROUND(SUMIFS(aditivos!$L$2:$L$200,aditivos!$A$2:$A$200,A132,aditivos!$C$2:$C$200,"C0"),2))</f>
        <v/>
      </c>
      <c r="E132" s="170">
        <f>IF(A132="","",ROUND(C132+D132,2))</f>
        <v/>
      </c>
      <c r="F132" s="170">
        <f>IF(A132="","",IF(itens_Remanesc!B132&lt;&gt;"",itens_Remanesc!B132,IF($Z132,0,"")))</f>
        <v/>
      </c>
      <c r="G132" s="178">
        <f>IF(A132="","",IF($Y132="","",IF($Y132&gt;0,"",ROUND(E132,2))))</f>
        <v/>
      </c>
      <c r="H132" s="180">
        <f>IF(A132="","",ROUND(SUMIFS(aditivos!$L$2:$L$200,aditivos!$A$2:$A$200,A132,aditivos!$C$2:$C$200,"C1"),2))</f>
        <v/>
      </c>
      <c r="I132" s="176">
        <f>IF(A132="","",ROUND(E132+H132,2))</f>
        <v/>
      </c>
      <c r="J132" s="176">
        <f>IF(A132="","",IF(itens_Remanesc!E132="","",itens_Remanesc!E132))</f>
        <v/>
      </c>
      <c r="K132" s="182">
        <f>IF(A132="","",IF($Y132="","",IF($Y132&gt;1,"",IF(ISNUMBER(J132),ROUND(J132+H132,2),IF($Y132=1,ROUND(H132,2),"")))))</f>
        <v/>
      </c>
      <c r="L132" s="174">
        <f>IF(A132="","",ROUND(SUMIFS(aditivos!$L$2:$L$200,aditivos!$A$2:$A$200,A132,aditivos!$C$2:$C$200,"C2"),2))</f>
        <v/>
      </c>
      <c r="M132" s="170">
        <f>IF(A132="","",ROUND(I132+L132,2))</f>
        <v/>
      </c>
      <c r="N132" s="170">
        <f>IF(A132="","",IF(itens_Remanesc!G132="","",itens_Remanesc!G132))</f>
        <v/>
      </c>
      <c r="O132" s="178">
        <f>IF(A132="","",IF($Y132="","",IF($Y132&gt;2,"",IF(ISNUMBER(N132),ROUND(N132+L132,2),IF($Y132=2,ROUND(L132,2),"")))))</f>
        <v/>
      </c>
      <c r="P132" s="180">
        <f>IF(A132="","",ROUND(SUMIFS(aditivos!$L$2:$L$200,aditivos!$A$2:$A$200,A132,aditivos!$C$2:$C$200,"C3"),2))</f>
        <v/>
      </c>
      <c r="Q132" s="176">
        <f>IF(A132="","",ROUND(M132+P132,2))</f>
        <v/>
      </c>
      <c r="R132" s="176">
        <f>IF(A132="","",IF(itens_Remanesc!I132="","",itens_Remanesc!I132))</f>
        <v/>
      </c>
      <c r="S132" s="182">
        <f>IF(A132="","",IF($Y132="","",IF($Y132&gt;3,"",IF(ISNUMBER(R132),ROUND(R132+P132,2),IF($Y132=3,ROUND(P132,2),"")))))</f>
        <v/>
      </c>
      <c r="T132" s="174">
        <f>IF(A132="","",ROUND(SUMIFS(aditivos!$L$2:$L$200,aditivos!$A$2:$A$200,A132,aditivos!$C$2:$C$200,"C4"),2))</f>
        <v/>
      </c>
      <c r="U132" s="170">
        <f>IF(A132="","",ROUND(Q132+T132,2))</f>
        <v/>
      </c>
      <c r="V132" s="170">
        <f>IF(A132="","",IF(itens_Remanesc!K132="","",itens_Remanesc!K132))</f>
        <v/>
      </c>
      <c r="W132" s="170">
        <f>IF(A132="","",IF($Y132="","",IF($Y132&gt;4,"",IF(ISNUMBER(V132),ROUND(V132+T132,2),IF($Y132=4,ROUND(T132,2),"")))))</f>
        <v/>
      </c>
      <c r="X132" s="156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>
        <f>IF($A132="","",IF($E132&gt;0,0,IF($I132&gt;0,1,IF($M132&gt;0,2,IF($Q132&gt;0,3,IF($U132&gt;0,4,""))))))</f>
        <v/>
      </c>
      <c r="Z132">
        <f>IF($A132="",FALSE,AND(LEN(TRIM($A132))=4,LEFT(TRIM($A132),1)="N",ISNUMBER(--MID(TRIM($A132),2,3)),ISERROR(FIND(".",$A132)),ISERROR(FIND(",",$A132)),ISERROR(FIND("-",$A132)),ISERROR(FIND("+",$A132)),ISERROR(SEARCH("E",$A132,2)),ISERROR(FIND(" ",TRIM($A132)))))</f>
        <v/>
      </c>
    </row>
    <row r="133">
      <c r="A133" s="156">
        <f>IF(itens_Remanesc!A133="","",itens_Remanesc!A133)</f>
        <v/>
      </c>
      <c r="B133" s="218">
        <f>IF(A133="","",itens_Remanesc!C133)</f>
        <v/>
      </c>
      <c r="C133" s="172">
        <f>IF(A133="","",IF(itens_Remanesc!B133="",0,itens_Remanesc!B133))</f>
        <v/>
      </c>
      <c r="D133" s="174">
        <f>IF(A133="","",ROUND(SUMIFS(aditivos!$L$2:$L$200,aditivos!$A$2:$A$200,A133,aditivos!$C$2:$C$200,"C0"),2))</f>
        <v/>
      </c>
      <c r="E133" s="170">
        <f>IF(A133="","",ROUND(C133+D133,2))</f>
        <v/>
      </c>
      <c r="F133" s="170">
        <f>IF(A133="","",IF(itens_Remanesc!B133&lt;&gt;"",itens_Remanesc!B133,IF($Z133,0,"")))</f>
        <v/>
      </c>
      <c r="G133" s="178">
        <f>IF(A133="","",IF($Y133="","",IF($Y133&gt;0,"",ROUND(E133,2))))</f>
        <v/>
      </c>
      <c r="H133" s="180">
        <f>IF(A133="","",ROUND(SUMIFS(aditivos!$L$2:$L$200,aditivos!$A$2:$A$200,A133,aditivos!$C$2:$C$200,"C1"),2))</f>
        <v/>
      </c>
      <c r="I133" s="176">
        <f>IF(A133="","",ROUND(E133+H133,2))</f>
        <v/>
      </c>
      <c r="J133" s="176">
        <f>IF(A133="","",IF(itens_Remanesc!E133="","",itens_Remanesc!E133))</f>
        <v/>
      </c>
      <c r="K133" s="182">
        <f>IF(A133="","",IF($Y133="","",IF($Y133&gt;1,"",IF(ISNUMBER(J133),ROUND(J133+H133,2),IF($Y133=1,ROUND(H133,2),"")))))</f>
        <v/>
      </c>
      <c r="L133" s="174">
        <f>IF(A133="","",ROUND(SUMIFS(aditivos!$L$2:$L$200,aditivos!$A$2:$A$200,A133,aditivos!$C$2:$C$200,"C2"),2))</f>
        <v/>
      </c>
      <c r="M133" s="170">
        <f>IF(A133="","",ROUND(I133+L133,2))</f>
        <v/>
      </c>
      <c r="N133" s="170">
        <f>IF(A133="","",IF(itens_Remanesc!G133="","",itens_Remanesc!G133))</f>
        <v/>
      </c>
      <c r="O133" s="178">
        <f>IF(A133="","",IF($Y133="","",IF($Y133&gt;2,"",IF(ISNUMBER(N133),ROUND(N133+L133,2),IF($Y133=2,ROUND(L133,2),"")))))</f>
        <v/>
      </c>
      <c r="P133" s="180">
        <f>IF(A133="","",ROUND(SUMIFS(aditivos!$L$2:$L$200,aditivos!$A$2:$A$200,A133,aditivos!$C$2:$C$200,"C3"),2))</f>
        <v/>
      </c>
      <c r="Q133" s="176">
        <f>IF(A133="","",ROUND(M133+P133,2))</f>
        <v/>
      </c>
      <c r="R133" s="176">
        <f>IF(A133="","",IF(itens_Remanesc!I133="","",itens_Remanesc!I133))</f>
        <v/>
      </c>
      <c r="S133" s="182">
        <f>IF(A133="","",IF($Y133="","",IF($Y133&gt;3,"",IF(ISNUMBER(R133),ROUND(R133+P133,2),IF($Y133=3,ROUND(P133,2),"")))))</f>
        <v/>
      </c>
      <c r="T133" s="174">
        <f>IF(A133="","",ROUND(SUMIFS(aditivos!$L$2:$L$200,aditivos!$A$2:$A$200,A133,aditivos!$C$2:$C$200,"C4"),2))</f>
        <v/>
      </c>
      <c r="U133" s="170">
        <f>IF(A133="","",ROUND(Q133+T133,2))</f>
        <v/>
      </c>
      <c r="V133" s="170">
        <f>IF(A133="","",IF(itens_Remanesc!K133="","",itens_Remanesc!K133))</f>
        <v/>
      </c>
      <c r="W133" s="170">
        <f>IF(A133="","",IF($Y133="","",IF($Y133&gt;4,"",IF(ISNUMBER(V133),ROUND(V133+T133,2),IF($Y133=4,ROUND(T133,2),"")))))</f>
        <v/>
      </c>
      <c r="X133" s="156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>
        <f>IF($A133="","",IF($E133&gt;0,0,IF($I133&gt;0,1,IF($M133&gt;0,2,IF($Q133&gt;0,3,IF($U133&gt;0,4,""))))))</f>
        <v/>
      </c>
      <c r="Z133">
        <f>IF($A133="",FALSE,AND(LEN(TRIM($A133))=4,LEFT(TRIM($A133),1)="N",ISNUMBER(--MID(TRIM($A133),2,3)),ISERROR(FIND(".",$A133)),ISERROR(FIND(",",$A133)),ISERROR(FIND("-",$A133)),ISERROR(FIND("+",$A133)),ISERROR(SEARCH("E",$A133,2)),ISERROR(FIND(" ",TRIM($A133)))))</f>
        <v/>
      </c>
    </row>
    <row r="134">
      <c r="A134" s="156">
        <f>IF(itens_Remanesc!A134="","",itens_Remanesc!A134)</f>
        <v/>
      </c>
      <c r="B134" s="218">
        <f>IF(A134="","",itens_Remanesc!C134)</f>
        <v/>
      </c>
      <c r="C134" s="172">
        <f>IF(A134="","",IF(itens_Remanesc!B134="",0,itens_Remanesc!B134))</f>
        <v/>
      </c>
      <c r="D134" s="174">
        <f>IF(A134="","",ROUND(SUMIFS(aditivos!$L$2:$L$200,aditivos!$A$2:$A$200,A134,aditivos!$C$2:$C$200,"C0"),2))</f>
        <v/>
      </c>
      <c r="E134" s="170">
        <f>IF(A134="","",ROUND(C134+D134,2))</f>
        <v/>
      </c>
      <c r="F134" s="170">
        <f>IF(A134="","",IF(itens_Remanesc!B134&lt;&gt;"",itens_Remanesc!B134,IF($Z134,0,"")))</f>
        <v/>
      </c>
      <c r="G134" s="178">
        <f>IF(A134="","",IF($Y134="","",IF($Y134&gt;0,"",ROUND(E134,2))))</f>
        <v/>
      </c>
      <c r="H134" s="180">
        <f>IF(A134="","",ROUND(SUMIFS(aditivos!$L$2:$L$200,aditivos!$A$2:$A$200,A134,aditivos!$C$2:$C$200,"C1"),2))</f>
        <v/>
      </c>
      <c r="I134" s="176">
        <f>IF(A134="","",ROUND(E134+H134,2))</f>
        <v/>
      </c>
      <c r="J134" s="176">
        <f>IF(A134="","",IF(itens_Remanesc!E134="","",itens_Remanesc!E134))</f>
        <v/>
      </c>
      <c r="K134" s="182">
        <f>IF(A134="","",IF($Y134="","",IF($Y134&gt;1,"",IF(ISNUMBER(J134),ROUND(J134+H134,2),IF($Y134=1,ROUND(H134,2),"")))))</f>
        <v/>
      </c>
      <c r="L134" s="174">
        <f>IF(A134="","",ROUND(SUMIFS(aditivos!$L$2:$L$200,aditivos!$A$2:$A$200,A134,aditivos!$C$2:$C$200,"C2"),2))</f>
        <v/>
      </c>
      <c r="M134" s="170">
        <f>IF(A134="","",ROUND(I134+L134,2))</f>
        <v/>
      </c>
      <c r="N134" s="170">
        <f>IF(A134="","",IF(itens_Remanesc!G134="","",itens_Remanesc!G134))</f>
        <v/>
      </c>
      <c r="O134" s="178">
        <f>IF(A134="","",IF($Y134="","",IF($Y134&gt;2,"",IF(ISNUMBER(N134),ROUND(N134+L134,2),IF($Y134=2,ROUND(L134,2),"")))))</f>
        <v/>
      </c>
      <c r="P134" s="180">
        <f>IF(A134="","",ROUND(SUMIFS(aditivos!$L$2:$L$200,aditivos!$A$2:$A$200,A134,aditivos!$C$2:$C$200,"C3"),2))</f>
        <v/>
      </c>
      <c r="Q134" s="176">
        <f>IF(A134="","",ROUND(M134+P134,2))</f>
        <v/>
      </c>
      <c r="R134" s="176">
        <f>IF(A134="","",IF(itens_Remanesc!I134="","",itens_Remanesc!I134))</f>
        <v/>
      </c>
      <c r="S134" s="182">
        <f>IF(A134="","",IF($Y134="","",IF($Y134&gt;3,"",IF(ISNUMBER(R134),ROUND(R134+P134,2),IF($Y134=3,ROUND(P134,2),"")))))</f>
        <v/>
      </c>
      <c r="T134" s="174">
        <f>IF(A134="","",ROUND(SUMIFS(aditivos!$L$2:$L$200,aditivos!$A$2:$A$200,A134,aditivos!$C$2:$C$200,"C4"),2))</f>
        <v/>
      </c>
      <c r="U134" s="170">
        <f>IF(A134="","",ROUND(Q134+T134,2))</f>
        <v/>
      </c>
      <c r="V134" s="170">
        <f>IF(A134="","",IF(itens_Remanesc!K134="","",itens_Remanesc!K134))</f>
        <v/>
      </c>
      <c r="W134" s="170">
        <f>IF(A134="","",IF($Y134="","",IF($Y134&gt;4,"",IF(ISNUMBER(V134),ROUND(V134+T134,2),IF($Y134=4,ROUND(T134,2),"")))))</f>
        <v/>
      </c>
      <c r="X134" s="156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>
        <f>IF($A134="","",IF($E134&gt;0,0,IF($I134&gt;0,1,IF($M134&gt;0,2,IF($Q134&gt;0,3,IF($U134&gt;0,4,""))))))</f>
        <v/>
      </c>
      <c r="Z134">
        <f>IF($A134="",FALSE,AND(LEN(TRIM($A134))=4,LEFT(TRIM($A134),1)="N",ISNUMBER(--MID(TRIM($A134),2,3)),ISERROR(FIND(".",$A134)),ISERROR(FIND(",",$A134)),ISERROR(FIND("-",$A134)),ISERROR(FIND("+",$A134)),ISERROR(SEARCH("E",$A134,2)),ISERROR(FIND(" ",TRIM($A134)))))</f>
        <v/>
      </c>
    </row>
    <row r="135">
      <c r="A135" s="156">
        <f>IF(itens_Remanesc!A135="","",itens_Remanesc!A135)</f>
        <v/>
      </c>
      <c r="B135" s="218">
        <f>IF(A135="","",itens_Remanesc!C135)</f>
        <v/>
      </c>
      <c r="C135" s="172">
        <f>IF(A135="","",IF(itens_Remanesc!B135="",0,itens_Remanesc!B135))</f>
        <v/>
      </c>
      <c r="D135" s="174">
        <f>IF(A135="","",ROUND(SUMIFS(aditivos!$L$2:$L$200,aditivos!$A$2:$A$200,A135,aditivos!$C$2:$C$200,"C0"),2))</f>
        <v/>
      </c>
      <c r="E135" s="170">
        <f>IF(A135="","",ROUND(C135+D135,2))</f>
        <v/>
      </c>
      <c r="F135" s="170">
        <f>IF(A135="","",IF(itens_Remanesc!B135&lt;&gt;"",itens_Remanesc!B135,IF($Z135,0,"")))</f>
        <v/>
      </c>
      <c r="G135" s="178">
        <f>IF(A135="","",IF($Y135="","",IF($Y135&gt;0,"",ROUND(E135,2))))</f>
        <v/>
      </c>
      <c r="H135" s="180">
        <f>IF(A135="","",ROUND(SUMIFS(aditivos!$L$2:$L$200,aditivos!$A$2:$A$200,A135,aditivos!$C$2:$C$200,"C1"),2))</f>
        <v/>
      </c>
      <c r="I135" s="176">
        <f>IF(A135="","",ROUND(E135+H135,2))</f>
        <v/>
      </c>
      <c r="J135" s="176">
        <f>IF(A135="","",IF(itens_Remanesc!E135="","",itens_Remanesc!E135))</f>
        <v/>
      </c>
      <c r="K135" s="182">
        <f>IF(A135="","",IF($Y135="","",IF($Y135&gt;1,"",IF(ISNUMBER(J135),ROUND(J135+H135,2),IF($Y135=1,ROUND(H135,2),"")))))</f>
        <v/>
      </c>
      <c r="L135" s="174">
        <f>IF(A135="","",ROUND(SUMIFS(aditivos!$L$2:$L$200,aditivos!$A$2:$A$200,A135,aditivos!$C$2:$C$200,"C2"),2))</f>
        <v/>
      </c>
      <c r="M135" s="170">
        <f>IF(A135="","",ROUND(I135+L135,2))</f>
        <v/>
      </c>
      <c r="N135" s="170">
        <f>IF(A135="","",IF(itens_Remanesc!G135="","",itens_Remanesc!G135))</f>
        <v/>
      </c>
      <c r="O135" s="178">
        <f>IF(A135="","",IF($Y135="","",IF($Y135&gt;2,"",IF(ISNUMBER(N135),ROUND(N135+L135,2),IF($Y135=2,ROUND(L135,2),"")))))</f>
        <v/>
      </c>
      <c r="P135" s="180">
        <f>IF(A135="","",ROUND(SUMIFS(aditivos!$L$2:$L$200,aditivos!$A$2:$A$200,A135,aditivos!$C$2:$C$200,"C3"),2))</f>
        <v/>
      </c>
      <c r="Q135" s="176">
        <f>IF(A135="","",ROUND(M135+P135,2))</f>
        <v/>
      </c>
      <c r="R135" s="176">
        <f>IF(A135="","",IF(itens_Remanesc!I135="","",itens_Remanesc!I135))</f>
        <v/>
      </c>
      <c r="S135" s="182">
        <f>IF(A135="","",IF($Y135="","",IF($Y135&gt;3,"",IF(ISNUMBER(R135),ROUND(R135+P135,2),IF($Y135=3,ROUND(P135,2),"")))))</f>
        <v/>
      </c>
      <c r="T135" s="174">
        <f>IF(A135="","",ROUND(SUMIFS(aditivos!$L$2:$L$200,aditivos!$A$2:$A$200,A135,aditivos!$C$2:$C$200,"C4"),2))</f>
        <v/>
      </c>
      <c r="U135" s="170">
        <f>IF(A135="","",ROUND(Q135+T135,2))</f>
        <v/>
      </c>
      <c r="V135" s="170">
        <f>IF(A135="","",IF(itens_Remanesc!K135="","",itens_Remanesc!K135))</f>
        <v/>
      </c>
      <c r="W135" s="170">
        <f>IF(A135="","",IF($Y135="","",IF($Y135&gt;4,"",IF(ISNUMBER(V135),ROUND(V135+T135,2),IF($Y135=4,ROUND(T135,2),"")))))</f>
        <v/>
      </c>
      <c r="X135" s="156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>
        <f>IF($A135="","",IF($E135&gt;0,0,IF($I135&gt;0,1,IF($M135&gt;0,2,IF($Q135&gt;0,3,IF($U135&gt;0,4,""))))))</f>
        <v/>
      </c>
      <c r="Z135">
        <f>IF($A135="",FALSE,AND(LEN(TRIM($A135))=4,LEFT(TRIM($A135),1)="N",ISNUMBER(--MID(TRIM($A135),2,3)),ISERROR(FIND(".",$A135)),ISERROR(FIND(",",$A135)),ISERROR(FIND("-",$A135)),ISERROR(FIND("+",$A135)),ISERROR(SEARCH("E",$A135,2)),ISERROR(FIND(" ",TRIM($A135)))))</f>
        <v/>
      </c>
    </row>
    <row r="136">
      <c r="A136" s="156">
        <f>IF(itens_Remanesc!A136="","",itens_Remanesc!A136)</f>
        <v/>
      </c>
      <c r="B136" s="218">
        <f>IF(A136="","",itens_Remanesc!C136)</f>
        <v/>
      </c>
      <c r="C136" s="172">
        <f>IF(A136="","",IF(itens_Remanesc!B136="",0,itens_Remanesc!B136))</f>
        <v/>
      </c>
      <c r="D136" s="174">
        <f>IF(A136="","",ROUND(SUMIFS(aditivos!$L$2:$L$200,aditivos!$A$2:$A$200,A136,aditivos!$C$2:$C$200,"C0"),2))</f>
        <v/>
      </c>
      <c r="E136" s="170">
        <f>IF(A136="","",ROUND(C136+D136,2))</f>
        <v/>
      </c>
      <c r="F136" s="170">
        <f>IF(A136="","",IF(itens_Remanesc!B136&lt;&gt;"",itens_Remanesc!B136,IF($Z136,0,"")))</f>
        <v/>
      </c>
      <c r="G136" s="178">
        <f>IF(A136="","",IF($Y136="","",IF($Y136&gt;0,"",ROUND(E136,2))))</f>
        <v/>
      </c>
      <c r="H136" s="180">
        <f>IF(A136="","",ROUND(SUMIFS(aditivos!$L$2:$L$200,aditivos!$A$2:$A$200,A136,aditivos!$C$2:$C$200,"C1"),2))</f>
        <v/>
      </c>
      <c r="I136" s="176">
        <f>IF(A136="","",ROUND(E136+H136,2))</f>
        <v/>
      </c>
      <c r="J136" s="176">
        <f>IF(A136="","",IF(itens_Remanesc!E136="","",itens_Remanesc!E136))</f>
        <v/>
      </c>
      <c r="K136" s="182">
        <f>IF(A136="","",IF($Y136="","",IF($Y136&gt;1,"",IF(ISNUMBER(J136),ROUND(J136+H136,2),IF($Y136=1,ROUND(H136,2),"")))))</f>
        <v/>
      </c>
      <c r="L136" s="174">
        <f>IF(A136="","",ROUND(SUMIFS(aditivos!$L$2:$L$200,aditivos!$A$2:$A$200,A136,aditivos!$C$2:$C$200,"C2"),2))</f>
        <v/>
      </c>
      <c r="M136" s="170">
        <f>IF(A136="","",ROUND(I136+L136,2))</f>
        <v/>
      </c>
      <c r="N136" s="170">
        <f>IF(A136="","",IF(itens_Remanesc!G136="","",itens_Remanesc!G136))</f>
        <v/>
      </c>
      <c r="O136" s="178">
        <f>IF(A136="","",IF($Y136="","",IF($Y136&gt;2,"",IF(ISNUMBER(N136),ROUND(N136+L136,2),IF($Y136=2,ROUND(L136,2),"")))))</f>
        <v/>
      </c>
      <c r="P136" s="180">
        <f>IF(A136="","",ROUND(SUMIFS(aditivos!$L$2:$L$200,aditivos!$A$2:$A$200,A136,aditivos!$C$2:$C$200,"C3"),2))</f>
        <v/>
      </c>
      <c r="Q136" s="176">
        <f>IF(A136="","",ROUND(M136+P136,2))</f>
        <v/>
      </c>
      <c r="R136" s="176">
        <f>IF(A136="","",IF(itens_Remanesc!I136="","",itens_Remanesc!I136))</f>
        <v/>
      </c>
      <c r="S136" s="182">
        <f>IF(A136="","",IF($Y136="","",IF($Y136&gt;3,"",IF(ISNUMBER(R136),ROUND(R136+P136,2),IF($Y136=3,ROUND(P136,2),"")))))</f>
        <v/>
      </c>
      <c r="T136" s="174">
        <f>IF(A136="","",ROUND(SUMIFS(aditivos!$L$2:$L$200,aditivos!$A$2:$A$200,A136,aditivos!$C$2:$C$200,"C4"),2))</f>
        <v/>
      </c>
      <c r="U136" s="170">
        <f>IF(A136="","",ROUND(Q136+T136,2))</f>
        <v/>
      </c>
      <c r="V136" s="170">
        <f>IF(A136="","",IF(itens_Remanesc!K136="","",itens_Remanesc!K136))</f>
        <v/>
      </c>
      <c r="W136" s="170">
        <f>IF(A136="","",IF($Y136="","",IF($Y136&gt;4,"",IF(ISNUMBER(V136),ROUND(V136+T136,2),IF($Y136=4,ROUND(T136,2),"")))))</f>
        <v/>
      </c>
      <c r="X136" s="156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>
        <f>IF($A136="","",IF($E136&gt;0,0,IF($I136&gt;0,1,IF($M136&gt;0,2,IF($Q136&gt;0,3,IF($U136&gt;0,4,""))))))</f>
        <v/>
      </c>
      <c r="Z136">
        <f>IF($A136="",FALSE,AND(LEN(TRIM($A136))=4,LEFT(TRIM($A136),1)="N",ISNUMBER(--MID(TRIM($A136),2,3)),ISERROR(FIND(".",$A136)),ISERROR(FIND(",",$A136)),ISERROR(FIND("-",$A136)),ISERROR(FIND("+",$A136)),ISERROR(SEARCH("E",$A136,2)),ISERROR(FIND(" ",TRIM($A136)))))</f>
        <v/>
      </c>
    </row>
    <row r="137">
      <c r="A137" s="156">
        <f>IF(itens_Remanesc!A137="","",itens_Remanesc!A137)</f>
        <v/>
      </c>
      <c r="B137" s="218">
        <f>IF(A137="","",itens_Remanesc!C137)</f>
        <v/>
      </c>
      <c r="C137" s="172">
        <f>IF(A137="","",IF(itens_Remanesc!B137="",0,itens_Remanesc!B137))</f>
        <v/>
      </c>
      <c r="D137" s="174">
        <f>IF(A137="","",ROUND(SUMIFS(aditivos!$L$2:$L$200,aditivos!$A$2:$A$200,A137,aditivos!$C$2:$C$200,"C0"),2))</f>
        <v/>
      </c>
      <c r="E137" s="170">
        <f>IF(A137="","",ROUND(C137+D137,2))</f>
        <v/>
      </c>
      <c r="F137" s="170">
        <f>IF(A137="","",IF(itens_Remanesc!B137&lt;&gt;"",itens_Remanesc!B137,IF($Z137,0,"")))</f>
        <v/>
      </c>
      <c r="G137" s="178">
        <f>IF(A137="","",IF($Y137="","",IF($Y137&gt;0,"",ROUND(E137,2))))</f>
        <v/>
      </c>
      <c r="H137" s="180">
        <f>IF(A137="","",ROUND(SUMIFS(aditivos!$L$2:$L$200,aditivos!$A$2:$A$200,A137,aditivos!$C$2:$C$200,"C1"),2))</f>
        <v/>
      </c>
      <c r="I137" s="176">
        <f>IF(A137="","",ROUND(E137+H137,2))</f>
        <v/>
      </c>
      <c r="J137" s="176">
        <f>IF(A137="","",IF(itens_Remanesc!E137="","",itens_Remanesc!E137))</f>
        <v/>
      </c>
      <c r="K137" s="182">
        <f>IF(A137="","",IF($Y137="","",IF($Y137&gt;1,"",IF(ISNUMBER(J137),ROUND(J137+H137,2),IF($Y137=1,ROUND(H137,2),"")))))</f>
        <v/>
      </c>
      <c r="L137" s="174">
        <f>IF(A137="","",ROUND(SUMIFS(aditivos!$L$2:$L$200,aditivos!$A$2:$A$200,A137,aditivos!$C$2:$C$200,"C2"),2))</f>
        <v/>
      </c>
      <c r="M137" s="170">
        <f>IF(A137="","",ROUND(I137+L137,2))</f>
        <v/>
      </c>
      <c r="N137" s="170">
        <f>IF(A137="","",IF(itens_Remanesc!G137="","",itens_Remanesc!G137))</f>
        <v/>
      </c>
      <c r="O137" s="178">
        <f>IF(A137="","",IF($Y137="","",IF($Y137&gt;2,"",IF(ISNUMBER(N137),ROUND(N137+L137,2),IF($Y137=2,ROUND(L137,2),"")))))</f>
        <v/>
      </c>
      <c r="P137" s="180">
        <f>IF(A137="","",ROUND(SUMIFS(aditivos!$L$2:$L$200,aditivos!$A$2:$A$200,A137,aditivos!$C$2:$C$200,"C3"),2))</f>
        <v/>
      </c>
      <c r="Q137" s="176">
        <f>IF(A137="","",ROUND(M137+P137,2))</f>
        <v/>
      </c>
      <c r="R137" s="176">
        <f>IF(A137="","",IF(itens_Remanesc!I137="","",itens_Remanesc!I137))</f>
        <v/>
      </c>
      <c r="S137" s="182">
        <f>IF(A137="","",IF($Y137="","",IF($Y137&gt;3,"",IF(ISNUMBER(R137),ROUND(R137+P137,2),IF($Y137=3,ROUND(P137,2),"")))))</f>
        <v/>
      </c>
      <c r="T137" s="174">
        <f>IF(A137="","",ROUND(SUMIFS(aditivos!$L$2:$L$200,aditivos!$A$2:$A$200,A137,aditivos!$C$2:$C$200,"C4"),2))</f>
        <v/>
      </c>
      <c r="U137" s="170">
        <f>IF(A137="","",ROUND(Q137+T137,2))</f>
        <v/>
      </c>
      <c r="V137" s="170">
        <f>IF(A137="","",IF(itens_Remanesc!K137="","",itens_Remanesc!K137))</f>
        <v/>
      </c>
      <c r="W137" s="170">
        <f>IF(A137="","",IF($Y137="","",IF($Y137&gt;4,"",IF(ISNUMBER(V137),ROUND(V137+T137,2),IF($Y137=4,ROUND(T137,2),"")))))</f>
        <v/>
      </c>
      <c r="X137" s="156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>
        <f>IF($A137="","",IF($E137&gt;0,0,IF($I137&gt;0,1,IF($M137&gt;0,2,IF($Q137&gt;0,3,IF($U137&gt;0,4,""))))))</f>
        <v/>
      </c>
      <c r="Z137">
        <f>IF($A137="",FALSE,AND(LEN(TRIM($A137))=4,LEFT(TRIM($A137),1)="N",ISNUMBER(--MID(TRIM($A137),2,3)),ISERROR(FIND(".",$A137)),ISERROR(FIND(",",$A137)),ISERROR(FIND("-",$A137)),ISERROR(FIND("+",$A137)),ISERROR(SEARCH("E",$A137,2)),ISERROR(FIND(" ",TRIM($A137)))))</f>
        <v/>
      </c>
    </row>
    <row r="138">
      <c r="A138" s="156">
        <f>IF(itens_Remanesc!A138="","",itens_Remanesc!A138)</f>
        <v/>
      </c>
      <c r="B138" s="218">
        <f>IF(A138="","",itens_Remanesc!C138)</f>
        <v/>
      </c>
      <c r="C138" s="172">
        <f>IF(A138="","",IF(itens_Remanesc!B138="",0,itens_Remanesc!B138))</f>
        <v/>
      </c>
      <c r="D138" s="174">
        <f>IF(A138="","",ROUND(SUMIFS(aditivos!$L$2:$L$200,aditivos!$A$2:$A$200,A138,aditivos!$C$2:$C$200,"C0"),2))</f>
        <v/>
      </c>
      <c r="E138" s="170">
        <f>IF(A138="","",ROUND(C138+D138,2))</f>
        <v/>
      </c>
      <c r="F138" s="170">
        <f>IF(A138="","",IF(itens_Remanesc!B138&lt;&gt;"",itens_Remanesc!B138,IF($Z138,0,"")))</f>
        <v/>
      </c>
      <c r="G138" s="178">
        <f>IF(A138="","",IF($Y138="","",IF($Y138&gt;0,"",ROUND(E138,2))))</f>
        <v/>
      </c>
      <c r="H138" s="180">
        <f>IF(A138="","",ROUND(SUMIFS(aditivos!$L$2:$L$200,aditivos!$A$2:$A$200,A138,aditivos!$C$2:$C$200,"C1"),2))</f>
        <v/>
      </c>
      <c r="I138" s="176">
        <f>IF(A138="","",ROUND(E138+H138,2))</f>
        <v/>
      </c>
      <c r="J138" s="176">
        <f>IF(A138="","",IF(itens_Remanesc!E138="","",itens_Remanesc!E138))</f>
        <v/>
      </c>
      <c r="K138" s="182">
        <f>IF(A138="","",IF($Y138="","",IF($Y138&gt;1,"",IF(ISNUMBER(J138),ROUND(J138+H138,2),IF($Y138=1,ROUND(H138,2),"")))))</f>
        <v/>
      </c>
      <c r="L138" s="174">
        <f>IF(A138="","",ROUND(SUMIFS(aditivos!$L$2:$L$200,aditivos!$A$2:$A$200,A138,aditivos!$C$2:$C$200,"C2"),2))</f>
        <v/>
      </c>
      <c r="M138" s="170">
        <f>IF(A138="","",ROUND(I138+L138,2))</f>
        <v/>
      </c>
      <c r="N138" s="170">
        <f>IF(A138="","",IF(itens_Remanesc!G138="","",itens_Remanesc!G138))</f>
        <v/>
      </c>
      <c r="O138" s="178">
        <f>IF(A138="","",IF($Y138="","",IF($Y138&gt;2,"",IF(ISNUMBER(N138),ROUND(N138+L138,2),IF($Y138=2,ROUND(L138,2),"")))))</f>
        <v/>
      </c>
      <c r="P138" s="180">
        <f>IF(A138="","",ROUND(SUMIFS(aditivos!$L$2:$L$200,aditivos!$A$2:$A$200,A138,aditivos!$C$2:$C$200,"C3"),2))</f>
        <v/>
      </c>
      <c r="Q138" s="176">
        <f>IF(A138="","",ROUND(M138+P138,2))</f>
        <v/>
      </c>
      <c r="R138" s="176">
        <f>IF(A138="","",IF(itens_Remanesc!I138="","",itens_Remanesc!I138))</f>
        <v/>
      </c>
      <c r="S138" s="182">
        <f>IF(A138="","",IF($Y138="","",IF($Y138&gt;3,"",IF(ISNUMBER(R138),ROUND(R138+P138,2),IF($Y138=3,ROUND(P138,2),"")))))</f>
        <v/>
      </c>
      <c r="T138" s="174">
        <f>IF(A138="","",ROUND(SUMIFS(aditivos!$L$2:$L$200,aditivos!$A$2:$A$200,A138,aditivos!$C$2:$C$200,"C4"),2))</f>
        <v/>
      </c>
      <c r="U138" s="170">
        <f>IF(A138="","",ROUND(Q138+T138,2))</f>
        <v/>
      </c>
      <c r="V138" s="170">
        <f>IF(A138="","",IF(itens_Remanesc!K138="","",itens_Remanesc!K138))</f>
        <v/>
      </c>
      <c r="W138" s="170">
        <f>IF(A138="","",IF($Y138="","",IF($Y138&gt;4,"",IF(ISNUMBER(V138),ROUND(V138+T138,2),IF($Y138=4,ROUND(T138,2),"")))))</f>
        <v/>
      </c>
      <c r="X138" s="156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>
        <f>IF($A138="","",IF($E138&gt;0,0,IF($I138&gt;0,1,IF($M138&gt;0,2,IF($Q138&gt;0,3,IF($U138&gt;0,4,""))))))</f>
        <v/>
      </c>
      <c r="Z138">
        <f>IF($A138="",FALSE,AND(LEN(TRIM($A138))=4,LEFT(TRIM($A138),1)="N",ISNUMBER(--MID(TRIM($A138),2,3)),ISERROR(FIND(".",$A138)),ISERROR(FIND(",",$A138)),ISERROR(FIND("-",$A138)),ISERROR(FIND("+",$A138)),ISERROR(SEARCH("E",$A138,2)),ISERROR(FIND(" ",TRIM($A138)))))</f>
        <v/>
      </c>
    </row>
    <row r="139">
      <c r="A139" s="156">
        <f>IF(itens_Remanesc!A139="","",itens_Remanesc!A139)</f>
        <v/>
      </c>
      <c r="B139" s="218">
        <f>IF(A139="","",itens_Remanesc!C139)</f>
        <v/>
      </c>
      <c r="C139" s="172">
        <f>IF(A139="","",IF(itens_Remanesc!B139="",0,itens_Remanesc!B139))</f>
        <v/>
      </c>
      <c r="D139" s="174">
        <f>IF(A139="","",ROUND(SUMIFS(aditivos!$L$2:$L$200,aditivos!$A$2:$A$200,A139,aditivos!$C$2:$C$200,"C0"),2))</f>
        <v/>
      </c>
      <c r="E139" s="170">
        <f>IF(A139="","",ROUND(C139+D139,2))</f>
        <v/>
      </c>
      <c r="F139" s="170">
        <f>IF(A139="","",IF(itens_Remanesc!B139&lt;&gt;"",itens_Remanesc!B139,IF($Z139,0,"")))</f>
        <v/>
      </c>
      <c r="G139" s="178">
        <f>IF(A139="","",IF($Y139="","",IF($Y139&gt;0,"",ROUND(E139,2))))</f>
        <v/>
      </c>
      <c r="H139" s="180">
        <f>IF(A139="","",ROUND(SUMIFS(aditivos!$L$2:$L$200,aditivos!$A$2:$A$200,A139,aditivos!$C$2:$C$200,"C1"),2))</f>
        <v/>
      </c>
      <c r="I139" s="176">
        <f>IF(A139="","",ROUND(E139+H139,2))</f>
        <v/>
      </c>
      <c r="J139" s="176">
        <f>IF(A139="","",IF(itens_Remanesc!E139="","",itens_Remanesc!E139))</f>
        <v/>
      </c>
      <c r="K139" s="182">
        <f>IF(A139="","",IF($Y139="","",IF($Y139&gt;1,"",IF(ISNUMBER(J139),ROUND(J139+H139,2),IF($Y139=1,ROUND(H139,2),"")))))</f>
        <v/>
      </c>
      <c r="L139" s="174">
        <f>IF(A139="","",ROUND(SUMIFS(aditivos!$L$2:$L$200,aditivos!$A$2:$A$200,A139,aditivos!$C$2:$C$200,"C2"),2))</f>
        <v/>
      </c>
      <c r="M139" s="170">
        <f>IF(A139="","",ROUND(I139+L139,2))</f>
        <v/>
      </c>
      <c r="N139" s="170">
        <f>IF(A139="","",IF(itens_Remanesc!G139="","",itens_Remanesc!G139))</f>
        <v/>
      </c>
      <c r="O139" s="178">
        <f>IF(A139="","",IF($Y139="","",IF($Y139&gt;2,"",IF(ISNUMBER(N139),ROUND(N139+L139,2),IF($Y139=2,ROUND(L139,2),"")))))</f>
        <v/>
      </c>
      <c r="P139" s="180">
        <f>IF(A139="","",ROUND(SUMIFS(aditivos!$L$2:$L$200,aditivos!$A$2:$A$200,A139,aditivos!$C$2:$C$200,"C3"),2))</f>
        <v/>
      </c>
      <c r="Q139" s="176">
        <f>IF(A139="","",ROUND(M139+P139,2))</f>
        <v/>
      </c>
      <c r="R139" s="176">
        <f>IF(A139="","",IF(itens_Remanesc!I139="","",itens_Remanesc!I139))</f>
        <v/>
      </c>
      <c r="S139" s="182">
        <f>IF(A139="","",IF($Y139="","",IF($Y139&gt;3,"",IF(ISNUMBER(R139),ROUND(R139+P139,2),IF($Y139=3,ROUND(P139,2),"")))))</f>
        <v/>
      </c>
      <c r="T139" s="174">
        <f>IF(A139="","",ROUND(SUMIFS(aditivos!$L$2:$L$200,aditivos!$A$2:$A$200,A139,aditivos!$C$2:$C$200,"C4"),2))</f>
        <v/>
      </c>
      <c r="U139" s="170">
        <f>IF(A139="","",ROUND(Q139+T139,2))</f>
        <v/>
      </c>
      <c r="V139" s="170">
        <f>IF(A139="","",IF(itens_Remanesc!K139="","",itens_Remanesc!K139))</f>
        <v/>
      </c>
      <c r="W139" s="170">
        <f>IF(A139="","",IF($Y139="","",IF($Y139&gt;4,"",IF(ISNUMBER(V139),ROUND(V139+T139,2),IF($Y139=4,ROUND(T139,2),"")))))</f>
        <v/>
      </c>
      <c r="X139" s="156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>
        <f>IF($A139="","",IF($E139&gt;0,0,IF($I139&gt;0,1,IF($M139&gt;0,2,IF($Q139&gt;0,3,IF($U139&gt;0,4,""))))))</f>
        <v/>
      </c>
      <c r="Z139">
        <f>IF($A139="",FALSE,AND(LEN(TRIM($A139))=4,LEFT(TRIM($A139),1)="N",ISNUMBER(--MID(TRIM($A139),2,3)),ISERROR(FIND(".",$A139)),ISERROR(FIND(",",$A139)),ISERROR(FIND("-",$A139)),ISERROR(FIND("+",$A139)),ISERROR(SEARCH("E",$A139,2)),ISERROR(FIND(" ",TRIM($A139)))))</f>
        <v/>
      </c>
    </row>
    <row r="140">
      <c r="A140" s="156">
        <f>IF(itens_Remanesc!A140="","",itens_Remanesc!A140)</f>
        <v/>
      </c>
      <c r="B140" s="218">
        <f>IF(A140="","",itens_Remanesc!C140)</f>
        <v/>
      </c>
      <c r="C140" s="172">
        <f>IF(A140="","",IF(itens_Remanesc!B140="",0,itens_Remanesc!B140))</f>
        <v/>
      </c>
      <c r="D140" s="174">
        <f>IF(A140="","",ROUND(SUMIFS(aditivos!$L$2:$L$200,aditivos!$A$2:$A$200,A140,aditivos!$C$2:$C$200,"C0"),2))</f>
        <v/>
      </c>
      <c r="E140" s="170">
        <f>IF(A140="","",ROUND(C140+D140,2))</f>
        <v/>
      </c>
      <c r="F140" s="170">
        <f>IF(A140="","",IF(itens_Remanesc!B140&lt;&gt;"",itens_Remanesc!B140,IF($Z140,0,"")))</f>
        <v/>
      </c>
      <c r="G140" s="178">
        <f>IF(A140="","",IF($Y140="","",IF($Y140&gt;0,"",ROUND(E140,2))))</f>
        <v/>
      </c>
      <c r="H140" s="180">
        <f>IF(A140="","",ROUND(SUMIFS(aditivos!$L$2:$L$200,aditivos!$A$2:$A$200,A140,aditivos!$C$2:$C$200,"C1"),2))</f>
        <v/>
      </c>
      <c r="I140" s="176">
        <f>IF(A140="","",ROUND(E140+H140,2))</f>
        <v/>
      </c>
      <c r="J140" s="176">
        <f>IF(A140="","",IF(itens_Remanesc!E140="","",itens_Remanesc!E140))</f>
        <v/>
      </c>
      <c r="K140" s="182">
        <f>IF(A140="","",IF($Y140="","",IF($Y140&gt;1,"",IF(ISNUMBER(J140),ROUND(J140+H140,2),IF($Y140=1,ROUND(H140,2),"")))))</f>
        <v/>
      </c>
      <c r="L140" s="174">
        <f>IF(A140="","",ROUND(SUMIFS(aditivos!$L$2:$L$200,aditivos!$A$2:$A$200,A140,aditivos!$C$2:$C$200,"C2"),2))</f>
        <v/>
      </c>
      <c r="M140" s="170">
        <f>IF(A140="","",ROUND(I140+L140,2))</f>
        <v/>
      </c>
      <c r="N140" s="170">
        <f>IF(A140="","",IF(itens_Remanesc!G140="","",itens_Remanesc!G140))</f>
        <v/>
      </c>
      <c r="O140" s="178">
        <f>IF(A140="","",IF($Y140="","",IF($Y140&gt;2,"",IF(ISNUMBER(N140),ROUND(N140+L140,2),IF($Y140=2,ROUND(L140,2),"")))))</f>
        <v/>
      </c>
      <c r="P140" s="180">
        <f>IF(A140="","",ROUND(SUMIFS(aditivos!$L$2:$L$200,aditivos!$A$2:$A$200,A140,aditivos!$C$2:$C$200,"C3"),2))</f>
        <v/>
      </c>
      <c r="Q140" s="176">
        <f>IF(A140="","",ROUND(M140+P140,2))</f>
        <v/>
      </c>
      <c r="R140" s="176">
        <f>IF(A140="","",IF(itens_Remanesc!I140="","",itens_Remanesc!I140))</f>
        <v/>
      </c>
      <c r="S140" s="182">
        <f>IF(A140="","",IF($Y140="","",IF($Y140&gt;3,"",IF(ISNUMBER(R140),ROUND(R140+P140,2),IF($Y140=3,ROUND(P140,2),"")))))</f>
        <v/>
      </c>
      <c r="T140" s="174">
        <f>IF(A140="","",ROUND(SUMIFS(aditivos!$L$2:$L$200,aditivos!$A$2:$A$200,A140,aditivos!$C$2:$C$200,"C4"),2))</f>
        <v/>
      </c>
      <c r="U140" s="170">
        <f>IF(A140="","",ROUND(Q140+T140,2))</f>
        <v/>
      </c>
      <c r="V140" s="170">
        <f>IF(A140="","",IF(itens_Remanesc!K140="","",itens_Remanesc!K140))</f>
        <v/>
      </c>
      <c r="W140" s="170">
        <f>IF(A140="","",IF($Y140="","",IF($Y140&gt;4,"",IF(ISNUMBER(V140),ROUND(V140+T140,2),IF($Y140=4,ROUND(T140,2),"")))))</f>
        <v/>
      </c>
      <c r="X140" s="156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>
        <f>IF($A140="","",IF($E140&gt;0,0,IF($I140&gt;0,1,IF($M140&gt;0,2,IF($Q140&gt;0,3,IF($U140&gt;0,4,""))))))</f>
        <v/>
      </c>
      <c r="Z140">
        <f>IF($A140="",FALSE,AND(LEN(TRIM($A140))=4,LEFT(TRIM($A140),1)="N",ISNUMBER(--MID(TRIM($A140),2,3)),ISERROR(FIND(".",$A140)),ISERROR(FIND(",",$A140)),ISERROR(FIND("-",$A140)),ISERROR(FIND("+",$A140)),ISERROR(SEARCH("E",$A140,2)),ISERROR(FIND(" ",TRIM($A140)))))</f>
        <v/>
      </c>
    </row>
    <row r="141">
      <c r="A141" s="156">
        <f>IF(itens_Remanesc!A141="","",itens_Remanesc!A141)</f>
        <v/>
      </c>
      <c r="B141" s="218">
        <f>IF(A141="","",itens_Remanesc!C141)</f>
        <v/>
      </c>
      <c r="C141" s="172">
        <f>IF(A141="","",IF(itens_Remanesc!B141="",0,itens_Remanesc!B141))</f>
        <v/>
      </c>
      <c r="D141" s="174">
        <f>IF(A141="","",ROUND(SUMIFS(aditivos!$L$2:$L$200,aditivos!$A$2:$A$200,A141,aditivos!$C$2:$C$200,"C0"),2))</f>
        <v/>
      </c>
      <c r="E141" s="170">
        <f>IF(A141="","",ROUND(C141+D141,2))</f>
        <v/>
      </c>
      <c r="F141" s="170">
        <f>IF(A141="","",IF(itens_Remanesc!B141&lt;&gt;"",itens_Remanesc!B141,IF($Z141,0,"")))</f>
        <v/>
      </c>
      <c r="G141" s="178">
        <f>IF(A141="","",IF($Y141="","",IF($Y141&gt;0,"",ROUND(E141,2))))</f>
        <v/>
      </c>
      <c r="H141" s="180">
        <f>IF(A141="","",ROUND(SUMIFS(aditivos!$L$2:$L$200,aditivos!$A$2:$A$200,A141,aditivos!$C$2:$C$200,"C1"),2))</f>
        <v/>
      </c>
      <c r="I141" s="176">
        <f>IF(A141="","",ROUND(E141+H141,2))</f>
        <v/>
      </c>
      <c r="J141" s="176">
        <f>IF(A141="","",IF(itens_Remanesc!E141="","",itens_Remanesc!E141))</f>
        <v/>
      </c>
      <c r="K141" s="182">
        <f>IF(A141="","",IF($Y141="","",IF($Y141&gt;1,"",IF(ISNUMBER(J141),ROUND(J141+H141,2),IF($Y141=1,ROUND(H141,2),"")))))</f>
        <v/>
      </c>
      <c r="L141" s="174">
        <f>IF(A141="","",ROUND(SUMIFS(aditivos!$L$2:$L$200,aditivos!$A$2:$A$200,A141,aditivos!$C$2:$C$200,"C2"),2))</f>
        <v/>
      </c>
      <c r="M141" s="170">
        <f>IF(A141="","",ROUND(I141+L141,2))</f>
        <v/>
      </c>
      <c r="N141" s="170">
        <f>IF(A141="","",IF(itens_Remanesc!G141="","",itens_Remanesc!G141))</f>
        <v/>
      </c>
      <c r="O141" s="178">
        <f>IF(A141="","",IF($Y141="","",IF($Y141&gt;2,"",IF(ISNUMBER(N141),ROUND(N141+L141,2),IF($Y141=2,ROUND(L141,2),"")))))</f>
        <v/>
      </c>
      <c r="P141" s="180">
        <f>IF(A141="","",ROUND(SUMIFS(aditivos!$L$2:$L$200,aditivos!$A$2:$A$200,A141,aditivos!$C$2:$C$200,"C3"),2))</f>
        <v/>
      </c>
      <c r="Q141" s="176">
        <f>IF(A141="","",ROUND(M141+P141,2))</f>
        <v/>
      </c>
      <c r="R141" s="176">
        <f>IF(A141="","",IF(itens_Remanesc!I141="","",itens_Remanesc!I141))</f>
        <v/>
      </c>
      <c r="S141" s="182">
        <f>IF(A141="","",IF($Y141="","",IF($Y141&gt;3,"",IF(ISNUMBER(R141),ROUND(R141+P141,2),IF($Y141=3,ROUND(P141,2),"")))))</f>
        <v/>
      </c>
      <c r="T141" s="174">
        <f>IF(A141="","",ROUND(SUMIFS(aditivos!$L$2:$L$200,aditivos!$A$2:$A$200,A141,aditivos!$C$2:$C$200,"C4"),2))</f>
        <v/>
      </c>
      <c r="U141" s="170">
        <f>IF(A141="","",ROUND(Q141+T141,2))</f>
        <v/>
      </c>
      <c r="V141" s="170">
        <f>IF(A141="","",IF(itens_Remanesc!K141="","",itens_Remanesc!K141))</f>
        <v/>
      </c>
      <c r="W141" s="170">
        <f>IF(A141="","",IF($Y141="","",IF($Y141&gt;4,"",IF(ISNUMBER(V141),ROUND(V141+T141,2),IF($Y141=4,ROUND(T141,2),"")))))</f>
        <v/>
      </c>
      <c r="X141" s="156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>
        <f>IF($A141="","",IF($E141&gt;0,0,IF($I141&gt;0,1,IF($M141&gt;0,2,IF($Q141&gt;0,3,IF($U141&gt;0,4,""))))))</f>
        <v/>
      </c>
      <c r="Z141">
        <f>IF($A141="",FALSE,AND(LEN(TRIM($A141))=4,LEFT(TRIM($A141),1)="N",ISNUMBER(--MID(TRIM($A141),2,3)),ISERROR(FIND(".",$A141)),ISERROR(FIND(",",$A141)),ISERROR(FIND("-",$A141)),ISERROR(FIND("+",$A141)),ISERROR(SEARCH("E",$A141,2)),ISERROR(FIND(" ",TRIM($A141)))))</f>
        <v/>
      </c>
    </row>
    <row r="142">
      <c r="A142" s="156">
        <f>IF(itens_Remanesc!A142="","",itens_Remanesc!A142)</f>
        <v/>
      </c>
      <c r="B142" s="218">
        <f>IF(A142="","",itens_Remanesc!C142)</f>
        <v/>
      </c>
      <c r="C142" s="172">
        <f>IF(A142="","",IF(itens_Remanesc!B142="",0,itens_Remanesc!B142))</f>
        <v/>
      </c>
      <c r="D142" s="174">
        <f>IF(A142="","",ROUND(SUMIFS(aditivos!$L$2:$L$200,aditivos!$A$2:$A$200,A142,aditivos!$C$2:$C$200,"C0"),2))</f>
        <v/>
      </c>
      <c r="E142" s="170">
        <f>IF(A142="","",ROUND(C142+D142,2))</f>
        <v/>
      </c>
      <c r="F142" s="170">
        <f>IF(A142="","",IF(itens_Remanesc!B142&lt;&gt;"",itens_Remanesc!B142,IF($Z142,0,"")))</f>
        <v/>
      </c>
      <c r="G142" s="178">
        <f>IF(A142="","",IF($Y142="","",IF($Y142&gt;0,"",ROUND(E142,2))))</f>
        <v/>
      </c>
      <c r="H142" s="180">
        <f>IF(A142="","",ROUND(SUMIFS(aditivos!$L$2:$L$200,aditivos!$A$2:$A$200,A142,aditivos!$C$2:$C$200,"C1"),2))</f>
        <v/>
      </c>
      <c r="I142" s="176">
        <f>IF(A142="","",ROUND(E142+H142,2))</f>
        <v/>
      </c>
      <c r="J142" s="176">
        <f>IF(A142="","",IF(itens_Remanesc!E142="","",itens_Remanesc!E142))</f>
        <v/>
      </c>
      <c r="K142" s="182">
        <f>IF(A142="","",IF($Y142="","",IF($Y142&gt;1,"",IF(ISNUMBER(J142),ROUND(J142+H142,2),IF($Y142=1,ROUND(H142,2),"")))))</f>
        <v/>
      </c>
      <c r="L142" s="174">
        <f>IF(A142="","",ROUND(SUMIFS(aditivos!$L$2:$L$200,aditivos!$A$2:$A$200,A142,aditivos!$C$2:$C$200,"C2"),2))</f>
        <v/>
      </c>
      <c r="M142" s="170">
        <f>IF(A142="","",ROUND(I142+L142,2))</f>
        <v/>
      </c>
      <c r="N142" s="170">
        <f>IF(A142="","",IF(itens_Remanesc!G142="","",itens_Remanesc!G142))</f>
        <v/>
      </c>
      <c r="O142" s="178">
        <f>IF(A142="","",IF($Y142="","",IF($Y142&gt;2,"",IF(ISNUMBER(N142),ROUND(N142+L142,2),IF($Y142=2,ROUND(L142,2),"")))))</f>
        <v/>
      </c>
      <c r="P142" s="180">
        <f>IF(A142="","",ROUND(SUMIFS(aditivos!$L$2:$L$200,aditivos!$A$2:$A$200,A142,aditivos!$C$2:$C$200,"C3"),2))</f>
        <v/>
      </c>
      <c r="Q142" s="176">
        <f>IF(A142="","",ROUND(M142+P142,2))</f>
        <v/>
      </c>
      <c r="R142" s="176">
        <f>IF(A142="","",IF(itens_Remanesc!I142="","",itens_Remanesc!I142))</f>
        <v/>
      </c>
      <c r="S142" s="182">
        <f>IF(A142="","",IF($Y142="","",IF($Y142&gt;3,"",IF(ISNUMBER(R142),ROUND(R142+P142,2),IF($Y142=3,ROUND(P142,2),"")))))</f>
        <v/>
      </c>
      <c r="T142" s="174">
        <f>IF(A142="","",ROUND(SUMIFS(aditivos!$L$2:$L$200,aditivos!$A$2:$A$200,A142,aditivos!$C$2:$C$200,"C4"),2))</f>
        <v/>
      </c>
      <c r="U142" s="170">
        <f>IF(A142="","",ROUND(Q142+T142,2))</f>
        <v/>
      </c>
      <c r="V142" s="170">
        <f>IF(A142="","",IF(itens_Remanesc!K142="","",itens_Remanesc!K142))</f>
        <v/>
      </c>
      <c r="W142" s="170">
        <f>IF(A142="","",IF($Y142="","",IF($Y142&gt;4,"",IF(ISNUMBER(V142),ROUND(V142+T142,2),IF($Y142=4,ROUND(T142,2),"")))))</f>
        <v/>
      </c>
      <c r="X142" s="156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>
        <f>IF($A142="","",IF($E142&gt;0,0,IF($I142&gt;0,1,IF($M142&gt;0,2,IF($Q142&gt;0,3,IF($U142&gt;0,4,""))))))</f>
        <v/>
      </c>
      <c r="Z142">
        <f>IF($A142="",FALSE,AND(LEN(TRIM($A142))=4,LEFT(TRIM($A142),1)="N",ISNUMBER(--MID(TRIM($A142),2,3)),ISERROR(FIND(".",$A142)),ISERROR(FIND(",",$A142)),ISERROR(FIND("-",$A142)),ISERROR(FIND("+",$A142)),ISERROR(SEARCH("E",$A142,2)),ISERROR(FIND(" ",TRIM($A142)))))</f>
        <v/>
      </c>
    </row>
    <row r="143">
      <c r="A143" s="156">
        <f>IF(itens_Remanesc!A143="","",itens_Remanesc!A143)</f>
        <v/>
      </c>
      <c r="B143" s="218">
        <f>IF(A143="","",itens_Remanesc!C143)</f>
        <v/>
      </c>
      <c r="C143" s="172">
        <f>IF(A143="","",IF(itens_Remanesc!B143="",0,itens_Remanesc!B143))</f>
        <v/>
      </c>
      <c r="D143" s="174">
        <f>IF(A143="","",ROUND(SUMIFS(aditivos!$L$2:$L$200,aditivos!$A$2:$A$200,A143,aditivos!$C$2:$C$200,"C0"),2))</f>
        <v/>
      </c>
      <c r="E143" s="170">
        <f>IF(A143="","",ROUND(C143+D143,2))</f>
        <v/>
      </c>
      <c r="F143" s="170">
        <f>IF(A143="","",IF(itens_Remanesc!B143&lt;&gt;"",itens_Remanesc!B143,IF($Z143,0,"")))</f>
        <v/>
      </c>
      <c r="G143" s="178">
        <f>IF(A143="","",IF($Y143="","",IF($Y143&gt;0,"",ROUND(E143,2))))</f>
        <v/>
      </c>
      <c r="H143" s="180">
        <f>IF(A143="","",ROUND(SUMIFS(aditivos!$L$2:$L$200,aditivos!$A$2:$A$200,A143,aditivos!$C$2:$C$200,"C1"),2))</f>
        <v/>
      </c>
      <c r="I143" s="176">
        <f>IF(A143="","",ROUND(E143+H143,2))</f>
        <v/>
      </c>
      <c r="J143" s="176">
        <f>IF(A143="","",IF(itens_Remanesc!E143="","",itens_Remanesc!E143))</f>
        <v/>
      </c>
      <c r="K143" s="182">
        <f>IF(A143="","",IF($Y143="","",IF($Y143&gt;1,"",IF(ISNUMBER(J143),ROUND(J143+H143,2),IF($Y143=1,ROUND(H143,2),"")))))</f>
        <v/>
      </c>
      <c r="L143" s="174">
        <f>IF(A143="","",ROUND(SUMIFS(aditivos!$L$2:$L$200,aditivos!$A$2:$A$200,A143,aditivos!$C$2:$C$200,"C2"),2))</f>
        <v/>
      </c>
      <c r="M143" s="170">
        <f>IF(A143="","",ROUND(I143+L143,2))</f>
        <v/>
      </c>
      <c r="N143" s="170">
        <f>IF(A143="","",IF(itens_Remanesc!G143="","",itens_Remanesc!G143))</f>
        <v/>
      </c>
      <c r="O143" s="178">
        <f>IF(A143="","",IF($Y143="","",IF($Y143&gt;2,"",IF(ISNUMBER(N143),ROUND(N143+L143,2),IF($Y143=2,ROUND(L143,2),"")))))</f>
        <v/>
      </c>
      <c r="P143" s="180">
        <f>IF(A143="","",ROUND(SUMIFS(aditivos!$L$2:$L$200,aditivos!$A$2:$A$200,A143,aditivos!$C$2:$C$200,"C3"),2))</f>
        <v/>
      </c>
      <c r="Q143" s="176">
        <f>IF(A143="","",ROUND(M143+P143,2))</f>
        <v/>
      </c>
      <c r="R143" s="176">
        <f>IF(A143="","",IF(itens_Remanesc!I143="","",itens_Remanesc!I143))</f>
        <v/>
      </c>
      <c r="S143" s="182">
        <f>IF(A143="","",IF($Y143="","",IF($Y143&gt;3,"",IF(ISNUMBER(R143),ROUND(R143+P143,2),IF($Y143=3,ROUND(P143,2),"")))))</f>
        <v/>
      </c>
      <c r="T143" s="174">
        <f>IF(A143="","",ROUND(SUMIFS(aditivos!$L$2:$L$200,aditivos!$A$2:$A$200,A143,aditivos!$C$2:$C$200,"C4"),2))</f>
        <v/>
      </c>
      <c r="U143" s="170">
        <f>IF(A143="","",ROUND(Q143+T143,2))</f>
        <v/>
      </c>
      <c r="V143" s="170">
        <f>IF(A143="","",IF(itens_Remanesc!K143="","",itens_Remanesc!K143))</f>
        <v/>
      </c>
      <c r="W143" s="170">
        <f>IF(A143="","",IF($Y143="","",IF($Y143&gt;4,"",IF(ISNUMBER(V143),ROUND(V143+T143,2),IF($Y143=4,ROUND(T143,2),"")))))</f>
        <v/>
      </c>
      <c r="X143" s="156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>
        <f>IF($A143="","",IF($E143&gt;0,0,IF($I143&gt;0,1,IF($M143&gt;0,2,IF($Q143&gt;0,3,IF($U143&gt;0,4,""))))))</f>
        <v/>
      </c>
      <c r="Z143">
        <f>IF($A143="",FALSE,AND(LEN(TRIM($A143))=4,LEFT(TRIM($A143),1)="N",ISNUMBER(--MID(TRIM($A143),2,3)),ISERROR(FIND(".",$A143)),ISERROR(FIND(",",$A143)),ISERROR(FIND("-",$A143)),ISERROR(FIND("+",$A143)),ISERROR(SEARCH("E",$A143,2)),ISERROR(FIND(" ",TRIM($A143)))))</f>
        <v/>
      </c>
    </row>
    <row r="144">
      <c r="A144" s="156">
        <f>IF(itens_Remanesc!A144="","",itens_Remanesc!A144)</f>
        <v/>
      </c>
      <c r="B144" s="218">
        <f>IF(A144="","",itens_Remanesc!C144)</f>
        <v/>
      </c>
      <c r="C144" s="172">
        <f>IF(A144="","",IF(itens_Remanesc!B144="",0,itens_Remanesc!B144))</f>
        <v/>
      </c>
      <c r="D144" s="174">
        <f>IF(A144="","",ROUND(SUMIFS(aditivos!$L$2:$L$200,aditivos!$A$2:$A$200,A144,aditivos!$C$2:$C$200,"C0"),2))</f>
        <v/>
      </c>
      <c r="E144" s="170">
        <f>IF(A144="","",ROUND(C144+D144,2))</f>
        <v/>
      </c>
      <c r="F144" s="170">
        <f>IF(A144="","",IF(itens_Remanesc!B144&lt;&gt;"",itens_Remanesc!B144,IF($Z144,0,"")))</f>
        <v/>
      </c>
      <c r="G144" s="178">
        <f>IF(A144="","",IF($Y144="","",IF($Y144&gt;0,"",ROUND(E144,2))))</f>
        <v/>
      </c>
      <c r="H144" s="180">
        <f>IF(A144="","",ROUND(SUMIFS(aditivos!$L$2:$L$200,aditivos!$A$2:$A$200,A144,aditivos!$C$2:$C$200,"C1"),2))</f>
        <v/>
      </c>
      <c r="I144" s="176">
        <f>IF(A144="","",ROUND(E144+H144,2))</f>
        <v/>
      </c>
      <c r="J144" s="176">
        <f>IF(A144="","",IF(itens_Remanesc!E144="","",itens_Remanesc!E144))</f>
        <v/>
      </c>
      <c r="K144" s="182">
        <f>IF(A144="","",IF($Y144="","",IF($Y144&gt;1,"",IF(ISNUMBER(J144),ROUND(J144+H144,2),IF($Y144=1,ROUND(H144,2),"")))))</f>
        <v/>
      </c>
      <c r="L144" s="174">
        <f>IF(A144="","",ROUND(SUMIFS(aditivos!$L$2:$L$200,aditivos!$A$2:$A$200,A144,aditivos!$C$2:$C$200,"C2"),2))</f>
        <v/>
      </c>
      <c r="M144" s="170">
        <f>IF(A144="","",ROUND(I144+L144,2))</f>
        <v/>
      </c>
      <c r="N144" s="170">
        <f>IF(A144="","",IF(itens_Remanesc!G144="","",itens_Remanesc!G144))</f>
        <v/>
      </c>
      <c r="O144" s="178">
        <f>IF(A144="","",IF($Y144="","",IF($Y144&gt;2,"",IF(ISNUMBER(N144),ROUND(N144+L144,2),IF($Y144=2,ROUND(L144,2),"")))))</f>
        <v/>
      </c>
      <c r="P144" s="180">
        <f>IF(A144="","",ROUND(SUMIFS(aditivos!$L$2:$L$200,aditivos!$A$2:$A$200,A144,aditivos!$C$2:$C$200,"C3"),2))</f>
        <v/>
      </c>
      <c r="Q144" s="176">
        <f>IF(A144="","",ROUND(M144+P144,2))</f>
        <v/>
      </c>
      <c r="R144" s="176">
        <f>IF(A144="","",IF(itens_Remanesc!I144="","",itens_Remanesc!I144))</f>
        <v/>
      </c>
      <c r="S144" s="182">
        <f>IF(A144="","",IF($Y144="","",IF($Y144&gt;3,"",IF(ISNUMBER(R144),ROUND(R144+P144,2),IF($Y144=3,ROUND(P144,2),"")))))</f>
        <v/>
      </c>
      <c r="T144" s="174">
        <f>IF(A144="","",ROUND(SUMIFS(aditivos!$L$2:$L$200,aditivos!$A$2:$A$200,A144,aditivos!$C$2:$C$200,"C4"),2))</f>
        <v/>
      </c>
      <c r="U144" s="170">
        <f>IF(A144="","",ROUND(Q144+T144,2))</f>
        <v/>
      </c>
      <c r="V144" s="170">
        <f>IF(A144="","",IF(itens_Remanesc!K144="","",itens_Remanesc!K144))</f>
        <v/>
      </c>
      <c r="W144" s="170">
        <f>IF(A144="","",IF($Y144="","",IF($Y144&gt;4,"",IF(ISNUMBER(V144),ROUND(V144+T144,2),IF($Y144=4,ROUND(T144,2),"")))))</f>
        <v/>
      </c>
      <c r="X144" s="156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>
        <f>IF($A144="","",IF($E144&gt;0,0,IF($I144&gt;0,1,IF($M144&gt;0,2,IF($Q144&gt;0,3,IF($U144&gt;0,4,""))))))</f>
        <v/>
      </c>
      <c r="Z144">
        <f>IF($A144="",FALSE,AND(LEN(TRIM($A144))=4,LEFT(TRIM($A144),1)="N",ISNUMBER(--MID(TRIM($A144),2,3)),ISERROR(FIND(".",$A144)),ISERROR(FIND(",",$A144)),ISERROR(FIND("-",$A144)),ISERROR(FIND("+",$A144)),ISERROR(SEARCH("E",$A144,2)),ISERROR(FIND(" ",TRIM($A144)))))</f>
        <v/>
      </c>
    </row>
    <row r="145">
      <c r="A145" s="156">
        <f>IF(itens_Remanesc!A145="","",itens_Remanesc!A145)</f>
        <v/>
      </c>
      <c r="B145" s="218">
        <f>IF(A145="","",itens_Remanesc!C145)</f>
        <v/>
      </c>
      <c r="C145" s="172">
        <f>IF(A145="","",IF(itens_Remanesc!B145="",0,itens_Remanesc!B145))</f>
        <v/>
      </c>
      <c r="D145" s="174">
        <f>IF(A145="","",ROUND(SUMIFS(aditivos!$L$2:$L$200,aditivos!$A$2:$A$200,A145,aditivos!$C$2:$C$200,"C0"),2))</f>
        <v/>
      </c>
      <c r="E145" s="170">
        <f>IF(A145="","",ROUND(C145+D145,2))</f>
        <v/>
      </c>
      <c r="F145" s="170">
        <f>IF(A145="","",IF(itens_Remanesc!B145&lt;&gt;"",itens_Remanesc!B145,IF($Z145,0,"")))</f>
        <v/>
      </c>
      <c r="G145" s="178">
        <f>IF(A145="","",IF($Y145="","",IF($Y145&gt;0,"",ROUND(E145,2))))</f>
        <v/>
      </c>
      <c r="H145" s="180">
        <f>IF(A145="","",ROUND(SUMIFS(aditivos!$L$2:$L$200,aditivos!$A$2:$A$200,A145,aditivos!$C$2:$C$200,"C1"),2))</f>
        <v/>
      </c>
      <c r="I145" s="176">
        <f>IF(A145="","",ROUND(E145+H145,2))</f>
        <v/>
      </c>
      <c r="J145" s="176">
        <f>IF(A145="","",IF(itens_Remanesc!E145="","",itens_Remanesc!E145))</f>
        <v/>
      </c>
      <c r="K145" s="182">
        <f>IF(A145="","",IF($Y145="","",IF($Y145&gt;1,"",IF(ISNUMBER(J145),ROUND(J145+H145,2),IF($Y145=1,ROUND(H145,2),"")))))</f>
        <v/>
      </c>
      <c r="L145" s="174">
        <f>IF(A145="","",ROUND(SUMIFS(aditivos!$L$2:$L$200,aditivos!$A$2:$A$200,A145,aditivos!$C$2:$C$200,"C2"),2))</f>
        <v/>
      </c>
      <c r="M145" s="170">
        <f>IF(A145="","",ROUND(I145+L145,2))</f>
        <v/>
      </c>
      <c r="N145" s="170">
        <f>IF(A145="","",IF(itens_Remanesc!G145="","",itens_Remanesc!G145))</f>
        <v/>
      </c>
      <c r="O145" s="178">
        <f>IF(A145="","",IF($Y145="","",IF($Y145&gt;2,"",IF(ISNUMBER(N145),ROUND(N145+L145,2),IF($Y145=2,ROUND(L145,2),"")))))</f>
        <v/>
      </c>
      <c r="P145" s="180">
        <f>IF(A145="","",ROUND(SUMIFS(aditivos!$L$2:$L$200,aditivos!$A$2:$A$200,A145,aditivos!$C$2:$C$200,"C3"),2))</f>
        <v/>
      </c>
      <c r="Q145" s="176">
        <f>IF(A145="","",ROUND(M145+P145,2))</f>
        <v/>
      </c>
      <c r="R145" s="176">
        <f>IF(A145="","",IF(itens_Remanesc!I145="","",itens_Remanesc!I145))</f>
        <v/>
      </c>
      <c r="S145" s="182">
        <f>IF(A145="","",IF($Y145="","",IF($Y145&gt;3,"",IF(ISNUMBER(R145),ROUND(R145+P145,2),IF($Y145=3,ROUND(P145,2),"")))))</f>
        <v/>
      </c>
      <c r="T145" s="174">
        <f>IF(A145="","",ROUND(SUMIFS(aditivos!$L$2:$L$200,aditivos!$A$2:$A$200,A145,aditivos!$C$2:$C$200,"C4"),2))</f>
        <v/>
      </c>
      <c r="U145" s="170">
        <f>IF(A145="","",ROUND(Q145+T145,2))</f>
        <v/>
      </c>
      <c r="V145" s="170">
        <f>IF(A145="","",IF(itens_Remanesc!K145="","",itens_Remanesc!K145))</f>
        <v/>
      </c>
      <c r="W145" s="170">
        <f>IF(A145="","",IF($Y145="","",IF($Y145&gt;4,"",IF(ISNUMBER(V145),ROUND(V145+T145,2),IF($Y145=4,ROUND(T145,2),"")))))</f>
        <v/>
      </c>
      <c r="X145" s="156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>
        <f>IF($A145="","",IF($E145&gt;0,0,IF($I145&gt;0,1,IF($M145&gt;0,2,IF($Q145&gt;0,3,IF($U145&gt;0,4,""))))))</f>
        <v/>
      </c>
      <c r="Z145">
        <f>IF($A145="",FALSE,AND(LEN(TRIM($A145))=4,LEFT(TRIM($A145),1)="N",ISNUMBER(--MID(TRIM($A145),2,3)),ISERROR(FIND(".",$A145)),ISERROR(FIND(",",$A145)),ISERROR(FIND("-",$A145)),ISERROR(FIND("+",$A145)),ISERROR(SEARCH("E",$A145,2)),ISERROR(FIND(" ",TRIM($A145)))))</f>
        <v/>
      </c>
    </row>
    <row r="146">
      <c r="A146" s="156">
        <f>IF(itens_Remanesc!A146="","",itens_Remanesc!A146)</f>
        <v/>
      </c>
      <c r="B146" s="218">
        <f>IF(A146="","",itens_Remanesc!C146)</f>
        <v/>
      </c>
      <c r="C146" s="172">
        <f>IF(A146="","",IF(itens_Remanesc!B146="",0,itens_Remanesc!B146))</f>
        <v/>
      </c>
      <c r="D146" s="174">
        <f>IF(A146="","",ROUND(SUMIFS(aditivos!$L$2:$L$200,aditivos!$A$2:$A$200,A146,aditivos!$C$2:$C$200,"C0"),2))</f>
        <v/>
      </c>
      <c r="E146" s="170">
        <f>IF(A146="","",ROUND(C146+D146,2))</f>
        <v/>
      </c>
      <c r="F146" s="170">
        <f>IF(A146="","",IF(itens_Remanesc!B146&lt;&gt;"",itens_Remanesc!B146,IF($Z146,0,"")))</f>
        <v/>
      </c>
      <c r="G146" s="178">
        <f>IF(A146="","",IF($Y146="","",IF($Y146&gt;0,"",ROUND(E146,2))))</f>
        <v/>
      </c>
      <c r="H146" s="180">
        <f>IF(A146="","",ROUND(SUMIFS(aditivos!$L$2:$L$200,aditivos!$A$2:$A$200,A146,aditivos!$C$2:$C$200,"C1"),2))</f>
        <v/>
      </c>
      <c r="I146" s="176">
        <f>IF(A146="","",ROUND(E146+H146,2))</f>
        <v/>
      </c>
      <c r="J146" s="176">
        <f>IF(A146="","",IF(itens_Remanesc!E146="","",itens_Remanesc!E146))</f>
        <v/>
      </c>
      <c r="K146" s="182">
        <f>IF(A146="","",IF($Y146="","",IF($Y146&gt;1,"",IF(ISNUMBER(J146),ROUND(J146+H146,2),IF($Y146=1,ROUND(H146,2),"")))))</f>
        <v/>
      </c>
      <c r="L146" s="174">
        <f>IF(A146="","",ROUND(SUMIFS(aditivos!$L$2:$L$200,aditivos!$A$2:$A$200,A146,aditivos!$C$2:$C$200,"C2"),2))</f>
        <v/>
      </c>
      <c r="M146" s="170">
        <f>IF(A146="","",ROUND(I146+L146,2))</f>
        <v/>
      </c>
      <c r="N146" s="170">
        <f>IF(A146="","",IF(itens_Remanesc!G146="","",itens_Remanesc!G146))</f>
        <v/>
      </c>
      <c r="O146" s="178">
        <f>IF(A146="","",IF($Y146="","",IF($Y146&gt;2,"",IF(ISNUMBER(N146),ROUND(N146+L146,2),IF($Y146=2,ROUND(L146,2),"")))))</f>
        <v/>
      </c>
      <c r="P146" s="180">
        <f>IF(A146="","",ROUND(SUMIFS(aditivos!$L$2:$L$200,aditivos!$A$2:$A$200,A146,aditivos!$C$2:$C$200,"C3"),2))</f>
        <v/>
      </c>
      <c r="Q146" s="176">
        <f>IF(A146="","",ROUND(M146+P146,2))</f>
        <v/>
      </c>
      <c r="R146" s="176">
        <f>IF(A146="","",IF(itens_Remanesc!I146="","",itens_Remanesc!I146))</f>
        <v/>
      </c>
      <c r="S146" s="182">
        <f>IF(A146="","",IF($Y146="","",IF($Y146&gt;3,"",IF(ISNUMBER(R146),ROUND(R146+P146,2),IF($Y146=3,ROUND(P146,2),"")))))</f>
        <v/>
      </c>
      <c r="T146" s="174">
        <f>IF(A146="","",ROUND(SUMIFS(aditivos!$L$2:$L$200,aditivos!$A$2:$A$200,A146,aditivos!$C$2:$C$200,"C4"),2))</f>
        <v/>
      </c>
      <c r="U146" s="170">
        <f>IF(A146="","",ROUND(Q146+T146,2))</f>
        <v/>
      </c>
      <c r="V146" s="170">
        <f>IF(A146="","",IF(itens_Remanesc!K146="","",itens_Remanesc!K146))</f>
        <v/>
      </c>
      <c r="W146" s="170">
        <f>IF(A146="","",IF($Y146="","",IF($Y146&gt;4,"",IF(ISNUMBER(V146),ROUND(V146+T146,2),IF($Y146=4,ROUND(T146,2),"")))))</f>
        <v/>
      </c>
      <c r="X146" s="156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>
        <f>IF($A146="","",IF($E146&gt;0,0,IF($I146&gt;0,1,IF($M146&gt;0,2,IF($Q146&gt;0,3,IF($U146&gt;0,4,""))))))</f>
        <v/>
      </c>
      <c r="Z146">
        <f>IF($A146="",FALSE,AND(LEN(TRIM($A146))=4,LEFT(TRIM($A146),1)="N",ISNUMBER(--MID(TRIM($A146),2,3)),ISERROR(FIND(".",$A146)),ISERROR(FIND(",",$A146)),ISERROR(FIND("-",$A146)),ISERROR(FIND("+",$A146)),ISERROR(SEARCH("E",$A146,2)),ISERROR(FIND(" ",TRIM($A146)))))</f>
        <v/>
      </c>
    </row>
    <row r="147">
      <c r="A147" s="156">
        <f>IF(itens_Remanesc!A147="","",itens_Remanesc!A147)</f>
        <v/>
      </c>
      <c r="B147" s="218">
        <f>IF(A147="","",itens_Remanesc!C147)</f>
        <v/>
      </c>
      <c r="C147" s="172">
        <f>IF(A147="","",IF(itens_Remanesc!B147="",0,itens_Remanesc!B147))</f>
        <v/>
      </c>
      <c r="D147" s="174">
        <f>IF(A147="","",ROUND(SUMIFS(aditivos!$L$2:$L$200,aditivos!$A$2:$A$200,A147,aditivos!$C$2:$C$200,"C0"),2))</f>
        <v/>
      </c>
      <c r="E147" s="170">
        <f>IF(A147="","",ROUND(C147+D147,2))</f>
        <v/>
      </c>
      <c r="F147" s="170">
        <f>IF(A147="","",IF(itens_Remanesc!B147&lt;&gt;"",itens_Remanesc!B147,IF($Z147,0,"")))</f>
        <v/>
      </c>
      <c r="G147" s="178">
        <f>IF(A147="","",IF($Y147="","",IF($Y147&gt;0,"",ROUND(E147,2))))</f>
        <v/>
      </c>
      <c r="H147" s="180">
        <f>IF(A147="","",ROUND(SUMIFS(aditivos!$L$2:$L$200,aditivos!$A$2:$A$200,A147,aditivos!$C$2:$C$200,"C1"),2))</f>
        <v/>
      </c>
      <c r="I147" s="176">
        <f>IF(A147="","",ROUND(E147+H147,2))</f>
        <v/>
      </c>
      <c r="J147" s="176">
        <f>IF(A147="","",IF(itens_Remanesc!E147="","",itens_Remanesc!E147))</f>
        <v/>
      </c>
      <c r="K147" s="182">
        <f>IF(A147="","",IF($Y147="","",IF($Y147&gt;1,"",IF(ISNUMBER(J147),ROUND(J147+H147,2),IF($Y147=1,ROUND(H147,2),"")))))</f>
        <v/>
      </c>
      <c r="L147" s="174">
        <f>IF(A147="","",ROUND(SUMIFS(aditivos!$L$2:$L$200,aditivos!$A$2:$A$200,A147,aditivos!$C$2:$C$200,"C2"),2))</f>
        <v/>
      </c>
      <c r="M147" s="170">
        <f>IF(A147="","",ROUND(I147+L147,2))</f>
        <v/>
      </c>
      <c r="N147" s="170">
        <f>IF(A147="","",IF(itens_Remanesc!G147="","",itens_Remanesc!G147))</f>
        <v/>
      </c>
      <c r="O147" s="178">
        <f>IF(A147="","",IF($Y147="","",IF($Y147&gt;2,"",IF(ISNUMBER(N147),ROUND(N147+L147,2),IF($Y147=2,ROUND(L147,2),"")))))</f>
        <v/>
      </c>
      <c r="P147" s="180">
        <f>IF(A147="","",ROUND(SUMIFS(aditivos!$L$2:$L$200,aditivos!$A$2:$A$200,A147,aditivos!$C$2:$C$200,"C3"),2))</f>
        <v/>
      </c>
      <c r="Q147" s="176">
        <f>IF(A147="","",ROUND(M147+P147,2))</f>
        <v/>
      </c>
      <c r="R147" s="176">
        <f>IF(A147="","",IF(itens_Remanesc!I147="","",itens_Remanesc!I147))</f>
        <v/>
      </c>
      <c r="S147" s="182">
        <f>IF(A147="","",IF($Y147="","",IF($Y147&gt;3,"",IF(ISNUMBER(R147),ROUND(R147+P147,2),IF($Y147=3,ROUND(P147,2),"")))))</f>
        <v/>
      </c>
      <c r="T147" s="174">
        <f>IF(A147="","",ROUND(SUMIFS(aditivos!$L$2:$L$200,aditivos!$A$2:$A$200,A147,aditivos!$C$2:$C$200,"C4"),2))</f>
        <v/>
      </c>
      <c r="U147" s="170">
        <f>IF(A147="","",ROUND(Q147+T147,2))</f>
        <v/>
      </c>
      <c r="V147" s="170">
        <f>IF(A147="","",IF(itens_Remanesc!K147="","",itens_Remanesc!K147))</f>
        <v/>
      </c>
      <c r="W147" s="170">
        <f>IF(A147="","",IF($Y147="","",IF($Y147&gt;4,"",IF(ISNUMBER(V147),ROUND(V147+T147,2),IF($Y147=4,ROUND(T147,2),"")))))</f>
        <v/>
      </c>
      <c r="X147" s="156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>
        <f>IF($A147="","",IF($E147&gt;0,0,IF($I147&gt;0,1,IF($M147&gt;0,2,IF($Q147&gt;0,3,IF($U147&gt;0,4,""))))))</f>
        <v/>
      </c>
      <c r="Z147">
        <f>IF($A147="",FALSE,AND(LEN(TRIM($A147))=4,LEFT(TRIM($A147),1)="N",ISNUMBER(--MID(TRIM($A147),2,3)),ISERROR(FIND(".",$A147)),ISERROR(FIND(",",$A147)),ISERROR(FIND("-",$A147)),ISERROR(FIND("+",$A147)),ISERROR(SEARCH("E",$A147,2)),ISERROR(FIND(" ",TRIM($A147)))))</f>
        <v/>
      </c>
    </row>
    <row r="148">
      <c r="A148" s="156">
        <f>IF(itens_Remanesc!A148="","",itens_Remanesc!A148)</f>
        <v/>
      </c>
      <c r="B148" s="218">
        <f>IF(A148="","",itens_Remanesc!C148)</f>
        <v/>
      </c>
      <c r="C148" s="172">
        <f>IF(A148="","",IF(itens_Remanesc!B148="",0,itens_Remanesc!B148))</f>
        <v/>
      </c>
      <c r="D148" s="174">
        <f>IF(A148="","",ROUND(SUMIFS(aditivos!$L$2:$L$200,aditivos!$A$2:$A$200,A148,aditivos!$C$2:$C$200,"C0"),2))</f>
        <v/>
      </c>
      <c r="E148" s="170">
        <f>IF(A148="","",ROUND(C148+D148,2))</f>
        <v/>
      </c>
      <c r="F148" s="170">
        <f>IF(A148="","",IF(itens_Remanesc!B148&lt;&gt;"",itens_Remanesc!B148,IF($Z148,0,"")))</f>
        <v/>
      </c>
      <c r="G148" s="178">
        <f>IF(A148="","",IF($Y148="","",IF($Y148&gt;0,"",ROUND(E148,2))))</f>
        <v/>
      </c>
      <c r="H148" s="180">
        <f>IF(A148="","",ROUND(SUMIFS(aditivos!$L$2:$L$200,aditivos!$A$2:$A$200,A148,aditivos!$C$2:$C$200,"C1"),2))</f>
        <v/>
      </c>
      <c r="I148" s="176">
        <f>IF(A148="","",ROUND(E148+H148,2))</f>
        <v/>
      </c>
      <c r="J148" s="176">
        <f>IF(A148="","",IF(itens_Remanesc!E148="","",itens_Remanesc!E148))</f>
        <v/>
      </c>
      <c r="K148" s="182">
        <f>IF(A148="","",IF($Y148="","",IF($Y148&gt;1,"",IF(ISNUMBER(J148),ROUND(J148+H148,2),IF($Y148=1,ROUND(H148,2),"")))))</f>
        <v/>
      </c>
      <c r="L148" s="174">
        <f>IF(A148="","",ROUND(SUMIFS(aditivos!$L$2:$L$200,aditivos!$A$2:$A$200,A148,aditivos!$C$2:$C$200,"C2"),2))</f>
        <v/>
      </c>
      <c r="M148" s="170">
        <f>IF(A148="","",ROUND(I148+L148,2))</f>
        <v/>
      </c>
      <c r="N148" s="170">
        <f>IF(A148="","",IF(itens_Remanesc!G148="","",itens_Remanesc!G148))</f>
        <v/>
      </c>
      <c r="O148" s="178">
        <f>IF(A148="","",IF($Y148="","",IF($Y148&gt;2,"",IF(ISNUMBER(N148),ROUND(N148+L148,2),IF($Y148=2,ROUND(L148,2),"")))))</f>
        <v/>
      </c>
      <c r="P148" s="180">
        <f>IF(A148="","",ROUND(SUMIFS(aditivos!$L$2:$L$200,aditivos!$A$2:$A$200,A148,aditivos!$C$2:$C$200,"C3"),2))</f>
        <v/>
      </c>
      <c r="Q148" s="176">
        <f>IF(A148="","",ROUND(M148+P148,2))</f>
        <v/>
      </c>
      <c r="R148" s="176">
        <f>IF(A148="","",IF(itens_Remanesc!I148="","",itens_Remanesc!I148))</f>
        <v/>
      </c>
      <c r="S148" s="182">
        <f>IF(A148="","",IF($Y148="","",IF($Y148&gt;3,"",IF(ISNUMBER(R148),ROUND(R148+P148,2),IF($Y148=3,ROUND(P148,2),"")))))</f>
        <v/>
      </c>
      <c r="T148" s="174">
        <f>IF(A148="","",ROUND(SUMIFS(aditivos!$L$2:$L$200,aditivos!$A$2:$A$200,A148,aditivos!$C$2:$C$200,"C4"),2))</f>
        <v/>
      </c>
      <c r="U148" s="170">
        <f>IF(A148="","",ROUND(Q148+T148,2))</f>
        <v/>
      </c>
      <c r="V148" s="170">
        <f>IF(A148="","",IF(itens_Remanesc!K148="","",itens_Remanesc!K148))</f>
        <v/>
      </c>
      <c r="W148" s="170">
        <f>IF(A148="","",IF($Y148="","",IF($Y148&gt;4,"",IF(ISNUMBER(V148),ROUND(V148+T148,2),IF($Y148=4,ROUND(T148,2),"")))))</f>
        <v/>
      </c>
      <c r="X148" s="156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>
        <f>IF($A148="","",IF($E148&gt;0,0,IF($I148&gt;0,1,IF($M148&gt;0,2,IF($Q148&gt;0,3,IF($U148&gt;0,4,""))))))</f>
        <v/>
      </c>
      <c r="Z148">
        <f>IF($A148="",FALSE,AND(LEN(TRIM($A148))=4,LEFT(TRIM($A148),1)="N",ISNUMBER(--MID(TRIM($A148),2,3)),ISERROR(FIND(".",$A148)),ISERROR(FIND(",",$A148)),ISERROR(FIND("-",$A148)),ISERROR(FIND("+",$A148)),ISERROR(SEARCH("E",$A148,2)),ISERROR(FIND(" ",TRIM($A148)))))</f>
        <v/>
      </c>
    </row>
    <row r="149">
      <c r="A149" s="156">
        <f>IF(itens_Remanesc!A149="","",itens_Remanesc!A149)</f>
        <v/>
      </c>
      <c r="B149" s="218">
        <f>IF(A149="","",itens_Remanesc!C149)</f>
        <v/>
      </c>
      <c r="C149" s="172">
        <f>IF(A149="","",IF(itens_Remanesc!B149="",0,itens_Remanesc!B149))</f>
        <v/>
      </c>
      <c r="D149" s="174">
        <f>IF(A149="","",ROUND(SUMIFS(aditivos!$L$2:$L$200,aditivos!$A$2:$A$200,A149,aditivos!$C$2:$C$200,"C0"),2))</f>
        <v/>
      </c>
      <c r="E149" s="170">
        <f>IF(A149="","",ROUND(C149+D149,2))</f>
        <v/>
      </c>
      <c r="F149" s="170">
        <f>IF(A149="","",IF(itens_Remanesc!B149&lt;&gt;"",itens_Remanesc!B149,IF($Z149,0,"")))</f>
        <v/>
      </c>
      <c r="G149" s="178">
        <f>IF(A149="","",IF($Y149="","",IF($Y149&gt;0,"",ROUND(E149,2))))</f>
        <v/>
      </c>
      <c r="H149" s="180">
        <f>IF(A149="","",ROUND(SUMIFS(aditivos!$L$2:$L$200,aditivos!$A$2:$A$200,A149,aditivos!$C$2:$C$200,"C1"),2))</f>
        <v/>
      </c>
      <c r="I149" s="176">
        <f>IF(A149="","",ROUND(E149+H149,2))</f>
        <v/>
      </c>
      <c r="J149" s="176">
        <f>IF(A149="","",IF(itens_Remanesc!E149="","",itens_Remanesc!E149))</f>
        <v/>
      </c>
      <c r="K149" s="182">
        <f>IF(A149="","",IF($Y149="","",IF($Y149&gt;1,"",IF(ISNUMBER(J149),ROUND(J149+H149,2),IF($Y149=1,ROUND(H149,2),"")))))</f>
        <v/>
      </c>
      <c r="L149" s="174">
        <f>IF(A149="","",ROUND(SUMIFS(aditivos!$L$2:$L$200,aditivos!$A$2:$A$200,A149,aditivos!$C$2:$C$200,"C2"),2))</f>
        <v/>
      </c>
      <c r="M149" s="170">
        <f>IF(A149="","",ROUND(I149+L149,2))</f>
        <v/>
      </c>
      <c r="N149" s="170">
        <f>IF(A149="","",IF(itens_Remanesc!G149="","",itens_Remanesc!G149))</f>
        <v/>
      </c>
      <c r="O149" s="178">
        <f>IF(A149="","",IF($Y149="","",IF($Y149&gt;2,"",IF(ISNUMBER(N149),ROUND(N149+L149,2),IF($Y149=2,ROUND(L149,2),"")))))</f>
        <v/>
      </c>
      <c r="P149" s="180">
        <f>IF(A149="","",ROUND(SUMIFS(aditivos!$L$2:$L$200,aditivos!$A$2:$A$200,A149,aditivos!$C$2:$C$200,"C3"),2))</f>
        <v/>
      </c>
      <c r="Q149" s="176">
        <f>IF(A149="","",ROUND(M149+P149,2))</f>
        <v/>
      </c>
      <c r="R149" s="176">
        <f>IF(A149="","",IF(itens_Remanesc!I149="","",itens_Remanesc!I149))</f>
        <v/>
      </c>
      <c r="S149" s="182">
        <f>IF(A149="","",IF($Y149="","",IF($Y149&gt;3,"",IF(ISNUMBER(R149),ROUND(R149+P149,2),IF($Y149=3,ROUND(P149,2),"")))))</f>
        <v/>
      </c>
      <c r="T149" s="174">
        <f>IF(A149="","",ROUND(SUMIFS(aditivos!$L$2:$L$200,aditivos!$A$2:$A$200,A149,aditivos!$C$2:$C$200,"C4"),2))</f>
        <v/>
      </c>
      <c r="U149" s="170">
        <f>IF(A149="","",ROUND(Q149+T149,2))</f>
        <v/>
      </c>
      <c r="V149" s="170">
        <f>IF(A149="","",IF(itens_Remanesc!K149="","",itens_Remanesc!K149))</f>
        <v/>
      </c>
      <c r="W149" s="170">
        <f>IF(A149="","",IF($Y149="","",IF($Y149&gt;4,"",IF(ISNUMBER(V149),ROUND(V149+T149,2),IF($Y149=4,ROUND(T149,2),"")))))</f>
        <v/>
      </c>
      <c r="X149" s="156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>
        <f>IF($A149="","",IF($E149&gt;0,0,IF($I149&gt;0,1,IF($M149&gt;0,2,IF($Q149&gt;0,3,IF($U149&gt;0,4,""))))))</f>
        <v/>
      </c>
      <c r="Z149">
        <f>IF($A149="",FALSE,AND(LEN(TRIM($A149))=4,LEFT(TRIM($A149),1)="N",ISNUMBER(--MID(TRIM($A149),2,3)),ISERROR(FIND(".",$A149)),ISERROR(FIND(",",$A149)),ISERROR(FIND("-",$A149)),ISERROR(FIND("+",$A149)),ISERROR(SEARCH("E",$A149,2)),ISERROR(FIND(" ",TRIM($A149)))))</f>
        <v/>
      </c>
    </row>
    <row r="150">
      <c r="A150" s="156">
        <f>IF(itens_Remanesc!A150="","",itens_Remanesc!A150)</f>
        <v/>
      </c>
      <c r="B150" s="218">
        <f>IF(A150="","",itens_Remanesc!C150)</f>
        <v/>
      </c>
      <c r="C150" s="172">
        <f>IF(A150="","",IF(itens_Remanesc!B150="",0,itens_Remanesc!B150))</f>
        <v/>
      </c>
      <c r="D150" s="174">
        <f>IF(A150="","",ROUND(SUMIFS(aditivos!$L$2:$L$200,aditivos!$A$2:$A$200,A150,aditivos!$C$2:$C$200,"C0"),2))</f>
        <v/>
      </c>
      <c r="E150" s="170">
        <f>IF(A150="","",ROUND(C150+D150,2))</f>
        <v/>
      </c>
      <c r="F150" s="170">
        <f>IF(A150="","",IF(itens_Remanesc!B150&lt;&gt;"",itens_Remanesc!B150,IF($Z150,0,"")))</f>
        <v/>
      </c>
      <c r="G150" s="178">
        <f>IF(A150="","",IF($Y150="","",IF($Y150&gt;0,"",ROUND(E150,2))))</f>
        <v/>
      </c>
      <c r="H150" s="180">
        <f>IF(A150="","",ROUND(SUMIFS(aditivos!$L$2:$L$200,aditivos!$A$2:$A$200,A150,aditivos!$C$2:$C$200,"C1"),2))</f>
        <v/>
      </c>
      <c r="I150" s="176">
        <f>IF(A150="","",ROUND(E150+H150,2))</f>
        <v/>
      </c>
      <c r="J150" s="176">
        <f>IF(A150="","",IF(itens_Remanesc!E150="","",itens_Remanesc!E150))</f>
        <v/>
      </c>
      <c r="K150" s="182">
        <f>IF(A150="","",IF($Y150="","",IF($Y150&gt;1,"",IF(ISNUMBER(J150),ROUND(J150+H150,2),IF($Y150=1,ROUND(H150,2),"")))))</f>
        <v/>
      </c>
      <c r="L150" s="174">
        <f>IF(A150="","",ROUND(SUMIFS(aditivos!$L$2:$L$200,aditivos!$A$2:$A$200,A150,aditivos!$C$2:$C$200,"C2"),2))</f>
        <v/>
      </c>
      <c r="M150" s="170">
        <f>IF(A150="","",ROUND(I150+L150,2))</f>
        <v/>
      </c>
      <c r="N150" s="170">
        <f>IF(A150="","",IF(itens_Remanesc!G150="","",itens_Remanesc!G150))</f>
        <v/>
      </c>
      <c r="O150" s="178">
        <f>IF(A150="","",IF($Y150="","",IF($Y150&gt;2,"",IF(ISNUMBER(N150),ROUND(N150+L150,2),IF($Y150=2,ROUND(L150,2),"")))))</f>
        <v/>
      </c>
      <c r="P150" s="180">
        <f>IF(A150="","",ROUND(SUMIFS(aditivos!$L$2:$L$200,aditivos!$A$2:$A$200,A150,aditivos!$C$2:$C$200,"C3"),2))</f>
        <v/>
      </c>
      <c r="Q150" s="176">
        <f>IF(A150="","",ROUND(M150+P150,2))</f>
        <v/>
      </c>
      <c r="R150" s="176">
        <f>IF(A150="","",IF(itens_Remanesc!I150="","",itens_Remanesc!I150))</f>
        <v/>
      </c>
      <c r="S150" s="182">
        <f>IF(A150="","",IF($Y150="","",IF($Y150&gt;3,"",IF(ISNUMBER(R150),ROUND(R150+P150,2),IF($Y150=3,ROUND(P150,2),"")))))</f>
        <v/>
      </c>
      <c r="T150" s="174">
        <f>IF(A150="","",ROUND(SUMIFS(aditivos!$L$2:$L$200,aditivos!$A$2:$A$200,A150,aditivos!$C$2:$C$200,"C4"),2))</f>
        <v/>
      </c>
      <c r="U150" s="170">
        <f>IF(A150="","",ROUND(Q150+T150,2))</f>
        <v/>
      </c>
      <c r="V150" s="170">
        <f>IF(A150="","",IF(itens_Remanesc!K150="","",itens_Remanesc!K150))</f>
        <v/>
      </c>
      <c r="W150" s="170">
        <f>IF(A150="","",IF($Y150="","",IF($Y150&gt;4,"",IF(ISNUMBER(V150),ROUND(V150+T150,2),IF($Y150=4,ROUND(T150,2),"")))))</f>
        <v/>
      </c>
      <c r="X150" s="156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>
        <f>IF($A150="","",IF($E150&gt;0,0,IF($I150&gt;0,1,IF($M150&gt;0,2,IF($Q150&gt;0,3,IF($U150&gt;0,4,""))))))</f>
        <v/>
      </c>
      <c r="Z150">
        <f>IF($A150="",FALSE,AND(LEN(TRIM($A150))=4,LEFT(TRIM($A150),1)="N",ISNUMBER(--MID(TRIM($A150),2,3)),ISERROR(FIND(".",$A150)),ISERROR(FIND(",",$A150)),ISERROR(FIND("-",$A150)),ISERROR(FIND("+",$A150)),ISERROR(SEARCH("E",$A150,2)),ISERROR(FIND(" ",TRIM($A150)))))</f>
        <v/>
      </c>
    </row>
    <row r="151">
      <c r="A151" s="156">
        <f>IF(itens_Remanesc!A151="","",itens_Remanesc!A151)</f>
        <v/>
      </c>
      <c r="B151" s="218">
        <f>IF(A151="","",itens_Remanesc!C151)</f>
        <v/>
      </c>
      <c r="C151" s="172">
        <f>IF(A151="","",IF(itens_Remanesc!B151="",0,itens_Remanesc!B151))</f>
        <v/>
      </c>
      <c r="D151" s="174">
        <f>IF(A151="","",ROUND(SUMIFS(aditivos!$L$2:$L$200,aditivos!$A$2:$A$200,A151,aditivos!$C$2:$C$200,"C0"),2))</f>
        <v/>
      </c>
      <c r="E151" s="170">
        <f>IF(A151="","",ROUND(C151+D151,2))</f>
        <v/>
      </c>
      <c r="F151" s="170">
        <f>IF(A151="","",IF(itens_Remanesc!B151&lt;&gt;"",itens_Remanesc!B151,IF($Z151,0,"")))</f>
        <v/>
      </c>
      <c r="G151" s="178">
        <f>IF(A151="","",IF($Y151="","",IF($Y151&gt;0,"",ROUND(E151,2))))</f>
        <v/>
      </c>
      <c r="H151" s="180">
        <f>IF(A151="","",ROUND(SUMIFS(aditivos!$L$2:$L$200,aditivos!$A$2:$A$200,A151,aditivos!$C$2:$C$200,"C1"),2))</f>
        <v/>
      </c>
      <c r="I151" s="176">
        <f>IF(A151="","",ROUND(E151+H151,2))</f>
        <v/>
      </c>
      <c r="J151" s="176">
        <f>IF(A151="","",IF(itens_Remanesc!E151="","",itens_Remanesc!E151))</f>
        <v/>
      </c>
      <c r="K151" s="182">
        <f>IF(A151="","",IF($Y151="","",IF($Y151&gt;1,"",IF(ISNUMBER(J151),ROUND(J151+H151,2),IF($Y151=1,ROUND(H151,2),"")))))</f>
        <v/>
      </c>
      <c r="L151" s="174">
        <f>IF(A151="","",ROUND(SUMIFS(aditivos!$L$2:$L$200,aditivos!$A$2:$A$200,A151,aditivos!$C$2:$C$200,"C2"),2))</f>
        <v/>
      </c>
      <c r="M151" s="170">
        <f>IF(A151="","",ROUND(I151+L151,2))</f>
        <v/>
      </c>
      <c r="N151" s="170">
        <f>IF(A151="","",IF(itens_Remanesc!G151="","",itens_Remanesc!G151))</f>
        <v/>
      </c>
      <c r="O151" s="178">
        <f>IF(A151="","",IF($Y151="","",IF($Y151&gt;2,"",IF(ISNUMBER(N151),ROUND(N151+L151,2),IF($Y151=2,ROUND(L151,2),"")))))</f>
        <v/>
      </c>
      <c r="P151" s="180">
        <f>IF(A151="","",ROUND(SUMIFS(aditivos!$L$2:$L$200,aditivos!$A$2:$A$200,A151,aditivos!$C$2:$C$200,"C3"),2))</f>
        <v/>
      </c>
      <c r="Q151" s="176">
        <f>IF(A151="","",ROUND(M151+P151,2))</f>
        <v/>
      </c>
      <c r="R151" s="176">
        <f>IF(A151="","",IF(itens_Remanesc!I151="","",itens_Remanesc!I151))</f>
        <v/>
      </c>
      <c r="S151" s="182">
        <f>IF(A151="","",IF($Y151="","",IF($Y151&gt;3,"",IF(ISNUMBER(R151),ROUND(R151+P151,2),IF($Y151=3,ROUND(P151,2),"")))))</f>
        <v/>
      </c>
      <c r="T151" s="174">
        <f>IF(A151="","",ROUND(SUMIFS(aditivos!$L$2:$L$200,aditivos!$A$2:$A$200,A151,aditivos!$C$2:$C$200,"C4"),2))</f>
        <v/>
      </c>
      <c r="U151" s="170">
        <f>IF(A151="","",ROUND(Q151+T151,2))</f>
        <v/>
      </c>
      <c r="V151" s="170">
        <f>IF(A151="","",IF(itens_Remanesc!K151="","",itens_Remanesc!K151))</f>
        <v/>
      </c>
      <c r="W151" s="170">
        <f>IF(A151="","",IF($Y151="","",IF($Y151&gt;4,"",IF(ISNUMBER(V151),ROUND(V151+T151,2),IF($Y151=4,ROUND(T151,2),"")))))</f>
        <v/>
      </c>
      <c r="X151" s="156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>
        <f>IF($A151="","",IF($E151&gt;0,0,IF($I151&gt;0,1,IF($M151&gt;0,2,IF($Q151&gt;0,3,IF($U151&gt;0,4,""))))))</f>
        <v/>
      </c>
      <c r="Z151">
        <f>IF($A151="",FALSE,AND(LEN(TRIM($A151))=4,LEFT(TRIM($A151),1)="N",ISNUMBER(--MID(TRIM($A151),2,3)),ISERROR(FIND(".",$A151)),ISERROR(FIND(",",$A151)),ISERROR(FIND("-",$A151)),ISERROR(FIND("+",$A151)),ISERROR(SEARCH("E",$A151,2)),ISERROR(FIND(" ",TRIM($A151)))))</f>
        <v/>
      </c>
    </row>
    <row r="152">
      <c r="A152" s="156">
        <f>IF(itens_Remanesc!A152="","",itens_Remanesc!A152)</f>
        <v/>
      </c>
      <c r="B152" s="218">
        <f>IF(A152="","",itens_Remanesc!C152)</f>
        <v/>
      </c>
      <c r="C152" s="172">
        <f>IF(A152="","",IF(itens_Remanesc!B152="",0,itens_Remanesc!B152))</f>
        <v/>
      </c>
      <c r="D152" s="174">
        <f>IF(A152="","",ROUND(SUMIFS(aditivos!$L$2:$L$200,aditivos!$A$2:$A$200,A152,aditivos!$C$2:$C$200,"C0"),2))</f>
        <v/>
      </c>
      <c r="E152" s="170">
        <f>IF(A152="","",ROUND(C152+D152,2))</f>
        <v/>
      </c>
      <c r="F152" s="170">
        <f>IF(A152="","",IF(itens_Remanesc!B152&lt;&gt;"",itens_Remanesc!B152,IF($Z152,0,"")))</f>
        <v/>
      </c>
      <c r="G152" s="178">
        <f>IF(A152="","",IF($Y152="","",IF($Y152&gt;0,"",ROUND(E152,2))))</f>
        <v/>
      </c>
      <c r="H152" s="180">
        <f>IF(A152="","",ROUND(SUMIFS(aditivos!$L$2:$L$200,aditivos!$A$2:$A$200,A152,aditivos!$C$2:$C$200,"C1"),2))</f>
        <v/>
      </c>
      <c r="I152" s="176">
        <f>IF(A152="","",ROUND(E152+H152,2))</f>
        <v/>
      </c>
      <c r="J152" s="176">
        <f>IF(A152="","",IF(itens_Remanesc!E152="","",itens_Remanesc!E152))</f>
        <v/>
      </c>
      <c r="K152" s="182">
        <f>IF(A152="","",IF($Y152="","",IF($Y152&gt;1,"",IF(ISNUMBER(J152),ROUND(J152+H152,2),IF($Y152=1,ROUND(H152,2),"")))))</f>
        <v/>
      </c>
      <c r="L152" s="174">
        <f>IF(A152="","",ROUND(SUMIFS(aditivos!$L$2:$L$200,aditivos!$A$2:$A$200,A152,aditivos!$C$2:$C$200,"C2"),2))</f>
        <v/>
      </c>
      <c r="M152" s="170">
        <f>IF(A152="","",ROUND(I152+L152,2))</f>
        <v/>
      </c>
      <c r="N152" s="170">
        <f>IF(A152="","",IF(itens_Remanesc!G152="","",itens_Remanesc!G152))</f>
        <v/>
      </c>
      <c r="O152" s="178">
        <f>IF(A152="","",IF($Y152="","",IF($Y152&gt;2,"",IF(ISNUMBER(N152),ROUND(N152+L152,2),IF($Y152=2,ROUND(L152,2),"")))))</f>
        <v/>
      </c>
      <c r="P152" s="180">
        <f>IF(A152="","",ROUND(SUMIFS(aditivos!$L$2:$L$200,aditivos!$A$2:$A$200,A152,aditivos!$C$2:$C$200,"C3"),2))</f>
        <v/>
      </c>
      <c r="Q152" s="176">
        <f>IF(A152="","",ROUND(M152+P152,2))</f>
        <v/>
      </c>
      <c r="R152" s="176">
        <f>IF(A152="","",IF(itens_Remanesc!I152="","",itens_Remanesc!I152))</f>
        <v/>
      </c>
      <c r="S152" s="182">
        <f>IF(A152="","",IF($Y152="","",IF($Y152&gt;3,"",IF(ISNUMBER(R152),ROUND(R152+P152,2),IF($Y152=3,ROUND(P152,2),"")))))</f>
        <v/>
      </c>
      <c r="T152" s="174">
        <f>IF(A152="","",ROUND(SUMIFS(aditivos!$L$2:$L$200,aditivos!$A$2:$A$200,A152,aditivos!$C$2:$C$200,"C4"),2))</f>
        <v/>
      </c>
      <c r="U152" s="170">
        <f>IF(A152="","",ROUND(Q152+T152,2))</f>
        <v/>
      </c>
      <c r="V152" s="170">
        <f>IF(A152="","",IF(itens_Remanesc!K152="","",itens_Remanesc!K152))</f>
        <v/>
      </c>
      <c r="W152" s="170">
        <f>IF(A152="","",IF($Y152="","",IF($Y152&gt;4,"",IF(ISNUMBER(V152),ROUND(V152+T152,2),IF($Y152=4,ROUND(T152,2),"")))))</f>
        <v/>
      </c>
      <c r="X152" s="156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>
        <f>IF($A152="","",IF($E152&gt;0,0,IF($I152&gt;0,1,IF($M152&gt;0,2,IF($Q152&gt;0,3,IF($U152&gt;0,4,""))))))</f>
        <v/>
      </c>
      <c r="Z152">
        <f>IF($A152="",FALSE,AND(LEN(TRIM($A152))=4,LEFT(TRIM($A152),1)="N",ISNUMBER(--MID(TRIM($A152),2,3)),ISERROR(FIND(".",$A152)),ISERROR(FIND(",",$A152)),ISERROR(FIND("-",$A152)),ISERROR(FIND("+",$A152)),ISERROR(SEARCH("E",$A152,2)),ISERROR(FIND(" ",TRIM($A152)))))</f>
        <v/>
      </c>
    </row>
    <row r="153">
      <c r="A153" s="156">
        <f>IF(itens_Remanesc!A153="","",itens_Remanesc!A153)</f>
        <v/>
      </c>
      <c r="B153" s="218">
        <f>IF(A153="","",itens_Remanesc!C153)</f>
        <v/>
      </c>
      <c r="C153" s="172">
        <f>IF(A153="","",IF(itens_Remanesc!B153="",0,itens_Remanesc!B153))</f>
        <v/>
      </c>
      <c r="D153" s="174">
        <f>IF(A153="","",ROUND(SUMIFS(aditivos!$L$2:$L$200,aditivos!$A$2:$A$200,A153,aditivos!$C$2:$C$200,"C0"),2))</f>
        <v/>
      </c>
      <c r="E153" s="170">
        <f>IF(A153="","",ROUND(C153+D153,2))</f>
        <v/>
      </c>
      <c r="F153" s="170">
        <f>IF(A153="","",IF(itens_Remanesc!B153&lt;&gt;"",itens_Remanesc!B153,IF($Z153,0,"")))</f>
        <v/>
      </c>
      <c r="G153" s="178">
        <f>IF(A153="","",IF($Y153="","",IF($Y153&gt;0,"",ROUND(E153,2))))</f>
        <v/>
      </c>
      <c r="H153" s="180">
        <f>IF(A153="","",ROUND(SUMIFS(aditivos!$L$2:$L$200,aditivos!$A$2:$A$200,A153,aditivos!$C$2:$C$200,"C1"),2))</f>
        <v/>
      </c>
      <c r="I153" s="176">
        <f>IF(A153="","",ROUND(E153+H153,2))</f>
        <v/>
      </c>
      <c r="J153" s="176">
        <f>IF(A153="","",IF(itens_Remanesc!E153="","",itens_Remanesc!E153))</f>
        <v/>
      </c>
      <c r="K153" s="182">
        <f>IF(A153="","",IF($Y153="","",IF($Y153&gt;1,"",IF(ISNUMBER(J153),ROUND(J153+H153,2),IF($Y153=1,ROUND(H153,2),"")))))</f>
        <v/>
      </c>
      <c r="L153" s="174">
        <f>IF(A153="","",ROUND(SUMIFS(aditivos!$L$2:$L$200,aditivos!$A$2:$A$200,A153,aditivos!$C$2:$C$200,"C2"),2))</f>
        <v/>
      </c>
      <c r="M153" s="170">
        <f>IF(A153="","",ROUND(I153+L153,2))</f>
        <v/>
      </c>
      <c r="N153" s="170">
        <f>IF(A153="","",IF(itens_Remanesc!G153="","",itens_Remanesc!G153))</f>
        <v/>
      </c>
      <c r="O153" s="178">
        <f>IF(A153="","",IF($Y153="","",IF($Y153&gt;2,"",IF(ISNUMBER(N153),ROUND(N153+L153,2),IF($Y153=2,ROUND(L153,2),"")))))</f>
        <v/>
      </c>
      <c r="P153" s="180">
        <f>IF(A153="","",ROUND(SUMIFS(aditivos!$L$2:$L$200,aditivos!$A$2:$A$200,A153,aditivos!$C$2:$C$200,"C3"),2))</f>
        <v/>
      </c>
      <c r="Q153" s="176">
        <f>IF(A153="","",ROUND(M153+P153,2))</f>
        <v/>
      </c>
      <c r="R153" s="176">
        <f>IF(A153="","",IF(itens_Remanesc!I153="","",itens_Remanesc!I153))</f>
        <v/>
      </c>
      <c r="S153" s="182">
        <f>IF(A153="","",IF($Y153="","",IF($Y153&gt;3,"",IF(ISNUMBER(R153),ROUND(R153+P153,2),IF($Y153=3,ROUND(P153,2),"")))))</f>
        <v/>
      </c>
      <c r="T153" s="174">
        <f>IF(A153="","",ROUND(SUMIFS(aditivos!$L$2:$L$200,aditivos!$A$2:$A$200,A153,aditivos!$C$2:$C$200,"C4"),2))</f>
        <v/>
      </c>
      <c r="U153" s="170">
        <f>IF(A153="","",ROUND(Q153+T153,2))</f>
        <v/>
      </c>
      <c r="V153" s="170">
        <f>IF(A153="","",IF(itens_Remanesc!K153="","",itens_Remanesc!K153))</f>
        <v/>
      </c>
      <c r="W153" s="170">
        <f>IF(A153="","",IF($Y153="","",IF($Y153&gt;4,"",IF(ISNUMBER(V153),ROUND(V153+T153,2),IF($Y153=4,ROUND(T153,2),"")))))</f>
        <v/>
      </c>
      <c r="X153" s="156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>
        <f>IF($A153="","",IF($E153&gt;0,0,IF($I153&gt;0,1,IF($M153&gt;0,2,IF($Q153&gt;0,3,IF($U153&gt;0,4,""))))))</f>
        <v/>
      </c>
      <c r="Z153">
        <f>IF($A153="",FALSE,AND(LEN(TRIM($A153))=4,LEFT(TRIM($A153),1)="N",ISNUMBER(--MID(TRIM($A153),2,3)),ISERROR(FIND(".",$A153)),ISERROR(FIND(",",$A153)),ISERROR(FIND("-",$A153)),ISERROR(FIND("+",$A153)),ISERROR(SEARCH("E",$A153,2)),ISERROR(FIND(" ",TRIM($A153)))))</f>
        <v/>
      </c>
    </row>
    <row r="154">
      <c r="A154" s="156">
        <f>IF(itens_Remanesc!A154="","",itens_Remanesc!A154)</f>
        <v/>
      </c>
      <c r="B154" s="218">
        <f>IF(A154="","",itens_Remanesc!C154)</f>
        <v/>
      </c>
      <c r="C154" s="172">
        <f>IF(A154="","",IF(itens_Remanesc!B154="",0,itens_Remanesc!B154))</f>
        <v/>
      </c>
      <c r="D154" s="174">
        <f>IF(A154="","",ROUND(SUMIFS(aditivos!$L$2:$L$200,aditivos!$A$2:$A$200,A154,aditivos!$C$2:$C$200,"C0"),2))</f>
        <v/>
      </c>
      <c r="E154" s="170">
        <f>IF(A154="","",ROUND(C154+D154,2))</f>
        <v/>
      </c>
      <c r="F154" s="170">
        <f>IF(A154="","",IF(itens_Remanesc!B154&lt;&gt;"",itens_Remanesc!B154,IF($Z154,0,"")))</f>
        <v/>
      </c>
      <c r="G154" s="178">
        <f>IF(A154="","",IF($Y154="","",IF($Y154&gt;0,"",ROUND(E154,2))))</f>
        <v/>
      </c>
      <c r="H154" s="180">
        <f>IF(A154="","",ROUND(SUMIFS(aditivos!$L$2:$L$200,aditivos!$A$2:$A$200,A154,aditivos!$C$2:$C$200,"C1"),2))</f>
        <v/>
      </c>
      <c r="I154" s="176">
        <f>IF(A154="","",ROUND(E154+H154,2))</f>
        <v/>
      </c>
      <c r="J154" s="176">
        <f>IF(A154="","",IF(itens_Remanesc!E154="","",itens_Remanesc!E154))</f>
        <v/>
      </c>
      <c r="K154" s="182">
        <f>IF(A154="","",IF($Y154="","",IF($Y154&gt;1,"",IF(ISNUMBER(J154),ROUND(J154+H154,2),IF($Y154=1,ROUND(H154,2),"")))))</f>
        <v/>
      </c>
      <c r="L154" s="174">
        <f>IF(A154="","",ROUND(SUMIFS(aditivos!$L$2:$L$200,aditivos!$A$2:$A$200,A154,aditivos!$C$2:$C$200,"C2"),2))</f>
        <v/>
      </c>
      <c r="M154" s="170">
        <f>IF(A154="","",ROUND(I154+L154,2))</f>
        <v/>
      </c>
      <c r="N154" s="170">
        <f>IF(A154="","",IF(itens_Remanesc!G154="","",itens_Remanesc!G154))</f>
        <v/>
      </c>
      <c r="O154" s="178">
        <f>IF(A154="","",IF($Y154="","",IF($Y154&gt;2,"",IF(ISNUMBER(N154),ROUND(N154+L154,2),IF($Y154=2,ROUND(L154,2),"")))))</f>
        <v/>
      </c>
      <c r="P154" s="180">
        <f>IF(A154="","",ROUND(SUMIFS(aditivos!$L$2:$L$200,aditivos!$A$2:$A$200,A154,aditivos!$C$2:$C$200,"C3"),2))</f>
        <v/>
      </c>
      <c r="Q154" s="176">
        <f>IF(A154="","",ROUND(M154+P154,2))</f>
        <v/>
      </c>
      <c r="R154" s="176">
        <f>IF(A154="","",IF(itens_Remanesc!I154="","",itens_Remanesc!I154))</f>
        <v/>
      </c>
      <c r="S154" s="182">
        <f>IF(A154="","",IF($Y154="","",IF($Y154&gt;3,"",IF(ISNUMBER(R154),ROUND(R154+P154,2),IF($Y154=3,ROUND(P154,2),"")))))</f>
        <v/>
      </c>
      <c r="T154" s="174">
        <f>IF(A154="","",ROUND(SUMIFS(aditivos!$L$2:$L$200,aditivos!$A$2:$A$200,A154,aditivos!$C$2:$C$200,"C4"),2))</f>
        <v/>
      </c>
      <c r="U154" s="170">
        <f>IF(A154="","",ROUND(Q154+T154,2))</f>
        <v/>
      </c>
      <c r="V154" s="170">
        <f>IF(A154="","",IF(itens_Remanesc!K154="","",itens_Remanesc!K154))</f>
        <v/>
      </c>
      <c r="W154" s="170">
        <f>IF(A154="","",IF($Y154="","",IF($Y154&gt;4,"",IF(ISNUMBER(V154),ROUND(V154+T154,2),IF($Y154=4,ROUND(T154,2),"")))))</f>
        <v/>
      </c>
      <c r="X154" s="156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>
        <f>IF($A154="","",IF($E154&gt;0,0,IF($I154&gt;0,1,IF($M154&gt;0,2,IF($Q154&gt;0,3,IF($U154&gt;0,4,""))))))</f>
        <v/>
      </c>
      <c r="Z154">
        <f>IF($A154="",FALSE,AND(LEN(TRIM($A154))=4,LEFT(TRIM($A154),1)="N",ISNUMBER(--MID(TRIM($A154),2,3)),ISERROR(FIND(".",$A154)),ISERROR(FIND(",",$A154)),ISERROR(FIND("-",$A154)),ISERROR(FIND("+",$A154)),ISERROR(SEARCH("E",$A154,2)),ISERROR(FIND(" ",TRIM($A154)))))</f>
        <v/>
      </c>
    </row>
    <row r="155">
      <c r="A155" s="156">
        <f>IF(itens_Remanesc!A155="","",itens_Remanesc!A155)</f>
        <v/>
      </c>
      <c r="B155" s="218">
        <f>IF(A155="","",itens_Remanesc!C155)</f>
        <v/>
      </c>
      <c r="C155" s="172">
        <f>IF(A155="","",IF(itens_Remanesc!B155="",0,itens_Remanesc!B155))</f>
        <v/>
      </c>
      <c r="D155" s="174">
        <f>IF(A155="","",ROUND(SUMIFS(aditivos!$L$2:$L$200,aditivos!$A$2:$A$200,A155,aditivos!$C$2:$C$200,"C0"),2))</f>
        <v/>
      </c>
      <c r="E155" s="170">
        <f>IF(A155="","",ROUND(C155+D155,2))</f>
        <v/>
      </c>
      <c r="F155" s="170">
        <f>IF(A155="","",IF(itens_Remanesc!B155&lt;&gt;"",itens_Remanesc!B155,IF($Z155,0,"")))</f>
        <v/>
      </c>
      <c r="G155" s="178">
        <f>IF(A155="","",IF($Y155="","",IF($Y155&gt;0,"",ROUND(E155,2))))</f>
        <v/>
      </c>
      <c r="H155" s="180">
        <f>IF(A155="","",ROUND(SUMIFS(aditivos!$L$2:$L$200,aditivos!$A$2:$A$200,A155,aditivos!$C$2:$C$200,"C1"),2))</f>
        <v/>
      </c>
      <c r="I155" s="176">
        <f>IF(A155="","",ROUND(E155+H155,2))</f>
        <v/>
      </c>
      <c r="J155" s="176">
        <f>IF(A155="","",IF(itens_Remanesc!E155="","",itens_Remanesc!E155))</f>
        <v/>
      </c>
      <c r="K155" s="182">
        <f>IF(A155="","",IF($Y155="","",IF($Y155&gt;1,"",IF(ISNUMBER(J155),ROUND(J155+H155,2),IF($Y155=1,ROUND(H155,2),"")))))</f>
        <v/>
      </c>
      <c r="L155" s="174">
        <f>IF(A155="","",ROUND(SUMIFS(aditivos!$L$2:$L$200,aditivos!$A$2:$A$200,A155,aditivos!$C$2:$C$200,"C2"),2))</f>
        <v/>
      </c>
      <c r="M155" s="170">
        <f>IF(A155="","",ROUND(I155+L155,2))</f>
        <v/>
      </c>
      <c r="N155" s="170">
        <f>IF(A155="","",IF(itens_Remanesc!G155="","",itens_Remanesc!G155))</f>
        <v/>
      </c>
      <c r="O155" s="178">
        <f>IF(A155="","",IF($Y155="","",IF($Y155&gt;2,"",IF(ISNUMBER(N155),ROUND(N155+L155,2),IF($Y155=2,ROUND(L155,2),"")))))</f>
        <v/>
      </c>
      <c r="P155" s="180">
        <f>IF(A155="","",ROUND(SUMIFS(aditivos!$L$2:$L$200,aditivos!$A$2:$A$200,A155,aditivos!$C$2:$C$200,"C3"),2))</f>
        <v/>
      </c>
      <c r="Q155" s="176">
        <f>IF(A155="","",ROUND(M155+P155,2))</f>
        <v/>
      </c>
      <c r="R155" s="176">
        <f>IF(A155="","",IF(itens_Remanesc!I155="","",itens_Remanesc!I155))</f>
        <v/>
      </c>
      <c r="S155" s="182">
        <f>IF(A155="","",IF($Y155="","",IF($Y155&gt;3,"",IF(ISNUMBER(R155),ROUND(R155+P155,2),IF($Y155=3,ROUND(P155,2),"")))))</f>
        <v/>
      </c>
      <c r="T155" s="174">
        <f>IF(A155="","",ROUND(SUMIFS(aditivos!$L$2:$L$200,aditivos!$A$2:$A$200,A155,aditivos!$C$2:$C$200,"C4"),2))</f>
        <v/>
      </c>
      <c r="U155" s="170">
        <f>IF(A155="","",ROUND(Q155+T155,2))</f>
        <v/>
      </c>
      <c r="V155" s="170">
        <f>IF(A155="","",IF(itens_Remanesc!K155="","",itens_Remanesc!K155))</f>
        <v/>
      </c>
      <c r="W155" s="170">
        <f>IF(A155="","",IF($Y155="","",IF($Y155&gt;4,"",IF(ISNUMBER(V155),ROUND(V155+T155,2),IF($Y155=4,ROUND(T155,2),"")))))</f>
        <v/>
      </c>
      <c r="X155" s="156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>
        <f>IF($A155="","",IF($E155&gt;0,0,IF($I155&gt;0,1,IF($M155&gt;0,2,IF($Q155&gt;0,3,IF($U155&gt;0,4,""))))))</f>
        <v/>
      </c>
      <c r="Z155">
        <f>IF($A155="",FALSE,AND(LEN(TRIM($A155))=4,LEFT(TRIM($A155),1)="N",ISNUMBER(--MID(TRIM($A155),2,3)),ISERROR(FIND(".",$A155)),ISERROR(FIND(",",$A155)),ISERROR(FIND("-",$A155)),ISERROR(FIND("+",$A155)),ISERROR(SEARCH("E",$A155,2)),ISERROR(FIND(" ",TRIM($A155)))))</f>
        <v/>
      </c>
    </row>
    <row r="156">
      <c r="A156" s="156">
        <f>IF(itens_Remanesc!A156="","",itens_Remanesc!A156)</f>
        <v/>
      </c>
      <c r="B156" s="218">
        <f>IF(A156="","",itens_Remanesc!C156)</f>
        <v/>
      </c>
      <c r="C156" s="172">
        <f>IF(A156="","",IF(itens_Remanesc!B156="",0,itens_Remanesc!B156))</f>
        <v/>
      </c>
      <c r="D156" s="174">
        <f>IF(A156="","",ROUND(SUMIFS(aditivos!$L$2:$L$200,aditivos!$A$2:$A$200,A156,aditivos!$C$2:$C$200,"C0"),2))</f>
        <v/>
      </c>
      <c r="E156" s="170">
        <f>IF(A156="","",ROUND(C156+D156,2))</f>
        <v/>
      </c>
      <c r="F156" s="170">
        <f>IF(A156="","",IF(itens_Remanesc!B156&lt;&gt;"",itens_Remanesc!B156,IF($Z156,0,"")))</f>
        <v/>
      </c>
      <c r="G156" s="178">
        <f>IF(A156="","",IF($Y156="","",IF($Y156&gt;0,"",ROUND(E156,2))))</f>
        <v/>
      </c>
      <c r="H156" s="180">
        <f>IF(A156="","",ROUND(SUMIFS(aditivos!$L$2:$L$200,aditivos!$A$2:$A$200,A156,aditivos!$C$2:$C$200,"C1"),2))</f>
        <v/>
      </c>
      <c r="I156" s="176">
        <f>IF(A156="","",ROUND(E156+H156,2))</f>
        <v/>
      </c>
      <c r="J156" s="176">
        <f>IF(A156="","",IF(itens_Remanesc!E156="","",itens_Remanesc!E156))</f>
        <v/>
      </c>
      <c r="K156" s="182">
        <f>IF(A156="","",IF($Y156="","",IF($Y156&gt;1,"",IF(ISNUMBER(J156),ROUND(J156+H156,2),IF($Y156=1,ROUND(H156,2),"")))))</f>
        <v/>
      </c>
      <c r="L156" s="174">
        <f>IF(A156="","",ROUND(SUMIFS(aditivos!$L$2:$L$200,aditivos!$A$2:$A$200,A156,aditivos!$C$2:$C$200,"C2"),2))</f>
        <v/>
      </c>
      <c r="M156" s="170">
        <f>IF(A156="","",ROUND(I156+L156,2))</f>
        <v/>
      </c>
      <c r="N156" s="170">
        <f>IF(A156="","",IF(itens_Remanesc!G156="","",itens_Remanesc!G156))</f>
        <v/>
      </c>
      <c r="O156" s="178">
        <f>IF(A156="","",IF($Y156="","",IF($Y156&gt;2,"",IF(ISNUMBER(N156),ROUND(N156+L156,2),IF($Y156=2,ROUND(L156,2),"")))))</f>
        <v/>
      </c>
      <c r="P156" s="180">
        <f>IF(A156="","",ROUND(SUMIFS(aditivos!$L$2:$L$200,aditivos!$A$2:$A$200,A156,aditivos!$C$2:$C$200,"C3"),2))</f>
        <v/>
      </c>
      <c r="Q156" s="176">
        <f>IF(A156="","",ROUND(M156+P156,2))</f>
        <v/>
      </c>
      <c r="R156" s="176">
        <f>IF(A156="","",IF(itens_Remanesc!I156="","",itens_Remanesc!I156))</f>
        <v/>
      </c>
      <c r="S156" s="182">
        <f>IF(A156="","",IF($Y156="","",IF($Y156&gt;3,"",IF(ISNUMBER(R156),ROUND(R156+P156,2),IF($Y156=3,ROUND(P156,2),"")))))</f>
        <v/>
      </c>
      <c r="T156" s="174">
        <f>IF(A156="","",ROUND(SUMIFS(aditivos!$L$2:$L$200,aditivos!$A$2:$A$200,A156,aditivos!$C$2:$C$200,"C4"),2))</f>
        <v/>
      </c>
      <c r="U156" s="170">
        <f>IF(A156="","",ROUND(Q156+T156,2))</f>
        <v/>
      </c>
      <c r="V156" s="170">
        <f>IF(A156="","",IF(itens_Remanesc!K156="","",itens_Remanesc!K156))</f>
        <v/>
      </c>
      <c r="W156" s="170">
        <f>IF(A156="","",IF($Y156="","",IF($Y156&gt;4,"",IF(ISNUMBER(V156),ROUND(V156+T156,2),IF($Y156=4,ROUND(T156,2),"")))))</f>
        <v/>
      </c>
      <c r="X156" s="156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>
        <f>IF($A156="","",IF($E156&gt;0,0,IF($I156&gt;0,1,IF($M156&gt;0,2,IF($Q156&gt;0,3,IF($U156&gt;0,4,""))))))</f>
        <v/>
      </c>
      <c r="Z156">
        <f>IF($A156="",FALSE,AND(LEN(TRIM($A156))=4,LEFT(TRIM($A156),1)="N",ISNUMBER(--MID(TRIM($A156),2,3)),ISERROR(FIND(".",$A156)),ISERROR(FIND(",",$A156)),ISERROR(FIND("-",$A156)),ISERROR(FIND("+",$A156)),ISERROR(SEARCH("E",$A156,2)),ISERROR(FIND(" ",TRIM($A156)))))</f>
        <v/>
      </c>
    </row>
    <row r="157">
      <c r="A157" s="156">
        <f>IF(itens_Remanesc!A157="","",itens_Remanesc!A157)</f>
        <v/>
      </c>
      <c r="B157" s="218">
        <f>IF(A157="","",itens_Remanesc!C157)</f>
        <v/>
      </c>
      <c r="C157" s="172">
        <f>IF(A157="","",IF(itens_Remanesc!B157="",0,itens_Remanesc!B157))</f>
        <v/>
      </c>
      <c r="D157" s="174">
        <f>IF(A157="","",ROUND(SUMIFS(aditivos!$L$2:$L$200,aditivos!$A$2:$A$200,A157,aditivos!$C$2:$C$200,"C0"),2))</f>
        <v/>
      </c>
      <c r="E157" s="170">
        <f>IF(A157="","",ROUND(C157+D157,2))</f>
        <v/>
      </c>
      <c r="F157" s="170">
        <f>IF(A157="","",IF(itens_Remanesc!B157&lt;&gt;"",itens_Remanesc!B157,IF($Z157,0,"")))</f>
        <v/>
      </c>
      <c r="G157" s="178">
        <f>IF(A157="","",IF($Y157="","",IF($Y157&gt;0,"",ROUND(E157,2))))</f>
        <v/>
      </c>
      <c r="H157" s="180">
        <f>IF(A157="","",ROUND(SUMIFS(aditivos!$L$2:$L$200,aditivos!$A$2:$A$200,A157,aditivos!$C$2:$C$200,"C1"),2))</f>
        <v/>
      </c>
      <c r="I157" s="176">
        <f>IF(A157="","",ROUND(E157+H157,2))</f>
        <v/>
      </c>
      <c r="J157" s="176">
        <f>IF(A157="","",IF(itens_Remanesc!E157="","",itens_Remanesc!E157))</f>
        <v/>
      </c>
      <c r="K157" s="182">
        <f>IF(A157="","",IF($Y157="","",IF($Y157&gt;1,"",IF(ISNUMBER(J157),ROUND(J157+H157,2),IF($Y157=1,ROUND(H157,2),"")))))</f>
        <v/>
      </c>
      <c r="L157" s="174">
        <f>IF(A157="","",ROUND(SUMIFS(aditivos!$L$2:$L$200,aditivos!$A$2:$A$200,A157,aditivos!$C$2:$C$200,"C2"),2))</f>
        <v/>
      </c>
      <c r="M157" s="170">
        <f>IF(A157="","",ROUND(I157+L157,2))</f>
        <v/>
      </c>
      <c r="N157" s="170">
        <f>IF(A157="","",IF(itens_Remanesc!G157="","",itens_Remanesc!G157))</f>
        <v/>
      </c>
      <c r="O157" s="178">
        <f>IF(A157="","",IF($Y157="","",IF($Y157&gt;2,"",IF(ISNUMBER(N157),ROUND(N157+L157,2),IF($Y157=2,ROUND(L157,2),"")))))</f>
        <v/>
      </c>
      <c r="P157" s="180">
        <f>IF(A157="","",ROUND(SUMIFS(aditivos!$L$2:$L$200,aditivos!$A$2:$A$200,A157,aditivos!$C$2:$C$200,"C3"),2))</f>
        <v/>
      </c>
      <c r="Q157" s="176">
        <f>IF(A157="","",ROUND(M157+P157,2))</f>
        <v/>
      </c>
      <c r="R157" s="176">
        <f>IF(A157="","",IF(itens_Remanesc!I157="","",itens_Remanesc!I157))</f>
        <v/>
      </c>
      <c r="S157" s="182">
        <f>IF(A157="","",IF($Y157="","",IF($Y157&gt;3,"",IF(ISNUMBER(R157),ROUND(R157+P157,2),IF($Y157=3,ROUND(P157,2),"")))))</f>
        <v/>
      </c>
      <c r="T157" s="174">
        <f>IF(A157="","",ROUND(SUMIFS(aditivos!$L$2:$L$200,aditivos!$A$2:$A$200,A157,aditivos!$C$2:$C$200,"C4"),2))</f>
        <v/>
      </c>
      <c r="U157" s="170">
        <f>IF(A157="","",ROUND(Q157+T157,2))</f>
        <v/>
      </c>
      <c r="V157" s="170">
        <f>IF(A157="","",IF(itens_Remanesc!K157="","",itens_Remanesc!K157))</f>
        <v/>
      </c>
      <c r="W157" s="170">
        <f>IF(A157="","",IF($Y157="","",IF($Y157&gt;4,"",IF(ISNUMBER(V157),ROUND(V157+T157,2),IF($Y157=4,ROUND(T157,2),"")))))</f>
        <v/>
      </c>
      <c r="X157" s="156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>
        <f>IF($A157="","",IF($E157&gt;0,0,IF($I157&gt;0,1,IF($M157&gt;0,2,IF($Q157&gt;0,3,IF($U157&gt;0,4,""))))))</f>
        <v/>
      </c>
      <c r="Z157">
        <f>IF($A157="",FALSE,AND(LEN(TRIM($A157))=4,LEFT(TRIM($A157),1)="N",ISNUMBER(--MID(TRIM($A157),2,3)),ISERROR(FIND(".",$A157)),ISERROR(FIND(",",$A157)),ISERROR(FIND("-",$A157)),ISERROR(FIND("+",$A157)),ISERROR(SEARCH("E",$A157,2)),ISERROR(FIND(" ",TRIM($A157)))))</f>
        <v/>
      </c>
    </row>
    <row r="158">
      <c r="A158" s="156">
        <f>IF(itens_Remanesc!A158="","",itens_Remanesc!A158)</f>
        <v/>
      </c>
      <c r="B158" s="218">
        <f>IF(A158="","",itens_Remanesc!C158)</f>
        <v/>
      </c>
      <c r="C158" s="172">
        <f>IF(A158="","",IF(itens_Remanesc!B158="",0,itens_Remanesc!B158))</f>
        <v/>
      </c>
      <c r="D158" s="174">
        <f>IF(A158="","",ROUND(SUMIFS(aditivos!$L$2:$L$200,aditivos!$A$2:$A$200,A158,aditivos!$C$2:$C$200,"C0"),2))</f>
        <v/>
      </c>
      <c r="E158" s="170">
        <f>IF(A158="","",ROUND(C158+D158,2))</f>
        <v/>
      </c>
      <c r="F158" s="170">
        <f>IF(A158="","",IF(itens_Remanesc!B158&lt;&gt;"",itens_Remanesc!B158,IF($Z158,0,"")))</f>
        <v/>
      </c>
      <c r="G158" s="178">
        <f>IF(A158="","",IF($Y158="","",IF($Y158&gt;0,"",ROUND(E158,2))))</f>
        <v/>
      </c>
      <c r="H158" s="180">
        <f>IF(A158="","",ROUND(SUMIFS(aditivos!$L$2:$L$200,aditivos!$A$2:$A$200,A158,aditivos!$C$2:$C$200,"C1"),2))</f>
        <v/>
      </c>
      <c r="I158" s="176">
        <f>IF(A158="","",ROUND(E158+H158,2))</f>
        <v/>
      </c>
      <c r="J158" s="176">
        <f>IF(A158="","",IF(itens_Remanesc!E158="","",itens_Remanesc!E158))</f>
        <v/>
      </c>
      <c r="K158" s="182">
        <f>IF(A158="","",IF($Y158="","",IF($Y158&gt;1,"",IF(ISNUMBER(J158),ROUND(J158+H158,2),IF($Y158=1,ROUND(H158,2),"")))))</f>
        <v/>
      </c>
      <c r="L158" s="174">
        <f>IF(A158="","",ROUND(SUMIFS(aditivos!$L$2:$L$200,aditivos!$A$2:$A$200,A158,aditivos!$C$2:$C$200,"C2"),2))</f>
        <v/>
      </c>
      <c r="M158" s="170">
        <f>IF(A158="","",ROUND(I158+L158,2))</f>
        <v/>
      </c>
      <c r="N158" s="170">
        <f>IF(A158="","",IF(itens_Remanesc!G158="","",itens_Remanesc!G158))</f>
        <v/>
      </c>
      <c r="O158" s="178">
        <f>IF(A158="","",IF($Y158="","",IF($Y158&gt;2,"",IF(ISNUMBER(N158),ROUND(N158+L158,2),IF($Y158=2,ROUND(L158,2),"")))))</f>
        <v/>
      </c>
      <c r="P158" s="180">
        <f>IF(A158="","",ROUND(SUMIFS(aditivos!$L$2:$L$200,aditivos!$A$2:$A$200,A158,aditivos!$C$2:$C$200,"C3"),2))</f>
        <v/>
      </c>
      <c r="Q158" s="176">
        <f>IF(A158="","",ROUND(M158+P158,2))</f>
        <v/>
      </c>
      <c r="R158" s="176">
        <f>IF(A158="","",IF(itens_Remanesc!I158="","",itens_Remanesc!I158))</f>
        <v/>
      </c>
      <c r="S158" s="182">
        <f>IF(A158="","",IF($Y158="","",IF($Y158&gt;3,"",IF(ISNUMBER(R158),ROUND(R158+P158,2),IF($Y158=3,ROUND(P158,2),"")))))</f>
        <v/>
      </c>
      <c r="T158" s="174">
        <f>IF(A158="","",ROUND(SUMIFS(aditivos!$L$2:$L$200,aditivos!$A$2:$A$200,A158,aditivos!$C$2:$C$200,"C4"),2))</f>
        <v/>
      </c>
      <c r="U158" s="170">
        <f>IF(A158="","",ROUND(Q158+T158,2))</f>
        <v/>
      </c>
      <c r="V158" s="170">
        <f>IF(A158="","",IF(itens_Remanesc!K158="","",itens_Remanesc!K158))</f>
        <v/>
      </c>
      <c r="W158" s="170">
        <f>IF(A158="","",IF($Y158="","",IF($Y158&gt;4,"",IF(ISNUMBER(V158),ROUND(V158+T158,2),IF($Y158=4,ROUND(T158,2),"")))))</f>
        <v/>
      </c>
      <c r="X158" s="156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>
        <f>IF($A158="","",IF($E158&gt;0,0,IF($I158&gt;0,1,IF($M158&gt;0,2,IF($Q158&gt;0,3,IF($U158&gt;0,4,""))))))</f>
        <v/>
      </c>
      <c r="Z158">
        <f>IF($A158="",FALSE,AND(LEN(TRIM($A158))=4,LEFT(TRIM($A158),1)="N",ISNUMBER(--MID(TRIM($A158),2,3)),ISERROR(FIND(".",$A158)),ISERROR(FIND(",",$A158)),ISERROR(FIND("-",$A158)),ISERROR(FIND("+",$A158)),ISERROR(SEARCH("E",$A158,2)),ISERROR(FIND(" ",TRIM($A158)))))</f>
        <v/>
      </c>
    </row>
    <row r="159">
      <c r="A159" s="156">
        <f>IF(itens_Remanesc!A159="","",itens_Remanesc!A159)</f>
        <v/>
      </c>
      <c r="B159" s="218">
        <f>IF(A159="","",itens_Remanesc!C159)</f>
        <v/>
      </c>
      <c r="C159" s="172">
        <f>IF(A159="","",IF(itens_Remanesc!B159="",0,itens_Remanesc!B159))</f>
        <v/>
      </c>
      <c r="D159" s="174">
        <f>IF(A159="","",ROUND(SUMIFS(aditivos!$L$2:$L$200,aditivos!$A$2:$A$200,A159,aditivos!$C$2:$C$200,"C0"),2))</f>
        <v/>
      </c>
      <c r="E159" s="170">
        <f>IF(A159="","",ROUND(C159+D159,2))</f>
        <v/>
      </c>
      <c r="F159" s="170">
        <f>IF(A159="","",IF(itens_Remanesc!B159&lt;&gt;"",itens_Remanesc!B159,IF($Z159,0,"")))</f>
        <v/>
      </c>
      <c r="G159" s="178">
        <f>IF(A159="","",IF($Y159="","",IF($Y159&gt;0,"",ROUND(E159,2))))</f>
        <v/>
      </c>
      <c r="H159" s="180">
        <f>IF(A159="","",ROUND(SUMIFS(aditivos!$L$2:$L$200,aditivos!$A$2:$A$200,A159,aditivos!$C$2:$C$200,"C1"),2))</f>
        <v/>
      </c>
      <c r="I159" s="176">
        <f>IF(A159="","",ROUND(E159+H159,2))</f>
        <v/>
      </c>
      <c r="J159" s="176">
        <f>IF(A159="","",IF(itens_Remanesc!E159="","",itens_Remanesc!E159))</f>
        <v/>
      </c>
      <c r="K159" s="182">
        <f>IF(A159="","",IF($Y159="","",IF($Y159&gt;1,"",IF(ISNUMBER(J159),ROUND(J159+H159,2),IF($Y159=1,ROUND(H159,2),"")))))</f>
        <v/>
      </c>
      <c r="L159" s="174">
        <f>IF(A159="","",ROUND(SUMIFS(aditivos!$L$2:$L$200,aditivos!$A$2:$A$200,A159,aditivos!$C$2:$C$200,"C2"),2))</f>
        <v/>
      </c>
      <c r="M159" s="170">
        <f>IF(A159="","",ROUND(I159+L159,2))</f>
        <v/>
      </c>
      <c r="N159" s="170">
        <f>IF(A159="","",IF(itens_Remanesc!G159="","",itens_Remanesc!G159))</f>
        <v/>
      </c>
      <c r="O159" s="178">
        <f>IF(A159="","",IF($Y159="","",IF($Y159&gt;2,"",IF(ISNUMBER(N159),ROUND(N159+L159,2),IF($Y159=2,ROUND(L159,2),"")))))</f>
        <v/>
      </c>
      <c r="P159" s="180">
        <f>IF(A159="","",ROUND(SUMIFS(aditivos!$L$2:$L$200,aditivos!$A$2:$A$200,A159,aditivos!$C$2:$C$200,"C3"),2))</f>
        <v/>
      </c>
      <c r="Q159" s="176">
        <f>IF(A159="","",ROUND(M159+P159,2))</f>
        <v/>
      </c>
      <c r="R159" s="176">
        <f>IF(A159="","",IF(itens_Remanesc!I159="","",itens_Remanesc!I159))</f>
        <v/>
      </c>
      <c r="S159" s="182">
        <f>IF(A159="","",IF($Y159="","",IF($Y159&gt;3,"",IF(ISNUMBER(R159),ROUND(R159+P159,2),IF($Y159=3,ROUND(P159,2),"")))))</f>
        <v/>
      </c>
      <c r="T159" s="174">
        <f>IF(A159="","",ROUND(SUMIFS(aditivos!$L$2:$L$200,aditivos!$A$2:$A$200,A159,aditivos!$C$2:$C$200,"C4"),2))</f>
        <v/>
      </c>
      <c r="U159" s="170">
        <f>IF(A159="","",ROUND(Q159+T159,2))</f>
        <v/>
      </c>
      <c r="V159" s="170">
        <f>IF(A159="","",IF(itens_Remanesc!K159="","",itens_Remanesc!K159))</f>
        <v/>
      </c>
      <c r="W159" s="170">
        <f>IF(A159="","",IF($Y159="","",IF($Y159&gt;4,"",IF(ISNUMBER(V159),ROUND(V159+T159,2),IF($Y159=4,ROUND(T159,2),"")))))</f>
        <v/>
      </c>
      <c r="X159" s="156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>
        <f>IF($A159="","",IF($E159&gt;0,0,IF($I159&gt;0,1,IF($M159&gt;0,2,IF($Q159&gt;0,3,IF($U159&gt;0,4,""))))))</f>
        <v/>
      </c>
      <c r="Z159">
        <f>IF($A159="",FALSE,AND(LEN(TRIM($A159))=4,LEFT(TRIM($A159),1)="N",ISNUMBER(--MID(TRIM($A159),2,3)),ISERROR(FIND(".",$A159)),ISERROR(FIND(",",$A159)),ISERROR(FIND("-",$A159)),ISERROR(FIND("+",$A159)),ISERROR(SEARCH("E",$A159,2)),ISERROR(FIND(" ",TRIM($A159)))))</f>
        <v/>
      </c>
    </row>
    <row r="160">
      <c r="A160" s="156">
        <f>IF(itens_Remanesc!A160="","",itens_Remanesc!A160)</f>
        <v/>
      </c>
      <c r="B160" s="218">
        <f>IF(A160="","",itens_Remanesc!C160)</f>
        <v/>
      </c>
      <c r="C160" s="172">
        <f>IF(A160="","",IF(itens_Remanesc!B160="",0,itens_Remanesc!B160))</f>
        <v/>
      </c>
      <c r="D160" s="174">
        <f>IF(A160="","",ROUND(SUMIFS(aditivos!$L$2:$L$200,aditivos!$A$2:$A$200,A160,aditivos!$C$2:$C$200,"C0"),2))</f>
        <v/>
      </c>
      <c r="E160" s="170">
        <f>IF(A160="","",ROUND(C160+D160,2))</f>
        <v/>
      </c>
      <c r="F160" s="170">
        <f>IF(A160="","",IF(itens_Remanesc!B160&lt;&gt;"",itens_Remanesc!B160,IF($Z160,0,"")))</f>
        <v/>
      </c>
      <c r="G160" s="178">
        <f>IF(A160="","",IF($Y160="","",IF($Y160&gt;0,"",ROUND(E160,2))))</f>
        <v/>
      </c>
      <c r="H160" s="180">
        <f>IF(A160="","",ROUND(SUMIFS(aditivos!$L$2:$L$200,aditivos!$A$2:$A$200,A160,aditivos!$C$2:$C$200,"C1"),2))</f>
        <v/>
      </c>
      <c r="I160" s="176">
        <f>IF(A160="","",ROUND(E160+H160,2))</f>
        <v/>
      </c>
      <c r="J160" s="176">
        <f>IF(A160="","",IF(itens_Remanesc!E160="","",itens_Remanesc!E160))</f>
        <v/>
      </c>
      <c r="K160" s="182">
        <f>IF(A160="","",IF($Y160="","",IF($Y160&gt;1,"",IF(ISNUMBER(J160),ROUND(J160+H160,2),IF($Y160=1,ROUND(H160,2),"")))))</f>
        <v/>
      </c>
      <c r="L160" s="174">
        <f>IF(A160="","",ROUND(SUMIFS(aditivos!$L$2:$L$200,aditivos!$A$2:$A$200,A160,aditivos!$C$2:$C$200,"C2"),2))</f>
        <v/>
      </c>
      <c r="M160" s="170">
        <f>IF(A160="","",ROUND(I160+L160,2))</f>
        <v/>
      </c>
      <c r="N160" s="170">
        <f>IF(A160="","",IF(itens_Remanesc!G160="","",itens_Remanesc!G160))</f>
        <v/>
      </c>
      <c r="O160" s="178">
        <f>IF(A160="","",IF($Y160="","",IF($Y160&gt;2,"",IF(ISNUMBER(N160),ROUND(N160+L160,2),IF($Y160=2,ROUND(L160,2),"")))))</f>
        <v/>
      </c>
      <c r="P160" s="180">
        <f>IF(A160="","",ROUND(SUMIFS(aditivos!$L$2:$L$200,aditivos!$A$2:$A$200,A160,aditivos!$C$2:$C$200,"C3"),2))</f>
        <v/>
      </c>
      <c r="Q160" s="176">
        <f>IF(A160="","",ROUND(M160+P160,2))</f>
        <v/>
      </c>
      <c r="R160" s="176">
        <f>IF(A160="","",IF(itens_Remanesc!I160="","",itens_Remanesc!I160))</f>
        <v/>
      </c>
      <c r="S160" s="182">
        <f>IF(A160="","",IF($Y160="","",IF($Y160&gt;3,"",IF(ISNUMBER(R160),ROUND(R160+P160,2),IF($Y160=3,ROUND(P160,2),"")))))</f>
        <v/>
      </c>
      <c r="T160" s="174">
        <f>IF(A160="","",ROUND(SUMIFS(aditivos!$L$2:$L$200,aditivos!$A$2:$A$200,A160,aditivos!$C$2:$C$200,"C4"),2))</f>
        <v/>
      </c>
      <c r="U160" s="170">
        <f>IF(A160="","",ROUND(Q160+T160,2))</f>
        <v/>
      </c>
      <c r="V160" s="170">
        <f>IF(A160="","",IF(itens_Remanesc!K160="","",itens_Remanesc!K160))</f>
        <v/>
      </c>
      <c r="W160" s="170">
        <f>IF(A160="","",IF($Y160="","",IF($Y160&gt;4,"",IF(ISNUMBER(V160),ROUND(V160+T160,2),IF($Y160=4,ROUND(T160,2),"")))))</f>
        <v/>
      </c>
      <c r="X160" s="156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>
        <f>IF($A160="","",IF($E160&gt;0,0,IF($I160&gt;0,1,IF($M160&gt;0,2,IF($Q160&gt;0,3,IF($U160&gt;0,4,""))))))</f>
        <v/>
      </c>
      <c r="Z160">
        <f>IF($A160="",FALSE,AND(LEN(TRIM($A160))=4,LEFT(TRIM($A160),1)="N",ISNUMBER(--MID(TRIM($A160),2,3)),ISERROR(FIND(".",$A160)),ISERROR(FIND(",",$A160)),ISERROR(FIND("-",$A160)),ISERROR(FIND("+",$A160)),ISERROR(SEARCH("E",$A160,2)),ISERROR(FIND(" ",TRIM($A160)))))</f>
        <v/>
      </c>
    </row>
    <row r="161">
      <c r="A161" s="156">
        <f>IF(itens_Remanesc!A161="","",itens_Remanesc!A161)</f>
        <v/>
      </c>
      <c r="B161" s="218">
        <f>IF(A161="","",itens_Remanesc!C161)</f>
        <v/>
      </c>
      <c r="C161" s="172">
        <f>IF(A161="","",IF(itens_Remanesc!B161="",0,itens_Remanesc!B161))</f>
        <v/>
      </c>
      <c r="D161" s="174">
        <f>IF(A161="","",ROUND(SUMIFS(aditivos!$L$2:$L$200,aditivos!$A$2:$A$200,A161,aditivos!$C$2:$C$200,"C0"),2))</f>
        <v/>
      </c>
      <c r="E161" s="170">
        <f>IF(A161="","",ROUND(C161+D161,2))</f>
        <v/>
      </c>
      <c r="F161" s="170">
        <f>IF(A161="","",IF(itens_Remanesc!B161&lt;&gt;"",itens_Remanesc!B161,IF($Z161,0,"")))</f>
        <v/>
      </c>
      <c r="G161" s="178">
        <f>IF(A161="","",IF($Y161="","",IF($Y161&gt;0,"",ROUND(E161,2))))</f>
        <v/>
      </c>
      <c r="H161" s="180">
        <f>IF(A161="","",ROUND(SUMIFS(aditivos!$L$2:$L$200,aditivos!$A$2:$A$200,A161,aditivos!$C$2:$C$200,"C1"),2))</f>
        <v/>
      </c>
      <c r="I161" s="176">
        <f>IF(A161="","",ROUND(E161+H161,2))</f>
        <v/>
      </c>
      <c r="J161" s="176">
        <f>IF(A161="","",IF(itens_Remanesc!E161="","",itens_Remanesc!E161))</f>
        <v/>
      </c>
      <c r="K161" s="182">
        <f>IF(A161="","",IF($Y161="","",IF($Y161&gt;1,"",IF(ISNUMBER(J161),ROUND(J161+H161,2),IF($Y161=1,ROUND(H161,2),"")))))</f>
        <v/>
      </c>
      <c r="L161" s="174">
        <f>IF(A161="","",ROUND(SUMIFS(aditivos!$L$2:$L$200,aditivos!$A$2:$A$200,A161,aditivos!$C$2:$C$200,"C2"),2))</f>
        <v/>
      </c>
      <c r="M161" s="170">
        <f>IF(A161="","",ROUND(I161+L161,2))</f>
        <v/>
      </c>
      <c r="N161" s="170">
        <f>IF(A161="","",IF(itens_Remanesc!G161="","",itens_Remanesc!G161))</f>
        <v/>
      </c>
      <c r="O161" s="178">
        <f>IF(A161="","",IF($Y161="","",IF($Y161&gt;2,"",IF(ISNUMBER(N161),ROUND(N161+L161,2),IF($Y161=2,ROUND(L161,2),"")))))</f>
        <v/>
      </c>
      <c r="P161" s="180">
        <f>IF(A161="","",ROUND(SUMIFS(aditivos!$L$2:$L$200,aditivos!$A$2:$A$200,A161,aditivos!$C$2:$C$200,"C3"),2))</f>
        <v/>
      </c>
      <c r="Q161" s="176">
        <f>IF(A161="","",ROUND(M161+P161,2))</f>
        <v/>
      </c>
      <c r="R161" s="176">
        <f>IF(A161="","",IF(itens_Remanesc!I161="","",itens_Remanesc!I161))</f>
        <v/>
      </c>
      <c r="S161" s="182">
        <f>IF(A161="","",IF($Y161="","",IF($Y161&gt;3,"",IF(ISNUMBER(R161),ROUND(R161+P161,2),IF($Y161=3,ROUND(P161,2),"")))))</f>
        <v/>
      </c>
      <c r="T161" s="174">
        <f>IF(A161="","",ROUND(SUMIFS(aditivos!$L$2:$L$200,aditivos!$A$2:$A$200,A161,aditivos!$C$2:$C$200,"C4"),2))</f>
        <v/>
      </c>
      <c r="U161" s="170">
        <f>IF(A161="","",ROUND(Q161+T161,2))</f>
        <v/>
      </c>
      <c r="V161" s="170">
        <f>IF(A161="","",IF(itens_Remanesc!K161="","",itens_Remanesc!K161))</f>
        <v/>
      </c>
      <c r="W161" s="170">
        <f>IF(A161="","",IF($Y161="","",IF($Y161&gt;4,"",IF(ISNUMBER(V161),ROUND(V161+T161,2),IF($Y161=4,ROUND(T161,2),"")))))</f>
        <v/>
      </c>
      <c r="X161" s="156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>
        <f>IF($A161="","",IF($E161&gt;0,0,IF($I161&gt;0,1,IF($M161&gt;0,2,IF($Q161&gt;0,3,IF($U161&gt;0,4,""))))))</f>
        <v/>
      </c>
      <c r="Z161">
        <f>IF($A161="",FALSE,AND(LEN(TRIM($A161))=4,LEFT(TRIM($A161),1)="N",ISNUMBER(--MID(TRIM($A161),2,3)),ISERROR(FIND(".",$A161)),ISERROR(FIND(",",$A161)),ISERROR(FIND("-",$A161)),ISERROR(FIND("+",$A161)),ISERROR(SEARCH("E",$A161,2)),ISERROR(FIND(" ",TRIM($A161)))))</f>
        <v/>
      </c>
    </row>
    <row r="162">
      <c r="A162" s="156">
        <f>IF(itens_Remanesc!A162="","",itens_Remanesc!A162)</f>
        <v/>
      </c>
      <c r="B162" s="218">
        <f>IF(A162="","",itens_Remanesc!C162)</f>
        <v/>
      </c>
      <c r="C162" s="172">
        <f>IF(A162="","",IF(itens_Remanesc!B162="",0,itens_Remanesc!B162))</f>
        <v/>
      </c>
      <c r="D162" s="174">
        <f>IF(A162="","",ROUND(SUMIFS(aditivos!$L$2:$L$200,aditivos!$A$2:$A$200,A162,aditivos!$C$2:$C$200,"C0"),2))</f>
        <v/>
      </c>
      <c r="E162" s="170">
        <f>IF(A162="","",ROUND(C162+D162,2))</f>
        <v/>
      </c>
      <c r="F162" s="170">
        <f>IF(A162="","",IF(itens_Remanesc!B162&lt;&gt;"",itens_Remanesc!B162,IF($Z162,0,"")))</f>
        <v/>
      </c>
      <c r="G162" s="178">
        <f>IF(A162="","",IF($Y162="","",IF($Y162&gt;0,"",ROUND(E162,2))))</f>
        <v/>
      </c>
      <c r="H162" s="180">
        <f>IF(A162="","",ROUND(SUMIFS(aditivos!$L$2:$L$200,aditivos!$A$2:$A$200,A162,aditivos!$C$2:$C$200,"C1"),2))</f>
        <v/>
      </c>
      <c r="I162" s="176">
        <f>IF(A162="","",ROUND(E162+H162,2))</f>
        <v/>
      </c>
      <c r="J162" s="176">
        <f>IF(A162="","",IF(itens_Remanesc!E162="","",itens_Remanesc!E162))</f>
        <v/>
      </c>
      <c r="K162" s="182">
        <f>IF(A162="","",IF($Y162="","",IF($Y162&gt;1,"",IF(ISNUMBER(J162),ROUND(J162+H162,2),IF($Y162=1,ROUND(H162,2),"")))))</f>
        <v/>
      </c>
      <c r="L162" s="174">
        <f>IF(A162="","",ROUND(SUMIFS(aditivos!$L$2:$L$200,aditivos!$A$2:$A$200,A162,aditivos!$C$2:$C$200,"C2"),2))</f>
        <v/>
      </c>
      <c r="M162" s="170">
        <f>IF(A162="","",ROUND(I162+L162,2))</f>
        <v/>
      </c>
      <c r="N162" s="170">
        <f>IF(A162="","",IF(itens_Remanesc!G162="","",itens_Remanesc!G162))</f>
        <v/>
      </c>
      <c r="O162" s="178">
        <f>IF(A162="","",IF($Y162="","",IF($Y162&gt;2,"",IF(ISNUMBER(N162),ROUND(N162+L162,2),IF($Y162=2,ROUND(L162,2),"")))))</f>
        <v/>
      </c>
      <c r="P162" s="180">
        <f>IF(A162="","",ROUND(SUMIFS(aditivos!$L$2:$L$200,aditivos!$A$2:$A$200,A162,aditivos!$C$2:$C$200,"C3"),2))</f>
        <v/>
      </c>
      <c r="Q162" s="176">
        <f>IF(A162="","",ROUND(M162+P162,2))</f>
        <v/>
      </c>
      <c r="R162" s="176">
        <f>IF(A162="","",IF(itens_Remanesc!I162="","",itens_Remanesc!I162))</f>
        <v/>
      </c>
      <c r="S162" s="182">
        <f>IF(A162="","",IF($Y162="","",IF($Y162&gt;3,"",IF(ISNUMBER(R162),ROUND(R162+P162,2),IF($Y162=3,ROUND(P162,2),"")))))</f>
        <v/>
      </c>
      <c r="T162" s="174">
        <f>IF(A162="","",ROUND(SUMIFS(aditivos!$L$2:$L$200,aditivos!$A$2:$A$200,A162,aditivos!$C$2:$C$200,"C4"),2))</f>
        <v/>
      </c>
      <c r="U162" s="170">
        <f>IF(A162="","",ROUND(Q162+T162,2))</f>
        <v/>
      </c>
      <c r="V162" s="170">
        <f>IF(A162="","",IF(itens_Remanesc!K162="","",itens_Remanesc!K162))</f>
        <v/>
      </c>
      <c r="W162" s="170">
        <f>IF(A162="","",IF($Y162="","",IF($Y162&gt;4,"",IF(ISNUMBER(V162),ROUND(V162+T162,2),IF($Y162=4,ROUND(T162,2),"")))))</f>
        <v/>
      </c>
      <c r="X162" s="156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>
        <f>IF($A162="","",IF($E162&gt;0,0,IF($I162&gt;0,1,IF($M162&gt;0,2,IF($Q162&gt;0,3,IF($U162&gt;0,4,""))))))</f>
        <v/>
      </c>
      <c r="Z162">
        <f>IF($A162="",FALSE,AND(LEN(TRIM($A162))=4,LEFT(TRIM($A162),1)="N",ISNUMBER(--MID(TRIM($A162),2,3)),ISERROR(FIND(".",$A162)),ISERROR(FIND(",",$A162)),ISERROR(FIND("-",$A162)),ISERROR(FIND("+",$A162)),ISERROR(SEARCH("E",$A162,2)),ISERROR(FIND(" ",TRIM($A162)))))</f>
        <v/>
      </c>
    </row>
    <row r="163">
      <c r="A163" s="156">
        <f>IF(itens_Remanesc!A163="","",itens_Remanesc!A163)</f>
        <v/>
      </c>
      <c r="B163" s="218">
        <f>IF(A163="","",itens_Remanesc!C163)</f>
        <v/>
      </c>
      <c r="C163" s="172">
        <f>IF(A163="","",IF(itens_Remanesc!B163="",0,itens_Remanesc!B163))</f>
        <v/>
      </c>
      <c r="D163" s="174">
        <f>IF(A163="","",ROUND(SUMIFS(aditivos!$L$2:$L$200,aditivos!$A$2:$A$200,A163,aditivos!$C$2:$C$200,"C0"),2))</f>
        <v/>
      </c>
      <c r="E163" s="170">
        <f>IF(A163="","",ROUND(C163+D163,2))</f>
        <v/>
      </c>
      <c r="F163" s="170">
        <f>IF(A163="","",IF(itens_Remanesc!B163&lt;&gt;"",itens_Remanesc!B163,IF($Z163,0,"")))</f>
        <v/>
      </c>
      <c r="G163" s="178">
        <f>IF(A163="","",IF($Y163="","",IF($Y163&gt;0,"",ROUND(E163,2))))</f>
        <v/>
      </c>
      <c r="H163" s="180">
        <f>IF(A163="","",ROUND(SUMIFS(aditivos!$L$2:$L$200,aditivos!$A$2:$A$200,A163,aditivos!$C$2:$C$200,"C1"),2))</f>
        <v/>
      </c>
      <c r="I163" s="176">
        <f>IF(A163="","",ROUND(E163+H163,2))</f>
        <v/>
      </c>
      <c r="J163" s="176">
        <f>IF(A163="","",IF(itens_Remanesc!E163="","",itens_Remanesc!E163))</f>
        <v/>
      </c>
      <c r="K163" s="182">
        <f>IF(A163="","",IF($Y163="","",IF($Y163&gt;1,"",IF(ISNUMBER(J163),ROUND(J163+H163,2),IF($Y163=1,ROUND(H163,2),"")))))</f>
        <v/>
      </c>
      <c r="L163" s="174">
        <f>IF(A163="","",ROUND(SUMIFS(aditivos!$L$2:$L$200,aditivos!$A$2:$A$200,A163,aditivos!$C$2:$C$200,"C2"),2))</f>
        <v/>
      </c>
      <c r="M163" s="170">
        <f>IF(A163="","",ROUND(I163+L163,2))</f>
        <v/>
      </c>
      <c r="N163" s="170">
        <f>IF(A163="","",IF(itens_Remanesc!G163="","",itens_Remanesc!G163))</f>
        <v/>
      </c>
      <c r="O163" s="178">
        <f>IF(A163="","",IF($Y163="","",IF($Y163&gt;2,"",IF(ISNUMBER(N163),ROUND(N163+L163,2),IF($Y163=2,ROUND(L163,2),"")))))</f>
        <v/>
      </c>
      <c r="P163" s="180">
        <f>IF(A163="","",ROUND(SUMIFS(aditivos!$L$2:$L$200,aditivos!$A$2:$A$200,A163,aditivos!$C$2:$C$200,"C3"),2))</f>
        <v/>
      </c>
      <c r="Q163" s="176">
        <f>IF(A163="","",ROUND(M163+P163,2))</f>
        <v/>
      </c>
      <c r="R163" s="176">
        <f>IF(A163="","",IF(itens_Remanesc!I163="","",itens_Remanesc!I163))</f>
        <v/>
      </c>
      <c r="S163" s="182">
        <f>IF(A163="","",IF($Y163="","",IF($Y163&gt;3,"",IF(ISNUMBER(R163),ROUND(R163+P163,2),IF($Y163=3,ROUND(P163,2),"")))))</f>
        <v/>
      </c>
      <c r="T163" s="174">
        <f>IF(A163="","",ROUND(SUMIFS(aditivos!$L$2:$L$200,aditivos!$A$2:$A$200,A163,aditivos!$C$2:$C$200,"C4"),2))</f>
        <v/>
      </c>
      <c r="U163" s="170">
        <f>IF(A163="","",ROUND(Q163+T163,2))</f>
        <v/>
      </c>
      <c r="V163" s="170">
        <f>IF(A163="","",IF(itens_Remanesc!K163="","",itens_Remanesc!K163))</f>
        <v/>
      </c>
      <c r="W163" s="170">
        <f>IF(A163="","",IF($Y163="","",IF($Y163&gt;4,"",IF(ISNUMBER(V163),ROUND(V163+T163,2),IF($Y163=4,ROUND(T163,2),"")))))</f>
        <v/>
      </c>
      <c r="X163" s="156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>
        <f>IF($A163="","",IF($E163&gt;0,0,IF($I163&gt;0,1,IF($M163&gt;0,2,IF($Q163&gt;0,3,IF($U163&gt;0,4,""))))))</f>
        <v/>
      </c>
      <c r="Z163">
        <f>IF($A163="",FALSE,AND(LEN(TRIM($A163))=4,LEFT(TRIM($A163),1)="N",ISNUMBER(--MID(TRIM($A163),2,3)),ISERROR(FIND(".",$A163)),ISERROR(FIND(",",$A163)),ISERROR(FIND("-",$A163)),ISERROR(FIND("+",$A163)),ISERROR(SEARCH("E",$A163,2)),ISERROR(FIND(" ",TRIM($A163)))))</f>
        <v/>
      </c>
    </row>
    <row r="164">
      <c r="A164" s="156">
        <f>IF(itens_Remanesc!A164="","",itens_Remanesc!A164)</f>
        <v/>
      </c>
      <c r="B164" s="218">
        <f>IF(A164="","",itens_Remanesc!C164)</f>
        <v/>
      </c>
      <c r="C164" s="172">
        <f>IF(A164="","",IF(itens_Remanesc!B164="",0,itens_Remanesc!B164))</f>
        <v/>
      </c>
      <c r="D164" s="174">
        <f>IF(A164="","",ROUND(SUMIFS(aditivos!$L$2:$L$200,aditivos!$A$2:$A$200,A164,aditivos!$C$2:$C$200,"C0"),2))</f>
        <v/>
      </c>
      <c r="E164" s="170">
        <f>IF(A164="","",ROUND(C164+D164,2))</f>
        <v/>
      </c>
      <c r="F164" s="170">
        <f>IF(A164="","",IF(itens_Remanesc!B164&lt;&gt;"",itens_Remanesc!B164,IF($Z164,0,"")))</f>
        <v/>
      </c>
      <c r="G164" s="178">
        <f>IF(A164="","",IF($Y164="","",IF($Y164&gt;0,"",ROUND(E164,2))))</f>
        <v/>
      </c>
      <c r="H164" s="180">
        <f>IF(A164="","",ROUND(SUMIFS(aditivos!$L$2:$L$200,aditivos!$A$2:$A$200,A164,aditivos!$C$2:$C$200,"C1"),2))</f>
        <v/>
      </c>
      <c r="I164" s="176">
        <f>IF(A164="","",ROUND(E164+H164,2))</f>
        <v/>
      </c>
      <c r="J164" s="176">
        <f>IF(A164="","",IF(itens_Remanesc!E164="","",itens_Remanesc!E164))</f>
        <v/>
      </c>
      <c r="K164" s="182">
        <f>IF(A164="","",IF($Y164="","",IF($Y164&gt;1,"",IF(ISNUMBER(J164),ROUND(J164+H164,2),IF($Y164=1,ROUND(H164,2),"")))))</f>
        <v/>
      </c>
      <c r="L164" s="174">
        <f>IF(A164="","",ROUND(SUMIFS(aditivos!$L$2:$L$200,aditivos!$A$2:$A$200,A164,aditivos!$C$2:$C$200,"C2"),2))</f>
        <v/>
      </c>
      <c r="M164" s="170">
        <f>IF(A164="","",ROUND(I164+L164,2))</f>
        <v/>
      </c>
      <c r="N164" s="170">
        <f>IF(A164="","",IF(itens_Remanesc!G164="","",itens_Remanesc!G164))</f>
        <v/>
      </c>
      <c r="O164" s="178">
        <f>IF(A164="","",IF($Y164="","",IF($Y164&gt;2,"",IF(ISNUMBER(N164),ROUND(N164+L164,2),IF($Y164=2,ROUND(L164,2),"")))))</f>
        <v/>
      </c>
      <c r="P164" s="180">
        <f>IF(A164="","",ROUND(SUMIFS(aditivos!$L$2:$L$200,aditivos!$A$2:$A$200,A164,aditivos!$C$2:$C$200,"C3"),2))</f>
        <v/>
      </c>
      <c r="Q164" s="176">
        <f>IF(A164="","",ROUND(M164+P164,2))</f>
        <v/>
      </c>
      <c r="R164" s="176">
        <f>IF(A164="","",IF(itens_Remanesc!I164="","",itens_Remanesc!I164))</f>
        <v/>
      </c>
      <c r="S164" s="182">
        <f>IF(A164="","",IF($Y164="","",IF($Y164&gt;3,"",IF(ISNUMBER(R164),ROUND(R164+P164,2),IF($Y164=3,ROUND(P164,2),"")))))</f>
        <v/>
      </c>
      <c r="T164" s="174">
        <f>IF(A164="","",ROUND(SUMIFS(aditivos!$L$2:$L$200,aditivos!$A$2:$A$200,A164,aditivos!$C$2:$C$200,"C4"),2))</f>
        <v/>
      </c>
      <c r="U164" s="170">
        <f>IF(A164="","",ROUND(Q164+T164,2))</f>
        <v/>
      </c>
      <c r="V164" s="170">
        <f>IF(A164="","",IF(itens_Remanesc!K164="","",itens_Remanesc!K164))</f>
        <v/>
      </c>
      <c r="W164" s="170">
        <f>IF(A164="","",IF($Y164="","",IF($Y164&gt;4,"",IF(ISNUMBER(V164),ROUND(V164+T164,2),IF($Y164=4,ROUND(T164,2),"")))))</f>
        <v/>
      </c>
      <c r="X164" s="156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>
        <f>IF($A164="","",IF($E164&gt;0,0,IF($I164&gt;0,1,IF($M164&gt;0,2,IF($Q164&gt;0,3,IF($U164&gt;0,4,""))))))</f>
        <v/>
      </c>
      <c r="Z164">
        <f>IF($A164="",FALSE,AND(LEN(TRIM($A164))=4,LEFT(TRIM($A164),1)="N",ISNUMBER(--MID(TRIM($A164),2,3)),ISERROR(FIND(".",$A164)),ISERROR(FIND(",",$A164)),ISERROR(FIND("-",$A164)),ISERROR(FIND("+",$A164)),ISERROR(SEARCH("E",$A164,2)),ISERROR(FIND(" ",TRIM($A164)))))</f>
        <v/>
      </c>
    </row>
    <row r="165">
      <c r="A165" s="156">
        <f>IF(itens_Remanesc!A165="","",itens_Remanesc!A165)</f>
        <v/>
      </c>
      <c r="B165" s="218">
        <f>IF(A165="","",itens_Remanesc!C165)</f>
        <v/>
      </c>
      <c r="C165" s="172">
        <f>IF(A165="","",IF(itens_Remanesc!B165="",0,itens_Remanesc!B165))</f>
        <v/>
      </c>
      <c r="D165" s="174">
        <f>IF(A165="","",ROUND(SUMIFS(aditivos!$L$2:$L$200,aditivos!$A$2:$A$200,A165,aditivos!$C$2:$C$200,"C0"),2))</f>
        <v/>
      </c>
      <c r="E165" s="170">
        <f>IF(A165="","",ROUND(C165+D165,2))</f>
        <v/>
      </c>
      <c r="F165" s="170">
        <f>IF(A165="","",IF(itens_Remanesc!B165&lt;&gt;"",itens_Remanesc!B165,IF($Z165,0,"")))</f>
        <v/>
      </c>
      <c r="G165" s="178">
        <f>IF(A165="","",IF($Y165="","",IF($Y165&gt;0,"",ROUND(E165,2))))</f>
        <v/>
      </c>
      <c r="H165" s="180">
        <f>IF(A165="","",ROUND(SUMIFS(aditivos!$L$2:$L$200,aditivos!$A$2:$A$200,A165,aditivos!$C$2:$C$200,"C1"),2))</f>
        <v/>
      </c>
      <c r="I165" s="176">
        <f>IF(A165="","",ROUND(E165+H165,2))</f>
        <v/>
      </c>
      <c r="J165" s="176">
        <f>IF(A165="","",IF(itens_Remanesc!E165="","",itens_Remanesc!E165))</f>
        <v/>
      </c>
      <c r="K165" s="182">
        <f>IF(A165="","",IF($Y165="","",IF($Y165&gt;1,"",IF(ISNUMBER(J165),ROUND(J165+H165,2),IF($Y165=1,ROUND(H165,2),"")))))</f>
        <v/>
      </c>
      <c r="L165" s="174">
        <f>IF(A165="","",ROUND(SUMIFS(aditivos!$L$2:$L$200,aditivos!$A$2:$A$200,A165,aditivos!$C$2:$C$200,"C2"),2))</f>
        <v/>
      </c>
      <c r="M165" s="170">
        <f>IF(A165="","",ROUND(I165+L165,2))</f>
        <v/>
      </c>
      <c r="N165" s="170">
        <f>IF(A165="","",IF(itens_Remanesc!G165="","",itens_Remanesc!G165))</f>
        <v/>
      </c>
      <c r="O165" s="178">
        <f>IF(A165="","",IF($Y165="","",IF($Y165&gt;2,"",IF(ISNUMBER(N165),ROUND(N165+L165,2),IF($Y165=2,ROUND(L165,2),"")))))</f>
        <v/>
      </c>
      <c r="P165" s="180">
        <f>IF(A165="","",ROUND(SUMIFS(aditivos!$L$2:$L$200,aditivos!$A$2:$A$200,A165,aditivos!$C$2:$C$200,"C3"),2))</f>
        <v/>
      </c>
      <c r="Q165" s="176">
        <f>IF(A165="","",ROUND(M165+P165,2))</f>
        <v/>
      </c>
      <c r="R165" s="176">
        <f>IF(A165="","",IF(itens_Remanesc!I165="","",itens_Remanesc!I165))</f>
        <v/>
      </c>
      <c r="S165" s="182">
        <f>IF(A165="","",IF($Y165="","",IF($Y165&gt;3,"",IF(ISNUMBER(R165),ROUND(R165+P165,2),IF($Y165=3,ROUND(P165,2),"")))))</f>
        <v/>
      </c>
      <c r="T165" s="174">
        <f>IF(A165="","",ROUND(SUMIFS(aditivos!$L$2:$L$200,aditivos!$A$2:$A$200,A165,aditivos!$C$2:$C$200,"C4"),2))</f>
        <v/>
      </c>
      <c r="U165" s="170">
        <f>IF(A165="","",ROUND(Q165+T165,2))</f>
        <v/>
      </c>
      <c r="V165" s="170">
        <f>IF(A165="","",IF(itens_Remanesc!K165="","",itens_Remanesc!K165))</f>
        <v/>
      </c>
      <c r="W165" s="170">
        <f>IF(A165="","",IF($Y165="","",IF($Y165&gt;4,"",IF(ISNUMBER(V165),ROUND(V165+T165,2),IF($Y165=4,ROUND(T165,2),"")))))</f>
        <v/>
      </c>
      <c r="X165" s="156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>
        <f>IF($A165="","",IF($E165&gt;0,0,IF($I165&gt;0,1,IF($M165&gt;0,2,IF($Q165&gt;0,3,IF($U165&gt;0,4,""))))))</f>
        <v/>
      </c>
      <c r="Z165">
        <f>IF($A165="",FALSE,AND(LEN(TRIM($A165))=4,LEFT(TRIM($A165),1)="N",ISNUMBER(--MID(TRIM($A165),2,3)),ISERROR(FIND(".",$A165)),ISERROR(FIND(",",$A165)),ISERROR(FIND("-",$A165)),ISERROR(FIND("+",$A165)),ISERROR(SEARCH("E",$A165,2)),ISERROR(FIND(" ",TRIM($A165)))))</f>
        <v/>
      </c>
    </row>
    <row r="166">
      <c r="A166" s="156">
        <f>IF(itens_Remanesc!A166="","",itens_Remanesc!A166)</f>
        <v/>
      </c>
      <c r="B166" s="218">
        <f>IF(A166="","",itens_Remanesc!C166)</f>
        <v/>
      </c>
      <c r="C166" s="172">
        <f>IF(A166="","",IF(itens_Remanesc!B166="",0,itens_Remanesc!B166))</f>
        <v/>
      </c>
      <c r="D166" s="174">
        <f>IF(A166="","",ROUND(SUMIFS(aditivos!$L$2:$L$200,aditivos!$A$2:$A$200,A166,aditivos!$C$2:$C$200,"C0"),2))</f>
        <v/>
      </c>
      <c r="E166" s="170">
        <f>IF(A166="","",ROUND(C166+D166,2))</f>
        <v/>
      </c>
      <c r="F166" s="170">
        <f>IF(A166="","",IF(itens_Remanesc!B166&lt;&gt;"",itens_Remanesc!B166,IF($Z166,0,"")))</f>
        <v/>
      </c>
      <c r="G166" s="178">
        <f>IF(A166="","",IF($Y166="","",IF($Y166&gt;0,"",ROUND(E166,2))))</f>
        <v/>
      </c>
      <c r="H166" s="180">
        <f>IF(A166="","",ROUND(SUMIFS(aditivos!$L$2:$L$200,aditivos!$A$2:$A$200,A166,aditivos!$C$2:$C$200,"C1"),2))</f>
        <v/>
      </c>
      <c r="I166" s="176">
        <f>IF(A166="","",ROUND(E166+H166,2))</f>
        <v/>
      </c>
      <c r="J166" s="176">
        <f>IF(A166="","",IF(itens_Remanesc!E166="","",itens_Remanesc!E166))</f>
        <v/>
      </c>
      <c r="K166" s="182">
        <f>IF(A166="","",IF($Y166="","",IF($Y166&gt;1,"",IF(ISNUMBER(J166),ROUND(J166+H166,2),IF($Y166=1,ROUND(H166,2),"")))))</f>
        <v/>
      </c>
      <c r="L166" s="174">
        <f>IF(A166="","",ROUND(SUMIFS(aditivos!$L$2:$L$200,aditivos!$A$2:$A$200,A166,aditivos!$C$2:$C$200,"C2"),2))</f>
        <v/>
      </c>
      <c r="M166" s="170">
        <f>IF(A166="","",ROUND(I166+L166,2))</f>
        <v/>
      </c>
      <c r="N166" s="170">
        <f>IF(A166="","",IF(itens_Remanesc!G166="","",itens_Remanesc!G166))</f>
        <v/>
      </c>
      <c r="O166" s="178">
        <f>IF(A166="","",IF($Y166="","",IF($Y166&gt;2,"",IF(ISNUMBER(N166),ROUND(N166+L166,2),IF($Y166=2,ROUND(L166,2),"")))))</f>
        <v/>
      </c>
      <c r="P166" s="180">
        <f>IF(A166="","",ROUND(SUMIFS(aditivos!$L$2:$L$200,aditivos!$A$2:$A$200,A166,aditivos!$C$2:$C$200,"C3"),2))</f>
        <v/>
      </c>
      <c r="Q166" s="176">
        <f>IF(A166="","",ROUND(M166+P166,2))</f>
        <v/>
      </c>
      <c r="R166" s="176">
        <f>IF(A166="","",IF(itens_Remanesc!I166="","",itens_Remanesc!I166))</f>
        <v/>
      </c>
      <c r="S166" s="182">
        <f>IF(A166="","",IF($Y166="","",IF($Y166&gt;3,"",IF(ISNUMBER(R166),ROUND(R166+P166,2),IF($Y166=3,ROUND(P166,2),"")))))</f>
        <v/>
      </c>
      <c r="T166" s="174">
        <f>IF(A166="","",ROUND(SUMIFS(aditivos!$L$2:$L$200,aditivos!$A$2:$A$200,A166,aditivos!$C$2:$C$200,"C4"),2))</f>
        <v/>
      </c>
      <c r="U166" s="170">
        <f>IF(A166="","",ROUND(Q166+T166,2))</f>
        <v/>
      </c>
      <c r="V166" s="170">
        <f>IF(A166="","",IF(itens_Remanesc!K166="","",itens_Remanesc!K166))</f>
        <v/>
      </c>
      <c r="W166" s="170">
        <f>IF(A166="","",IF($Y166="","",IF($Y166&gt;4,"",IF(ISNUMBER(V166),ROUND(V166+T166,2),IF($Y166=4,ROUND(T166,2),"")))))</f>
        <v/>
      </c>
      <c r="X166" s="156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>
        <f>IF($A166="","",IF($E166&gt;0,0,IF($I166&gt;0,1,IF($M166&gt;0,2,IF($Q166&gt;0,3,IF($U166&gt;0,4,""))))))</f>
        <v/>
      </c>
      <c r="Z166">
        <f>IF($A166="",FALSE,AND(LEN(TRIM($A166))=4,LEFT(TRIM($A166),1)="N",ISNUMBER(--MID(TRIM($A166),2,3)),ISERROR(FIND(".",$A166)),ISERROR(FIND(",",$A166)),ISERROR(FIND("-",$A166)),ISERROR(FIND("+",$A166)),ISERROR(SEARCH("E",$A166,2)),ISERROR(FIND(" ",TRIM($A166)))))</f>
        <v/>
      </c>
    </row>
    <row r="167">
      <c r="A167" s="156">
        <f>IF(itens_Remanesc!A167="","",itens_Remanesc!A167)</f>
        <v/>
      </c>
      <c r="B167" s="218">
        <f>IF(A167="","",itens_Remanesc!C167)</f>
        <v/>
      </c>
      <c r="C167" s="172">
        <f>IF(A167="","",IF(itens_Remanesc!B167="",0,itens_Remanesc!B167))</f>
        <v/>
      </c>
      <c r="D167" s="174">
        <f>IF(A167="","",ROUND(SUMIFS(aditivos!$L$2:$L$200,aditivos!$A$2:$A$200,A167,aditivos!$C$2:$C$200,"C0"),2))</f>
        <v/>
      </c>
      <c r="E167" s="170">
        <f>IF(A167="","",ROUND(C167+D167,2))</f>
        <v/>
      </c>
      <c r="F167" s="170">
        <f>IF(A167="","",IF(itens_Remanesc!B167&lt;&gt;"",itens_Remanesc!B167,IF($Z167,0,"")))</f>
        <v/>
      </c>
      <c r="G167" s="178">
        <f>IF(A167="","",IF($Y167="","",IF($Y167&gt;0,"",ROUND(E167,2))))</f>
        <v/>
      </c>
      <c r="H167" s="180">
        <f>IF(A167="","",ROUND(SUMIFS(aditivos!$L$2:$L$200,aditivos!$A$2:$A$200,A167,aditivos!$C$2:$C$200,"C1"),2))</f>
        <v/>
      </c>
      <c r="I167" s="176">
        <f>IF(A167="","",ROUND(E167+H167,2))</f>
        <v/>
      </c>
      <c r="J167" s="176">
        <f>IF(A167="","",IF(itens_Remanesc!E167="","",itens_Remanesc!E167))</f>
        <v/>
      </c>
      <c r="K167" s="182">
        <f>IF(A167="","",IF($Y167="","",IF($Y167&gt;1,"",IF(ISNUMBER(J167),ROUND(J167+H167,2),IF($Y167=1,ROUND(H167,2),"")))))</f>
        <v/>
      </c>
      <c r="L167" s="174">
        <f>IF(A167="","",ROUND(SUMIFS(aditivos!$L$2:$L$200,aditivos!$A$2:$A$200,A167,aditivos!$C$2:$C$200,"C2"),2))</f>
        <v/>
      </c>
      <c r="M167" s="170">
        <f>IF(A167="","",ROUND(I167+L167,2))</f>
        <v/>
      </c>
      <c r="N167" s="170">
        <f>IF(A167="","",IF(itens_Remanesc!G167="","",itens_Remanesc!G167))</f>
        <v/>
      </c>
      <c r="O167" s="178">
        <f>IF(A167="","",IF($Y167="","",IF($Y167&gt;2,"",IF(ISNUMBER(N167),ROUND(N167+L167,2),IF($Y167=2,ROUND(L167,2),"")))))</f>
        <v/>
      </c>
      <c r="P167" s="180">
        <f>IF(A167="","",ROUND(SUMIFS(aditivos!$L$2:$L$200,aditivos!$A$2:$A$200,A167,aditivos!$C$2:$C$200,"C3"),2))</f>
        <v/>
      </c>
      <c r="Q167" s="176">
        <f>IF(A167="","",ROUND(M167+P167,2))</f>
        <v/>
      </c>
      <c r="R167" s="176">
        <f>IF(A167="","",IF(itens_Remanesc!I167="","",itens_Remanesc!I167))</f>
        <v/>
      </c>
      <c r="S167" s="182">
        <f>IF(A167="","",IF($Y167="","",IF($Y167&gt;3,"",IF(ISNUMBER(R167),ROUND(R167+P167,2),IF($Y167=3,ROUND(P167,2),"")))))</f>
        <v/>
      </c>
      <c r="T167" s="174">
        <f>IF(A167="","",ROUND(SUMIFS(aditivos!$L$2:$L$200,aditivos!$A$2:$A$200,A167,aditivos!$C$2:$C$200,"C4"),2))</f>
        <v/>
      </c>
      <c r="U167" s="170">
        <f>IF(A167="","",ROUND(Q167+T167,2))</f>
        <v/>
      </c>
      <c r="V167" s="170">
        <f>IF(A167="","",IF(itens_Remanesc!K167="","",itens_Remanesc!K167))</f>
        <v/>
      </c>
      <c r="W167" s="170">
        <f>IF(A167="","",IF($Y167="","",IF($Y167&gt;4,"",IF(ISNUMBER(V167),ROUND(V167+T167,2),IF($Y167=4,ROUND(T167,2),"")))))</f>
        <v/>
      </c>
      <c r="X167" s="156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>
        <f>IF($A167="","",IF($E167&gt;0,0,IF($I167&gt;0,1,IF($M167&gt;0,2,IF($Q167&gt;0,3,IF($U167&gt;0,4,""))))))</f>
        <v/>
      </c>
      <c r="Z167">
        <f>IF($A167="",FALSE,AND(LEN(TRIM($A167))=4,LEFT(TRIM($A167),1)="N",ISNUMBER(--MID(TRIM($A167),2,3)),ISERROR(FIND(".",$A167)),ISERROR(FIND(",",$A167)),ISERROR(FIND("-",$A167)),ISERROR(FIND("+",$A167)),ISERROR(SEARCH("E",$A167,2)),ISERROR(FIND(" ",TRIM($A167)))))</f>
        <v/>
      </c>
    </row>
    <row r="168">
      <c r="A168" s="156">
        <f>IF(itens_Remanesc!A168="","",itens_Remanesc!A168)</f>
        <v/>
      </c>
      <c r="B168" s="218">
        <f>IF(A168="","",itens_Remanesc!C168)</f>
        <v/>
      </c>
      <c r="C168" s="172">
        <f>IF(A168="","",IF(itens_Remanesc!B168="",0,itens_Remanesc!B168))</f>
        <v/>
      </c>
      <c r="D168" s="174">
        <f>IF(A168="","",ROUND(SUMIFS(aditivos!$L$2:$L$200,aditivos!$A$2:$A$200,A168,aditivos!$C$2:$C$200,"C0"),2))</f>
        <v/>
      </c>
      <c r="E168" s="170">
        <f>IF(A168="","",ROUND(C168+D168,2))</f>
        <v/>
      </c>
      <c r="F168" s="170">
        <f>IF(A168="","",IF(itens_Remanesc!B168&lt;&gt;"",itens_Remanesc!B168,IF($Z168,0,"")))</f>
        <v/>
      </c>
      <c r="G168" s="178">
        <f>IF(A168="","",IF($Y168="","",IF($Y168&gt;0,"",ROUND(E168,2))))</f>
        <v/>
      </c>
      <c r="H168" s="180">
        <f>IF(A168="","",ROUND(SUMIFS(aditivos!$L$2:$L$200,aditivos!$A$2:$A$200,A168,aditivos!$C$2:$C$200,"C1"),2))</f>
        <v/>
      </c>
      <c r="I168" s="176">
        <f>IF(A168="","",ROUND(E168+H168,2))</f>
        <v/>
      </c>
      <c r="J168" s="176">
        <f>IF(A168="","",IF(itens_Remanesc!E168="","",itens_Remanesc!E168))</f>
        <v/>
      </c>
      <c r="K168" s="182">
        <f>IF(A168="","",IF($Y168="","",IF($Y168&gt;1,"",IF(ISNUMBER(J168),ROUND(J168+H168,2),IF($Y168=1,ROUND(H168,2),"")))))</f>
        <v/>
      </c>
      <c r="L168" s="174">
        <f>IF(A168="","",ROUND(SUMIFS(aditivos!$L$2:$L$200,aditivos!$A$2:$A$200,A168,aditivos!$C$2:$C$200,"C2"),2))</f>
        <v/>
      </c>
      <c r="M168" s="170">
        <f>IF(A168="","",ROUND(I168+L168,2))</f>
        <v/>
      </c>
      <c r="N168" s="170">
        <f>IF(A168="","",IF(itens_Remanesc!G168="","",itens_Remanesc!G168))</f>
        <v/>
      </c>
      <c r="O168" s="178">
        <f>IF(A168="","",IF($Y168="","",IF($Y168&gt;2,"",IF(ISNUMBER(N168),ROUND(N168+L168,2),IF($Y168=2,ROUND(L168,2),"")))))</f>
        <v/>
      </c>
      <c r="P168" s="180">
        <f>IF(A168="","",ROUND(SUMIFS(aditivos!$L$2:$L$200,aditivos!$A$2:$A$200,A168,aditivos!$C$2:$C$200,"C3"),2))</f>
        <v/>
      </c>
      <c r="Q168" s="176">
        <f>IF(A168="","",ROUND(M168+P168,2))</f>
        <v/>
      </c>
      <c r="R168" s="176">
        <f>IF(A168="","",IF(itens_Remanesc!I168="","",itens_Remanesc!I168))</f>
        <v/>
      </c>
      <c r="S168" s="182">
        <f>IF(A168="","",IF($Y168="","",IF($Y168&gt;3,"",IF(ISNUMBER(R168),ROUND(R168+P168,2),IF($Y168=3,ROUND(P168,2),"")))))</f>
        <v/>
      </c>
      <c r="T168" s="174">
        <f>IF(A168="","",ROUND(SUMIFS(aditivos!$L$2:$L$200,aditivos!$A$2:$A$200,A168,aditivos!$C$2:$C$200,"C4"),2))</f>
        <v/>
      </c>
      <c r="U168" s="170">
        <f>IF(A168="","",ROUND(Q168+T168,2))</f>
        <v/>
      </c>
      <c r="V168" s="170">
        <f>IF(A168="","",IF(itens_Remanesc!K168="","",itens_Remanesc!K168))</f>
        <v/>
      </c>
      <c r="W168" s="170">
        <f>IF(A168="","",IF($Y168="","",IF($Y168&gt;4,"",IF(ISNUMBER(V168),ROUND(V168+T168,2),IF($Y168=4,ROUND(T168,2),"")))))</f>
        <v/>
      </c>
      <c r="X168" s="156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>
        <f>IF($A168="","",IF($E168&gt;0,0,IF($I168&gt;0,1,IF($M168&gt;0,2,IF($Q168&gt;0,3,IF($U168&gt;0,4,""))))))</f>
        <v/>
      </c>
      <c r="Z168">
        <f>IF($A168="",FALSE,AND(LEN(TRIM($A168))=4,LEFT(TRIM($A168),1)="N",ISNUMBER(--MID(TRIM($A168),2,3)),ISERROR(FIND(".",$A168)),ISERROR(FIND(",",$A168)),ISERROR(FIND("-",$A168)),ISERROR(FIND("+",$A168)),ISERROR(SEARCH("E",$A168,2)),ISERROR(FIND(" ",TRIM($A168)))))</f>
        <v/>
      </c>
    </row>
    <row r="169">
      <c r="A169" s="156">
        <f>IF(itens_Remanesc!A169="","",itens_Remanesc!A169)</f>
        <v/>
      </c>
      <c r="B169" s="218">
        <f>IF(A169="","",itens_Remanesc!C169)</f>
        <v/>
      </c>
      <c r="C169" s="172">
        <f>IF(A169="","",IF(itens_Remanesc!B169="",0,itens_Remanesc!B169))</f>
        <v/>
      </c>
      <c r="D169" s="174">
        <f>IF(A169="","",ROUND(SUMIFS(aditivos!$L$2:$L$200,aditivos!$A$2:$A$200,A169,aditivos!$C$2:$C$200,"C0"),2))</f>
        <v/>
      </c>
      <c r="E169" s="170">
        <f>IF(A169="","",ROUND(C169+D169,2))</f>
        <v/>
      </c>
      <c r="F169" s="170">
        <f>IF(A169="","",IF(itens_Remanesc!B169&lt;&gt;"",itens_Remanesc!B169,IF($Z169,0,"")))</f>
        <v/>
      </c>
      <c r="G169" s="178">
        <f>IF(A169="","",IF($Y169="","",IF($Y169&gt;0,"",ROUND(E169,2))))</f>
        <v/>
      </c>
      <c r="H169" s="180">
        <f>IF(A169="","",ROUND(SUMIFS(aditivos!$L$2:$L$200,aditivos!$A$2:$A$200,A169,aditivos!$C$2:$C$200,"C1"),2))</f>
        <v/>
      </c>
      <c r="I169" s="176">
        <f>IF(A169="","",ROUND(E169+H169,2))</f>
        <v/>
      </c>
      <c r="J169" s="176">
        <f>IF(A169="","",IF(itens_Remanesc!E169="","",itens_Remanesc!E169))</f>
        <v/>
      </c>
      <c r="K169" s="182">
        <f>IF(A169="","",IF($Y169="","",IF($Y169&gt;1,"",IF(ISNUMBER(J169),ROUND(J169+H169,2),IF($Y169=1,ROUND(H169,2),"")))))</f>
        <v/>
      </c>
      <c r="L169" s="174">
        <f>IF(A169="","",ROUND(SUMIFS(aditivos!$L$2:$L$200,aditivos!$A$2:$A$200,A169,aditivos!$C$2:$C$200,"C2"),2))</f>
        <v/>
      </c>
      <c r="M169" s="170">
        <f>IF(A169="","",ROUND(I169+L169,2))</f>
        <v/>
      </c>
      <c r="N169" s="170">
        <f>IF(A169="","",IF(itens_Remanesc!G169="","",itens_Remanesc!G169))</f>
        <v/>
      </c>
      <c r="O169" s="178">
        <f>IF(A169="","",IF($Y169="","",IF($Y169&gt;2,"",IF(ISNUMBER(N169),ROUND(N169+L169,2),IF($Y169=2,ROUND(L169,2),"")))))</f>
        <v/>
      </c>
      <c r="P169" s="180">
        <f>IF(A169="","",ROUND(SUMIFS(aditivos!$L$2:$L$200,aditivos!$A$2:$A$200,A169,aditivos!$C$2:$C$200,"C3"),2))</f>
        <v/>
      </c>
      <c r="Q169" s="176">
        <f>IF(A169="","",ROUND(M169+P169,2))</f>
        <v/>
      </c>
      <c r="R169" s="176">
        <f>IF(A169="","",IF(itens_Remanesc!I169="","",itens_Remanesc!I169))</f>
        <v/>
      </c>
      <c r="S169" s="182">
        <f>IF(A169="","",IF($Y169="","",IF($Y169&gt;3,"",IF(ISNUMBER(R169),ROUND(R169+P169,2),IF($Y169=3,ROUND(P169,2),"")))))</f>
        <v/>
      </c>
      <c r="T169" s="174">
        <f>IF(A169="","",ROUND(SUMIFS(aditivos!$L$2:$L$200,aditivos!$A$2:$A$200,A169,aditivos!$C$2:$C$200,"C4"),2))</f>
        <v/>
      </c>
      <c r="U169" s="170">
        <f>IF(A169="","",ROUND(Q169+T169,2))</f>
        <v/>
      </c>
      <c r="V169" s="170">
        <f>IF(A169="","",IF(itens_Remanesc!K169="","",itens_Remanesc!K169))</f>
        <v/>
      </c>
      <c r="W169" s="170">
        <f>IF(A169="","",IF($Y169="","",IF($Y169&gt;4,"",IF(ISNUMBER(V169),ROUND(V169+T169,2),IF($Y169=4,ROUND(T169,2),"")))))</f>
        <v/>
      </c>
      <c r="X169" s="156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>
        <f>IF($A169="","",IF($E169&gt;0,0,IF($I169&gt;0,1,IF($M169&gt;0,2,IF($Q169&gt;0,3,IF($U169&gt;0,4,""))))))</f>
        <v/>
      </c>
      <c r="Z169">
        <f>IF($A169="",FALSE,AND(LEN(TRIM($A169))=4,LEFT(TRIM($A169),1)="N",ISNUMBER(--MID(TRIM($A169),2,3)),ISERROR(FIND(".",$A169)),ISERROR(FIND(",",$A169)),ISERROR(FIND("-",$A169)),ISERROR(FIND("+",$A169)),ISERROR(SEARCH("E",$A169,2)),ISERROR(FIND(" ",TRIM($A169)))))</f>
        <v/>
      </c>
    </row>
    <row r="170">
      <c r="A170" s="156">
        <f>IF(itens_Remanesc!A170="","",itens_Remanesc!A170)</f>
        <v/>
      </c>
      <c r="B170" s="218">
        <f>IF(A170="","",itens_Remanesc!C170)</f>
        <v/>
      </c>
      <c r="C170" s="172">
        <f>IF(A170="","",IF(itens_Remanesc!B170="",0,itens_Remanesc!B170))</f>
        <v/>
      </c>
      <c r="D170" s="174">
        <f>IF(A170="","",ROUND(SUMIFS(aditivos!$L$2:$L$200,aditivos!$A$2:$A$200,A170,aditivos!$C$2:$C$200,"C0"),2))</f>
        <v/>
      </c>
      <c r="E170" s="170">
        <f>IF(A170="","",ROUND(C170+D170,2))</f>
        <v/>
      </c>
      <c r="F170" s="170">
        <f>IF(A170="","",IF(itens_Remanesc!B170&lt;&gt;"",itens_Remanesc!B170,IF($Z170,0,"")))</f>
        <v/>
      </c>
      <c r="G170" s="178">
        <f>IF(A170="","",IF($Y170="","",IF($Y170&gt;0,"",ROUND(E170,2))))</f>
        <v/>
      </c>
      <c r="H170" s="180">
        <f>IF(A170="","",ROUND(SUMIFS(aditivos!$L$2:$L$200,aditivos!$A$2:$A$200,A170,aditivos!$C$2:$C$200,"C1"),2))</f>
        <v/>
      </c>
      <c r="I170" s="176">
        <f>IF(A170="","",ROUND(E170+H170,2))</f>
        <v/>
      </c>
      <c r="J170" s="176">
        <f>IF(A170="","",IF(itens_Remanesc!E170="","",itens_Remanesc!E170))</f>
        <v/>
      </c>
      <c r="K170" s="182">
        <f>IF(A170="","",IF($Y170="","",IF($Y170&gt;1,"",IF(ISNUMBER(J170),ROUND(J170+H170,2),IF($Y170=1,ROUND(H170,2),"")))))</f>
        <v/>
      </c>
      <c r="L170" s="174">
        <f>IF(A170="","",ROUND(SUMIFS(aditivos!$L$2:$L$200,aditivos!$A$2:$A$200,A170,aditivos!$C$2:$C$200,"C2"),2))</f>
        <v/>
      </c>
      <c r="M170" s="170">
        <f>IF(A170="","",ROUND(I170+L170,2))</f>
        <v/>
      </c>
      <c r="N170" s="170">
        <f>IF(A170="","",IF(itens_Remanesc!G170="","",itens_Remanesc!G170))</f>
        <v/>
      </c>
      <c r="O170" s="178">
        <f>IF(A170="","",IF($Y170="","",IF($Y170&gt;2,"",IF(ISNUMBER(N170),ROUND(N170+L170,2),IF($Y170=2,ROUND(L170,2),"")))))</f>
        <v/>
      </c>
      <c r="P170" s="180">
        <f>IF(A170="","",ROUND(SUMIFS(aditivos!$L$2:$L$200,aditivos!$A$2:$A$200,A170,aditivos!$C$2:$C$200,"C3"),2))</f>
        <v/>
      </c>
      <c r="Q170" s="176">
        <f>IF(A170="","",ROUND(M170+P170,2))</f>
        <v/>
      </c>
      <c r="R170" s="176">
        <f>IF(A170="","",IF(itens_Remanesc!I170="","",itens_Remanesc!I170))</f>
        <v/>
      </c>
      <c r="S170" s="182">
        <f>IF(A170="","",IF($Y170="","",IF($Y170&gt;3,"",IF(ISNUMBER(R170),ROUND(R170+P170,2),IF($Y170=3,ROUND(P170,2),"")))))</f>
        <v/>
      </c>
      <c r="T170" s="174">
        <f>IF(A170="","",ROUND(SUMIFS(aditivos!$L$2:$L$200,aditivos!$A$2:$A$200,A170,aditivos!$C$2:$C$200,"C4"),2))</f>
        <v/>
      </c>
      <c r="U170" s="170">
        <f>IF(A170="","",ROUND(Q170+T170,2))</f>
        <v/>
      </c>
      <c r="V170" s="170">
        <f>IF(A170="","",IF(itens_Remanesc!K170="","",itens_Remanesc!K170))</f>
        <v/>
      </c>
      <c r="W170" s="170">
        <f>IF(A170="","",IF($Y170="","",IF($Y170&gt;4,"",IF(ISNUMBER(V170),ROUND(V170+T170,2),IF($Y170=4,ROUND(T170,2),"")))))</f>
        <v/>
      </c>
      <c r="X170" s="156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>
        <f>IF($A170="","",IF($E170&gt;0,0,IF($I170&gt;0,1,IF($M170&gt;0,2,IF($Q170&gt;0,3,IF($U170&gt;0,4,""))))))</f>
        <v/>
      </c>
      <c r="Z170">
        <f>IF($A170="",FALSE,AND(LEN(TRIM($A170))=4,LEFT(TRIM($A170),1)="N",ISNUMBER(--MID(TRIM($A170),2,3)),ISERROR(FIND(".",$A170)),ISERROR(FIND(",",$A170)),ISERROR(FIND("-",$A170)),ISERROR(FIND("+",$A170)),ISERROR(SEARCH("E",$A170,2)),ISERROR(FIND(" ",TRIM($A170)))))</f>
        <v/>
      </c>
    </row>
    <row r="171">
      <c r="A171" s="156">
        <f>IF(itens_Remanesc!A171="","",itens_Remanesc!A171)</f>
        <v/>
      </c>
      <c r="B171" s="218">
        <f>IF(A171="","",itens_Remanesc!C171)</f>
        <v/>
      </c>
      <c r="C171" s="172">
        <f>IF(A171="","",IF(itens_Remanesc!B171="",0,itens_Remanesc!B171))</f>
        <v/>
      </c>
      <c r="D171" s="174">
        <f>IF(A171="","",ROUND(SUMIFS(aditivos!$L$2:$L$200,aditivos!$A$2:$A$200,A171,aditivos!$C$2:$C$200,"C0"),2))</f>
        <v/>
      </c>
      <c r="E171" s="170">
        <f>IF(A171="","",ROUND(C171+D171,2))</f>
        <v/>
      </c>
      <c r="F171" s="170">
        <f>IF(A171="","",IF(itens_Remanesc!B171&lt;&gt;"",itens_Remanesc!B171,IF($Z171,0,"")))</f>
        <v/>
      </c>
      <c r="G171" s="178">
        <f>IF(A171="","",IF($Y171="","",IF($Y171&gt;0,"",ROUND(E171,2))))</f>
        <v/>
      </c>
      <c r="H171" s="180">
        <f>IF(A171="","",ROUND(SUMIFS(aditivos!$L$2:$L$200,aditivos!$A$2:$A$200,A171,aditivos!$C$2:$C$200,"C1"),2))</f>
        <v/>
      </c>
      <c r="I171" s="176">
        <f>IF(A171="","",ROUND(E171+H171,2))</f>
        <v/>
      </c>
      <c r="J171" s="176">
        <f>IF(A171="","",IF(itens_Remanesc!E171="","",itens_Remanesc!E171))</f>
        <v/>
      </c>
      <c r="K171" s="182">
        <f>IF(A171="","",IF($Y171="","",IF($Y171&gt;1,"",IF(ISNUMBER(J171),ROUND(J171+H171,2),IF($Y171=1,ROUND(H171,2),"")))))</f>
        <v/>
      </c>
      <c r="L171" s="174">
        <f>IF(A171="","",ROUND(SUMIFS(aditivos!$L$2:$L$200,aditivos!$A$2:$A$200,A171,aditivos!$C$2:$C$200,"C2"),2))</f>
        <v/>
      </c>
      <c r="M171" s="170">
        <f>IF(A171="","",ROUND(I171+L171,2))</f>
        <v/>
      </c>
      <c r="N171" s="170">
        <f>IF(A171="","",IF(itens_Remanesc!G171="","",itens_Remanesc!G171))</f>
        <v/>
      </c>
      <c r="O171" s="178">
        <f>IF(A171="","",IF($Y171="","",IF($Y171&gt;2,"",IF(ISNUMBER(N171),ROUND(N171+L171,2),IF($Y171=2,ROUND(L171,2),"")))))</f>
        <v/>
      </c>
      <c r="P171" s="180">
        <f>IF(A171="","",ROUND(SUMIFS(aditivos!$L$2:$L$200,aditivos!$A$2:$A$200,A171,aditivos!$C$2:$C$200,"C3"),2))</f>
        <v/>
      </c>
      <c r="Q171" s="176">
        <f>IF(A171="","",ROUND(M171+P171,2))</f>
        <v/>
      </c>
      <c r="R171" s="176">
        <f>IF(A171="","",IF(itens_Remanesc!I171="","",itens_Remanesc!I171))</f>
        <v/>
      </c>
      <c r="S171" s="182">
        <f>IF(A171="","",IF($Y171="","",IF($Y171&gt;3,"",IF(ISNUMBER(R171),ROUND(R171+P171,2),IF($Y171=3,ROUND(P171,2),"")))))</f>
        <v/>
      </c>
      <c r="T171" s="174">
        <f>IF(A171="","",ROUND(SUMIFS(aditivos!$L$2:$L$200,aditivos!$A$2:$A$200,A171,aditivos!$C$2:$C$200,"C4"),2))</f>
        <v/>
      </c>
      <c r="U171" s="170">
        <f>IF(A171="","",ROUND(Q171+T171,2))</f>
        <v/>
      </c>
      <c r="V171" s="170">
        <f>IF(A171="","",IF(itens_Remanesc!K171="","",itens_Remanesc!K171))</f>
        <v/>
      </c>
      <c r="W171" s="170">
        <f>IF(A171="","",IF($Y171="","",IF($Y171&gt;4,"",IF(ISNUMBER(V171),ROUND(V171+T171,2),IF($Y171=4,ROUND(T171,2),"")))))</f>
        <v/>
      </c>
      <c r="X171" s="156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>
        <f>IF($A171="","",IF($E171&gt;0,0,IF($I171&gt;0,1,IF($M171&gt;0,2,IF($Q171&gt;0,3,IF($U171&gt;0,4,""))))))</f>
        <v/>
      </c>
      <c r="Z171">
        <f>IF($A171="",FALSE,AND(LEN(TRIM($A171))=4,LEFT(TRIM($A171),1)="N",ISNUMBER(--MID(TRIM($A171),2,3)),ISERROR(FIND(".",$A171)),ISERROR(FIND(",",$A171)),ISERROR(FIND("-",$A171)),ISERROR(FIND("+",$A171)),ISERROR(SEARCH("E",$A171,2)),ISERROR(FIND(" ",TRIM($A171)))))</f>
        <v/>
      </c>
    </row>
    <row r="172">
      <c r="A172" s="156">
        <f>IF(itens_Remanesc!A172="","",itens_Remanesc!A172)</f>
        <v/>
      </c>
      <c r="B172" s="218">
        <f>IF(A172="","",itens_Remanesc!C172)</f>
        <v/>
      </c>
      <c r="C172" s="172">
        <f>IF(A172="","",IF(itens_Remanesc!B172="",0,itens_Remanesc!B172))</f>
        <v/>
      </c>
      <c r="D172" s="174">
        <f>IF(A172="","",ROUND(SUMIFS(aditivos!$L$2:$L$200,aditivos!$A$2:$A$200,A172,aditivos!$C$2:$C$200,"C0"),2))</f>
        <v/>
      </c>
      <c r="E172" s="170">
        <f>IF(A172="","",ROUND(C172+D172,2))</f>
        <v/>
      </c>
      <c r="F172" s="170">
        <f>IF(A172="","",IF(itens_Remanesc!B172&lt;&gt;"",itens_Remanesc!B172,IF($Z172,0,"")))</f>
        <v/>
      </c>
      <c r="G172" s="178">
        <f>IF(A172="","",IF($Y172="","",IF($Y172&gt;0,"",ROUND(E172,2))))</f>
        <v/>
      </c>
      <c r="H172" s="180">
        <f>IF(A172="","",ROUND(SUMIFS(aditivos!$L$2:$L$200,aditivos!$A$2:$A$200,A172,aditivos!$C$2:$C$200,"C1"),2))</f>
        <v/>
      </c>
      <c r="I172" s="176">
        <f>IF(A172="","",ROUND(E172+H172,2))</f>
        <v/>
      </c>
      <c r="J172" s="176">
        <f>IF(A172="","",IF(itens_Remanesc!E172="","",itens_Remanesc!E172))</f>
        <v/>
      </c>
      <c r="K172" s="182">
        <f>IF(A172="","",IF($Y172="","",IF($Y172&gt;1,"",IF(ISNUMBER(J172),ROUND(J172+H172,2),IF($Y172=1,ROUND(H172,2),"")))))</f>
        <v/>
      </c>
      <c r="L172" s="174">
        <f>IF(A172="","",ROUND(SUMIFS(aditivos!$L$2:$L$200,aditivos!$A$2:$A$200,A172,aditivos!$C$2:$C$200,"C2"),2))</f>
        <v/>
      </c>
      <c r="M172" s="170">
        <f>IF(A172="","",ROUND(I172+L172,2))</f>
        <v/>
      </c>
      <c r="N172" s="170">
        <f>IF(A172="","",IF(itens_Remanesc!G172="","",itens_Remanesc!G172))</f>
        <v/>
      </c>
      <c r="O172" s="178">
        <f>IF(A172="","",IF($Y172="","",IF($Y172&gt;2,"",IF(ISNUMBER(N172),ROUND(N172+L172,2),IF($Y172=2,ROUND(L172,2),"")))))</f>
        <v/>
      </c>
      <c r="P172" s="180">
        <f>IF(A172="","",ROUND(SUMIFS(aditivos!$L$2:$L$200,aditivos!$A$2:$A$200,A172,aditivos!$C$2:$C$200,"C3"),2))</f>
        <v/>
      </c>
      <c r="Q172" s="176">
        <f>IF(A172="","",ROUND(M172+P172,2))</f>
        <v/>
      </c>
      <c r="R172" s="176">
        <f>IF(A172="","",IF(itens_Remanesc!I172="","",itens_Remanesc!I172))</f>
        <v/>
      </c>
      <c r="S172" s="182">
        <f>IF(A172="","",IF($Y172="","",IF($Y172&gt;3,"",IF(ISNUMBER(R172),ROUND(R172+P172,2),IF($Y172=3,ROUND(P172,2),"")))))</f>
        <v/>
      </c>
      <c r="T172" s="174">
        <f>IF(A172="","",ROUND(SUMIFS(aditivos!$L$2:$L$200,aditivos!$A$2:$A$200,A172,aditivos!$C$2:$C$200,"C4"),2))</f>
        <v/>
      </c>
      <c r="U172" s="170">
        <f>IF(A172="","",ROUND(Q172+T172,2))</f>
        <v/>
      </c>
      <c r="V172" s="170">
        <f>IF(A172="","",IF(itens_Remanesc!K172="","",itens_Remanesc!K172))</f>
        <v/>
      </c>
      <c r="W172" s="170">
        <f>IF(A172="","",IF($Y172="","",IF($Y172&gt;4,"",IF(ISNUMBER(V172),ROUND(V172+T172,2),IF($Y172=4,ROUND(T172,2),"")))))</f>
        <v/>
      </c>
      <c r="X172" s="156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>
        <f>IF($A172="","",IF($E172&gt;0,0,IF($I172&gt;0,1,IF($M172&gt;0,2,IF($Q172&gt;0,3,IF($U172&gt;0,4,""))))))</f>
        <v/>
      </c>
      <c r="Z172">
        <f>IF($A172="",FALSE,AND(LEN(TRIM($A172))=4,LEFT(TRIM($A172),1)="N",ISNUMBER(--MID(TRIM($A172),2,3)),ISERROR(FIND(".",$A172)),ISERROR(FIND(",",$A172)),ISERROR(FIND("-",$A172)),ISERROR(FIND("+",$A172)),ISERROR(SEARCH("E",$A172,2)),ISERROR(FIND(" ",TRIM($A172)))))</f>
        <v/>
      </c>
    </row>
    <row r="173">
      <c r="A173" s="156">
        <f>IF(itens_Remanesc!A173="","",itens_Remanesc!A173)</f>
        <v/>
      </c>
      <c r="B173" s="218">
        <f>IF(A173="","",itens_Remanesc!C173)</f>
        <v/>
      </c>
      <c r="C173" s="172">
        <f>IF(A173="","",IF(itens_Remanesc!B173="",0,itens_Remanesc!B173))</f>
        <v/>
      </c>
      <c r="D173" s="174">
        <f>IF(A173="","",ROUND(SUMIFS(aditivos!$L$2:$L$200,aditivos!$A$2:$A$200,A173,aditivos!$C$2:$C$200,"C0"),2))</f>
        <v/>
      </c>
      <c r="E173" s="170">
        <f>IF(A173="","",ROUND(C173+D173,2))</f>
        <v/>
      </c>
      <c r="F173" s="170">
        <f>IF(A173="","",IF(itens_Remanesc!B173&lt;&gt;"",itens_Remanesc!B173,IF($Z173,0,"")))</f>
        <v/>
      </c>
      <c r="G173" s="178">
        <f>IF(A173="","",IF($Y173="","",IF($Y173&gt;0,"",ROUND(E173,2))))</f>
        <v/>
      </c>
      <c r="H173" s="180">
        <f>IF(A173="","",ROUND(SUMIFS(aditivos!$L$2:$L$200,aditivos!$A$2:$A$200,A173,aditivos!$C$2:$C$200,"C1"),2))</f>
        <v/>
      </c>
      <c r="I173" s="176">
        <f>IF(A173="","",ROUND(E173+H173,2))</f>
        <v/>
      </c>
      <c r="J173" s="176">
        <f>IF(A173="","",IF(itens_Remanesc!E173="","",itens_Remanesc!E173))</f>
        <v/>
      </c>
      <c r="K173" s="182">
        <f>IF(A173="","",IF($Y173="","",IF($Y173&gt;1,"",IF(ISNUMBER(J173),ROUND(J173+H173,2),IF($Y173=1,ROUND(H173,2),"")))))</f>
        <v/>
      </c>
      <c r="L173" s="174">
        <f>IF(A173="","",ROUND(SUMIFS(aditivos!$L$2:$L$200,aditivos!$A$2:$A$200,A173,aditivos!$C$2:$C$200,"C2"),2))</f>
        <v/>
      </c>
      <c r="M173" s="170">
        <f>IF(A173="","",ROUND(I173+L173,2))</f>
        <v/>
      </c>
      <c r="N173" s="170">
        <f>IF(A173="","",IF(itens_Remanesc!G173="","",itens_Remanesc!G173))</f>
        <v/>
      </c>
      <c r="O173" s="178">
        <f>IF(A173="","",IF($Y173="","",IF($Y173&gt;2,"",IF(ISNUMBER(N173),ROUND(N173+L173,2),IF($Y173=2,ROUND(L173,2),"")))))</f>
        <v/>
      </c>
      <c r="P173" s="180">
        <f>IF(A173="","",ROUND(SUMIFS(aditivos!$L$2:$L$200,aditivos!$A$2:$A$200,A173,aditivos!$C$2:$C$200,"C3"),2))</f>
        <v/>
      </c>
      <c r="Q173" s="176">
        <f>IF(A173="","",ROUND(M173+P173,2))</f>
        <v/>
      </c>
      <c r="R173" s="176">
        <f>IF(A173="","",IF(itens_Remanesc!I173="","",itens_Remanesc!I173))</f>
        <v/>
      </c>
      <c r="S173" s="182">
        <f>IF(A173="","",IF($Y173="","",IF($Y173&gt;3,"",IF(ISNUMBER(R173),ROUND(R173+P173,2),IF($Y173=3,ROUND(P173,2),"")))))</f>
        <v/>
      </c>
      <c r="T173" s="174">
        <f>IF(A173="","",ROUND(SUMIFS(aditivos!$L$2:$L$200,aditivos!$A$2:$A$200,A173,aditivos!$C$2:$C$200,"C4"),2))</f>
        <v/>
      </c>
      <c r="U173" s="170">
        <f>IF(A173="","",ROUND(Q173+T173,2))</f>
        <v/>
      </c>
      <c r="V173" s="170">
        <f>IF(A173="","",IF(itens_Remanesc!K173="","",itens_Remanesc!K173))</f>
        <v/>
      </c>
      <c r="W173" s="170">
        <f>IF(A173="","",IF($Y173="","",IF($Y173&gt;4,"",IF(ISNUMBER(V173),ROUND(V173+T173,2),IF($Y173=4,ROUND(T173,2),"")))))</f>
        <v/>
      </c>
      <c r="X173" s="156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>
        <f>IF($A173="","",IF($E173&gt;0,0,IF($I173&gt;0,1,IF($M173&gt;0,2,IF($Q173&gt;0,3,IF($U173&gt;0,4,""))))))</f>
        <v/>
      </c>
      <c r="Z173">
        <f>IF($A173="",FALSE,AND(LEN(TRIM($A173))=4,LEFT(TRIM($A173),1)="N",ISNUMBER(--MID(TRIM($A173),2,3)),ISERROR(FIND(".",$A173)),ISERROR(FIND(",",$A173)),ISERROR(FIND("-",$A173)),ISERROR(FIND("+",$A173)),ISERROR(SEARCH("E",$A173,2)),ISERROR(FIND(" ",TRIM($A173)))))</f>
        <v/>
      </c>
    </row>
    <row r="174">
      <c r="A174" s="156">
        <f>IF(itens_Remanesc!A174="","",itens_Remanesc!A174)</f>
        <v/>
      </c>
      <c r="B174" s="218">
        <f>IF(A174="","",itens_Remanesc!C174)</f>
        <v/>
      </c>
      <c r="C174" s="172">
        <f>IF(A174="","",IF(itens_Remanesc!B174="",0,itens_Remanesc!B174))</f>
        <v/>
      </c>
      <c r="D174" s="174">
        <f>IF(A174="","",ROUND(SUMIFS(aditivos!$L$2:$L$200,aditivos!$A$2:$A$200,A174,aditivos!$C$2:$C$200,"C0"),2))</f>
        <v/>
      </c>
      <c r="E174" s="170">
        <f>IF(A174="","",ROUND(C174+D174,2))</f>
        <v/>
      </c>
      <c r="F174" s="170">
        <f>IF(A174="","",IF(itens_Remanesc!B174&lt;&gt;"",itens_Remanesc!B174,IF($Z174,0,"")))</f>
        <v/>
      </c>
      <c r="G174" s="178">
        <f>IF(A174="","",IF($Y174="","",IF($Y174&gt;0,"",ROUND(E174,2))))</f>
        <v/>
      </c>
      <c r="H174" s="180">
        <f>IF(A174="","",ROUND(SUMIFS(aditivos!$L$2:$L$200,aditivos!$A$2:$A$200,A174,aditivos!$C$2:$C$200,"C1"),2))</f>
        <v/>
      </c>
      <c r="I174" s="176">
        <f>IF(A174="","",ROUND(E174+H174,2))</f>
        <v/>
      </c>
      <c r="J174" s="176">
        <f>IF(A174="","",IF(itens_Remanesc!E174="","",itens_Remanesc!E174))</f>
        <v/>
      </c>
      <c r="K174" s="182">
        <f>IF(A174="","",IF($Y174="","",IF($Y174&gt;1,"",IF(ISNUMBER(J174),ROUND(J174+H174,2),IF($Y174=1,ROUND(H174,2),"")))))</f>
        <v/>
      </c>
      <c r="L174" s="174">
        <f>IF(A174="","",ROUND(SUMIFS(aditivos!$L$2:$L$200,aditivos!$A$2:$A$200,A174,aditivos!$C$2:$C$200,"C2"),2))</f>
        <v/>
      </c>
      <c r="M174" s="170">
        <f>IF(A174="","",ROUND(I174+L174,2))</f>
        <v/>
      </c>
      <c r="N174" s="170">
        <f>IF(A174="","",IF(itens_Remanesc!G174="","",itens_Remanesc!G174))</f>
        <v/>
      </c>
      <c r="O174" s="178">
        <f>IF(A174="","",IF($Y174="","",IF($Y174&gt;2,"",IF(ISNUMBER(N174),ROUND(N174+L174,2),IF($Y174=2,ROUND(L174,2),"")))))</f>
        <v/>
      </c>
      <c r="P174" s="180">
        <f>IF(A174="","",ROUND(SUMIFS(aditivos!$L$2:$L$200,aditivos!$A$2:$A$200,A174,aditivos!$C$2:$C$200,"C3"),2))</f>
        <v/>
      </c>
      <c r="Q174" s="176">
        <f>IF(A174="","",ROUND(M174+P174,2))</f>
        <v/>
      </c>
      <c r="R174" s="176">
        <f>IF(A174="","",IF(itens_Remanesc!I174="","",itens_Remanesc!I174))</f>
        <v/>
      </c>
      <c r="S174" s="182">
        <f>IF(A174="","",IF($Y174="","",IF($Y174&gt;3,"",IF(ISNUMBER(R174),ROUND(R174+P174,2),IF($Y174=3,ROUND(P174,2),"")))))</f>
        <v/>
      </c>
      <c r="T174" s="174">
        <f>IF(A174="","",ROUND(SUMIFS(aditivos!$L$2:$L$200,aditivos!$A$2:$A$200,A174,aditivos!$C$2:$C$200,"C4"),2))</f>
        <v/>
      </c>
      <c r="U174" s="170">
        <f>IF(A174="","",ROUND(Q174+T174,2))</f>
        <v/>
      </c>
      <c r="V174" s="170">
        <f>IF(A174="","",IF(itens_Remanesc!K174="","",itens_Remanesc!K174))</f>
        <v/>
      </c>
      <c r="W174" s="170">
        <f>IF(A174="","",IF($Y174="","",IF($Y174&gt;4,"",IF(ISNUMBER(V174),ROUND(V174+T174,2),IF($Y174=4,ROUND(T174,2),"")))))</f>
        <v/>
      </c>
      <c r="X174" s="156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>
        <f>IF($A174="","",IF($E174&gt;0,0,IF($I174&gt;0,1,IF($M174&gt;0,2,IF($Q174&gt;0,3,IF($U174&gt;0,4,""))))))</f>
        <v/>
      </c>
      <c r="Z174">
        <f>IF($A174="",FALSE,AND(LEN(TRIM($A174))=4,LEFT(TRIM($A174),1)="N",ISNUMBER(--MID(TRIM($A174),2,3)),ISERROR(FIND(".",$A174)),ISERROR(FIND(",",$A174)),ISERROR(FIND("-",$A174)),ISERROR(FIND("+",$A174)),ISERROR(SEARCH("E",$A174,2)),ISERROR(FIND(" ",TRIM($A174)))))</f>
        <v/>
      </c>
    </row>
    <row r="175">
      <c r="A175" s="156">
        <f>IF(itens_Remanesc!A175="","",itens_Remanesc!A175)</f>
        <v/>
      </c>
      <c r="B175" s="218">
        <f>IF(A175="","",itens_Remanesc!C175)</f>
        <v/>
      </c>
      <c r="C175" s="172">
        <f>IF(A175="","",IF(itens_Remanesc!B175="",0,itens_Remanesc!B175))</f>
        <v/>
      </c>
      <c r="D175" s="174">
        <f>IF(A175="","",ROUND(SUMIFS(aditivos!$L$2:$L$200,aditivos!$A$2:$A$200,A175,aditivos!$C$2:$C$200,"C0"),2))</f>
        <v/>
      </c>
      <c r="E175" s="170">
        <f>IF(A175="","",ROUND(C175+D175,2))</f>
        <v/>
      </c>
      <c r="F175" s="170">
        <f>IF(A175="","",IF(itens_Remanesc!B175&lt;&gt;"",itens_Remanesc!B175,IF($Z175,0,"")))</f>
        <v/>
      </c>
      <c r="G175" s="178">
        <f>IF(A175="","",IF($Y175="","",IF($Y175&gt;0,"",ROUND(E175,2))))</f>
        <v/>
      </c>
      <c r="H175" s="180">
        <f>IF(A175="","",ROUND(SUMIFS(aditivos!$L$2:$L$200,aditivos!$A$2:$A$200,A175,aditivos!$C$2:$C$200,"C1"),2))</f>
        <v/>
      </c>
      <c r="I175" s="176">
        <f>IF(A175="","",ROUND(E175+H175,2))</f>
        <v/>
      </c>
      <c r="J175" s="176">
        <f>IF(A175="","",IF(itens_Remanesc!E175="","",itens_Remanesc!E175))</f>
        <v/>
      </c>
      <c r="K175" s="182">
        <f>IF(A175="","",IF($Y175="","",IF($Y175&gt;1,"",IF(ISNUMBER(J175),ROUND(J175+H175,2),IF($Y175=1,ROUND(H175,2),"")))))</f>
        <v/>
      </c>
      <c r="L175" s="174">
        <f>IF(A175="","",ROUND(SUMIFS(aditivos!$L$2:$L$200,aditivos!$A$2:$A$200,A175,aditivos!$C$2:$C$200,"C2"),2))</f>
        <v/>
      </c>
      <c r="M175" s="170">
        <f>IF(A175="","",ROUND(I175+L175,2))</f>
        <v/>
      </c>
      <c r="N175" s="170">
        <f>IF(A175="","",IF(itens_Remanesc!G175="","",itens_Remanesc!G175))</f>
        <v/>
      </c>
      <c r="O175" s="178">
        <f>IF(A175="","",IF($Y175="","",IF($Y175&gt;2,"",IF(ISNUMBER(N175),ROUND(N175+L175,2),IF($Y175=2,ROUND(L175,2),"")))))</f>
        <v/>
      </c>
      <c r="P175" s="180">
        <f>IF(A175="","",ROUND(SUMIFS(aditivos!$L$2:$L$200,aditivos!$A$2:$A$200,A175,aditivos!$C$2:$C$200,"C3"),2))</f>
        <v/>
      </c>
      <c r="Q175" s="176">
        <f>IF(A175="","",ROUND(M175+P175,2))</f>
        <v/>
      </c>
      <c r="R175" s="176">
        <f>IF(A175="","",IF(itens_Remanesc!I175="","",itens_Remanesc!I175))</f>
        <v/>
      </c>
      <c r="S175" s="182">
        <f>IF(A175="","",IF($Y175="","",IF($Y175&gt;3,"",IF(ISNUMBER(R175),ROUND(R175+P175,2),IF($Y175=3,ROUND(P175,2),"")))))</f>
        <v/>
      </c>
      <c r="T175" s="174">
        <f>IF(A175="","",ROUND(SUMIFS(aditivos!$L$2:$L$200,aditivos!$A$2:$A$200,A175,aditivos!$C$2:$C$200,"C4"),2))</f>
        <v/>
      </c>
      <c r="U175" s="170">
        <f>IF(A175="","",ROUND(Q175+T175,2))</f>
        <v/>
      </c>
      <c r="V175" s="170">
        <f>IF(A175="","",IF(itens_Remanesc!K175="","",itens_Remanesc!K175))</f>
        <v/>
      </c>
      <c r="W175" s="170">
        <f>IF(A175="","",IF($Y175="","",IF($Y175&gt;4,"",IF(ISNUMBER(V175),ROUND(V175+T175,2),IF($Y175=4,ROUND(T175,2),"")))))</f>
        <v/>
      </c>
      <c r="X175" s="156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>
        <f>IF($A175="","",IF($E175&gt;0,0,IF($I175&gt;0,1,IF($M175&gt;0,2,IF($Q175&gt;0,3,IF($U175&gt;0,4,""))))))</f>
        <v/>
      </c>
      <c r="Z175">
        <f>IF($A175="",FALSE,AND(LEN(TRIM($A175))=4,LEFT(TRIM($A175),1)="N",ISNUMBER(--MID(TRIM($A175),2,3)),ISERROR(FIND(".",$A175)),ISERROR(FIND(",",$A175)),ISERROR(FIND("-",$A175)),ISERROR(FIND("+",$A175)),ISERROR(SEARCH("E",$A175,2)),ISERROR(FIND(" ",TRIM($A175)))))</f>
        <v/>
      </c>
    </row>
    <row r="176">
      <c r="A176" s="156">
        <f>IF(itens_Remanesc!A176="","",itens_Remanesc!A176)</f>
        <v/>
      </c>
      <c r="B176" s="218">
        <f>IF(A176="","",itens_Remanesc!C176)</f>
        <v/>
      </c>
      <c r="C176" s="172">
        <f>IF(A176="","",IF(itens_Remanesc!B176="",0,itens_Remanesc!B176))</f>
        <v/>
      </c>
      <c r="D176" s="174">
        <f>IF(A176="","",ROUND(SUMIFS(aditivos!$L$2:$L$200,aditivos!$A$2:$A$200,A176,aditivos!$C$2:$C$200,"C0"),2))</f>
        <v/>
      </c>
      <c r="E176" s="170">
        <f>IF(A176="","",ROUND(C176+D176,2))</f>
        <v/>
      </c>
      <c r="F176" s="170">
        <f>IF(A176="","",IF(itens_Remanesc!B176&lt;&gt;"",itens_Remanesc!B176,IF($Z176,0,"")))</f>
        <v/>
      </c>
      <c r="G176" s="178">
        <f>IF(A176="","",IF($Y176="","",IF($Y176&gt;0,"",ROUND(E176,2))))</f>
        <v/>
      </c>
      <c r="H176" s="180">
        <f>IF(A176="","",ROUND(SUMIFS(aditivos!$L$2:$L$200,aditivos!$A$2:$A$200,A176,aditivos!$C$2:$C$200,"C1"),2))</f>
        <v/>
      </c>
      <c r="I176" s="176">
        <f>IF(A176="","",ROUND(E176+H176,2))</f>
        <v/>
      </c>
      <c r="J176" s="176">
        <f>IF(A176="","",IF(itens_Remanesc!E176="","",itens_Remanesc!E176))</f>
        <v/>
      </c>
      <c r="K176" s="182">
        <f>IF(A176="","",IF($Y176="","",IF($Y176&gt;1,"",IF(ISNUMBER(J176),ROUND(J176+H176,2),IF($Y176=1,ROUND(H176,2),"")))))</f>
        <v/>
      </c>
      <c r="L176" s="174">
        <f>IF(A176="","",ROUND(SUMIFS(aditivos!$L$2:$L$200,aditivos!$A$2:$A$200,A176,aditivos!$C$2:$C$200,"C2"),2))</f>
        <v/>
      </c>
      <c r="M176" s="170">
        <f>IF(A176="","",ROUND(I176+L176,2))</f>
        <v/>
      </c>
      <c r="N176" s="170">
        <f>IF(A176="","",IF(itens_Remanesc!G176="","",itens_Remanesc!G176))</f>
        <v/>
      </c>
      <c r="O176" s="178">
        <f>IF(A176="","",IF($Y176="","",IF($Y176&gt;2,"",IF(ISNUMBER(N176),ROUND(N176+L176,2),IF($Y176=2,ROUND(L176,2),"")))))</f>
        <v/>
      </c>
      <c r="P176" s="180">
        <f>IF(A176="","",ROUND(SUMIFS(aditivos!$L$2:$L$200,aditivos!$A$2:$A$200,A176,aditivos!$C$2:$C$200,"C3"),2))</f>
        <v/>
      </c>
      <c r="Q176" s="176">
        <f>IF(A176="","",ROUND(M176+P176,2))</f>
        <v/>
      </c>
      <c r="R176" s="176">
        <f>IF(A176="","",IF(itens_Remanesc!I176="","",itens_Remanesc!I176))</f>
        <v/>
      </c>
      <c r="S176" s="182">
        <f>IF(A176="","",IF($Y176="","",IF($Y176&gt;3,"",IF(ISNUMBER(R176),ROUND(R176+P176,2),IF($Y176=3,ROUND(P176,2),"")))))</f>
        <v/>
      </c>
      <c r="T176" s="174">
        <f>IF(A176="","",ROUND(SUMIFS(aditivos!$L$2:$L$200,aditivos!$A$2:$A$200,A176,aditivos!$C$2:$C$200,"C4"),2))</f>
        <v/>
      </c>
      <c r="U176" s="170">
        <f>IF(A176="","",ROUND(Q176+T176,2))</f>
        <v/>
      </c>
      <c r="V176" s="170">
        <f>IF(A176="","",IF(itens_Remanesc!K176="","",itens_Remanesc!K176))</f>
        <v/>
      </c>
      <c r="W176" s="170">
        <f>IF(A176="","",IF($Y176="","",IF($Y176&gt;4,"",IF(ISNUMBER(V176),ROUND(V176+T176,2),IF($Y176=4,ROUND(T176,2),"")))))</f>
        <v/>
      </c>
      <c r="X176" s="156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>
        <f>IF($A176="","",IF($E176&gt;0,0,IF($I176&gt;0,1,IF($M176&gt;0,2,IF($Q176&gt;0,3,IF($U176&gt;0,4,""))))))</f>
        <v/>
      </c>
      <c r="Z176">
        <f>IF($A176="",FALSE,AND(LEN(TRIM($A176))=4,LEFT(TRIM($A176),1)="N",ISNUMBER(--MID(TRIM($A176),2,3)),ISERROR(FIND(".",$A176)),ISERROR(FIND(",",$A176)),ISERROR(FIND("-",$A176)),ISERROR(FIND("+",$A176)),ISERROR(SEARCH("E",$A176,2)),ISERROR(FIND(" ",TRIM($A176)))))</f>
        <v/>
      </c>
    </row>
    <row r="177">
      <c r="A177" s="156">
        <f>IF(itens_Remanesc!A177="","",itens_Remanesc!A177)</f>
        <v/>
      </c>
      <c r="B177" s="218">
        <f>IF(A177="","",itens_Remanesc!C177)</f>
        <v/>
      </c>
      <c r="C177" s="172">
        <f>IF(A177="","",IF(itens_Remanesc!B177="",0,itens_Remanesc!B177))</f>
        <v/>
      </c>
      <c r="D177" s="174">
        <f>IF(A177="","",ROUND(SUMIFS(aditivos!$L$2:$L$200,aditivos!$A$2:$A$200,A177,aditivos!$C$2:$C$200,"C0"),2))</f>
        <v/>
      </c>
      <c r="E177" s="170">
        <f>IF(A177="","",ROUND(C177+D177,2))</f>
        <v/>
      </c>
      <c r="F177" s="170">
        <f>IF(A177="","",IF(itens_Remanesc!B177&lt;&gt;"",itens_Remanesc!B177,IF($Z177,0,"")))</f>
        <v/>
      </c>
      <c r="G177" s="178">
        <f>IF(A177="","",IF($Y177="","",IF($Y177&gt;0,"",ROUND(E177,2))))</f>
        <v/>
      </c>
      <c r="H177" s="180">
        <f>IF(A177="","",ROUND(SUMIFS(aditivos!$L$2:$L$200,aditivos!$A$2:$A$200,A177,aditivos!$C$2:$C$200,"C1"),2))</f>
        <v/>
      </c>
      <c r="I177" s="176">
        <f>IF(A177="","",ROUND(E177+H177,2))</f>
        <v/>
      </c>
      <c r="J177" s="176">
        <f>IF(A177="","",IF(itens_Remanesc!E177="","",itens_Remanesc!E177))</f>
        <v/>
      </c>
      <c r="K177" s="182">
        <f>IF(A177="","",IF($Y177="","",IF($Y177&gt;1,"",IF(ISNUMBER(J177),ROUND(J177+H177,2),IF($Y177=1,ROUND(H177,2),"")))))</f>
        <v/>
      </c>
      <c r="L177" s="174">
        <f>IF(A177="","",ROUND(SUMIFS(aditivos!$L$2:$L$200,aditivos!$A$2:$A$200,A177,aditivos!$C$2:$C$200,"C2"),2))</f>
        <v/>
      </c>
      <c r="M177" s="170">
        <f>IF(A177="","",ROUND(I177+L177,2))</f>
        <v/>
      </c>
      <c r="N177" s="170">
        <f>IF(A177="","",IF(itens_Remanesc!G177="","",itens_Remanesc!G177))</f>
        <v/>
      </c>
      <c r="O177" s="178">
        <f>IF(A177="","",IF($Y177="","",IF($Y177&gt;2,"",IF(ISNUMBER(N177),ROUND(N177+L177,2),IF($Y177=2,ROUND(L177,2),"")))))</f>
        <v/>
      </c>
      <c r="P177" s="180">
        <f>IF(A177="","",ROUND(SUMIFS(aditivos!$L$2:$L$200,aditivos!$A$2:$A$200,A177,aditivos!$C$2:$C$200,"C3"),2))</f>
        <v/>
      </c>
      <c r="Q177" s="176">
        <f>IF(A177="","",ROUND(M177+P177,2))</f>
        <v/>
      </c>
      <c r="R177" s="176">
        <f>IF(A177="","",IF(itens_Remanesc!I177="","",itens_Remanesc!I177))</f>
        <v/>
      </c>
      <c r="S177" s="182">
        <f>IF(A177="","",IF($Y177="","",IF($Y177&gt;3,"",IF(ISNUMBER(R177),ROUND(R177+P177,2),IF($Y177=3,ROUND(P177,2),"")))))</f>
        <v/>
      </c>
      <c r="T177" s="174">
        <f>IF(A177="","",ROUND(SUMIFS(aditivos!$L$2:$L$200,aditivos!$A$2:$A$200,A177,aditivos!$C$2:$C$200,"C4"),2))</f>
        <v/>
      </c>
      <c r="U177" s="170">
        <f>IF(A177="","",ROUND(Q177+T177,2))</f>
        <v/>
      </c>
      <c r="V177" s="170">
        <f>IF(A177="","",IF(itens_Remanesc!K177="","",itens_Remanesc!K177))</f>
        <v/>
      </c>
      <c r="W177" s="170">
        <f>IF(A177="","",IF($Y177="","",IF($Y177&gt;4,"",IF(ISNUMBER(V177),ROUND(V177+T177,2),IF($Y177=4,ROUND(T177,2),"")))))</f>
        <v/>
      </c>
      <c r="X177" s="156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>
        <f>IF($A177="","",IF($E177&gt;0,0,IF($I177&gt;0,1,IF($M177&gt;0,2,IF($Q177&gt;0,3,IF($U177&gt;0,4,""))))))</f>
        <v/>
      </c>
      <c r="Z177">
        <f>IF($A177="",FALSE,AND(LEN(TRIM($A177))=4,LEFT(TRIM($A177),1)="N",ISNUMBER(--MID(TRIM($A177),2,3)),ISERROR(FIND(".",$A177)),ISERROR(FIND(",",$A177)),ISERROR(FIND("-",$A177)),ISERROR(FIND("+",$A177)),ISERROR(SEARCH("E",$A177,2)),ISERROR(FIND(" ",TRIM($A177)))))</f>
        <v/>
      </c>
    </row>
    <row r="178">
      <c r="A178" s="156">
        <f>IF(itens_Remanesc!A178="","",itens_Remanesc!A178)</f>
        <v/>
      </c>
      <c r="B178" s="218">
        <f>IF(A178="","",itens_Remanesc!C178)</f>
        <v/>
      </c>
      <c r="C178" s="172">
        <f>IF(A178="","",IF(itens_Remanesc!B178="",0,itens_Remanesc!B178))</f>
        <v/>
      </c>
      <c r="D178" s="174">
        <f>IF(A178="","",ROUND(SUMIFS(aditivos!$L$2:$L$200,aditivos!$A$2:$A$200,A178,aditivos!$C$2:$C$200,"C0"),2))</f>
        <v/>
      </c>
      <c r="E178" s="170">
        <f>IF(A178="","",ROUND(C178+D178,2))</f>
        <v/>
      </c>
      <c r="F178" s="170">
        <f>IF(A178="","",IF(itens_Remanesc!B178&lt;&gt;"",itens_Remanesc!B178,IF($Z178,0,"")))</f>
        <v/>
      </c>
      <c r="G178" s="178">
        <f>IF(A178="","",IF($Y178="","",IF($Y178&gt;0,"",ROUND(E178,2))))</f>
        <v/>
      </c>
      <c r="H178" s="180">
        <f>IF(A178="","",ROUND(SUMIFS(aditivos!$L$2:$L$200,aditivos!$A$2:$A$200,A178,aditivos!$C$2:$C$200,"C1"),2))</f>
        <v/>
      </c>
      <c r="I178" s="176">
        <f>IF(A178="","",ROUND(E178+H178,2))</f>
        <v/>
      </c>
      <c r="J178" s="176">
        <f>IF(A178="","",IF(itens_Remanesc!E178="","",itens_Remanesc!E178))</f>
        <v/>
      </c>
      <c r="K178" s="182">
        <f>IF(A178="","",IF($Y178="","",IF($Y178&gt;1,"",IF(ISNUMBER(J178),ROUND(J178+H178,2),IF($Y178=1,ROUND(H178,2),"")))))</f>
        <v/>
      </c>
      <c r="L178" s="174">
        <f>IF(A178="","",ROUND(SUMIFS(aditivos!$L$2:$L$200,aditivos!$A$2:$A$200,A178,aditivos!$C$2:$C$200,"C2"),2))</f>
        <v/>
      </c>
      <c r="M178" s="170">
        <f>IF(A178="","",ROUND(I178+L178,2))</f>
        <v/>
      </c>
      <c r="N178" s="170">
        <f>IF(A178="","",IF(itens_Remanesc!G178="","",itens_Remanesc!G178))</f>
        <v/>
      </c>
      <c r="O178" s="178">
        <f>IF(A178="","",IF($Y178="","",IF($Y178&gt;2,"",IF(ISNUMBER(N178),ROUND(N178+L178,2),IF($Y178=2,ROUND(L178,2),"")))))</f>
        <v/>
      </c>
      <c r="P178" s="180">
        <f>IF(A178="","",ROUND(SUMIFS(aditivos!$L$2:$L$200,aditivos!$A$2:$A$200,A178,aditivos!$C$2:$C$200,"C3"),2))</f>
        <v/>
      </c>
      <c r="Q178" s="176">
        <f>IF(A178="","",ROUND(M178+P178,2))</f>
        <v/>
      </c>
      <c r="R178" s="176">
        <f>IF(A178="","",IF(itens_Remanesc!I178="","",itens_Remanesc!I178))</f>
        <v/>
      </c>
      <c r="S178" s="182">
        <f>IF(A178="","",IF($Y178="","",IF($Y178&gt;3,"",IF(ISNUMBER(R178),ROUND(R178+P178,2),IF($Y178=3,ROUND(P178,2),"")))))</f>
        <v/>
      </c>
      <c r="T178" s="174">
        <f>IF(A178="","",ROUND(SUMIFS(aditivos!$L$2:$L$200,aditivos!$A$2:$A$200,A178,aditivos!$C$2:$C$200,"C4"),2))</f>
        <v/>
      </c>
      <c r="U178" s="170">
        <f>IF(A178="","",ROUND(Q178+T178,2))</f>
        <v/>
      </c>
      <c r="V178" s="170">
        <f>IF(A178="","",IF(itens_Remanesc!K178="","",itens_Remanesc!K178))</f>
        <v/>
      </c>
      <c r="W178" s="170">
        <f>IF(A178="","",IF($Y178="","",IF($Y178&gt;4,"",IF(ISNUMBER(V178),ROUND(V178+T178,2),IF($Y178=4,ROUND(T178,2),"")))))</f>
        <v/>
      </c>
      <c r="X178" s="156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>
        <f>IF($A178="","",IF($E178&gt;0,0,IF($I178&gt;0,1,IF($M178&gt;0,2,IF($Q178&gt;0,3,IF($U178&gt;0,4,""))))))</f>
        <v/>
      </c>
      <c r="Z178">
        <f>IF($A178="",FALSE,AND(LEN(TRIM($A178))=4,LEFT(TRIM($A178),1)="N",ISNUMBER(--MID(TRIM($A178),2,3)),ISERROR(FIND(".",$A178)),ISERROR(FIND(",",$A178)),ISERROR(FIND("-",$A178)),ISERROR(FIND("+",$A178)),ISERROR(SEARCH("E",$A178,2)),ISERROR(FIND(" ",TRIM($A178)))))</f>
        <v/>
      </c>
    </row>
    <row r="179">
      <c r="A179" s="156">
        <f>IF(itens_Remanesc!A179="","",itens_Remanesc!A179)</f>
        <v/>
      </c>
      <c r="B179" s="218">
        <f>IF(A179="","",itens_Remanesc!C179)</f>
        <v/>
      </c>
      <c r="C179" s="172">
        <f>IF(A179="","",IF(itens_Remanesc!B179="",0,itens_Remanesc!B179))</f>
        <v/>
      </c>
      <c r="D179" s="174">
        <f>IF(A179="","",ROUND(SUMIFS(aditivos!$L$2:$L$200,aditivos!$A$2:$A$200,A179,aditivos!$C$2:$C$200,"C0"),2))</f>
        <v/>
      </c>
      <c r="E179" s="170">
        <f>IF(A179="","",ROUND(C179+D179,2))</f>
        <v/>
      </c>
      <c r="F179" s="170">
        <f>IF(A179="","",IF(itens_Remanesc!B179&lt;&gt;"",itens_Remanesc!B179,IF($Z179,0,"")))</f>
        <v/>
      </c>
      <c r="G179" s="178">
        <f>IF(A179="","",IF($Y179="","",IF($Y179&gt;0,"",ROUND(E179,2))))</f>
        <v/>
      </c>
      <c r="H179" s="180">
        <f>IF(A179="","",ROUND(SUMIFS(aditivos!$L$2:$L$200,aditivos!$A$2:$A$200,A179,aditivos!$C$2:$C$200,"C1"),2))</f>
        <v/>
      </c>
      <c r="I179" s="176">
        <f>IF(A179="","",ROUND(E179+H179,2))</f>
        <v/>
      </c>
      <c r="J179" s="176">
        <f>IF(A179="","",IF(itens_Remanesc!E179="","",itens_Remanesc!E179))</f>
        <v/>
      </c>
      <c r="K179" s="182">
        <f>IF(A179="","",IF($Y179="","",IF($Y179&gt;1,"",IF(ISNUMBER(J179),ROUND(J179+H179,2),IF($Y179=1,ROUND(H179,2),"")))))</f>
        <v/>
      </c>
      <c r="L179" s="174">
        <f>IF(A179="","",ROUND(SUMIFS(aditivos!$L$2:$L$200,aditivos!$A$2:$A$200,A179,aditivos!$C$2:$C$200,"C2"),2))</f>
        <v/>
      </c>
      <c r="M179" s="170">
        <f>IF(A179="","",ROUND(I179+L179,2))</f>
        <v/>
      </c>
      <c r="N179" s="170">
        <f>IF(A179="","",IF(itens_Remanesc!G179="","",itens_Remanesc!G179))</f>
        <v/>
      </c>
      <c r="O179" s="178">
        <f>IF(A179="","",IF($Y179="","",IF($Y179&gt;2,"",IF(ISNUMBER(N179),ROUND(N179+L179,2),IF($Y179=2,ROUND(L179,2),"")))))</f>
        <v/>
      </c>
      <c r="P179" s="180">
        <f>IF(A179="","",ROUND(SUMIFS(aditivos!$L$2:$L$200,aditivos!$A$2:$A$200,A179,aditivos!$C$2:$C$200,"C3"),2))</f>
        <v/>
      </c>
      <c r="Q179" s="176">
        <f>IF(A179="","",ROUND(M179+P179,2))</f>
        <v/>
      </c>
      <c r="R179" s="176">
        <f>IF(A179="","",IF(itens_Remanesc!I179="","",itens_Remanesc!I179))</f>
        <v/>
      </c>
      <c r="S179" s="182">
        <f>IF(A179="","",IF($Y179="","",IF($Y179&gt;3,"",IF(ISNUMBER(R179),ROUND(R179+P179,2),IF($Y179=3,ROUND(P179,2),"")))))</f>
        <v/>
      </c>
      <c r="T179" s="174">
        <f>IF(A179="","",ROUND(SUMIFS(aditivos!$L$2:$L$200,aditivos!$A$2:$A$200,A179,aditivos!$C$2:$C$200,"C4"),2))</f>
        <v/>
      </c>
      <c r="U179" s="170">
        <f>IF(A179="","",ROUND(Q179+T179,2))</f>
        <v/>
      </c>
      <c r="V179" s="170">
        <f>IF(A179="","",IF(itens_Remanesc!K179="","",itens_Remanesc!K179))</f>
        <v/>
      </c>
      <c r="W179" s="170">
        <f>IF(A179="","",IF($Y179="","",IF($Y179&gt;4,"",IF(ISNUMBER(V179),ROUND(V179+T179,2),IF($Y179=4,ROUND(T179,2),"")))))</f>
        <v/>
      </c>
      <c r="X179" s="156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>
        <f>IF($A179="","",IF($E179&gt;0,0,IF($I179&gt;0,1,IF($M179&gt;0,2,IF($Q179&gt;0,3,IF($U179&gt;0,4,""))))))</f>
        <v/>
      </c>
      <c r="Z179">
        <f>IF($A179="",FALSE,AND(LEN(TRIM($A179))=4,LEFT(TRIM($A179),1)="N",ISNUMBER(--MID(TRIM($A179),2,3)),ISERROR(FIND(".",$A179)),ISERROR(FIND(",",$A179)),ISERROR(FIND("-",$A179)),ISERROR(FIND("+",$A179)),ISERROR(SEARCH("E",$A179,2)),ISERROR(FIND(" ",TRIM($A179)))))</f>
        <v/>
      </c>
    </row>
    <row r="180">
      <c r="A180" s="156">
        <f>IF(itens_Remanesc!A180="","",itens_Remanesc!A180)</f>
        <v/>
      </c>
      <c r="B180" s="218">
        <f>IF(A180="","",itens_Remanesc!C180)</f>
        <v/>
      </c>
      <c r="C180" s="172">
        <f>IF(A180="","",IF(itens_Remanesc!B180="",0,itens_Remanesc!B180))</f>
        <v/>
      </c>
      <c r="D180" s="174">
        <f>IF(A180="","",ROUND(SUMIFS(aditivos!$L$2:$L$200,aditivos!$A$2:$A$200,A180,aditivos!$C$2:$C$200,"C0"),2))</f>
        <v/>
      </c>
      <c r="E180" s="170">
        <f>IF(A180="","",ROUND(C180+D180,2))</f>
        <v/>
      </c>
      <c r="F180" s="170">
        <f>IF(A180="","",IF(itens_Remanesc!B180&lt;&gt;"",itens_Remanesc!B180,IF($Z180,0,"")))</f>
        <v/>
      </c>
      <c r="G180" s="178">
        <f>IF(A180="","",IF($Y180="","",IF($Y180&gt;0,"",ROUND(E180,2))))</f>
        <v/>
      </c>
      <c r="H180" s="180">
        <f>IF(A180="","",ROUND(SUMIFS(aditivos!$L$2:$L$200,aditivos!$A$2:$A$200,A180,aditivos!$C$2:$C$200,"C1"),2))</f>
        <v/>
      </c>
      <c r="I180" s="176">
        <f>IF(A180="","",ROUND(E180+H180,2))</f>
        <v/>
      </c>
      <c r="J180" s="176">
        <f>IF(A180="","",IF(itens_Remanesc!E180="","",itens_Remanesc!E180))</f>
        <v/>
      </c>
      <c r="K180" s="182">
        <f>IF(A180="","",IF($Y180="","",IF($Y180&gt;1,"",IF(ISNUMBER(J180),ROUND(J180+H180,2),IF($Y180=1,ROUND(H180,2),"")))))</f>
        <v/>
      </c>
      <c r="L180" s="174">
        <f>IF(A180="","",ROUND(SUMIFS(aditivos!$L$2:$L$200,aditivos!$A$2:$A$200,A180,aditivos!$C$2:$C$200,"C2"),2))</f>
        <v/>
      </c>
      <c r="M180" s="170">
        <f>IF(A180="","",ROUND(I180+L180,2))</f>
        <v/>
      </c>
      <c r="N180" s="170">
        <f>IF(A180="","",IF(itens_Remanesc!G180="","",itens_Remanesc!G180))</f>
        <v/>
      </c>
      <c r="O180" s="178">
        <f>IF(A180="","",IF($Y180="","",IF($Y180&gt;2,"",IF(ISNUMBER(N180),ROUND(N180+L180,2),IF($Y180=2,ROUND(L180,2),"")))))</f>
        <v/>
      </c>
      <c r="P180" s="180">
        <f>IF(A180="","",ROUND(SUMIFS(aditivos!$L$2:$L$200,aditivos!$A$2:$A$200,A180,aditivos!$C$2:$C$200,"C3"),2))</f>
        <v/>
      </c>
      <c r="Q180" s="176">
        <f>IF(A180="","",ROUND(M180+P180,2))</f>
        <v/>
      </c>
      <c r="R180" s="176">
        <f>IF(A180="","",IF(itens_Remanesc!I180="","",itens_Remanesc!I180))</f>
        <v/>
      </c>
      <c r="S180" s="182">
        <f>IF(A180="","",IF($Y180="","",IF($Y180&gt;3,"",IF(ISNUMBER(R180),ROUND(R180+P180,2),IF($Y180=3,ROUND(P180,2),"")))))</f>
        <v/>
      </c>
      <c r="T180" s="174">
        <f>IF(A180="","",ROUND(SUMIFS(aditivos!$L$2:$L$200,aditivos!$A$2:$A$200,A180,aditivos!$C$2:$C$200,"C4"),2))</f>
        <v/>
      </c>
      <c r="U180" s="170">
        <f>IF(A180="","",ROUND(Q180+T180,2))</f>
        <v/>
      </c>
      <c r="V180" s="170">
        <f>IF(A180="","",IF(itens_Remanesc!K180="","",itens_Remanesc!K180))</f>
        <v/>
      </c>
      <c r="W180" s="170">
        <f>IF(A180="","",IF($Y180="","",IF($Y180&gt;4,"",IF(ISNUMBER(V180),ROUND(V180+T180,2),IF($Y180=4,ROUND(T180,2),"")))))</f>
        <v/>
      </c>
      <c r="X180" s="156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>
        <f>IF($A180="","",IF($E180&gt;0,0,IF($I180&gt;0,1,IF($M180&gt;0,2,IF($Q180&gt;0,3,IF($U180&gt;0,4,""))))))</f>
        <v/>
      </c>
      <c r="Z180">
        <f>IF($A180="",FALSE,AND(LEN(TRIM($A180))=4,LEFT(TRIM($A180),1)="N",ISNUMBER(--MID(TRIM($A180),2,3)),ISERROR(FIND(".",$A180)),ISERROR(FIND(",",$A180)),ISERROR(FIND("-",$A180)),ISERROR(FIND("+",$A180)),ISERROR(SEARCH("E",$A180,2)),ISERROR(FIND(" ",TRIM($A180)))))</f>
        <v/>
      </c>
    </row>
    <row r="181">
      <c r="A181" s="156">
        <f>IF(itens_Remanesc!A181="","",itens_Remanesc!A181)</f>
        <v/>
      </c>
      <c r="B181" s="218">
        <f>IF(A181="","",itens_Remanesc!C181)</f>
        <v/>
      </c>
      <c r="C181" s="172">
        <f>IF(A181="","",IF(itens_Remanesc!B181="",0,itens_Remanesc!B181))</f>
        <v/>
      </c>
      <c r="D181" s="174">
        <f>IF(A181="","",ROUND(SUMIFS(aditivos!$L$2:$L$200,aditivos!$A$2:$A$200,A181,aditivos!$C$2:$C$200,"C0"),2))</f>
        <v/>
      </c>
      <c r="E181" s="170">
        <f>IF(A181="","",ROUND(C181+D181,2))</f>
        <v/>
      </c>
      <c r="F181" s="170">
        <f>IF(A181="","",IF(itens_Remanesc!B181&lt;&gt;"",itens_Remanesc!B181,IF($Z181,0,"")))</f>
        <v/>
      </c>
      <c r="G181" s="178">
        <f>IF(A181="","",IF($Y181="","",IF($Y181&gt;0,"",ROUND(E181,2))))</f>
        <v/>
      </c>
      <c r="H181" s="180">
        <f>IF(A181="","",ROUND(SUMIFS(aditivos!$L$2:$L$200,aditivos!$A$2:$A$200,A181,aditivos!$C$2:$C$200,"C1"),2))</f>
        <v/>
      </c>
      <c r="I181" s="176">
        <f>IF(A181="","",ROUND(E181+H181,2))</f>
        <v/>
      </c>
      <c r="J181" s="176">
        <f>IF(A181="","",IF(itens_Remanesc!E181="","",itens_Remanesc!E181))</f>
        <v/>
      </c>
      <c r="K181" s="182">
        <f>IF(A181="","",IF($Y181="","",IF($Y181&gt;1,"",IF(ISNUMBER(J181),ROUND(J181+H181,2),IF($Y181=1,ROUND(H181,2),"")))))</f>
        <v/>
      </c>
      <c r="L181" s="174">
        <f>IF(A181="","",ROUND(SUMIFS(aditivos!$L$2:$L$200,aditivos!$A$2:$A$200,A181,aditivos!$C$2:$C$200,"C2"),2))</f>
        <v/>
      </c>
      <c r="M181" s="170">
        <f>IF(A181="","",ROUND(I181+L181,2))</f>
        <v/>
      </c>
      <c r="N181" s="170">
        <f>IF(A181="","",IF(itens_Remanesc!G181="","",itens_Remanesc!G181))</f>
        <v/>
      </c>
      <c r="O181" s="178">
        <f>IF(A181="","",IF($Y181="","",IF($Y181&gt;2,"",IF(ISNUMBER(N181),ROUND(N181+L181,2),IF($Y181=2,ROUND(L181,2),"")))))</f>
        <v/>
      </c>
      <c r="P181" s="180">
        <f>IF(A181="","",ROUND(SUMIFS(aditivos!$L$2:$L$200,aditivos!$A$2:$A$200,A181,aditivos!$C$2:$C$200,"C3"),2))</f>
        <v/>
      </c>
      <c r="Q181" s="176">
        <f>IF(A181="","",ROUND(M181+P181,2))</f>
        <v/>
      </c>
      <c r="R181" s="176">
        <f>IF(A181="","",IF(itens_Remanesc!I181="","",itens_Remanesc!I181))</f>
        <v/>
      </c>
      <c r="S181" s="182">
        <f>IF(A181="","",IF($Y181="","",IF($Y181&gt;3,"",IF(ISNUMBER(R181),ROUND(R181+P181,2),IF($Y181=3,ROUND(P181,2),"")))))</f>
        <v/>
      </c>
      <c r="T181" s="174">
        <f>IF(A181="","",ROUND(SUMIFS(aditivos!$L$2:$L$200,aditivos!$A$2:$A$200,A181,aditivos!$C$2:$C$200,"C4"),2))</f>
        <v/>
      </c>
      <c r="U181" s="170">
        <f>IF(A181="","",ROUND(Q181+T181,2))</f>
        <v/>
      </c>
      <c r="V181" s="170">
        <f>IF(A181="","",IF(itens_Remanesc!K181="","",itens_Remanesc!K181))</f>
        <v/>
      </c>
      <c r="W181" s="170">
        <f>IF(A181="","",IF($Y181="","",IF($Y181&gt;4,"",IF(ISNUMBER(V181),ROUND(V181+T181,2),IF($Y181=4,ROUND(T181,2),"")))))</f>
        <v/>
      </c>
      <c r="X181" s="156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>
        <f>IF($A181="","",IF($E181&gt;0,0,IF($I181&gt;0,1,IF($M181&gt;0,2,IF($Q181&gt;0,3,IF($U181&gt;0,4,""))))))</f>
        <v/>
      </c>
      <c r="Z181">
        <f>IF($A181="",FALSE,AND(LEN(TRIM($A181))=4,LEFT(TRIM($A181),1)="N",ISNUMBER(--MID(TRIM($A181),2,3)),ISERROR(FIND(".",$A181)),ISERROR(FIND(",",$A181)),ISERROR(FIND("-",$A181)),ISERROR(FIND("+",$A181)),ISERROR(SEARCH("E",$A181,2)),ISERROR(FIND(" ",TRIM($A181)))))</f>
        <v/>
      </c>
    </row>
    <row r="182">
      <c r="A182" s="156">
        <f>IF(itens_Remanesc!A182="","",itens_Remanesc!A182)</f>
        <v/>
      </c>
      <c r="B182" s="218">
        <f>IF(A182="","",itens_Remanesc!C182)</f>
        <v/>
      </c>
      <c r="C182" s="172">
        <f>IF(A182="","",IF(itens_Remanesc!B182="",0,itens_Remanesc!B182))</f>
        <v/>
      </c>
      <c r="D182" s="174">
        <f>IF(A182="","",ROUND(SUMIFS(aditivos!$L$2:$L$200,aditivos!$A$2:$A$200,A182,aditivos!$C$2:$C$200,"C0"),2))</f>
        <v/>
      </c>
      <c r="E182" s="170">
        <f>IF(A182="","",ROUND(C182+D182,2))</f>
        <v/>
      </c>
      <c r="F182" s="170">
        <f>IF(A182="","",IF(itens_Remanesc!B182&lt;&gt;"",itens_Remanesc!B182,IF($Z182,0,"")))</f>
        <v/>
      </c>
      <c r="G182" s="178">
        <f>IF(A182="","",IF($Y182="","",IF($Y182&gt;0,"",ROUND(E182,2))))</f>
        <v/>
      </c>
      <c r="H182" s="180">
        <f>IF(A182="","",ROUND(SUMIFS(aditivos!$L$2:$L$200,aditivos!$A$2:$A$200,A182,aditivos!$C$2:$C$200,"C1"),2))</f>
        <v/>
      </c>
      <c r="I182" s="176">
        <f>IF(A182="","",ROUND(E182+H182,2))</f>
        <v/>
      </c>
      <c r="J182" s="176">
        <f>IF(A182="","",IF(itens_Remanesc!E182="","",itens_Remanesc!E182))</f>
        <v/>
      </c>
      <c r="K182" s="182">
        <f>IF(A182="","",IF($Y182="","",IF($Y182&gt;1,"",IF(ISNUMBER(J182),ROUND(J182+H182,2),IF($Y182=1,ROUND(H182,2),"")))))</f>
        <v/>
      </c>
      <c r="L182" s="174">
        <f>IF(A182="","",ROUND(SUMIFS(aditivos!$L$2:$L$200,aditivos!$A$2:$A$200,A182,aditivos!$C$2:$C$200,"C2"),2))</f>
        <v/>
      </c>
      <c r="M182" s="170">
        <f>IF(A182="","",ROUND(I182+L182,2))</f>
        <v/>
      </c>
      <c r="N182" s="170">
        <f>IF(A182="","",IF(itens_Remanesc!G182="","",itens_Remanesc!G182))</f>
        <v/>
      </c>
      <c r="O182" s="178">
        <f>IF(A182="","",IF($Y182="","",IF($Y182&gt;2,"",IF(ISNUMBER(N182),ROUND(N182+L182,2),IF($Y182=2,ROUND(L182,2),"")))))</f>
        <v/>
      </c>
      <c r="P182" s="180">
        <f>IF(A182="","",ROUND(SUMIFS(aditivos!$L$2:$L$200,aditivos!$A$2:$A$200,A182,aditivos!$C$2:$C$200,"C3"),2))</f>
        <v/>
      </c>
      <c r="Q182" s="176">
        <f>IF(A182="","",ROUND(M182+P182,2))</f>
        <v/>
      </c>
      <c r="R182" s="176">
        <f>IF(A182="","",IF(itens_Remanesc!I182="","",itens_Remanesc!I182))</f>
        <v/>
      </c>
      <c r="S182" s="182">
        <f>IF(A182="","",IF($Y182="","",IF($Y182&gt;3,"",IF(ISNUMBER(R182),ROUND(R182+P182,2),IF($Y182=3,ROUND(P182,2),"")))))</f>
        <v/>
      </c>
      <c r="T182" s="174">
        <f>IF(A182="","",ROUND(SUMIFS(aditivos!$L$2:$L$200,aditivos!$A$2:$A$200,A182,aditivos!$C$2:$C$200,"C4"),2))</f>
        <v/>
      </c>
      <c r="U182" s="170">
        <f>IF(A182="","",ROUND(Q182+T182,2))</f>
        <v/>
      </c>
      <c r="V182" s="170">
        <f>IF(A182="","",IF(itens_Remanesc!K182="","",itens_Remanesc!K182))</f>
        <v/>
      </c>
      <c r="W182" s="170">
        <f>IF(A182="","",IF($Y182="","",IF($Y182&gt;4,"",IF(ISNUMBER(V182),ROUND(V182+T182,2),IF($Y182=4,ROUND(T182,2),"")))))</f>
        <v/>
      </c>
      <c r="X182" s="156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>
        <f>IF($A182="","",IF($E182&gt;0,0,IF($I182&gt;0,1,IF($M182&gt;0,2,IF($Q182&gt;0,3,IF($U182&gt;0,4,""))))))</f>
        <v/>
      </c>
      <c r="Z182">
        <f>IF($A182="",FALSE,AND(LEN(TRIM($A182))=4,LEFT(TRIM($A182),1)="N",ISNUMBER(--MID(TRIM($A182),2,3)),ISERROR(FIND(".",$A182)),ISERROR(FIND(",",$A182)),ISERROR(FIND("-",$A182)),ISERROR(FIND("+",$A182)),ISERROR(SEARCH("E",$A182,2)),ISERROR(FIND(" ",TRIM($A182)))))</f>
        <v/>
      </c>
    </row>
    <row r="183">
      <c r="A183" s="156">
        <f>IF(itens_Remanesc!A183="","",itens_Remanesc!A183)</f>
        <v/>
      </c>
      <c r="B183" s="218">
        <f>IF(A183="","",itens_Remanesc!C183)</f>
        <v/>
      </c>
      <c r="C183" s="172">
        <f>IF(A183="","",IF(itens_Remanesc!B183="",0,itens_Remanesc!B183))</f>
        <v/>
      </c>
      <c r="D183" s="174">
        <f>IF(A183="","",ROUND(SUMIFS(aditivos!$L$2:$L$200,aditivos!$A$2:$A$200,A183,aditivos!$C$2:$C$200,"C0"),2))</f>
        <v/>
      </c>
      <c r="E183" s="170">
        <f>IF(A183="","",ROUND(C183+D183,2))</f>
        <v/>
      </c>
      <c r="F183" s="170">
        <f>IF(A183="","",IF(itens_Remanesc!B183&lt;&gt;"",itens_Remanesc!B183,IF($Z183,0,"")))</f>
        <v/>
      </c>
      <c r="G183" s="178">
        <f>IF(A183="","",IF($Y183="","",IF($Y183&gt;0,"",ROUND(E183,2))))</f>
        <v/>
      </c>
      <c r="H183" s="180">
        <f>IF(A183="","",ROUND(SUMIFS(aditivos!$L$2:$L$200,aditivos!$A$2:$A$200,A183,aditivos!$C$2:$C$200,"C1"),2))</f>
        <v/>
      </c>
      <c r="I183" s="176">
        <f>IF(A183="","",ROUND(E183+H183,2))</f>
        <v/>
      </c>
      <c r="J183" s="176">
        <f>IF(A183="","",IF(itens_Remanesc!E183="","",itens_Remanesc!E183))</f>
        <v/>
      </c>
      <c r="K183" s="182">
        <f>IF(A183="","",IF($Y183="","",IF($Y183&gt;1,"",IF(ISNUMBER(J183),ROUND(J183+H183,2),IF($Y183=1,ROUND(H183,2),"")))))</f>
        <v/>
      </c>
      <c r="L183" s="174">
        <f>IF(A183="","",ROUND(SUMIFS(aditivos!$L$2:$L$200,aditivos!$A$2:$A$200,A183,aditivos!$C$2:$C$200,"C2"),2))</f>
        <v/>
      </c>
      <c r="M183" s="170">
        <f>IF(A183="","",ROUND(I183+L183,2))</f>
        <v/>
      </c>
      <c r="N183" s="170">
        <f>IF(A183="","",IF(itens_Remanesc!G183="","",itens_Remanesc!G183))</f>
        <v/>
      </c>
      <c r="O183" s="178">
        <f>IF(A183="","",IF($Y183="","",IF($Y183&gt;2,"",IF(ISNUMBER(N183),ROUND(N183+L183,2),IF($Y183=2,ROUND(L183,2),"")))))</f>
        <v/>
      </c>
      <c r="P183" s="180">
        <f>IF(A183="","",ROUND(SUMIFS(aditivos!$L$2:$L$200,aditivos!$A$2:$A$200,A183,aditivos!$C$2:$C$200,"C3"),2))</f>
        <v/>
      </c>
      <c r="Q183" s="176">
        <f>IF(A183="","",ROUND(M183+P183,2))</f>
        <v/>
      </c>
      <c r="R183" s="176">
        <f>IF(A183="","",IF(itens_Remanesc!I183="","",itens_Remanesc!I183))</f>
        <v/>
      </c>
      <c r="S183" s="182">
        <f>IF(A183="","",IF($Y183="","",IF($Y183&gt;3,"",IF(ISNUMBER(R183),ROUND(R183+P183,2),IF($Y183=3,ROUND(P183,2),"")))))</f>
        <v/>
      </c>
      <c r="T183" s="174">
        <f>IF(A183="","",ROUND(SUMIFS(aditivos!$L$2:$L$200,aditivos!$A$2:$A$200,A183,aditivos!$C$2:$C$200,"C4"),2))</f>
        <v/>
      </c>
      <c r="U183" s="170">
        <f>IF(A183="","",ROUND(Q183+T183,2))</f>
        <v/>
      </c>
      <c r="V183" s="170">
        <f>IF(A183="","",IF(itens_Remanesc!K183="","",itens_Remanesc!K183))</f>
        <v/>
      </c>
      <c r="W183" s="170">
        <f>IF(A183="","",IF($Y183="","",IF($Y183&gt;4,"",IF(ISNUMBER(V183),ROUND(V183+T183,2),IF($Y183=4,ROUND(T183,2),"")))))</f>
        <v/>
      </c>
      <c r="X183" s="156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>
        <f>IF($A183="","",IF($E183&gt;0,0,IF($I183&gt;0,1,IF($M183&gt;0,2,IF($Q183&gt;0,3,IF($U183&gt;0,4,""))))))</f>
        <v/>
      </c>
      <c r="Z183">
        <f>IF($A183="",FALSE,AND(LEN(TRIM($A183))=4,LEFT(TRIM($A183),1)="N",ISNUMBER(--MID(TRIM($A183),2,3)),ISERROR(FIND(".",$A183)),ISERROR(FIND(",",$A183)),ISERROR(FIND("-",$A183)),ISERROR(FIND("+",$A183)),ISERROR(SEARCH("E",$A183,2)),ISERROR(FIND(" ",TRIM($A183)))))</f>
        <v/>
      </c>
    </row>
    <row r="184">
      <c r="A184" s="156">
        <f>IF(itens_Remanesc!A184="","",itens_Remanesc!A184)</f>
        <v/>
      </c>
      <c r="B184" s="218">
        <f>IF(A184="","",itens_Remanesc!C184)</f>
        <v/>
      </c>
      <c r="C184" s="172">
        <f>IF(A184="","",IF(itens_Remanesc!B184="",0,itens_Remanesc!B184))</f>
        <v/>
      </c>
      <c r="D184" s="174">
        <f>IF(A184="","",ROUND(SUMIFS(aditivos!$L$2:$L$200,aditivos!$A$2:$A$200,A184,aditivos!$C$2:$C$200,"C0"),2))</f>
        <v/>
      </c>
      <c r="E184" s="170">
        <f>IF(A184="","",ROUND(C184+D184,2))</f>
        <v/>
      </c>
      <c r="F184" s="170">
        <f>IF(A184="","",IF(itens_Remanesc!B184&lt;&gt;"",itens_Remanesc!B184,IF($Z184,0,"")))</f>
        <v/>
      </c>
      <c r="G184" s="178">
        <f>IF(A184="","",IF($Y184="","",IF($Y184&gt;0,"",ROUND(E184,2))))</f>
        <v/>
      </c>
      <c r="H184" s="180">
        <f>IF(A184="","",ROUND(SUMIFS(aditivos!$L$2:$L$200,aditivos!$A$2:$A$200,A184,aditivos!$C$2:$C$200,"C1"),2))</f>
        <v/>
      </c>
      <c r="I184" s="176">
        <f>IF(A184="","",ROUND(E184+H184,2))</f>
        <v/>
      </c>
      <c r="J184" s="176">
        <f>IF(A184="","",IF(itens_Remanesc!E184="","",itens_Remanesc!E184))</f>
        <v/>
      </c>
      <c r="K184" s="182">
        <f>IF(A184="","",IF($Y184="","",IF($Y184&gt;1,"",IF(ISNUMBER(J184),ROUND(J184+H184,2),IF($Y184=1,ROUND(H184,2),"")))))</f>
        <v/>
      </c>
      <c r="L184" s="174">
        <f>IF(A184="","",ROUND(SUMIFS(aditivos!$L$2:$L$200,aditivos!$A$2:$A$200,A184,aditivos!$C$2:$C$200,"C2"),2))</f>
        <v/>
      </c>
      <c r="M184" s="170">
        <f>IF(A184="","",ROUND(I184+L184,2))</f>
        <v/>
      </c>
      <c r="N184" s="170">
        <f>IF(A184="","",IF(itens_Remanesc!G184="","",itens_Remanesc!G184))</f>
        <v/>
      </c>
      <c r="O184" s="178">
        <f>IF(A184="","",IF($Y184="","",IF($Y184&gt;2,"",IF(ISNUMBER(N184),ROUND(N184+L184,2),IF($Y184=2,ROUND(L184,2),"")))))</f>
        <v/>
      </c>
      <c r="P184" s="180">
        <f>IF(A184="","",ROUND(SUMIFS(aditivos!$L$2:$L$200,aditivos!$A$2:$A$200,A184,aditivos!$C$2:$C$200,"C3"),2))</f>
        <v/>
      </c>
      <c r="Q184" s="176">
        <f>IF(A184="","",ROUND(M184+P184,2))</f>
        <v/>
      </c>
      <c r="R184" s="176">
        <f>IF(A184="","",IF(itens_Remanesc!I184="","",itens_Remanesc!I184))</f>
        <v/>
      </c>
      <c r="S184" s="182">
        <f>IF(A184="","",IF($Y184="","",IF($Y184&gt;3,"",IF(ISNUMBER(R184),ROUND(R184+P184,2),IF($Y184=3,ROUND(P184,2),"")))))</f>
        <v/>
      </c>
      <c r="T184" s="174">
        <f>IF(A184="","",ROUND(SUMIFS(aditivos!$L$2:$L$200,aditivos!$A$2:$A$200,A184,aditivos!$C$2:$C$200,"C4"),2))</f>
        <v/>
      </c>
      <c r="U184" s="170">
        <f>IF(A184="","",ROUND(Q184+T184,2))</f>
        <v/>
      </c>
      <c r="V184" s="170">
        <f>IF(A184="","",IF(itens_Remanesc!K184="","",itens_Remanesc!K184))</f>
        <v/>
      </c>
      <c r="W184" s="170">
        <f>IF(A184="","",IF($Y184="","",IF($Y184&gt;4,"",IF(ISNUMBER(V184),ROUND(V184+T184,2),IF($Y184=4,ROUND(T184,2),"")))))</f>
        <v/>
      </c>
      <c r="X184" s="156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>
        <f>IF($A184="","",IF($E184&gt;0,0,IF($I184&gt;0,1,IF($M184&gt;0,2,IF($Q184&gt;0,3,IF($U184&gt;0,4,""))))))</f>
        <v/>
      </c>
      <c r="Z184">
        <f>IF($A184="",FALSE,AND(LEN(TRIM($A184))=4,LEFT(TRIM($A184),1)="N",ISNUMBER(--MID(TRIM($A184),2,3)),ISERROR(FIND(".",$A184)),ISERROR(FIND(",",$A184)),ISERROR(FIND("-",$A184)),ISERROR(FIND("+",$A184)),ISERROR(SEARCH("E",$A184,2)),ISERROR(FIND(" ",TRIM($A184)))))</f>
        <v/>
      </c>
    </row>
    <row r="185">
      <c r="A185" s="156">
        <f>IF(itens_Remanesc!A185="","",itens_Remanesc!A185)</f>
        <v/>
      </c>
      <c r="B185" s="218">
        <f>IF(A185="","",itens_Remanesc!C185)</f>
        <v/>
      </c>
      <c r="C185" s="172">
        <f>IF(A185="","",IF(itens_Remanesc!B185="",0,itens_Remanesc!B185))</f>
        <v/>
      </c>
      <c r="D185" s="174">
        <f>IF(A185="","",ROUND(SUMIFS(aditivos!$L$2:$L$200,aditivos!$A$2:$A$200,A185,aditivos!$C$2:$C$200,"C0"),2))</f>
        <v/>
      </c>
      <c r="E185" s="170">
        <f>IF(A185="","",ROUND(C185+D185,2))</f>
        <v/>
      </c>
      <c r="F185" s="170">
        <f>IF(A185="","",IF(itens_Remanesc!B185&lt;&gt;"",itens_Remanesc!B185,IF($Z185,0,"")))</f>
        <v/>
      </c>
      <c r="G185" s="178">
        <f>IF(A185="","",IF($Y185="","",IF($Y185&gt;0,"",ROUND(E185,2))))</f>
        <v/>
      </c>
      <c r="H185" s="180">
        <f>IF(A185="","",ROUND(SUMIFS(aditivos!$L$2:$L$200,aditivos!$A$2:$A$200,A185,aditivos!$C$2:$C$200,"C1"),2))</f>
        <v/>
      </c>
      <c r="I185" s="176">
        <f>IF(A185="","",ROUND(E185+H185,2))</f>
        <v/>
      </c>
      <c r="J185" s="176">
        <f>IF(A185="","",IF(itens_Remanesc!E185="","",itens_Remanesc!E185))</f>
        <v/>
      </c>
      <c r="K185" s="182">
        <f>IF(A185="","",IF($Y185="","",IF($Y185&gt;1,"",IF(ISNUMBER(J185),ROUND(J185+H185,2),IF($Y185=1,ROUND(H185,2),"")))))</f>
        <v/>
      </c>
      <c r="L185" s="174">
        <f>IF(A185="","",ROUND(SUMIFS(aditivos!$L$2:$L$200,aditivos!$A$2:$A$200,A185,aditivos!$C$2:$C$200,"C2"),2))</f>
        <v/>
      </c>
      <c r="M185" s="170">
        <f>IF(A185="","",ROUND(I185+L185,2))</f>
        <v/>
      </c>
      <c r="N185" s="170">
        <f>IF(A185="","",IF(itens_Remanesc!G185="","",itens_Remanesc!G185))</f>
        <v/>
      </c>
      <c r="O185" s="178">
        <f>IF(A185="","",IF($Y185="","",IF($Y185&gt;2,"",IF(ISNUMBER(N185),ROUND(N185+L185,2),IF($Y185=2,ROUND(L185,2),"")))))</f>
        <v/>
      </c>
      <c r="P185" s="180">
        <f>IF(A185="","",ROUND(SUMIFS(aditivos!$L$2:$L$200,aditivos!$A$2:$A$200,A185,aditivos!$C$2:$C$200,"C3"),2))</f>
        <v/>
      </c>
      <c r="Q185" s="176">
        <f>IF(A185="","",ROUND(M185+P185,2))</f>
        <v/>
      </c>
      <c r="R185" s="176">
        <f>IF(A185="","",IF(itens_Remanesc!I185="","",itens_Remanesc!I185))</f>
        <v/>
      </c>
      <c r="S185" s="182">
        <f>IF(A185="","",IF($Y185="","",IF($Y185&gt;3,"",IF(ISNUMBER(R185),ROUND(R185+P185,2),IF($Y185=3,ROUND(P185,2),"")))))</f>
        <v/>
      </c>
      <c r="T185" s="174">
        <f>IF(A185="","",ROUND(SUMIFS(aditivos!$L$2:$L$200,aditivos!$A$2:$A$200,A185,aditivos!$C$2:$C$200,"C4"),2))</f>
        <v/>
      </c>
      <c r="U185" s="170">
        <f>IF(A185="","",ROUND(Q185+T185,2))</f>
        <v/>
      </c>
      <c r="V185" s="170">
        <f>IF(A185="","",IF(itens_Remanesc!K185="","",itens_Remanesc!K185))</f>
        <v/>
      </c>
      <c r="W185" s="170">
        <f>IF(A185="","",IF($Y185="","",IF($Y185&gt;4,"",IF(ISNUMBER(V185),ROUND(V185+T185,2),IF($Y185=4,ROUND(T185,2),"")))))</f>
        <v/>
      </c>
      <c r="X185" s="156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>
        <f>IF($A185="","",IF($E185&gt;0,0,IF($I185&gt;0,1,IF($M185&gt;0,2,IF($Q185&gt;0,3,IF($U185&gt;0,4,""))))))</f>
        <v/>
      </c>
      <c r="Z185">
        <f>IF($A185="",FALSE,AND(LEN(TRIM($A185))=4,LEFT(TRIM($A185),1)="N",ISNUMBER(--MID(TRIM($A185),2,3)),ISERROR(FIND(".",$A185)),ISERROR(FIND(",",$A185)),ISERROR(FIND("-",$A185)),ISERROR(FIND("+",$A185)),ISERROR(SEARCH("E",$A185,2)),ISERROR(FIND(" ",TRIM($A185)))))</f>
        <v/>
      </c>
    </row>
    <row r="186">
      <c r="A186" s="156">
        <f>IF(itens_Remanesc!A186="","",itens_Remanesc!A186)</f>
        <v/>
      </c>
      <c r="B186" s="218">
        <f>IF(A186="","",itens_Remanesc!C186)</f>
        <v/>
      </c>
      <c r="C186" s="172">
        <f>IF(A186="","",IF(itens_Remanesc!B186="",0,itens_Remanesc!B186))</f>
        <v/>
      </c>
      <c r="D186" s="174">
        <f>IF(A186="","",ROUND(SUMIFS(aditivos!$L$2:$L$200,aditivos!$A$2:$A$200,A186,aditivos!$C$2:$C$200,"C0"),2))</f>
        <v/>
      </c>
      <c r="E186" s="170">
        <f>IF(A186="","",ROUND(C186+D186,2))</f>
        <v/>
      </c>
      <c r="F186" s="170">
        <f>IF(A186="","",IF(itens_Remanesc!B186&lt;&gt;"",itens_Remanesc!B186,IF($Z186,0,"")))</f>
        <v/>
      </c>
      <c r="G186" s="178">
        <f>IF(A186="","",IF($Y186="","",IF($Y186&gt;0,"",ROUND(E186,2))))</f>
        <v/>
      </c>
      <c r="H186" s="180">
        <f>IF(A186="","",ROUND(SUMIFS(aditivos!$L$2:$L$200,aditivos!$A$2:$A$200,A186,aditivos!$C$2:$C$200,"C1"),2))</f>
        <v/>
      </c>
      <c r="I186" s="176">
        <f>IF(A186="","",ROUND(E186+H186,2))</f>
        <v/>
      </c>
      <c r="J186" s="176">
        <f>IF(A186="","",IF(itens_Remanesc!E186="","",itens_Remanesc!E186))</f>
        <v/>
      </c>
      <c r="K186" s="182">
        <f>IF(A186="","",IF($Y186="","",IF($Y186&gt;1,"",IF(ISNUMBER(J186),ROUND(J186+H186,2),IF($Y186=1,ROUND(H186,2),"")))))</f>
        <v/>
      </c>
      <c r="L186" s="174">
        <f>IF(A186="","",ROUND(SUMIFS(aditivos!$L$2:$L$200,aditivos!$A$2:$A$200,A186,aditivos!$C$2:$C$200,"C2"),2))</f>
        <v/>
      </c>
      <c r="M186" s="170">
        <f>IF(A186="","",ROUND(I186+L186,2))</f>
        <v/>
      </c>
      <c r="N186" s="170">
        <f>IF(A186="","",IF(itens_Remanesc!G186="","",itens_Remanesc!G186))</f>
        <v/>
      </c>
      <c r="O186" s="178">
        <f>IF(A186="","",IF($Y186="","",IF($Y186&gt;2,"",IF(ISNUMBER(N186),ROUND(N186+L186,2),IF($Y186=2,ROUND(L186,2),"")))))</f>
        <v/>
      </c>
      <c r="P186" s="180">
        <f>IF(A186="","",ROUND(SUMIFS(aditivos!$L$2:$L$200,aditivos!$A$2:$A$200,A186,aditivos!$C$2:$C$200,"C3"),2))</f>
        <v/>
      </c>
      <c r="Q186" s="176">
        <f>IF(A186="","",ROUND(M186+P186,2))</f>
        <v/>
      </c>
      <c r="R186" s="176">
        <f>IF(A186="","",IF(itens_Remanesc!I186="","",itens_Remanesc!I186))</f>
        <v/>
      </c>
      <c r="S186" s="182">
        <f>IF(A186="","",IF($Y186="","",IF($Y186&gt;3,"",IF(ISNUMBER(R186),ROUND(R186+P186,2),IF($Y186=3,ROUND(P186,2),"")))))</f>
        <v/>
      </c>
      <c r="T186" s="174">
        <f>IF(A186="","",ROUND(SUMIFS(aditivos!$L$2:$L$200,aditivos!$A$2:$A$200,A186,aditivos!$C$2:$C$200,"C4"),2))</f>
        <v/>
      </c>
      <c r="U186" s="170">
        <f>IF(A186="","",ROUND(Q186+T186,2))</f>
        <v/>
      </c>
      <c r="V186" s="170">
        <f>IF(A186="","",IF(itens_Remanesc!K186="","",itens_Remanesc!K186))</f>
        <v/>
      </c>
      <c r="W186" s="170">
        <f>IF(A186="","",IF($Y186="","",IF($Y186&gt;4,"",IF(ISNUMBER(V186),ROUND(V186+T186,2),IF($Y186=4,ROUND(T186,2),"")))))</f>
        <v/>
      </c>
      <c r="X186" s="156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>
        <f>IF($A186="","",IF($E186&gt;0,0,IF($I186&gt;0,1,IF($M186&gt;0,2,IF($Q186&gt;0,3,IF($U186&gt;0,4,""))))))</f>
        <v/>
      </c>
      <c r="Z186">
        <f>IF($A186="",FALSE,AND(LEN(TRIM($A186))=4,LEFT(TRIM($A186),1)="N",ISNUMBER(--MID(TRIM($A186),2,3)),ISERROR(FIND(".",$A186)),ISERROR(FIND(",",$A186)),ISERROR(FIND("-",$A186)),ISERROR(FIND("+",$A186)),ISERROR(SEARCH("E",$A186,2)),ISERROR(FIND(" ",TRIM($A186)))))</f>
        <v/>
      </c>
    </row>
    <row r="187">
      <c r="A187" s="156">
        <f>IF(itens_Remanesc!A187="","",itens_Remanesc!A187)</f>
        <v/>
      </c>
      <c r="B187" s="218">
        <f>IF(A187="","",itens_Remanesc!C187)</f>
        <v/>
      </c>
      <c r="C187" s="172">
        <f>IF(A187="","",IF(itens_Remanesc!B187="",0,itens_Remanesc!B187))</f>
        <v/>
      </c>
      <c r="D187" s="174">
        <f>IF(A187="","",ROUND(SUMIFS(aditivos!$L$2:$L$200,aditivos!$A$2:$A$200,A187,aditivos!$C$2:$C$200,"C0"),2))</f>
        <v/>
      </c>
      <c r="E187" s="170">
        <f>IF(A187="","",ROUND(C187+D187,2))</f>
        <v/>
      </c>
      <c r="F187" s="170">
        <f>IF(A187="","",IF(itens_Remanesc!B187&lt;&gt;"",itens_Remanesc!B187,IF($Z187,0,"")))</f>
        <v/>
      </c>
      <c r="G187" s="178">
        <f>IF(A187="","",IF($Y187="","",IF($Y187&gt;0,"",ROUND(E187,2))))</f>
        <v/>
      </c>
      <c r="H187" s="180">
        <f>IF(A187="","",ROUND(SUMIFS(aditivos!$L$2:$L$200,aditivos!$A$2:$A$200,A187,aditivos!$C$2:$C$200,"C1"),2))</f>
        <v/>
      </c>
      <c r="I187" s="176">
        <f>IF(A187="","",ROUND(E187+H187,2))</f>
        <v/>
      </c>
      <c r="J187" s="176">
        <f>IF(A187="","",IF(itens_Remanesc!E187="","",itens_Remanesc!E187))</f>
        <v/>
      </c>
      <c r="K187" s="182">
        <f>IF(A187="","",IF($Y187="","",IF($Y187&gt;1,"",IF(ISNUMBER(J187),ROUND(J187+H187,2),IF($Y187=1,ROUND(H187,2),"")))))</f>
        <v/>
      </c>
      <c r="L187" s="174">
        <f>IF(A187="","",ROUND(SUMIFS(aditivos!$L$2:$L$200,aditivos!$A$2:$A$200,A187,aditivos!$C$2:$C$200,"C2"),2))</f>
        <v/>
      </c>
      <c r="M187" s="170">
        <f>IF(A187="","",ROUND(I187+L187,2))</f>
        <v/>
      </c>
      <c r="N187" s="170">
        <f>IF(A187="","",IF(itens_Remanesc!G187="","",itens_Remanesc!G187))</f>
        <v/>
      </c>
      <c r="O187" s="178">
        <f>IF(A187="","",IF($Y187="","",IF($Y187&gt;2,"",IF(ISNUMBER(N187),ROUND(N187+L187,2),IF($Y187=2,ROUND(L187,2),"")))))</f>
        <v/>
      </c>
      <c r="P187" s="180">
        <f>IF(A187="","",ROUND(SUMIFS(aditivos!$L$2:$L$200,aditivos!$A$2:$A$200,A187,aditivos!$C$2:$C$200,"C3"),2))</f>
        <v/>
      </c>
      <c r="Q187" s="176">
        <f>IF(A187="","",ROUND(M187+P187,2))</f>
        <v/>
      </c>
      <c r="R187" s="176">
        <f>IF(A187="","",IF(itens_Remanesc!I187="","",itens_Remanesc!I187))</f>
        <v/>
      </c>
      <c r="S187" s="182">
        <f>IF(A187="","",IF($Y187="","",IF($Y187&gt;3,"",IF(ISNUMBER(R187),ROUND(R187+P187,2),IF($Y187=3,ROUND(P187,2),"")))))</f>
        <v/>
      </c>
      <c r="T187" s="174">
        <f>IF(A187="","",ROUND(SUMIFS(aditivos!$L$2:$L$200,aditivos!$A$2:$A$200,A187,aditivos!$C$2:$C$200,"C4"),2))</f>
        <v/>
      </c>
      <c r="U187" s="170">
        <f>IF(A187="","",ROUND(Q187+T187,2))</f>
        <v/>
      </c>
      <c r="V187" s="170">
        <f>IF(A187="","",IF(itens_Remanesc!K187="","",itens_Remanesc!K187))</f>
        <v/>
      </c>
      <c r="W187" s="170">
        <f>IF(A187="","",IF($Y187="","",IF($Y187&gt;4,"",IF(ISNUMBER(V187),ROUND(V187+T187,2),IF($Y187=4,ROUND(T187,2),"")))))</f>
        <v/>
      </c>
      <c r="X187" s="156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>
        <f>IF($A187="","",IF($E187&gt;0,0,IF($I187&gt;0,1,IF($M187&gt;0,2,IF($Q187&gt;0,3,IF($U187&gt;0,4,""))))))</f>
        <v/>
      </c>
      <c r="Z187">
        <f>IF($A187="",FALSE,AND(LEN(TRIM($A187))=4,LEFT(TRIM($A187),1)="N",ISNUMBER(--MID(TRIM($A187),2,3)),ISERROR(FIND(".",$A187)),ISERROR(FIND(",",$A187)),ISERROR(FIND("-",$A187)),ISERROR(FIND("+",$A187)),ISERROR(SEARCH("E",$A187,2)),ISERROR(FIND(" ",TRIM($A187)))))</f>
        <v/>
      </c>
    </row>
    <row r="188">
      <c r="A188" s="156">
        <f>IF(itens_Remanesc!A188="","",itens_Remanesc!A188)</f>
        <v/>
      </c>
      <c r="B188" s="218">
        <f>IF(A188="","",itens_Remanesc!C188)</f>
        <v/>
      </c>
      <c r="C188" s="172">
        <f>IF(A188="","",IF(itens_Remanesc!B188="",0,itens_Remanesc!B188))</f>
        <v/>
      </c>
      <c r="D188" s="174">
        <f>IF(A188="","",ROUND(SUMIFS(aditivos!$L$2:$L$200,aditivos!$A$2:$A$200,A188,aditivos!$C$2:$C$200,"C0"),2))</f>
        <v/>
      </c>
      <c r="E188" s="170">
        <f>IF(A188="","",ROUND(C188+D188,2))</f>
        <v/>
      </c>
      <c r="F188" s="170">
        <f>IF(A188="","",IF(itens_Remanesc!B188&lt;&gt;"",itens_Remanesc!B188,IF($Z188,0,"")))</f>
        <v/>
      </c>
      <c r="G188" s="178">
        <f>IF(A188="","",IF($Y188="","",IF($Y188&gt;0,"",ROUND(E188,2))))</f>
        <v/>
      </c>
      <c r="H188" s="180">
        <f>IF(A188="","",ROUND(SUMIFS(aditivos!$L$2:$L$200,aditivos!$A$2:$A$200,A188,aditivos!$C$2:$C$200,"C1"),2))</f>
        <v/>
      </c>
      <c r="I188" s="176">
        <f>IF(A188="","",ROUND(E188+H188,2))</f>
        <v/>
      </c>
      <c r="J188" s="176">
        <f>IF(A188="","",IF(itens_Remanesc!E188="","",itens_Remanesc!E188))</f>
        <v/>
      </c>
      <c r="K188" s="182">
        <f>IF(A188="","",IF($Y188="","",IF($Y188&gt;1,"",IF(ISNUMBER(J188),ROUND(J188+H188,2),IF($Y188=1,ROUND(H188,2),"")))))</f>
        <v/>
      </c>
      <c r="L188" s="174">
        <f>IF(A188="","",ROUND(SUMIFS(aditivos!$L$2:$L$200,aditivos!$A$2:$A$200,A188,aditivos!$C$2:$C$200,"C2"),2))</f>
        <v/>
      </c>
      <c r="M188" s="170">
        <f>IF(A188="","",ROUND(I188+L188,2))</f>
        <v/>
      </c>
      <c r="N188" s="170">
        <f>IF(A188="","",IF(itens_Remanesc!G188="","",itens_Remanesc!G188))</f>
        <v/>
      </c>
      <c r="O188" s="178">
        <f>IF(A188="","",IF($Y188="","",IF($Y188&gt;2,"",IF(ISNUMBER(N188),ROUND(N188+L188,2),IF($Y188=2,ROUND(L188,2),"")))))</f>
        <v/>
      </c>
      <c r="P188" s="180">
        <f>IF(A188="","",ROUND(SUMIFS(aditivos!$L$2:$L$200,aditivos!$A$2:$A$200,A188,aditivos!$C$2:$C$200,"C3"),2))</f>
        <v/>
      </c>
      <c r="Q188" s="176">
        <f>IF(A188="","",ROUND(M188+P188,2))</f>
        <v/>
      </c>
      <c r="R188" s="176">
        <f>IF(A188="","",IF(itens_Remanesc!I188="","",itens_Remanesc!I188))</f>
        <v/>
      </c>
      <c r="S188" s="182">
        <f>IF(A188="","",IF($Y188="","",IF($Y188&gt;3,"",IF(ISNUMBER(R188),ROUND(R188+P188,2),IF($Y188=3,ROUND(P188,2),"")))))</f>
        <v/>
      </c>
      <c r="T188" s="174">
        <f>IF(A188="","",ROUND(SUMIFS(aditivos!$L$2:$L$200,aditivos!$A$2:$A$200,A188,aditivos!$C$2:$C$200,"C4"),2))</f>
        <v/>
      </c>
      <c r="U188" s="170">
        <f>IF(A188="","",ROUND(Q188+T188,2))</f>
        <v/>
      </c>
      <c r="V188" s="170">
        <f>IF(A188="","",IF(itens_Remanesc!K188="","",itens_Remanesc!K188))</f>
        <v/>
      </c>
      <c r="W188" s="170">
        <f>IF(A188="","",IF($Y188="","",IF($Y188&gt;4,"",IF(ISNUMBER(V188),ROUND(V188+T188,2),IF($Y188=4,ROUND(T188,2),"")))))</f>
        <v/>
      </c>
      <c r="X188" s="156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>
        <f>IF($A188="","",IF($E188&gt;0,0,IF($I188&gt;0,1,IF($M188&gt;0,2,IF($Q188&gt;0,3,IF($U188&gt;0,4,""))))))</f>
        <v/>
      </c>
      <c r="Z188">
        <f>IF($A188="",FALSE,AND(LEN(TRIM($A188))=4,LEFT(TRIM($A188),1)="N",ISNUMBER(--MID(TRIM($A188),2,3)),ISERROR(FIND(".",$A188)),ISERROR(FIND(",",$A188)),ISERROR(FIND("-",$A188)),ISERROR(FIND("+",$A188)),ISERROR(SEARCH("E",$A188,2)),ISERROR(FIND(" ",TRIM($A188)))))</f>
        <v/>
      </c>
    </row>
    <row r="189">
      <c r="A189" s="156">
        <f>IF(itens_Remanesc!A189="","",itens_Remanesc!A189)</f>
        <v/>
      </c>
      <c r="B189" s="218">
        <f>IF(A189="","",itens_Remanesc!C189)</f>
        <v/>
      </c>
      <c r="C189" s="172">
        <f>IF(A189="","",IF(itens_Remanesc!B189="",0,itens_Remanesc!B189))</f>
        <v/>
      </c>
      <c r="D189" s="174">
        <f>IF(A189="","",ROUND(SUMIFS(aditivos!$L$2:$L$200,aditivos!$A$2:$A$200,A189,aditivos!$C$2:$C$200,"C0"),2))</f>
        <v/>
      </c>
      <c r="E189" s="170">
        <f>IF(A189="","",ROUND(C189+D189,2))</f>
        <v/>
      </c>
      <c r="F189" s="170">
        <f>IF(A189="","",IF(itens_Remanesc!B189&lt;&gt;"",itens_Remanesc!B189,IF($Z189,0,"")))</f>
        <v/>
      </c>
      <c r="G189" s="178">
        <f>IF(A189="","",IF($Y189="","",IF($Y189&gt;0,"",ROUND(E189,2))))</f>
        <v/>
      </c>
      <c r="H189" s="180">
        <f>IF(A189="","",ROUND(SUMIFS(aditivos!$L$2:$L$200,aditivos!$A$2:$A$200,A189,aditivos!$C$2:$C$200,"C1"),2))</f>
        <v/>
      </c>
      <c r="I189" s="176">
        <f>IF(A189="","",ROUND(E189+H189,2))</f>
        <v/>
      </c>
      <c r="J189" s="176">
        <f>IF(A189="","",IF(itens_Remanesc!E189="","",itens_Remanesc!E189))</f>
        <v/>
      </c>
      <c r="K189" s="182">
        <f>IF(A189="","",IF($Y189="","",IF($Y189&gt;1,"",IF(ISNUMBER(J189),ROUND(J189+H189,2),IF($Y189=1,ROUND(H189,2),"")))))</f>
        <v/>
      </c>
      <c r="L189" s="174">
        <f>IF(A189="","",ROUND(SUMIFS(aditivos!$L$2:$L$200,aditivos!$A$2:$A$200,A189,aditivos!$C$2:$C$200,"C2"),2))</f>
        <v/>
      </c>
      <c r="M189" s="170">
        <f>IF(A189="","",ROUND(I189+L189,2))</f>
        <v/>
      </c>
      <c r="N189" s="170">
        <f>IF(A189="","",IF(itens_Remanesc!G189="","",itens_Remanesc!G189))</f>
        <v/>
      </c>
      <c r="O189" s="178">
        <f>IF(A189="","",IF($Y189="","",IF($Y189&gt;2,"",IF(ISNUMBER(N189),ROUND(N189+L189,2),IF($Y189=2,ROUND(L189,2),"")))))</f>
        <v/>
      </c>
      <c r="P189" s="180">
        <f>IF(A189="","",ROUND(SUMIFS(aditivos!$L$2:$L$200,aditivos!$A$2:$A$200,A189,aditivos!$C$2:$C$200,"C3"),2))</f>
        <v/>
      </c>
      <c r="Q189" s="176">
        <f>IF(A189="","",ROUND(M189+P189,2))</f>
        <v/>
      </c>
      <c r="R189" s="176">
        <f>IF(A189="","",IF(itens_Remanesc!I189="","",itens_Remanesc!I189))</f>
        <v/>
      </c>
      <c r="S189" s="182">
        <f>IF(A189="","",IF($Y189="","",IF($Y189&gt;3,"",IF(ISNUMBER(R189),ROUND(R189+P189,2),IF($Y189=3,ROUND(P189,2),"")))))</f>
        <v/>
      </c>
      <c r="T189" s="174">
        <f>IF(A189="","",ROUND(SUMIFS(aditivos!$L$2:$L$200,aditivos!$A$2:$A$200,A189,aditivos!$C$2:$C$200,"C4"),2))</f>
        <v/>
      </c>
      <c r="U189" s="170">
        <f>IF(A189="","",ROUND(Q189+T189,2))</f>
        <v/>
      </c>
      <c r="V189" s="170">
        <f>IF(A189="","",IF(itens_Remanesc!K189="","",itens_Remanesc!K189))</f>
        <v/>
      </c>
      <c r="W189" s="170">
        <f>IF(A189="","",IF($Y189="","",IF($Y189&gt;4,"",IF(ISNUMBER(V189),ROUND(V189+T189,2),IF($Y189=4,ROUND(T189,2),"")))))</f>
        <v/>
      </c>
      <c r="X189" s="156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>
        <f>IF($A189="","",IF($E189&gt;0,0,IF($I189&gt;0,1,IF($M189&gt;0,2,IF($Q189&gt;0,3,IF($U189&gt;0,4,""))))))</f>
        <v/>
      </c>
      <c r="Z189">
        <f>IF($A189="",FALSE,AND(LEN(TRIM($A189))=4,LEFT(TRIM($A189),1)="N",ISNUMBER(--MID(TRIM($A189),2,3)),ISERROR(FIND(".",$A189)),ISERROR(FIND(",",$A189)),ISERROR(FIND("-",$A189)),ISERROR(FIND("+",$A189)),ISERROR(SEARCH("E",$A189,2)),ISERROR(FIND(" ",TRIM($A189)))))</f>
        <v/>
      </c>
    </row>
    <row r="190">
      <c r="A190" s="156">
        <f>IF(itens_Remanesc!A190="","",itens_Remanesc!A190)</f>
        <v/>
      </c>
      <c r="B190" s="218">
        <f>IF(A190="","",itens_Remanesc!C190)</f>
        <v/>
      </c>
      <c r="C190" s="172">
        <f>IF(A190="","",IF(itens_Remanesc!B190="",0,itens_Remanesc!B190))</f>
        <v/>
      </c>
      <c r="D190" s="174">
        <f>IF(A190="","",ROUND(SUMIFS(aditivos!$L$2:$L$200,aditivos!$A$2:$A$200,A190,aditivos!$C$2:$C$200,"C0"),2))</f>
        <v/>
      </c>
      <c r="E190" s="170">
        <f>IF(A190="","",ROUND(C190+D190,2))</f>
        <v/>
      </c>
      <c r="F190" s="170">
        <f>IF(A190="","",IF(itens_Remanesc!B190&lt;&gt;"",itens_Remanesc!B190,IF($Z190,0,"")))</f>
        <v/>
      </c>
      <c r="G190" s="178">
        <f>IF(A190="","",IF($Y190="","",IF($Y190&gt;0,"",ROUND(E190,2))))</f>
        <v/>
      </c>
      <c r="H190" s="180">
        <f>IF(A190="","",ROUND(SUMIFS(aditivos!$L$2:$L$200,aditivos!$A$2:$A$200,A190,aditivos!$C$2:$C$200,"C1"),2))</f>
        <v/>
      </c>
      <c r="I190" s="176">
        <f>IF(A190="","",ROUND(E190+H190,2))</f>
        <v/>
      </c>
      <c r="J190" s="176">
        <f>IF(A190="","",IF(itens_Remanesc!E190="","",itens_Remanesc!E190))</f>
        <v/>
      </c>
      <c r="K190" s="182">
        <f>IF(A190="","",IF($Y190="","",IF($Y190&gt;1,"",IF(ISNUMBER(J190),ROUND(J190+H190,2),IF($Y190=1,ROUND(H190,2),"")))))</f>
        <v/>
      </c>
      <c r="L190" s="174">
        <f>IF(A190="","",ROUND(SUMIFS(aditivos!$L$2:$L$200,aditivos!$A$2:$A$200,A190,aditivos!$C$2:$C$200,"C2"),2))</f>
        <v/>
      </c>
      <c r="M190" s="170">
        <f>IF(A190="","",ROUND(I190+L190,2))</f>
        <v/>
      </c>
      <c r="N190" s="170">
        <f>IF(A190="","",IF(itens_Remanesc!G190="","",itens_Remanesc!G190))</f>
        <v/>
      </c>
      <c r="O190" s="178">
        <f>IF(A190="","",IF($Y190="","",IF($Y190&gt;2,"",IF(ISNUMBER(N190),ROUND(N190+L190,2),IF($Y190=2,ROUND(L190,2),"")))))</f>
        <v/>
      </c>
      <c r="P190" s="180">
        <f>IF(A190="","",ROUND(SUMIFS(aditivos!$L$2:$L$200,aditivos!$A$2:$A$200,A190,aditivos!$C$2:$C$200,"C3"),2))</f>
        <v/>
      </c>
      <c r="Q190" s="176">
        <f>IF(A190="","",ROUND(M190+P190,2))</f>
        <v/>
      </c>
      <c r="R190" s="176">
        <f>IF(A190="","",IF(itens_Remanesc!I190="","",itens_Remanesc!I190))</f>
        <v/>
      </c>
      <c r="S190" s="182">
        <f>IF(A190="","",IF($Y190="","",IF($Y190&gt;3,"",IF(ISNUMBER(R190),ROUND(R190+P190,2),IF($Y190=3,ROUND(P190,2),"")))))</f>
        <v/>
      </c>
      <c r="T190" s="174">
        <f>IF(A190="","",ROUND(SUMIFS(aditivos!$L$2:$L$200,aditivos!$A$2:$A$200,A190,aditivos!$C$2:$C$200,"C4"),2))</f>
        <v/>
      </c>
      <c r="U190" s="170">
        <f>IF(A190="","",ROUND(Q190+T190,2))</f>
        <v/>
      </c>
      <c r="V190" s="170">
        <f>IF(A190="","",IF(itens_Remanesc!K190="","",itens_Remanesc!K190))</f>
        <v/>
      </c>
      <c r="W190" s="170">
        <f>IF(A190="","",IF($Y190="","",IF($Y190&gt;4,"",IF(ISNUMBER(V190),ROUND(V190+T190,2),IF($Y190=4,ROUND(T190,2),"")))))</f>
        <v/>
      </c>
      <c r="X190" s="156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>
        <f>IF($A190="","",IF($E190&gt;0,0,IF($I190&gt;0,1,IF($M190&gt;0,2,IF($Q190&gt;0,3,IF($U190&gt;0,4,""))))))</f>
        <v/>
      </c>
      <c r="Z190">
        <f>IF($A190="",FALSE,AND(LEN(TRIM($A190))=4,LEFT(TRIM($A190),1)="N",ISNUMBER(--MID(TRIM($A190),2,3)),ISERROR(FIND(".",$A190)),ISERROR(FIND(",",$A190)),ISERROR(FIND("-",$A190)),ISERROR(FIND("+",$A190)),ISERROR(SEARCH("E",$A190,2)),ISERROR(FIND(" ",TRIM($A190)))))</f>
        <v/>
      </c>
    </row>
    <row r="191">
      <c r="A191" s="156">
        <f>IF(itens_Remanesc!A191="","",itens_Remanesc!A191)</f>
        <v/>
      </c>
      <c r="B191" s="218">
        <f>IF(A191="","",itens_Remanesc!C191)</f>
        <v/>
      </c>
      <c r="C191" s="172">
        <f>IF(A191="","",IF(itens_Remanesc!B191="",0,itens_Remanesc!B191))</f>
        <v/>
      </c>
      <c r="D191" s="174">
        <f>IF(A191="","",ROUND(SUMIFS(aditivos!$L$2:$L$200,aditivos!$A$2:$A$200,A191,aditivos!$C$2:$C$200,"C0"),2))</f>
        <v/>
      </c>
      <c r="E191" s="170">
        <f>IF(A191="","",ROUND(C191+D191,2))</f>
        <v/>
      </c>
      <c r="F191" s="170">
        <f>IF(A191="","",IF(itens_Remanesc!B191&lt;&gt;"",itens_Remanesc!B191,IF($Z191,0,"")))</f>
        <v/>
      </c>
      <c r="G191" s="178">
        <f>IF(A191="","",IF($Y191="","",IF($Y191&gt;0,"",ROUND(E191,2))))</f>
        <v/>
      </c>
      <c r="H191" s="180">
        <f>IF(A191="","",ROUND(SUMIFS(aditivos!$L$2:$L$200,aditivos!$A$2:$A$200,A191,aditivos!$C$2:$C$200,"C1"),2))</f>
        <v/>
      </c>
      <c r="I191" s="176">
        <f>IF(A191="","",ROUND(E191+H191,2))</f>
        <v/>
      </c>
      <c r="J191" s="176">
        <f>IF(A191="","",IF(itens_Remanesc!E191="","",itens_Remanesc!E191))</f>
        <v/>
      </c>
      <c r="K191" s="182">
        <f>IF(A191="","",IF($Y191="","",IF($Y191&gt;1,"",IF(ISNUMBER(J191),ROUND(J191+H191,2),IF($Y191=1,ROUND(H191,2),"")))))</f>
        <v/>
      </c>
      <c r="L191" s="174">
        <f>IF(A191="","",ROUND(SUMIFS(aditivos!$L$2:$L$200,aditivos!$A$2:$A$200,A191,aditivos!$C$2:$C$200,"C2"),2))</f>
        <v/>
      </c>
      <c r="M191" s="170">
        <f>IF(A191="","",ROUND(I191+L191,2))</f>
        <v/>
      </c>
      <c r="N191" s="170">
        <f>IF(A191="","",IF(itens_Remanesc!G191="","",itens_Remanesc!G191))</f>
        <v/>
      </c>
      <c r="O191" s="178">
        <f>IF(A191="","",IF($Y191="","",IF($Y191&gt;2,"",IF(ISNUMBER(N191),ROUND(N191+L191,2),IF($Y191=2,ROUND(L191,2),"")))))</f>
        <v/>
      </c>
      <c r="P191" s="180">
        <f>IF(A191="","",ROUND(SUMIFS(aditivos!$L$2:$L$200,aditivos!$A$2:$A$200,A191,aditivos!$C$2:$C$200,"C3"),2))</f>
        <v/>
      </c>
      <c r="Q191" s="176">
        <f>IF(A191="","",ROUND(M191+P191,2))</f>
        <v/>
      </c>
      <c r="R191" s="176">
        <f>IF(A191="","",IF(itens_Remanesc!I191="","",itens_Remanesc!I191))</f>
        <v/>
      </c>
      <c r="S191" s="182">
        <f>IF(A191="","",IF($Y191="","",IF($Y191&gt;3,"",IF(ISNUMBER(R191),ROUND(R191+P191,2),IF($Y191=3,ROUND(P191,2),"")))))</f>
        <v/>
      </c>
      <c r="T191" s="174">
        <f>IF(A191="","",ROUND(SUMIFS(aditivos!$L$2:$L$200,aditivos!$A$2:$A$200,A191,aditivos!$C$2:$C$200,"C4"),2))</f>
        <v/>
      </c>
      <c r="U191" s="170">
        <f>IF(A191="","",ROUND(Q191+T191,2))</f>
        <v/>
      </c>
      <c r="V191" s="170">
        <f>IF(A191="","",IF(itens_Remanesc!K191="","",itens_Remanesc!K191))</f>
        <v/>
      </c>
      <c r="W191" s="170">
        <f>IF(A191="","",IF($Y191="","",IF($Y191&gt;4,"",IF(ISNUMBER(V191),ROUND(V191+T191,2),IF($Y191=4,ROUND(T191,2),"")))))</f>
        <v/>
      </c>
      <c r="X191" s="156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>
        <f>IF($A191="","",IF($E191&gt;0,0,IF($I191&gt;0,1,IF($M191&gt;0,2,IF($Q191&gt;0,3,IF($U191&gt;0,4,""))))))</f>
        <v/>
      </c>
      <c r="Z191">
        <f>IF($A191="",FALSE,AND(LEN(TRIM($A191))=4,LEFT(TRIM($A191),1)="N",ISNUMBER(--MID(TRIM($A191),2,3)),ISERROR(FIND(".",$A191)),ISERROR(FIND(",",$A191)),ISERROR(FIND("-",$A191)),ISERROR(FIND("+",$A191)),ISERROR(SEARCH("E",$A191,2)),ISERROR(FIND(" ",TRIM($A191)))))</f>
        <v/>
      </c>
    </row>
    <row r="192">
      <c r="A192" s="156">
        <f>IF(itens_Remanesc!A192="","",itens_Remanesc!A192)</f>
        <v/>
      </c>
      <c r="B192" s="218">
        <f>IF(A192="","",itens_Remanesc!C192)</f>
        <v/>
      </c>
      <c r="C192" s="172">
        <f>IF(A192="","",IF(itens_Remanesc!B192="",0,itens_Remanesc!B192))</f>
        <v/>
      </c>
      <c r="D192" s="174">
        <f>IF(A192="","",ROUND(SUMIFS(aditivos!$L$2:$L$200,aditivos!$A$2:$A$200,A192,aditivos!$C$2:$C$200,"C0"),2))</f>
        <v/>
      </c>
      <c r="E192" s="170">
        <f>IF(A192="","",ROUND(C192+D192,2))</f>
        <v/>
      </c>
      <c r="F192" s="170">
        <f>IF(A192="","",IF(itens_Remanesc!B192&lt;&gt;"",itens_Remanesc!B192,IF($Z192,0,"")))</f>
        <v/>
      </c>
      <c r="G192" s="178">
        <f>IF(A192="","",IF($Y192="","",IF($Y192&gt;0,"",ROUND(E192,2))))</f>
        <v/>
      </c>
      <c r="H192" s="180">
        <f>IF(A192="","",ROUND(SUMIFS(aditivos!$L$2:$L$200,aditivos!$A$2:$A$200,A192,aditivos!$C$2:$C$200,"C1"),2))</f>
        <v/>
      </c>
      <c r="I192" s="176">
        <f>IF(A192="","",ROUND(E192+H192,2))</f>
        <v/>
      </c>
      <c r="J192" s="176">
        <f>IF(A192="","",IF(itens_Remanesc!E192="","",itens_Remanesc!E192))</f>
        <v/>
      </c>
      <c r="K192" s="182">
        <f>IF(A192="","",IF($Y192="","",IF($Y192&gt;1,"",IF(ISNUMBER(J192),ROUND(J192+H192,2),IF($Y192=1,ROUND(H192,2),"")))))</f>
        <v/>
      </c>
      <c r="L192" s="174">
        <f>IF(A192="","",ROUND(SUMIFS(aditivos!$L$2:$L$200,aditivos!$A$2:$A$200,A192,aditivos!$C$2:$C$200,"C2"),2))</f>
        <v/>
      </c>
      <c r="M192" s="170">
        <f>IF(A192="","",ROUND(I192+L192,2))</f>
        <v/>
      </c>
      <c r="N192" s="170">
        <f>IF(A192="","",IF(itens_Remanesc!G192="","",itens_Remanesc!G192))</f>
        <v/>
      </c>
      <c r="O192" s="178">
        <f>IF(A192="","",IF($Y192="","",IF($Y192&gt;2,"",IF(ISNUMBER(N192),ROUND(N192+L192,2),IF($Y192=2,ROUND(L192,2),"")))))</f>
        <v/>
      </c>
      <c r="P192" s="180">
        <f>IF(A192="","",ROUND(SUMIFS(aditivos!$L$2:$L$200,aditivos!$A$2:$A$200,A192,aditivos!$C$2:$C$200,"C3"),2))</f>
        <v/>
      </c>
      <c r="Q192" s="176">
        <f>IF(A192="","",ROUND(M192+P192,2))</f>
        <v/>
      </c>
      <c r="R192" s="176">
        <f>IF(A192="","",IF(itens_Remanesc!I192="","",itens_Remanesc!I192))</f>
        <v/>
      </c>
      <c r="S192" s="182">
        <f>IF(A192="","",IF($Y192="","",IF($Y192&gt;3,"",IF(ISNUMBER(R192),ROUND(R192+P192,2),IF($Y192=3,ROUND(P192,2),"")))))</f>
        <v/>
      </c>
      <c r="T192" s="174">
        <f>IF(A192="","",ROUND(SUMIFS(aditivos!$L$2:$L$200,aditivos!$A$2:$A$200,A192,aditivos!$C$2:$C$200,"C4"),2))</f>
        <v/>
      </c>
      <c r="U192" s="170">
        <f>IF(A192="","",ROUND(Q192+T192,2))</f>
        <v/>
      </c>
      <c r="V192" s="170">
        <f>IF(A192="","",IF(itens_Remanesc!K192="","",itens_Remanesc!K192))</f>
        <v/>
      </c>
      <c r="W192" s="170">
        <f>IF(A192="","",IF($Y192="","",IF($Y192&gt;4,"",IF(ISNUMBER(V192),ROUND(V192+T192,2),IF($Y192=4,ROUND(T192,2),"")))))</f>
        <v/>
      </c>
      <c r="X192" s="156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>
        <f>IF($A192="","",IF($E192&gt;0,0,IF($I192&gt;0,1,IF($M192&gt;0,2,IF($Q192&gt;0,3,IF($U192&gt;0,4,""))))))</f>
        <v/>
      </c>
      <c r="Z192">
        <f>IF($A192="",FALSE,AND(LEN(TRIM($A192))=4,LEFT(TRIM($A192),1)="N",ISNUMBER(--MID(TRIM($A192),2,3)),ISERROR(FIND(".",$A192)),ISERROR(FIND(",",$A192)),ISERROR(FIND("-",$A192)),ISERROR(FIND("+",$A192)),ISERROR(SEARCH("E",$A192,2)),ISERROR(FIND(" ",TRIM($A192)))))</f>
        <v/>
      </c>
    </row>
    <row r="193">
      <c r="A193" s="156">
        <f>IF(itens_Remanesc!A193="","",itens_Remanesc!A193)</f>
        <v/>
      </c>
      <c r="B193" s="218">
        <f>IF(A193="","",itens_Remanesc!C193)</f>
        <v/>
      </c>
      <c r="C193" s="172">
        <f>IF(A193="","",IF(itens_Remanesc!B193="",0,itens_Remanesc!B193))</f>
        <v/>
      </c>
      <c r="D193" s="174">
        <f>IF(A193="","",ROUND(SUMIFS(aditivos!$L$2:$L$200,aditivos!$A$2:$A$200,A193,aditivos!$C$2:$C$200,"C0"),2))</f>
        <v/>
      </c>
      <c r="E193" s="170">
        <f>IF(A193="","",ROUND(C193+D193,2))</f>
        <v/>
      </c>
      <c r="F193" s="170">
        <f>IF(A193="","",IF(itens_Remanesc!B193&lt;&gt;"",itens_Remanesc!B193,IF($Z193,0,"")))</f>
        <v/>
      </c>
      <c r="G193" s="178">
        <f>IF(A193="","",IF($Y193="","",IF($Y193&gt;0,"",ROUND(E193,2))))</f>
        <v/>
      </c>
      <c r="H193" s="180">
        <f>IF(A193="","",ROUND(SUMIFS(aditivos!$L$2:$L$200,aditivos!$A$2:$A$200,A193,aditivos!$C$2:$C$200,"C1"),2))</f>
        <v/>
      </c>
      <c r="I193" s="176">
        <f>IF(A193="","",ROUND(E193+H193,2))</f>
        <v/>
      </c>
      <c r="J193" s="176">
        <f>IF(A193="","",IF(itens_Remanesc!E193="","",itens_Remanesc!E193))</f>
        <v/>
      </c>
      <c r="K193" s="182">
        <f>IF(A193="","",IF($Y193="","",IF($Y193&gt;1,"",IF(ISNUMBER(J193),ROUND(J193+H193,2),IF($Y193=1,ROUND(H193,2),"")))))</f>
        <v/>
      </c>
      <c r="L193" s="174">
        <f>IF(A193="","",ROUND(SUMIFS(aditivos!$L$2:$L$200,aditivos!$A$2:$A$200,A193,aditivos!$C$2:$C$200,"C2"),2))</f>
        <v/>
      </c>
      <c r="M193" s="170">
        <f>IF(A193="","",ROUND(I193+L193,2))</f>
        <v/>
      </c>
      <c r="N193" s="170">
        <f>IF(A193="","",IF(itens_Remanesc!G193="","",itens_Remanesc!G193))</f>
        <v/>
      </c>
      <c r="O193" s="178">
        <f>IF(A193="","",IF($Y193="","",IF($Y193&gt;2,"",IF(ISNUMBER(N193),ROUND(N193+L193,2),IF($Y193=2,ROUND(L193,2),"")))))</f>
        <v/>
      </c>
      <c r="P193" s="180">
        <f>IF(A193="","",ROUND(SUMIFS(aditivos!$L$2:$L$200,aditivos!$A$2:$A$200,A193,aditivos!$C$2:$C$200,"C3"),2))</f>
        <v/>
      </c>
      <c r="Q193" s="176">
        <f>IF(A193="","",ROUND(M193+P193,2))</f>
        <v/>
      </c>
      <c r="R193" s="176">
        <f>IF(A193="","",IF(itens_Remanesc!I193="","",itens_Remanesc!I193))</f>
        <v/>
      </c>
      <c r="S193" s="182">
        <f>IF(A193="","",IF($Y193="","",IF($Y193&gt;3,"",IF(ISNUMBER(R193),ROUND(R193+P193,2),IF($Y193=3,ROUND(P193,2),"")))))</f>
        <v/>
      </c>
      <c r="T193" s="174">
        <f>IF(A193="","",ROUND(SUMIFS(aditivos!$L$2:$L$200,aditivos!$A$2:$A$200,A193,aditivos!$C$2:$C$200,"C4"),2))</f>
        <v/>
      </c>
      <c r="U193" s="170">
        <f>IF(A193="","",ROUND(Q193+T193,2))</f>
        <v/>
      </c>
      <c r="V193" s="170">
        <f>IF(A193="","",IF(itens_Remanesc!K193="","",itens_Remanesc!K193))</f>
        <v/>
      </c>
      <c r="W193" s="170">
        <f>IF(A193="","",IF($Y193="","",IF($Y193&gt;4,"",IF(ISNUMBER(V193),ROUND(V193+T193,2),IF($Y193=4,ROUND(T193,2),"")))))</f>
        <v/>
      </c>
      <c r="X193" s="156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>
        <f>IF($A193="","",IF($E193&gt;0,0,IF($I193&gt;0,1,IF($M193&gt;0,2,IF($Q193&gt;0,3,IF($U193&gt;0,4,""))))))</f>
        <v/>
      </c>
      <c r="Z193">
        <f>IF($A193="",FALSE,AND(LEN(TRIM($A193))=4,LEFT(TRIM($A193),1)="N",ISNUMBER(--MID(TRIM($A193),2,3)),ISERROR(FIND(".",$A193)),ISERROR(FIND(",",$A193)),ISERROR(FIND("-",$A193)),ISERROR(FIND("+",$A193)),ISERROR(SEARCH("E",$A193,2)),ISERROR(FIND(" ",TRIM($A193)))))</f>
        <v/>
      </c>
    </row>
    <row r="194">
      <c r="A194" s="156">
        <f>IF(itens_Remanesc!A194="","",itens_Remanesc!A194)</f>
        <v/>
      </c>
      <c r="B194" s="218">
        <f>IF(A194="","",itens_Remanesc!C194)</f>
        <v/>
      </c>
      <c r="C194" s="172">
        <f>IF(A194="","",IF(itens_Remanesc!B194="",0,itens_Remanesc!B194))</f>
        <v/>
      </c>
      <c r="D194" s="174">
        <f>IF(A194="","",ROUND(SUMIFS(aditivos!$L$2:$L$200,aditivos!$A$2:$A$200,A194,aditivos!$C$2:$C$200,"C0"),2))</f>
        <v/>
      </c>
      <c r="E194" s="170">
        <f>IF(A194="","",ROUND(C194+D194,2))</f>
        <v/>
      </c>
      <c r="F194" s="170">
        <f>IF(A194="","",IF(itens_Remanesc!B194&lt;&gt;"",itens_Remanesc!B194,IF($Z194,0,"")))</f>
        <v/>
      </c>
      <c r="G194" s="178">
        <f>IF(A194="","",IF($Y194="","",IF($Y194&gt;0,"",ROUND(E194,2))))</f>
        <v/>
      </c>
      <c r="H194" s="180">
        <f>IF(A194="","",ROUND(SUMIFS(aditivos!$L$2:$L$200,aditivos!$A$2:$A$200,A194,aditivos!$C$2:$C$200,"C1"),2))</f>
        <v/>
      </c>
      <c r="I194" s="176">
        <f>IF(A194="","",ROUND(E194+H194,2))</f>
        <v/>
      </c>
      <c r="J194" s="176">
        <f>IF(A194="","",IF(itens_Remanesc!E194="","",itens_Remanesc!E194))</f>
        <v/>
      </c>
      <c r="K194" s="182">
        <f>IF(A194="","",IF($Y194="","",IF($Y194&gt;1,"",IF(ISNUMBER(J194),ROUND(J194+H194,2),IF($Y194=1,ROUND(H194,2),"")))))</f>
        <v/>
      </c>
      <c r="L194" s="174">
        <f>IF(A194="","",ROUND(SUMIFS(aditivos!$L$2:$L$200,aditivos!$A$2:$A$200,A194,aditivos!$C$2:$C$200,"C2"),2))</f>
        <v/>
      </c>
      <c r="M194" s="170">
        <f>IF(A194="","",ROUND(I194+L194,2))</f>
        <v/>
      </c>
      <c r="N194" s="170">
        <f>IF(A194="","",IF(itens_Remanesc!G194="","",itens_Remanesc!G194))</f>
        <v/>
      </c>
      <c r="O194" s="178">
        <f>IF(A194="","",IF($Y194="","",IF($Y194&gt;2,"",IF(ISNUMBER(N194),ROUND(N194+L194,2),IF($Y194=2,ROUND(L194,2),"")))))</f>
        <v/>
      </c>
      <c r="P194" s="180">
        <f>IF(A194="","",ROUND(SUMIFS(aditivos!$L$2:$L$200,aditivos!$A$2:$A$200,A194,aditivos!$C$2:$C$200,"C3"),2))</f>
        <v/>
      </c>
      <c r="Q194" s="176">
        <f>IF(A194="","",ROUND(M194+P194,2))</f>
        <v/>
      </c>
      <c r="R194" s="176">
        <f>IF(A194="","",IF(itens_Remanesc!I194="","",itens_Remanesc!I194))</f>
        <v/>
      </c>
      <c r="S194" s="182">
        <f>IF(A194="","",IF($Y194="","",IF($Y194&gt;3,"",IF(ISNUMBER(R194),ROUND(R194+P194,2),IF($Y194=3,ROUND(P194,2),"")))))</f>
        <v/>
      </c>
      <c r="T194" s="174">
        <f>IF(A194="","",ROUND(SUMIFS(aditivos!$L$2:$L$200,aditivos!$A$2:$A$200,A194,aditivos!$C$2:$C$200,"C4"),2))</f>
        <v/>
      </c>
      <c r="U194" s="170">
        <f>IF(A194="","",ROUND(Q194+T194,2))</f>
        <v/>
      </c>
      <c r="V194" s="170">
        <f>IF(A194="","",IF(itens_Remanesc!K194="","",itens_Remanesc!K194))</f>
        <v/>
      </c>
      <c r="W194" s="170">
        <f>IF(A194="","",IF($Y194="","",IF($Y194&gt;4,"",IF(ISNUMBER(V194),ROUND(V194+T194,2),IF($Y194=4,ROUND(T194,2),"")))))</f>
        <v/>
      </c>
      <c r="X194" s="156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>
        <f>IF($A194="","",IF($E194&gt;0,0,IF($I194&gt;0,1,IF($M194&gt;0,2,IF($Q194&gt;0,3,IF($U194&gt;0,4,""))))))</f>
        <v/>
      </c>
      <c r="Z194">
        <f>IF($A194="",FALSE,AND(LEN(TRIM($A194))=4,LEFT(TRIM($A194),1)="N",ISNUMBER(--MID(TRIM($A194),2,3)),ISERROR(FIND(".",$A194)),ISERROR(FIND(",",$A194)),ISERROR(FIND("-",$A194)),ISERROR(FIND("+",$A194)),ISERROR(SEARCH("E",$A194,2)),ISERROR(FIND(" ",TRIM($A194)))))</f>
        <v/>
      </c>
    </row>
    <row r="195">
      <c r="A195" s="156">
        <f>IF(itens_Remanesc!A195="","",itens_Remanesc!A195)</f>
        <v/>
      </c>
      <c r="B195" s="218">
        <f>IF(A195="","",itens_Remanesc!C195)</f>
        <v/>
      </c>
      <c r="C195" s="172">
        <f>IF(A195="","",IF(itens_Remanesc!B195="",0,itens_Remanesc!B195))</f>
        <v/>
      </c>
      <c r="D195" s="174">
        <f>IF(A195="","",ROUND(SUMIFS(aditivos!$L$2:$L$200,aditivos!$A$2:$A$200,A195,aditivos!$C$2:$C$200,"C0"),2))</f>
        <v/>
      </c>
      <c r="E195" s="170">
        <f>IF(A195="","",ROUND(C195+D195,2))</f>
        <v/>
      </c>
      <c r="F195" s="170">
        <f>IF(A195="","",IF(itens_Remanesc!B195&lt;&gt;"",itens_Remanesc!B195,IF($Z195,0,"")))</f>
        <v/>
      </c>
      <c r="G195" s="178">
        <f>IF(A195="","",IF($Y195="","",IF($Y195&gt;0,"",ROUND(E195,2))))</f>
        <v/>
      </c>
      <c r="H195" s="180">
        <f>IF(A195="","",ROUND(SUMIFS(aditivos!$L$2:$L$200,aditivos!$A$2:$A$200,A195,aditivos!$C$2:$C$200,"C1"),2))</f>
        <v/>
      </c>
      <c r="I195" s="176">
        <f>IF(A195="","",ROUND(E195+H195,2))</f>
        <v/>
      </c>
      <c r="J195" s="176">
        <f>IF(A195="","",IF(itens_Remanesc!E195="","",itens_Remanesc!E195))</f>
        <v/>
      </c>
      <c r="K195" s="182">
        <f>IF(A195="","",IF($Y195="","",IF($Y195&gt;1,"",IF(ISNUMBER(J195),ROUND(J195+H195,2),IF($Y195=1,ROUND(H195,2),"")))))</f>
        <v/>
      </c>
      <c r="L195" s="174">
        <f>IF(A195="","",ROUND(SUMIFS(aditivos!$L$2:$L$200,aditivos!$A$2:$A$200,A195,aditivos!$C$2:$C$200,"C2"),2))</f>
        <v/>
      </c>
      <c r="M195" s="170">
        <f>IF(A195="","",ROUND(I195+L195,2))</f>
        <v/>
      </c>
      <c r="N195" s="170">
        <f>IF(A195="","",IF(itens_Remanesc!G195="","",itens_Remanesc!G195))</f>
        <v/>
      </c>
      <c r="O195" s="178">
        <f>IF(A195="","",IF($Y195="","",IF($Y195&gt;2,"",IF(ISNUMBER(N195),ROUND(N195+L195,2),IF($Y195=2,ROUND(L195,2),"")))))</f>
        <v/>
      </c>
      <c r="P195" s="180">
        <f>IF(A195="","",ROUND(SUMIFS(aditivos!$L$2:$L$200,aditivos!$A$2:$A$200,A195,aditivos!$C$2:$C$200,"C3"),2))</f>
        <v/>
      </c>
      <c r="Q195" s="176">
        <f>IF(A195="","",ROUND(M195+P195,2))</f>
        <v/>
      </c>
      <c r="R195" s="176">
        <f>IF(A195="","",IF(itens_Remanesc!I195="","",itens_Remanesc!I195))</f>
        <v/>
      </c>
      <c r="S195" s="182">
        <f>IF(A195="","",IF($Y195="","",IF($Y195&gt;3,"",IF(ISNUMBER(R195),ROUND(R195+P195,2),IF($Y195=3,ROUND(P195,2),"")))))</f>
        <v/>
      </c>
      <c r="T195" s="174">
        <f>IF(A195="","",ROUND(SUMIFS(aditivos!$L$2:$L$200,aditivos!$A$2:$A$200,A195,aditivos!$C$2:$C$200,"C4"),2))</f>
        <v/>
      </c>
      <c r="U195" s="170">
        <f>IF(A195="","",ROUND(Q195+T195,2))</f>
        <v/>
      </c>
      <c r="V195" s="170">
        <f>IF(A195="","",IF(itens_Remanesc!K195="","",itens_Remanesc!K195))</f>
        <v/>
      </c>
      <c r="W195" s="170">
        <f>IF(A195="","",IF($Y195="","",IF($Y195&gt;4,"",IF(ISNUMBER(V195),ROUND(V195+T195,2),IF($Y195=4,ROUND(T195,2),"")))))</f>
        <v/>
      </c>
      <c r="X195" s="156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>
        <f>IF($A195="","",IF($E195&gt;0,0,IF($I195&gt;0,1,IF($M195&gt;0,2,IF($Q195&gt;0,3,IF($U195&gt;0,4,""))))))</f>
        <v/>
      </c>
      <c r="Z195">
        <f>IF($A195="",FALSE,AND(LEN(TRIM($A195))=4,LEFT(TRIM($A195),1)="N",ISNUMBER(--MID(TRIM($A195),2,3)),ISERROR(FIND(".",$A195)),ISERROR(FIND(",",$A195)),ISERROR(FIND("-",$A195)),ISERROR(FIND("+",$A195)),ISERROR(SEARCH("E",$A195,2)),ISERROR(FIND(" ",TRIM($A195)))))</f>
        <v/>
      </c>
    </row>
    <row r="196">
      <c r="A196" s="156">
        <f>IF(itens_Remanesc!A196="","",itens_Remanesc!A196)</f>
        <v/>
      </c>
      <c r="B196" s="218">
        <f>IF(A196="","",itens_Remanesc!C196)</f>
        <v/>
      </c>
      <c r="C196" s="172">
        <f>IF(A196="","",IF(itens_Remanesc!B196="",0,itens_Remanesc!B196))</f>
        <v/>
      </c>
      <c r="D196" s="174">
        <f>IF(A196="","",ROUND(SUMIFS(aditivos!$L$2:$L$200,aditivos!$A$2:$A$200,A196,aditivos!$C$2:$C$200,"C0"),2))</f>
        <v/>
      </c>
      <c r="E196" s="170">
        <f>IF(A196="","",ROUND(C196+D196,2))</f>
        <v/>
      </c>
      <c r="F196" s="170">
        <f>IF(A196="","",IF(itens_Remanesc!B196&lt;&gt;"",itens_Remanesc!B196,IF($Z196,0,"")))</f>
        <v/>
      </c>
      <c r="G196" s="178">
        <f>IF(A196="","",IF($Y196="","",IF($Y196&gt;0,"",ROUND(E196,2))))</f>
        <v/>
      </c>
      <c r="H196" s="180">
        <f>IF(A196="","",ROUND(SUMIFS(aditivos!$L$2:$L$200,aditivos!$A$2:$A$200,A196,aditivos!$C$2:$C$200,"C1"),2))</f>
        <v/>
      </c>
      <c r="I196" s="176">
        <f>IF(A196="","",ROUND(E196+H196,2))</f>
        <v/>
      </c>
      <c r="J196" s="176">
        <f>IF(A196="","",IF(itens_Remanesc!E196="","",itens_Remanesc!E196))</f>
        <v/>
      </c>
      <c r="K196" s="182">
        <f>IF(A196="","",IF($Y196="","",IF($Y196&gt;1,"",IF(ISNUMBER(J196),ROUND(J196+H196,2),IF($Y196=1,ROUND(H196,2),"")))))</f>
        <v/>
      </c>
      <c r="L196" s="174">
        <f>IF(A196="","",ROUND(SUMIFS(aditivos!$L$2:$L$200,aditivos!$A$2:$A$200,A196,aditivos!$C$2:$C$200,"C2"),2))</f>
        <v/>
      </c>
      <c r="M196" s="170">
        <f>IF(A196="","",ROUND(I196+L196,2))</f>
        <v/>
      </c>
      <c r="N196" s="170">
        <f>IF(A196="","",IF(itens_Remanesc!G196="","",itens_Remanesc!G196))</f>
        <v/>
      </c>
      <c r="O196" s="178">
        <f>IF(A196="","",IF($Y196="","",IF($Y196&gt;2,"",IF(ISNUMBER(N196),ROUND(N196+L196,2),IF($Y196=2,ROUND(L196,2),"")))))</f>
        <v/>
      </c>
      <c r="P196" s="180">
        <f>IF(A196="","",ROUND(SUMIFS(aditivos!$L$2:$L$200,aditivos!$A$2:$A$200,A196,aditivos!$C$2:$C$200,"C3"),2))</f>
        <v/>
      </c>
      <c r="Q196" s="176">
        <f>IF(A196="","",ROUND(M196+P196,2))</f>
        <v/>
      </c>
      <c r="R196" s="176">
        <f>IF(A196="","",IF(itens_Remanesc!I196="","",itens_Remanesc!I196))</f>
        <v/>
      </c>
      <c r="S196" s="182">
        <f>IF(A196="","",IF($Y196="","",IF($Y196&gt;3,"",IF(ISNUMBER(R196),ROUND(R196+P196,2),IF($Y196=3,ROUND(P196,2),"")))))</f>
        <v/>
      </c>
      <c r="T196" s="174">
        <f>IF(A196="","",ROUND(SUMIFS(aditivos!$L$2:$L$200,aditivos!$A$2:$A$200,A196,aditivos!$C$2:$C$200,"C4"),2))</f>
        <v/>
      </c>
      <c r="U196" s="170">
        <f>IF(A196="","",ROUND(Q196+T196,2))</f>
        <v/>
      </c>
      <c r="V196" s="170">
        <f>IF(A196="","",IF(itens_Remanesc!K196="","",itens_Remanesc!K196))</f>
        <v/>
      </c>
      <c r="W196" s="170">
        <f>IF(A196="","",IF($Y196="","",IF($Y196&gt;4,"",IF(ISNUMBER(V196),ROUND(V196+T196,2),IF($Y196=4,ROUND(T196,2),"")))))</f>
        <v/>
      </c>
      <c r="X196" s="156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>
        <f>IF($A196="","",IF($E196&gt;0,0,IF($I196&gt;0,1,IF($M196&gt;0,2,IF($Q196&gt;0,3,IF($U196&gt;0,4,""))))))</f>
        <v/>
      </c>
      <c r="Z196">
        <f>IF($A196="",FALSE,AND(LEN(TRIM($A196))=4,LEFT(TRIM($A196),1)="N",ISNUMBER(--MID(TRIM($A196),2,3)),ISERROR(FIND(".",$A196)),ISERROR(FIND(",",$A196)),ISERROR(FIND("-",$A196)),ISERROR(FIND("+",$A196)),ISERROR(SEARCH("E",$A196,2)),ISERROR(FIND(" ",TRIM($A196)))))</f>
        <v/>
      </c>
    </row>
    <row r="197">
      <c r="A197" s="156">
        <f>IF(itens_Remanesc!A197="","",itens_Remanesc!A197)</f>
        <v/>
      </c>
      <c r="B197" s="218">
        <f>IF(A197="","",itens_Remanesc!C197)</f>
        <v/>
      </c>
      <c r="C197" s="172">
        <f>IF(A197="","",IF(itens_Remanesc!B197="",0,itens_Remanesc!B197))</f>
        <v/>
      </c>
      <c r="D197" s="174">
        <f>IF(A197="","",ROUND(SUMIFS(aditivos!$L$2:$L$200,aditivos!$A$2:$A$200,A197,aditivos!$C$2:$C$200,"C0"),2))</f>
        <v/>
      </c>
      <c r="E197" s="170">
        <f>IF(A197="","",ROUND(C197+D197,2))</f>
        <v/>
      </c>
      <c r="F197" s="170">
        <f>IF(A197="","",IF(itens_Remanesc!B197&lt;&gt;"",itens_Remanesc!B197,IF($Z197,0,"")))</f>
        <v/>
      </c>
      <c r="G197" s="178">
        <f>IF(A197="","",IF($Y197="","",IF($Y197&gt;0,"",ROUND(E197,2))))</f>
        <v/>
      </c>
      <c r="H197" s="180">
        <f>IF(A197="","",ROUND(SUMIFS(aditivos!$L$2:$L$200,aditivos!$A$2:$A$200,A197,aditivos!$C$2:$C$200,"C1"),2))</f>
        <v/>
      </c>
      <c r="I197" s="176">
        <f>IF(A197="","",ROUND(E197+H197,2))</f>
        <v/>
      </c>
      <c r="J197" s="176">
        <f>IF(A197="","",IF(itens_Remanesc!E197="","",itens_Remanesc!E197))</f>
        <v/>
      </c>
      <c r="K197" s="182">
        <f>IF(A197="","",IF($Y197="","",IF($Y197&gt;1,"",IF(ISNUMBER(J197),ROUND(J197+H197,2),IF($Y197=1,ROUND(H197,2),"")))))</f>
        <v/>
      </c>
      <c r="L197" s="174">
        <f>IF(A197="","",ROUND(SUMIFS(aditivos!$L$2:$L$200,aditivos!$A$2:$A$200,A197,aditivos!$C$2:$C$200,"C2"),2))</f>
        <v/>
      </c>
      <c r="M197" s="170">
        <f>IF(A197="","",ROUND(I197+L197,2))</f>
        <v/>
      </c>
      <c r="N197" s="170">
        <f>IF(A197="","",IF(itens_Remanesc!G197="","",itens_Remanesc!G197))</f>
        <v/>
      </c>
      <c r="O197" s="178">
        <f>IF(A197="","",IF($Y197="","",IF($Y197&gt;2,"",IF(ISNUMBER(N197),ROUND(N197+L197,2),IF($Y197=2,ROUND(L197,2),"")))))</f>
        <v/>
      </c>
      <c r="P197" s="180">
        <f>IF(A197="","",ROUND(SUMIFS(aditivos!$L$2:$L$200,aditivos!$A$2:$A$200,A197,aditivos!$C$2:$C$200,"C3"),2))</f>
        <v/>
      </c>
      <c r="Q197" s="176">
        <f>IF(A197="","",ROUND(M197+P197,2))</f>
        <v/>
      </c>
      <c r="R197" s="176">
        <f>IF(A197="","",IF(itens_Remanesc!I197="","",itens_Remanesc!I197))</f>
        <v/>
      </c>
      <c r="S197" s="182">
        <f>IF(A197="","",IF($Y197="","",IF($Y197&gt;3,"",IF(ISNUMBER(R197),ROUND(R197+P197,2),IF($Y197=3,ROUND(P197,2),"")))))</f>
        <v/>
      </c>
      <c r="T197" s="174">
        <f>IF(A197="","",ROUND(SUMIFS(aditivos!$L$2:$L$200,aditivos!$A$2:$A$200,A197,aditivos!$C$2:$C$200,"C4"),2))</f>
        <v/>
      </c>
      <c r="U197" s="170">
        <f>IF(A197="","",ROUND(Q197+T197,2))</f>
        <v/>
      </c>
      <c r="V197" s="170">
        <f>IF(A197="","",IF(itens_Remanesc!K197="","",itens_Remanesc!K197))</f>
        <v/>
      </c>
      <c r="W197" s="170">
        <f>IF(A197="","",IF($Y197="","",IF($Y197&gt;4,"",IF(ISNUMBER(V197),ROUND(V197+T197,2),IF($Y197=4,ROUND(T197,2),"")))))</f>
        <v/>
      </c>
      <c r="X197" s="156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>
        <f>IF($A197="","",IF($E197&gt;0,0,IF($I197&gt;0,1,IF($M197&gt;0,2,IF($Q197&gt;0,3,IF($U197&gt;0,4,""))))))</f>
        <v/>
      </c>
      <c r="Z197">
        <f>IF($A197="",FALSE,AND(LEN(TRIM($A197))=4,LEFT(TRIM($A197),1)="N",ISNUMBER(--MID(TRIM($A197),2,3)),ISERROR(FIND(".",$A197)),ISERROR(FIND(",",$A197)),ISERROR(FIND("-",$A197)),ISERROR(FIND("+",$A197)),ISERROR(SEARCH("E",$A197,2)),ISERROR(FIND(" ",TRIM($A197)))))</f>
        <v/>
      </c>
    </row>
    <row r="198">
      <c r="A198" s="156">
        <f>IF(itens_Remanesc!A198="","",itens_Remanesc!A198)</f>
        <v/>
      </c>
      <c r="B198" s="218">
        <f>IF(A198="","",itens_Remanesc!C198)</f>
        <v/>
      </c>
      <c r="C198" s="172">
        <f>IF(A198="","",IF(itens_Remanesc!B198="",0,itens_Remanesc!B198))</f>
        <v/>
      </c>
      <c r="D198" s="174">
        <f>IF(A198="","",ROUND(SUMIFS(aditivos!$L$2:$L$200,aditivos!$A$2:$A$200,A198,aditivos!$C$2:$C$200,"C0"),2))</f>
        <v/>
      </c>
      <c r="E198" s="170">
        <f>IF(A198="","",ROUND(C198+D198,2))</f>
        <v/>
      </c>
      <c r="F198" s="170">
        <f>IF(A198="","",IF(itens_Remanesc!B198&lt;&gt;"",itens_Remanesc!B198,IF($Z198,0,"")))</f>
        <v/>
      </c>
      <c r="G198" s="178">
        <f>IF(A198="","",IF($Y198="","",IF($Y198&gt;0,"",ROUND(E198,2))))</f>
        <v/>
      </c>
      <c r="H198" s="180">
        <f>IF(A198="","",ROUND(SUMIFS(aditivos!$L$2:$L$200,aditivos!$A$2:$A$200,A198,aditivos!$C$2:$C$200,"C1"),2))</f>
        <v/>
      </c>
      <c r="I198" s="176">
        <f>IF(A198="","",ROUND(E198+H198,2))</f>
        <v/>
      </c>
      <c r="J198" s="176">
        <f>IF(A198="","",IF(itens_Remanesc!E198="","",itens_Remanesc!E198))</f>
        <v/>
      </c>
      <c r="K198" s="182">
        <f>IF(A198="","",IF($Y198="","",IF($Y198&gt;1,"",IF(ISNUMBER(J198),ROUND(J198+H198,2),IF($Y198=1,ROUND(H198,2),"")))))</f>
        <v/>
      </c>
      <c r="L198" s="174">
        <f>IF(A198="","",ROUND(SUMIFS(aditivos!$L$2:$L$200,aditivos!$A$2:$A$200,A198,aditivos!$C$2:$C$200,"C2"),2))</f>
        <v/>
      </c>
      <c r="M198" s="170">
        <f>IF(A198="","",ROUND(I198+L198,2))</f>
        <v/>
      </c>
      <c r="N198" s="170">
        <f>IF(A198="","",IF(itens_Remanesc!G198="","",itens_Remanesc!G198))</f>
        <v/>
      </c>
      <c r="O198" s="178">
        <f>IF(A198="","",IF($Y198="","",IF($Y198&gt;2,"",IF(ISNUMBER(N198),ROUND(N198+L198,2),IF($Y198=2,ROUND(L198,2),"")))))</f>
        <v/>
      </c>
      <c r="P198" s="180">
        <f>IF(A198="","",ROUND(SUMIFS(aditivos!$L$2:$L$200,aditivos!$A$2:$A$200,A198,aditivos!$C$2:$C$200,"C3"),2))</f>
        <v/>
      </c>
      <c r="Q198" s="176">
        <f>IF(A198="","",ROUND(M198+P198,2))</f>
        <v/>
      </c>
      <c r="R198" s="176">
        <f>IF(A198="","",IF(itens_Remanesc!I198="","",itens_Remanesc!I198))</f>
        <v/>
      </c>
      <c r="S198" s="182">
        <f>IF(A198="","",IF($Y198="","",IF($Y198&gt;3,"",IF(ISNUMBER(R198),ROUND(R198+P198,2),IF($Y198=3,ROUND(P198,2),"")))))</f>
        <v/>
      </c>
      <c r="T198" s="174">
        <f>IF(A198="","",ROUND(SUMIFS(aditivos!$L$2:$L$200,aditivos!$A$2:$A$200,A198,aditivos!$C$2:$C$200,"C4"),2))</f>
        <v/>
      </c>
      <c r="U198" s="170">
        <f>IF(A198="","",ROUND(Q198+T198,2))</f>
        <v/>
      </c>
      <c r="V198" s="170">
        <f>IF(A198="","",IF(itens_Remanesc!K198="","",itens_Remanesc!K198))</f>
        <v/>
      </c>
      <c r="W198" s="170">
        <f>IF(A198="","",IF($Y198="","",IF($Y198&gt;4,"",IF(ISNUMBER(V198),ROUND(V198+T198,2),IF($Y198=4,ROUND(T198,2),"")))))</f>
        <v/>
      </c>
      <c r="X198" s="156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>
        <f>IF($A198="","",IF($E198&gt;0,0,IF($I198&gt;0,1,IF($M198&gt;0,2,IF($Q198&gt;0,3,IF($U198&gt;0,4,""))))))</f>
        <v/>
      </c>
      <c r="Z198">
        <f>IF($A198="",FALSE,AND(LEN(TRIM($A198))=4,LEFT(TRIM($A198),1)="N",ISNUMBER(--MID(TRIM($A198),2,3)),ISERROR(FIND(".",$A198)),ISERROR(FIND(",",$A198)),ISERROR(FIND("-",$A198)),ISERROR(FIND("+",$A198)),ISERROR(SEARCH("E",$A198,2)),ISERROR(FIND(" ",TRIM($A198)))))</f>
        <v/>
      </c>
    </row>
    <row r="199">
      <c r="A199" s="156">
        <f>IF(itens_Remanesc!A199="","",itens_Remanesc!A199)</f>
        <v/>
      </c>
      <c r="B199" s="218">
        <f>IF(A199="","",itens_Remanesc!C199)</f>
        <v/>
      </c>
      <c r="C199" s="172">
        <f>IF(A199="","",IF(itens_Remanesc!B199="",0,itens_Remanesc!B199))</f>
        <v/>
      </c>
      <c r="D199" s="174">
        <f>IF(A199="","",ROUND(SUMIFS(aditivos!$L$2:$L$200,aditivos!$A$2:$A$200,A199,aditivos!$C$2:$C$200,"C0"),2))</f>
        <v/>
      </c>
      <c r="E199" s="170">
        <f>IF(A199="","",ROUND(C199+D199,2))</f>
        <v/>
      </c>
      <c r="F199" s="170">
        <f>IF(A199="","",IF(itens_Remanesc!B199&lt;&gt;"",itens_Remanesc!B199,IF($Z199,0,"")))</f>
        <v/>
      </c>
      <c r="G199" s="178">
        <f>IF(A199="","",IF($Y199="","",IF($Y199&gt;0,"",ROUND(E199,2))))</f>
        <v/>
      </c>
      <c r="H199" s="180">
        <f>IF(A199="","",ROUND(SUMIFS(aditivos!$L$2:$L$200,aditivos!$A$2:$A$200,A199,aditivos!$C$2:$C$200,"C1"),2))</f>
        <v/>
      </c>
      <c r="I199" s="176">
        <f>IF(A199="","",ROUND(E199+H199,2))</f>
        <v/>
      </c>
      <c r="J199" s="176">
        <f>IF(A199="","",IF(itens_Remanesc!E199="","",itens_Remanesc!E199))</f>
        <v/>
      </c>
      <c r="K199" s="182">
        <f>IF(A199="","",IF($Y199="","",IF($Y199&gt;1,"",IF(ISNUMBER(J199),ROUND(J199+H199,2),IF($Y199=1,ROUND(H199,2),"")))))</f>
        <v/>
      </c>
      <c r="L199" s="174">
        <f>IF(A199="","",ROUND(SUMIFS(aditivos!$L$2:$L$200,aditivos!$A$2:$A$200,A199,aditivos!$C$2:$C$200,"C2"),2))</f>
        <v/>
      </c>
      <c r="M199" s="170">
        <f>IF(A199="","",ROUND(I199+L199,2))</f>
        <v/>
      </c>
      <c r="N199" s="170">
        <f>IF(A199="","",IF(itens_Remanesc!G199="","",itens_Remanesc!G199))</f>
        <v/>
      </c>
      <c r="O199" s="178">
        <f>IF(A199="","",IF($Y199="","",IF($Y199&gt;2,"",IF(ISNUMBER(N199),ROUND(N199+L199,2),IF($Y199=2,ROUND(L199,2),"")))))</f>
        <v/>
      </c>
      <c r="P199" s="180">
        <f>IF(A199="","",ROUND(SUMIFS(aditivos!$L$2:$L$200,aditivos!$A$2:$A$200,A199,aditivos!$C$2:$C$200,"C3"),2))</f>
        <v/>
      </c>
      <c r="Q199" s="176">
        <f>IF(A199="","",ROUND(M199+P199,2))</f>
        <v/>
      </c>
      <c r="R199" s="176">
        <f>IF(A199="","",IF(itens_Remanesc!I199="","",itens_Remanesc!I199))</f>
        <v/>
      </c>
      <c r="S199" s="182">
        <f>IF(A199="","",IF($Y199="","",IF($Y199&gt;3,"",IF(ISNUMBER(R199),ROUND(R199+P199,2),IF($Y199=3,ROUND(P199,2),"")))))</f>
        <v/>
      </c>
      <c r="T199" s="174">
        <f>IF(A199="","",ROUND(SUMIFS(aditivos!$L$2:$L$200,aditivos!$A$2:$A$200,A199,aditivos!$C$2:$C$200,"C4"),2))</f>
        <v/>
      </c>
      <c r="U199" s="170">
        <f>IF(A199="","",ROUND(Q199+T199,2))</f>
        <v/>
      </c>
      <c r="V199" s="170">
        <f>IF(A199="","",IF(itens_Remanesc!K199="","",itens_Remanesc!K199))</f>
        <v/>
      </c>
      <c r="W199" s="170">
        <f>IF(A199="","",IF($Y199="","",IF($Y199&gt;4,"",IF(ISNUMBER(V199),ROUND(V199+T199,2),IF($Y199=4,ROUND(T199,2),"")))))</f>
        <v/>
      </c>
      <c r="X199" s="156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>
        <f>IF($A199="","",IF($E199&gt;0,0,IF($I199&gt;0,1,IF($M199&gt;0,2,IF($Q199&gt;0,3,IF($U199&gt;0,4,""))))))</f>
        <v/>
      </c>
      <c r="Z199">
        <f>IF($A199="",FALSE,AND(LEN(TRIM($A199))=4,LEFT(TRIM($A199),1)="N",ISNUMBER(--MID(TRIM($A199),2,3)),ISERROR(FIND(".",$A199)),ISERROR(FIND(",",$A199)),ISERROR(FIND("-",$A199)),ISERROR(FIND("+",$A199)),ISERROR(SEARCH("E",$A199,2)),ISERROR(FIND(" ",TRIM($A199)))))</f>
        <v/>
      </c>
    </row>
    <row r="200">
      <c r="A200" s="156">
        <f>IF(itens_Remanesc!A200="","",itens_Remanesc!A200)</f>
        <v/>
      </c>
      <c r="B200" s="218">
        <f>IF(A200="","",itens_Remanesc!C200)</f>
        <v/>
      </c>
      <c r="C200" s="172">
        <f>IF(A200="","",IF(itens_Remanesc!B200="",0,itens_Remanesc!B200))</f>
        <v/>
      </c>
      <c r="D200" s="174">
        <f>IF(A200="","",ROUND(SUMIFS(aditivos!$L$2:$L$200,aditivos!$A$2:$A$200,A200,aditivos!$C$2:$C$200,"C0"),2))</f>
        <v/>
      </c>
      <c r="E200" s="170">
        <f>IF(A200="","",ROUND(C200+D200,2))</f>
        <v/>
      </c>
      <c r="F200" s="170">
        <f>IF(A200="","",IF(itens_Remanesc!B200&lt;&gt;"",itens_Remanesc!B200,IF($Z200,0,"")))</f>
        <v/>
      </c>
      <c r="G200" s="178">
        <f>IF(A200="","",IF($Y200="","",IF($Y200&gt;0,"",ROUND(E200,2))))</f>
        <v/>
      </c>
      <c r="H200" s="180">
        <f>IF(A200="","",ROUND(SUMIFS(aditivos!$L$2:$L$200,aditivos!$A$2:$A$200,A200,aditivos!$C$2:$C$200,"C1"),2))</f>
        <v/>
      </c>
      <c r="I200" s="176">
        <f>IF(A200="","",ROUND(E200+H200,2))</f>
        <v/>
      </c>
      <c r="J200" s="176">
        <f>IF(A200="","",IF(itens_Remanesc!E200="","",itens_Remanesc!E200))</f>
        <v/>
      </c>
      <c r="K200" s="182">
        <f>IF(A200="","",IF($Y200="","",IF($Y200&gt;1,"",IF(ISNUMBER(J200),ROUND(J200+H200,2),IF($Y200=1,ROUND(H200,2),"")))))</f>
        <v/>
      </c>
      <c r="L200" s="174">
        <f>IF(A200="","",ROUND(SUMIFS(aditivos!$L$2:$L$200,aditivos!$A$2:$A$200,A200,aditivos!$C$2:$C$200,"C2"),2))</f>
        <v/>
      </c>
      <c r="M200" s="170">
        <f>IF(A200="","",ROUND(I200+L200,2))</f>
        <v/>
      </c>
      <c r="N200" s="170">
        <f>IF(A200="","",IF(itens_Remanesc!G200="","",itens_Remanesc!G200))</f>
        <v/>
      </c>
      <c r="O200" s="178">
        <f>IF(A200="","",IF($Y200="","",IF($Y200&gt;2,"",IF(ISNUMBER(N200),ROUND(N200+L200,2),IF($Y200=2,ROUND(L200,2),"")))))</f>
        <v/>
      </c>
      <c r="P200" s="180">
        <f>IF(A200="","",ROUND(SUMIFS(aditivos!$L$2:$L$200,aditivos!$A$2:$A$200,A200,aditivos!$C$2:$C$200,"C3"),2))</f>
        <v/>
      </c>
      <c r="Q200" s="176">
        <f>IF(A200="","",ROUND(M200+P200,2))</f>
        <v/>
      </c>
      <c r="R200" s="176">
        <f>IF(A200="","",IF(itens_Remanesc!I200="","",itens_Remanesc!I200))</f>
        <v/>
      </c>
      <c r="S200" s="182">
        <f>IF(A200="","",IF($Y200="","",IF($Y200&gt;3,"",IF(ISNUMBER(R200),ROUND(R200+P200,2),IF($Y200=3,ROUND(P200,2),"")))))</f>
        <v/>
      </c>
      <c r="T200" s="174">
        <f>IF(A200="","",ROUND(SUMIFS(aditivos!$L$2:$L$200,aditivos!$A$2:$A$200,A200,aditivos!$C$2:$C$200,"C4"),2))</f>
        <v/>
      </c>
      <c r="U200" s="170">
        <f>IF(A200="","",ROUND(Q200+T200,2))</f>
        <v/>
      </c>
      <c r="V200" s="170">
        <f>IF(A200="","",IF(itens_Remanesc!K200="","",itens_Remanesc!K200))</f>
        <v/>
      </c>
      <c r="W200" s="170">
        <f>IF(A200="","",IF($Y200="","",IF($Y200&gt;4,"",IF(ISNUMBER(V200),ROUND(V200+T200,2),IF($Y200=4,ROUND(T200,2),"")))))</f>
        <v/>
      </c>
      <c r="X200" s="156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>
        <f>IF($A200="","",IF($E200&gt;0,0,IF($I200&gt;0,1,IF($M200&gt;0,2,IF($Q200&gt;0,3,IF($U200&gt;0,4,""))))))</f>
        <v/>
      </c>
      <c r="Z200">
        <f>IF($A200="",FALSE,AND(LEN(TRIM($A200))=4,LEFT(TRIM($A200),1)="N",ISNUMBER(--MID(TRIM($A200),2,3)),ISERROR(FIND(".",$A200)),ISERROR(FIND(",",$A200)),ISERROR(FIND("-",$A200)),ISERROR(FIND("+",$A200)),ISERROR(SEARCH("E",$A200,2)),ISERROR(FIND(" ",TRIM($A200)))))</f>
        <v/>
      </c>
    </row>
    <row r="201">
      <c r="B201" s="2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03"/>
  <sheetViews>
    <sheetView showGridLines="0" workbookViewId="0">
      <pane ySplit="2" topLeftCell="A3" activePane="bottomLeft" state="frozen"/>
      <selection pane="bottomLeft" activeCell="A1" sqref="A1:A2"/>
    </sheetView>
  </sheetViews>
  <sheetFormatPr baseColWidth="8" defaultColWidth="8.54296875" defaultRowHeight="14.5"/>
  <cols>
    <col width="8" customWidth="1" style="289" min="1" max="1"/>
    <col width="14" customWidth="1" style="289" min="2" max="2"/>
    <col width="12" customWidth="1" style="289" min="3" max="3"/>
    <col width="15" customWidth="1" style="289" min="4" max="4"/>
    <col width="14" customWidth="1" style="289" min="5" max="5"/>
    <col width="12" customWidth="1" style="289" min="6" max="6"/>
    <col width="15" customWidth="1" style="289" min="7" max="7"/>
    <col width="14" customWidth="1" style="289" min="8" max="8"/>
    <col width="12" customWidth="1" style="289" min="9" max="9"/>
    <col width="18.1796875" customWidth="1" style="289" min="10" max="10"/>
    <col width="14" customWidth="1" style="289" min="11" max="11"/>
    <col width="12" customWidth="1" style="289" min="12" max="12"/>
    <col width="15" customWidth="1" style="289" min="13" max="13"/>
    <col width="14" customWidth="1" style="289" min="14" max="14"/>
    <col width="12" customWidth="1" style="289" min="15" max="15"/>
    <col width="15" customWidth="1" style="289" min="16" max="16"/>
    <col width="18.6328125" customWidth="1" style="289" min="17" max="25"/>
  </cols>
  <sheetData>
    <row r="1" ht="30" customHeight="1" s="289">
      <c r="A1" s="279" t="inlineStr">
        <is>
          <t>Item</t>
        </is>
      </c>
      <c r="B1" s="279" t="inlineStr">
        <is>
          <t>C0</t>
        </is>
      </c>
      <c r="C1" s="280" t="n"/>
      <c r="D1" s="281" t="n"/>
      <c r="E1" s="279" t="inlineStr">
        <is>
          <t>C1</t>
        </is>
      </c>
      <c r="F1" s="280" t="n"/>
      <c r="G1" s="281" t="n"/>
      <c r="H1" s="279" t="inlineStr">
        <is>
          <t>C2</t>
        </is>
      </c>
      <c r="I1" s="280" t="n"/>
      <c r="J1" s="281" t="n"/>
      <c r="K1" s="279" t="inlineStr">
        <is>
          <t>C3</t>
        </is>
      </c>
      <c r="L1" s="280" t="n"/>
      <c r="M1" s="281" t="n"/>
      <c r="N1" s="279" t="inlineStr">
        <is>
          <t>C4</t>
        </is>
      </c>
      <c r="O1" s="280" t="n"/>
      <c r="P1" s="281" t="n"/>
      <c r="Q1" s="277" t="inlineStr">
        <is>
          <t>POSICAO ATUAL NA DATA (AUTO — origem: CICLO_EM_EXECUCAO)</t>
        </is>
      </c>
    </row>
    <row r="2" ht="43.5" customHeight="1" s="289">
      <c r="A2" s="282" t="n"/>
      <c r="B2" s="57" t="inlineStr">
        <is>
          <t>VU atualizado</t>
        </is>
      </c>
      <c r="C2" s="57" t="inlineStr">
        <is>
          <t>Qtd restante</t>
        </is>
      </c>
      <c r="D2" s="57" t="inlineStr">
        <is>
          <t>Total R$</t>
        </is>
      </c>
      <c r="E2" s="58" t="inlineStr">
        <is>
          <t>VU atualizado</t>
        </is>
      </c>
      <c r="F2" s="58" t="inlineStr">
        <is>
          <t>Qtd restante</t>
        </is>
      </c>
      <c r="G2" s="58" t="inlineStr">
        <is>
          <t>Total R$</t>
        </is>
      </c>
      <c r="H2" s="57" t="inlineStr">
        <is>
          <t>VU atualizado</t>
        </is>
      </c>
      <c r="I2" s="57" t="inlineStr">
        <is>
          <t>Qtd restante</t>
        </is>
      </c>
      <c r="J2" s="57" t="inlineStr">
        <is>
          <t>Total R$</t>
        </is>
      </c>
      <c r="K2" s="58" t="inlineStr">
        <is>
          <t>VU atualizado</t>
        </is>
      </c>
      <c r="L2" s="58" t="inlineStr">
        <is>
          <t>Qtd restante</t>
        </is>
      </c>
      <c r="M2" s="58" t="inlineStr">
        <is>
          <t>Total R$</t>
        </is>
      </c>
      <c r="N2" s="57" t="inlineStr">
        <is>
          <t>VU atualizado</t>
        </is>
      </c>
      <c r="O2" s="57" t="inlineStr">
        <is>
          <t>Qtd restante</t>
        </is>
      </c>
      <c r="P2" s="57" t="inlineStr">
        <is>
          <t>Total R$</t>
        </is>
      </c>
      <c r="Q2" s="272" t="inlineStr">
        <is>
          <t>DATA DA POSICAO ATUAL (AUTO)</t>
        </is>
      </c>
      <c r="R2" s="272" t="inlineStr">
        <is>
          <t>CICLO DA ULTIMA ABERTURA (AUTO)</t>
        </is>
      </c>
      <c r="S2" s="272" t="inlineStr">
        <is>
          <t>QTD REMANESCENTE NA ABERTURA (AUTO)</t>
        </is>
      </c>
      <c r="T2" s="272" t="inlineStr">
        <is>
          <t>QTD CONSUMIDA DESDE ABERTURA (AUTO)</t>
        </is>
      </c>
      <c r="U2" s="272" t="inlineStr">
        <is>
          <t>QTD REMANESCENTE NA DATA ATUAL (AUTO)</t>
        </is>
      </c>
      <c r="V2" s="272" t="inlineStr">
        <is>
          <t>VU ATUALIZADO NA DATA (AUTO)</t>
        </is>
      </c>
      <c r="W2" s="272" t="inlineStr">
        <is>
          <t>VALOR CONSUMIDO ATUALIZADO (AUTO)</t>
        </is>
      </c>
      <c r="X2" s="272" t="inlineStr">
        <is>
          <t>VALOR REMANESCENTE ATUALIZADO (AUTO)</t>
        </is>
      </c>
      <c r="Y2" s="272" t="inlineStr">
        <is>
          <t>STATUS DA POSICAO ATUAL (AUTO)</t>
        </is>
      </c>
    </row>
    <row r="3">
      <c r="A3" s="116">
        <f>IF(FALSE,"TOTAL",IF(itens_Remanesc!A2="","",itens_Remanesc!A2))</f>
        <v/>
      </c>
      <c r="B3" s="355">
        <f>IF(OR(historico_VU!A2="",historico_VU!C2=""),"",historico_VU!C2)</f>
        <v/>
      </c>
      <c r="C3" s="118">
        <f>IF(posicao_contratual!A2="","",posicao_contratual!G2)</f>
        <v/>
      </c>
      <c r="D3" s="355">
        <f>IF(A3="TOTAL",ROUND(SUM($D2:D$3),2),IF(OR(A3="",B3="",C3=""),"",ROUND(B3*C3,2)))</f>
        <v/>
      </c>
      <c r="E3" s="356">
        <f>IF(OR(historico_VU!A2="",historico_VU!D2=""),"",historico_VU!D2)</f>
        <v/>
      </c>
      <c r="F3" s="120">
        <f>IF(posicao_contratual!A2="","",posicao_contratual!K2)</f>
        <v/>
      </c>
      <c r="G3" s="356">
        <f>IF(A3="TOTAL",ROUND(SUM($G2:G$3),2),IF(OR(A3="",E3="",F3=""),"",ROUND(E3*F3,2)))</f>
        <v/>
      </c>
      <c r="H3" s="355">
        <f>IF(OR(historico_VU!A2="",historico_VU!E2=""),"",historico_VU!E2)</f>
        <v/>
      </c>
      <c r="I3" s="118">
        <f>IF(posicao_contratual!A2="","",posicao_contratual!O2)</f>
        <v/>
      </c>
      <c r="J3" s="357">
        <f>IF(A3="TOTAL",ROUND(SUM($J2:J$3),2),IF(OR(A3="",H3="",I3=""),"",ROUND(H3*I3,2)))</f>
        <v/>
      </c>
      <c r="K3" s="356">
        <f>IF(OR(historico_VU!A2="",historico_VU!F2=""),"",historico_VU!F2)</f>
        <v/>
      </c>
      <c r="L3" s="120">
        <f>IF(posicao_contratual!A2="","",posicao_contratual!S2)</f>
        <v/>
      </c>
      <c r="M3" s="358">
        <f>IF(A3="TOTAL",ROUND(SUM($M2:M$3),2),IF(OR(A3="",K3="",L3=""),"",ROUND(K3*L3,2)))</f>
        <v/>
      </c>
      <c r="N3" s="355">
        <f>IF(OR(historico_VU!A2="",historico_VU!G2=""),"",historico_VU!G2)</f>
        <v/>
      </c>
      <c r="O3" s="118">
        <f>IF(posicao_contratual!A2="","",posicao_contratual!W2)</f>
        <v/>
      </c>
      <c r="P3" s="357">
        <f>IF(A3="TOTAL",ROUND(SUM($P2:P$3),2),IF(OR(A3="",N3="",O3=""),"",ROUND(N3*O3,2)))</f>
        <v/>
      </c>
      <c r="Q3" s="195">
        <f>IF($A3="","",IF(ISERROR(INDIRECT("CICLO_EM_EXECUCAO!$D$5")),"",INDIRECT("CICLO_EM_EXECUCAO!$D$5")))</f>
        <v/>
      </c>
      <c r="R3">
        <f>IF($A3="","",IF(MEMORIA_RESULTADOS!$W$46="","","C"&amp;MEMORIA_RESULTADOS!$W$46))</f>
        <v/>
      </c>
      <c r="S3" s="273">
        <f>IF($A3="","",IF(ISERROR(INDIRECT("CICLO_EM_EXECUCAO!B"&amp;(ROW()+10))),"",INDIRECT("CICLO_EM_EXECUCAO!B"&amp;(ROW()+10))))</f>
        <v/>
      </c>
      <c r="T3" s="273">
        <f>IF($A3="","",IF(ISERROR(INDIRECT("CICLO_EM_EXECUCAO!D"&amp;(ROW()+10))),"",INDIRECT("CICLO_EM_EXECUCAO!D"&amp;(ROW()+10))))</f>
        <v/>
      </c>
      <c r="U3" s="273">
        <f>IF($A3="","",IF(ISERROR(INDIRECT("CICLO_EM_EXECUCAO!C"&amp;(ROW()+10))),"",INDIRECT("CICLO_EM_EXECUCAO!C"&amp;(ROW()+10))))</f>
        <v/>
      </c>
      <c r="V3" s="213">
        <f>IF($A3="","",IF(ISERROR(INDIRECT("CICLO_EM_EXECUCAO!E"&amp;(ROW()+10))),"",INDIRECT("CICLO_EM_EXECUCAO!E"&amp;(ROW()+10))))</f>
        <v/>
      </c>
      <c r="W3" s="213">
        <f>IF($A3="","",IF(ISERROR(INDIRECT("CICLO_EM_EXECUCAO!F"&amp;(ROW()+10))),"",INDIRECT("CICLO_EM_EXECUCAO!F"&amp;(ROW()+10))))</f>
        <v/>
      </c>
      <c r="X3" s="213">
        <f>IF($A3="","",IF(ISERROR(INDIRECT("CICLO_EM_EXECUCAO!G"&amp;(ROW()+10))),"",INDIRECT("CICLO_EM_EXECUCAO!G"&amp;(ROW()+10))))</f>
        <v/>
      </c>
      <c r="Y3">
        <f>IF($A3="","",IF(ISERROR(INDIRECT("CICLO_EM_EXECUCAO!K"&amp;(ROW()+10))),"CICLO_EM_EXECUCAO AUSENTE",INDIRECT("CICLO_EM_EXECUCAO!K"&amp;(ROW()+10))))</f>
        <v/>
      </c>
    </row>
    <row r="4">
      <c r="A4" s="116">
        <f>IF(AND(itens_Remanesc!A3="",itens_Remanesc!A2&lt;&gt;"",COUNTIF(itens_Remanesc!A4:$A$200,"&lt;&gt;")=0),"TOTAL",IF(itens_Remanesc!A3="","",itens_Remanesc!A3))</f>
        <v/>
      </c>
      <c r="B4" s="355">
        <f>IF(OR(historico_VU!A3="",historico_VU!C3=""),"",historico_VU!C3)</f>
        <v/>
      </c>
      <c r="C4" s="118">
        <f>IF(posicao_contratual!A3="","",posicao_contratual!G3)</f>
        <v/>
      </c>
      <c r="D4" s="355">
        <f>IF(A4="TOTAL",ROUND(SUM($D3:D$3),2),IF(OR(A4="",B4="",C4=""),"",ROUND(B4*C4,2)))</f>
        <v/>
      </c>
      <c r="E4" s="356">
        <f>IF(OR(historico_VU!A3="",historico_VU!D3=""),"",historico_VU!D3)</f>
        <v/>
      </c>
      <c r="F4" s="120">
        <f>IF(posicao_contratual!A3="","",posicao_contratual!K3)</f>
        <v/>
      </c>
      <c r="G4" s="356">
        <f>IF(A4="TOTAL",ROUND(SUM($G3:G$3),2),IF(OR(A4="",E4="",F4=""),"",ROUND(E4*F4,2)))</f>
        <v/>
      </c>
      <c r="H4" s="355">
        <f>IF(OR(historico_VU!A3="",historico_VU!E3=""),"",historico_VU!E3)</f>
        <v/>
      </c>
      <c r="I4" s="118">
        <f>IF(posicao_contratual!A3="","",posicao_contratual!O3)</f>
        <v/>
      </c>
      <c r="J4" s="357">
        <f>IF(A4="TOTAL",ROUND(SUM($J3:J$3),2),IF(OR(A4="",H4="",I4=""),"",ROUND(H4*I4,2)))</f>
        <v/>
      </c>
      <c r="K4" s="356">
        <f>IF(OR(historico_VU!A3="",historico_VU!F3=""),"",historico_VU!F3)</f>
        <v/>
      </c>
      <c r="L4" s="120">
        <f>IF(posicao_contratual!A3="","",posicao_contratual!S3)</f>
        <v/>
      </c>
      <c r="M4" s="358">
        <f>IF(A4="TOTAL",ROUND(SUM($M3:M$3),2),IF(OR(A4="",K4="",L4=""),"",ROUND(K4*L4,2)))</f>
        <v/>
      </c>
      <c r="N4" s="355">
        <f>IF(OR(historico_VU!A3="",historico_VU!G3=""),"",historico_VU!G3)</f>
        <v/>
      </c>
      <c r="O4" s="118">
        <f>IF(posicao_contratual!A3="","",posicao_contratual!W3)</f>
        <v/>
      </c>
      <c r="P4" s="357">
        <f>IF(A4="TOTAL",ROUND(SUM($P3:P$3),2),IF(OR(A4="",N4="",O4=""),"",ROUND(N4*O4,2)))</f>
        <v/>
      </c>
      <c r="Q4" s="195">
        <f>IF($A4="","",IF(ISERROR(INDIRECT("CICLO_EM_EXECUCAO!$D$5")),"",INDIRECT("CICLO_EM_EXECUCAO!$D$5")))</f>
        <v/>
      </c>
      <c r="R4">
        <f>IF($A4="","",IF(MEMORIA_RESULTADOS!$W$46="","","C"&amp;MEMORIA_RESULTADOS!$W$46))</f>
        <v/>
      </c>
      <c r="S4" s="273">
        <f>IF($A4="","",IF(ISERROR(INDIRECT("CICLO_EM_EXECUCAO!B"&amp;(ROW()+10))),"",INDIRECT("CICLO_EM_EXECUCAO!B"&amp;(ROW()+10))))</f>
        <v/>
      </c>
      <c r="T4" s="273">
        <f>IF($A4="","",IF(ISERROR(INDIRECT("CICLO_EM_EXECUCAO!D"&amp;(ROW()+10))),"",INDIRECT("CICLO_EM_EXECUCAO!D"&amp;(ROW()+10))))</f>
        <v/>
      </c>
      <c r="U4" s="273">
        <f>IF($A4="","",IF(ISERROR(INDIRECT("CICLO_EM_EXECUCAO!C"&amp;(ROW()+10))),"",INDIRECT("CICLO_EM_EXECUCAO!C"&amp;(ROW()+10))))</f>
        <v/>
      </c>
      <c r="V4" s="213">
        <f>IF($A4="","",IF(ISERROR(INDIRECT("CICLO_EM_EXECUCAO!E"&amp;(ROW()+10))),"",INDIRECT("CICLO_EM_EXECUCAO!E"&amp;(ROW()+10))))</f>
        <v/>
      </c>
      <c r="W4" s="213">
        <f>IF($A4="","",IF(ISERROR(INDIRECT("CICLO_EM_EXECUCAO!F"&amp;(ROW()+10))),"",INDIRECT("CICLO_EM_EXECUCAO!F"&amp;(ROW()+10))))</f>
        <v/>
      </c>
      <c r="X4" s="213">
        <f>IF($A4="","",IF(ISERROR(INDIRECT("CICLO_EM_EXECUCAO!G"&amp;(ROW()+10))),"",INDIRECT("CICLO_EM_EXECUCAO!G"&amp;(ROW()+10))))</f>
        <v/>
      </c>
      <c r="Y4">
        <f>IF($A4="","",IF(ISERROR(INDIRECT("CICLO_EM_EXECUCAO!K"&amp;(ROW()+10))),"CICLO_EM_EXECUCAO AUSENTE",INDIRECT("CICLO_EM_EXECUCAO!K"&amp;(ROW()+10))))</f>
        <v/>
      </c>
    </row>
    <row r="5">
      <c r="A5" s="116">
        <f>IF(AND(itens_Remanesc!A4="",itens_Remanesc!A3&lt;&gt;"",COUNTIF(itens_Remanesc!A5:$A$200,"&lt;&gt;")=0),"TOTAL",IF(itens_Remanesc!A4="","",itens_Remanesc!A4))</f>
        <v/>
      </c>
      <c r="B5" s="355">
        <f>IF(OR(historico_VU!A4="",historico_VU!C4=""),"",historico_VU!C4)</f>
        <v/>
      </c>
      <c r="C5" s="118">
        <f>IF(posicao_contratual!A4="","",posicao_contratual!G4)</f>
        <v/>
      </c>
      <c r="D5" s="355">
        <f>IF(A5="TOTAL",ROUND(SUM($D$3:D4),2),IF(OR(A5="",B5="",C5=""),"",ROUND(B5*C5,2)))</f>
        <v/>
      </c>
      <c r="E5" s="356">
        <f>IF(OR(historico_VU!A4="",historico_VU!D4=""),"",historico_VU!D4)</f>
        <v/>
      </c>
      <c r="F5" s="120">
        <f>IF(posicao_contratual!A4="","",posicao_contratual!K4)</f>
        <v/>
      </c>
      <c r="G5" s="356">
        <f>IF(A5="TOTAL",ROUND(SUM($G$3:G4),2),IF(OR(A5="",E5="",F5=""),"",ROUND(E5*F5,2)))</f>
        <v/>
      </c>
      <c r="H5" s="355">
        <f>IF(OR(historico_VU!A4="",historico_VU!E4=""),"",historico_VU!E4)</f>
        <v/>
      </c>
      <c r="I5" s="118">
        <f>IF(posicao_contratual!A4="","",posicao_contratual!O4)</f>
        <v/>
      </c>
      <c r="J5" s="357">
        <f>IF(A5="TOTAL",ROUND(SUM($J$3:J4),2),IF(OR(A5="",H5="",I5=""),"",ROUND(H5*I5,2)))</f>
        <v/>
      </c>
      <c r="K5" s="356">
        <f>IF(OR(historico_VU!A4="",historico_VU!F4=""),"",historico_VU!F4)</f>
        <v/>
      </c>
      <c r="L5" s="120">
        <f>IF(posicao_contratual!A4="","",posicao_contratual!S4)</f>
        <v/>
      </c>
      <c r="M5" s="358">
        <f>IF(A5="TOTAL",ROUND(SUM($M$3:M4),2),IF(OR(A5="",K5="",L5=""),"",ROUND(K5*L5,2)))</f>
        <v/>
      </c>
      <c r="N5" s="355">
        <f>IF(OR(historico_VU!A4="",historico_VU!G4=""),"",historico_VU!G4)</f>
        <v/>
      </c>
      <c r="O5" s="118">
        <f>IF(posicao_contratual!A4="","",posicao_contratual!W4)</f>
        <v/>
      </c>
      <c r="P5" s="357">
        <f>IF(A5="TOTAL",ROUND(SUM($P$3:P4),2),IF(OR(A5="",N5="",O5=""),"",ROUND(N5*O5,2)))</f>
        <v/>
      </c>
      <c r="Q5" s="195">
        <f>IF($A5="","",IF(ISERROR(INDIRECT("CICLO_EM_EXECUCAO!$D$5")),"",INDIRECT("CICLO_EM_EXECUCAO!$D$5")))</f>
        <v/>
      </c>
      <c r="R5">
        <f>IF($A5="","",IF(MEMORIA_RESULTADOS!$W$46="","","C"&amp;MEMORIA_RESULTADOS!$W$46))</f>
        <v/>
      </c>
      <c r="S5" s="273">
        <f>IF($A5="","",IF(ISERROR(INDIRECT("CICLO_EM_EXECUCAO!B"&amp;(ROW()+10))),"",INDIRECT("CICLO_EM_EXECUCAO!B"&amp;(ROW()+10))))</f>
        <v/>
      </c>
      <c r="T5" s="273">
        <f>IF($A5="","",IF(ISERROR(INDIRECT("CICLO_EM_EXECUCAO!D"&amp;(ROW()+10))),"",INDIRECT("CICLO_EM_EXECUCAO!D"&amp;(ROW()+10))))</f>
        <v/>
      </c>
      <c r="U5" s="273">
        <f>IF($A5="","",IF(ISERROR(INDIRECT("CICLO_EM_EXECUCAO!C"&amp;(ROW()+10))),"",INDIRECT("CICLO_EM_EXECUCAO!C"&amp;(ROW()+10))))</f>
        <v/>
      </c>
      <c r="V5" s="213">
        <f>IF($A5="","",IF(ISERROR(INDIRECT("CICLO_EM_EXECUCAO!E"&amp;(ROW()+10))),"",INDIRECT("CICLO_EM_EXECUCAO!E"&amp;(ROW()+10))))</f>
        <v/>
      </c>
      <c r="W5" s="213">
        <f>IF($A5="","",IF(ISERROR(INDIRECT("CICLO_EM_EXECUCAO!F"&amp;(ROW()+10))),"",INDIRECT("CICLO_EM_EXECUCAO!F"&amp;(ROW()+10))))</f>
        <v/>
      </c>
      <c r="X5" s="213">
        <f>IF($A5="","",IF(ISERROR(INDIRECT("CICLO_EM_EXECUCAO!G"&amp;(ROW()+10))),"",INDIRECT("CICLO_EM_EXECUCAO!G"&amp;(ROW()+10))))</f>
        <v/>
      </c>
      <c r="Y5">
        <f>IF($A5="","",IF(ISERROR(INDIRECT("CICLO_EM_EXECUCAO!K"&amp;(ROW()+10))),"CICLO_EM_EXECUCAO AUSENTE",INDIRECT("CICLO_EM_EXECUCAO!K"&amp;(ROW()+10))))</f>
        <v/>
      </c>
    </row>
    <row r="6">
      <c r="A6" s="116">
        <f>IF(AND(itens_Remanesc!A5="",itens_Remanesc!A4&lt;&gt;"",COUNTIF(itens_Remanesc!A6:$A$200,"&lt;&gt;")=0),"TOTAL",IF(itens_Remanesc!A5="","",itens_Remanesc!A5))</f>
        <v/>
      </c>
      <c r="B6" s="355">
        <f>IF(OR(historico_VU!A5="",historico_VU!C5=""),"",historico_VU!C5)</f>
        <v/>
      </c>
      <c r="C6" s="118">
        <f>IF(posicao_contratual!A5="","",posicao_contratual!G5)</f>
        <v/>
      </c>
      <c r="D6" s="355">
        <f>IF(A6="TOTAL",ROUND(SUM($D$3:D5),2),IF(OR(A6="",B6="",C6=""),"",ROUND(B6*C6,2)))</f>
        <v/>
      </c>
      <c r="E6" s="356">
        <f>IF(OR(historico_VU!A5="",historico_VU!D5=""),"",historico_VU!D5)</f>
        <v/>
      </c>
      <c r="F6" s="120">
        <f>IF(posicao_contratual!A5="","",posicao_contratual!K5)</f>
        <v/>
      </c>
      <c r="G6" s="356">
        <f>IF(A6="TOTAL",ROUND(SUM($G$3:G5),2),IF(OR(A6="",E6="",F6=""),"",ROUND(E6*F6,2)))</f>
        <v/>
      </c>
      <c r="H6" s="355">
        <f>IF(OR(historico_VU!A5="",historico_VU!E5=""),"",historico_VU!E5)</f>
        <v/>
      </c>
      <c r="I6" s="118">
        <f>IF(posicao_contratual!A5="","",posicao_contratual!O5)</f>
        <v/>
      </c>
      <c r="J6" s="357">
        <f>IF(A6="TOTAL",ROUND(SUM($J$3:J5),2),IF(OR(A6="",H6="",I6=""),"",ROUND(H6*I6,2)))</f>
        <v/>
      </c>
      <c r="K6" s="356">
        <f>IF(OR(historico_VU!A5="",historico_VU!F5=""),"",historico_VU!F5)</f>
        <v/>
      </c>
      <c r="L6" s="120">
        <f>IF(posicao_contratual!A5="","",posicao_contratual!S5)</f>
        <v/>
      </c>
      <c r="M6" s="358">
        <f>IF(A6="TOTAL",ROUND(SUM($M$3:M5),2),IF(OR(A6="",K6="",L6=""),"",ROUND(K6*L6,2)))</f>
        <v/>
      </c>
      <c r="N6" s="355">
        <f>IF(OR(historico_VU!A5="",historico_VU!G5=""),"",historico_VU!G5)</f>
        <v/>
      </c>
      <c r="O6" s="118">
        <f>IF(posicao_contratual!A5="","",posicao_contratual!W5)</f>
        <v/>
      </c>
      <c r="P6" s="357">
        <f>IF(A6="TOTAL",ROUND(SUM($P$3:P5),2),IF(OR(A6="",N6="",O6=""),"",ROUND(N6*O6,2)))</f>
        <v/>
      </c>
      <c r="Q6" s="195">
        <f>IF($A6="","",IF(ISERROR(INDIRECT("CICLO_EM_EXECUCAO!$D$5")),"",INDIRECT("CICLO_EM_EXECUCAO!$D$5")))</f>
        <v/>
      </c>
      <c r="R6">
        <f>IF($A6="","",IF(MEMORIA_RESULTADOS!$W$46="","","C"&amp;MEMORIA_RESULTADOS!$W$46))</f>
        <v/>
      </c>
      <c r="S6" s="273">
        <f>IF($A6="","",IF(ISERROR(INDIRECT("CICLO_EM_EXECUCAO!B"&amp;(ROW()+10))),"",INDIRECT("CICLO_EM_EXECUCAO!B"&amp;(ROW()+10))))</f>
        <v/>
      </c>
      <c r="T6" s="273">
        <f>IF($A6="","",IF(ISERROR(INDIRECT("CICLO_EM_EXECUCAO!D"&amp;(ROW()+10))),"",INDIRECT("CICLO_EM_EXECUCAO!D"&amp;(ROW()+10))))</f>
        <v/>
      </c>
      <c r="U6" s="273">
        <f>IF($A6="","",IF(ISERROR(INDIRECT("CICLO_EM_EXECUCAO!C"&amp;(ROW()+10))),"",INDIRECT("CICLO_EM_EXECUCAO!C"&amp;(ROW()+10))))</f>
        <v/>
      </c>
      <c r="V6" s="213">
        <f>IF($A6="","",IF(ISERROR(INDIRECT("CICLO_EM_EXECUCAO!E"&amp;(ROW()+10))),"",INDIRECT("CICLO_EM_EXECUCAO!E"&amp;(ROW()+10))))</f>
        <v/>
      </c>
      <c r="W6" s="213">
        <f>IF($A6="","",IF(ISERROR(INDIRECT("CICLO_EM_EXECUCAO!F"&amp;(ROW()+10))),"",INDIRECT("CICLO_EM_EXECUCAO!F"&amp;(ROW()+10))))</f>
        <v/>
      </c>
      <c r="X6" s="213">
        <f>IF($A6="","",IF(ISERROR(INDIRECT("CICLO_EM_EXECUCAO!G"&amp;(ROW()+10))),"",INDIRECT("CICLO_EM_EXECUCAO!G"&amp;(ROW()+10))))</f>
        <v/>
      </c>
      <c r="Y6">
        <f>IF($A6="","",IF(ISERROR(INDIRECT("CICLO_EM_EXECUCAO!K"&amp;(ROW()+10))),"CICLO_EM_EXECUCAO AUSENTE",INDIRECT("CICLO_EM_EXECUCAO!K"&amp;(ROW()+10))))</f>
        <v/>
      </c>
    </row>
    <row r="7">
      <c r="A7" s="116">
        <f>IF(AND(itens_Remanesc!A6="",itens_Remanesc!A5&lt;&gt;"",COUNTIF(itens_Remanesc!A7:$A$200,"&lt;&gt;")=0),"TOTAL",IF(itens_Remanesc!A6="","",itens_Remanesc!A6))</f>
        <v/>
      </c>
      <c r="B7" s="355">
        <f>IF(OR(historico_VU!A6="",historico_VU!C6=""),"",historico_VU!C6)</f>
        <v/>
      </c>
      <c r="C7" s="118">
        <f>IF(posicao_contratual!A6="","",posicao_contratual!G6)</f>
        <v/>
      </c>
      <c r="D7" s="355">
        <f>IF(A7="TOTAL",ROUND(SUM($D$3:D6),2),IF(OR(A7="",B7="",C7=""),"",ROUND(B7*C7,2)))</f>
        <v/>
      </c>
      <c r="E7" s="356">
        <f>IF(OR(historico_VU!A6="",historico_VU!D6=""),"",historico_VU!D6)</f>
        <v/>
      </c>
      <c r="F7" s="120">
        <f>IF(posicao_contratual!A6="","",posicao_contratual!K6)</f>
        <v/>
      </c>
      <c r="G7" s="356">
        <f>IF(A7="TOTAL",ROUND(SUM($G$3:G6),2),IF(OR(A7="",E7="",F7=""),"",ROUND(E7*F7,2)))</f>
        <v/>
      </c>
      <c r="H7" s="355">
        <f>IF(OR(historico_VU!A6="",historico_VU!E6=""),"",historico_VU!E6)</f>
        <v/>
      </c>
      <c r="I7" s="118">
        <f>IF(posicao_contratual!A6="","",posicao_contratual!O6)</f>
        <v/>
      </c>
      <c r="J7" s="357">
        <f>IF(A7="TOTAL",ROUND(SUM($J$3:J6),2),IF(OR(A7="",H7="",I7=""),"",ROUND(H7*I7,2)))</f>
        <v/>
      </c>
      <c r="K7" s="356">
        <f>IF(OR(historico_VU!A6="",historico_VU!F6=""),"",historico_VU!F6)</f>
        <v/>
      </c>
      <c r="L7" s="120">
        <f>IF(posicao_contratual!A6="","",posicao_contratual!S6)</f>
        <v/>
      </c>
      <c r="M7" s="358">
        <f>IF(A7="TOTAL",ROUND(SUM($M$3:M6),2),IF(OR(A7="",K7="",L7=""),"",ROUND(K7*L7,2)))</f>
        <v/>
      </c>
      <c r="N7" s="355">
        <f>IF(OR(historico_VU!A6="",historico_VU!G6=""),"",historico_VU!G6)</f>
        <v/>
      </c>
      <c r="O7" s="118">
        <f>IF(posicao_contratual!A6="","",posicao_contratual!W6)</f>
        <v/>
      </c>
      <c r="P7" s="357">
        <f>IF(A7="TOTAL",ROUND(SUM($P$3:P6),2),IF(OR(A7="",N7="",O7=""),"",ROUND(N7*O7,2)))</f>
        <v/>
      </c>
      <c r="Q7" s="195">
        <f>IF($A7="","",IF(ISERROR(INDIRECT("CICLO_EM_EXECUCAO!$D$5")),"",INDIRECT("CICLO_EM_EXECUCAO!$D$5")))</f>
        <v/>
      </c>
      <c r="R7">
        <f>IF($A7="","",IF(MEMORIA_RESULTADOS!$W$46="","","C"&amp;MEMORIA_RESULTADOS!$W$46))</f>
        <v/>
      </c>
      <c r="S7" s="273">
        <f>IF($A7="","",IF(ISERROR(INDIRECT("CICLO_EM_EXECUCAO!B"&amp;(ROW()+10))),"",INDIRECT("CICLO_EM_EXECUCAO!B"&amp;(ROW()+10))))</f>
        <v/>
      </c>
      <c r="T7" s="273">
        <f>IF($A7="","",IF(ISERROR(INDIRECT("CICLO_EM_EXECUCAO!D"&amp;(ROW()+10))),"",INDIRECT("CICLO_EM_EXECUCAO!D"&amp;(ROW()+10))))</f>
        <v/>
      </c>
      <c r="U7" s="273">
        <f>IF($A7="","",IF(ISERROR(INDIRECT("CICLO_EM_EXECUCAO!C"&amp;(ROW()+10))),"",INDIRECT("CICLO_EM_EXECUCAO!C"&amp;(ROW()+10))))</f>
        <v/>
      </c>
      <c r="V7" s="213">
        <f>IF($A7="","",IF(ISERROR(INDIRECT("CICLO_EM_EXECUCAO!E"&amp;(ROW()+10))),"",INDIRECT("CICLO_EM_EXECUCAO!E"&amp;(ROW()+10))))</f>
        <v/>
      </c>
      <c r="W7" s="213">
        <f>IF($A7="","",IF(ISERROR(INDIRECT("CICLO_EM_EXECUCAO!F"&amp;(ROW()+10))),"",INDIRECT("CICLO_EM_EXECUCAO!F"&amp;(ROW()+10))))</f>
        <v/>
      </c>
      <c r="X7" s="213">
        <f>IF($A7="","",IF(ISERROR(INDIRECT("CICLO_EM_EXECUCAO!G"&amp;(ROW()+10))),"",INDIRECT("CICLO_EM_EXECUCAO!G"&amp;(ROW()+10))))</f>
        <v/>
      </c>
      <c r="Y7">
        <f>IF($A7="","",IF(ISERROR(INDIRECT("CICLO_EM_EXECUCAO!K"&amp;(ROW()+10))),"CICLO_EM_EXECUCAO AUSENTE",INDIRECT("CICLO_EM_EXECUCAO!K"&amp;(ROW()+10))))</f>
        <v/>
      </c>
    </row>
    <row r="8">
      <c r="A8" s="116">
        <f>IF(AND(itens_Remanesc!A7="",itens_Remanesc!A6&lt;&gt;"",COUNTIF(itens_Remanesc!A8:$A$200,"&lt;&gt;")=0),"TOTAL",IF(itens_Remanesc!A7="","",itens_Remanesc!A7))</f>
        <v/>
      </c>
      <c r="B8" s="355">
        <f>IF(OR(historico_VU!A7="",historico_VU!C7=""),"",historico_VU!C7)</f>
        <v/>
      </c>
      <c r="C8" s="118">
        <f>IF(posicao_contratual!A7="","",posicao_contratual!G7)</f>
        <v/>
      </c>
      <c r="D8" s="355">
        <f>IF(A8="TOTAL",ROUND(SUM($D$3:D7),2),IF(OR(A8="",B8="",C8=""),"",ROUND(B8*C8,2)))</f>
        <v/>
      </c>
      <c r="E8" s="356">
        <f>IF(OR(historico_VU!A7="",historico_VU!D7=""),"",historico_VU!D7)</f>
        <v/>
      </c>
      <c r="F8" s="120">
        <f>IF(posicao_contratual!A7="","",posicao_contratual!K7)</f>
        <v/>
      </c>
      <c r="G8" s="356">
        <f>IF(A8="TOTAL",ROUND(SUM($G$3:G7),2),IF(OR(A8="",E8="",F8=""),"",ROUND(E8*F8,2)))</f>
        <v/>
      </c>
      <c r="H8" s="355">
        <f>IF(OR(historico_VU!A7="",historico_VU!E7=""),"",historico_VU!E7)</f>
        <v/>
      </c>
      <c r="I8" s="118">
        <f>IF(posicao_contratual!A7="","",posicao_contratual!O7)</f>
        <v/>
      </c>
      <c r="J8" s="357">
        <f>IF(A8="TOTAL",ROUND(SUM($J$3:J7),2),IF(OR(A8="",H8="",I8=""),"",ROUND(H8*I8,2)))</f>
        <v/>
      </c>
      <c r="K8" s="356">
        <f>IF(OR(historico_VU!A7="",historico_VU!F7=""),"",historico_VU!F7)</f>
        <v/>
      </c>
      <c r="L8" s="120">
        <f>IF(posicao_contratual!A7="","",posicao_contratual!S7)</f>
        <v/>
      </c>
      <c r="M8" s="358">
        <f>IF(A8="TOTAL",ROUND(SUM($M$3:M7),2),IF(OR(A8="",K8="",L8=""),"",ROUND(K8*L8,2)))</f>
        <v/>
      </c>
      <c r="N8" s="355">
        <f>IF(OR(historico_VU!A7="",historico_VU!G7=""),"",historico_VU!G7)</f>
        <v/>
      </c>
      <c r="O8" s="118">
        <f>IF(posicao_contratual!A7="","",posicao_contratual!W7)</f>
        <v/>
      </c>
      <c r="P8" s="357">
        <f>IF(A8="TOTAL",ROUND(SUM($P$3:P7),2),IF(OR(A8="",N8="",O8=""),"",ROUND(N8*O8,2)))</f>
        <v/>
      </c>
      <c r="Q8" s="195">
        <f>IF($A8="","",IF(ISERROR(INDIRECT("CICLO_EM_EXECUCAO!$D$5")),"",INDIRECT("CICLO_EM_EXECUCAO!$D$5")))</f>
        <v/>
      </c>
      <c r="R8">
        <f>IF($A8="","",IF(MEMORIA_RESULTADOS!$W$46="","","C"&amp;MEMORIA_RESULTADOS!$W$46))</f>
        <v/>
      </c>
      <c r="S8" s="273">
        <f>IF($A8="","",IF(ISERROR(INDIRECT("CICLO_EM_EXECUCAO!B"&amp;(ROW()+10))),"",INDIRECT("CICLO_EM_EXECUCAO!B"&amp;(ROW()+10))))</f>
        <v/>
      </c>
      <c r="T8" s="273">
        <f>IF($A8="","",IF(ISERROR(INDIRECT("CICLO_EM_EXECUCAO!D"&amp;(ROW()+10))),"",INDIRECT("CICLO_EM_EXECUCAO!D"&amp;(ROW()+10))))</f>
        <v/>
      </c>
      <c r="U8" s="273">
        <f>IF($A8="","",IF(ISERROR(INDIRECT("CICLO_EM_EXECUCAO!C"&amp;(ROW()+10))),"",INDIRECT("CICLO_EM_EXECUCAO!C"&amp;(ROW()+10))))</f>
        <v/>
      </c>
      <c r="V8" s="213">
        <f>IF($A8="","",IF(ISERROR(INDIRECT("CICLO_EM_EXECUCAO!E"&amp;(ROW()+10))),"",INDIRECT("CICLO_EM_EXECUCAO!E"&amp;(ROW()+10))))</f>
        <v/>
      </c>
      <c r="W8" s="213">
        <f>IF($A8="","",IF(ISERROR(INDIRECT("CICLO_EM_EXECUCAO!F"&amp;(ROW()+10))),"",INDIRECT("CICLO_EM_EXECUCAO!F"&amp;(ROW()+10))))</f>
        <v/>
      </c>
      <c r="X8" s="213">
        <f>IF($A8="","",IF(ISERROR(INDIRECT("CICLO_EM_EXECUCAO!G"&amp;(ROW()+10))),"",INDIRECT("CICLO_EM_EXECUCAO!G"&amp;(ROW()+10))))</f>
        <v/>
      </c>
      <c r="Y8">
        <f>IF($A8="","",IF(ISERROR(INDIRECT("CICLO_EM_EXECUCAO!K"&amp;(ROW()+10))),"CICLO_EM_EXECUCAO AUSENTE",INDIRECT("CICLO_EM_EXECUCAO!K"&amp;(ROW()+10))))</f>
        <v/>
      </c>
    </row>
    <row r="9">
      <c r="A9" s="116">
        <f>IF(AND(itens_Remanesc!A8="",itens_Remanesc!A7&lt;&gt;"",COUNTIF(itens_Remanesc!A9:$A$200,"&lt;&gt;")=0),"TOTAL",IF(itens_Remanesc!A8="","",itens_Remanesc!A8))</f>
        <v/>
      </c>
      <c r="B9" s="355">
        <f>IF(OR(historico_VU!A8="",historico_VU!C8=""),"",historico_VU!C8)</f>
        <v/>
      </c>
      <c r="C9" s="118">
        <f>IF(posicao_contratual!A8="","",posicao_contratual!G8)</f>
        <v/>
      </c>
      <c r="D9" s="355">
        <f>IF(A9="TOTAL",ROUND(SUM($D$3:D8),2),IF(OR(A9="",B9="",C9=""),"",ROUND(B9*C9,2)))</f>
        <v/>
      </c>
      <c r="E9" s="356">
        <f>IF(OR(historico_VU!A8="",historico_VU!D8=""),"",historico_VU!D8)</f>
        <v/>
      </c>
      <c r="F9" s="120">
        <f>IF(posicao_contratual!A8="","",posicao_contratual!K8)</f>
        <v/>
      </c>
      <c r="G9" s="356">
        <f>IF(A9="TOTAL",ROUND(SUM($G$3:G8),2),IF(OR(A9="",E9="",F9=""),"",ROUND(E9*F9,2)))</f>
        <v/>
      </c>
      <c r="H9" s="355">
        <f>IF(OR(historico_VU!A8="",historico_VU!E8=""),"",historico_VU!E8)</f>
        <v/>
      </c>
      <c r="I9" s="118">
        <f>IF(posicao_contratual!A8="","",posicao_contratual!O8)</f>
        <v/>
      </c>
      <c r="J9" s="357">
        <f>IF(A9="TOTAL",ROUND(SUM($J$3:J8),2),IF(OR(A9="",H9="",I9=""),"",ROUND(H9*I9,2)))</f>
        <v/>
      </c>
      <c r="K9" s="356">
        <f>IF(OR(historico_VU!A8="",historico_VU!F8=""),"",historico_VU!F8)</f>
        <v/>
      </c>
      <c r="L9" s="120">
        <f>IF(posicao_contratual!A8="","",posicao_contratual!S8)</f>
        <v/>
      </c>
      <c r="M9" s="358">
        <f>IF(A9="TOTAL",ROUND(SUM($M$3:M8),2),IF(OR(A9="",K9="",L9=""),"",ROUND(K9*L9,2)))</f>
        <v/>
      </c>
      <c r="N9" s="355">
        <f>IF(OR(historico_VU!A8="",historico_VU!G8=""),"",historico_VU!G8)</f>
        <v/>
      </c>
      <c r="O9" s="118">
        <f>IF(posicao_contratual!A8="","",posicao_contratual!W8)</f>
        <v/>
      </c>
      <c r="P9" s="357">
        <f>IF(A9="TOTAL",ROUND(SUM($P$3:P8),2),IF(OR(A9="",N9="",O9=""),"",ROUND(N9*O9,2)))</f>
        <v/>
      </c>
      <c r="Q9" s="195">
        <f>IF($A9="","",IF(ISERROR(INDIRECT("CICLO_EM_EXECUCAO!$D$5")),"",INDIRECT("CICLO_EM_EXECUCAO!$D$5")))</f>
        <v/>
      </c>
      <c r="R9">
        <f>IF($A9="","",IF(MEMORIA_RESULTADOS!$W$46="","","C"&amp;MEMORIA_RESULTADOS!$W$46))</f>
        <v/>
      </c>
      <c r="S9" s="273">
        <f>IF($A9="","",IF(ISERROR(INDIRECT("CICLO_EM_EXECUCAO!B"&amp;(ROW()+10))),"",INDIRECT("CICLO_EM_EXECUCAO!B"&amp;(ROW()+10))))</f>
        <v/>
      </c>
      <c r="T9" s="273">
        <f>IF($A9="","",IF(ISERROR(INDIRECT("CICLO_EM_EXECUCAO!D"&amp;(ROW()+10))),"",INDIRECT("CICLO_EM_EXECUCAO!D"&amp;(ROW()+10))))</f>
        <v/>
      </c>
      <c r="U9" s="273">
        <f>IF($A9="","",IF(ISERROR(INDIRECT("CICLO_EM_EXECUCAO!C"&amp;(ROW()+10))),"",INDIRECT("CICLO_EM_EXECUCAO!C"&amp;(ROW()+10))))</f>
        <v/>
      </c>
      <c r="V9" s="213">
        <f>IF($A9="","",IF(ISERROR(INDIRECT("CICLO_EM_EXECUCAO!E"&amp;(ROW()+10))),"",INDIRECT("CICLO_EM_EXECUCAO!E"&amp;(ROW()+10))))</f>
        <v/>
      </c>
      <c r="W9" s="213">
        <f>IF($A9="","",IF(ISERROR(INDIRECT("CICLO_EM_EXECUCAO!F"&amp;(ROW()+10))),"",INDIRECT("CICLO_EM_EXECUCAO!F"&amp;(ROW()+10))))</f>
        <v/>
      </c>
      <c r="X9" s="213">
        <f>IF($A9="","",IF(ISERROR(INDIRECT("CICLO_EM_EXECUCAO!G"&amp;(ROW()+10))),"",INDIRECT("CICLO_EM_EXECUCAO!G"&amp;(ROW()+10))))</f>
        <v/>
      </c>
      <c r="Y9">
        <f>IF($A9="","",IF(ISERROR(INDIRECT("CICLO_EM_EXECUCAO!K"&amp;(ROW()+10))),"CICLO_EM_EXECUCAO AUSENTE",INDIRECT("CICLO_EM_EXECUCAO!K"&amp;(ROW()+10))))</f>
        <v/>
      </c>
    </row>
    <row r="10">
      <c r="A10" s="116">
        <f>IF(AND(itens_Remanesc!A9="",itens_Remanesc!A8&lt;&gt;"",COUNTIF(itens_Remanesc!A10:$A$200,"&lt;&gt;")=0),"TOTAL",IF(itens_Remanesc!A9="","",itens_Remanesc!A9))</f>
        <v/>
      </c>
      <c r="B10" s="355">
        <f>IF(OR(historico_VU!A9="",historico_VU!C9=""),"",historico_VU!C9)</f>
        <v/>
      </c>
      <c r="C10" s="118">
        <f>IF(posicao_contratual!A9="","",posicao_contratual!G9)</f>
        <v/>
      </c>
      <c r="D10" s="355">
        <f>IF(A10="TOTAL",ROUND(SUM($D$3:D9),2),IF(OR(A10="",B10="",C10=""),"",ROUND(B10*C10,2)))</f>
        <v/>
      </c>
      <c r="E10" s="356">
        <f>IF(OR(historico_VU!A9="",historico_VU!D9=""),"",historico_VU!D9)</f>
        <v/>
      </c>
      <c r="F10" s="120">
        <f>IF(posicao_contratual!A9="","",posicao_contratual!K9)</f>
        <v/>
      </c>
      <c r="G10" s="356">
        <f>IF(A10="TOTAL",ROUND(SUM($G$3:G9),2),IF(OR(A10="",E10="",F10=""),"",ROUND(E10*F10,2)))</f>
        <v/>
      </c>
      <c r="H10" s="355">
        <f>IF(OR(historico_VU!A9="",historico_VU!E9=""),"",historico_VU!E9)</f>
        <v/>
      </c>
      <c r="I10" s="118">
        <f>IF(posicao_contratual!A9="","",posicao_contratual!O9)</f>
        <v/>
      </c>
      <c r="J10" s="357">
        <f>IF(A10="TOTAL",ROUND(SUM($J$3:J9),2),IF(OR(A10="",H10="",I10=""),"",ROUND(H10*I10,2)))</f>
        <v/>
      </c>
      <c r="K10" s="356">
        <f>IF(OR(historico_VU!A9="",historico_VU!F9=""),"",historico_VU!F9)</f>
        <v/>
      </c>
      <c r="L10" s="120">
        <f>IF(posicao_contratual!A9="","",posicao_contratual!S9)</f>
        <v/>
      </c>
      <c r="M10" s="358">
        <f>IF(A10="TOTAL",ROUND(SUM($M$3:M9),2),IF(OR(A10="",K10="",L10=""),"",ROUND(K10*L10,2)))</f>
        <v/>
      </c>
      <c r="N10" s="355">
        <f>IF(OR(historico_VU!A9="",historico_VU!G9=""),"",historico_VU!G9)</f>
        <v/>
      </c>
      <c r="O10" s="118">
        <f>IF(posicao_contratual!A9="","",posicao_contratual!W9)</f>
        <v/>
      </c>
      <c r="P10" s="357">
        <f>IF(A10="TOTAL",ROUND(SUM($P$3:P9),2),IF(OR(A10="",N10="",O10=""),"",ROUND(N10*O10,2)))</f>
        <v/>
      </c>
      <c r="Q10" s="195">
        <f>IF($A10="","",IF(ISERROR(INDIRECT("CICLO_EM_EXECUCAO!$D$5")),"",INDIRECT("CICLO_EM_EXECUCAO!$D$5")))</f>
        <v/>
      </c>
      <c r="R10">
        <f>IF($A10="","",IF(MEMORIA_RESULTADOS!$W$46="","","C"&amp;MEMORIA_RESULTADOS!$W$46))</f>
        <v/>
      </c>
      <c r="S10" s="273">
        <f>IF($A10="","",IF(ISERROR(INDIRECT("CICLO_EM_EXECUCAO!B"&amp;(ROW()+10))),"",INDIRECT("CICLO_EM_EXECUCAO!B"&amp;(ROW()+10))))</f>
        <v/>
      </c>
      <c r="T10" s="273">
        <f>IF($A10="","",IF(ISERROR(INDIRECT("CICLO_EM_EXECUCAO!D"&amp;(ROW()+10))),"",INDIRECT("CICLO_EM_EXECUCAO!D"&amp;(ROW()+10))))</f>
        <v/>
      </c>
      <c r="U10" s="273">
        <f>IF($A10="","",IF(ISERROR(INDIRECT("CICLO_EM_EXECUCAO!C"&amp;(ROW()+10))),"",INDIRECT("CICLO_EM_EXECUCAO!C"&amp;(ROW()+10))))</f>
        <v/>
      </c>
      <c r="V10" s="213">
        <f>IF($A10="","",IF(ISERROR(INDIRECT("CICLO_EM_EXECUCAO!E"&amp;(ROW()+10))),"",INDIRECT("CICLO_EM_EXECUCAO!E"&amp;(ROW()+10))))</f>
        <v/>
      </c>
      <c r="W10" s="213">
        <f>IF($A10="","",IF(ISERROR(INDIRECT("CICLO_EM_EXECUCAO!F"&amp;(ROW()+10))),"",INDIRECT("CICLO_EM_EXECUCAO!F"&amp;(ROW()+10))))</f>
        <v/>
      </c>
      <c r="X10" s="213">
        <f>IF($A10="","",IF(ISERROR(INDIRECT("CICLO_EM_EXECUCAO!G"&amp;(ROW()+10))),"",INDIRECT("CICLO_EM_EXECUCAO!G"&amp;(ROW()+10))))</f>
        <v/>
      </c>
      <c r="Y10">
        <f>IF($A10="","",IF(ISERROR(INDIRECT("CICLO_EM_EXECUCAO!K"&amp;(ROW()+10))),"CICLO_EM_EXECUCAO AUSENTE",INDIRECT("CICLO_EM_EXECUCAO!K"&amp;(ROW()+10))))</f>
        <v/>
      </c>
    </row>
    <row r="11">
      <c r="A11" s="116">
        <f>IF(AND(itens_Remanesc!A10="",itens_Remanesc!A9&lt;&gt;"",COUNTIF(itens_Remanesc!A11:$A$200,"&lt;&gt;")=0),"TOTAL",IF(itens_Remanesc!A10="","",itens_Remanesc!A10))</f>
        <v/>
      </c>
      <c r="B11" s="355">
        <f>IF(OR(historico_VU!A10="",historico_VU!C10=""),"",historico_VU!C10)</f>
        <v/>
      </c>
      <c r="C11" s="118">
        <f>IF(posicao_contratual!A10="","",posicao_contratual!G10)</f>
        <v/>
      </c>
      <c r="D11" s="355">
        <f>IF(A11="TOTAL",ROUND(SUM($D$3:D10),2),IF(OR(A11="",B11="",C11=""),"",ROUND(B11*C11,2)))</f>
        <v/>
      </c>
      <c r="E11" s="356">
        <f>IF(OR(historico_VU!A10="",historico_VU!D10=""),"",historico_VU!D10)</f>
        <v/>
      </c>
      <c r="F11" s="120">
        <f>IF(posicao_contratual!A10="","",posicao_contratual!K10)</f>
        <v/>
      </c>
      <c r="G11" s="356">
        <f>IF(A11="TOTAL",ROUND(SUM($G$3:G10),2),IF(OR(A11="",E11="",F11=""),"",ROUND(E11*F11,2)))</f>
        <v/>
      </c>
      <c r="H11" s="355">
        <f>IF(OR(historico_VU!A10="",historico_VU!E10=""),"",historico_VU!E10)</f>
        <v/>
      </c>
      <c r="I11" s="118">
        <f>IF(posicao_contratual!A10="","",posicao_contratual!O10)</f>
        <v/>
      </c>
      <c r="J11" s="357">
        <f>IF(A11="TOTAL",ROUND(SUM($J$3:J10),2),IF(OR(A11="",H11="",I11=""),"",ROUND(H11*I11,2)))</f>
        <v/>
      </c>
      <c r="K11" s="356">
        <f>IF(OR(historico_VU!A10="",historico_VU!F10=""),"",historico_VU!F10)</f>
        <v/>
      </c>
      <c r="L11" s="120">
        <f>IF(posicao_contratual!A10="","",posicao_contratual!S10)</f>
        <v/>
      </c>
      <c r="M11" s="358">
        <f>IF(A11="TOTAL",ROUND(SUM($M$3:M10),2),IF(OR(A11="",K11="",L11=""),"",ROUND(K11*L11,2)))</f>
        <v/>
      </c>
      <c r="N11" s="355">
        <f>IF(OR(historico_VU!A10="",historico_VU!G10=""),"",historico_VU!G10)</f>
        <v/>
      </c>
      <c r="O11" s="118">
        <f>IF(posicao_contratual!A10="","",posicao_contratual!W10)</f>
        <v/>
      </c>
      <c r="P11" s="357">
        <f>IF(A11="TOTAL",ROUND(SUM($P$3:P10),2),IF(OR(A11="",N11="",O11=""),"",ROUND(N11*O11,2)))</f>
        <v/>
      </c>
      <c r="Q11" s="195">
        <f>IF($A11="","",IF(ISERROR(INDIRECT("CICLO_EM_EXECUCAO!$D$5")),"",INDIRECT("CICLO_EM_EXECUCAO!$D$5")))</f>
        <v/>
      </c>
      <c r="R11">
        <f>IF($A11="","",IF(MEMORIA_RESULTADOS!$W$46="","","C"&amp;MEMORIA_RESULTADOS!$W$46))</f>
        <v/>
      </c>
      <c r="S11" s="273">
        <f>IF($A11="","",IF(ISERROR(INDIRECT("CICLO_EM_EXECUCAO!B"&amp;(ROW()+10))),"",INDIRECT("CICLO_EM_EXECUCAO!B"&amp;(ROW()+10))))</f>
        <v/>
      </c>
      <c r="T11" s="273">
        <f>IF($A11="","",IF(ISERROR(INDIRECT("CICLO_EM_EXECUCAO!D"&amp;(ROW()+10))),"",INDIRECT("CICLO_EM_EXECUCAO!D"&amp;(ROW()+10))))</f>
        <v/>
      </c>
      <c r="U11" s="273">
        <f>IF($A11="","",IF(ISERROR(INDIRECT("CICLO_EM_EXECUCAO!C"&amp;(ROW()+10))),"",INDIRECT("CICLO_EM_EXECUCAO!C"&amp;(ROW()+10))))</f>
        <v/>
      </c>
      <c r="V11" s="213">
        <f>IF($A11="","",IF(ISERROR(INDIRECT("CICLO_EM_EXECUCAO!E"&amp;(ROW()+10))),"",INDIRECT("CICLO_EM_EXECUCAO!E"&amp;(ROW()+10))))</f>
        <v/>
      </c>
      <c r="W11" s="213">
        <f>IF($A11="","",IF(ISERROR(INDIRECT("CICLO_EM_EXECUCAO!F"&amp;(ROW()+10))),"",INDIRECT("CICLO_EM_EXECUCAO!F"&amp;(ROW()+10))))</f>
        <v/>
      </c>
      <c r="X11" s="213">
        <f>IF($A11="","",IF(ISERROR(INDIRECT("CICLO_EM_EXECUCAO!G"&amp;(ROW()+10))),"",INDIRECT("CICLO_EM_EXECUCAO!G"&amp;(ROW()+10))))</f>
        <v/>
      </c>
      <c r="Y11">
        <f>IF($A11="","",IF(ISERROR(INDIRECT("CICLO_EM_EXECUCAO!K"&amp;(ROW()+10))),"CICLO_EM_EXECUCAO AUSENTE",INDIRECT("CICLO_EM_EXECUCAO!K"&amp;(ROW()+10))))</f>
        <v/>
      </c>
    </row>
    <row r="12">
      <c r="A12" s="116">
        <f>IF(AND(itens_Remanesc!A11="",itens_Remanesc!A10&lt;&gt;"",COUNTIF(itens_Remanesc!A12:$A$200,"&lt;&gt;")=0),"TOTAL",IF(itens_Remanesc!A11="","",itens_Remanesc!A11))</f>
        <v/>
      </c>
      <c r="B12" s="355">
        <f>IF(OR(historico_VU!A11="",historico_VU!C11=""),"",historico_VU!C11)</f>
        <v/>
      </c>
      <c r="C12" s="118">
        <f>IF(posicao_contratual!A11="","",posicao_contratual!G11)</f>
        <v/>
      </c>
      <c r="D12" s="355">
        <f>IF(A12="TOTAL",ROUND(SUM($D$3:D11),2),IF(OR(A12="",B12="",C12=""),"",ROUND(B12*C12,2)))</f>
        <v/>
      </c>
      <c r="E12" s="356">
        <f>IF(OR(historico_VU!A11="",historico_VU!D11=""),"",historico_VU!D11)</f>
        <v/>
      </c>
      <c r="F12" s="120">
        <f>IF(posicao_contratual!A11="","",posicao_contratual!K11)</f>
        <v/>
      </c>
      <c r="G12" s="356">
        <f>IF(A12="TOTAL",ROUND(SUM($G$3:G11),2),IF(OR(A12="",E12="",F12=""),"",ROUND(E12*F12,2)))</f>
        <v/>
      </c>
      <c r="H12" s="355">
        <f>IF(OR(historico_VU!A11="",historico_VU!E11=""),"",historico_VU!E11)</f>
        <v/>
      </c>
      <c r="I12" s="118">
        <f>IF(posicao_contratual!A11="","",posicao_contratual!O11)</f>
        <v/>
      </c>
      <c r="J12" s="357">
        <f>IF(A12="TOTAL",ROUND(SUM($J$3:J11),2),IF(OR(A12="",H12="",I12=""),"",ROUND(H12*I12,2)))</f>
        <v/>
      </c>
      <c r="K12" s="356">
        <f>IF(OR(historico_VU!A11="",historico_VU!F11=""),"",historico_VU!F11)</f>
        <v/>
      </c>
      <c r="L12" s="120">
        <f>IF(posicao_contratual!A11="","",posicao_contratual!S11)</f>
        <v/>
      </c>
      <c r="M12" s="356">
        <f>IF(A12="TOTAL",ROUND(SUM($M$3:M11),2),IF(OR(A12="",K12="",L12=""),"",ROUND(K12*L12,2)))</f>
        <v/>
      </c>
      <c r="N12" s="355">
        <f>IF(OR(historico_VU!A11="",historico_VU!G11=""),"",historico_VU!G11)</f>
        <v/>
      </c>
      <c r="O12" s="118">
        <f>IF(posicao_contratual!A11="","",posicao_contratual!W11)</f>
        <v/>
      </c>
      <c r="P12" s="357">
        <f>IF(A12="TOTAL",ROUND(SUM($P$3:P11),2),IF(OR(A12="",N12="",O12=""),"",ROUND(N12*O12,2)))</f>
        <v/>
      </c>
      <c r="Q12" s="195">
        <f>IF($A12="","",IF(ISERROR(INDIRECT("CICLO_EM_EXECUCAO!$D$5")),"",INDIRECT("CICLO_EM_EXECUCAO!$D$5")))</f>
        <v/>
      </c>
      <c r="R12">
        <f>IF($A12="","",IF(MEMORIA_RESULTADOS!$W$46="","","C"&amp;MEMORIA_RESULTADOS!$W$46))</f>
        <v/>
      </c>
      <c r="S12" s="273">
        <f>IF($A12="","",IF(ISERROR(INDIRECT("CICLO_EM_EXECUCAO!B"&amp;(ROW()+10))),"",INDIRECT("CICLO_EM_EXECUCAO!B"&amp;(ROW()+10))))</f>
        <v/>
      </c>
      <c r="T12" s="273">
        <f>IF($A12="","",IF(ISERROR(INDIRECT("CICLO_EM_EXECUCAO!D"&amp;(ROW()+10))),"",INDIRECT("CICLO_EM_EXECUCAO!D"&amp;(ROW()+10))))</f>
        <v/>
      </c>
      <c r="U12" s="273">
        <f>IF($A12="","",IF(ISERROR(INDIRECT("CICLO_EM_EXECUCAO!C"&amp;(ROW()+10))),"",INDIRECT("CICLO_EM_EXECUCAO!C"&amp;(ROW()+10))))</f>
        <v/>
      </c>
      <c r="V12" s="213">
        <f>IF($A12="","",IF(ISERROR(INDIRECT("CICLO_EM_EXECUCAO!E"&amp;(ROW()+10))),"",INDIRECT("CICLO_EM_EXECUCAO!E"&amp;(ROW()+10))))</f>
        <v/>
      </c>
      <c r="W12" s="213">
        <f>IF($A12="","",IF(ISERROR(INDIRECT("CICLO_EM_EXECUCAO!F"&amp;(ROW()+10))),"",INDIRECT("CICLO_EM_EXECUCAO!F"&amp;(ROW()+10))))</f>
        <v/>
      </c>
      <c r="X12" s="213">
        <f>IF($A12="","",IF(ISERROR(INDIRECT("CICLO_EM_EXECUCAO!G"&amp;(ROW()+10))),"",INDIRECT("CICLO_EM_EXECUCAO!G"&amp;(ROW()+10))))</f>
        <v/>
      </c>
      <c r="Y12">
        <f>IF($A12="","",IF(ISERROR(INDIRECT("CICLO_EM_EXECUCAO!K"&amp;(ROW()+10))),"CICLO_EM_EXECUCAO AUSENTE",INDIRECT("CICLO_EM_EXECUCAO!K"&amp;(ROW()+10))))</f>
        <v/>
      </c>
    </row>
    <row r="13">
      <c r="A13" s="116">
        <f>IF(AND(itens_Remanesc!A12="",itens_Remanesc!A11&lt;&gt;"",COUNTIF(itens_Remanesc!A13:$A$200,"&lt;&gt;")=0),"TOTAL",IF(itens_Remanesc!A12="","",itens_Remanesc!A12))</f>
        <v/>
      </c>
      <c r="B13" s="355">
        <f>IF(OR(historico_VU!A12="",historico_VU!C12=""),"",historico_VU!C12)</f>
        <v/>
      </c>
      <c r="C13" s="118">
        <f>IF(posicao_contratual!A12="","",posicao_contratual!G12)</f>
        <v/>
      </c>
      <c r="D13" s="355">
        <f>IF(A13="TOTAL",ROUND(SUM($D$3:D12),2),IF(OR(A13="",B13="",C13=""),"",ROUND(B13*C13,2)))</f>
        <v/>
      </c>
      <c r="E13" s="356">
        <f>IF(OR(historico_VU!A12="",historico_VU!D12=""),"",historico_VU!D12)</f>
        <v/>
      </c>
      <c r="F13" s="120">
        <f>IF(posicao_contratual!A12="","",posicao_contratual!K12)</f>
        <v/>
      </c>
      <c r="G13" s="356">
        <f>IF(A13="TOTAL",ROUND(SUM($G$3:G12),2),IF(OR(A13="",E13="",F13=""),"",ROUND(E13*F13,2)))</f>
        <v/>
      </c>
      <c r="H13" s="355">
        <f>IF(OR(historico_VU!A12="",historico_VU!E12=""),"",historico_VU!E12)</f>
        <v/>
      </c>
      <c r="I13" s="118">
        <f>IF(posicao_contratual!A12="","",posicao_contratual!O12)</f>
        <v/>
      </c>
      <c r="J13" s="355">
        <f>IF(A13="TOTAL",ROUND(SUM($J$3:J12),2),IF(OR(A13="",H13="",I13=""),"",ROUND(H13*I13,2)))</f>
        <v/>
      </c>
      <c r="K13" s="356">
        <f>IF(OR(historico_VU!A12="",historico_VU!F12=""),"",historico_VU!F12)</f>
        <v/>
      </c>
      <c r="L13" s="120">
        <f>IF(posicao_contratual!A12="","",posicao_contratual!S12)</f>
        <v/>
      </c>
      <c r="M13" s="356">
        <f>IF(A13="TOTAL",ROUND(SUM($M$3:M12),2),IF(OR(A13="",K13="",L13=""),"",ROUND(K13*L13,2)))</f>
        <v/>
      </c>
      <c r="N13" s="355">
        <f>IF(OR(historico_VU!A12="",historico_VU!G12=""),"",historico_VU!G12)</f>
        <v/>
      </c>
      <c r="O13" s="118">
        <f>IF(posicao_contratual!A12="","",posicao_contratual!W12)</f>
        <v/>
      </c>
      <c r="P13" s="355">
        <f>IF(A13="TOTAL",ROUND(SUM($P$3:P12),2),IF(OR(A13="",N13="",O13=""),"",ROUND(N13*O13,2)))</f>
        <v/>
      </c>
      <c r="Q13" s="195">
        <f>IF($A13="","",IF(ISERROR(INDIRECT("CICLO_EM_EXECUCAO!$D$5")),"",INDIRECT("CICLO_EM_EXECUCAO!$D$5")))</f>
        <v/>
      </c>
      <c r="R13">
        <f>IF($A13="","",IF(MEMORIA_RESULTADOS!$W$46="","","C"&amp;MEMORIA_RESULTADOS!$W$46))</f>
        <v/>
      </c>
      <c r="S13" s="273">
        <f>IF($A13="","",IF(ISERROR(INDIRECT("CICLO_EM_EXECUCAO!B"&amp;(ROW()+10))),"",INDIRECT("CICLO_EM_EXECUCAO!B"&amp;(ROW()+10))))</f>
        <v/>
      </c>
      <c r="T13" s="273">
        <f>IF($A13="","",IF(ISERROR(INDIRECT("CICLO_EM_EXECUCAO!D"&amp;(ROW()+10))),"",INDIRECT("CICLO_EM_EXECUCAO!D"&amp;(ROW()+10))))</f>
        <v/>
      </c>
      <c r="U13" s="273">
        <f>IF($A13="","",IF(ISERROR(INDIRECT("CICLO_EM_EXECUCAO!C"&amp;(ROW()+10))),"",INDIRECT("CICLO_EM_EXECUCAO!C"&amp;(ROW()+10))))</f>
        <v/>
      </c>
      <c r="V13" s="213">
        <f>IF($A13="","",IF(ISERROR(INDIRECT("CICLO_EM_EXECUCAO!E"&amp;(ROW()+10))),"",INDIRECT("CICLO_EM_EXECUCAO!E"&amp;(ROW()+10))))</f>
        <v/>
      </c>
      <c r="W13" s="213">
        <f>IF($A13="","",IF(ISERROR(INDIRECT("CICLO_EM_EXECUCAO!F"&amp;(ROW()+10))),"",INDIRECT("CICLO_EM_EXECUCAO!F"&amp;(ROW()+10))))</f>
        <v/>
      </c>
      <c r="X13" s="213">
        <f>IF($A13="","",IF(ISERROR(INDIRECT("CICLO_EM_EXECUCAO!G"&amp;(ROW()+10))),"",INDIRECT("CICLO_EM_EXECUCAO!G"&amp;(ROW()+10))))</f>
        <v/>
      </c>
      <c r="Y13">
        <f>IF($A13="","",IF(ISERROR(INDIRECT("CICLO_EM_EXECUCAO!K"&amp;(ROW()+10))),"CICLO_EM_EXECUCAO AUSENTE",INDIRECT("CICLO_EM_EXECUCAO!K"&amp;(ROW()+10))))</f>
        <v/>
      </c>
    </row>
    <row r="14">
      <c r="A14" s="116">
        <f>IF(AND(itens_Remanesc!A13="",itens_Remanesc!A12&lt;&gt;"",COUNTIF(itens_Remanesc!A14:$A$200,"&lt;&gt;")=0),"TOTAL",IF(itens_Remanesc!A13="","",itens_Remanesc!A13))</f>
        <v/>
      </c>
      <c r="B14" s="355">
        <f>IF(OR(historico_VU!A13="",historico_VU!C13=""),"",historico_VU!C13)</f>
        <v/>
      </c>
      <c r="C14" s="118">
        <f>IF(posicao_contratual!A13="","",posicao_contratual!G13)</f>
        <v/>
      </c>
      <c r="D14" s="355">
        <f>IF(A14="TOTAL",ROUND(SUM($D$3:D13),2),IF(OR(A14="",B14="",C14=""),"",ROUND(B14*C14,2)))</f>
        <v/>
      </c>
      <c r="E14" s="356">
        <f>IF(OR(historico_VU!A13="",historico_VU!D13=""),"",historico_VU!D13)</f>
        <v/>
      </c>
      <c r="F14" s="120">
        <f>IF(posicao_contratual!A13="","",posicao_contratual!K13)</f>
        <v/>
      </c>
      <c r="G14" s="356">
        <f>IF(A14="TOTAL",ROUND(SUM($G$3:G13),2),IF(OR(A14="",E14="",F14=""),"",ROUND(E14*F14,2)))</f>
        <v/>
      </c>
      <c r="H14" s="355">
        <f>IF(OR(historico_VU!A13="",historico_VU!E13=""),"",historico_VU!E13)</f>
        <v/>
      </c>
      <c r="I14" s="118">
        <f>IF(posicao_contratual!A13="","",posicao_contratual!O13)</f>
        <v/>
      </c>
      <c r="J14" s="355">
        <f>IF(A14="TOTAL",ROUND(SUM($J$3:J13),2),IF(OR(A14="",H14="",I14=""),"",ROUND(H14*I14,2)))</f>
        <v/>
      </c>
      <c r="K14" s="356">
        <f>IF(OR(historico_VU!A13="",historico_VU!F13=""),"",historico_VU!F13)</f>
        <v/>
      </c>
      <c r="L14" s="120">
        <f>IF(posicao_contratual!A13="","",posicao_contratual!S13)</f>
        <v/>
      </c>
      <c r="M14" s="356">
        <f>IF(A14="TOTAL",ROUND(SUM($M$3:M13),2),IF(OR(A14="",K14="",L14=""),"",ROUND(K14*L14,2)))</f>
        <v/>
      </c>
      <c r="N14" s="355">
        <f>IF(OR(historico_VU!A13="",historico_VU!G13=""),"",historico_VU!G13)</f>
        <v/>
      </c>
      <c r="O14" s="118">
        <f>IF(posicao_contratual!A13="","",posicao_contratual!W13)</f>
        <v/>
      </c>
      <c r="P14" s="355">
        <f>IF(A14="TOTAL",ROUND(SUM($P$3:P13),2),IF(OR(A14="",N14="",O14=""),"",ROUND(N14*O14,2)))</f>
        <v/>
      </c>
      <c r="Q14" s="195">
        <f>IF($A14="","",IF(ISERROR(INDIRECT("CICLO_EM_EXECUCAO!$D$5")),"",INDIRECT("CICLO_EM_EXECUCAO!$D$5")))</f>
        <v/>
      </c>
      <c r="R14">
        <f>IF($A14="","",IF(MEMORIA_RESULTADOS!$W$46="","","C"&amp;MEMORIA_RESULTADOS!$W$46))</f>
        <v/>
      </c>
      <c r="S14" s="273">
        <f>IF($A14="","",IF(ISERROR(INDIRECT("CICLO_EM_EXECUCAO!B"&amp;(ROW()+10))),"",INDIRECT("CICLO_EM_EXECUCAO!B"&amp;(ROW()+10))))</f>
        <v/>
      </c>
      <c r="T14" s="273">
        <f>IF($A14="","",IF(ISERROR(INDIRECT("CICLO_EM_EXECUCAO!D"&amp;(ROW()+10))),"",INDIRECT("CICLO_EM_EXECUCAO!D"&amp;(ROW()+10))))</f>
        <v/>
      </c>
      <c r="U14" s="273">
        <f>IF($A14="","",IF(ISERROR(INDIRECT("CICLO_EM_EXECUCAO!C"&amp;(ROW()+10))),"",INDIRECT("CICLO_EM_EXECUCAO!C"&amp;(ROW()+10))))</f>
        <v/>
      </c>
      <c r="V14" s="213">
        <f>IF($A14="","",IF(ISERROR(INDIRECT("CICLO_EM_EXECUCAO!E"&amp;(ROW()+10))),"",INDIRECT("CICLO_EM_EXECUCAO!E"&amp;(ROW()+10))))</f>
        <v/>
      </c>
      <c r="W14" s="213">
        <f>IF($A14="","",IF(ISERROR(INDIRECT("CICLO_EM_EXECUCAO!F"&amp;(ROW()+10))),"",INDIRECT("CICLO_EM_EXECUCAO!F"&amp;(ROW()+10))))</f>
        <v/>
      </c>
      <c r="X14" s="213">
        <f>IF($A14="","",IF(ISERROR(INDIRECT("CICLO_EM_EXECUCAO!G"&amp;(ROW()+10))),"",INDIRECT("CICLO_EM_EXECUCAO!G"&amp;(ROW()+10))))</f>
        <v/>
      </c>
      <c r="Y14">
        <f>IF($A14="","",IF(ISERROR(INDIRECT("CICLO_EM_EXECUCAO!K"&amp;(ROW()+10))),"CICLO_EM_EXECUCAO AUSENTE",INDIRECT("CICLO_EM_EXECUCAO!K"&amp;(ROW()+10))))</f>
        <v/>
      </c>
    </row>
    <row r="15">
      <c r="A15" s="116">
        <f>IF(AND(itens_Remanesc!A14="",itens_Remanesc!A13&lt;&gt;"",COUNTIF(itens_Remanesc!A15:$A$200,"&lt;&gt;")=0),"TOTAL",IF(itens_Remanesc!A14="","",itens_Remanesc!A14))</f>
        <v/>
      </c>
      <c r="B15" s="355">
        <f>IF(OR(historico_VU!A14="",historico_VU!C14=""),"",historico_VU!C14)</f>
        <v/>
      </c>
      <c r="C15" s="118">
        <f>IF(posicao_contratual!A14="","",posicao_contratual!G14)</f>
        <v/>
      </c>
      <c r="D15" s="355">
        <f>IF(A15="TOTAL",ROUND(SUM($D$3:D14),2),IF(OR(A15="",B15="",C15=""),"",ROUND(B15*C15,2)))</f>
        <v/>
      </c>
      <c r="E15" s="356">
        <f>IF(OR(historico_VU!A14="",historico_VU!D14=""),"",historico_VU!D14)</f>
        <v/>
      </c>
      <c r="F15" s="120">
        <f>IF(posicao_contratual!A14="","",posicao_contratual!K14)</f>
        <v/>
      </c>
      <c r="G15" s="356">
        <f>IF(A15="TOTAL",ROUND(SUM($G$3:G14),2),IF(OR(A15="",E15="",F15=""),"",ROUND(E15*F15,2)))</f>
        <v/>
      </c>
      <c r="H15" s="355">
        <f>IF(OR(historico_VU!A14="",historico_VU!E14=""),"",historico_VU!E14)</f>
        <v/>
      </c>
      <c r="I15" s="118">
        <f>IF(posicao_contratual!A14="","",posicao_contratual!O14)</f>
        <v/>
      </c>
      <c r="J15" s="355">
        <f>IF(A15="TOTAL",ROUND(SUM($J$3:J14),2),IF(OR(A15="",H15="",I15=""),"",ROUND(H15*I15,2)))</f>
        <v/>
      </c>
      <c r="K15" s="356">
        <f>IF(OR(historico_VU!A14="",historico_VU!F14=""),"",historico_VU!F14)</f>
        <v/>
      </c>
      <c r="L15" s="120">
        <f>IF(posicao_contratual!A14="","",posicao_contratual!S14)</f>
        <v/>
      </c>
      <c r="M15" s="356">
        <f>IF(A15="TOTAL",ROUND(SUM($M$3:M14),2),IF(OR(A15="",K15="",L15=""),"",ROUND(K15*L15,2)))</f>
        <v/>
      </c>
      <c r="N15" s="355">
        <f>IF(OR(historico_VU!A14="",historico_VU!G14=""),"",historico_VU!G14)</f>
        <v/>
      </c>
      <c r="O15" s="118">
        <f>IF(posicao_contratual!A14="","",posicao_contratual!W14)</f>
        <v/>
      </c>
      <c r="P15" s="355">
        <f>IF(A15="TOTAL",ROUND(SUM($P$3:P14),2),IF(OR(A15="",N15="",O15=""),"",ROUND(N15*O15,2)))</f>
        <v/>
      </c>
      <c r="Q15" s="195">
        <f>IF($A15="","",IF(ISERROR(INDIRECT("CICLO_EM_EXECUCAO!$D$5")),"",INDIRECT("CICLO_EM_EXECUCAO!$D$5")))</f>
        <v/>
      </c>
      <c r="R15">
        <f>IF($A15="","",IF(MEMORIA_RESULTADOS!$W$46="","","C"&amp;MEMORIA_RESULTADOS!$W$46))</f>
        <v/>
      </c>
      <c r="S15" s="273">
        <f>IF($A15="","",IF(ISERROR(INDIRECT("CICLO_EM_EXECUCAO!B"&amp;(ROW()+10))),"",INDIRECT("CICLO_EM_EXECUCAO!B"&amp;(ROW()+10))))</f>
        <v/>
      </c>
      <c r="T15" s="273">
        <f>IF($A15="","",IF(ISERROR(INDIRECT("CICLO_EM_EXECUCAO!D"&amp;(ROW()+10))),"",INDIRECT("CICLO_EM_EXECUCAO!D"&amp;(ROW()+10))))</f>
        <v/>
      </c>
      <c r="U15" s="273">
        <f>IF($A15="","",IF(ISERROR(INDIRECT("CICLO_EM_EXECUCAO!C"&amp;(ROW()+10))),"",INDIRECT("CICLO_EM_EXECUCAO!C"&amp;(ROW()+10))))</f>
        <v/>
      </c>
      <c r="V15" s="213">
        <f>IF($A15="","",IF(ISERROR(INDIRECT("CICLO_EM_EXECUCAO!E"&amp;(ROW()+10))),"",INDIRECT("CICLO_EM_EXECUCAO!E"&amp;(ROW()+10))))</f>
        <v/>
      </c>
      <c r="W15" s="213">
        <f>IF($A15="","",IF(ISERROR(INDIRECT("CICLO_EM_EXECUCAO!F"&amp;(ROW()+10))),"",INDIRECT("CICLO_EM_EXECUCAO!F"&amp;(ROW()+10))))</f>
        <v/>
      </c>
      <c r="X15" s="213">
        <f>IF($A15="","",IF(ISERROR(INDIRECT("CICLO_EM_EXECUCAO!G"&amp;(ROW()+10))),"",INDIRECT("CICLO_EM_EXECUCAO!G"&amp;(ROW()+10))))</f>
        <v/>
      </c>
      <c r="Y15">
        <f>IF($A15="","",IF(ISERROR(INDIRECT("CICLO_EM_EXECUCAO!K"&amp;(ROW()+10))),"CICLO_EM_EXECUCAO AUSENTE",INDIRECT("CICLO_EM_EXECUCAO!K"&amp;(ROW()+10))))</f>
        <v/>
      </c>
    </row>
    <row r="16">
      <c r="A16" s="116">
        <f>IF(AND(itens_Remanesc!A15="",itens_Remanesc!A14&lt;&gt;"",COUNTIF(itens_Remanesc!A16:$A$200,"&lt;&gt;")=0),"TOTAL",IF(itens_Remanesc!A15="","",itens_Remanesc!A15))</f>
        <v/>
      </c>
      <c r="B16" s="355">
        <f>IF(OR(historico_VU!A15="",historico_VU!C15=""),"",historico_VU!C15)</f>
        <v/>
      </c>
      <c r="C16" s="118">
        <f>IF(posicao_contratual!A15="","",posicao_contratual!G15)</f>
        <v/>
      </c>
      <c r="D16" s="355">
        <f>IF(A16="TOTAL",ROUND(SUM($D$3:D15),2),IF(OR(A16="",B16="",C16=""),"",ROUND(B16*C16,2)))</f>
        <v/>
      </c>
      <c r="E16" s="356">
        <f>IF(OR(historico_VU!A15="",historico_VU!D15=""),"",historico_VU!D15)</f>
        <v/>
      </c>
      <c r="F16" s="120">
        <f>IF(posicao_contratual!A15="","",posicao_contratual!K15)</f>
        <v/>
      </c>
      <c r="G16" s="356">
        <f>IF(A16="TOTAL",ROUND(SUM($G$3:G15),2),IF(OR(A16="",E16="",F16=""),"",ROUND(E16*F16,2)))</f>
        <v/>
      </c>
      <c r="H16" s="355">
        <f>IF(OR(historico_VU!A15="",historico_VU!E15=""),"",historico_VU!E15)</f>
        <v/>
      </c>
      <c r="I16" s="118">
        <f>IF(posicao_contratual!A15="","",posicao_contratual!O15)</f>
        <v/>
      </c>
      <c r="J16" s="355">
        <f>IF(A16="TOTAL",ROUND(SUM($J$3:J15),2),IF(OR(A16="",H16="",I16=""),"",ROUND(H16*I16,2)))</f>
        <v/>
      </c>
      <c r="K16" s="356">
        <f>IF(OR(historico_VU!A15="",historico_VU!F15=""),"",historico_VU!F15)</f>
        <v/>
      </c>
      <c r="L16" s="120">
        <f>IF(posicao_contratual!A15="","",posicao_contratual!S15)</f>
        <v/>
      </c>
      <c r="M16" s="356">
        <f>IF(A16="TOTAL",ROUND(SUM($M$3:M15),2),IF(OR(A16="",K16="",L16=""),"",ROUND(K16*L16,2)))</f>
        <v/>
      </c>
      <c r="N16" s="355">
        <f>IF(OR(historico_VU!A15="",historico_VU!G15=""),"",historico_VU!G15)</f>
        <v/>
      </c>
      <c r="O16" s="118">
        <f>IF(posicao_contratual!A15="","",posicao_contratual!W15)</f>
        <v/>
      </c>
      <c r="P16" s="355">
        <f>IF(A16="TOTAL",ROUND(SUM($P$3:P15),2),IF(OR(A16="",N16="",O16=""),"",ROUND(N16*O16,2)))</f>
        <v/>
      </c>
      <c r="Q16" s="195">
        <f>IF($A16="","",IF(ISERROR(INDIRECT("CICLO_EM_EXECUCAO!$D$5")),"",INDIRECT("CICLO_EM_EXECUCAO!$D$5")))</f>
        <v/>
      </c>
      <c r="R16">
        <f>IF($A16="","",IF(MEMORIA_RESULTADOS!$W$46="","","C"&amp;MEMORIA_RESULTADOS!$W$46))</f>
        <v/>
      </c>
      <c r="S16" s="273">
        <f>IF($A16="","",IF(ISERROR(INDIRECT("CICLO_EM_EXECUCAO!B"&amp;(ROW()+10))),"",INDIRECT("CICLO_EM_EXECUCAO!B"&amp;(ROW()+10))))</f>
        <v/>
      </c>
      <c r="T16" s="273">
        <f>IF($A16="","",IF(ISERROR(INDIRECT("CICLO_EM_EXECUCAO!D"&amp;(ROW()+10))),"",INDIRECT("CICLO_EM_EXECUCAO!D"&amp;(ROW()+10))))</f>
        <v/>
      </c>
      <c r="U16" s="273">
        <f>IF($A16="","",IF(ISERROR(INDIRECT("CICLO_EM_EXECUCAO!C"&amp;(ROW()+10))),"",INDIRECT("CICLO_EM_EXECUCAO!C"&amp;(ROW()+10))))</f>
        <v/>
      </c>
      <c r="V16" s="213">
        <f>IF($A16="","",IF(ISERROR(INDIRECT("CICLO_EM_EXECUCAO!E"&amp;(ROW()+10))),"",INDIRECT("CICLO_EM_EXECUCAO!E"&amp;(ROW()+10))))</f>
        <v/>
      </c>
      <c r="W16" s="213">
        <f>IF($A16="","",IF(ISERROR(INDIRECT("CICLO_EM_EXECUCAO!F"&amp;(ROW()+10))),"",INDIRECT("CICLO_EM_EXECUCAO!F"&amp;(ROW()+10))))</f>
        <v/>
      </c>
      <c r="X16" s="213">
        <f>IF($A16="","",IF(ISERROR(INDIRECT("CICLO_EM_EXECUCAO!G"&amp;(ROW()+10))),"",INDIRECT("CICLO_EM_EXECUCAO!G"&amp;(ROW()+10))))</f>
        <v/>
      </c>
      <c r="Y16">
        <f>IF($A16="","",IF(ISERROR(INDIRECT("CICLO_EM_EXECUCAO!K"&amp;(ROW()+10))),"CICLO_EM_EXECUCAO AUSENTE",INDIRECT("CICLO_EM_EXECUCAO!K"&amp;(ROW()+10))))</f>
        <v/>
      </c>
    </row>
    <row r="17">
      <c r="A17" s="116">
        <f>IF(AND(itens_Remanesc!A16="",itens_Remanesc!A15&lt;&gt;"",COUNTIF(itens_Remanesc!A17:$A$200,"&lt;&gt;")=0),"TOTAL",IF(itens_Remanesc!A16="","",itens_Remanesc!A16))</f>
        <v/>
      </c>
      <c r="B17" s="355">
        <f>IF(OR(historico_VU!A16="",historico_VU!C16=""),"",historico_VU!C16)</f>
        <v/>
      </c>
      <c r="C17" s="118">
        <f>IF(posicao_contratual!A16="","",posicao_contratual!G16)</f>
        <v/>
      </c>
      <c r="D17" s="355">
        <f>IF(A17="TOTAL",ROUND(SUM($D$3:D16),2),IF(OR(A17="",B17="",C17=""),"",ROUND(B17*C17,2)))</f>
        <v/>
      </c>
      <c r="E17" s="356">
        <f>IF(OR(historico_VU!A16="",historico_VU!D16=""),"",historico_VU!D16)</f>
        <v/>
      </c>
      <c r="F17" s="120">
        <f>IF(posicao_contratual!A16="","",posicao_contratual!K16)</f>
        <v/>
      </c>
      <c r="G17" s="356">
        <f>IF(A17="TOTAL",ROUND(SUM($G$3:G16),2),IF(OR(A17="",E17="",F17=""),"",ROUND(E17*F17,2)))</f>
        <v/>
      </c>
      <c r="H17" s="355">
        <f>IF(OR(historico_VU!A16="",historico_VU!E16=""),"",historico_VU!E16)</f>
        <v/>
      </c>
      <c r="I17" s="118">
        <f>IF(posicao_contratual!A16="","",posicao_contratual!O16)</f>
        <v/>
      </c>
      <c r="J17" s="355">
        <f>IF(A17="TOTAL",ROUND(SUM($J$3:J16),2),IF(OR(A17="",H17="",I17=""),"",ROUND(H17*I17,2)))</f>
        <v/>
      </c>
      <c r="K17" s="356">
        <f>IF(OR(historico_VU!A16="",historico_VU!F16=""),"",historico_VU!F16)</f>
        <v/>
      </c>
      <c r="L17" s="120">
        <f>IF(posicao_contratual!A16="","",posicao_contratual!S16)</f>
        <v/>
      </c>
      <c r="M17" s="356">
        <f>IF(A17="TOTAL",ROUND(SUM($M$3:M16),2),IF(OR(A17="",K17="",L17=""),"",ROUND(K17*L17,2)))</f>
        <v/>
      </c>
      <c r="N17" s="355">
        <f>IF(OR(historico_VU!A16="",historico_VU!G16=""),"",historico_VU!G16)</f>
        <v/>
      </c>
      <c r="O17" s="118">
        <f>IF(posicao_contratual!A16="","",posicao_contratual!W16)</f>
        <v/>
      </c>
      <c r="P17" s="355">
        <f>IF(A17="TOTAL",ROUND(SUM($P$3:P16),2),IF(OR(A17="",N17="",O17=""),"",ROUND(N17*O17,2)))</f>
        <v/>
      </c>
      <c r="Q17" s="195">
        <f>IF($A17="","",IF(ISERROR(INDIRECT("CICLO_EM_EXECUCAO!$D$5")),"",INDIRECT("CICLO_EM_EXECUCAO!$D$5")))</f>
        <v/>
      </c>
      <c r="R17">
        <f>IF($A17="","",IF(MEMORIA_RESULTADOS!$W$46="","","C"&amp;MEMORIA_RESULTADOS!$W$46))</f>
        <v/>
      </c>
      <c r="S17" s="273">
        <f>IF($A17="","",IF(ISERROR(INDIRECT("CICLO_EM_EXECUCAO!B"&amp;(ROW()+10))),"",INDIRECT("CICLO_EM_EXECUCAO!B"&amp;(ROW()+10))))</f>
        <v/>
      </c>
      <c r="T17" s="273">
        <f>IF($A17="","",IF(ISERROR(INDIRECT("CICLO_EM_EXECUCAO!D"&amp;(ROW()+10))),"",INDIRECT("CICLO_EM_EXECUCAO!D"&amp;(ROW()+10))))</f>
        <v/>
      </c>
      <c r="U17" s="273">
        <f>IF($A17="","",IF(ISERROR(INDIRECT("CICLO_EM_EXECUCAO!C"&amp;(ROW()+10))),"",INDIRECT("CICLO_EM_EXECUCAO!C"&amp;(ROW()+10))))</f>
        <v/>
      </c>
      <c r="V17" s="213">
        <f>IF($A17="","",IF(ISERROR(INDIRECT("CICLO_EM_EXECUCAO!E"&amp;(ROW()+10))),"",INDIRECT("CICLO_EM_EXECUCAO!E"&amp;(ROW()+10))))</f>
        <v/>
      </c>
      <c r="W17" s="213">
        <f>IF($A17="","",IF(ISERROR(INDIRECT("CICLO_EM_EXECUCAO!F"&amp;(ROW()+10))),"",INDIRECT("CICLO_EM_EXECUCAO!F"&amp;(ROW()+10))))</f>
        <v/>
      </c>
      <c r="X17" s="213">
        <f>IF($A17="","",IF(ISERROR(INDIRECT("CICLO_EM_EXECUCAO!G"&amp;(ROW()+10))),"",INDIRECT("CICLO_EM_EXECUCAO!G"&amp;(ROW()+10))))</f>
        <v/>
      </c>
      <c r="Y17">
        <f>IF($A17="","",IF(ISERROR(INDIRECT("CICLO_EM_EXECUCAO!K"&amp;(ROW()+10))),"CICLO_EM_EXECUCAO AUSENTE",INDIRECT("CICLO_EM_EXECUCAO!K"&amp;(ROW()+10))))</f>
        <v/>
      </c>
    </row>
    <row r="18">
      <c r="A18" s="116">
        <f>IF(AND(itens_Remanesc!A17="",itens_Remanesc!A16&lt;&gt;"",COUNTIF(itens_Remanesc!A18:$A$200,"&lt;&gt;")=0),"TOTAL",IF(itens_Remanesc!A17="","",itens_Remanesc!A17))</f>
        <v/>
      </c>
      <c r="B18" s="355">
        <f>IF(OR(historico_VU!A17="",historico_VU!C17=""),"",historico_VU!C17)</f>
        <v/>
      </c>
      <c r="C18" s="118">
        <f>IF(posicao_contratual!A17="","",posicao_contratual!G17)</f>
        <v/>
      </c>
      <c r="D18" s="355">
        <f>IF(A18="TOTAL",ROUND(SUM($D$3:D17),2),IF(OR(A18="",B18="",C18=""),"",ROUND(B18*C18,2)))</f>
        <v/>
      </c>
      <c r="E18" s="356">
        <f>IF(OR(historico_VU!A17="",historico_VU!D17=""),"",historico_VU!D17)</f>
        <v/>
      </c>
      <c r="F18" s="120">
        <f>IF(posicao_contratual!A17="","",posicao_contratual!K17)</f>
        <v/>
      </c>
      <c r="G18" s="356">
        <f>IF(A18="TOTAL",ROUND(SUM($G$3:G17),2),IF(OR(A18="",E18="",F18=""),"",ROUND(E18*F18,2)))</f>
        <v/>
      </c>
      <c r="H18" s="355">
        <f>IF(OR(historico_VU!A17="",historico_VU!E17=""),"",historico_VU!E17)</f>
        <v/>
      </c>
      <c r="I18" s="118">
        <f>IF(posicao_contratual!A17="","",posicao_contratual!O17)</f>
        <v/>
      </c>
      <c r="J18" s="355">
        <f>IF(A18="TOTAL",ROUND(SUM($J$3:J17),2),IF(OR(A18="",H18="",I18=""),"",ROUND(H18*I18,2)))</f>
        <v/>
      </c>
      <c r="K18" s="356">
        <f>IF(OR(historico_VU!A17="",historico_VU!F17=""),"",historico_VU!F17)</f>
        <v/>
      </c>
      <c r="L18" s="120">
        <f>IF(posicao_contratual!A17="","",posicao_contratual!S17)</f>
        <v/>
      </c>
      <c r="M18" s="356">
        <f>IF(A18="TOTAL",ROUND(SUM($M$3:M17),2),IF(OR(A18="",K18="",L18=""),"",ROUND(K18*L18,2)))</f>
        <v/>
      </c>
      <c r="N18" s="355">
        <f>IF(OR(historico_VU!A17="",historico_VU!G17=""),"",historico_VU!G17)</f>
        <v/>
      </c>
      <c r="O18" s="118">
        <f>IF(posicao_contratual!A17="","",posicao_contratual!W17)</f>
        <v/>
      </c>
      <c r="P18" s="355">
        <f>IF(A18="TOTAL",ROUND(SUM($P$3:P17),2),IF(OR(A18="",N18="",O18=""),"",ROUND(N18*O18,2)))</f>
        <v/>
      </c>
      <c r="Q18" s="195">
        <f>IF($A18="","",IF(ISERROR(INDIRECT("CICLO_EM_EXECUCAO!$D$5")),"",INDIRECT("CICLO_EM_EXECUCAO!$D$5")))</f>
        <v/>
      </c>
      <c r="R18">
        <f>IF($A18="","",IF(MEMORIA_RESULTADOS!$W$46="","","C"&amp;MEMORIA_RESULTADOS!$W$46))</f>
        <v/>
      </c>
      <c r="S18" s="273">
        <f>IF($A18="","",IF(ISERROR(INDIRECT("CICLO_EM_EXECUCAO!B"&amp;(ROW()+10))),"",INDIRECT("CICLO_EM_EXECUCAO!B"&amp;(ROW()+10))))</f>
        <v/>
      </c>
      <c r="T18" s="273">
        <f>IF($A18="","",IF(ISERROR(INDIRECT("CICLO_EM_EXECUCAO!D"&amp;(ROW()+10))),"",INDIRECT("CICLO_EM_EXECUCAO!D"&amp;(ROW()+10))))</f>
        <v/>
      </c>
      <c r="U18" s="273">
        <f>IF($A18="","",IF(ISERROR(INDIRECT("CICLO_EM_EXECUCAO!C"&amp;(ROW()+10))),"",INDIRECT("CICLO_EM_EXECUCAO!C"&amp;(ROW()+10))))</f>
        <v/>
      </c>
      <c r="V18" s="213">
        <f>IF($A18="","",IF(ISERROR(INDIRECT("CICLO_EM_EXECUCAO!E"&amp;(ROW()+10))),"",INDIRECT("CICLO_EM_EXECUCAO!E"&amp;(ROW()+10))))</f>
        <v/>
      </c>
      <c r="W18" s="213">
        <f>IF($A18="","",IF(ISERROR(INDIRECT("CICLO_EM_EXECUCAO!F"&amp;(ROW()+10))),"",INDIRECT("CICLO_EM_EXECUCAO!F"&amp;(ROW()+10))))</f>
        <v/>
      </c>
      <c r="X18" s="213">
        <f>IF($A18="","",IF(ISERROR(INDIRECT("CICLO_EM_EXECUCAO!G"&amp;(ROW()+10))),"",INDIRECT("CICLO_EM_EXECUCAO!G"&amp;(ROW()+10))))</f>
        <v/>
      </c>
      <c r="Y18">
        <f>IF($A18="","",IF(ISERROR(INDIRECT("CICLO_EM_EXECUCAO!K"&amp;(ROW()+10))),"CICLO_EM_EXECUCAO AUSENTE",INDIRECT("CICLO_EM_EXECUCAO!K"&amp;(ROW()+10))))</f>
        <v/>
      </c>
    </row>
    <row r="19">
      <c r="A19" s="116">
        <f>IF(AND(itens_Remanesc!A18="",itens_Remanesc!A17&lt;&gt;"",COUNTIF(itens_Remanesc!A19:$A$200,"&lt;&gt;")=0),"TOTAL",IF(itens_Remanesc!A18="","",itens_Remanesc!A18))</f>
        <v/>
      </c>
      <c r="B19" s="355">
        <f>IF(OR(historico_VU!A18="",historico_VU!C18=""),"",historico_VU!C18)</f>
        <v/>
      </c>
      <c r="C19" s="118">
        <f>IF(posicao_contratual!A18="","",posicao_contratual!G18)</f>
        <v/>
      </c>
      <c r="D19" s="355">
        <f>IF(A19="TOTAL",ROUND(SUM($D$3:D18),2),IF(OR(A19="",B19="",C19=""),"",ROUND(B19*C19,2)))</f>
        <v/>
      </c>
      <c r="E19" s="356">
        <f>IF(OR(historico_VU!A18="",historico_VU!D18=""),"",historico_VU!D18)</f>
        <v/>
      </c>
      <c r="F19" s="120">
        <f>IF(posicao_contratual!A18="","",posicao_contratual!K18)</f>
        <v/>
      </c>
      <c r="G19" s="356">
        <f>IF(A19="TOTAL",ROUND(SUM($G$3:G18),2),IF(OR(A19="",E19="",F19=""),"",ROUND(E19*F19,2)))</f>
        <v/>
      </c>
      <c r="H19" s="355">
        <f>IF(OR(historico_VU!A18="",historico_VU!E18=""),"",historico_VU!E18)</f>
        <v/>
      </c>
      <c r="I19" s="118">
        <f>IF(posicao_contratual!A18="","",posicao_contratual!O18)</f>
        <v/>
      </c>
      <c r="J19" s="355">
        <f>IF(A19="TOTAL",ROUND(SUM($J$3:J18),2),IF(OR(A19="",H19="",I19=""),"",ROUND(H19*I19,2)))</f>
        <v/>
      </c>
      <c r="K19" s="356">
        <f>IF(OR(historico_VU!A18="",historico_VU!F18=""),"",historico_VU!F18)</f>
        <v/>
      </c>
      <c r="L19" s="120">
        <f>IF(posicao_contratual!A18="","",posicao_contratual!S18)</f>
        <v/>
      </c>
      <c r="M19" s="356">
        <f>IF(A19="TOTAL",ROUND(SUM($M$3:M18),2),IF(OR(A19="",K19="",L19=""),"",ROUND(K19*L19,2)))</f>
        <v/>
      </c>
      <c r="N19" s="355">
        <f>IF(OR(historico_VU!A18="",historico_VU!G18=""),"",historico_VU!G18)</f>
        <v/>
      </c>
      <c r="O19" s="118">
        <f>IF(posicao_contratual!A18="","",posicao_contratual!W18)</f>
        <v/>
      </c>
      <c r="P19" s="355">
        <f>IF(A19="TOTAL",ROUND(SUM($P$3:P18),2),IF(OR(A19="",N19="",O19=""),"",ROUND(N19*O19,2)))</f>
        <v/>
      </c>
      <c r="Q19" s="195">
        <f>IF($A19="","",IF(ISERROR(INDIRECT("CICLO_EM_EXECUCAO!$D$5")),"",INDIRECT("CICLO_EM_EXECUCAO!$D$5")))</f>
        <v/>
      </c>
      <c r="R19">
        <f>IF($A19="","",IF(MEMORIA_RESULTADOS!$W$46="","","C"&amp;MEMORIA_RESULTADOS!$W$46))</f>
        <v/>
      </c>
      <c r="S19" s="273">
        <f>IF($A19="","",IF(ISERROR(INDIRECT("CICLO_EM_EXECUCAO!B"&amp;(ROW()+10))),"",INDIRECT("CICLO_EM_EXECUCAO!B"&amp;(ROW()+10))))</f>
        <v/>
      </c>
      <c r="T19" s="273">
        <f>IF($A19="","",IF(ISERROR(INDIRECT("CICLO_EM_EXECUCAO!D"&amp;(ROW()+10))),"",INDIRECT("CICLO_EM_EXECUCAO!D"&amp;(ROW()+10))))</f>
        <v/>
      </c>
      <c r="U19" s="273">
        <f>IF($A19="","",IF(ISERROR(INDIRECT("CICLO_EM_EXECUCAO!C"&amp;(ROW()+10))),"",INDIRECT("CICLO_EM_EXECUCAO!C"&amp;(ROW()+10))))</f>
        <v/>
      </c>
      <c r="V19" s="213">
        <f>IF($A19="","",IF(ISERROR(INDIRECT("CICLO_EM_EXECUCAO!E"&amp;(ROW()+10))),"",INDIRECT("CICLO_EM_EXECUCAO!E"&amp;(ROW()+10))))</f>
        <v/>
      </c>
      <c r="W19" s="213">
        <f>IF($A19="","",IF(ISERROR(INDIRECT("CICLO_EM_EXECUCAO!F"&amp;(ROW()+10))),"",INDIRECT("CICLO_EM_EXECUCAO!F"&amp;(ROW()+10))))</f>
        <v/>
      </c>
      <c r="X19" s="213">
        <f>IF($A19="","",IF(ISERROR(INDIRECT("CICLO_EM_EXECUCAO!G"&amp;(ROW()+10))),"",INDIRECT("CICLO_EM_EXECUCAO!G"&amp;(ROW()+10))))</f>
        <v/>
      </c>
      <c r="Y19">
        <f>IF($A19="","",IF(ISERROR(INDIRECT("CICLO_EM_EXECUCAO!K"&amp;(ROW()+10))),"CICLO_EM_EXECUCAO AUSENTE",INDIRECT("CICLO_EM_EXECUCAO!K"&amp;(ROW()+10))))</f>
        <v/>
      </c>
    </row>
    <row r="20">
      <c r="A20" s="116">
        <f>IF(AND(itens_Remanesc!A19="",itens_Remanesc!A18&lt;&gt;"",COUNTIF(itens_Remanesc!A20:$A$200,"&lt;&gt;")=0),"TOTAL",IF(itens_Remanesc!A19="","",itens_Remanesc!A19))</f>
        <v/>
      </c>
      <c r="B20" s="355">
        <f>IF(OR(historico_VU!A19="",historico_VU!C19=""),"",historico_VU!C19)</f>
        <v/>
      </c>
      <c r="C20" s="118">
        <f>IF(posicao_contratual!A19="","",posicao_contratual!G19)</f>
        <v/>
      </c>
      <c r="D20" s="355">
        <f>IF(A20="TOTAL",ROUND(SUM($D$3:D19),2),IF(OR(A20="",B20="",C20=""),"",ROUND(B20*C20,2)))</f>
        <v/>
      </c>
      <c r="E20" s="356">
        <f>IF(OR(historico_VU!A19="",historico_VU!D19=""),"",historico_VU!D19)</f>
        <v/>
      </c>
      <c r="F20" s="120">
        <f>IF(posicao_contratual!A19="","",posicao_contratual!K19)</f>
        <v/>
      </c>
      <c r="G20" s="356">
        <f>IF(A20="TOTAL",ROUND(SUM($G$3:G19),2),IF(OR(A20="",E20="",F20=""),"",ROUND(E20*F20,2)))</f>
        <v/>
      </c>
      <c r="H20" s="355">
        <f>IF(OR(historico_VU!A19="",historico_VU!E19=""),"",historico_VU!E19)</f>
        <v/>
      </c>
      <c r="I20" s="118">
        <f>IF(posicao_contratual!A19="","",posicao_contratual!O19)</f>
        <v/>
      </c>
      <c r="J20" s="355">
        <f>IF(A20="TOTAL",ROUND(SUM($J$3:J19),2),IF(OR(A20="",H20="",I20=""),"",ROUND(H20*I20,2)))</f>
        <v/>
      </c>
      <c r="K20" s="356">
        <f>IF(OR(historico_VU!A19="",historico_VU!F19=""),"",historico_VU!F19)</f>
        <v/>
      </c>
      <c r="L20" s="120">
        <f>IF(posicao_contratual!A19="","",posicao_contratual!S19)</f>
        <v/>
      </c>
      <c r="M20" s="356">
        <f>IF(A20="TOTAL",ROUND(SUM($M$3:M19),2),IF(OR(A20="",K20="",L20=""),"",ROUND(K20*L20,2)))</f>
        <v/>
      </c>
      <c r="N20" s="355">
        <f>IF(OR(historico_VU!A19="",historico_VU!G19=""),"",historico_VU!G19)</f>
        <v/>
      </c>
      <c r="O20" s="118">
        <f>IF(posicao_contratual!A19="","",posicao_contratual!W19)</f>
        <v/>
      </c>
      <c r="P20" s="355">
        <f>IF(A20="TOTAL",ROUND(SUM($P$3:P19),2),IF(OR(A20="",N20="",O20=""),"",ROUND(N20*O20,2)))</f>
        <v/>
      </c>
      <c r="Q20" s="195">
        <f>IF($A20="","",IF(ISERROR(INDIRECT("CICLO_EM_EXECUCAO!$D$5")),"",INDIRECT("CICLO_EM_EXECUCAO!$D$5")))</f>
        <v/>
      </c>
      <c r="R20">
        <f>IF($A20="","",IF(MEMORIA_RESULTADOS!$W$46="","","C"&amp;MEMORIA_RESULTADOS!$W$46))</f>
        <v/>
      </c>
      <c r="S20" s="273">
        <f>IF($A20="","",IF(ISERROR(INDIRECT("CICLO_EM_EXECUCAO!B"&amp;(ROW()+10))),"",INDIRECT("CICLO_EM_EXECUCAO!B"&amp;(ROW()+10))))</f>
        <v/>
      </c>
      <c r="T20" s="273">
        <f>IF($A20="","",IF(ISERROR(INDIRECT("CICLO_EM_EXECUCAO!D"&amp;(ROW()+10))),"",INDIRECT("CICLO_EM_EXECUCAO!D"&amp;(ROW()+10))))</f>
        <v/>
      </c>
      <c r="U20" s="273">
        <f>IF($A20="","",IF(ISERROR(INDIRECT("CICLO_EM_EXECUCAO!C"&amp;(ROW()+10))),"",INDIRECT("CICLO_EM_EXECUCAO!C"&amp;(ROW()+10))))</f>
        <v/>
      </c>
      <c r="V20" s="213">
        <f>IF($A20="","",IF(ISERROR(INDIRECT("CICLO_EM_EXECUCAO!E"&amp;(ROW()+10))),"",INDIRECT("CICLO_EM_EXECUCAO!E"&amp;(ROW()+10))))</f>
        <v/>
      </c>
      <c r="W20" s="213">
        <f>IF($A20="","",IF(ISERROR(INDIRECT("CICLO_EM_EXECUCAO!F"&amp;(ROW()+10))),"",INDIRECT("CICLO_EM_EXECUCAO!F"&amp;(ROW()+10))))</f>
        <v/>
      </c>
      <c r="X20" s="213">
        <f>IF($A20="","",IF(ISERROR(INDIRECT("CICLO_EM_EXECUCAO!G"&amp;(ROW()+10))),"",INDIRECT("CICLO_EM_EXECUCAO!G"&amp;(ROW()+10))))</f>
        <v/>
      </c>
      <c r="Y20">
        <f>IF($A20="","",IF(ISERROR(INDIRECT("CICLO_EM_EXECUCAO!K"&amp;(ROW()+10))),"CICLO_EM_EXECUCAO AUSENTE",INDIRECT("CICLO_EM_EXECUCAO!K"&amp;(ROW()+10))))</f>
        <v/>
      </c>
    </row>
    <row r="21">
      <c r="A21" s="116">
        <f>IF(AND(itens_Remanesc!A20="",itens_Remanesc!A19&lt;&gt;"",COUNTIF(itens_Remanesc!A21:$A$200,"&lt;&gt;")=0),"TOTAL",IF(itens_Remanesc!A20="","",itens_Remanesc!A20))</f>
        <v/>
      </c>
      <c r="B21" s="355">
        <f>IF(OR(historico_VU!A20="",historico_VU!C20=""),"",historico_VU!C20)</f>
        <v/>
      </c>
      <c r="C21" s="118">
        <f>IF(posicao_contratual!A20="","",posicao_contratual!G20)</f>
        <v/>
      </c>
      <c r="D21" s="355">
        <f>IF(A21="TOTAL",ROUND(SUM($D$3:D20),2),IF(OR(A21="",B21="",C21=""),"",ROUND(B21*C21,2)))</f>
        <v/>
      </c>
      <c r="E21" s="356">
        <f>IF(OR(historico_VU!A20="",historico_VU!D20=""),"",historico_VU!D20)</f>
        <v/>
      </c>
      <c r="F21" s="120">
        <f>IF(posicao_contratual!A20="","",posicao_contratual!K20)</f>
        <v/>
      </c>
      <c r="G21" s="356">
        <f>IF(A21="TOTAL",ROUND(SUM($G$3:G20),2),IF(OR(A21="",E21="",F21=""),"",ROUND(E21*F21,2)))</f>
        <v/>
      </c>
      <c r="H21" s="355">
        <f>IF(OR(historico_VU!A20="",historico_VU!E20=""),"",historico_VU!E20)</f>
        <v/>
      </c>
      <c r="I21" s="118">
        <f>IF(posicao_contratual!A20="","",posicao_contratual!O20)</f>
        <v/>
      </c>
      <c r="J21" s="355">
        <f>IF(A21="TOTAL",ROUND(SUM($J$3:J20),2),IF(OR(A21="",H21="",I21=""),"",ROUND(H21*I21,2)))</f>
        <v/>
      </c>
      <c r="K21" s="356">
        <f>IF(OR(historico_VU!A20="",historico_VU!F20=""),"",historico_VU!F20)</f>
        <v/>
      </c>
      <c r="L21" s="120">
        <f>IF(posicao_contratual!A20="","",posicao_contratual!S20)</f>
        <v/>
      </c>
      <c r="M21" s="356">
        <f>IF(A21="TOTAL",ROUND(SUM($M$3:M20),2),IF(OR(A21="",K21="",L21=""),"",ROUND(K21*L21,2)))</f>
        <v/>
      </c>
      <c r="N21" s="355">
        <f>IF(OR(historico_VU!A20="",historico_VU!G20=""),"",historico_VU!G20)</f>
        <v/>
      </c>
      <c r="O21" s="118">
        <f>IF(posicao_contratual!A20="","",posicao_contratual!W20)</f>
        <v/>
      </c>
      <c r="P21" s="355">
        <f>IF(A21="TOTAL",ROUND(SUM($P$3:P20),2),IF(OR(A21="",N21="",O21=""),"",ROUND(N21*O21,2)))</f>
        <v/>
      </c>
      <c r="Q21" s="195">
        <f>IF($A21="","",IF(ISERROR(INDIRECT("CICLO_EM_EXECUCAO!$D$5")),"",INDIRECT("CICLO_EM_EXECUCAO!$D$5")))</f>
        <v/>
      </c>
      <c r="R21">
        <f>IF($A21="","",IF(MEMORIA_RESULTADOS!$W$46="","","C"&amp;MEMORIA_RESULTADOS!$W$46))</f>
        <v/>
      </c>
      <c r="S21" s="273">
        <f>IF($A21="","",IF(ISERROR(INDIRECT("CICLO_EM_EXECUCAO!B"&amp;(ROW()+10))),"",INDIRECT("CICLO_EM_EXECUCAO!B"&amp;(ROW()+10))))</f>
        <v/>
      </c>
      <c r="T21" s="273">
        <f>IF($A21="","",IF(ISERROR(INDIRECT("CICLO_EM_EXECUCAO!D"&amp;(ROW()+10))),"",INDIRECT("CICLO_EM_EXECUCAO!D"&amp;(ROW()+10))))</f>
        <v/>
      </c>
      <c r="U21" s="273">
        <f>IF($A21="","",IF(ISERROR(INDIRECT("CICLO_EM_EXECUCAO!C"&amp;(ROW()+10))),"",INDIRECT("CICLO_EM_EXECUCAO!C"&amp;(ROW()+10))))</f>
        <v/>
      </c>
      <c r="V21" s="213">
        <f>IF($A21="","",IF(ISERROR(INDIRECT("CICLO_EM_EXECUCAO!E"&amp;(ROW()+10))),"",INDIRECT("CICLO_EM_EXECUCAO!E"&amp;(ROW()+10))))</f>
        <v/>
      </c>
      <c r="W21" s="213">
        <f>IF($A21="","",IF(ISERROR(INDIRECT("CICLO_EM_EXECUCAO!F"&amp;(ROW()+10))),"",INDIRECT("CICLO_EM_EXECUCAO!F"&amp;(ROW()+10))))</f>
        <v/>
      </c>
      <c r="X21" s="213">
        <f>IF($A21="","",IF(ISERROR(INDIRECT("CICLO_EM_EXECUCAO!G"&amp;(ROW()+10))),"",INDIRECT("CICLO_EM_EXECUCAO!G"&amp;(ROW()+10))))</f>
        <v/>
      </c>
      <c r="Y21">
        <f>IF($A21="","",IF(ISERROR(INDIRECT("CICLO_EM_EXECUCAO!K"&amp;(ROW()+10))),"CICLO_EM_EXECUCAO AUSENTE",INDIRECT("CICLO_EM_EXECUCAO!K"&amp;(ROW()+10))))</f>
        <v/>
      </c>
    </row>
    <row r="22">
      <c r="A22" s="116">
        <f>IF(AND(itens_Remanesc!A21="",itens_Remanesc!A20&lt;&gt;"",COUNTIF(itens_Remanesc!A22:$A$200,"&lt;&gt;")=0),"TOTAL",IF(itens_Remanesc!A21="","",itens_Remanesc!A21))</f>
        <v/>
      </c>
      <c r="B22" s="355">
        <f>IF(OR(historico_VU!A21="",historico_VU!C21=""),"",historico_VU!C21)</f>
        <v/>
      </c>
      <c r="C22" s="118">
        <f>IF(posicao_contratual!A21="","",posicao_contratual!G21)</f>
        <v/>
      </c>
      <c r="D22" s="355">
        <f>IF(A22="TOTAL",ROUND(SUM($D$3:D21),2),IF(OR(A22="",B22="",C22=""),"",ROUND(B22*C22,2)))</f>
        <v/>
      </c>
      <c r="E22" s="356">
        <f>IF(OR(historico_VU!A21="",historico_VU!D21=""),"",historico_VU!D21)</f>
        <v/>
      </c>
      <c r="F22" s="120">
        <f>IF(posicao_contratual!A21="","",posicao_contratual!K21)</f>
        <v/>
      </c>
      <c r="G22" s="356">
        <f>IF(A22="TOTAL",ROUND(SUM($G$3:G21),2),IF(OR(A22="",E22="",F22=""),"",ROUND(E22*F22,2)))</f>
        <v/>
      </c>
      <c r="H22" s="355">
        <f>IF(OR(historico_VU!A21="",historico_VU!E21=""),"",historico_VU!E21)</f>
        <v/>
      </c>
      <c r="I22" s="118">
        <f>IF(posicao_contratual!A21="","",posicao_contratual!O21)</f>
        <v/>
      </c>
      <c r="J22" s="355">
        <f>IF(A22="TOTAL",ROUND(SUM($J$3:J21),2),IF(OR(A22="",H22="",I22=""),"",ROUND(H22*I22,2)))</f>
        <v/>
      </c>
      <c r="K22" s="356">
        <f>IF(OR(historico_VU!A21="",historico_VU!F21=""),"",historico_VU!F21)</f>
        <v/>
      </c>
      <c r="L22" s="120">
        <f>IF(posicao_contratual!A21="","",posicao_contratual!S21)</f>
        <v/>
      </c>
      <c r="M22" s="356">
        <f>IF(A22="TOTAL",ROUND(SUM($M$3:M21),2),IF(OR(A22="",K22="",L22=""),"",ROUND(K22*L22,2)))</f>
        <v/>
      </c>
      <c r="N22" s="355">
        <f>IF(OR(historico_VU!A21="",historico_VU!G21=""),"",historico_VU!G21)</f>
        <v/>
      </c>
      <c r="O22" s="118">
        <f>IF(posicao_contratual!A21="","",posicao_contratual!W21)</f>
        <v/>
      </c>
      <c r="P22" s="355">
        <f>IF(A22="TOTAL",ROUND(SUM($P$3:P21),2),IF(OR(A22="",N22="",O22=""),"",ROUND(N22*O22,2)))</f>
        <v/>
      </c>
      <c r="Q22" s="195">
        <f>IF($A22="","",IF(ISERROR(INDIRECT("CICLO_EM_EXECUCAO!$D$5")),"",INDIRECT("CICLO_EM_EXECUCAO!$D$5")))</f>
        <v/>
      </c>
      <c r="R22">
        <f>IF($A22="","",IF(MEMORIA_RESULTADOS!$W$46="","","C"&amp;MEMORIA_RESULTADOS!$W$46))</f>
        <v/>
      </c>
      <c r="S22" s="273">
        <f>IF($A22="","",IF(ISERROR(INDIRECT("CICLO_EM_EXECUCAO!B"&amp;(ROW()+10))),"",INDIRECT("CICLO_EM_EXECUCAO!B"&amp;(ROW()+10))))</f>
        <v/>
      </c>
      <c r="T22" s="273">
        <f>IF($A22="","",IF(ISERROR(INDIRECT("CICLO_EM_EXECUCAO!D"&amp;(ROW()+10))),"",INDIRECT("CICLO_EM_EXECUCAO!D"&amp;(ROW()+10))))</f>
        <v/>
      </c>
      <c r="U22" s="273">
        <f>IF($A22="","",IF(ISERROR(INDIRECT("CICLO_EM_EXECUCAO!C"&amp;(ROW()+10))),"",INDIRECT("CICLO_EM_EXECUCAO!C"&amp;(ROW()+10))))</f>
        <v/>
      </c>
      <c r="V22" s="213">
        <f>IF($A22="","",IF(ISERROR(INDIRECT("CICLO_EM_EXECUCAO!E"&amp;(ROW()+10))),"",INDIRECT("CICLO_EM_EXECUCAO!E"&amp;(ROW()+10))))</f>
        <v/>
      </c>
      <c r="W22" s="213">
        <f>IF($A22="","",IF(ISERROR(INDIRECT("CICLO_EM_EXECUCAO!F"&amp;(ROW()+10))),"",INDIRECT("CICLO_EM_EXECUCAO!F"&amp;(ROW()+10))))</f>
        <v/>
      </c>
      <c r="X22" s="213">
        <f>IF($A22="","",IF(ISERROR(INDIRECT("CICLO_EM_EXECUCAO!G"&amp;(ROW()+10))),"",INDIRECT("CICLO_EM_EXECUCAO!G"&amp;(ROW()+10))))</f>
        <v/>
      </c>
      <c r="Y22">
        <f>IF($A22="","",IF(ISERROR(INDIRECT("CICLO_EM_EXECUCAO!K"&amp;(ROW()+10))),"CICLO_EM_EXECUCAO AUSENTE",INDIRECT("CICLO_EM_EXECUCAO!K"&amp;(ROW()+10))))</f>
        <v/>
      </c>
    </row>
    <row r="23">
      <c r="A23" s="116">
        <f>IF(AND(itens_Remanesc!A22="",itens_Remanesc!A21&lt;&gt;"",COUNTIF(itens_Remanesc!A23:$A$200,"&lt;&gt;")=0),"TOTAL",IF(itens_Remanesc!A22="","",itens_Remanesc!A22))</f>
        <v/>
      </c>
      <c r="B23" s="355">
        <f>IF(OR(historico_VU!A22="",historico_VU!C22=""),"",historico_VU!C22)</f>
        <v/>
      </c>
      <c r="C23" s="118">
        <f>IF(posicao_contratual!A22="","",posicao_contratual!G22)</f>
        <v/>
      </c>
      <c r="D23" s="355">
        <f>IF(A23="TOTAL",ROUND(SUM($D$3:D22),2),IF(OR(A23="",B23="",C23=""),"",ROUND(B23*C23,2)))</f>
        <v/>
      </c>
      <c r="E23" s="356">
        <f>IF(OR(historico_VU!A22="",historico_VU!D22=""),"",historico_VU!D22)</f>
        <v/>
      </c>
      <c r="F23" s="120">
        <f>IF(posicao_contratual!A22="","",posicao_contratual!K22)</f>
        <v/>
      </c>
      <c r="G23" s="356">
        <f>IF(A23="TOTAL",ROUND(SUM($G$3:G22),2),IF(OR(A23="",E23="",F23=""),"",ROUND(E23*F23,2)))</f>
        <v/>
      </c>
      <c r="H23" s="355">
        <f>IF(OR(historico_VU!A22="",historico_VU!E22=""),"",historico_VU!E22)</f>
        <v/>
      </c>
      <c r="I23" s="118">
        <f>IF(posicao_contratual!A22="","",posicao_contratual!O22)</f>
        <v/>
      </c>
      <c r="J23" s="355">
        <f>IF(A23="TOTAL",ROUND(SUM($J$3:J22),2),IF(OR(A23="",H23="",I23=""),"",ROUND(H23*I23,2)))</f>
        <v/>
      </c>
      <c r="K23" s="356">
        <f>IF(OR(historico_VU!A22="",historico_VU!F22=""),"",historico_VU!F22)</f>
        <v/>
      </c>
      <c r="L23" s="120">
        <f>IF(posicao_contratual!A22="","",posicao_contratual!S22)</f>
        <v/>
      </c>
      <c r="M23" s="356">
        <f>IF(A23="TOTAL",ROUND(SUM($M$3:M22),2),IF(OR(A23="",K23="",L23=""),"",ROUND(K23*L23,2)))</f>
        <v/>
      </c>
      <c r="N23" s="355">
        <f>IF(OR(historico_VU!A22="",historico_VU!G22=""),"",historico_VU!G22)</f>
        <v/>
      </c>
      <c r="O23" s="118">
        <f>IF(posicao_contratual!A22="","",posicao_contratual!W22)</f>
        <v/>
      </c>
      <c r="P23" s="355">
        <f>IF(A23="TOTAL",ROUND(SUM($P$3:P22),2),IF(OR(A23="",N23="",O23=""),"",ROUND(N23*O23,2)))</f>
        <v/>
      </c>
      <c r="Q23" s="195">
        <f>IF($A23="","",IF(ISERROR(INDIRECT("CICLO_EM_EXECUCAO!$D$5")),"",INDIRECT("CICLO_EM_EXECUCAO!$D$5")))</f>
        <v/>
      </c>
      <c r="R23">
        <f>IF($A23="","",IF(MEMORIA_RESULTADOS!$W$46="","","C"&amp;MEMORIA_RESULTADOS!$W$46))</f>
        <v/>
      </c>
      <c r="S23" s="273">
        <f>IF($A23="","",IF(ISERROR(INDIRECT("CICLO_EM_EXECUCAO!B"&amp;(ROW()+10))),"",INDIRECT("CICLO_EM_EXECUCAO!B"&amp;(ROW()+10))))</f>
        <v/>
      </c>
      <c r="T23" s="273">
        <f>IF($A23="","",IF(ISERROR(INDIRECT("CICLO_EM_EXECUCAO!D"&amp;(ROW()+10))),"",INDIRECT("CICLO_EM_EXECUCAO!D"&amp;(ROW()+10))))</f>
        <v/>
      </c>
      <c r="U23" s="273">
        <f>IF($A23="","",IF(ISERROR(INDIRECT("CICLO_EM_EXECUCAO!C"&amp;(ROW()+10))),"",INDIRECT("CICLO_EM_EXECUCAO!C"&amp;(ROW()+10))))</f>
        <v/>
      </c>
      <c r="V23" s="213">
        <f>IF($A23="","",IF(ISERROR(INDIRECT("CICLO_EM_EXECUCAO!E"&amp;(ROW()+10))),"",INDIRECT("CICLO_EM_EXECUCAO!E"&amp;(ROW()+10))))</f>
        <v/>
      </c>
      <c r="W23" s="213">
        <f>IF($A23="","",IF(ISERROR(INDIRECT("CICLO_EM_EXECUCAO!F"&amp;(ROW()+10))),"",INDIRECT("CICLO_EM_EXECUCAO!F"&amp;(ROW()+10))))</f>
        <v/>
      </c>
      <c r="X23" s="213">
        <f>IF($A23="","",IF(ISERROR(INDIRECT("CICLO_EM_EXECUCAO!G"&amp;(ROW()+10))),"",INDIRECT("CICLO_EM_EXECUCAO!G"&amp;(ROW()+10))))</f>
        <v/>
      </c>
      <c r="Y23">
        <f>IF($A23="","",IF(ISERROR(INDIRECT("CICLO_EM_EXECUCAO!K"&amp;(ROW()+10))),"CICLO_EM_EXECUCAO AUSENTE",INDIRECT("CICLO_EM_EXECUCAO!K"&amp;(ROW()+10))))</f>
        <v/>
      </c>
    </row>
    <row r="24">
      <c r="A24" s="116">
        <f>IF(AND(itens_Remanesc!A23="",itens_Remanesc!A22&lt;&gt;"",COUNTIF(itens_Remanesc!A24:$A$200,"&lt;&gt;")=0),"TOTAL",IF(itens_Remanesc!A23="","",itens_Remanesc!A23))</f>
        <v/>
      </c>
      <c r="B24" s="355">
        <f>IF(OR(historico_VU!A23="",historico_VU!C23=""),"",historico_VU!C23)</f>
        <v/>
      </c>
      <c r="C24" s="118">
        <f>IF(posicao_contratual!A23="","",posicao_contratual!G23)</f>
        <v/>
      </c>
      <c r="D24" s="355">
        <f>IF(A24="TOTAL",ROUND(SUM($D$3:D23),2),IF(OR(A24="",B24="",C24=""),"",ROUND(B24*C24,2)))</f>
        <v/>
      </c>
      <c r="E24" s="356">
        <f>IF(OR(historico_VU!A23="",historico_VU!D23=""),"",historico_VU!D23)</f>
        <v/>
      </c>
      <c r="F24" s="120">
        <f>IF(posicao_contratual!A23="","",posicao_contratual!K23)</f>
        <v/>
      </c>
      <c r="G24" s="356">
        <f>IF(A24="TOTAL",ROUND(SUM($G$3:G23),2),IF(OR(A24="",E24="",F24=""),"",ROUND(E24*F24,2)))</f>
        <v/>
      </c>
      <c r="H24" s="355">
        <f>IF(OR(historico_VU!A23="",historico_VU!E23=""),"",historico_VU!E23)</f>
        <v/>
      </c>
      <c r="I24" s="118">
        <f>IF(posicao_contratual!A23="","",posicao_contratual!O23)</f>
        <v/>
      </c>
      <c r="J24" s="355">
        <f>IF(A24="TOTAL",ROUND(SUM($J$3:J23),2),IF(OR(A24="",H24="",I24=""),"",ROUND(H24*I24,2)))</f>
        <v/>
      </c>
      <c r="K24" s="356">
        <f>IF(OR(historico_VU!A23="",historico_VU!F23=""),"",historico_VU!F23)</f>
        <v/>
      </c>
      <c r="L24" s="120">
        <f>IF(posicao_contratual!A23="","",posicao_contratual!S23)</f>
        <v/>
      </c>
      <c r="M24" s="356">
        <f>IF(A24="TOTAL",ROUND(SUM($M$3:M23),2),IF(OR(A24="",K24="",L24=""),"",ROUND(K24*L24,2)))</f>
        <v/>
      </c>
      <c r="N24" s="355">
        <f>IF(OR(historico_VU!A23="",historico_VU!G23=""),"",historico_VU!G23)</f>
        <v/>
      </c>
      <c r="O24" s="118">
        <f>IF(posicao_contratual!A23="","",posicao_contratual!W23)</f>
        <v/>
      </c>
      <c r="P24" s="355">
        <f>IF(A24="TOTAL",ROUND(SUM($P$3:P23),2),IF(OR(A24="",N24="",O24=""),"",ROUND(N24*O24,2)))</f>
        <v/>
      </c>
      <c r="Q24" s="195">
        <f>IF($A24="","",IF(ISERROR(INDIRECT("CICLO_EM_EXECUCAO!$D$5")),"",INDIRECT("CICLO_EM_EXECUCAO!$D$5")))</f>
        <v/>
      </c>
      <c r="R24">
        <f>IF($A24="","",IF(MEMORIA_RESULTADOS!$W$46="","","C"&amp;MEMORIA_RESULTADOS!$W$46))</f>
        <v/>
      </c>
      <c r="S24" s="273">
        <f>IF($A24="","",IF(ISERROR(INDIRECT("CICLO_EM_EXECUCAO!B"&amp;(ROW()+10))),"",INDIRECT("CICLO_EM_EXECUCAO!B"&amp;(ROW()+10))))</f>
        <v/>
      </c>
      <c r="T24" s="273">
        <f>IF($A24="","",IF(ISERROR(INDIRECT("CICLO_EM_EXECUCAO!D"&amp;(ROW()+10))),"",INDIRECT("CICLO_EM_EXECUCAO!D"&amp;(ROW()+10))))</f>
        <v/>
      </c>
      <c r="U24" s="273">
        <f>IF($A24="","",IF(ISERROR(INDIRECT("CICLO_EM_EXECUCAO!C"&amp;(ROW()+10))),"",INDIRECT("CICLO_EM_EXECUCAO!C"&amp;(ROW()+10))))</f>
        <v/>
      </c>
      <c r="V24" s="213">
        <f>IF($A24="","",IF(ISERROR(INDIRECT("CICLO_EM_EXECUCAO!E"&amp;(ROW()+10))),"",INDIRECT("CICLO_EM_EXECUCAO!E"&amp;(ROW()+10))))</f>
        <v/>
      </c>
      <c r="W24" s="213">
        <f>IF($A24="","",IF(ISERROR(INDIRECT("CICLO_EM_EXECUCAO!F"&amp;(ROW()+10))),"",INDIRECT("CICLO_EM_EXECUCAO!F"&amp;(ROW()+10))))</f>
        <v/>
      </c>
      <c r="X24" s="213">
        <f>IF($A24="","",IF(ISERROR(INDIRECT("CICLO_EM_EXECUCAO!G"&amp;(ROW()+10))),"",INDIRECT("CICLO_EM_EXECUCAO!G"&amp;(ROW()+10))))</f>
        <v/>
      </c>
      <c r="Y24">
        <f>IF($A24="","",IF(ISERROR(INDIRECT("CICLO_EM_EXECUCAO!K"&amp;(ROW()+10))),"CICLO_EM_EXECUCAO AUSENTE",INDIRECT("CICLO_EM_EXECUCAO!K"&amp;(ROW()+10))))</f>
        <v/>
      </c>
    </row>
    <row r="25">
      <c r="A25" s="116">
        <f>IF(AND(itens_Remanesc!A24="",itens_Remanesc!A23&lt;&gt;"",COUNTIF(itens_Remanesc!A25:$A$200,"&lt;&gt;")=0),"TOTAL",IF(itens_Remanesc!A24="","",itens_Remanesc!A24))</f>
        <v/>
      </c>
      <c r="B25" s="355">
        <f>IF(OR(historico_VU!A24="",historico_VU!C24=""),"",historico_VU!C24)</f>
        <v/>
      </c>
      <c r="C25" s="118">
        <f>IF(posicao_contratual!A24="","",posicao_contratual!G24)</f>
        <v/>
      </c>
      <c r="D25" s="355">
        <f>IF(A25="TOTAL",ROUND(SUM($D$3:D24),2),IF(OR(A25="",B25="",C25=""),"",ROUND(B25*C25,2)))</f>
        <v/>
      </c>
      <c r="E25" s="356">
        <f>IF(OR(historico_VU!A24="",historico_VU!D24=""),"",historico_VU!D24)</f>
        <v/>
      </c>
      <c r="F25" s="120">
        <f>IF(posicao_contratual!A24="","",posicao_contratual!K24)</f>
        <v/>
      </c>
      <c r="G25" s="356">
        <f>IF(A25="TOTAL",ROUND(SUM($G$3:G24),2),IF(OR(A25="",E25="",F25=""),"",ROUND(E25*F25,2)))</f>
        <v/>
      </c>
      <c r="H25" s="355">
        <f>IF(OR(historico_VU!A24="",historico_VU!E24=""),"",historico_VU!E24)</f>
        <v/>
      </c>
      <c r="I25" s="118">
        <f>IF(posicao_contratual!A24="","",posicao_contratual!O24)</f>
        <v/>
      </c>
      <c r="J25" s="355">
        <f>IF(A25="TOTAL",ROUND(SUM($J$3:J24),2),IF(OR(A25="",H25="",I25=""),"",ROUND(H25*I25,2)))</f>
        <v/>
      </c>
      <c r="K25" s="356">
        <f>IF(OR(historico_VU!A24="",historico_VU!F24=""),"",historico_VU!F24)</f>
        <v/>
      </c>
      <c r="L25" s="120">
        <f>IF(posicao_contratual!A24="","",posicao_contratual!S24)</f>
        <v/>
      </c>
      <c r="M25" s="356">
        <f>IF(A25="TOTAL",ROUND(SUM($M$3:M24),2),IF(OR(A25="",K25="",L25=""),"",ROUND(K25*L25,2)))</f>
        <v/>
      </c>
      <c r="N25" s="355">
        <f>IF(OR(historico_VU!A24="",historico_VU!G24=""),"",historico_VU!G24)</f>
        <v/>
      </c>
      <c r="O25" s="118">
        <f>IF(posicao_contratual!A24="","",posicao_contratual!W24)</f>
        <v/>
      </c>
      <c r="P25" s="355">
        <f>IF(A25="TOTAL",ROUND(SUM($P$3:P24),2),IF(OR(A25="",N25="",O25=""),"",ROUND(N25*O25,2)))</f>
        <v/>
      </c>
      <c r="Q25" s="195">
        <f>IF($A25="","",IF(ISERROR(INDIRECT("CICLO_EM_EXECUCAO!$D$5")),"",INDIRECT("CICLO_EM_EXECUCAO!$D$5")))</f>
        <v/>
      </c>
      <c r="R25">
        <f>IF($A25="","",IF(MEMORIA_RESULTADOS!$W$46="","","C"&amp;MEMORIA_RESULTADOS!$W$46))</f>
        <v/>
      </c>
      <c r="S25" s="273">
        <f>IF($A25="","",IF(ISERROR(INDIRECT("CICLO_EM_EXECUCAO!B"&amp;(ROW()+10))),"",INDIRECT("CICLO_EM_EXECUCAO!B"&amp;(ROW()+10))))</f>
        <v/>
      </c>
      <c r="T25" s="273">
        <f>IF($A25="","",IF(ISERROR(INDIRECT("CICLO_EM_EXECUCAO!D"&amp;(ROW()+10))),"",INDIRECT("CICLO_EM_EXECUCAO!D"&amp;(ROW()+10))))</f>
        <v/>
      </c>
      <c r="U25" s="273">
        <f>IF($A25="","",IF(ISERROR(INDIRECT("CICLO_EM_EXECUCAO!C"&amp;(ROW()+10))),"",INDIRECT("CICLO_EM_EXECUCAO!C"&amp;(ROW()+10))))</f>
        <v/>
      </c>
      <c r="V25" s="213">
        <f>IF($A25="","",IF(ISERROR(INDIRECT("CICLO_EM_EXECUCAO!E"&amp;(ROW()+10))),"",INDIRECT("CICLO_EM_EXECUCAO!E"&amp;(ROW()+10))))</f>
        <v/>
      </c>
      <c r="W25" s="213">
        <f>IF($A25="","",IF(ISERROR(INDIRECT("CICLO_EM_EXECUCAO!F"&amp;(ROW()+10))),"",INDIRECT("CICLO_EM_EXECUCAO!F"&amp;(ROW()+10))))</f>
        <v/>
      </c>
      <c r="X25" s="213">
        <f>IF($A25="","",IF(ISERROR(INDIRECT("CICLO_EM_EXECUCAO!G"&amp;(ROW()+10))),"",INDIRECT("CICLO_EM_EXECUCAO!G"&amp;(ROW()+10))))</f>
        <v/>
      </c>
      <c r="Y25">
        <f>IF($A25="","",IF(ISERROR(INDIRECT("CICLO_EM_EXECUCAO!K"&amp;(ROW()+10))),"CICLO_EM_EXECUCAO AUSENTE",INDIRECT("CICLO_EM_EXECUCAO!K"&amp;(ROW()+10))))</f>
        <v/>
      </c>
    </row>
    <row r="26">
      <c r="A26" s="116">
        <f>IF(AND(itens_Remanesc!A25="",itens_Remanesc!A24&lt;&gt;"",COUNTIF(itens_Remanesc!A26:$A$200,"&lt;&gt;")=0),"TOTAL",IF(itens_Remanesc!A25="","",itens_Remanesc!A25))</f>
        <v/>
      </c>
      <c r="B26" s="355">
        <f>IF(OR(historico_VU!A25="",historico_VU!C25=""),"",historico_VU!C25)</f>
        <v/>
      </c>
      <c r="C26" s="118">
        <f>IF(posicao_contratual!A25="","",posicao_contratual!G25)</f>
        <v/>
      </c>
      <c r="D26" s="355">
        <f>IF(A26="TOTAL",ROUND(SUM($D$3:D25),2),IF(OR(A26="",B26="",C26=""),"",ROUND(B26*C26,2)))</f>
        <v/>
      </c>
      <c r="E26" s="356">
        <f>IF(OR(historico_VU!A25="",historico_VU!D25=""),"",historico_VU!D25)</f>
        <v/>
      </c>
      <c r="F26" s="120">
        <f>IF(posicao_contratual!A25="","",posicao_contratual!K25)</f>
        <v/>
      </c>
      <c r="G26" s="356">
        <f>IF(A26="TOTAL",ROUND(SUM($G$3:G25),2),IF(OR(A26="",E26="",F26=""),"",ROUND(E26*F26,2)))</f>
        <v/>
      </c>
      <c r="H26" s="355">
        <f>IF(OR(historico_VU!A25="",historico_VU!E25=""),"",historico_VU!E25)</f>
        <v/>
      </c>
      <c r="I26" s="118">
        <f>IF(posicao_contratual!A25="","",posicao_contratual!O25)</f>
        <v/>
      </c>
      <c r="J26" s="355">
        <f>IF(A26="TOTAL",ROUND(SUM($J$3:J25),2),IF(OR(A26="",H26="",I26=""),"",ROUND(H26*I26,2)))</f>
        <v/>
      </c>
      <c r="K26" s="356">
        <f>IF(OR(historico_VU!A25="",historico_VU!F25=""),"",historico_VU!F25)</f>
        <v/>
      </c>
      <c r="L26" s="120">
        <f>IF(posicao_contratual!A25="","",posicao_contratual!S25)</f>
        <v/>
      </c>
      <c r="M26" s="356">
        <f>IF(A26="TOTAL",ROUND(SUM($M$3:M25),2),IF(OR(A26="",K26="",L26=""),"",ROUND(K26*L26,2)))</f>
        <v/>
      </c>
      <c r="N26" s="355">
        <f>IF(OR(historico_VU!A25="",historico_VU!G25=""),"",historico_VU!G25)</f>
        <v/>
      </c>
      <c r="O26" s="118">
        <f>IF(posicao_contratual!A25="","",posicao_contratual!W25)</f>
        <v/>
      </c>
      <c r="P26" s="355">
        <f>IF(A26="TOTAL",ROUND(SUM($P$3:P25),2),IF(OR(A26="",N26="",O26=""),"",ROUND(N26*O26,2)))</f>
        <v/>
      </c>
      <c r="Q26" s="195">
        <f>IF($A26="","",IF(ISERROR(INDIRECT("CICLO_EM_EXECUCAO!$D$5")),"",INDIRECT("CICLO_EM_EXECUCAO!$D$5")))</f>
        <v/>
      </c>
      <c r="R26">
        <f>IF($A26="","",IF(MEMORIA_RESULTADOS!$W$46="","","C"&amp;MEMORIA_RESULTADOS!$W$46))</f>
        <v/>
      </c>
      <c r="S26" s="273">
        <f>IF($A26="","",IF(ISERROR(INDIRECT("CICLO_EM_EXECUCAO!B"&amp;(ROW()+10))),"",INDIRECT("CICLO_EM_EXECUCAO!B"&amp;(ROW()+10))))</f>
        <v/>
      </c>
      <c r="T26" s="273">
        <f>IF($A26="","",IF(ISERROR(INDIRECT("CICLO_EM_EXECUCAO!D"&amp;(ROW()+10))),"",INDIRECT("CICLO_EM_EXECUCAO!D"&amp;(ROW()+10))))</f>
        <v/>
      </c>
      <c r="U26" s="273">
        <f>IF($A26="","",IF(ISERROR(INDIRECT("CICLO_EM_EXECUCAO!C"&amp;(ROW()+10))),"",INDIRECT("CICLO_EM_EXECUCAO!C"&amp;(ROW()+10))))</f>
        <v/>
      </c>
      <c r="V26" s="213">
        <f>IF($A26="","",IF(ISERROR(INDIRECT("CICLO_EM_EXECUCAO!E"&amp;(ROW()+10))),"",INDIRECT("CICLO_EM_EXECUCAO!E"&amp;(ROW()+10))))</f>
        <v/>
      </c>
      <c r="W26" s="213">
        <f>IF($A26="","",IF(ISERROR(INDIRECT("CICLO_EM_EXECUCAO!F"&amp;(ROW()+10))),"",INDIRECT("CICLO_EM_EXECUCAO!F"&amp;(ROW()+10))))</f>
        <v/>
      </c>
      <c r="X26" s="213">
        <f>IF($A26="","",IF(ISERROR(INDIRECT("CICLO_EM_EXECUCAO!G"&amp;(ROW()+10))),"",INDIRECT("CICLO_EM_EXECUCAO!G"&amp;(ROW()+10))))</f>
        <v/>
      </c>
      <c r="Y26">
        <f>IF($A26="","",IF(ISERROR(INDIRECT("CICLO_EM_EXECUCAO!K"&amp;(ROW()+10))),"CICLO_EM_EXECUCAO AUSENTE",INDIRECT("CICLO_EM_EXECUCAO!K"&amp;(ROW()+10))))</f>
        <v/>
      </c>
    </row>
    <row r="27">
      <c r="A27" s="116">
        <f>IF(AND(itens_Remanesc!A26="",itens_Remanesc!A25&lt;&gt;"",COUNTIF(itens_Remanesc!A27:$A$200,"&lt;&gt;")=0),"TOTAL",IF(itens_Remanesc!A26="","",itens_Remanesc!A26))</f>
        <v/>
      </c>
      <c r="B27" s="355">
        <f>IF(OR(historico_VU!A26="",historico_VU!C26=""),"",historico_VU!C26)</f>
        <v/>
      </c>
      <c r="C27" s="118">
        <f>IF(posicao_contratual!A26="","",posicao_contratual!G26)</f>
        <v/>
      </c>
      <c r="D27" s="355">
        <f>IF(A27="TOTAL",ROUND(SUM($D$3:D26),2),IF(OR(A27="",B27="",C27=""),"",ROUND(B27*C27,2)))</f>
        <v/>
      </c>
      <c r="E27" s="356">
        <f>IF(OR(historico_VU!A26="",historico_VU!D26=""),"",historico_VU!D26)</f>
        <v/>
      </c>
      <c r="F27" s="120">
        <f>IF(posicao_contratual!A26="","",posicao_contratual!K26)</f>
        <v/>
      </c>
      <c r="G27" s="356">
        <f>IF(A27="TOTAL",ROUND(SUM($G$3:G26),2),IF(OR(A27="",E27="",F27=""),"",ROUND(E27*F27,2)))</f>
        <v/>
      </c>
      <c r="H27" s="355">
        <f>IF(OR(historico_VU!A26="",historico_VU!E26=""),"",historico_VU!E26)</f>
        <v/>
      </c>
      <c r="I27" s="118">
        <f>IF(posicao_contratual!A26="","",posicao_contratual!O26)</f>
        <v/>
      </c>
      <c r="J27" s="355">
        <f>IF(A27="TOTAL",ROUND(SUM($J$3:J26),2),IF(OR(A27="",H27="",I27=""),"",ROUND(H27*I27,2)))</f>
        <v/>
      </c>
      <c r="K27" s="356">
        <f>IF(OR(historico_VU!A26="",historico_VU!F26=""),"",historico_VU!F26)</f>
        <v/>
      </c>
      <c r="L27" s="120">
        <f>IF(posicao_contratual!A26="","",posicao_contratual!S26)</f>
        <v/>
      </c>
      <c r="M27" s="356">
        <f>IF(A27="TOTAL",ROUND(SUM($M$3:M26),2),IF(OR(A27="",K27="",L27=""),"",ROUND(K27*L27,2)))</f>
        <v/>
      </c>
      <c r="N27" s="355">
        <f>IF(OR(historico_VU!A26="",historico_VU!G26=""),"",historico_VU!G26)</f>
        <v/>
      </c>
      <c r="O27" s="118">
        <f>IF(posicao_contratual!A26="","",posicao_contratual!W26)</f>
        <v/>
      </c>
      <c r="P27" s="355">
        <f>IF(A27="TOTAL",ROUND(SUM($P$3:P26),2),IF(OR(A27="",N27="",O27=""),"",ROUND(N27*O27,2)))</f>
        <v/>
      </c>
      <c r="Q27" s="195">
        <f>IF($A27="","",IF(ISERROR(INDIRECT("CICLO_EM_EXECUCAO!$D$5")),"",INDIRECT("CICLO_EM_EXECUCAO!$D$5")))</f>
        <v/>
      </c>
      <c r="R27">
        <f>IF($A27="","",IF(MEMORIA_RESULTADOS!$W$46="","","C"&amp;MEMORIA_RESULTADOS!$W$46))</f>
        <v/>
      </c>
      <c r="S27" s="273">
        <f>IF($A27="","",IF(ISERROR(INDIRECT("CICLO_EM_EXECUCAO!B"&amp;(ROW()+10))),"",INDIRECT("CICLO_EM_EXECUCAO!B"&amp;(ROW()+10))))</f>
        <v/>
      </c>
      <c r="T27" s="273">
        <f>IF($A27="","",IF(ISERROR(INDIRECT("CICLO_EM_EXECUCAO!D"&amp;(ROW()+10))),"",INDIRECT("CICLO_EM_EXECUCAO!D"&amp;(ROW()+10))))</f>
        <v/>
      </c>
      <c r="U27" s="273">
        <f>IF($A27="","",IF(ISERROR(INDIRECT("CICLO_EM_EXECUCAO!C"&amp;(ROW()+10))),"",INDIRECT("CICLO_EM_EXECUCAO!C"&amp;(ROW()+10))))</f>
        <v/>
      </c>
      <c r="V27" s="213">
        <f>IF($A27="","",IF(ISERROR(INDIRECT("CICLO_EM_EXECUCAO!E"&amp;(ROW()+10))),"",INDIRECT("CICLO_EM_EXECUCAO!E"&amp;(ROW()+10))))</f>
        <v/>
      </c>
      <c r="W27" s="213">
        <f>IF($A27="","",IF(ISERROR(INDIRECT("CICLO_EM_EXECUCAO!F"&amp;(ROW()+10))),"",INDIRECT("CICLO_EM_EXECUCAO!F"&amp;(ROW()+10))))</f>
        <v/>
      </c>
      <c r="X27" s="213">
        <f>IF($A27="","",IF(ISERROR(INDIRECT("CICLO_EM_EXECUCAO!G"&amp;(ROW()+10))),"",INDIRECT("CICLO_EM_EXECUCAO!G"&amp;(ROW()+10))))</f>
        <v/>
      </c>
      <c r="Y27">
        <f>IF($A27="","",IF(ISERROR(INDIRECT("CICLO_EM_EXECUCAO!K"&amp;(ROW()+10))),"CICLO_EM_EXECUCAO AUSENTE",INDIRECT("CICLO_EM_EXECUCAO!K"&amp;(ROW()+10))))</f>
        <v/>
      </c>
    </row>
    <row r="28">
      <c r="A28" s="116">
        <f>IF(AND(itens_Remanesc!A27="",itens_Remanesc!A26&lt;&gt;"",COUNTIF(itens_Remanesc!A28:$A$200,"&lt;&gt;")=0),"TOTAL",IF(itens_Remanesc!A27="","",itens_Remanesc!A27))</f>
        <v/>
      </c>
      <c r="B28" s="355">
        <f>IF(OR(historico_VU!A27="",historico_VU!C27=""),"",historico_VU!C27)</f>
        <v/>
      </c>
      <c r="C28" s="118">
        <f>IF(posicao_contratual!A27="","",posicao_contratual!G27)</f>
        <v/>
      </c>
      <c r="D28" s="355">
        <f>IF(A28="TOTAL",ROUND(SUM($D$3:D27),2),IF(OR(A28="",B28="",C28=""),"",ROUND(B28*C28,2)))</f>
        <v/>
      </c>
      <c r="E28" s="356">
        <f>IF(OR(historico_VU!A27="",historico_VU!D27=""),"",historico_VU!D27)</f>
        <v/>
      </c>
      <c r="F28" s="120">
        <f>IF(posicao_contratual!A27="","",posicao_contratual!K27)</f>
        <v/>
      </c>
      <c r="G28" s="356">
        <f>IF(A28="TOTAL",ROUND(SUM($G$3:G27),2),IF(OR(A28="",E28="",F28=""),"",ROUND(E28*F28,2)))</f>
        <v/>
      </c>
      <c r="H28" s="355">
        <f>IF(OR(historico_VU!A27="",historico_VU!E27=""),"",historico_VU!E27)</f>
        <v/>
      </c>
      <c r="I28" s="118">
        <f>IF(posicao_contratual!A27="","",posicao_contratual!O27)</f>
        <v/>
      </c>
      <c r="J28" s="355">
        <f>IF(A28="TOTAL",ROUND(SUM($J$3:J27),2),IF(OR(A28="",H28="",I28=""),"",ROUND(H28*I28,2)))</f>
        <v/>
      </c>
      <c r="K28" s="356">
        <f>IF(OR(historico_VU!A27="",historico_VU!F27=""),"",historico_VU!F27)</f>
        <v/>
      </c>
      <c r="L28" s="120">
        <f>IF(posicao_contratual!A27="","",posicao_contratual!S27)</f>
        <v/>
      </c>
      <c r="M28" s="356">
        <f>IF(A28="TOTAL",ROUND(SUM($M$3:M27),2),IF(OR(A28="",K28="",L28=""),"",ROUND(K28*L28,2)))</f>
        <v/>
      </c>
      <c r="N28" s="355">
        <f>IF(OR(historico_VU!A27="",historico_VU!G27=""),"",historico_VU!G27)</f>
        <v/>
      </c>
      <c r="O28" s="118">
        <f>IF(posicao_contratual!A27="","",posicao_contratual!W27)</f>
        <v/>
      </c>
      <c r="P28" s="355">
        <f>IF(A28="TOTAL",ROUND(SUM($P$3:P27),2),IF(OR(A28="",N28="",O28=""),"",ROUND(N28*O28,2)))</f>
        <v/>
      </c>
      <c r="Q28" s="195">
        <f>IF($A28="","",IF(ISERROR(INDIRECT("CICLO_EM_EXECUCAO!$D$5")),"",INDIRECT("CICLO_EM_EXECUCAO!$D$5")))</f>
        <v/>
      </c>
      <c r="R28">
        <f>IF($A28="","",IF(MEMORIA_RESULTADOS!$W$46="","","C"&amp;MEMORIA_RESULTADOS!$W$46))</f>
        <v/>
      </c>
      <c r="S28" s="273">
        <f>IF($A28="","",IF(ISERROR(INDIRECT("CICLO_EM_EXECUCAO!B"&amp;(ROW()+10))),"",INDIRECT("CICLO_EM_EXECUCAO!B"&amp;(ROW()+10))))</f>
        <v/>
      </c>
      <c r="T28" s="273">
        <f>IF($A28="","",IF(ISERROR(INDIRECT("CICLO_EM_EXECUCAO!D"&amp;(ROW()+10))),"",INDIRECT("CICLO_EM_EXECUCAO!D"&amp;(ROW()+10))))</f>
        <v/>
      </c>
      <c r="U28" s="273">
        <f>IF($A28="","",IF(ISERROR(INDIRECT("CICLO_EM_EXECUCAO!C"&amp;(ROW()+10))),"",INDIRECT("CICLO_EM_EXECUCAO!C"&amp;(ROW()+10))))</f>
        <v/>
      </c>
      <c r="V28" s="213">
        <f>IF($A28="","",IF(ISERROR(INDIRECT("CICLO_EM_EXECUCAO!E"&amp;(ROW()+10))),"",INDIRECT("CICLO_EM_EXECUCAO!E"&amp;(ROW()+10))))</f>
        <v/>
      </c>
      <c r="W28" s="213">
        <f>IF($A28="","",IF(ISERROR(INDIRECT("CICLO_EM_EXECUCAO!F"&amp;(ROW()+10))),"",INDIRECT("CICLO_EM_EXECUCAO!F"&amp;(ROW()+10))))</f>
        <v/>
      </c>
      <c r="X28" s="213">
        <f>IF($A28="","",IF(ISERROR(INDIRECT("CICLO_EM_EXECUCAO!G"&amp;(ROW()+10))),"",INDIRECT("CICLO_EM_EXECUCAO!G"&amp;(ROW()+10))))</f>
        <v/>
      </c>
      <c r="Y28">
        <f>IF($A28="","",IF(ISERROR(INDIRECT("CICLO_EM_EXECUCAO!K"&amp;(ROW()+10))),"CICLO_EM_EXECUCAO AUSENTE",INDIRECT("CICLO_EM_EXECUCAO!K"&amp;(ROW()+10))))</f>
        <v/>
      </c>
    </row>
    <row r="29">
      <c r="A29" s="116">
        <f>IF(AND(itens_Remanesc!A28="",itens_Remanesc!A27&lt;&gt;"",COUNTIF(itens_Remanesc!A29:$A$200,"&lt;&gt;")=0),"TOTAL",IF(itens_Remanesc!A28="","",itens_Remanesc!A28))</f>
        <v/>
      </c>
      <c r="B29" s="355">
        <f>IF(OR(historico_VU!A28="",historico_VU!C28=""),"",historico_VU!C28)</f>
        <v/>
      </c>
      <c r="C29" s="118">
        <f>IF(posicao_contratual!A28="","",posicao_contratual!G28)</f>
        <v/>
      </c>
      <c r="D29" s="355">
        <f>IF(A29="TOTAL",ROUND(SUM($D$3:D28),2),IF(OR(A29="",B29="",C29=""),"",ROUND(B29*C29,2)))</f>
        <v/>
      </c>
      <c r="E29" s="356">
        <f>IF(OR(historico_VU!A28="",historico_VU!D28=""),"",historico_VU!D28)</f>
        <v/>
      </c>
      <c r="F29" s="120">
        <f>IF(posicao_contratual!A28="","",posicao_contratual!K28)</f>
        <v/>
      </c>
      <c r="G29" s="356">
        <f>IF(A29="TOTAL",ROUND(SUM($G$3:G28),2),IF(OR(A29="",E29="",F29=""),"",ROUND(E29*F29,2)))</f>
        <v/>
      </c>
      <c r="H29" s="355">
        <f>IF(OR(historico_VU!A28="",historico_VU!E28=""),"",historico_VU!E28)</f>
        <v/>
      </c>
      <c r="I29" s="118">
        <f>IF(posicao_contratual!A28="","",posicao_contratual!O28)</f>
        <v/>
      </c>
      <c r="J29" s="355">
        <f>IF(A29="TOTAL",ROUND(SUM($J$3:J28),2),IF(OR(A29="",H29="",I29=""),"",ROUND(H29*I29,2)))</f>
        <v/>
      </c>
      <c r="K29" s="356">
        <f>IF(OR(historico_VU!A28="",historico_VU!F28=""),"",historico_VU!F28)</f>
        <v/>
      </c>
      <c r="L29" s="120">
        <f>IF(posicao_contratual!A28="","",posicao_contratual!S28)</f>
        <v/>
      </c>
      <c r="M29" s="356">
        <f>IF(A29="TOTAL",ROUND(SUM($M$3:M28),2),IF(OR(A29="",K29="",L29=""),"",ROUND(K29*L29,2)))</f>
        <v/>
      </c>
      <c r="N29" s="355">
        <f>IF(OR(historico_VU!A28="",historico_VU!G28=""),"",historico_VU!G28)</f>
        <v/>
      </c>
      <c r="O29" s="118">
        <f>IF(posicao_contratual!A28="","",posicao_contratual!W28)</f>
        <v/>
      </c>
      <c r="P29" s="355">
        <f>IF(A29="TOTAL",ROUND(SUM($P$3:P28),2),IF(OR(A29="",N29="",O29=""),"",ROUND(N29*O29,2)))</f>
        <v/>
      </c>
      <c r="Q29" s="195">
        <f>IF($A29="","",IF(ISERROR(INDIRECT("CICLO_EM_EXECUCAO!$D$5")),"",INDIRECT("CICLO_EM_EXECUCAO!$D$5")))</f>
        <v/>
      </c>
      <c r="R29">
        <f>IF($A29="","",IF(MEMORIA_RESULTADOS!$W$46="","","C"&amp;MEMORIA_RESULTADOS!$W$46))</f>
        <v/>
      </c>
      <c r="S29" s="273">
        <f>IF($A29="","",IF(ISERROR(INDIRECT("CICLO_EM_EXECUCAO!B"&amp;(ROW()+10))),"",INDIRECT("CICLO_EM_EXECUCAO!B"&amp;(ROW()+10))))</f>
        <v/>
      </c>
      <c r="T29" s="273">
        <f>IF($A29="","",IF(ISERROR(INDIRECT("CICLO_EM_EXECUCAO!D"&amp;(ROW()+10))),"",INDIRECT("CICLO_EM_EXECUCAO!D"&amp;(ROW()+10))))</f>
        <v/>
      </c>
      <c r="U29" s="273">
        <f>IF($A29="","",IF(ISERROR(INDIRECT("CICLO_EM_EXECUCAO!C"&amp;(ROW()+10))),"",INDIRECT("CICLO_EM_EXECUCAO!C"&amp;(ROW()+10))))</f>
        <v/>
      </c>
      <c r="V29" s="213">
        <f>IF($A29="","",IF(ISERROR(INDIRECT("CICLO_EM_EXECUCAO!E"&amp;(ROW()+10))),"",INDIRECT("CICLO_EM_EXECUCAO!E"&amp;(ROW()+10))))</f>
        <v/>
      </c>
      <c r="W29" s="213">
        <f>IF($A29="","",IF(ISERROR(INDIRECT("CICLO_EM_EXECUCAO!F"&amp;(ROW()+10))),"",INDIRECT("CICLO_EM_EXECUCAO!F"&amp;(ROW()+10))))</f>
        <v/>
      </c>
      <c r="X29" s="213">
        <f>IF($A29="","",IF(ISERROR(INDIRECT("CICLO_EM_EXECUCAO!G"&amp;(ROW()+10))),"",INDIRECT("CICLO_EM_EXECUCAO!G"&amp;(ROW()+10))))</f>
        <v/>
      </c>
      <c r="Y29">
        <f>IF($A29="","",IF(ISERROR(INDIRECT("CICLO_EM_EXECUCAO!K"&amp;(ROW()+10))),"CICLO_EM_EXECUCAO AUSENTE",INDIRECT("CICLO_EM_EXECUCAO!K"&amp;(ROW()+10))))</f>
        <v/>
      </c>
    </row>
    <row r="30">
      <c r="A30" s="116">
        <f>IF(AND(itens_Remanesc!A29="",itens_Remanesc!A28&lt;&gt;"",COUNTIF(itens_Remanesc!A30:$A$200,"&lt;&gt;")=0),"TOTAL",IF(itens_Remanesc!A29="","",itens_Remanesc!A29))</f>
        <v/>
      </c>
      <c r="B30" s="355">
        <f>IF(OR(historico_VU!A29="",historico_VU!C29=""),"",historico_VU!C29)</f>
        <v/>
      </c>
      <c r="C30" s="118">
        <f>IF(posicao_contratual!A29="","",posicao_contratual!G29)</f>
        <v/>
      </c>
      <c r="D30" s="355">
        <f>IF(A30="TOTAL",ROUND(SUM($D$3:D29),2),IF(OR(A30="",B30="",C30=""),"",ROUND(B30*C30,2)))</f>
        <v/>
      </c>
      <c r="E30" s="356">
        <f>IF(OR(historico_VU!A29="",historico_VU!D29=""),"",historico_VU!D29)</f>
        <v/>
      </c>
      <c r="F30" s="120">
        <f>IF(posicao_contratual!A29="","",posicao_contratual!K29)</f>
        <v/>
      </c>
      <c r="G30" s="356">
        <f>IF(A30="TOTAL",ROUND(SUM($G$3:G29),2),IF(OR(A30="",E30="",F30=""),"",ROUND(E30*F30,2)))</f>
        <v/>
      </c>
      <c r="H30" s="355">
        <f>IF(OR(historico_VU!A29="",historico_VU!E29=""),"",historico_VU!E29)</f>
        <v/>
      </c>
      <c r="I30" s="118">
        <f>IF(posicao_contratual!A29="","",posicao_contratual!O29)</f>
        <v/>
      </c>
      <c r="J30" s="355">
        <f>IF(A30="TOTAL",ROUND(SUM($J$3:J29),2),IF(OR(A30="",H30="",I30=""),"",ROUND(H30*I30,2)))</f>
        <v/>
      </c>
      <c r="K30" s="356">
        <f>IF(OR(historico_VU!A29="",historico_VU!F29=""),"",historico_VU!F29)</f>
        <v/>
      </c>
      <c r="L30" s="120">
        <f>IF(posicao_contratual!A29="","",posicao_contratual!S29)</f>
        <v/>
      </c>
      <c r="M30" s="356">
        <f>IF(A30="TOTAL",ROUND(SUM($M$3:M29),2),IF(OR(A30="",K30="",L30=""),"",ROUND(K30*L30,2)))</f>
        <v/>
      </c>
      <c r="N30" s="355">
        <f>IF(OR(historico_VU!A29="",historico_VU!G29=""),"",historico_VU!G29)</f>
        <v/>
      </c>
      <c r="O30" s="118">
        <f>IF(posicao_contratual!A29="","",posicao_contratual!W29)</f>
        <v/>
      </c>
      <c r="P30" s="355">
        <f>IF(A30="TOTAL",ROUND(SUM($P$3:P29),2),IF(OR(A30="",N30="",O30=""),"",ROUND(N30*O30,2)))</f>
        <v/>
      </c>
      <c r="Q30" s="195">
        <f>IF($A30="","",IF(ISERROR(INDIRECT("CICLO_EM_EXECUCAO!$D$5")),"",INDIRECT("CICLO_EM_EXECUCAO!$D$5")))</f>
        <v/>
      </c>
      <c r="R30">
        <f>IF($A30="","",IF(MEMORIA_RESULTADOS!$W$46="","","C"&amp;MEMORIA_RESULTADOS!$W$46))</f>
        <v/>
      </c>
      <c r="S30" s="273">
        <f>IF($A30="","",IF(ISERROR(INDIRECT("CICLO_EM_EXECUCAO!B"&amp;(ROW()+10))),"",INDIRECT("CICLO_EM_EXECUCAO!B"&amp;(ROW()+10))))</f>
        <v/>
      </c>
      <c r="T30" s="273">
        <f>IF($A30="","",IF(ISERROR(INDIRECT("CICLO_EM_EXECUCAO!D"&amp;(ROW()+10))),"",INDIRECT("CICLO_EM_EXECUCAO!D"&amp;(ROW()+10))))</f>
        <v/>
      </c>
      <c r="U30" s="273">
        <f>IF($A30="","",IF(ISERROR(INDIRECT("CICLO_EM_EXECUCAO!C"&amp;(ROW()+10))),"",INDIRECT("CICLO_EM_EXECUCAO!C"&amp;(ROW()+10))))</f>
        <v/>
      </c>
      <c r="V30" s="213">
        <f>IF($A30="","",IF(ISERROR(INDIRECT("CICLO_EM_EXECUCAO!E"&amp;(ROW()+10))),"",INDIRECT("CICLO_EM_EXECUCAO!E"&amp;(ROW()+10))))</f>
        <v/>
      </c>
      <c r="W30" s="213">
        <f>IF($A30="","",IF(ISERROR(INDIRECT("CICLO_EM_EXECUCAO!F"&amp;(ROW()+10))),"",INDIRECT("CICLO_EM_EXECUCAO!F"&amp;(ROW()+10))))</f>
        <v/>
      </c>
      <c r="X30" s="213">
        <f>IF($A30="","",IF(ISERROR(INDIRECT("CICLO_EM_EXECUCAO!G"&amp;(ROW()+10))),"",INDIRECT("CICLO_EM_EXECUCAO!G"&amp;(ROW()+10))))</f>
        <v/>
      </c>
      <c r="Y30">
        <f>IF($A30="","",IF(ISERROR(INDIRECT("CICLO_EM_EXECUCAO!K"&amp;(ROW()+10))),"CICLO_EM_EXECUCAO AUSENTE",INDIRECT("CICLO_EM_EXECUCAO!K"&amp;(ROW()+10))))</f>
        <v/>
      </c>
    </row>
    <row r="31">
      <c r="A31" s="116">
        <f>IF(AND(itens_Remanesc!A30="",itens_Remanesc!A29&lt;&gt;"",COUNTIF(itens_Remanesc!A31:$A$200,"&lt;&gt;")=0),"TOTAL",IF(itens_Remanesc!A30="","",itens_Remanesc!A30))</f>
        <v/>
      </c>
      <c r="B31" s="355">
        <f>IF(OR(historico_VU!A30="",historico_VU!C30=""),"",historico_VU!C30)</f>
        <v/>
      </c>
      <c r="C31" s="118">
        <f>IF(posicao_contratual!A30="","",posicao_contratual!G30)</f>
        <v/>
      </c>
      <c r="D31" s="355">
        <f>IF(A31="TOTAL",ROUND(SUM($D$3:D30),2),IF(OR(A31="",B31="",C31=""),"",ROUND(B31*C31,2)))</f>
        <v/>
      </c>
      <c r="E31" s="356">
        <f>IF(OR(historico_VU!A30="",historico_VU!D30=""),"",historico_VU!D30)</f>
        <v/>
      </c>
      <c r="F31" s="120">
        <f>IF(posicao_contratual!A30="","",posicao_contratual!K30)</f>
        <v/>
      </c>
      <c r="G31" s="356">
        <f>IF(A31="TOTAL",ROUND(SUM($G$3:G30),2),IF(OR(A31="",E31="",F31=""),"",ROUND(E31*F31,2)))</f>
        <v/>
      </c>
      <c r="H31" s="355">
        <f>IF(OR(historico_VU!A30="",historico_VU!E30=""),"",historico_VU!E30)</f>
        <v/>
      </c>
      <c r="I31" s="118">
        <f>IF(posicao_contratual!A30="","",posicao_contratual!O30)</f>
        <v/>
      </c>
      <c r="J31" s="355">
        <f>IF(A31="TOTAL",ROUND(SUM($J$3:J30),2),IF(OR(A31="",H31="",I31=""),"",ROUND(H31*I31,2)))</f>
        <v/>
      </c>
      <c r="K31" s="356">
        <f>IF(OR(historico_VU!A30="",historico_VU!F30=""),"",historico_VU!F30)</f>
        <v/>
      </c>
      <c r="L31" s="120">
        <f>IF(posicao_contratual!A30="","",posicao_contratual!S30)</f>
        <v/>
      </c>
      <c r="M31" s="356">
        <f>IF(A31="TOTAL",ROUND(SUM($M$3:M30),2),IF(OR(A31="",K31="",L31=""),"",ROUND(K31*L31,2)))</f>
        <v/>
      </c>
      <c r="N31" s="355">
        <f>IF(OR(historico_VU!A30="",historico_VU!G30=""),"",historico_VU!G30)</f>
        <v/>
      </c>
      <c r="O31" s="118">
        <f>IF(posicao_contratual!A30="","",posicao_contratual!W30)</f>
        <v/>
      </c>
      <c r="P31" s="355">
        <f>IF(A31="TOTAL",ROUND(SUM($P$3:P30),2),IF(OR(A31="",N31="",O31=""),"",ROUND(N31*O31,2)))</f>
        <v/>
      </c>
      <c r="Q31" s="195">
        <f>IF($A31="","",IF(ISERROR(INDIRECT("CICLO_EM_EXECUCAO!$D$5")),"",INDIRECT("CICLO_EM_EXECUCAO!$D$5")))</f>
        <v/>
      </c>
      <c r="R31">
        <f>IF($A31="","",IF(MEMORIA_RESULTADOS!$W$46="","","C"&amp;MEMORIA_RESULTADOS!$W$46))</f>
        <v/>
      </c>
      <c r="S31" s="273">
        <f>IF($A31="","",IF(ISERROR(INDIRECT("CICLO_EM_EXECUCAO!B"&amp;(ROW()+10))),"",INDIRECT("CICLO_EM_EXECUCAO!B"&amp;(ROW()+10))))</f>
        <v/>
      </c>
      <c r="T31" s="273">
        <f>IF($A31="","",IF(ISERROR(INDIRECT("CICLO_EM_EXECUCAO!D"&amp;(ROW()+10))),"",INDIRECT("CICLO_EM_EXECUCAO!D"&amp;(ROW()+10))))</f>
        <v/>
      </c>
      <c r="U31" s="273">
        <f>IF($A31="","",IF(ISERROR(INDIRECT("CICLO_EM_EXECUCAO!C"&amp;(ROW()+10))),"",INDIRECT("CICLO_EM_EXECUCAO!C"&amp;(ROW()+10))))</f>
        <v/>
      </c>
      <c r="V31" s="213">
        <f>IF($A31="","",IF(ISERROR(INDIRECT("CICLO_EM_EXECUCAO!E"&amp;(ROW()+10))),"",INDIRECT("CICLO_EM_EXECUCAO!E"&amp;(ROW()+10))))</f>
        <v/>
      </c>
      <c r="W31" s="213">
        <f>IF($A31="","",IF(ISERROR(INDIRECT("CICLO_EM_EXECUCAO!F"&amp;(ROW()+10))),"",INDIRECT("CICLO_EM_EXECUCAO!F"&amp;(ROW()+10))))</f>
        <v/>
      </c>
      <c r="X31" s="213">
        <f>IF($A31="","",IF(ISERROR(INDIRECT("CICLO_EM_EXECUCAO!G"&amp;(ROW()+10))),"",INDIRECT("CICLO_EM_EXECUCAO!G"&amp;(ROW()+10))))</f>
        <v/>
      </c>
      <c r="Y31">
        <f>IF($A31="","",IF(ISERROR(INDIRECT("CICLO_EM_EXECUCAO!K"&amp;(ROW()+10))),"CICLO_EM_EXECUCAO AUSENTE",INDIRECT("CICLO_EM_EXECUCAO!K"&amp;(ROW()+10))))</f>
        <v/>
      </c>
    </row>
    <row r="32">
      <c r="A32" s="116">
        <f>IF(AND(itens_Remanesc!A31="",itens_Remanesc!A30&lt;&gt;"",COUNTIF(itens_Remanesc!A32:$A$200,"&lt;&gt;")=0),"TOTAL",IF(itens_Remanesc!A31="","",itens_Remanesc!A31))</f>
        <v/>
      </c>
      <c r="B32" s="355">
        <f>IF(OR(historico_VU!A31="",historico_VU!C31=""),"",historico_VU!C31)</f>
        <v/>
      </c>
      <c r="C32" s="118">
        <f>IF(posicao_contratual!A31="","",posicao_contratual!G31)</f>
        <v/>
      </c>
      <c r="D32" s="355">
        <f>IF(A32="TOTAL",ROUND(SUM($D$3:D31),2),IF(OR(A32="",B32="",C32=""),"",ROUND(B32*C32,2)))</f>
        <v/>
      </c>
      <c r="E32" s="356">
        <f>IF(OR(historico_VU!A31="",historico_VU!D31=""),"",historico_VU!D31)</f>
        <v/>
      </c>
      <c r="F32" s="120">
        <f>IF(posicao_contratual!A31="","",posicao_contratual!K31)</f>
        <v/>
      </c>
      <c r="G32" s="356">
        <f>IF(A32="TOTAL",ROUND(SUM($G$3:G31),2),IF(OR(A32="",E32="",F32=""),"",ROUND(E32*F32,2)))</f>
        <v/>
      </c>
      <c r="H32" s="355">
        <f>IF(OR(historico_VU!A31="",historico_VU!E31=""),"",historico_VU!E31)</f>
        <v/>
      </c>
      <c r="I32" s="118">
        <f>IF(posicao_contratual!A31="","",posicao_contratual!O31)</f>
        <v/>
      </c>
      <c r="J32" s="355">
        <f>IF(A32="TOTAL",ROUND(SUM($J$3:J31),2),IF(OR(A32="",H32="",I32=""),"",ROUND(H32*I32,2)))</f>
        <v/>
      </c>
      <c r="K32" s="356">
        <f>IF(OR(historico_VU!A31="",historico_VU!F31=""),"",historico_VU!F31)</f>
        <v/>
      </c>
      <c r="L32" s="120">
        <f>IF(posicao_contratual!A31="","",posicao_contratual!S31)</f>
        <v/>
      </c>
      <c r="M32" s="356">
        <f>IF(A32="TOTAL",ROUND(SUM($M$3:M31),2),IF(OR(A32="",K32="",L32=""),"",ROUND(K32*L32,2)))</f>
        <v/>
      </c>
      <c r="N32" s="355">
        <f>IF(OR(historico_VU!A31="",historico_VU!G31=""),"",historico_VU!G31)</f>
        <v/>
      </c>
      <c r="O32" s="118">
        <f>IF(posicao_contratual!A31="","",posicao_contratual!W31)</f>
        <v/>
      </c>
      <c r="P32" s="355">
        <f>IF(A32="TOTAL",ROUND(SUM($P$3:P31),2),IF(OR(A32="",N32="",O32=""),"",ROUND(N32*O32,2)))</f>
        <v/>
      </c>
      <c r="Q32" s="195">
        <f>IF($A32="","",IF(ISERROR(INDIRECT("CICLO_EM_EXECUCAO!$D$5")),"",INDIRECT("CICLO_EM_EXECUCAO!$D$5")))</f>
        <v/>
      </c>
      <c r="R32">
        <f>IF($A32="","",IF(MEMORIA_RESULTADOS!$W$46="","","C"&amp;MEMORIA_RESULTADOS!$W$46))</f>
        <v/>
      </c>
      <c r="S32" s="273">
        <f>IF($A32="","",IF(ISERROR(INDIRECT("CICLO_EM_EXECUCAO!B"&amp;(ROW()+10))),"",INDIRECT("CICLO_EM_EXECUCAO!B"&amp;(ROW()+10))))</f>
        <v/>
      </c>
      <c r="T32" s="273">
        <f>IF($A32="","",IF(ISERROR(INDIRECT("CICLO_EM_EXECUCAO!D"&amp;(ROW()+10))),"",INDIRECT("CICLO_EM_EXECUCAO!D"&amp;(ROW()+10))))</f>
        <v/>
      </c>
      <c r="U32" s="273">
        <f>IF($A32="","",IF(ISERROR(INDIRECT("CICLO_EM_EXECUCAO!C"&amp;(ROW()+10))),"",INDIRECT("CICLO_EM_EXECUCAO!C"&amp;(ROW()+10))))</f>
        <v/>
      </c>
      <c r="V32" s="213">
        <f>IF($A32="","",IF(ISERROR(INDIRECT("CICLO_EM_EXECUCAO!E"&amp;(ROW()+10))),"",INDIRECT("CICLO_EM_EXECUCAO!E"&amp;(ROW()+10))))</f>
        <v/>
      </c>
      <c r="W32" s="213">
        <f>IF($A32="","",IF(ISERROR(INDIRECT("CICLO_EM_EXECUCAO!F"&amp;(ROW()+10))),"",INDIRECT("CICLO_EM_EXECUCAO!F"&amp;(ROW()+10))))</f>
        <v/>
      </c>
      <c r="X32" s="213">
        <f>IF($A32="","",IF(ISERROR(INDIRECT("CICLO_EM_EXECUCAO!G"&amp;(ROW()+10))),"",INDIRECT("CICLO_EM_EXECUCAO!G"&amp;(ROW()+10))))</f>
        <v/>
      </c>
      <c r="Y32">
        <f>IF($A32="","",IF(ISERROR(INDIRECT("CICLO_EM_EXECUCAO!K"&amp;(ROW()+10))),"CICLO_EM_EXECUCAO AUSENTE",INDIRECT("CICLO_EM_EXECUCAO!K"&amp;(ROW()+10))))</f>
        <v/>
      </c>
    </row>
    <row r="33">
      <c r="A33" s="123">
        <f>IF(AND(itens_Remanesc!A32="",itens_Remanesc!A31&lt;&gt;"",COUNTIF(itens_Remanesc!A33:$A$200,"&lt;&gt;")=0),"TOTAL",IF(itens_Remanesc!A32="","",itens_Remanesc!A32))</f>
        <v/>
      </c>
      <c r="B33" s="355">
        <f>IF(OR(historico_VU!A32="",historico_VU!C32=""),"",historico_VU!C32)</f>
        <v/>
      </c>
      <c r="C33" s="118">
        <f>IF(posicao_contratual!A32="","",posicao_contratual!G32)</f>
        <v/>
      </c>
      <c r="D33" s="355">
        <f>IF(A33="TOTAL",ROUND(SUM($D$3:D32),2),IF(OR(A33="",B33="",C33=""),"",ROUND(B33*C33,2)))</f>
        <v/>
      </c>
      <c r="E33" s="356">
        <f>IF(OR(historico_VU!A32="",historico_VU!D32=""),"",historico_VU!D32)</f>
        <v/>
      </c>
      <c r="F33" s="120">
        <f>IF(posicao_contratual!A32="","",posicao_contratual!K32)</f>
        <v/>
      </c>
      <c r="G33" s="356">
        <f>IF(A33="TOTAL",ROUND(SUM($G$3:G32),2),IF(OR(A33="",E33="",F33=""),"",ROUND(E33*F33,2)))</f>
        <v/>
      </c>
      <c r="H33" s="355">
        <f>IF(OR(historico_VU!A32="",historico_VU!E32=""),"",historico_VU!E32)</f>
        <v/>
      </c>
      <c r="I33" s="118">
        <f>IF(posicao_contratual!A32="","",posicao_contratual!O32)</f>
        <v/>
      </c>
      <c r="J33" s="355">
        <f>IF(A33="TOTAL",ROUND(SUM($J$3:J32),2),IF(OR(A33="",H33="",I33=""),"",ROUND(H33*I33,2)))</f>
        <v/>
      </c>
      <c r="K33" s="356">
        <f>IF(OR(historico_VU!A32="",historico_VU!F32=""),"",historico_VU!F32)</f>
        <v/>
      </c>
      <c r="L33" s="120">
        <f>IF(posicao_contratual!A32="","",posicao_contratual!S32)</f>
        <v/>
      </c>
      <c r="M33" s="356">
        <f>IF(A33="TOTAL",ROUND(SUM($M$3:M32),2),IF(OR(A33="",K33="",L33=""),"",ROUND(K33*L33,2)))</f>
        <v/>
      </c>
      <c r="N33" s="355">
        <f>IF(OR(historico_VU!A32="",historico_VU!G32=""),"",historico_VU!G32)</f>
        <v/>
      </c>
      <c r="O33" s="118">
        <f>IF(posicao_contratual!A32="","",posicao_contratual!W32)</f>
        <v/>
      </c>
      <c r="P33" s="355">
        <f>IF(A33="TOTAL",ROUND(SUM($P$3:P32),2),IF(OR(A33="",N33="",O33=""),"",ROUND(N33*O33,2)))</f>
        <v/>
      </c>
      <c r="Q33" s="195">
        <f>IF($A33="","",IF(ISERROR(INDIRECT("CICLO_EM_EXECUCAO!$D$5")),"",INDIRECT("CICLO_EM_EXECUCAO!$D$5")))</f>
        <v/>
      </c>
      <c r="R33">
        <f>IF($A33="","",IF(MEMORIA_RESULTADOS!$W$46="","","C"&amp;MEMORIA_RESULTADOS!$W$46))</f>
        <v/>
      </c>
      <c r="S33" s="273">
        <f>IF($A33="","",IF(ISERROR(INDIRECT("CICLO_EM_EXECUCAO!B"&amp;(ROW()+10))),"",INDIRECT("CICLO_EM_EXECUCAO!B"&amp;(ROW()+10))))</f>
        <v/>
      </c>
      <c r="T33" s="273">
        <f>IF($A33="","",IF(ISERROR(INDIRECT("CICLO_EM_EXECUCAO!D"&amp;(ROW()+10))),"",INDIRECT("CICLO_EM_EXECUCAO!D"&amp;(ROW()+10))))</f>
        <v/>
      </c>
      <c r="U33" s="273">
        <f>IF($A33="","",IF(ISERROR(INDIRECT("CICLO_EM_EXECUCAO!C"&amp;(ROW()+10))),"",INDIRECT("CICLO_EM_EXECUCAO!C"&amp;(ROW()+10))))</f>
        <v/>
      </c>
      <c r="V33" s="213">
        <f>IF($A33="","",IF(ISERROR(INDIRECT("CICLO_EM_EXECUCAO!E"&amp;(ROW()+10))),"",INDIRECT("CICLO_EM_EXECUCAO!E"&amp;(ROW()+10))))</f>
        <v/>
      </c>
      <c r="W33" s="213">
        <f>IF($A33="","",IF(ISERROR(INDIRECT("CICLO_EM_EXECUCAO!F"&amp;(ROW()+10))),"",INDIRECT("CICLO_EM_EXECUCAO!F"&amp;(ROW()+10))))</f>
        <v/>
      </c>
      <c r="X33" s="213">
        <f>IF($A33="","",IF(ISERROR(INDIRECT("CICLO_EM_EXECUCAO!G"&amp;(ROW()+10))),"",INDIRECT("CICLO_EM_EXECUCAO!G"&amp;(ROW()+10))))</f>
        <v/>
      </c>
      <c r="Y33">
        <f>IF($A33="","",IF(ISERROR(INDIRECT("CICLO_EM_EXECUCAO!K"&amp;(ROW()+10))),"CICLO_EM_EXECUCAO AUSENTE",INDIRECT("CICLO_EM_EXECUCAO!K"&amp;(ROW()+10))))</f>
        <v/>
      </c>
    </row>
    <row r="34">
      <c r="A34" s="116">
        <f>IF(AND(itens_Remanesc!A33="",itens_Remanesc!A32&lt;&gt;"",COUNTIF(itens_Remanesc!A34:$A$200,"&lt;&gt;")=0),"TOTAL",IF(itens_Remanesc!A33="","",itens_Remanesc!A33))</f>
        <v/>
      </c>
      <c r="B34" s="355">
        <f>IF(OR(historico_VU!A33="",historico_VU!C33=""),"",historico_VU!C33)</f>
        <v/>
      </c>
      <c r="C34" s="118">
        <f>IF(posicao_contratual!A33="","",posicao_contratual!G33)</f>
        <v/>
      </c>
      <c r="D34" s="355">
        <f>IF(A34="TOTAL",ROUND(SUM($D$3:D33),2),IF(OR(A34="",B34="",C34=""),"",ROUND(B34*C34,2)))</f>
        <v/>
      </c>
      <c r="E34" s="356">
        <f>IF(OR(historico_VU!A33="",historico_VU!D33=""),"",historico_VU!D33)</f>
        <v/>
      </c>
      <c r="F34" s="120">
        <f>IF(posicao_contratual!A33="","",posicao_contratual!K33)</f>
        <v/>
      </c>
      <c r="G34" s="356">
        <f>IF(A34="TOTAL",ROUND(SUM($G$3:G33),2),IF(OR(A34="",E34="",F34=""),"",ROUND(E34*F34,2)))</f>
        <v/>
      </c>
      <c r="H34" s="355">
        <f>IF(OR(historico_VU!A33="",historico_VU!E33=""),"",historico_VU!E33)</f>
        <v/>
      </c>
      <c r="I34" s="118">
        <f>IF(posicao_contratual!A33="","",posicao_contratual!O33)</f>
        <v/>
      </c>
      <c r="J34" s="355">
        <f>IF(A34="TOTAL",ROUND(SUM($J$3:J33),2),IF(OR(A34="",H34="",I34=""),"",ROUND(H34*I34,2)))</f>
        <v/>
      </c>
      <c r="K34" s="356">
        <f>IF(OR(historico_VU!A33="",historico_VU!F33=""),"",historico_VU!F33)</f>
        <v/>
      </c>
      <c r="L34" s="120">
        <f>IF(posicao_contratual!A33="","",posicao_contratual!S33)</f>
        <v/>
      </c>
      <c r="M34" s="356">
        <f>IF(A34="TOTAL",ROUND(SUM($M$3:M33),2),IF(OR(A34="",K34="",L34=""),"",ROUND(K34*L34,2)))</f>
        <v/>
      </c>
      <c r="N34" s="355">
        <f>IF(OR(historico_VU!A33="",historico_VU!G33=""),"",historico_VU!G33)</f>
        <v/>
      </c>
      <c r="O34" s="118">
        <f>IF(posicao_contratual!A33="","",posicao_contratual!W33)</f>
        <v/>
      </c>
      <c r="P34" s="355">
        <f>IF(A34="TOTAL",ROUND(SUM($P$3:P33),2),IF(OR(A34="",N34="",O34=""),"",ROUND(N34*O34,2)))</f>
        <v/>
      </c>
      <c r="Q34" s="195">
        <f>IF($A34="","",IF(ISERROR(INDIRECT("CICLO_EM_EXECUCAO!$D$5")),"",INDIRECT("CICLO_EM_EXECUCAO!$D$5")))</f>
        <v/>
      </c>
      <c r="R34">
        <f>IF($A34="","",IF(MEMORIA_RESULTADOS!$W$46="","","C"&amp;MEMORIA_RESULTADOS!$W$46))</f>
        <v/>
      </c>
      <c r="S34" s="273">
        <f>IF($A34="","",IF(ISERROR(INDIRECT("CICLO_EM_EXECUCAO!B"&amp;(ROW()+10))),"",INDIRECT("CICLO_EM_EXECUCAO!B"&amp;(ROW()+10))))</f>
        <v/>
      </c>
      <c r="T34" s="273">
        <f>IF($A34="","",IF(ISERROR(INDIRECT("CICLO_EM_EXECUCAO!D"&amp;(ROW()+10))),"",INDIRECT("CICLO_EM_EXECUCAO!D"&amp;(ROW()+10))))</f>
        <v/>
      </c>
      <c r="U34" s="273">
        <f>IF($A34="","",IF(ISERROR(INDIRECT("CICLO_EM_EXECUCAO!C"&amp;(ROW()+10))),"",INDIRECT("CICLO_EM_EXECUCAO!C"&amp;(ROW()+10))))</f>
        <v/>
      </c>
      <c r="V34" s="213">
        <f>IF($A34="","",IF(ISERROR(INDIRECT("CICLO_EM_EXECUCAO!E"&amp;(ROW()+10))),"",INDIRECT("CICLO_EM_EXECUCAO!E"&amp;(ROW()+10))))</f>
        <v/>
      </c>
      <c r="W34" s="213">
        <f>IF($A34="","",IF(ISERROR(INDIRECT("CICLO_EM_EXECUCAO!F"&amp;(ROW()+10))),"",INDIRECT("CICLO_EM_EXECUCAO!F"&amp;(ROW()+10))))</f>
        <v/>
      </c>
      <c r="X34" s="213">
        <f>IF($A34="","",IF(ISERROR(INDIRECT("CICLO_EM_EXECUCAO!G"&amp;(ROW()+10))),"",INDIRECT("CICLO_EM_EXECUCAO!G"&amp;(ROW()+10))))</f>
        <v/>
      </c>
      <c r="Y34">
        <f>IF($A34="","",IF(ISERROR(INDIRECT("CICLO_EM_EXECUCAO!K"&amp;(ROW()+10))),"CICLO_EM_EXECUCAO AUSENTE",INDIRECT("CICLO_EM_EXECUCAO!K"&amp;(ROW()+10))))</f>
        <v/>
      </c>
    </row>
    <row r="35">
      <c r="A35" s="116">
        <f>IF(AND(itens_Remanesc!A34="",itens_Remanesc!A33&lt;&gt;"",COUNTIF(itens_Remanesc!A35:$A$200,"&lt;&gt;")=0),"TOTAL",IF(itens_Remanesc!A34="","",itens_Remanesc!A34))</f>
        <v/>
      </c>
      <c r="B35" s="355">
        <f>IF(OR(historico_VU!A34="",historico_VU!C34=""),"",historico_VU!C34)</f>
        <v/>
      </c>
      <c r="C35" s="118">
        <f>IF(posicao_contratual!A34="","",posicao_contratual!G34)</f>
        <v/>
      </c>
      <c r="D35" s="355">
        <f>IF(A35="TOTAL",ROUND(SUM($D$3:D34),2),IF(OR(A35="",B35="",C35=""),"",ROUND(B35*C35,2)))</f>
        <v/>
      </c>
      <c r="E35" s="356">
        <f>IF(OR(historico_VU!A34="",historico_VU!D34=""),"",historico_VU!D34)</f>
        <v/>
      </c>
      <c r="F35" s="120">
        <f>IF(posicao_contratual!A34="","",posicao_contratual!K34)</f>
        <v/>
      </c>
      <c r="G35" s="356">
        <f>IF(A35="TOTAL",ROUND(SUM($G$3:G34),2),IF(OR(A35="",E35="",F35=""),"",ROUND(E35*F35,2)))</f>
        <v/>
      </c>
      <c r="H35" s="355">
        <f>IF(OR(historico_VU!A34="",historico_VU!E34=""),"",historico_VU!E34)</f>
        <v/>
      </c>
      <c r="I35" s="118">
        <f>IF(posicao_contratual!A34="","",posicao_contratual!O34)</f>
        <v/>
      </c>
      <c r="J35" s="355">
        <f>IF(A35="TOTAL",ROUND(SUM($J$3:J34),2),IF(OR(A35="",H35="",I35=""),"",ROUND(H35*I35,2)))</f>
        <v/>
      </c>
      <c r="K35" s="356">
        <f>IF(OR(historico_VU!A34="",historico_VU!F34=""),"",historico_VU!F34)</f>
        <v/>
      </c>
      <c r="L35" s="120">
        <f>IF(posicao_contratual!A34="","",posicao_contratual!S34)</f>
        <v/>
      </c>
      <c r="M35" s="356">
        <f>IF(A35="TOTAL",ROUND(SUM($M$3:M34),2),IF(OR(A35="",K35="",L35=""),"",ROUND(K35*L35,2)))</f>
        <v/>
      </c>
      <c r="N35" s="355">
        <f>IF(OR(historico_VU!A34="",historico_VU!G34=""),"",historico_VU!G34)</f>
        <v/>
      </c>
      <c r="O35" s="118">
        <f>IF(posicao_contratual!A34="","",posicao_contratual!W34)</f>
        <v/>
      </c>
      <c r="P35" s="355">
        <f>IF(A35="TOTAL",ROUND(SUM($P$3:P34),2),IF(OR(A35="",N35="",O35=""),"",ROUND(N35*O35,2)))</f>
        <v/>
      </c>
      <c r="Q35" s="195">
        <f>IF($A35="","",IF(ISERROR(INDIRECT("CICLO_EM_EXECUCAO!$D$5")),"",INDIRECT("CICLO_EM_EXECUCAO!$D$5")))</f>
        <v/>
      </c>
      <c r="R35">
        <f>IF($A35="","",IF(MEMORIA_RESULTADOS!$W$46="","","C"&amp;MEMORIA_RESULTADOS!$W$46))</f>
        <v/>
      </c>
      <c r="S35" s="273">
        <f>IF($A35="","",IF(ISERROR(INDIRECT("CICLO_EM_EXECUCAO!B"&amp;(ROW()+10))),"",INDIRECT("CICLO_EM_EXECUCAO!B"&amp;(ROW()+10))))</f>
        <v/>
      </c>
      <c r="T35" s="273">
        <f>IF($A35="","",IF(ISERROR(INDIRECT("CICLO_EM_EXECUCAO!D"&amp;(ROW()+10))),"",INDIRECT("CICLO_EM_EXECUCAO!D"&amp;(ROW()+10))))</f>
        <v/>
      </c>
      <c r="U35" s="273">
        <f>IF($A35="","",IF(ISERROR(INDIRECT("CICLO_EM_EXECUCAO!C"&amp;(ROW()+10))),"",INDIRECT("CICLO_EM_EXECUCAO!C"&amp;(ROW()+10))))</f>
        <v/>
      </c>
      <c r="V35" s="213">
        <f>IF($A35="","",IF(ISERROR(INDIRECT("CICLO_EM_EXECUCAO!E"&amp;(ROW()+10))),"",INDIRECT("CICLO_EM_EXECUCAO!E"&amp;(ROW()+10))))</f>
        <v/>
      </c>
      <c r="W35" s="213">
        <f>IF($A35="","",IF(ISERROR(INDIRECT("CICLO_EM_EXECUCAO!F"&amp;(ROW()+10))),"",INDIRECT("CICLO_EM_EXECUCAO!F"&amp;(ROW()+10))))</f>
        <v/>
      </c>
      <c r="X35" s="213">
        <f>IF($A35="","",IF(ISERROR(INDIRECT("CICLO_EM_EXECUCAO!G"&amp;(ROW()+10))),"",INDIRECT("CICLO_EM_EXECUCAO!G"&amp;(ROW()+10))))</f>
        <v/>
      </c>
      <c r="Y35">
        <f>IF($A35="","",IF(ISERROR(INDIRECT("CICLO_EM_EXECUCAO!K"&amp;(ROW()+10))),"CICLO_EM_EXECUCAO AUSENTE",INDIRECT("CICLO_EM_EXECUCAO!K"&amp;(ROW()+10))))</f>
        <v/>
      </c>
    </row>
    <row r="36">
      <c r="A36" s="116">
        <f>IF(AND(itens_Remanesc!A35="",itens_Remanesc!A34&lt;&gt;"",COUNTIF(itens_Remanesc!A36:$A$200,"&lt;&gt;")=0),"TOTAL",IF(itens_Remanesc!A35="","",itens_Remanesc!A35))</f>
        <v/>
      </c>
      <c r="B36" s="355">
        <f>IF(OR(historico_VU!A35="",historico_VU!C35=""),"",historico_VU!C35)</f>
        <v/>
      </c>
      <c r="C36" s="118">
        <f>IF(posicao_contratual!A35="","",posicao_contratual!G35)</f>
        <v/>
      </c>
      <c r="D36" s="355">
        <f>IF(A36="TOTAL",ROUND(SUM($D$3:D35),2),IF(OR(A36="",B36="",C36=""),"",ROUND(B36*C36,2)))</f>
        <v/>
      </c>
      <c r="E36" s="356">
        <f>IF(OR(historico_VU!A35="",historico_VU!D35=""),"",historico_VU!D35)</f>
        <v/>
      </c>
      <c r="F36" s="120">
        <f>IF(posicao_contratual!A35="","",posicao_contratual!K35)</f>
        <v/>
      </c>
      <c r="G36" s="356">
        <f>IF(A36="TOTAL",ROUND(SUM($G$3:G35),2),IF(OR(A36="",E36="",F36=""),"",ROUND(E36*F36,2)))</f>
        <v/>
      </c>
      <c r="H36" s="355">
        <f>IF(OR(historico_VU!A35="",historico_VU!E35=""),"",historico_VU!E35)</f>
        <v/>
      </c>
      <c r="I36" s="118">
        <f>IF(posicao_contratual!A35="","",posicao_contratual!O35)</f>
        <v/>
      </c>
      <c r="J36" s="355">
        <f>IF(A36="TOTAL",ROUND(SUM($J$3:J35),2),IF(OR(A36="",H36="",I36=""),"",ROUND(H36*I36,2)))</f>
        <v/>
      </c>
      <c r="K36" s="356">
        <f>IF(OR(historico_VU!A35="",historico_VU!F35=""),"",historico_VU!F35)</f>
        <v/>
      </c>
      <c r="L36" s="120">
        <f>IF(posicao_contratual!A35="","",posicao_contratual!S35)</f>
        <v/>
      </c>
      <c r="M36" s="356">
        <f>IF(A36="TOTAL",ROUND(SUM($M$3:M35),2),IF(OR(A36="",K36="",L36=""),"",ROUND(K36*L36,2)))</f>
        <v/>
      </c>
      <c r="N36" s="355">
        <f>IF(OR(historico_VU!A35="",historico_VU!G35=""),"",historico_VU!G35)</f>
        <v/>
      </c>
      <c r="O36" s="118">
        <f>IF(posicao_contratual!A35="","",posicao_contratual!W35)</f>
        <v/>
      </c>
      <c r="P36" s="355">
        <f>IF(A36="TOTAL",ROUND(SUM($P$3:P35),2),IF(OR(A36="",N36="",O36=""),"",ROUND(N36*O36,2)))</f>
        <v/>
      </c>
      <c r="Q36" s="195">
        <f>IF($A36="","",IF(ISERROR(INDIRECT("CICLO_EM_EXECUCAO!$D$5")),"",INDIRECT("CICLO_EM_EXECUCAO!$D$5")))</f>
        <v/>
      </c>
      <c r="R36">
        <f>IF($A36="","",IF(MEMORIA_RESULTADOS!$W$46="","","C"&amp;MEMORIA_RESULTADOS!$W$46))</f>
        <v/>
      </c>
      <c r="S36" s="273">
        <f>IF($A36="","",IF(ISERROR(INDIRECT("CICLO_EM_EXECUCAO!B"&amp;(ROW()+10))),"",INDIRECT("CICLO_EM_EXECUCAO!B"&amp;(ROW()+10))))</f>
        <v/>
      </c>
      <c r="T36" s="273">
        <f>IF($A36="","",IF(ISERROR(INDIRECT("CICLO_EM_EXECUCAO!D"&amp;(ROW()+10))),"",INDIRECT("CICLO_EM_EXECUCAO!D"&amp;(ROW()+10))))</f>
        <v/>
      </c>
      <c r="U36" s="273">
        <f>IF($A36="","",IF(ISERROR(INDIRECT("CICLO_EM_EXECUCAO!C"&amp;(ROW()+10))),"",INDIRECT("CICLO_EM_EXECUCAO!C"&amp;(ROW()+10))))</f>
        <v/>
      </c>
      <c r="V36" s="213">
        <f>IF($A36="","",IF(ISERROR(INDIRECT("CICLO_EM_EXECUCAO!E"&amp;(ROW()+10))),"",INDIRECT("CICLO_EM_EXECUCAO!E"&amp;(ROW()+10))))</f>
        <v/>
      </c>
      <c r="W36" s="213">
        <f>IF($A36="","",IF(ISERROR(INDIRECT("CICLO_EM_EXECUCAO!F"&amp;(ROW()+10))),"",INDIRECT("CICLO_EM_EXECUCAO!F"&amp;(ROW()+10))))</f>
        <v/>
      </c>
      <c r="X36" s="213">
        <f>IF($A36="","",IF(ISERROR(INDIRECT("CICLO_EM_EXECUCAO!G"&amp;(ROW()+10))),"",INDIRECT("CICLO_EM_EXECUCAO!G"&amp;(ROW()+10))))</f>
        <v/>
      </c>
      <c r="Y36">
        <f>IF($A36="","",IF(ISERROR(INDIRECT("CICLO_EM_EXECUCAO!K"&amp;(ROW()+10))),"CICLO_EM_EXECUCAO AUSENTE",INDIRECT("CICLO_EM_EXECUCAO!K"&amp;(ROW()+10))))</f>
        <v/>
      </c>
    </row>
    <row r="37">
      <c r="A37" s="116">
        <f>IF(AND(itens_Remanesc!A36="",itens_Remanesc!A35&lt;&gt;"",COUNTIF(itens_Remanesc!A37:$A$200,"&lt;&gt;")=0),"TOTAL",IF(itens_Remanesc!A36="","",itens_Remanesc!A36))</f>
        <v/>
      </c>
      <c r="B37" s="355">
        <f>IF(OR(historico_VU!A36="",historico_VU!C36=""),"",historico_VU!C36)</f>
        <v/>
      </c>
      <c r="C37" s="118">
        <f>IF(posicao_contratual!A36="","",posicao_contratual!G36)</f>
        <v/>
      </c>
      <c r="D37" s="355">
        <f>IF(A37="TOTAL",ROUND(SUM($D$3:D36),2),IF(OR(A37="",B37="",C37=""),"",ROUND(B37*C37,2)))</f>
        <v/>
      </c>
      <c r="E37" s="356">
        <f>IF(OR(historico_VU!A36="",historico_VU!D36=""),"",historico_VU!D36)</f>
        <v/>
      </c>
      <c r="F37" s="120">
        <f>IF(posicao_contratual!A36="","",posicao_contratual!K36)</f>
        <v/>
      </c>
      <c r="G37" s="356">
        <f>IF(A37="TOTAL",ROUND(SUM($G$3:G36),2),IF(OR(A37="",E37="",F37=""),"",ROUND(E37*F37,2)))</f>
        <v/>
      </c>
      <c r="H37" s="355">
        <f>IF(OR(historico_VU!A36="",historico_VU!E36=""),"",historico_VU!E36)</f>
        <v/>
      </c>
      <c r="I37" s="118">
        <f>IF(posicao_contratual!A36="","",posicao_contratual!O36)</f>
        <v/>
      </c>
      <c r="J37" s="355">
        <f>IF(A37="TOTAL",ROUND(SUM($J$3:J36),2),IF(OR(A37="",H37="",I37=""),"",ROUND(H37*I37,2)))</f>
        <v/>
      </c>
      <c r="K37" s="356">
        <f>IF(OR(historico_VU!A36="",historico_VU!F36=""),"",historico_VU!F36)</f>
        <v/>
      </c>
      <c r="L37" s="120">
        <f>IF(posicao_contratual!A36="","",posicao_contratual!S36)</f>
        <v/>
      </c>
      <c r="M37" s="356">
        <f>IF(A37="TOTAL",ROUND(SUM($M$3:M36),2),IF(OR(A37="",K37="",L37=""),"",ROUND(K37*L37,2)))</f>
        <v/>
      </c>
      <c r="N37" s="355">
        <f>IF(OR(historico_VU!A36="",historico_VU!G36=""),"",historico_VU!G36)</f>
        <v/>
      </c>
      <c r="O37" s="118">
        <f>IF(posicao_contratual!A36="","",posicao_contratual!W36)</f>
        <v/>
      </c>
      <c r="P37" s="355">
        <f>IF(A37="TOTAL",ROUND(SUM($P$3:P36),2),IF(OR(A37="",N37="",O37=""),"",ROUND(N37*O37,2)))</f>
        <v/>
      </c>
      <c r="Q37" s="195">
        <f>IF($A37="","",IF(ISERROR(INDIRECT("CICLO_EM_EXECUCAO!$D$5")),"",INDIRECT("CICLO_EM_EXECUCAO!$D$5")))</f>
        <v/>
      </c>
      <c r="R37">
        <f>IF($A37="","",IF(MEMORIA_RESULTADOS!$W$46="","","C"&amp;MEMORIA_RESULTADOS!$W$46))</f>
        <v/>
      </c>
      <c r="S37" s="273">
        <f>IF($A37="","",IF(ISERROR(INDIRECT("CICLO_EM_EXECUCAO!B"&amp;(ROW()+10))),"",INDIRECT("CICLO_EM_EXECUCAO!B"&amp;(ROW()+10))))</f>
        <v/>
      </c>
      <c r="T37" s="273">
        <f>IF($A37="","",IF(ISERROR(INDIRECT("CICLO_EM_EXECUCAO!D"&amp;(ROW()+10))),"",INDIRECT("CICLO_EM_EXECUCAO!D"&amp;(ROW()+10))))</f>
        <v/>
      </c>
      <c r="U37" s="273">
        <f>IF($A37="","",IF(ISERROR(INDIRECT("CICLO_EM_EXECUCAO!C"&amp;(ROW()+10))),"",INDIRECT("CICLO_EM_EXECUCAO!C"&amp;(ROW()+10))))</f>
        <v/>
      </c>
      <c r="V37" s="213">
        <f>IF($A37="","",IF(ISERROR(INDIRECT("CICLO_EM_EXECUCAO!E"&amp;(ROW()+10))),"",INDIRECT("CICLO_EM_EXECUCAO!E"&amp;(ROW()+10))))</f>
        <v/>
      </c>
      <c r="W37" s="213">
        <f>IF($A37="","",IF(ISERROR(INDIRECT("CICLO_EM_EXECUCAO!F"&amp;(ROW()+10))),"",INDIRECT("CICLO_EM_EXECUCAO!F"&amp;(ROW()+10))))</f>
        <v/>
      </c>
      <c r="X37" s="213">
        <f>IF($A37="","",IF(ISERROR(INDIRECT("CICLO_EM_EXECUCAO!G"&amp;(ROW()+10))),"",INDIRECT("CICLO_EM_EXECUCAO!G"&amp;(ROW()+10))))</f>
        <v/>
      </c>
      <c r="Y37">
        <f>IF($A37="","",IF(ISERROR(INDIRECT("CICLO_EM_EXECUCAO!K"&amp;(ROW()+10))),"CICLO_EM_EXECUCAO AUSENTE",INDIRECT("CICLO_EM_EXECUCAO!K"&amp;(ROW()+10))))</f>
        <v/>
      </c>
    </row>
    <row r="38">
      <c r="A38" s="116">
        <f>IF(AND(itens_Remanesc!A37="",itens_Remanesc!A36&lt;&gt;"",COUNTIF(itens_Remanesc!A38:$A$200,"&lt;&gt;")=0),"TOTAL",IF(itens_Remanesc!A37="","",itens_Remanesc!A37))</f>
        <v/>
      </c>
      <c r="B38" s="355">
        <f>IF(OR(historico_VU!A37="",historico_VU!C37=""),"",historico_VU!C37)</f>
        <v/>
      </c>
      <c r="C38" s="118">
        <f>IF(posicao_contratual!A37="","",posicao_contratual!G37)</f>
        <v/>
      </c>
      <c r="D38" s="355">
        <f>IF(A38="TOTAL",ROUND(SUM($D$3:D37),2),IF(OR(A38="",B38="",C38=""),"",ROUND(B38*C38,2)))</f>
        <v/>
      </c>
      <c r="E38" s="356">
        <f>IF(OR(historico_VU!A37="",historico_VU!D37=""),"",historico_VU!D37)</f>
        <v/>
      </c>
      <c r="F38" s="120">
        <f>IF(posicao_contratual!A37="","",posicao_contratual!K37)</f>
        <v/>
      </c>
      <c r="G38" s="356">
        <f>IF(A38="TOTAL",ROUND(SUM($G$3:G37),2),IF(OR(A38="",E38="",F38=""),"",ROUND(E38*F38,2)))</f>
        <v/>
      </c>
      <c r="H38" s="355">
        <f>IF(OR(historico_VU!A37="",historico_VU!E37=""),"",historico_VU!E37)</f>
        <v/>
      </c>
      <c r="I38" s="118">
        <f>IF(posicao_contratual!A37="","",posicao_contratual!O37)</f>
        <v/>
      </c>
      <c r="J38" s="355">
        <f>IF(A38="TOTAL",ROUND(SUM($J$3:J37),2),IF(OR(A38="",H38="",I38=""),"",ROUND(H38*I38,2)))</f>
        <v/>
      </c>
      <c r="K38" s="356">
        <f>IF(OR(historico_VU!A37="",historico_VU!F37=""),"",historico_VU!F37)</f>
        <v/>
      </c>
      <c r="L38" s="120">
        <f>IF(posicao_contratual!A37="","",posicao_contratual!S37)</f>
        <v/>
      </c>
      <c r="M38" s="356">
        <f>IF(A38="TOTAL",ROUND(SUM($M$3:M37),2),IF(OR(A38="",K38="",L38=""),"",ROUND(K38*L38,2)))</f>
        <v/>
      </c>
      <c r="N38" s="355">
        <f>IF(OR(historico_VU!A37="",historico_VU!G37=""),"",historico_VU!G37)</f>
        <v/>
      </c>
      <c r="O38" s="118">
        <f>IF(posicao_contratual!A37="","",posicao_contratual!W37)</f>
        <v/>
      </c>
      <c r="P38" s="355">
        <f>IF(A38="TOTAL",ROUND(SUM($P$3:P37),2),IF(OR(A38="",N38="",O38=""),"",ROUND(N38*O38,2)))</f>
        <v/>
      </c>
      <c r="Q38" s="195">
        <f>IF($A38="","",IF(ISERROR(INDIRECT("CICLO_EM_EXECUCAO!$D$5")),"",INDIRECT("CICLO_EM_EXECUCAO!$D$5")))</f>
        <v/>
      </c>
      <c r="R38">
        <f>IF($A38="","",IF(MEMORIA_RESULTADOS!$W$46="","","C"&amp;MEMORIA_RESULTADOS!$W$46))</f>
        <v/>
      </c>
      <c r="S38" s="273">
        <f>IF($A38="","",IF(ISERROR(INDIRECT("CICLO_EM_EXECUCAO!B"&amp;(ROW()+10))),"",INDIRECT("CICLO_EM_EXECUCAO!B"&amp;(ROW()+10))))</f>
        <v/>
      </c>
      <c r="T38" s="273">
        <f>IF($A38="","",IF(ISERROR(INDIRECT("CICLO_EM_EXECUCAO!D"&amp;(ROW()+10))),"",INDIRECT("CICLO_EM_EXECUCAO!D"&amp;(ROW()+10))))</f>
        <v/>
      </c>
      <c r="U38" s="273">
        <f>IF($A38="","",IF(ISERROR(INDIRECT("CICLO_EM_EXECUCAO!C"&amp;(ROW()+10))),"",INDIRECT("CICLO_EM_EXECUCAO!C"&amp;(ROW()+10))))</f>
        <v/>
      </c>
      <c r="V38" s="213">
        <f>IF($A38="","",IF(ISERROR(INDIRECT("CICLO_EM_EXECUCAO!E"&amp;(ROW()+10))),"",INDIRECT("CICLO_EM_EXECUCAO!E"&amp;(ROW()+10))))</f>
        <v/>
      </c>
      <c r="W38" s="213">
        <f>IF($A38="","",IF(ISERROR(INDIRECT("CICLO_EM_EXECUCAO!F"&amp;(ROW()+10))),"",INDIRECT("CICLO_EM_EXECUCAO!F"&amp;(ROW()+10))))</f>
        <v/>
      </c>
      <c r="X38" s="213">
        <f>IF($A38="","",IF(ISERROR(INDIRECT("CICLO_EM_EXECUCAO!G"&amp;(ROW()+10))),"",INDIRECT("CICLO_EM_EXECUCAO!G"&amp;(ROW()+10))))</f>
        <v/>
      </c>
      <c r="Y38">
        <f>IF($A38="","",IF(ISERROR(INDIRECT("CICLO_EM_EXECUCAO!K"&amp;(ROW()+10))),"CICLO_EM_EXECUCAO AUSENTE",INDIRECT("CICLO_EM_EXECUCAO!K"&amp;(ROW()+10))))</f>
        <v/>
      </c>
    </row>
    <row r="39">
      <c r="A39" s="116">
        <f>IF(AND(itens_Remanesc!A38="",itens_Remanesc!A37&lt;&gt;"",COUNTIF(itens_Remanesc!A39:$A$200,"&lt;&gt;")=0),"TOTAL",IF(itens_Remanesc!A38="","",itens_Remanesc!A38))</f>
        <v/>
      </c>
      <c r="B39" s="355">
        <f>IF(OR(historico_VU!A38="",historico_VU!C38=""),"",historico_VU!C38)</f>
        <v/>
      </c>
      <c r="C39" s="118">
        <f>IF(posicao_contratual!A38="","",posicao_contratual!G38)</f>
        <v/>
      </c>
      <c r="D39" s="355">
        <f>IF(A39="TOTAL",ROUND(SUM($D$3:D38),2),IF(OR(A39="",B39="",C39=""),"",ROUND(B39*C39,2)))</f>
        <v/>
      </c>
      <c r="E39" s="356">
        <f>IF(OR(historico_VU!A38="",historico_VU!D38=""),"",historico_VU!D38)</f>
        <v/>
      </c>
      <c r="F39" s="120">
        <f>IF(posicao_contratual!A38="","",posicao_contratual!K38)</f>
        <v/>
      </c>
      <c r="G39" s="356">
        <f>IF(A39="TOTAL",ROUND(SUM($G$3:G38),2),IF(OR(A39="",E39="",F39=""),"",ROUND(E39*F39,2)))</f>
        <v/>
      </c>
      <c r="H39" s="355">
        <f>IF(OR(historico_VU!A38="",historico_VU!E38=""),"",historico_VU!E38)</f>
        <v/>
      </c>
      <c r="I39" s="118">
        <f>IF(posicao_contratual!A38="","",posicao_contratual!O38)</f>
        <v/>
      </c>
      <c r="J39" s="355">
        <f>IF(A39="TOTAL",ROUND(SUM($J$3:J38),2),IF(OR(A39="",H39="",I39=""),"",ROUND(H39*I39,2)))</f>
        <v/>
      </c>
      <c r="K39" s="356">
        <f>IF(OR(historico_VU!A38="",historico_VU!F38=""),"",historico_VU!F38)</f>
        <v/>
      </c>
      <c r="L39" s="120">
        <f>IF(posicao_contratual!A38="","",posicao_contratual!S38)</f>
        <v/>
      </c>
      <c r="M39" s="356">
        <f>IF(A39="TOTAL",ROUND(SUM($M$3:M38),2),IF(OR(A39="",K39="",L39=""),"",ROUND(K39*L39,2)))</f>
        <v/>
      </c>
      <c r="N39" s="355">
        <f>IF(OR(historico_VU!A38="",historico_VU!G38=""),"",historico_VU!G38)</f>
        <v/>
      </c>
      <c r="O39" s="118">
        <f>IF(posicao_contratual!A38="","",posicao_contratual!W38)</f>
        <v/>
      </c>
      <c r="P39" s="355">
        <f>IF(A39="TOTAL",ROUND(SUM($P$3:P38),2),IF(OR(A39="",N39="",O39=""),"",ROUND(N39*O39,2)))</f>
        <v/>
      </c>
      <c r="Q39" s="195">
        <f>IF($A39="","",IF(ISERROR(INDIRECT("CICLO_EM_EXECUCAO!$D$5")),"",INDIRECT("CICLO_EM_EXECUCAO!$D$5")))</f>
        <v/>
      </c>
      <c r="R39">
        <f>IF($A39="","",IF(MEMORIA_RESULTADOS!$W$46="","","C"&amp;MEMORIA_RESULTADOS!$W$46))</f>
        <v/>
      </c>
      <c r="S39" s="273">
        <f>IF($A39="","",IF(ISERROR(INDIRECT("CICLO_EM_EXECUCAO!B"&amp;(ROW()+10))),"",INDIRECT("CICLO_EM_EXECUCAO!B"&amp;(ROW()+10))))</f>
        <v/>
      </c>
      <c r="T39" s="273">
        <f>IF($A39="","",IF(ISERROR(INDIRECT("CICLO_EM_EXECUCAO!D"&amp;(ROW()+10))),"",INDIRECT("CICLO_EM_EXECUCAO!D"&amp;(ROW()+10))))</f>
        <v/>
      </c>
      <c r="U39" s="273">
        <f>IF($A39="","",IF(ISERROR(INDIRECT("CICLO_EM_EXECUCAO!C"&amp;(ROW()+10))),"",INDIRECT("CICLO_EM_EXECUCAO!C"&amp;(ROW()+10))))</f>
        <v/>
      </c>
      <c r="V39" s="213">
        <f>IF($A39="","",IF(ISERROR(INDIRECT("CICLO_EM_EXECUCAO!E"&amp;(ROW()+10))),"",INDIRECT("CICLO_EM_EXECUCAO!E"&amp;(ROW()+10))))</f>
        <v/>
      </c>
      <c r="W39" s="213">
        <f>IF($A39="","",IF(ISERROR(INDIRECT("CICLO_EM_EXECUCAO!F"&amp;(ROW()+10))),"",INDIRECT("CICLO_EM_EXECUCAO!F"&amp;(ROW()+10))))</f>
        <v/>
      </c>
      <c r="X39" s="213">
        <f>IF($A39="","",IF(ISERROR(INDIRECT("CICLO_EM_EXECUCAO!G"&amp;(ROW()+10))),"",INDIRECT("CICLO_EM_EXECUCAO!G"&amp;(ROW()+10))))</f>
        <v/>
      </c>
      <c r="Y39">
        <f>IF($A39="","",IF(ISERROR(INDIRECT("CICLO_EM_EXECUCAO!K"&amp;(ROW()+10))),"CICLO_EM_EXECUCAO AUSENTE",INDIRECT("CICLO_EM_EXECUCAO!K"&amp;(ROW()+10))))</f>
        <v/>
      </c>
    </row>
    <row r="40">
      <c r="A40" s="116">
        <f>IF(AND(itens_Remanesc!A39="",itens_Remanesc!A38&lt;&gt;"",COUNTIF(itens_Remanesc!A40:$A$200,"&lt;&gt;")=0),"TOTAL",IF(itens_Remanesc!A39="","",itens_Remanesc!A39))</f>
        <v/>
      </c>
      <c r="B40" s="355">
        <f>IF(OR(historico_VU!A39="",historico_VU!C39=""),"",historico_VU!C39)</f>
        <v/>
      </c>
      <c r="C40" s="118">
        <f>IF(posicao_contratual!A39="","",posicao_contratual!G39)</f>
        <v/>
      </c>
      <c r="D40" s="355">
        <f>IF(A40="TOTAL",ROUND(SUM($D$3:D39),2),IF(OR(A40="",B40="",C40=""),"",ROUND(B40*C40,2)))</f>
        <v/>
      </c>
      <c r="E40" s="356">
        <f>IF(OR(historico_VU!A39="",historico_VU!D39=""),"",historico_VU!D39)</f>
        <v/>
      </c>
      <c r="F40" s="120">
        <f>IF(posicao_contratual!A39="","",posicao_contratual!K39)</f>
        <v/>
      </c>
      <c r="G40" s="356">
        <f>IF(A40="TOTAL",ROUND(SUM($G$3:G39),2),IF(OR(A40="",E40="",F40=""),"",ROUND(E40*F40,2)))</f>
        <v/>
      </c>
      <c r="H40" s="355">
        <f>IF(OR(historico_VU!A39="",historico_VU!E39=""),"",historico_VU!E39)</f>
        <v/>
      </c>
      <c r="I40" s="118">
        <f>IF(posicao_contratual!A39="","",posicao_contratual!O39)</f>
        <v/>
      </c>
      <c r="J40" s="355">
        <f>IF(A40="TOTAL",ROUND(SUM($J$3:J39),2),IF(OR(A40="",H40="",I40=""),"",ROUND(H40*I40,2)))</f>
        <v/>
      </c>
      <c r="K40" s="356">
        <f>IF(OR(historico_VU!A39="",historico_VU!F39=""),"",historico_VU!F39)</f>
        <v/>
      </c>
      <c r="L40" s="120">
        <f>IF(posicao_contratual!A39="","",posicao_contratual!S39)</f>
        <v/>
      </c>
      <c r="M40" s="356">
        <f>IF(A40="TOTAL",ROUND(SUM($M$3:M39),2),IF(OR(A40="",K40="",L40=""),"",ROUND(K40*L40,2)))</f>
        <v/>
      </c>
      <c r="N40" s="355">
        <f>IF(OR(historico_VU!A39="",historico_VU!G39=""),"",historico_VU!G39)</f>
        <v/>
      </c>
      <c r="O40" s="118">
        <f>IF(posicao_contratual!A39="","",posicao_contratual!W39)</f>
        <v/>
      </c>
      <c r="P40" s="355">
        <f>IF(A40="TOTAL",ROUND(SUM($P$3:P39),2),IF(OR(A40="",N40="",O40=""),"",ROUND(N40*O40,2)))</f>
        <v/>
      </c>
      <c r="Q40" s="195">
        <f>IF($A40="","",IF(ISERROR(INDIRECT("CICLO_EM_EXECUCAO!$D$5")),"",INDIRECT("CICLO_EM_EXECUCAO!$D$5")))</f>
        <v/>
      </c>
      <c r="R40">
        <f>IF($A40="","",IF(MEMORIA_RESULTADOS!$W$46="","","C"&amp;MEMORIA_RESULTADOS!$W$46))</f>
        <v/>
      </c>
      <c r="S40" s="273">
        <f>IF($A40="","",IF(ISERROR(INDIRECT("CICLO_EM_EXECUCAO!B"&amp;(ROW()+10))),"",INDIRECT("CICLO_EM_EXECUCAO!B"&amp;(ROW()+10))))</f>
        <v/>
      </c>
      <c r="T40" s="273">
        <f>IF($A40="","",IF(ISERROR(INDIRECT("CICLO_EM_EXECUCAO!D"&amp;(ROW()+10))),"",INDIRECT("CICLO_EM_EXECUCAO!D"&amp;(ROW()+10))))</f>
        <v/>
      </c>
      <c r="U40" s="273">
        <f>IF($A40="","",IF(ISERROR(INDIRECT("CICLO_EM_EXECUCAO!C"&amp;(ROW()+10))),"",INDIRECT("CICLO_EM_EXECUCAO!C"&amp;(ROW()+10))))</f>
        <v/>
      </c>
      <c r="V40" s="213">
        <f>IF($A40="","",IF(ISERROR(INDIRECT("CICLO_EM_EXECUCAO!E"&amp;(ROW()+10))),"",INDIRECT("CICLO_EM_EXECUCAO!E"&amp;(ROW()+10))))</f>
        <v/>
      </c>
      <c r="W40" s="213">
        <f>IF($A40="","",IF(ISERROR(INDIRECT("CICLO_EM_EXECUCAO!F"&amp;(ROW()+10))),"",INDIRECT("CICLO_EM_EXECUCAO!F"&amp;(ROW()+10))))</f>
        <v/>
      </c>
      <c r="X40" s="213">
        <f>IF($A40="","",IF(ISERROR(INDIRECT("CICLO_EM_EXECUCAO!G"&amp;(ROW()+10))),"",INDIRECT("CICLO_EM_EXECUCAO!G"&amp;(ROW()+10))))</f>
        <v/>
      </c>
      <c r="Y40">
        <f>IF($A40="","",IF(ISERROR(INDIRECT("CICLO_EM_EXECUCAO!K"&amp;(ROW()+10))),"CICLO_EM_EXECUCAO AUSENTE",INDIRECT("CICLO_EM_EXECUCAO!K"&amp;(ROW()+10))))</f>
        <v/>
      </c>
    </row>
    <row r="41">
      <c r="A41" s="116">
        <f>IF(AND(itens_Remanesc!A40="",itens_Remanesc!A39&lt;&gt;"",COUNTIF(itens_Remanesc!A41:$A$200,"&lt;&gt;")=0),"TOTAL",IF(itens_Remanesc!A40="","",itens_Remanesc!A40))</f>
        <v/>
      </c>
      <c r="B41" s="355">
        <f>IF(OR(historico_VU!A40="",historico_VU!C40=""),"",historico_VU!C40)</f>
        <v/>
      </c>
      <c r="C41" s="118">
        <f>IF(posicao_contratual!A40="","",posicao_contratual!G40)</f>
        <v/>
      </c>
      <c r="D41" s="355">
        <f>IF(A41="TOTAL",ROUND(SUM($D$3:D40),2),IF(OR(A41="",B41="",C41=""),"",ROUND(B41*C41,2)))</f>
        <v/>
      </c>
      <c r="E41" s="356">
        <f>IF(OR(historico_VU!A40="",historico_VU!D40=""),"",historico_VU!D40)</f>
        <v/>
      </c>
      <c r="F41" s="120">
        <f>IF(posicao_contratual!A40="","",posicao_contratual!K40)</f>
        <v/>
      </c>
      <c r="G41" s="356">
        <f>IF(A41="TOTAL",ROUND(SUM($G$3:G40),2),IF(OR(A41="",E41="",F41=""),"",ROUND(E41*F41,2)))</f>
        <v/>
      </c>
      <c r="H41" s="355">
        <f>IF(OR(historico_VU!A40="",historico_VU!E40=""),"",historico_VU!E40)</f>
        <v/>
      </c>
      <c r="I41" s="118">
        <f>IF(posicao_contratual!A40="","",posicao_contratual!O40)</f>
        <v/>
      </c>
      <c r="J41" s="355">
        <f>IF(A41="TOTAL",ROUND(SUM($J$3:J40),2),IF(OR(A41="",H41="",I41=""),"",ROUND(H41*I41,2)))</f>
        <v/>
      </c>
      <c r="K41" s="356">
        <f>IF(OR(historico_VU!A40="",historico_VU!F40=""),"",historico_VU!F40)</f>
        <v/>
      </c>
      <c r="L41" s="120">
        <f>IF(posicao_contratual!A40="","",posicao_contratual!S40)</f>
        <v/>
      </c>
      <c r="M41" s="356">
        <f>IF(A41="TOTAL",ROUND(SUM($M$3:M40),2),IF(OR(A41="",K41="",L41=""),"",ROUND(K41*L41,2)))</f>
        <v/>
      </c>
      <c r="N41" s="355">
        <f>IF(OR(historico_VU!A40="",historico_VU!G40=""),"",historico_VU!G40)</f>
        <v/>
      </c>
      <c r="O41" s="118">
        <f>IF(posicao_contratual!A40="","",posicao_contratual!W40)</f>
        <v/>
      </c>
      <c r="P41" s="355">
        <f>IF(A41="TOTAL",ROUND(SUM($P$3:P40),2),IF(OR(A41="",N41="",O41=""),"",ROUND(N41*O41,2)))</f>
        <v/>
      </c>
      <c r="Q41" s="195">
        <f>IF($A41="","",IF(ISERROR(INDIRECT("CICLO_EM_EXECUCAO!$D$5")),"",INDIRECT("CICLO_EM_EXECUCAO!$D$5")))</f>
        <v/>
      </c>
      <c r="R41">
        <f>IF($A41="","",IF(MEMORIA_RESULTADOS!$W$46="","","C"&amp;MEMORIA_RESULTADOS!$W$46))</f>
        <v/>
      </c>
      <c r="S41" s="273">
        <f>IF($A41="","",IF(ISERROR(INDIRECT("CICLO_EM_EXECUCAO!B"&amp;(ROW()+10))),"",INDIRECT("CICLO_EM_EXECUCAO!B"&amp;(ROW()+10))))</f>
        <v/>
      </c>
      <c r="T41" s="273">
        <f>IF($A41="","",IF(ISERROR(INDIRECT("CICLO_EM_EXECUCAO!D"&amp;(ROW()+10))),"",INDIRECT("CICLO_EM_EXECUCAO!D"&amp;(ROW()+10))))</f>
        <v/>
      </c>
      <c r="U41" s="273">
        <f>IF($A41="","",IF(ISERROR(INDIRECT("CICLO_EM_EXECUCAO!C"&amp;(ROW()+10))),"",INDIRECT("CICLO_EM_EXECUCAO!C"&amp;(ROW()+10))))</f>
        <v/>
      </c>
      <c r="V41" s="213">
        <f>IF($A41="","",IF(ISERROR(INDIRECT("CICLO_EM_EXECUCAO!E"&amp;(ROW()+10))),"",INDIRECT("CICLO_EM_EXECUCAO!E"&amp;(ROW()+10))))</f>
        <v/>
      </c>
      <c r="W41" s="213">
        <f>IF($A41="","",IF(ISERROR(INDIRECT("CICLO_EM_EXECUCAO!F"&amp;(ROW()+10))),"",INDIRECT("CICLO_EM_EXECUCAO!F"&amp;(ROW()+10))))</f>
        <v/>
      </c>
      <c r="X41" s="213">
        <f>IF($A41="","",IF(ISERROR(INDIRECT("CICLO_EM_EXECUCAO!G"&amp;(ROW()+10))),"",INDIRECT("CICLO_EM_EXECUCAO!G"&amp;(ROW()+10))))</f>
        <v/>
      </c>
      <c r="Y41">
        <f>IF($A41="","",IF(ISERROR(INDIRECT("CICLO_EM_EXECUCAO!K"&amp;(ROW()+10))),"CICLO_EM_EXECUCAO AUSENTE",INDIRECT("CICLO_EM_EXECUCAO!K"&amp;(ROW()+10))))</f>
        <v/>
      </c>
    </row>
    <row r="42">
      <c r="A42" s="116">
        <f>IF(AND(itens_Remanesc!A41="",itens_Remanesc!A40&lt;&gt;"",COUNTIF(itens_Remanesc!A42:$A$200,"&lt;&gt;")=0),"TOTAL",IF(itens_Remanesc!A41="","",itens_Remanesc!A41))</f>
        <v/>
      </c>
      <c r="B42" s="355">
        <f>IF(OR(historico_VU!A41="",historico_VU!C41=""),"",historico_VU!C41)</f>
        <v/>
      </c>
      <c r="C42" s="118">
        <f>IF(posicao_contratual!A41="","",posicao_contratual!G41)</f>
        <v/>
      </c>
      <c r="D42" s="355">
        <f>IF(A42="TOTAL",ROUND(SUM($D$3:D41),2),IF(OR(A42="",B42="",C42=""),"",ROUND(B42*C42,2)))</f>
        <v/>
      </c>
      <c r="E42" s="356">
        <f>IF(OR(historico_VU!A41="",historico_VU!D41=""),"",historico_VU!D41)</f>
        <v/>
      </c>
      <c r="F42" s="120">
        <f>IF(posicao_contratual!A41="","",posicao_contratual!K41)</f>
        <v/>
      </c>
      <c r="G42" s="356">
        <f>IF(A42="TOTAL",ROUND(SUM($G$3:G41),2),IF(OR(A42="",E42="",F42=""),"",ROUND(E42*F42,2)))</f>
        <v/>
      </c>
      <c r="H42" s="355">
        <f>IF(OR(historico_VU!A41="",historico_VU!E41=""),"",historico_VU!E41)</f>
        <v/>
      </c>
      <c r="I42" s="118">
        <f>IF(posicao_contratual!A41="","",posicao_contratual!O41)</f>
        <v/>
      </c>
      <c r="J42" s="355">
        <f>IF(A42="TOTAL",ROUND(SUM($J$3:J41),2),IF(OR(A42="",H42="",I42=""),"",ROUND(H42*I42,2)))</f>
        <v/>
      </c>
      <c r="K42" s="356">
        <f>IF(OR(historico_VU!A41="",historico_VU!F41=""),"",historico_VU!F41)</f>
        <v/>
      </c>
      <c r="L42" s="120">
        <f>IF(posicao_contratual!A41="","",posicao_contratual!S41)</f>
        <v/>
      </c>
      <c r="M42" s="356">
        <f>IF(A42="TOTAL",ROUND(SUM($M$3:M41),2),IF(OR(A42="",K42="",L42=""),"",ROUND(K42*L42,2)))</f>
        <v/>
      </c>
      <c r="N42" s="355">
        <f>IF(OR(historico_VU!A41="",historico_VU!G41=""),"",historico_VU!G41)</f>
        <v/>
      </c>
      <c r="O42" s="118">
        <f>IF(posicao_contratual!A41="","",posicao_contratual!W41)</f>
        <v/>
      </c>
      <c r="P42" s="355">
        <f>IF(A42="TOTAL",ROUND(SUM($P$3:P41),2),IF(OR(A42="",N42="",O42=""),"",ROUND(N42*O42,2)))</f>
        <v/>
      </c>
      <c r="Q42" s="195">
        <f>IF($A42="","",IF(ISERROR(INDIRECT("CICLO_EM_EXECUCAO!$D$5")),"",INDIRECT("CICLO_EM_EXECUCAO!$D$5")))</f>
        <v/>
      </c>
      <c r="R42">
        <f>IF($A42="","",IF(MEMORIA_RESULTADOS!$W$46="","","C"&amp;MEMORIA_RESULTADOS!$W$46))</f>
        <v/>
      </c>
      <c r="S42" s="273">
        <f>IF($A42="","",IF(ISERROR(INDIRECT("CICLO_EM_EXECUCAO!B"&amp;(ROW()+10))),"",INDIRECT("CICLO_EM_EXECUCAO!B"&amp;(ROW()+10))))</f>
        <v/>
      </c>
      <c r="T42" s="273">
        <f>IF($A42="","",IF(ISERROR(INDIRECT("CICLO_EM_EXECUCAO!D"&amp;(ROW()+10))),"",INDIRECT("CICLO_EM_EXECUCAO!D"&amp;(ROW()+10))))</f>
        <v/>
      </c>
      <c r="U42" s="273">
        <f>IF($A42="","",IF(ISERROR(INDIRECT("CICLO_EM_EXECUCAO!C"&amp;(ROW()+10))),"",INDIRECT("CICLO_EM_EXECUCAO!C"&amp;(ROW()+10))))</f>
        <v/>
      </c>
      <c r="V42" s="213">
        <f>IF($A42="","",IF(ISERROR(INDIRECT("CICLO_EM_EXECUCAO!E"&amp;(ROW()+10))),"",INDIRECT("CICLO_EM_EXECUCAO!E"&amp;(ROW()+10))))</f>
        <v/>
      </c>
      <c r="W42" s="213">
        <f>IF($A42="","",IF(ISERROR(INDIRECT("CICLO_EM_EXECUCAO!F"&amp;(ROW()+10))),"",INDIRECT("CICLO_EM_EXECUCAO!F"&amp;(ROW()+10))))</f>
        <v/>
      </c>
      <c r="X42" s="213">
        <f>IF($A42="","",IF(ISERROR(INDIRECT("CICLO_EM_EXECUCAO!G"&amp;(ROW()+10))),"",INDIRECT("CICLO_EM_EXECUCAO!G"&amp;(ROW()+10))))</f>
        <v/>
      </c>
      <c r="Y42">
        <f>IF($A42="","",IF(ISERROR(INDIRECT("CICLO_EM_EXECUCAO!K"&amp;(ROW()+10))),"CICLO_EM_EXECUCAO AUSENTE",INDIRECT("CICLO_EM_EXECUCAO!K"&amp;(ROW()+10))))</f>
        <v/>
      </c>
    </row>
    <row r="43">
      <c r="A43" s="116">
        <f>IF(AND(itens_Remanesc!A42="",itens_Remanesc!A41&lt;&gt;"",COUNTIF(itens_Remanesc!A43:$A$200,"&lt;&gt;")=0),"TOTAL",IF(itens_Remanesc!A42="","",itens_Remanesc!A42))</f>
        <v/>
      </c>
      <c r="B43" s="355">
        <f>IF(OR(historico_VU!A42="",historico_VU!C42=""),"",historico_VU!C42)</f>
        <v/>
      </c>
      <c r="C43" s="118">
        <f>IF(posicao_contratual!A42="","",posicao_contratual!G42)</f>
        <v/>
      </c>
      <c r="D43" s="355">
        <f>IF(A43="TOTAL",ROUND(SUM($D$3:D42),2),IF(OR(A43="",B43="",C43=""),"",ROUND(B43*C43,2)))</f>
        <v/>
      </c>
      <c r="E43" s="356">
        <f>IF(OR(historico_VU!A42="",historico_VU!D42=""),"",historico_VU!D42)</f>
        <v/>
      </c>
      <c r="F43" s="120">
        <f>IF(posicao_contratual!A42="","",posicao_contratual!K42)</f>
        <v/>
      </c>
      <c r="G43" s="356">
        <f>IF(A43="TOTAL",ROUND(SUM($G$3:G42),2),IF(OR(A43="",E43="",F43=""),"",ROUND(E43*F43,2)))</f>
        <v/>
      </c>
      <c r="H43" s="355">
        <f>IF(OR(historico_VU!A42="",historico_VU!E42=""),"",historico_VU!E42)</f>
        <v/>
      </c>
      <c r="I43" s="118">
        <f>IF(posicao_contratual!A42="","",posicao_contratual!O42)</f>
        <v/>
      </c>
      <c r="J43" s="355">
        <f>IF(A43="TOTAL",ROUND(SUM($J$3:J42),2),IF(OR(A43="",H43="",I43=""),"",ROUND(H43*I43,2)))</f>
        <v/>
      </c>
      <c r="K43" s="356">
        <f>IF(OR(historico_VU!A42="",historico_VU!F42=""),"",historico_VU!F42)</f>
        <v/>
      </c>
      <c r="L43" s="120">
        <f>IF(posicao_contratual!A42="","",posicao_contratual!S42)</f>
        <v/>
      </c>
      <c r="M43" s="356">
        <f>IF(A43="TOTAL",ROUND(SUM($M$3:M42),2),IF(OR(A43="",K43="",L43=""),"",ROUND(K43*L43,2)))</f>
        <v/>
      </c>
      <c r="N43" s="355">
        <f>IF(OR(historico_VU!A42="",historico_VU!G42=""),"",historico_VU!G42)</f>
        <v/>
      </c>
      <c r="O43" s="118">
        <f>IF(posicao_contratual!A42="","",posicao_contratual!W42)</f>
        <v/>
      </c>
      <c r="P43" s="355">
        <f>IF(A43="TOTAL",ROUND(SUM($P$3:P42),2),IF(OR(A43="",N43="",O43=""),"",ROUND(N43*O43,2)))</f>
        <v/>
      </c>
      <c r="Q43" s="195">
        <f>IF($A43="","",IF(ISERROR(INDIRECT("CICLO_EM_EXECUCAO!$D$5")),"",INDIRECT("CICLO_EM_EXECUCAO!$D$5")))</f>
        <v/>
      </c>
      <c r="R43">
        <f>IF($A43="","",IF(MEMORIA_RESULTADOS!$W$46="","","C"&amp;MEMORIA_RESULTADOS!$W$46))</f>
        <v/>
      </c>
      <c r="S43" s="273">
        <f>IF($A43="","",IF(ISERROR(INDIRECT("CICLO_EM_EXECUCAO!B"&amp;(ROW()+10))),"",INDIRECT("CICLO_EM_EXECUCAO!B"&amp;(ROW()+10))))</f>
        <v/>
      </c>
      <c r="T43" s="273">
        <f>IF($A43="","",IF(ISERROR(INDIRECT("CICLO_EM_EXECUCAO!D"&amp;(ROW()+10))),"",INDIRECT("CICLO_EM_EXECUCAO!D"&amp;(ROW()+10))))</f>
        <v/>
      </c>
      <c r="U43" s="273">
        <f>IF($A43="","",IF(ISERROR(INDIRECT("CICLO_EM_EXECUCAO!C"&amp;(ROW()+10))),"",INDIRECT("CICLO_EM_EXECUCAO!C"&amp;(ROW()+10))))</f>
        <v/>
      </c>
      <c r="V43" s="213">
        <f>IF($A43="","",IF(ISERROR(INDIRECT("CICLO_EM_EXECUCAO!E"&amp;(ROW()+10))),"",INDIRECT("CICLO_EM_EXECUCAO!E"&amp;(ROW()+10))))</f>
        <v/>
      </c>
      <c r="W43" s="213">
        <f>IF($A43="","",IF(ISERROR(INDIRECT("CICLO_EM_EXECUCAO!F"&amp;(ROW()+10))),"",INDIRECT("CICLO_EM_EXECUCAO!F"&amp;(ROW()+10))))</f>
        <v/>
      </c>
      <c r="X43" s="213">
        <f>IF($A43="","",IF(ISERROR(INDIRECT("CICLO_EM_EXECUCAO!G"&amp;(ROW()+10))),"",INDIRECT("CICLO_EM_EXECUCAO!G"&amp;(ROW()+10))))</f>
        <v/>
      </c>
      <c r="Y43">
        <f>IF($A43="","",IF(ISERROR(INDIRECT("CICLO_EM_EXECUCAO!K"&amp;(ROW()+10))),"CICLO_EM_EXECUCAO AUSENTE",INDIRECT("CICLO_EM_EXECUCAO!K"&amp;(ROW()+10))))</f>
        <v/>
      </c>
    </row>
    <row r="44">
      <c r="A44" s="116">
        <f>IF(AND(itens_Remanesc!A43="",itens_Remanesc!A42&lt;&gt;"",COUNTIF(itens_Remanesc!A44:$A$200,"&lt;&gt;")=0),"TOTAL",IF(itens_Remanesc!A43="","",itens_Remanesc!A43))</f>
        <v/>
      </c>
      <c r="B44" s="355">
        <f>IF(OR(historico_VU!A43="",historico_VU!C43=""),"",historico_VU!C43)</f>
        <v/>
      </c>
      <c r="C44" s="118">
        <f>IF(posicao_contratual!A43="","",posicao_contratual!G43)</f>
        <v/>
      </c>
      <c r="D44" s="355">
        <f>IF(A44="TOTAL",ROUND(SUM($D$3:D43),2),IF(OR(A44="",B44="",C44=""),"",ROUND(B44*C44,2)))</f>
        <v/>
      </c>
      <c r="E44" s="356">
        <f>IF(OR(historico_VU!A43="",historico_VU!D43=""),"",historico_VU!D43)</f>
        <v/>
      </c>
      <c r="F44" s="120">
        <f>IF(posicao_contratual!A43="","",posicao_contratual!K43)</f>
        <v/>
      </c>
      <c r="G44" s="356">
        <f>IF(A44="TOTAL",ROUND(SUM($G$3:G43),2),IF(OR(A44="",E44="",F44=""),"",ROUND(E44*F44,2)))</f>
        <v/>
      </c>
      <c r="H44" s="355">
        <f>IF(OR(historico_VU!A43="",historico_VU!E43=""),"",historico_VU!E43)</f>
        <v/>
      </c>
      <c r="I44" s="118">
        <f>IF(posicao_contratual!A43="","",posicao_contratual!O43)</f>
        <v/>
      </c>
      <c r="J44" s="355">
        <f>IF(A44="TOTAL",ROUND(SUM($J$3:J43),2),IF(OR(A44="",H44="",I44=""),"",ROUND(H44*I44,2)))</f>
        <v/>
      </c>
      <c r="K44" s="356">
        <f>IF(OR(historico_VU!A43="",historico_VU!F43=""),"",historico_VU!F43)</f>
        <v/>
      </c>
      <c r="L44" s="120">
        <f>IF(posicao_contratual!A43="","",posicao_contratual!S43)</f>
        <v/>
      </c>
      <c r="M44" s="356">
        <f>IF(A44="TOTAL",ROUND(SUM($M$3:M43),2),IF(OR(A44="",K44="",L44=""),"",ROUND(K44*L44,2)))</f>
        <v/>
      </c>
      <c r="N44" s="355">
        <f>IF(OR(historico_VU!A43="",historico_VU!G43=""),"",historico_VU!G43)</f>
        <v/>
      </c>
      <c r="O44" s="118">
        <f>IF(posicao_contratual!A43="","",posicao_contratual!W43)</f>
        <v/>
      </c>
      <c r="P44" s="355">
        <f>IF(A44="TOTAL",ROUND(SUM($P$3:P43),2),IF(OR(A44="",N44="",O44=""),"",ROUND(N44*O44,2)))</f>
        <v/>
      </c>
      <c r="Q44" s="195">
        <f>IF($A44="","",IF(ISERROR(INDIRECT("CICLO_EM_EXECUCAO!$D$5")),"",INDIRECT("CICLO_EM_EXECUCAO!$D$5")))</f>
        <v/>
      </c>
      <c r="R44">
        <f>IF($A44="","",IF(MEMORIA_RESULTADOS!$W$46="","","C"&amp;MEMORIA_RESULTADOS!$W$46))</f>
        <v/>
      </c>
      <c r="S44" s="273">
        <f>IF($A44="","",IF(ISERROR(INDIRECT("CICLO_EM_EXECUCAO!B"&amp;(ROW()+10))),"",INDIRECT("CICLO_EM_EXECUCAO!B"&amp;(ROW()+10))))</f>
        <v/>
      </c>
      <c r="T44" s="273">
        <f>IF($A44="","",IF(ISERROR(INDIRECT("CICLO_EM_EXECUCAO!D"&amp;(ROW()+10))),"",INDIRECT("CICLO_EM_EXECUCAO!D"&amp;(ROW()+10))))</f>
        <v/>
      </c>
      <c r="U44" s="273">
        <f>IF($A44="","",IF(ISERROR(INDIRECT("CICLO_EM_EXECUCAO!C"&amp;(ROW()+10))),"",INDIRECT("CICLO_EM_EXECUCAO!C"&amp;(ROW()+10))))</f>
        <v/>
      </c>
      <c r="V44" s="213">
        <f>IF($A44="","",IF(ISERROR(INDIRECT("CICLO_EM_EXECUCAO!E"&amp;(ROW()+10))),"",INDIRECT("CICLO_EM_EXECUCAO!E"&amp;(ROW()+10))))</f>
        <v/>
      </c>
      <c r="W44" s="213">
        <f>IF($A44="","",IF(ISERROR(INDIRECT("CICLO_EM_EXECUCAO!F"&amp;(ROW()+10))),"",INDIRECT("CICLO_EM_EXECUCAO!F"&amp;(ROW()+10))))</f>
        <v/>
      </c>
      <c r="X44" s="213">
        <f>IF($A44="","",IF(ISERROR(INDIRECT("CICLO_EM_EXECUCAO!G"&amp;(ROW()+10))),"",INDIRECT("CICLO_EM_EXECUCAO!G"&amp;(ROW()+10))))</f>
        <v/>
      </c>
      <c r="Y44">
        <f>IF($A44="","",IF(ISERROR(INDIRECT("CICLO_EM_EXECUCAO!K"&amp;(ROW()+10))),"CICLO_EM_EXECUCAO AUSENTE",INDIRECT("CICLO_EM_EXECUCAO!K"&amp;(ROW()+10))))</f>
        <v/>
      </c>
    </row>
    <row r="45">
      <c r="A45" s="116">
        <f>IF(AND(itens_Remanesc!A44="",itens_Remanesc!A43&lt;&gt;"",COUNTIF(itens_Remanesc!A45:$A$200,"&lt;&gt;")=0),"TOTAL",IF(itens_Remanesc!A44="","",itens_Remanesc!A44))</f>
        <v/>
      </c>
      <c r="B45" s="355">
        <f>IF(OR(historico_VU!A44="",historico_VU!C44=""),"",historico_VU!C44)</f>
        <v/>
      </c>
      <c r="C45" s="118">
        <f>IF(posicao_contratual!A44="","",posicao_contratual!G44)</f>
        <v/>
      </c>
      <c r="D45" s="355">
        <f>IF(A45="TOTAL",ROUND(SUM($D$3:D44),2),IF(OR(A45="",B45="",C45=""),"",ROUND(B45*C45,2)))</f>
        <v/>
      </c>
      <c r="E45" s="356">
        <f>IF(OR(historico_VU!A44="",historico_VU!D44=""),"",historico_VU!D44)</f>
        <v/>
      </c>
      <c r="F45" s="120">
        <f>IF(posicao_contratual!A44="","",posicao_contratual!K44)</f>
        <v/>
      </c>
      <c r="G45" s="356">
        <f>IF(A45="TOTAL",ROUND(SUM($G$3:G44),2),IF(OR(A45="",E45="",F45=""),"",ROUND(E45*F45,2)))</f>
        <v/>
      </c>
      <c r="H45" s="355">
        <f>IF(OR(historico_VU!A44="",historico_VU!E44=""),"",historico_VU!E44)</f>
        <v/>
      </c>
      <c r="I45" s="118">
        <f>IF(posicao_contratual!A44="","",posicao_contratual!O44)</f>
        <v/>
      </c>
      <c r="J45" s="355">
        <f>IF(A45="TOTAL",ROUND(SUM($J$3:J44),2),IF(OR(A45="",H45="",I45=""),"",ROUND(H45*I45,2)))</f>
        <v/>
      </c>
      <c r="K45" s="356">
        <f>IF(OR(historico_VU!A44="",historico_VU!F44=""),"",historico_VU!F44)</f>
        <v/>
      </c>
      <c r="L45" s="120">
        <f>IF(posicao_contratual!A44="","",posicao_contratual!S44)</f>
        <v/>
      </c>
      <c r="M45" s="356">
        <f>IF(A45="TOTAL",ROUND(SUM($M$3:M44),2),IF(OR(A45="",K45="",L45=""),"",ROUND(K45*L45,2)))</f>
        <v/>
      </c>
      <c r="N45" s="355">
        <f>IF(OR(historico_VU!A44="",historico_VU!G44=""),"",historico_VU!G44)</f>
        <v/>
      </c>
      <c r="O45" s="118">
        <f>IF(posicao_contratual!A44="","",posicao_contratual!W44)</f>
        <v/>
      </c>
      <c r="P45" s="355">
        <f>IF(A45="TOTAL",ROUND(SUM($P$3:P44),2),IF(OR(A45="",N45="",O45=""),"",ROUND(N45*O45,2)))</f>
        <v/>
      </c>
      <c r="Q45" s="195">
        <f>IF($A45="","",IF(ISERROR(INDIRECT("CICLO_EM_EXECUCAO!$D$5")),"",INDIRECT("CICLO_EM_EXECUCAO!$D$5")))</f>
        <v/>
      </c>
      <c r="R45">
        <f>IF($A45="","",IF(MEMORIA_RESULTADOS!$W$46="","","C"&amp;MEMORIA_RESULTADOS!$W$46))</f>
        <v/>
      </c>
      <c r="S45" s="273">
        <f>IF($A45="","",IF(ISERROR(INDIRECT("CICLO_EM_EXECUCAO!B"&amp;(ROW()+10))),"",INDIRECT("CICLO_EM_EXECUCAO!B"&amp;(ROW()+10))))</f>
        <v/>
      </c>
      <c r="T45" s="273">
        <f>IF($A45="","",IF(ISERROR(INDIRECT("CICLO_EM_EXECUCAO!D"&amp;(ROW()+10))),"",INDIRECT("CICLO_EM_EXECUCAO!D"&amp;(ROW()+10))))</f>
        <v/>
      </c>
      <c r="U45" s="273">
        <f>IF($A45="","",IF(ISERROR(INDIRECT("CICLO_EM_EXECUCAO!C"&amp;(ROW()+10))),"",INDIRECT("CICLO_EM_EXECUCAO!C"&amp;(ROW()+10))))</f>
        <v/>
      </c>
      <c r="V45" s="213">
        <f>IF($A45="","",IF(ISERROR(INDIRECT("CICLO_EM_EXECUCAO!E"&amp;(ROW()+10))),"",INDIRECT("CICLO_EM_EXECUCAO!E"&amp;(ROW()+10))))</f>
        <v/>
      </c>
      <c r="W45" s="213">
        <f>IF($A45="","",IF(ISERROR(INDIRECT("CICLO_EM_EXECUCAO!F"&amp;(ROW()+10))),"",INDIRECT("CICLO_EM_EXECUCAO!F"&amp;(ROW()+10))))</f>
        <v/>
      </c>
      <c r="X45" s="213">
        <f>IF($A45="","",IF(ISERROR(INDIRECT("CICLO_EM_EXECUCAO!G"&amp;(ROW()+10))),"",INDIRECT("CICLO_EM_EXECUCAO!G"&amp;(ROW()+10))))</f>
        <v/>
      </c>
      <c r="Y45">
        <f>IF($A45="","",IF(ISERROR(INDIRECT("CICLO_EM_EXECUCAO!K"&amp;(ROW()+10))),"CICLO_EM_EXECUCAO AUSENTE",INDIRECT("CICLO_EM_EXECUCAO!K"&amp;(ROW()+10))))</f>
        <v/>
      </c>
    </row>
    <row r="46">
      <c r="A46" s="116">
        <f>IF(AND(itens_Remanesc!A45="",itens_Remanesc!A44&lt;&gt;"",COUNTIF(itens_Remanesc!A46:$A$200,"&lt;&gt;")=0),"TOTAL",IF(itens_Remanesc!A45="","",itens_Remanesc!A45))</f>
        <v/>
      </c>
      <c r="B46" s="355">
        <f>IF(OR(historico_VU!A45="",historico_VU!C45=""),"",historico_VU!C45)</f>
        <v/>
      </c>
      <c r="C46" s="118">
        <f>IF(posicao_contratual!A45="","",posicao_contratual!G45)</f>
        <v/>
      </c>
      <c r="D46" s="355">
        <f>IF(A46="TOTAL",ROUND(SUM($D$3:D45),2),IF(OR(A46="",B46="",C46=""),"",ROUND(B46*C46,2)))</f>
        <v/>
      </c>
      <c r="E46" s="356">
        <f>IF(OR(historico_VU!A45="",historico_VU!D45=""),"",historico_VU!D45)</f>
        <v/>
      </c>
      <c r="F46" s="120">
        <f>IF(posicao_contratual!A45="","",posicao_contratual!K45)</f>
        <v/>
      </c>
      <c r="G46" s="356">
        <f>IF(A46="TOTAL",ROUND(SUM($G$3:G45),2),IF(OR(A46="",E46="",F46=""),"",ROUND(E46*F46,2)))</f>
        <v/>
      </c>
      <c r="H46" s="355">
        <f>IF(OR(historico_VU!A45="",historico_VU!E45=""),"",historico_VU!E45)</f>
        <v/>
      </c>
      <c r="I46" s="118">
        <f>IF(posicao_contratual!A45="","",posicao_contratual!O45)</f>
        <v/>
      </c>
      <c r="J46" s="355">
        <f>IF(A46="TOTAL",ROUND(SUM($J$3:J45),2),IF(OR(A46="",H46="",I46=""),"",ROUND(H46*I46,2)))</f>
        <v/>
      </c>
      <c r="K46" s="356">
        <f>IF(OR(historico_VU!A45="",historico_VU!F45=""),"",historico_VU!F45)</f>
        <v/>
      </c>
      <c r="L46" s="120">
        <f>IF(posicao_contratual!A45="","",posicao_contratual!S45)</f>
        <v/>
      </c>
      <c r="M46" s="356">
        <f>IF(A46="TOTAL",ROUND(SUM($M$3:M45),2),IF(OR(A46="",K46="",L46=""),"",ROUND(K46*L46,2)))</f>
        <v/>
      </c>
      <c r="N46" s="355">
        <f>IF(OR(historico_VU!A45="",historico_VU!G45=""),"",historico_VU!G45)</f>
        <v/>
      </c>
      <c r="O46" s="118">
        <f>IF(posicao_contratual!A45="","",posicao_contratual!W45)</f>
        <v/>
      </c>
      <c r="P46" s="355">
        <f>IF(A46="TOTAL",ROUND(SUM($P$3:P45),2),IF(OR(A46="",N46="",O46=""),"",ROUND(N46*O46,2)))</f>
        <v/>
      </c>
      <c r="Q46" s="195">
        <f>IF($A46="","",IF(ISERROR(INDIRECT("CICLO_EM_EXECUCAO!$D$5")),"",INDIRECT("CICLO_EM_EXECUCAO!$D$5")))</f>
        <v/>
      </c>
      <c r="R46">
        <f>IF($A46="","",IF(MEMORIA_RESULTADOS!$W$46="","","C"&amp;MEMORIA_RESULTADOS!$W$46))</f>
        <v/>
      </c>
      <c r="S46" s="273">
        <f>IF($A46="","",IF(ISERROR(INDIRECT("CICLO_EM_EXECUCAO!B"&amp;(ROW()+10))),"",INDIRECT("CICLO_EM_EXECUCAO!B"&amp;(ROW()+10))))</f>
        <v/>
      </c>
      <c r="T46" s="273">
        <f>IF($A46="","",IF(ISERROR(INDIRECT("CICLO_EM_EXECUCAO!D"&amp;(ROW()+10))),"",INDIRECT("CICLO_EM_EXECUCAO!D"&amp;(ROW()+10))))</f>
        <v/>
      </c>
      <c r="U46" s="273">
        <f>IF($A46="","",IF(ISERROR(INDIRECT("CICLO_EM_EXECUCAO!C"&amp;(ROW()+10))),"",INDIRECT("CICLO_EM_EXECUCAO!C"&amp;(ROW()+10))))</f>
        <v/>
      </c>
      <c r="V46" s="213">
        <f>IF($A46="","",IF(ISERROR(INDIRECT("CICLO_EM_EXECUCAO!E"&amp;(ROW()+10))),"",INDIRECT("CICLO_EM_EXECUCAO!E"&amp;(ROW()+10))))</f>
        <v/>
      </c>
      <c r="W46" s="213">
        <f>IF($A46="","",IF(ISERROR(INDIRECT("CICLO_EM_EXECUCAO!F"&amp;(ROW()+10))),"",INDIRECT("CICLO_EM_EXECUCAO!F"&amp;(ROW()+10))))</f>
        <v/>
      </c>
      <c r="X46" s="213">
        <f>IF($A46="","",IF(ISERROR(INDIRECT("CICLO_EM_EXECUCAO!G"&amp;(ROW()+10))),"",INDIRECT("CICLO_EM_EXECUCAO!G"&amp;(ROW()+10))))</f>
        <v/>
      </c>
      <c r="Y46">
        <f>IF($A46="","",IF(ISERROR(INDIRECT("CICLO_EM_EXECUCAO!K"&amp;(ROW()+10))),"CICLO_EM_EXECUCAO AUSENTE",INDIRECT("CICLO_EM_EXECUCAO!K"&amp;(ROW()+10))))</f>
        <v/>
      </c>
    </row>
    <row r="47">
      <c r="A47" s="116">
        <f>IF(AND(itens_Remanesc!A46="",itens_Remanesc!A45&lt;&gt;"",COUNTIF(itens_Remanesc!A47:$A$200,"&lt;&gt;")=0),"TOTAL",IF(itens_Remanesc!A46="","",itens_Remanesc!A46))</f>
        <v/>
      </c>
      <c r="B47" s="355">
        <f>IF(OR(historico_VU!A46="",historico_VU!C46=""),"",historico_VU!C46)</f>
        <v/>
      </c>
      <c r="C47" s="118">
        <f>IF(posicao_contratual!A46="","",posicao_contratual!G46)</f>
        <v/>
      </c>
      <c r="D47" s="355">
        <f>IF(A47="TOTAL",ROUND(SUM($D$3:D46),2),IF(OR(A47="",B47="",C47=""),"",ROUND(B47*C47,2)))</f>
        <v/>
      </c>
      <c r="E47" s="356">
        <f>IF(OR(historico_VU!A46="",historico_VU!D46=""),"",historico_VU!D46)</f>
        <v/>
      </c>
      <c r="F47" s="120">
        <f>IF(posicao_contratual!A46="","",posicao_contratual!K46)</f>
        <v/>
      </c>
      <c r="G47" s="356">
        <f>IF(A47="TOTAL",ROUND(SUM($G$3:G46),2),IF(OR(A47="",E47="",F47=""),"",ROUND(E47*F47,2)))</f>
        <v/>
      </c>
      <c r="H47" s="355">
        <f>IF(OR(historico_VU!A46="",historico_VU!E46=""),"",historico_VU!E46)</f>
        <v/>
      </c>
      <c r="I47" s="118">
        <f>IF(posicao_contratual!A46="","",posicao_contratual!O46)</f>
        <v/>
      </c>
      <c r="J47" s="355">
        <f>IF(A47="TOTAL",ROUND(SUM($J$3:J46),2),IF(OR(A47="",H47="",I47=""),"",ROUND(H47*I47,2)))</f>
        <v/>
      </c>
      <c r="K47" s="356">
        <f>IF(OR(historico_VU!A46="",historico_VU!F46=""),"",historico_VU!F46)</f>
        <v/>
      </c>
      <c r="L47" s="120">
        <f>IF(posicao_contratual!A46="","",posicao_contratual!S46)</f>
        <v/>
      </c>
      <c r="M47" s="356">
        <f>IF(A47="TOTAL",ROUND(SUM($M$3:M46),2),IF(OR(A47="",K47="",L47=""),"",ROUND(K47*L47,2)))</f>
        <v/>
      </c>
      <c r="N47" s="355">
        <f>IF(OR(historico_VU!A46="",historico_VU!G46=""),"",historico_VU!G46)</f>
        <v/>
      </c>
      <c r="O47" s="118">
        <f>IF(posicao_contratual!A46="","",posicao_contratual!W46)</f>
        <v/>
      </c>
      <c r="P47" s="355">
        <f>IF(A47="TOTAL",ROUND(SUM($P$3:P46),2),IF(OR(A47="",N47="",O47=""),"",ROUND(N47*O47,2)))</f>
        <v/>
      </c>
      <c r="Q47" s="195">
        <f>IF($A47="","",IF(ISERROR(INDIRECT("CICLO_EM_EXECUCAO!$D$5")),"",INDIRECT("CICLO_EM_EXECUCAO!$D$5")))</f>
        <v/>
      </c>
      <c r="R47">
        <f>IF($A47="","",IF(MEMORIA_RESULTADOS!$W$46="","","C"&amp;MEMORIA_RESULTADOS!$W$46))</f>
        <v/>
      </c>
      <c r="S47" s="273">
        <f>IF($A47="","",IF(ISERROR(INDIRECT("CICLO_EM_EXECUCAO!B"&amp;(ROW()+10))),"",INDIRECT("CICLO_EM_EXECUCAO!B"&amp;(ROW()+10))))</f>
        <v/>
      </c>
      <c r="T47" s="273">
        <f>IF($A47="","",IF(ISERROR(INDIRECT("CICLO_EM_EXECUCAO!D"&amp;(ROW()+10))),"",INDIRECT("CICLO_EM_EXECUCAO!D"&amp;(ROW()+10))))</f>
        <v/>
      </c>
      <c r="U47" s="273">
        <f>IF($A47="","",IF(ISERROR(INDIRECT("CICLO_EM_EXECUCAO!C"&amp;(ROW()+10))),"",INDIRECT("CICLO_EM_EXECUCAO!C"&amp;(ROW()+10))))</f>
        <v/>
      </c>
      <c r="V47" s="213">
        <f>IF($A47="","",IF(ISERROR(INDIRECT("CICLO_EM_EXECUCAO!E"&amp;(ROW()+10))),"",INDIRECT("CICLO_EM_EXECUCAO!E"&amp;(ROW()+10))))</f>
        <v/>
      </c>
      <c r="W47" s="213">
        <f>IF($A47="","",IF(ISERROR(INDIRECT("CICLO_EM_EXECUCAO!F"&amp;(ROW()+10))),"",INDIRECT("CICLO_EM_EXECUCAO!F"&amp;(ROW()+10))))</f>
        <v/>
      </c>
      <c r="X47" s="213">
        <f>IF($A47="","",IF(ISERROR(INDIRECT("CICLO_EM_EXECUCAO!G"&amp;(ROW()+10))),"",INDIRECT("CICLO_EM_EXECUCAO!G"&amp;(ROW()+10))))</f>
        <v/>
      </c>
      <c r="Y47">
        <f>IF($A47="","",IF(ISERROR(INDIRECT("CICLO_EM_EXECUCAO!K"&amp;(ROW()+10))),"CICLO_EM_EXECUCAO AUSENTE",INDIRECT("CICLO_EM_EXECUCAO!K"&amp;(ROW()+10))))</f>
        <v/>
      </c>
    </row>
    <row r="48">
      <c r="A48" s="116">
        <f>IF(AND(itens_Remanesc!A47="",itens_Remanesc!A46&lt;&gt;"",COUNTIF(itens_Remanesc!A48:$A$200,"&lt;&gt;")=0),"TOTAL",IF(itens_Remanesc!A47="","",itens_Remanesc!A47))</f>
        <v/>
      </c>
      <c r="B48" s="355">
        <f>IF(OR(historico_VU!A47="",historico_VU!C47=""),"",historico_VU!C47)</f>
        <v/>
      </c>
      <c r="C48" s="118">
        <f>IF(posicao_contratual!A47="","",posicao_contratual!G47)</f>
        <v/>
      </c>
      <c r="D48" s="355">
        <f>IF(A48="TOTAL",ROUND(SUM($D$3:D47),2),IF(OR(A48="",B48="",C48=""),"",ROUND(B48*C48,2)))</f>
        <v/>
      </c>
      <c r="E48" s="356">
        <f>IF(OR(historico_VU!A47="",historico_VU!D47=""),"",historico_VU!D47)</f>
        <v/>
      </c>
      <c r="F48" s="120">
        <f>IF(posicao_contratual!A47="","",posicao_contratual!K47)</f>
        <v/>
      </c>
      <c r="G48" s="356">
        <f>IF(A48="TOTAL",ROUND(SUM($G$3:G47),2),IF(OR(A48="",E48="",F48=""),"",ROUND(E48*F48,2)))</f>
        <v/>
      </c>
      <c r="H48" s="355">
        <f>IF(OR(historico_VU!A47="",historico_VU!E47=""),"",historico_VU!E47)</f>
        <v/>
      </c>
      <c r="I48" s="118">
        <f>IF(posicao_contratual!A47="","",posicao_contratual!O47)</f>
        <v/>
      </c>
      <c r="J48" s="355">
        <f>IF(A48="TOTAL",ROUND(SUM($J$3:J47),2),IF(OR(A48="",H48="",I48=""),"",ROUND(H48*I48,2)))</f>
        <v/>
      </c>
      <c r="K48" s="356">
        <f>IF(OR(historico_VU!A47="",historico_VU!F47=""),"",historico_VU!F47)</f>
        <v/>
      </c>
      <c r="L48" s="120">
        <f>IF(posicao_contratual!A47="","",posicao_contratual!S47)</f>
        <v/>
      </c>
      <c r="M48" s="356">
        <f>IF(A48="TOTAL",ROUND(SUM($M$3:M47),2),IF(OR(A48="",K48="",L48=""),"",ROUND(K48*L48,2)))</f>
        <v/>
      </c>
      <c r="N48" s="355">
        <f>IF(OR(historico_VU!A47="",historico_VU!G47=""),"",historico_VU!G47)</f>
        <v/>
      </c>
      <c r="O48" s="118">
        <f>IF(posicao_contratual!A47="","",posicao_contratual!W47)</f>
        <v/>
      </c>
      <c r="P48" s="355">
        <f>IF(A48="TOTAL",ROUND(SUM($P$3:P47),2),IF(OR(A48="",N48="",O48=""),"",ROUND(N48*O48,2)))</f>
        <v/>
      </c>
      <c r="Q48" s="195">
        <f>IF($A48="","",IF(ISERROR(INDIRECT("CICLO_EM_EXECUCAO!$D$5")),"",INDIRECT("CICLO_EM_EXECUCAO!$D$5")))</f>
        <v/>
      </c>
      <c r="R48">
        <f>IF($A48="","",IF(MEMORIA_RESULTADOS!$W$46="","","C"&amp;MEMORIA_RESULTADOS!$W$46))</f>
        <v/>
      </c>
      <c r="S48" s="273">
        <f>IF($A48="","",IF(ISERROR(INDIRECT("CICLO_EM_EXECUCAO!B"&amp;(ROW()+10))),"",INDIRECT("CICLO_EM_EXECUCAO!B"&amp;(ROW()+10))))</f>
        <v/>
      </c>
      <c r="T48" s="273">
        <f>IF($A48="","",IF(ISERROR(INDIRECT("CICLO_EM_EXECUCAO!D"&amp;(ROW()+10))),"",INDIRECT("CICLO_EM_EXECUCAO!D"&amp;(ROW()+10))))</f>
        <v/>
      </c>
      <c r="U48" s="273">
        <f>IF($A48="","",IF(ISERROR(INDIRECT("CICLO_EM_EXECUCAO!C"&amp;(ROW()+10))),"",INDIRECT("CICLO_EM_EXECUCAO!C"&amp;(ROW()+10))))</f>
        <v/>
      </c>
      <c r="V48" s="213">
        <f>IF($A48="","",IF(ISERROR(INDIRECT("CICLO_EM_EXECUCAO!E"&amp;(ROW()+10))),"",INDIRECT("CICLO_EM_EXECUCAO!E"&amp;(ROW()+10))))</f>
        <v/>
      </c>
      <c r="W48" s="213">
        <f>IF($A48="","",IF(ISERROR(INDIRECT("CICLO_EM_EXECUCAO!F"&amp;(ROW()+10))),"",INDIRECT("CICLO_EM_EXECUCAO!F"&amp;(ROW()+10))))</f>
        <v/>
      </c>
      <c r="X48" s="213">
        <f>IF($A48="","",IF(ISERROR(INDIRECT("CICLO_EM_EXECUCAO!G"&amp;(ROW()+10))),"",INDIRECT("CICLO_EM_EXECUCAO!G"&amp;(ROW()+10))))</f>
        <v/>
      </c>
      <c r="Y48">
        <f>IF($A48="","",IF(ISERROR(INDIRECT("CICLO_EM_EXECUCAO!K"&amp;(ROW()+10))),"CICLO_EM_EXECUCAO AUSENTE",INDIRECT("CICLO_EM_EXECUCAO!K"&amp;(ROW()+10))))</f>
        <v/>
      </c>
    </row>
    <row r="49">
      <c r="A49" s="116">
        <f>IF(AND(itens_Remanesc!A48="",itens_Remanesc!A47&lt;&gt;"",COUNTIF(itens_Remanesc!A49:$A$200,"&lt;&gt;")=0),"TOTAL",IF(itens_Remanesc!A48="","",itens_Remanesc!A48))</f>
        <v/>
      </c>
      <c r="B49" s="355">
        <f>IF(OR(historico_VU!A48="",historico_VU!C48=""),"",historico_VU!C48)</f>
        <v/>
      </c>
      <c r="C49" s="118">
        <f>IF(posicao_contratual!A48="","",posicao_contratual!G48)</f>
        <v/>
      </c>
      <c r="D49" s="355">
        <f>IF(A49="TOTAL",ROUND(SUM($D$3:D48),2),IF(OR(A49="",B49="",C49=""),"",ROUND(B49*C49,2)))</f>
        <v/>
      </c>
      <c r="E49" s="356">
        <f>IF(OR(historico_VU!A48="",historico_VU!D48=""),"",historico_VU!D48)</f>
        <v/>
      </c>
      <c r="F49" s="120">
        <f>IF(posicao_contratual!A48="","",posicao_contratual!K48)</f>
        <v/>
      </c>
      <c r="G49" s="356">
        <f>IF(A49="TOTAL",ROUND(SUM($G$3:G48),2),IF(OR(A49="",E49="",F49=""),"",ROUND(E49*F49,2)))</f>
        <v/>
      </c>
      <c r="H49" s="355">
        <f>IF(OR(historico_VU!A48="",historico_VU!E48=""),"",historico_VU!E48)</f>
        <v/>
      </c>
      <c r="I49" s="118">
        <f>IF(posicao_contratual!A48="","",posicao_contratual!O48)</f>
        <v/>
      </c>
      <c r="J49" s="355">
        <f>IF(A49="TOTAL",ROUND(SUM($J$3:J48),2),IF(OR(A49="",H49="",I49=""),"",ROUND(H49*I49,2)))</f>
        <v/>
      </c>
      <c r="K49" s="356">
        <f>IF(OR(historico_VU!A48="",historico_VU!F48=""),"",historico_VU!F48)</f>
        <v/>
      </c>
      <c r="L49" s="120">
        <f>IF(posicao_contratual!A48="","",posicao_contratual!S48)</f>
        <v/>
      </c>
      <c r="M49" s="356">
        <f>IF(A49="TOTAL",ROUND(SUM($M$3:M48),2),IF(OR(A49="",K49="",L49=""),"",ROUND(K49*L49,2)))</f>
        <v/>
      </c>
      <c r="N49" s="355">
        <f>IF(OR(historico_VU!A48="",historico_VU!G48=""),"",historico_VU!G48)</f>
        <v/>
      </c>
      <c r="O49" s="118">
        <f>IF(posicao_contratual!A48="","",posicao_contratual!W48)</f>
        <v/>
      </c>
      <c r="P49" s="355">
        <f>IF(A49="TOTAL",ROUND(SUM($P$3:P48),2),IF(OR(A49="",N49="",O49=""),"",ROUND(N49*O49,2)))</f>
        <v/>
      </c>
      <c r="Q49" s="195">
        <f>IF($A49="","",IF(ISERROR(INDIRECT("CICLO_EM_EXECUCAO!$D$5")),"",INDIRECT("CICLO_EM_EXECUCAO!$D$5")))</f>
        <v/>
      </c>
      <c r="R49">
        <f>IF($A49="","",IF(MEMORIA_RESULTADOS!$W$46="","","C"&amp;MEMORIA_RESULTADOS!$W$46))</f>
        <v/>
      </c>
      <c r="S49" s="273">
        <f>IF($A49="","",IF(ISERROR(INDIRECT("CICLO_EM_EXECUCAO!B"&amp;(ROW()+10))),"",INDIRECT("CICLO_EM_EXECUCAO!B"&amp;(ROW()+10))))</f>
        <v/>
      </c>
      <c r="T49" s="273">
        <f>IF($A49="","",IF(ISERROR(INDIRECT("CICLO_EM_EXECUCAO!D"&amp;(ROW()+10))),"",INDIRECT("CICLO_EM_EXECUCAO!D"&amp;(ROW()+10))))</f>
        <v/>
      </c>
      <c r="U49" s="273">
        <f>IF($A49="","",IF(ISERROR(INDIRECT("CICLO_EM_EXECUCAO!C"&amp;(ROW()+10))),"",INDIRECT("CICLO_EM_EXECUCAO!C"&amp;(ROW()+10))))</f>
        <v/>
      </c>
      <c r="V49" s="213">
        <f>IF($A49="","",IF(ISERROR(INDIRECT("CICLO_EM_EXECUCAO!E"&amp;(ROW()+10))),"",INDIRECT("CICLO_EM_EXECUCAO!E"&amp;(ROW()+10))))</f>
        <v/>
      </c>
      <c r="W49" s="213">
        <f>IF($A49="","",IF(ISERROR(INDIRECT("CICLO_EM_EXECUCAO!F"&amp;(ROW()+10))),"",INDIRECT("CICLO_EM_EXECUCAO!F"&amp;(ROW()+10))))</f>
        <v/>
      </c>
      <c r="X49" s="213">
        <f>IF($A49="","",IF(ISERROR(INDIRECT("CICLO_EM_EXECUCAO!G"&amp;(ROW()+10))),"",INDIRECT("CICLO_EM_EXECUCAO!G"&amp;(ROW()+10))))</f>
        <v/>
      </c>
      <c r="Y49">
        <f>IF($A49="","",IF(ISERROR(INDIRECT("CICLO_EM_EXECUCAO!K"&amp;(ROW()+10))),"CICLO_EM_EXECUCAO AUSENTE",INDIRECT("CICLO_EM_EXECUCAO!K"&amp;(ROW()+10))))</f>
        <v/>
      </c>
    </row>
    <row r="50">
      <c r="A50" s="116">
        <f>IF(AND(itens_Remanesc!A49="",itens_Remanesc!A48&lt;&gt;"",COUNTIF(itens_Remanesc!A50:$A$200,"&lt;&gt;")=0),"TOTAL",IF(itens_Remanesc!A49="","",itens_Remanesc!A49))</f>
        <v/>
      </c>
      <c r="B50" s="355">
        <f>IF(OR(historico_VU!A49="",historico_VU!C49=""),"",historico_VU!C49)</f>
        <v/>
      </c>
      <c r="C50" s="118">
        <f>IF(posicao_contratual!A49="","",posicao_contratual!G49)</f>
        <v/>
      </c>
      <c r="D50" s="355">
        <f>IF(A50="TOTAL",ROUND(SUM($D$3:D49),2),IF(OR(A50="",B50="",C50=""),"",ROUND(B50*C50,2)))</f>
        <v/>
      </c>
      <c r="E50" s="356">
        <f>IF(OR(historico_VU!A49="",historico_VU!D49=""),"",historico_VU!D49)</f>
        <v/>
      </c>
      <c r="F50" s="120">
        <f>IF(posicao_contratual!A49="","",posicao_contratual!K49)</f>
        <v/>
      </c>
      <c r="G50" s="356">
        <f>IF(A50="TOTAL",ROUND(SUM($G$3:G49),2),IF(OR(A50="",E50="",F50=""),"",ROUND(E50*F50,2)))</f>
        <v/>
      </c>
      <c r="H50" s="355">
        <f>IF(OR(historico_VU!A49="",historico_VU!E49=""),"",historico_VU!E49)</f>
        <v/>
      </c>
      <c r="I50" s="118">
        <f>IF(posicao_contratual!A49="","",posicao_contratual!O49)</f>
        <v/>
      </c>
      <c r="J50" s="355">
        <f>IF(A50="TOTAL",ROUND(SUM($J$3:J49),2),IF(OR(A50="",H50="",I50=""),"",ROUND(H50*I50,2)))</f>
        <v/>
      </c>
      <c r="K50" s="356">
        <f>IF(OR(historico_VU!A49="",historico_VU!F49=""),"",historico_VU!F49)</f>
        <v/>
      </c>
      <c r="L50" s="120">
        <f>IF(posicao_contratual!A49="","",posicao_contratual!S49)</f>
        <v/>
      </c>
      <c r="M50" s="356">
        <f>IF(A50="TOTAL",ROUND(SUM($M$3:M49),2),IF(OR(A50="",K50="",L50=""),"",ROUND(K50*L50,2)))</f>
        <v/>
      </c>
      <c r="N50" s="355">
        <f>IF(OR(historico_VU!A49="",historico_VU!G49=""),"",historico_VU!G49)</f>
        <v/>
      </c>
      <c r="O50" s="118">
        <f>IF(posicao_contratual!A49="","",posicao_contratual!W49)</f>
        <v/>
      </c>
      <c r="P50" s="355">
        <f>IF(A50="TOTAL",ROUND(SUM($P$3:P49),2),IF(OR(A50="",N50="",O50=""),"",ROUND(N50*O50,2)))</f>
        <v/>
      </c>
      <c r="Q50" s="195">
        <f>IF($A50="","",IF(ISERROR(INDIRECT("CICLO_EM_EXECUCAO!$D$5")),"",INDIRECT("CICLO_EM_EXECUCAO!$D$5")))</f>
        <v/>
      </c>
      <c r="R50">
        <f>IF($A50="","",IF(MEMORIA_RESULTADOS!$W$46="","","C"&amp;MEMORIA_RESULTADOS!$W$46))</f>
        <v/>
      </c>
      <c r="S50" s="273">
        <f>IF($A50="","",IF(ISERROR(INDIRECT("CICLO_EM_EXECUCAO!B"&amp;(ROW()+10))),"",INDIRECT("CICLO_EM_EXECUCAO!B"&amp;(ROW()+10))))</f>
        <v/>
      </c>
      <c r="T50" s="273">
        <f>IF($A50="","",IF(ISERROR(INDIRECT("CICLO_EM_EXECUCAO!D"&amp;(ROW()+10))),"",INDIRECT("CICLO_EM_EXECUCAO!D"&amp;(ROW()+10))))</f>
        <v/>
      </c>
      <c r="U50" s="273">
        <f>IF($A50="","",IF(ISERROR(INDIRECT("CICLO_EM_EXECUCAO!C"&amp;(ROW()+10))),"",INDIRECT("CICLO_EM_EXECUCAO!C"&amp;(ROW()+10))))</f>
        <v/>
      </c>
      <c r="V50" s="213">
        <f>IF($A50="","",IF(ISERROR(INDIRECT("CICLO_EM_EXECUCAO!E"&amp;(ROW()+10))),"",INDIRECT("CICLO_EM_EXECUCAO!E"&amp;(ROW()+10))))</f>
        <v/>
      </c>
      <c r="W50" s="213">
        <f>IF($A50="","",IF(ISERROR(INDIRECT("CICLO_EM_EXECUCAO!F"&amp;(ROW()+10))),"",INDIRECT("CICLO_EM_EXECUCAO!F"&amp;(ROW()+10))))</f>
        <v/>
      </c>
      <c r="X50" s="213">
        <f>IF($A50="","",IF(ISERROR(INDIRECT("CICLO_EM_EXECUCAO!G"&amp;(ROW()+10))),"",INDIRECT("CICLO_EM_EXECUCAO!G"&amp;(ROW()+10))))</f>
        <v/>
      </c>
      <c r="Y50">
        <f>IF($A50="","",IF(ISERROR(INDIRECT("CICLO_EM_EXECUCAO!K"&amp;(ROW()+10))),"CICLO_EM_EXECUCAO AUSENTE",INDIRECT("CICLO_EM_EXECUCAO!K"&amp;(ROW()+10))))</f>
        <v/>
      </c>
    </row>
    <row r="51">
      <c r="A51" s="116">
        <f>IF(AND(itens_Remanesc!A50="",itens_Remanesc!A49&lt;&gt;"",COUNTIF(itens_Remanesc!A51:$A$200,"&lt;&gt;")=0),"TOTAL",IF(itens_Remanesc!A50="","",itens_Remanesc!A50))</f>
        <v/>
      </c>
      <c r="B51" s="355">
        <f>IF(OR(historico_VU!A50="",historico_VU!C50=""),"",historico_VU!C50)</f>
        <v/>
      </c>
      <c r="C51" s="118">
        <f>IF(posicao_contratual!A50="","",posicao_contratual!G50)</f>
        <v/>
      </c>
      <c r="D51" s="355">
        <f>IF(A51="TOTAL",ROUND(SUM($D$3:D50),2),IF(OR(A51="",B51="",C51=""),"",ROUND(B51*C51,2)))</f>
        <v/>
      </c>
      <c r="E51" s="356">
        <f>IF(OR(historico_VU!A50="",historico_VU!D50=""),"",historico_VU!D50)</f>
        <v/>
      </c>
      <c r="F51" s="120">
        <f>IF(posicao_contratual!A50="","",posicao_contratual!K50)</f>
        <v/>
      </c>
      <c r="G51" s="356">
        <f>IF(A51="TOTAL",ROUND(SUM($G$3:G50),2),IF(OR(A51="",E51="",F51=""),"",ROUND(E51*F51,2)))</f>
        <v/>
      </c>
      <c r="H51" s="355">
        <f>IF(OR(historico_VU!A50="",historico_VU!E50=""),"",historico_VU!E50)</f>
        <v/>
      </c>
      <c r="I51" s="118">
        <f>IF(posicao_contratual!A50="","",posicao_contratual!O50)</f>
        <v/>
      </c>
      <c r="J51" s="355">
        <f>IF(A51="TOTAL",ROUND(SUM($J$3:J50),2),IF(OR(A51="",H51="",I51=""),"",ROUND(H51*I51,2)))</f>
        <v/>
      </c>
      <c r="K51" s="356">
        <f>IF(OR(historico_VU!A50="",historico_VU!F50=""),"",historico_VU!F50)</f>
        <v/>
      </c>
      <c r="L51" s="120">
        <f>IF(posicao_contratual!A50="","",posicao_contratual!S50)</f>
        <v/>
      </c>
      <c r="M51" s="356">
        <f>IF(A51="TOTAL",ROUND(SUM($M$3:M50),2),IF(OR(A51="",K51="",L51=""),"",ROUND(K51*L51,2)))</f>
        <v/>
      </c>
      <c r="N51" s="355">
        <f>IF(OR(historico_VU!A50="",historico_VU!G50=""),"",historico_VU!G50)</f>
        <v/>
      </c>
      <c r="O51" s="118">
        <f>IF(posicao_contratual!A50="","",posicao_contratual!W50)</f>
        <v/>
      </c>
      <c r="P51" s="355">
        <f>IF(A51="TOTAL",ROUND(SUM($P$3:P50),2),IF(OR(A51="",N51="",O51=""),"",ROUND(N51*O51,2)))</f>
        <v/>
      </c>
      <c r="Q51" s="195">
        <f>IF($A51="","",IF(ISERROR(INDIRECT("CICLO_EM_EXECUCAO!$D$5")),"",INDIRECT("CICLO_EM_EXECUCAO!$D$5")))</f>
        <v/>
      </c>
      <c r="R51">
        <f>IF($A51="","",IF(MEMORIA_RESULTADOS!$W$46="","","C"&amp;MEMORIA_RESULTADOS!$W$46))</f>
        <v/>
      </c>
      <c r="S51" s="273">
        <f>IF($A51="","",IF(ISERROR(INDIRECT("CICLO_EM_EXECUCAO!B"&amp;(ROW()+10))),"",INDIRECT("CICLO_EM_EXECUCAO!B"&amp;(ROW()+10))))</f>
        <v/>
      </c>
      <c r="T51" s="273">
        <f>IF($A51="","",IF(ISERROR(INDIRECT("CICLO_EM_EXECUCAO!D"&amp;(ROW()+10))),"",INDIRECT("CICLO_EM_EXECUCAO!D"&amp;(ROW()+10))))</f>
        <v/>
      </c>
      <c r="U51" s="273">
        <f>IF($A51="","",IF(ISERROR(INDIRECT("CICLO_EM_EXECUCAO!C"&amp;(ROW()+10))),"",INDIRECT("CICLO_EM_EXECUCAO!C"&amp;(ROW()+10))))</f>
        <v/>
      </c>
      <c r="V51" s="213">
        <f>IF($A51="","",IF(ISERROR(INDIRECT("CICLO_EM_EXECUCAO!E"&amp;(ROW()+10))),"",INDIRECT("CICLO_EM_EXECUCAO!E"&amp;(ROW()+10))))</f>
        <v/>
      </c>
      <c r="W51" s="213">
        <f>IF($A51="","",IF(ISERROR(INDIRECT("CICLO_EM_EXECUCAO!F"&amp;(ROW()+10))),"",INDIRECT("CICLO_EM_EXECUCAO!F"&amp;(ROW()+10))))</f>
        <v/>
      </c>
      <c r="X51" s="213">
        <f>IF($A51="","",IF(ISERROR(INDIRECT("CICLO_EM_EXECUCAO!G"&amp;(ROW()+10))),"",INDIRECT("CICLO_EM_EXECUCAO!G"&amp;(ROW()+10))))</f>
        <v/>
      </c>
      <c r="Y51">
        <f>IF($A51="","",IF(ISERROR(INDIRECT("CICLO_EM_EXECUCAO!K"&amp;(ROW()+10))),"CICLO_EM_EXECUCAO AUSENTE",INDIRECT("CICLO_EM_EXECUCAO!K"&amp;(ROW()+10))))</f>
        <v/>
      </c>
    </row>
    <row r="52">
      <c r="A52" s="116">
        <f>IF(AND(itens_Remanesc!A51="",itens_Remanesc!A50&lt;&gt;"",COUNTIF(itens_Remanesc!A52:$A$200,"&lt;&gt;")=0),"TOTAL",IF(itens_Remanesc!A51="","",itens_Remanesc!A51))</f>
        <v/>
      </c>
      <c r="B52" s="355">
        <f>IF(OR(historico_VU!A51="",historico_VU!C51=""),"",historico_VU!C51)</f>
        <v/>
      </c>
      <c r="C52" s="118">
        <f>IF(posicao_contratual!A51="","",posicao_contratual!G51)</f>
        <v/>
      </c>
      <c r="D52" s="355">
        <f>IF(A52="TOTAL",ROUND(SUM($D$3:D51),2),IF(OR(A52="",B52="",C52=""),"",ROUND(B52*C52,2)))</f>
        <v/>
      </c>
      <c r="E52" s="356">
        <f>IF(OR(historico_VU!A51="",historico_VU!D51=""),"",historico_VU!D51)</f>
        <v/>
      </c>
      <c r="F52" s="120">
        <f>IF(posicao_contratual!A51="","",posicao_contratual!K51)</f>
        <v/>
      </c>
      <c r="G52" s="356">
        <f>IF(A52="TOTAL",ROUND(SUM($G$3:G51),2),IF(OR(A52="",E52="",F52=""),"",ROUND(E52*F52,2)))</f>
        <v/>
      </c>
      <c r="H52" s="355">
        <f>IF(OR(historico_VU!A51="",historico_VU!E51=""),"",historico_VU!E51)</f>
        <v/>
      </c>
      <c r="I52" s="118">
        <f>IF(posicao_contratual!A51="","",posicao_contratual!O51)</f>
        <v/>
      </c>
      <c r="J52" s="355">
        <f>IF(A52="TOTAL",ROUND(SUM($J$3:J51),2),IF(OR(A52="",H52="",I52=""),"",ROUND(H52*I52,2)))</f>
        <v/>
      </c>
      <c r="K52" s="356">
        <f>IF(OR(historico_VU!A51="",historico_VU!F51=""),"",historico_VU!F51)</f>
        <v/>
      </c>
      <c r="L52" s="120">
        <f>IF(posicao_contratual!A51="","",posicao_contratual!S51)</f>
        <v/>
      </c>
      <c r="M52" s="356">
        <f>IF(A52="TOTAL",ROUND(SUM($M$3:M51),2),IF(OR(A52="",K52="",L52=""),"",ROUND(K52*L52,2)))</f>
        <v/>
      </c>
      <c r="N52" s="355">
        <f>IF(OR(historico_VU!A51="",historico_VU!G51=""),"",historico_VU!G51)</f>
        <v/>
      </c>
      <c r="O52" s="118">
        <f>IF(posicao_contratual!A51="","",posicao_contratual!W51)</f>
        <v/>
      </c>
      <c r="P52" s="355">
        <f>IF(A52="TOTAL",ROUND(SUM($P$3:P51),2),IF(OR(A52="",N52="",O52=""),"",ROUND(N52*O52,2)))</f>
        <v/>
      </c>
      <c r="Q52" s="195">
        <f>IF($A52="","",IF(ISERROR(INDIRECT("CICLO_EM_EXECUCAO!$D$5")),"",INDIRECT("CICLO_EM_EXECUCAO!$D$5")))</f>
        <v/>
      </c>
      <c r="R52">
        <f>IF($A52="","",IF(MEMORIA_RESULTADOS!$W$46="","","C"&amp;MEMORIA_RESULTADOS!$W$46))</f>
        <v/>
      </c>
      <c r="S52" s="273">
        <f>IF($A52="","",IF(ISERROR(INDIRECT("CICLO_EM_EXECUCAO!B"&amp;(ROW()+10))),"",INDIRECT("CICLO_EM_EXECUCAO!B"&amp;(ROW()+10))))</f>
        <v/>
      </c>
      <c r="T52" s="273">
        <f>IF($A52="","",IF(ISERROR(INDIRECT("CICLO_EM_EXECUCAO!D"&amp;(ROW()+10))),"",INDIRECT("CICLO_EM_EXECUCAO!D"&amp;(ROW()+10))))</f>
        <v/>
      </c>
      <c r="U52" s="273">
        <f>IF($A52="","",IF(ISERROR(INDIRECT("CICLO_EM_EXECUCAO!C"&amp;(ROW()+10))),"",INDIRECT("CICLO_EM_EXECUCAO!C"&amp;(ROW()+10))))</f>
        <v/>
      </c>
      <c r="V52" s="213">
        <f>IF($A52="","",IF(ISERROR(INDIRECT("CICLO_EM_EXECUCAO!E"&amp;(ROW()+10))),"",INDIRECT("CICLO_EM_EXECUCAO!E"&amp;(ROW()+10))))</f>
        <v/>
      </c>
      <c r="W52" s="213">
        <f>IF($A52="","",IF(ISERROR(INDIRECT("CICLO_EM_EXECUCAO!F"&amp;(ROW()+10))),"",INDIRECT("CICLO_EM_EXECUCAO!F"&amp;(ROW()+10))))</f>
        <v/>
      </c>
      <c r="X52" s="213">
        <f>IF($A52="","",IF(ISERROR(INDIRECT("CICLO_EM_EXECUCAO!G"&amp;(ROW()+10))),"",INDIRECT("CICLO_EM_EXECUCAO!G"&amp;(ROW()+10))))</f>
        <v/>
      </c>
      <c r="Y52">
        <f>IF($A52="","",IF(ISERROR(INDIRECT("CICLO_EM_EXECUCAO!K"&amp;(ROW()+10))),"CICLO_EM_EXECUCAO AUSENTE",INDIRECT("CICLO_EM_EXECUCAO!K"&amp;(ROW()+10))))</f>
        <v/>
      </c>
    </row>
    <row r="53">
      <c r="A53" s="116">
        <f>IF(AND(itens_Remanesc!A52="",itens_Remanesc!A51&lt;&gt;"",COUNTIF(itens_Remanesc!A53:$A$200,"&lt;&gt;")=0),"TOTAL",IF(itens_Remanesc!A52="","",itens_Remanesc!A52))</f>
        <v/>
      </c>
      <c r="B53" s="355">
        <f>IF(OR(historico_VU!A52="",historico_VU!C52=""),"",historico_VU!C52)</f>
        <v/>
      </c>
      <c r="C53" s="118">
        <f>IF(posicao_contratual!A52="","",posicao_contratual!G52)</f>
        <v/>
      </c>
      <c r="D53" s="355">
        <f>IF(A53="TOTAL",ROUND(SUM($D$3:D52),2),IF(OR(A53="",B53="",C53=""),"",ROUND(B53*C53,2)))</f>
        <v/>
      </c>
      <c r="E53" s="356">
        <f>IF(OR(historico_VU!A52="",historico_VU!D52=""),"",historico_VU!D52)</f>
        <v/>
      </c>
      <c r="F53" s="120">
        <f>IF(posicao_contratual!A52="","",posicao_contratual!K52)</f>
        <v/>
      </c>
      <c r="G53" s="356">
        <f>IF(A53="TOTAL",ROUND(SUM($G$3:G52),2),IF(OR(A53="",E53="",F53=""),"",ROUND(E53*F53,2)))</f>
        <v/>
      </c>
      <c r="H53" s="355">
        <f>IF(OR(historico_VU!A52="",historico_VU!E52=""),"",historico_VU!E52)</f>
        <v/>
      </c>
      <c r="I53" s="118">
        <f>IF(posicao_contratual!A52="","",posicao_contratual!O52)</f>
        <v/>
      </c>
      <c r="J53" s="355">
        <f>IF(A53="TOTAL",ROUND(SUM($J$3:J52),2),IF(OR(A53="",H53="",I53=""),"",ROUND(H53*I53,2)))</f>
        <v/>
      </c>
      <c r="K53" s="356">
        <f>IF(OR(historico_VU!A52="",historico_VU!F52=""),"",historico_VU!F52)</f>
        <v/>
      </c>
      <c r="L53" s="120">
        <f>IF(posicao_contratual!A52="","",posicao_contratual!S52)</f>
        <v/>
      </c>
      <c r="M53" s="356">
        <f>IF(A53="TOTAL",ROUND(SUM($M$3:M52),2),IF(OR(A53="",K53="",L53=""),"",ROUND(K53*L53,2)))</f>
        <v/>
      </c>
      <c r="N53" s="355">
        <f>IF(OR(historico_VU!A52="",historico_VU!G52=""),"",historico_VU!G52)</f>
        <v/>
      </c>
      <c r="O53" s="118">
        <f>IF(posicao_contratual!A52="","",posicao_contratual!W52)</f>
        <v/>
      </c>
      <c r="P53" s="355">
        <f>IF(A53="TOTAL",ROUND(SUM($P$3:P52),2),IF(OR(A53="",N53="",O53=""),"",ROUND(N53*O53,2)))</f>
        <v/>
      </c>
      <c r="Q53" s="195">
        <f>IF($A53="","",IF(ISERROR(INDIRECT("CICLO_EM_EXECUCAO!$D$5")),"",INDIRECT("CICLO_EM_EXECUCAO!$D$5")))</f>
        <v/>
      </c>
      <c r="R53">
        <f>IF($A53="","",IF(MEMORIA_RESULTADOS!$W$46="","","C"&amp;MEMORIA_RESULTADOS!$W$46))</f>
        <v/>
      </c>
      <c r="S53" s="273">
        <f>IF($A53="","",IF(ISERROR(INDIRECT("CICLO_EM_EXECUCAO!B"&amp;(ROW()+10))),"",INDIRECT("CICLO_EM_EXECUCAO!B"&amp;(ROW()+10))))</f>
        <v/>
      </c>
      <c r="T53" s="273">
        <f>IF($A53="","",IF(ISERROR(INDIRECT("CICLO_EM_EXECUCAO!D"&amp;(ROW()+10))),"",INDIRECT("CICLO_EM_EXECUCAO!D"&amp;(ROW()+10))))</f>
        <v/>
      </c>
      <c r="U53" s="273">
        <f>IF($A53="","",IF(ISERROR(INDIRECT("CICLO_EM_EXECUCAO!C"&amp;(ROW()+10))),"",INDIRECT("CICLO_EM_EXECUCAO!C"&amp;(ROW()+10))))</f>
        <v/>
      </c>
      <c r="V53" s="213">
        <f>IF($A53="","",IF(ISERROR(INDIRECT("CICLO_EM_EXECUCAO!E"&amp;(ROW()+10))),"",INDIRECT("CICLO_EM_EXECUCAO!E"&amp;(ROW()+10))))</f>
        <v/>
      </c>
      <c r="W53" s="213">
        <f>IF($A53="","",IF(ISERROR(INDIRECT("CICLO_EM_EXECUCAO!F"&amp;(ROW()+10))),"",INDIRECT("CICLO_EM_EXECUCAO!F"&amp;(ROW()+10))))</f>
        <v/>
      </c>
      <c r="X53" s="213">
        <f>IF($A53="","",IF(ISERROR(INDIRECT("CICLO_EM_EXECUCAO!G"&amp;(ROW()+10))),"",INDIRECT("CICLO_EM_EXECUCAO!G"&amp;(ROW()+10))))</f>
        <v/>
      </c>
      <c r="Y53">
        <f>IF($A53="","",IF(ISERROR(INDIRECT("CICLO_EM_EXECUCAO!K"&amp;(ROW()+10))),"CICLO_EM_EXECUCAO AUSENTE",INDIRECT("CICLO_EM_EXECUCAO!K"&amp;(ROW()+10))))</f>
        <v/>
      </c>
    </row>
    <row r="54">
      <c r="A54" s="116">
        <f>IF(AND(itens_Remanesc!A53="",itens_Remanesc!A52&lt;&gt;"",COUNTIF(itens_Remanesc!A54:$A$200,"&lt;&gt;")=0),"TOTAL",IF(itens_Remanesc!A53="","",itens_Remanesc!A53))</f>
        <v/>
      </c>
      <c r="B54" s="355">
        <f>IF(OR(historico_VU!A53="",historico_VU!C53=""),"",historico_VU!C53)</f>
        <v/>
      </c>
      <c r="C54" s="118">
        <f>IF(posicao_contratual!A53="","",posicao_contratual!G53)</f>
        <v/>
      </c>
      <c r="D54" s="355">
        <f>IF(A54="TOTAL",ROUND(SUM($D$3:D53),2),IF(OR(A54="",B54="",C54=""),"",ROUND(B54*C54,2)))</f>
        <v/>
      </c>
      <c r="E54" s="356">
        <f>IF(OR(historico_VU!A53="",historico_VU!D53=""),"",historico_VU!D53)</f>
        <v/>
      </c>
      <c r="F54" s="120">
        <f>IF(posicao_contratual!A53="","",posicao_contratual!K53)</f>
        <v/>
      </c>
      <c r="G54" s="356">
        <f>IF(A54="TOTAL",ROUND(SUM($G$3:G53),2),IF(OR(A54="",E54="",F54=""),"",ROUND(E54*F54,2)))</f>
        <v/>
      </c>
      <c r="H54" s="355">
        <f>IF(OR(historico_VU!A53="",historico_VU!E53=""),"",historico_VU!E53)</f>
        <v/>
      </c>
      <c r="I54" s="118">
        <f>IF(posicao_contratual!A53="","",posicao_contratual!O53)</f>
        <v/>
      </c>
      <c r="J54" s="355">
        <f>IF(A54="TOTAL",ROUND(SUM($J$3:J53),2),IF(OR(A54="",H54="",I54=""),"",ROUND(H54*I54,2)))</f>
        <v/>
      </c>
      <c r="K54" s="356">
        <f>IF(OR(historico_VU!A53="",historico_VU!F53=""),"",historico_VU!F53)</f>
        <v/>
      </c>
      <c r="L54" s="120">
        <f>IF(posicao_contratual!A53="","",posicao_contratual!S53)</f>
        <v/>
      </c>
      <c r="M54" s="356">
        <f>IF(A54="TOTAL",ROUND(SUM($M$3:M53),2),IF(OR(A54="",K54="",L54=""),"",ROUND(K54*L54,2)))</f>
        <v/>
      </c>
      <c r="N54" s="355">
        <f>IF(OR(historico_VU!A53="",historico_VU!G53=""),"",historico_VU!G53)</f>
        <v/>
      </c>
      <c r="O54" s="118">
        <f>IF(posicao_contratual!A53="","",posicao_contratual!W53)</f>
        <v/>
      </c>
      <c r="P54" s="355">
        <f>IF(A54="TOTAL",ROUND(SUM($P$3:P53),2),IF(OR(A54="",N54="",O54=""),"",ROUND(N54*O54,2)))</f>
        <v/>
      </c>
      <c r="Q54" s="195">
        <f>IF($A54="","",IF(ISERROR(INDIRECT("CICLO_EM_EXECUCAO!$D$5")),"",INDIRECT("CICLO_EM_EXECUCAO!$D$5")))</f>
        <v/>
      </c>
      <c r="R54">
        <f>IF($A54="","",IF(MEMORIA_RESULTADOS!$W$46="","","C"&amp;MEMORIA_RESULTADOS!$W$46))</f>
        <v/>
      </c>
      <c r="S54" s="273">
        <f>IF($A54="","",IF(ISERROR(INDIRECT("CICLO_EM_EXECUCAO!B"&amp;(ROW()+10))),"",INDIRECT("CICLO_EM_EXECUCAO!B"&amp;(ROW()+10))))</f>
        <v/>
      </c>
      <c r="T54" s="273">
        <f>IF($A54="","",IF(ISERROR(INDIRECT("CICLO_EM_EXECUCAO!D"&amp;(ROW()+10))),"",INDIRECT("CICLO_EM_EXECUCAO!D"&amp;(ROW()+10))))</f>
        <v/>
      </c>
      <c r="U54" s="273">
        <f>IF($A54="","",IF(ISERROR(INDIRECT("CICLO_EM_EXECUCAO!C"&amp;(ROW()+10))),"",INDIRECT("CICLO_EM_EXECUCAO!C"&amp;(ROW()+10))))</f>
        <v/>
      </c>
      <c r="V54" s="213">
        <f>IF($A54="","",IF(ISERROR(INDIRECT("CICLO_EM_EXECUCAO!E"&amp;(ROW()+10))),"",INDIRECT("CICLO_EM_EXECUCAO!E"&amp;(ROW()+10))))</f>
        <v/>
      </c>
      <c r="W54" s="213">
        <f>IF($A54="","",IF(ISERROR(INDIRECT("CICLO_EM_EXECUCAO!F"&amp;(ROW()+10))),"",INDIRECT("CICLO_EM_EXECUCAO!F"&amp;(ROW()+10))))</f>
        <v/>
      </c>
      <c r="X54" s="213">
        <f>IF($A54="","",IF(ISERROR(INDIRECT("CICLO_EM_EXECUCAO!G"&amp;(ROW()+10))),"",INDIRECT("CICLO_EM_EXECUCAO!G"&amp;(ROW()+10))))</f>
        <v/>
      </c>
      <c r="Y54">
        <f>IF($A54="","",IF(ISERROR(INDIRECT("CICLO_EM_EXECUCAO!K"&amp;(ROW()+10))),"CICLO_EM_EXECUCAO AUSENTE",INDIRECT("CICLO_EM_EXECUCAO!K"&amp;(ROW()+10))))</f>
        <v/>
      </c>
    </row>
    <row r="55">
      <c r="A55" s="116">
        <f>IF(AND(itens_Remanesc!A54="",itens_Remanesc!A53&lt;&gt;"",COUNTIF(itens_Remanesc!A55:$A$200,"&lt;&gt;")=0),"TOTAL",IF(itens_Remanesc!A54="","",itens_Remanesc!A54))</f>
        <v/>
      </c>
      <c r="B55" s="355">
        <f>IF(OR(historico_VU!A54="",historico_VU!C54=""),"",historico_VU!C54)</f>
        <v/>
      </c>
      <c r="C55" s="118">
        <f>IF(posicao_contratual!A54="","",posicao_contratual!G54)</f>
        <v/>
      </c>
      <c r="D55" s="355">
        <f>IF(A55="TOTAL",ROUND(SUM($D$3:D54),2),IF(OR(A55="",B55="",C55=""),"",ROUND(B55*C55,2)))</f>
        <v/>
      </c>
      <c r="E55" s="356">
        <f>IF(OR(historico_VU!A54="",historico_VU!D54=""),"",historico_VU!D54)</f>
        <v/>
      </c>
      <c r="F55" s="120">
        <f>IF(posicao_contratual!A54="","",posicao_contratual!K54)</f>
        <v/>
      </c>
      <c r="G55" s="356">
        <f>IF(A55="TOTAL",ROUND(SUM($G$3:G54),2),IF(OR(A55="",E55="",F55=""),"",ROUND(E55*F55,2)))</f>
        <v/>
      </c>
      <c r="H55" s="355">
        <f>IF(OR(historico_VU!A54="",historico_VU!E54=""),"",historico_VU!E54)</f>
        <v/>
      </c>
      <c r="I55" s="118">
        <f>IF(posicao_contratual!A54="","",posicao_contratual!O54)</f>
        <v/>
      </c>
      <c r="J55" s="355">
        <f>IF(A55="TOTAL",ROUND(SUM($J$3:J54),2),IF(OR(A55="",H55="",I55=""),"",ROUND(H55*I55,2)))</f>
        <v/>
      </c>
      <c r="K55" s="356">
        <f>IF(OR(historico_VU!A54="",historico_VU!F54=""),"",historico_VU!F54)</f>
        <v/>
      </c>
      <c r="L55" s="120">
        <f>IF(posicao_contratual!A54="","",posicao_contratual!S54)</f>
        <v/>
      </c>
      <c r="M55" s="356">
        <f>IF(A55="TOTAL",ROUND(SUM($M$3:M54),2),IF(OR(A55="",K55="",L55=""),"",ROUND(K55*L55,2)))</f>
        <v/>
      </c>
      <c r="N55" s="355">
        <f>IF(OR(historico_VU!A54="",historico_VU!G54=""),"",historico_VU!G54)</f>
        <v/>
      </c>
      <c r="O55" s="118">
        <f>IF(posicao_contratual!A54="","",posicao_contratual!W54)</f>
        <v/>
      </c>
      <c r="P55" s="355">
        <f>IF(A55="TOTAL",ROUND(SUM($P$3:P54),2),IF(OR(A55="",N55="",O55=""),"",ROUND(N55*O55,2)))</f>
        <v/>
      </c>
      <c r="Q55" s="195">
        <f>IF($A55="","",IF(ISERROR(INDIRECT("CICLO_EM_EXECUCAO!$D$5")),"",INDIRECT("CICLO_EM_EXECUCAO!$D$5")))</f>
        <v/>
      </c>
      <c r="R55">
        <f>IF($A55="","",IF(MEMORIA_RESULTADOS!$W$46="","","C"&amp;MEMORIA_RESULTADOS!$W$46))</f>
        <v/>
      </c>
      <c r="S55" s="273">
        <f>IF($A55="","",IF(ISERROR(INDIRECT("CICLO_EM_EXECUCAO!B"&amp;(ROW()+10))),"",INDIRECT("CICLO_EM_EXECUCAO!B"&amp;(ROW()+10))))</f>
        <v/>
      </c>
      <c r="T55" s="273">
        <f>IF($A55="","",IF(ISERROR(INDIRECT("CICLO_EM_EXECUCAO!D"&amp;(ROW()+10))),"",INDIRECT("CICLO_EM_EXECUCAO!D"&amp;(ROW()+10))))</f>
        <v/>
      </c>
      <c r="U55" s="273">
        <f>IF($A55="","",IF(ISERROR(INDIRECT("CICLO_EM_EXECUCAO!C"&amp;(ROW()+10))),"",INDIRECT("CICLO_EM_EXECUCAO!C"&amp;(ROW()+10))))</f>
        <v/>
      </c>
      <c r="V55" s="213">
        <f>IF($A55="","",IF(ISERROR(INDIRECT("CICLO_EM_EXECUCAO!E"&amp;(ROW()+10))),"",INDIRECT("CICLO_EM_EXECUCAO!E"&amp;(ROW()+10))))</f>
        <v/>
      </c>
      <c r="W55" s="213">
        <f>IF($A55="","",IF(ISERROR(INDIRECT("CICLO_EM_EXECUCAO!F"&amp;(ROW()+10))),"",INDIRECT("CICLO_EM_EXECUCAO!F"&amp;(ROW()+10))))</f>
        <v/>
      </c>
      <c r="X55" s="213">
        <f>IF($A55="","",IF(ISERROR(INDIRECT("CICLO_EM_EXECUCAO!G"&amp;(ROW()+10))),"",INDIRECT("CICLO_EM_EXECUCAO!G"&amp;(ROW()+10))))</f>
        <v/>
      </c>
      <c r="Y55">
        <f>IF($A55="","",IF(ISERROR(INDIRECT("CICLO_EM_EXECUCAO!K"&amp;(ROW()+10))),"CICLO_EM_EXECUCAO AUSENTE",INDIRECT("CICLO_EM_EXECUCAO!K"&amp;(ROW()+10))))</f>
        <v/>
      </c>
    </row>
    <row r="56">
      <c r="A56" s="116">
        <f>IF(AND(itens_Remanesc!A55="",itens_Remanesc!A54&lt;&gt;"",COUNTIF(itens_Remanesc!A56:$A$200,"&lt;&gt;")=0),"TOTAL",IF(itens_Remanesc!A55="","",itens_Remanesc!A55))</f>
        <v/>
      </c>
      <c r="B56" s="355">
        <f>IF(OR(historico_VU!A55="",historico_VU!C55=""),"",historico_VU!C55)</f>
        <v/>
      </c>
      <c r="C56" s="118">
        <f>IF(posicao_contratual!A55="","",posicao_contratual!G55)</f>
        <v/>
      </c>
      <c r="D56" s="355">
        <f>IF(A56="TOTAL",ROUND(SUM($D$3:D55),2),IF(OR(A56="",B56="",C56=""),"",ROUND(B56*C56,2)))</f>
        <v/>
      </c>
      <c r="E56" s="356">
        <f>IF(OR(historico_VU!A55="",historico_VU!D55=""),"",historico_VU!D55)</f>
        <v/>
      </c>
      <c r="F56" s="120">
        <f>IF(posicao_contratual!A55="","",posicao_contratual!K55)</f>
        <v/>
      </c>
      <c r="G56" s="356">
        <f>IF(A56="TOTAL",ROUND(SUM($G$3:G55),2),IF(OR(A56="",E56="",F56=""),"",ROUND(E56*F56,2)))</f>
        <v/>
      </c>
      <c r="H56" s="355">
        <f>IF(OR(historico_VU!A55="",historico_VU!E55=""),"",historico_VU!E55)</f>
        <v/>
      </c>
      <c r="I56" s="118">
        <f>IF(posicao_contratual!A55="","",posicao_contratual!O55)</f>
        <v/>
      </c>
      <c r="J56" s="355">
        <f>IF(A56="TOTAL",ROUND(SUM($J$3:J55),2),IF(OR(A56="",H56="",I56=""),"",ROUND(H56*I56,2)))</f>
        <v/>
      </c>
      <c r="K56" s="356">
        <f>IF(OR(historico_VU!A55="",historico_VU!F55=""),"",historico_VU!F55)</f>
        <v/>
      </c>
      <c r="L56" s="120">
        <f>IF(posicao_contratual!A55="","",posicao_contratual!S55)</f>
        <v/>
      </c>
      <c r="M56" s="356">
        <f>IF(A56="TOTAL",ROUND(SUM($M$3:M55),2),IF(OR(A56="",K56="",L56=""),"",ROUND(K56*L56,2)))</f>
        <v/>
      </c>
      <c r="N56" s="355">
        <f>IF(OR(historico_VU!A55="",historico_VU!G55=""),"",historico_VU!G55)</f>
        <v/>
      </c>
      <c r="O56" s="118">
        <f>IF(posicao_contratual!A55="","",posicao_contratual!W55)</f>
        <v/>
      </c>
      <c r="P56" s="355">
        <f>IF(A56="TOTAL",ROUND(SUM($P$3:P55),2),IF(OR(A56="",N56="",O56=""),"",ROUND(N56*O56,2)))</f>
        <v/>
      </c>
      <c r="Q56" s="195">
        <f>IF($A56="","",IF(ISERROR(INDIRECT("CICLO_EM_EXECUCAO!$D$5")),"",INDIRECT("CICLO_EM_EXECUCAO!$D$5")))</f>
        <v/>
      </c>
      <c r="R56">
        <f>IF($A56="","",IF(MEMORIA_RESULTADOS!$W$46="","","C"&amp;MEMORIA_RESULTADOS!$W$46))</f>
        <v/>
      </c>
      <c r="S56" s="273">
        <f>IF($A56="","",IF(ISERROR(INDIRECT("CICLO_EM_EXECUCAO!B"&amp;(ROW()+10))),"",INDIRECT("CICLO_EM_EXECUCAO!B"&amp;(ROW()+10))))</f>
        <v/>
      </c>
      <c r="T56" s="273">
        <f>IF($A56="","",IF(ISERROR(INDIRECT("CICLO_EM_EXECUCAO!D"&amp;(ROW()+10))),"",INDIRECT("CICLO_EM_EXECUCAO!D"&amp;(ROW()+10))))</f>
        <v/>
      </c>
      <c r="U56" s="273">
        <f>IF($A56="","",IF(ISERROR(INDIRECT("CICLO_EM_EXECUCAO!C"&amp;(ROW()+10))),"",INDIRECT("CICLO_EM_EXECUCAO!C"&amp;(ROW()+10))))</f>
        <v/>
      </c>
      <c r="V56" s="213">
        <f>IF($A56="","",IF(ISERROR(INDIRECT("CICLO_EM_EXECUCAO!E"&amp;(ROW()+10))),"",INDIRECT("CICLO_EM_EXECUCAO!E"&amp;(ROW()+10))))</f>
        <v/>
      </c>
      <c r="W56" s="213">
        <f>IF($A56="","",IF(ISERROR(INDIRECT("CICLO_EM_EXECUCAO!F"&amp;(ROW()+10))),"",INDIRECT("CICLO_EM_EXECUCAO!F"&amp;(ROW()+10))))</f>
        <v/>
      </c>
      <c r="X56" s="213">
        <f>IF($A56="","",IF(ISERROR(INDIRECT("CICLO_EM_EXECUCAO!G"&amp;(ROW()+10))),"",INDIRECT("CICLO_EM_EXECUCAO!G"&amp;(ROW()+10))))</f>
        <v/>
      </c>
      <c r="Y56">
        <f>IF($A56="","",IF(ISERROR(INDIRECT("CICLO_EM_EXECUCAO!K"&amp;(ROW()+10))),"CICLO_EM_EXECUCAO AUSENTE",INDIRECT("CICLO_EM_EXECUCAO!K"&amp;(ROW()+10))))</f>
        <v/>
      </c>
    </row>
    <row r="57">
      <c r="A57" s="116">
        <f>IF(AND(itens_Remanesc!A56="",itens_Remanesc!A55&lt;&gt;"",COUNTIF(itens_Remanesc!A57:$A$200,"&lt;&gt;")=0),"TOTAL",IF(itens_Remanesc!A56="","",itens_Remanesc!A56))</f>
        <v/>
      </c>
      <c r="B57" s="355">
        <f>IF(OR(historico_VU!A56="",historico_VU!C56=""),"",historico_VU!C56)</f>
        <v/>
      </c>
      <c r="C57" s="118">
        <f>IF(posicao_contratual!A56="","",posicao_contratual!G56)</f>
        <v/>
      </c>
      <c r="D57" s="355">
        <f>IF(A57="TOTAL",ROUND(SUM($D$3:D56),2),IF(OR(A57="",B57="",C57=""),"",ROUND(B57*C57,2)))</f>
        <v/>
      </c>
      <c r="E57" s="356">
        <f>IF(OR(historico_VU!A56="",historico_VU!D56=""),"",historico_VU!D56)</f>
        <v/>
      </c>
      <c r="F57" s="120">
        <f>IF(posicao_contratual!A56="","",posicao_contratual!K56)</f>
        <v/>
      </c>
      <c r="G57" s="356">
        <f>IF(A57="TOTAL",ROUND(SUM($G$3:G56),2),IF(OR(A57="",E57="",F57=""),"",ROUND(E57*F57,2)))</f>
        <v/>
      </c>
      <c r="H57" s="355">
        <f>IF(OR(historico_VU!A56="",historico_VU!E56=""),"",historico_VU!E56)</f>
        <v/>
      </c>
      <c r="I57" s="118">
        <f>IF(posicao_contratual!A56="","",posicao_contratual!O56)</f>
        <v/>
      </c>
      <c r="J57" s="355">
        <f>IF(A57="TOTAL",ROUND(SUM($J$3:J56),2),IF(OR(A57="",H57="",I57=""),"",ROUND(H57*I57,2)))</f>
        <v/>
      </c>
      <c r="K57" s="356">
        <f>IF(OR(historico_VU!A56="",historico_VU!F56=""),"",historico_VU!F56)</f>
        <v/>
      </c>
      <c r="L57" s="120">
        <f>IF(posicao_contratual!A56="","",posicao_contratual!S56)</f>
        <v/>
      </c>
      <c r="M57" s="356">
        <f>IF(A57="TOTAL",ROUND(SUM($M$3:M56),2),IF(OR(A57="",K57="",L57=""),"",ROUND(K57*L57,2)))</f>
        <v/>
      </c>
      <c r="N57" s="355">
        <f>IF(OR(historico_VU!A56="",historico_VU!G56=""),"",historico_VU!G56)</f>
        <v/>
      </c>
      <c r="O57" s="118">
        <f>IF(posicao_contratual!A56="","",posicao_contratual!W56)</f>
        <v/>
      </c>
      <c r="P57" s="355">
        <f>IF(A57="TOTAL",ROUND(SUM($P$3:P56),2),IF(OR(A57="",N57="",O57=""),"",ROUND(N57*O57,2)))</f>
        <v/>
      </c>
      <c r="Q57" s="195">
        <f>IF($A57="","",IF(ISERROR(INDIRECT("CICLO_EM_EXECUCAO!$D$5")),"",INDIRECT("CICLO_EM_EXECUCAO!$D$5")))</f>
        <v/>
      </c>
      <c r="R57">
        <f>IF($A57="","",IF(MEMORIA_RESULTADOS!$W$46="","","C"&amp;MEMORIA_RESULTADOS!$W$46))</f>
        <v/>
      </c>
      <c r="S57" s="273">
        <f>IF($A57="","",IF(ISERROR(INDIRECT("CICLO_EM_EXECUCAO!B"&amp;(ROW()+10))),"",INDIRECT("CICLO_EM_EXECUCAO!B"&amp;(ROW()+10))))</f>
        <v/>
      </c>
      <c r="T57" s="273">
        <f>IF($A57="","",IF(ISERROR(INDIRECT("CICLO_EM_EXECUCAO!D"&amp;(ROW()+10))),"",INDIRECT("CICLO_EM_EXECUCAO!D"&amp;(ROW()+10))))</f>
        <v/>
      </c>
      <c r="U57" s="273">
        <f>IF($A57="","",IF(ISERROR(INDIRECT("CICLO_EM_EXECUCAO!C"&amp;(ROW()+10))),"",INDIRECT("CICLO_EM_EXECUCAO!C"&amp;(ROW()+10))))</f>
        <v/>
      </c>
      <c r="V57" s="213">
        <f>IF($A57="","",IF(ISERROR(INDIRECT("CICLO_EM_EXECUCAO!E"&amp;(ROW()+10))),"",INDIRECT("CICLO_EM_EXECUCAO!E"&amp;(ROW()+10))))</f>
        <v/>
      </c>
      <c r="W57" s="213">
        <f>IF($A57="","",IF(ISERROR(INDIRECT("CICLO_EM_EXECUCAO!F"&amp;(ROW()+10))),"",INDIRECT("CICLO_EM_EXECUCAO!F"&amp;(ROW()+10))))</f>
        <v/>
      </c>
      <c r="X57" s="213">
        <f>IF($A57="","",IF(ISERROR(INDIRECT("CICLO_EM_EXECUCAO!G"&amp;(ROW()+10))),"",INDIRECT("CICLO_EM_EXECUCAO!G"&amp;(ROW()+10))))</f>
        <v/>
      </c>
      <c r="Y57">
        <f>IF($A57="","",IF(ISERROR(INDIRECT("CICLO_EM_EXECUCAO!K"&amp;(ROW()+10))),"CICLO_EM_EXECUCAO AUSENTE",INDIRECT("CICLO_EM_EXECUCAO!K"&amp;(ROW()+10))))</f>
        <v/>
      </c>
    </row>
    <row r="58">
      <c r="A58" s="116">
        <f>IF(AND(itens_Remanesc!A57="",itens_Remanesc!A56&lt;&gt;"",COUNTIF(itens_Remanesc!A58:$A$200,"&lt;&gt;")=0),"TOTAL",IF(itens_Remanesc!A57="","",itens_Remanesc!A57))</f>
        <v/>
      </c>
      <c r="B58" s="355">
        <f>IF(OR(historico_VU!A57="",historico_VU!C57=""),"",historico_VU!C57)</f>
        <v/>
      </c>
      <c r="C58" s="118">
        <f>IF(posicao_contratual!A57="","",posicao_contratual!G57)</f>
        <v/>
      </c>
      <c r="D58" s="355">
        <f>IF(A58="TOTAL",ROUND(SUM($D$3:D57),2),IF(OR(A58="",B58="",C58=""),"",ROUND(B58*C58,2)))</f>
        <v/>
      </c>
      <c r="E58" s="356">
        <f>IF(OR(historico_VU!A57="",historico_VU!D57=""),"",historico_VU!D57)</f>
        <v/>
      </c>
      <c r="F58" s="120">
        <f>IF(posicao_contratual!A57="","",posicao_contratual!K57)</f>
        <v/>
      </c>
      <c r="G58" s="356">
        <f>IF(A58="TOTAL",ROUND(SUM($G$3:G57),2),IF(OR(A58="",E58="",F58=""),"",ROUND(E58*F58,2)))</f>
        <v/>
      </c>
      <c r="H58" s="355">
        <f>IF(OR(historico_VU!A57="",historico_VU!E57=""),"",historico_VU!E57)</f>
        <v/>
      </c>
      <c r="I58" s="118">
        <f>IF(posicao_contratual!A57="","",posicao_contratual!O57)</f>
        <v/>
      </c>
      <c r="J58" s="355">
        <f>IF(A58="TOTAL",ROUND(SUM($J$3:J57),2),IF(OR(A58="",H58="",I58=""),"",ROUND(H58*I58,2)))</f>
        <v/>
      </c>
      <c r="K58" s="356">
        <f>IF(OR(historico_VU!A57="",historico_VU!F57=""),"",historico_VU!F57)</f>
        <v/>
      </c>
      <c r="L58" s="120">
        <f>IF(posicao_contratual!A57="","",posicao_contratual!S57)</f>
        <v/>
      </c>
      <c r="M58" s="356">
        <f>IF(A58="TOTAL",ROUND(SUM($M$3:M57),2),IF(OR(A58="",K58="",L58=""),"",ROUND(K58*L58,2)))</f>
        <v/>
      </c>
      <c r="N58" s="355">
        <f>IF(OR(historico_VU!A57="",historico_VU!G57=""),"",historico_VU!G57)</f>
        <v/>
      </c>
      <c r="O58" s="118">
        <f>IF(posicao_contratual!A57="","",posicao_contratual!W57)</f>
        <v/>
      </c>
      <c r="P58" s="355">
        <f>IF(A58="TOTAL",ROUND(SUM($P$3:P57),2),IF(OR(A58="",N58="",O58=""),"",ROUND(N58*O58,2)))</f>
        <v/>
      </c>
      <c r="Q58" s="195">
        <f>IF($A58="","",IF(ISERROR(INDIRECT("CICLO_EM_EXECUCAO!$D$5")),"",INDIRECT("CICLO_EM_EXECUCAO!$D$5")))</f>
        <v/>
      </c>
      <c r="R58">
        <f>IF($A58="","",IF(MEMORIA_RESULTADOS!$W$46="","","C"&amp;MEMORIA_RESULTADOS!$W$46))</f>
        <v/>
      </c>
      <c r="S58" s="273">
        <f>IF($A58="","",IF(ISERROR(INDIRECT("CICLO_EM_EXECUCAO!B"&amp;(ROW()+10))),"",INDIRECT("CICLO_EM_EXECUCAO!B"&amp;(ROW()+10))))</f>
        <v/>
      </c>
      <c r="T58" s="273">
        <f>IF($A58="","",IF(ISERROR(INDIRECT("CICLO_EM_EXECUCAO!D"&amp;(ROW()+10))),"",INDIRECT("CICLO_EM_EXECUCAO!D"&amp;(ROW()+10))))</f>
        <v/>
      </c>
      <c r="U58" s="273">
        <f>IF($A58="","",IF(ISERROR(INDIRECT("CICLO_EM_EXECUCAO!C"&amp;(ROW()+10))),"",INDIRECT("CICLO_EM_EXECUCAO!C"&amp;(ROW()+10))))</f>
        <v/>
      </c>
      <c r="V58" s="213">
        <f>IF($A58="","",IF(ISERROR(INDIRECT("CICLO_EM_EXECUCAO!E"&amp;(ROW()+10))),"",INDIRECT("CICLO_EM_EXECUCAO!E"&amp;(ROW()+10))))</f>
        <v/>
      </c>
      <c r="W58" s="213">
        <f>IF($A58="","",IF(ISERROR(INDIRECT("CICLO_EM_EXECUCAO!F"&amp;(ROW()+10))),"",INDIRECT("CICLO_EM_EXECUCAO!F"&amp;(ROW()+10))))</f>
        <v/>
      </c>
      <c r="X58" s="213">
        <f>IF($A58="","",IF(ISERROR(INDIRECT("CICLO_EM_EXECUCAO!G"&amp;(ROW()+10))),"",INDIRECT("CICLO_EM_EXECUCAO!G"&amp;(ROW()+10))))</f>
        <v/>
      </c>
      <c r="Y58">
        <f>IF($A58="","",IF(ISERROR(INDIRECT("CICLO_EM_EXECUCAO!K"&amp;(ROW()+10))),"CICLO_EM_EXECUCAO AUSENTE",INDIRECT("CICLO_EM_EXECUCAO!K"&amp;(ROW()+10))))</f>
        <v/>
      </c>
    </row>
    <row r="59">
      <c r="A59" s="116">
        <f>IF(AND(itens_Remanesc!A58="",itens_Remanesc!A57&lt;&gt;"",COUNTIF(itens_Remanesc!A59:$A$200,"&lt;&gt;")=0),"TOTAL",IF(itens_Remanesc!A58="","",itens_Remanesc!A58))</f>
        <v/>
      </c>
      <c r="B59" s="355">
        <f>IF(OR(historico_VU!A58="",historico_VU!C58=""),"",historico_VU!C58)</f>
        <v/>
      </c>
      <c r="C59" s="118">
        <f>IF(posicao_contratual!A58="","",posicao_contratual!G58)</f>
        <v/>
      </c>
      <c r="D59" s="355">
        <f>IF(A59="TOTAL",ROUND(SUM($D$3:D58),2),IF(OR(A59="",B59="",C59=""),"",ROUND(B59*C59,2)))</f>
        <v/>
      </c>
      <c r="E59" s="356">
        <f>IF(OR(historico_VU!A58="",historico_VU!D58=""),"",historico_VU!D58)</f>
        <v/>
      </c>
      <c r="F59" s="120">
        <f>IF(posicao_contratual!A58="","",posicao_contratual!K58)</f>
        <v/>
      </c>
      <c r="G59" s="356">
        <f>IF(A59="TOTAL",ROUND(SUM($G$3:G58),2),IF(OR(A59="",E59="",F59=""),"",ROUND(E59*F59,2)))</f>
        <v/>
      </c>
      <c r="H59" s="355">
        <f>IF(OR(historico_VU!A58="",historico_VU!E58=""),"",historico_VU!E58)</f>
        <v/>
      </c>
      <c r="I59" s="118">
        <f>IF(posicao_contratual!A58="","",posicao_contratual!O58)</f>
        <v/>
      </c>
      <c r="J59" s="355">
        <f>IF(A59="TOTAL",ROUND(SUM($J$3:J58),2),IF(OR(A59="",H59="",I59=""),"",ROUND(H59*I59,2)))</f>
        <v/>
      </c>
      <c r="K59" s="356">
        <f>IF(OR(historico_VU!A58="",historico_VU!F58=""),"",historico_VU!F58)</f>
        <v/>
      </c>
      <c r="L59" s="120">
        <f>IF(posicao_contratual!A58="","",posicao_contratual!S58)</f>
        <v/>
      </c>
      <c r="M59" s="356">
        <f>IF(A59="TOTAL",ROUND(SUM($M$3:M58),2),IF(OR(A59="",K59="",L59=""),"",ROUND(K59*L59,2)))</f>
        <v/>
      </c>
      <c r="N59" s="355">
        <f>IF(OR(historico_VU!A58="",historico_VU!G58=""),"",historico_VU!G58)</f>
        <v/>
      </c>
      <c r="O59" s="118">
        <f>IF(posicao_contratual!A58="","",posicao_contratual!W58)</f>
        <v/>
      </c>
      <c r="P59" s="355">
        <f>IF(A59="TOTAL",ROUND(SUM($P$3:P58),2),IF(OR(A59="",N59="",O59=""),"",ROUND(N59*O59,2)))</f>
        <v/>
      </c>
      <c r="Q59" s="195">
        <f>IF($A59="","",IF(ISERROR(INDIRECT("CICLO_EM_EXECUCAO!$D$5")),"",INDIRECT("CICLO_EM_EXECUCAO!$D$5")))</f>
        <v/>
      </c>
      <c r="R59">
        <f>IF($A59="","",IF(MEMORIA_RESULTADOS!$W$46="","","C"&amp;MEMORIA_RESULTADOS!$W$46))</f>
        <v/>
      </c>
      <c r="S59" s="273">
        <f>IF($A59="","",IF(ISERROR(INDIRECT("CICLO_EM_EXECUCAO!B"&amp;(ROW()+10))),"",INDIRECT("CICLO_EM_EXECUCAO!B"&amp;(ROW()+10))))</f>
        <v/>
      </c>
      <c r="T59" s="273">
        <f>IF($A59="","",IF(ISERROR(INDIRECT("CICLO_EM_EXECUCAO!D"&amp;(ROW()+10))),"",INDIRECT("CICLO_EM_EXECUCAO!D"&amp;(ROW()+10))))</f>
        <v/>
      </c>
      <c r="U59" s="273">
        <f>IF($A59="","",IF(ISERROR(INDIRECT("CICLO_EM_EXECUCAO!C"&amp;(ROW()+10))),"",INDIRECT("CICLO_EM_EXECUCAO!C"&amp;(ROW()+10))))</f>
        <v/>
      </c>
      <c r="V59" s="213">
        <f>IF($A59="","",IF(ISERROR(INDIRECT("CICLO_EM_EXECUCAO!E"&amp;(ROW()+10))),"",INDIRECT("CICLO_EM_EXECUCAO!E"&amp;(ROW()+10))))</f>
        <v/>
      </c>
      <c r="W59" s="213">
        <f>IF($A59="","",IF(ISERROR(INDIRECT("CICLO_EM_EXECUCAO!F"&amp;(ROW()+10))),"",INDIRECT("CICLO_EM_EXECUCAO!F"&amp;(ROW()+10))))</f>
        <v/>
      </c>
      <c r="X59" s="213">
        <f>IF($A59="","",IF(ISERROR(INDIRECT("CICLO_EM_EXECUCAO!G"&amp;(ROW()+10))),"",INDIRECT("CICLO_EM_EXECUCAO!G"&amp;(ROW()+10))))</f>
        <v/>
      </c>
      <c r="Y59">
        <f>IF($A59="","",IF(ISERROR(INDIRECT("CICLO_EM_EXECUCAO!K"&amp;(ROW()+10))),"CICLO_EM_EXECUCAO AUSENTE",INDIRECT("CICLO_EM_EXECUCAO!K"&amp;(ROW()+10))))</f>
        <v/>
      </c>
    </row>
    <row r="60">
      <c r="A60" s="116">
        <f>IF(AND(itens_Remanesc!A59="",itens_Remanesc!A58&lt;&gt;"",COUNTIF(itens_Remanesc!A60:$A$200,"&lt;&gt;")=0),"TOTAL",IF(itens_Remanesc!A59="","",itens_Remanesc!A59))</f>
        <v/>
      </c>
      <c r="B60" s="355">
        <f>IF(OR(historico_VU!A59="",historico_VU!C59=""),"",historico_VU!C59)</f>
        <v/>
      </c>
      <c r="C60" s="118">
        <f>IF(posicao_contratual!A59="","",posicao_contratual!G59)</f>
        <v/>
      </c>
      <c r="D60" s="355">
        <f>IF(A60="TOTAL",ROUND(SUM($D$3:D59),2),IF(OR(A60="",B60="",C60=""),"",ROUND(B60*C60,2)))</f>
        <v/>
      </c>
      <c r="E60" s="356">
        <f>IF(OR(historico_VU!A59="",historico_VU!D59=""),"",historico_VU!D59)</f>
        <v/>
      </c>
      <c r="F60" s="120">
        <f>IF(posicao_contratual!A59="","",posicao_contratual!K59)</f>
        <v/>
      </c>
      <c r="G60" s="356">
        <f>IF(A60="TOTAL",ROUND(SUM($G$3:G59),2),IF(OR(A60="",E60="",F60=""),"",ROUND(E60*F60,2)))</f>
        <v/>
      </c>
      <c r="H60" s="355">
        <f>IF(OR(historico_VU!A59="",historico_VU!E59=""),"",historico_VU!E59)</f>
        <v/>
      </c>
      <c r="I60" s="118">
        <f>IF(posicao_contratual!A59="","",posicao_contratual!O59)</f>
        <v/>
      </c>
      <c r="J60" s="355">
        <f>IF(A60="TOTAL",ROUND(SUM($J$3:J59),2),IF(OR(A60="",H60="",I60=""),"",ROUND(H60*I60,2)))</f>
        <v/>
      </c>
      <c r="K60" s="356">
        <f>IF(OR(historico_VU!A59="",historico_VU!F59=""),"",historico_VU!F59)</f>
        <v/>
      </c>
      <c r="L60" s="120">
        <f>IF(posicao_contratual!A59="","",posicao_contratual!S59)</f>
        <v/>
      </c>
      <c r="M60" s="356">
        <f>IF(A60="TOTAL",ROUND(SUM($M$3:M59),2),IF(OR(A60="",K60="",L60=""),"",ROUND(K60*L60,2)))</f>
        <v/>
      </c>
      <c r="N60" s="355">
        <f>IF(OR(historico_VU!A59="",historico_VU!G59=""),"",historico_VU!G59)</f>
        <v/>
      </c>
      <c r="O60" s="118">
        <f>IF(posicao_contratual!A59="","",posicao_contratual!W59)</f>
        <v/>
      </c>
      <c r="P60" s="355">
        <f>IF(A60="TOTAL",ROUND(SUM($P$3:P59),2),IF(OR(A60="",N60="",O60=""),"",ROUND(N60*O60,2)))</f>
        <v/>
      </c>
      <c r="Q60" s="195">
        <f>IF($A60="","",IF(ISERROR(INDIRECT("CICLO_EM_EXECUCAO!$D$5")),"",INDIRECT("CICLO_EM_EXECUCAO!$D$5")))</f>
        <v/>
      </c>
      <c r="R60">
        <f>IF($A60="","",IF(MEMORIA_RESULTADOS!$W$46="","","C"&amp;MEMORIA_RESULTADOS!$W$46))</f>
        <v/>
      </c>
      <c r="S60" s="273">
        <f>IF($A60="","",IF(ISERROR(INDIRECT("CICLO_EM_EXECUCAO!B"&amp;(ROW()+10))),"",INDIRECT("CICLO_EM_EXECUCAO!B"&amp;(ROW()+10))))</f>
        <v/>
      </c>
      <c r="T60" s="273">
        <f>IF($A60="","",IF(ISERROR(INDIRECT("CICLO_EM_EXECUCAO!D"&amp;(ROW()+10))),"",INDIRECT("CICLO_EM_EXECUCAO!D"&amp;(ROW()+10))))</f>
        <v/>
      </c>
      <c r="U60" s="273">
        <f>IF($A60="","",IF(ISERROR(INDIRECT("CICLO_EM_EXECUCAO!C"&amp;(ROW()+10))),"",INDIRECT("CICLO_EM_EXECUCAO!C"&amp;(ROW()+10))))</f>
        <v/>
      </c>
      <c r="V60" s="213">
        <f>IF($A60="","",IF(ISERROR(INDIRECT("CICLO_EM_EXECUCAO!E"&amp;(ROW()+10))),"",INDIRECT("CICLO_EM_EXECUCAO!E"&amp;(ROW()+10))))</f>
        <v/>
      </c>
      <c r="W60" s="213">
        <f>IF($A60="","",IF(ISERROR(INDIRECT("CICLO_EM_EXECUCAO!F"&amp;(ROW()+10))),"",INDIRECT("CICLO_EM_EXECUCAO!F"&amp;(ROW()+10))))</f>
        <v/>
      </c>
      <c r="X60" s="213">
        <f>IF($A60="","",IF(ISERROR(INDIRECT("CICLO_EM_EXECUCAO!G"&amp;(ROW()+10))),"",INDIRECT("CICLO_EM_EXECUCAO!G"&amp;(ROW()+10))))</f>
        <v/>
      </c>
      <c r="Y60">
        <f>IF($A60="","",IF(ISERROR(INDIRECT("CICLO_EM_EXECUCAO!K"&amp;(ROW()+10))),"CICLO_EM_EXECUCAO AUSENTE",INDIRECT("CICLO_EM_EXECUCAO!K"&amp;(ROW()+10))))</f>
        <v/>
      </c>
    </row>
    <row r="61">
      <c r="A61" s="116">
        <f>IF(AND(itens_Remanesc!A60="",itens_Remanesc!A59&lt;&gt;"",COUNTIF(itens_Remanesc!A61:$A$200,"&lt;&gt;")=0),"TOTAL",IF(itens_Remanesc!A60="","",itens_Remanesc!A60))</f>
        <v/>
      </c>
      <c r="B61" s="355">
        <f>IF(OR(historico_VU!A60="",historico_VU!C60=""),"",historico_VU!C60)</f>
        <v/>
      </c>
      <c r="C61" s="118">
        <f>IF(posicao_contratual!A60="","",posicao_contratual!G60)</f>
        <v/>
      </c>
      <c r="D61" s="355">
        <f>IF(A61="TOTAL",ROUND(SUM($D$3:D60),2),IF(OR(A61="",B61="",C61=""),"",ROUND(B61*C61,2)))</f>
        <v/>
      </c>
      <c r="E61" s="356">
        <f>IF(OR(historico_VU!A60="",historico_VU!D60=""),"",historico_VU!D60)</f>
        <v/>
      </c>
      <c r="F61" s="120">
        <f>IF(posicao_contratual!A60="","",posicao_contratual!K60)</f>
        <v/>
      </c>
      <c r="G61" s="356">
        <f>IF(A61="TOTAL",ROUND(SUM($G$3:G60),2),IF(OR(A61="",E61="",F61=""),"",ROUND(E61*F61,2)))</f>
        <v/>
      </c>
      <c r="H61" s="355">
        <f>IF(OR(historico_VU!A60="",historico_VU!E60=""),"",historico_VU!E60)</f>
        <v/>
      </c>
      <c r="I61" s="118">
        <f>IF(posicao_contratual!A60="","",posicao_contratual!O60)</f>
        <v/>
      </c>
      <c r="J61" s="355">
        <f>IF(A61="TOTAL",ROUND(SUM($J$3:J60),2),IF(OR(A61="",H61="",I61=""),"",ROUND(H61*I61,2)))</f>
        <v/>
      </c>
      <c r="K61" s="356">
        <f>IF(OR(historico_VU!A60="",historico_VU!F60=""),"",historico_VU!F60)</f>
        <v/>
      </c>
      <c r="L61" s="120">
        <f>IF(posicao_contratual!A60="","",posicao_contratual!S60)</f>
        <v/>
      </c>
      <c r="M61" s="356">
        <f>IF(A61="TOTAL",ROUND(SUM($M$3:M60),2),IF(OR(A61="",K61="",L61=""),"",ROUND(K61*L61,2)))</f>
        <v/>
      </c>
      <c r="N61" s="355">
        <f>IF(OR(historico_VU!A60="",historico_VU!G60=""),"",historico_VU!G60)</f>
        <v/>
      </c>
      <c r="O61" s="118">
        <f>IF(posicao_contratual!A60="","",posicao_contratual!W60)</f>
        <v/>
      </c>
      <c r="P61" s="355">
        <f>IF(A61="TOTAL",ROUND(SUM($P$3:P60),2),IF(OR(A61="",N61="",O61=""),"",ROUND(N61*O61,2)))</f>
        <v/>
      </c>
      <c r="Q61" s="195">
        <f>IF($A61="","",IF(ISERROR(INDIRECT("CICLO_EM_EXECUCAO!$D$5")),"",INDIRECT("CICLO_EM_EXECUCAO!$D$5")))</f>
        <v/>
      </c>
      <c r="R61">
        <f>IF($A61="","",IF(MEMORIA_RESULTADOS!$W$46="","","C"&amp;MEMORIA_RESULTADOS!$W$46))</f>
        <v/>
      </c>
      <c r="S61" s="273">
        <f>IF($A61="","",IF(ISERROR(INDIRECT("CICLO_EM_EXECUCAO!B"&amp;(ROW()+10))),"",INDIRECT("CICLO_EM_EXECUCAO!B"&amp;(ROW()+10))))</f>
        <v/>
      </c>
      <c r="T61" s="273">
        <f>IF($A61="","",IF(ISERROR(INDIRECT("CICLO_EM_EXECUCAO!D"&amp;(ROW()+10))),"",INDIRECT("CICLO_EM_EXECUCAO!D"&amp;(ROW()+10))))</f>
        <v/>
      </c>
      <c r="U61" s="273">
        <f>IF($A61="","",IF(ISERROR(INDIRECT("CICLO_EM_EXECUCAO!C"&amp;(ROW()+10))),"",INDIRECT("CICLO_EM_EXECUCAO!C"&amp;(ROW()+10))))</f>
        <v/>
      </c>
      <c r="V61" s="213">
        <f>IF($A61="","",IF(ISERROR(INDIRECT("CICLO_EM_EXECUCAO!E"&amp;(ROW()+10))),"",INDIRECT("CICLO_EM_EXECUCAO!E"&amp;(ROW()+10))))</f>
        <v/>
      </c>
      <c r="W61" s="213">
        <f>IF($A61="","",IF(ISERROR(INDIRECT("CICLO_EM_EXECUCAO!F"&amp;(ROW()+10))),"",INDIRECT("CICLO_EM_EXECUCAO!F"&amp;(ROW()+10))))</f>
        <v/>
      </c>
      <c r="X61" s="213">
        <f>IF($A61="","",IF(ISERROR(INDIRECT("CICLO_EM_EXECUCAO!G"&amp;(ROW()+10))),"",INDIRECT("CICLO_EM_EXECUCAO!G"&amp;(ROW()+10))))</f>
        <v/>
      </c>
      <c r="Y61">
        <f>IF($A61="","",IF(ISERROR(INDIRECT("CICLO_EM_EXECUCAO!K"&amp;(ROW()+10))),"CICLO_EM_EXECUCAO AUSENTE",INDIRECT("CICLO_EM_EXECUCAO!K"&amp;(ROW()+10))))</f>
        <v/>
      </c>
    </row>
    <row r="62">
      <c r="A62" s="116">
        <f>IF(AND(itens_Remanesc!A61="",itens_Remanesc!A60&lt;&gt;"",COUNTIF(itens_Remanesc!A62:$A$200,"&lt;&gt;")=0),"TOTAL",IF(itens_Remanesc!A61="","",itens_Remanesc!A61))</f>
        <v/>
      </c>
      <c r="B62" s="355">
        <f>IF(OR(historico_VU!A61="",historico_VU!C61=""),"",historico_VU!C61)</f>
        <v/>
      </c>
      <c r="C62" s="118">
        <f>IF(posicao_contratual!A61="","",posicao_contratual!G61)</f>
        <v/>
      </c>
      <c r="D62" s="355">
        <f>IF(A62="TOTAL",ROUND(SUM($D$3:D61),2),IF(OR(A62="",B62="",C62=""),"",ROUND(B62*C62,2)))</f>
        <v/>
      </c>
      <c r="E62" s="356">
        <f>IF(OR(historico_VU!A61="",historico_VU!D61=""),"",historico_VU!D61)</f>
        <v/>
      </c>
      <c r="F62" s="120">
        <f>IF(posicao_contratual!A61="","",posicao_contratual!K61)</f>
        <v/>
      </c>
      <c r="G62" s="356">
        <f>IF(A62="TOTAL",ROUND(SUM($G$3:G61),2),IF(OR(A62="",E62="",F62=""),"",ROUND(E62*F62,2)))</f>
        <v/>
      </c>
      <c r="H62" s="355">
        <f>IF(OR(historico_VU!A61="",historico_VU!E61=""),"",historico_VU!E61)</f>
        <v/>
      </c>
      <c r="I62" s="118">
        <f>IF(posicao_contratual!A61="","",posicao_contratual!O61)</f>
        <v/>
      </c>
      <c r="J62" s="355">
        <f>IF(A62="TOTAL",ROUND(SUM($J$3:J61),2),IF(OR(A62="",H62="",I62=""),"",ROUND(H62*I62,2)))</f>
        <v/>
      </c>
      <c r="K62" s="356">
        <f>IF(OR(historico_VU!A61="",historico_VU!F61=""),"",historico_VU!F61)</f>
        <v/>
      </c>
      <c r="L62" s="120">
        <f>IF(posicao_contratual!A61="","",posicao_contratual!S61)</f>
        <v/>
      </c>
      <c r="M62" s="356">
        <f>IF(A62="TOTAL",ROUND(SUM($M$3:M61),2),IF(OR(A62="",K62="",L62=""),"",ROUND(K62*L62,2)))</f>
        <v/>
      </c>
      <c r="N62" s="355">
        <f>IF(OR(historico_VU!A61="",historico_VU!G61=""),"",historico_VU!G61)</f>
        <v/>
      </c>
      <c r="O62" s="118">
        <f>IF(posicao_contratual!A61="","",posicao_contratual!W61)</f>
        <v/>
      </c>
      <c r="P62" s="355">
        <f>IF(A62="TOTAL",ROUND(SUM($P$3:P61),2),IF(OR(A62="",N62="",O62=""),"",ROUND(N62*O62,2)))</f>
        <v/>
      </c>
      <c r="Q62" s="195">
        <f>IF($A62="","",IF(ISERROR(INDIRECT("CICLO_EM_EXECUCAO!$D$5")),"",INDIRECT("CICLO_EM_EXECUCAO!$D$5")))</f>
        <v/>
      </c>
      <c r="R62">
        <f>IF($A62="","",IF(MEMORIA_RESULTADOS!$W$46="","","C"&amp;MEMORIA_RESULTADOS!$W$46))</f>
        <v/>
      </c>
      <c r="S62" s="273">
        <f>IF($A62="","",IF(ISERROR(INDIRECT("CICLO_EM_EXECUCAO!B"&amp;(ROW()+10))),"",INDIRECT("CICLO_EM_EXECUCAO!B"&amp;(ROW()+10))))</f>
        <v/>
      </c>
      <c r="T62" s="273">
        <f>IF($A62="","",IF(ISERROR(INDIRECT("CICLO_EM_EXECUCAO!D"&amp;(ROW()+10))),"",INDIRECT("CICLO_EM_EXECUCAO!D"&amp;(ROW()+10))))</f>
        <v/>
      </c>
      <c r="U62" s="273">
        <f>IF($A62="","",IF(ISERROR(INDIRECT("CICLO_EM_EXECUCAO!C"&amp;(ROW()+10))),"",INDIRECT("CICLO_EM_EXECUCAO!C"&amp;(ROW()+10))))</f>
        <v/>
      </c>
      <c r="V62" s="213">
        <f>IF($A62="","",IF(ISERROR(INDIRECT("CICLO_EM_EXECUCAO!E"&amp;(ROW()+10))),"",INDIRECT("CICLO_EM_EXECUCAO!E"&amp;(ROW()+10))))</f>
        <v/>
      </c>
      <c r="W62" s="213">
        <f>IF($A62="","",IF(ISERROR(INDIRECT("CICLO_EM_EXECUCAO!F"&amp;(ROW()+10))),"",INDIRECT("CICLO_EM_EXECUCAO!F"&amp;(ROW()+10))))</f>
        <v/>
      </c>
      <c r="X62" s="213">
        <f>IF($A62="","",IF(ISERROR(INDIRECT("CICLO_EM_EXECUCAO!G"&amp;(ROW()+10))),"",INDIRECT("CICLO_EM_EXECUCAO!G"&amp;(ROW()+10))))</f>
        <v/>
      </c>
      <c r="Y62">
        <f>IF($A62="","",IF(ISERROR(INDIRECT("CICLO_EM_EXECUCAO!K"&amp;(ROW()+10))),"CICLO_EM_EXECUCAO AUSENTE",INDIRECT("CICLO_EM_EXECUCAO!K"&amp;(ROW()+10))))</f>
        <v/>
      </c>
    </row>
    <row r="63">
      <c r="A63" s="116">
        <f>IF(AND(itens_Remanesc!A62="",itens_Remanesc!A61&lt;&gt;"",COUNTIF(itens_Remanesc!A63:$A$200,"&lt;&gt;")=0),"TOTAL",IF(itens_Remanesc!A62="","",itens_Remanesc!A62))</f>
        <v/>
      </c>
      <c r="B63" s="355">
        <f>IF(OR(historico_VU!A62="",historico_VU!C62=""),"",historico_VU!C62)</f>
        <v/>
      </c>
      <c r="C63" s="118">
        <f>IF(posicao_contratual!A62="","",posicao_contratual!G62)</f>
        <v/>
      </c>
      <c r="D63" s="355">
        <f>IF(A63="TOTAL",ROUND(SUM($D$3:D62),2),IF(OR(A63="",B63="",C63=""),"",ROUND(B63*C63,2)))</f>
        <v/>
      </c>
      <c r="E63" s="356">
        <f>IF(OR(historico_VU!A62="",historico_VU!D62=""),"",historico_VU!D62)</f>
        <v/>
      </c>
      <c r="F63" s="120">
        <f>IF(posicao_contratual!A62="","",posicao_contratual!K62)</f>
        <v/>
      </c>
      <c r="G63" s="356">
        <f>IF(A63="TOTAL",ROUND(SUM($G$3:G62),2),IF(OR(A63="",E63="",F63=""),"",ROUND(E63*F63,2)))</f>
        <v/>
      </c>
      <c r="H63" s="355">
        <f>IF(OR(historico_VU!A62="",historico_VU!E62=""),"",historico_VU!E62)</f>
        <v/>
      </c>
      <c r="I63" s="118">
        <f>IF(posicao_contratual!A62="","",posicao_contratual!O62)</f>
        <v/>
      </c>
      <c r="J63" s="355">
        <f>IF(A63="TOTAL",ROUND(SUM($J$3:J62),2),IF(OR(A63="",H63="",I63=""),"",ROUND(H63*I63,2)))</f>
        <v/>
      </c>
      <c r="K63" s="356">
        <f>IF(OR(historico_VU!A62="",historico_VU!F62=""),"",historico_VU!F62)</f>
        <v/>
      </c>
      <c r="L63" s="120">
        <f>IF(posicao_contratual!A62="","",posicao_contratual!S62)</f>
        <v/>
      </c>
      <c r="M63" s="356">
        <f>IF(A63="TOTAL",ROUND(SUM($M$3:M62),2),IF(OR(A63="",K63="",L63=""),"",ROUND(K63*L63,2)))</f>
        <v/>
      </c>
      <c r="N63" s="355">
        <f>IF(OR(historico_VU!A62="",historico_VU!G62=""),"",historico_VU!G62)</f>
        <v/>
      </c>
      <c r="O63" s="118">
        <f>IF(posicao_contratual!A62="","",posicao_contratual!W62)</f>
        <v/>
      </c>
      <c r="P63" s="355">
        <f>IF(A63="TOTAL",ROUND(SUM($P$3:P62),2),IF(OR(A63="",N63="",O63=""),"",ROUND(N63*O63,2)))</f>
        <v/>
      </c>
      <c r="Q63" s="195">
        <f>IF($A63="","",IF(ISERROR(INDIRECT("CICLO_EM_EXECUCAO!$D$5")),"",INDIRECT("CICLO_EM_EXECUCAO!$D$5")))</f>
        <v/>
      </c>
      <c r="R63">
        <f>IF($A63="","",IF(MEMORIA_RESULTADOS!$W$46="","","C"&amp;MEMORIA_RESULTADOS!$W$46))</f>
        <v/>
      </c>
      <c r="S63" s="273">
        <f>IF($A63="","",IF(ISERROR(INDIRECT("CICLO_EM_EXECUCAO!B"&amp;(ROW()+10))),"",INDIRECT("CICLO_EM_EXECUCAO!B"&amp;(ROW()+10))))</f>
        <v/>
      </c>
      <c r="T63" s="273">
        <f>IF($A63="","",IF(ISERROR(INDIRECT("CICLO_EM_EXECUCAO!D"&amp;(ROW()+10))),"",INDIRECT("CICLO_EM_EXECUCAO!D"&amp;(ROW()+10))))</f>
        <v/>
      </c>
      <c r="U63" s="273">
        <f>IF($A63="","",IF(ISERROR(INDIRECT("CICLO_EM_EXECUCAO!C"&amp;(ROW()+10))),"",INDIRECT("CICLO_EM_EXECUCAO!C"&amp;(ROW()+10))))</f>
        <v/>
      </c>
      <c r="V63" s="213">
        <f>IF($A63="","",IF(ISERROR(INDIRECT("CICLO_EM_EXECUCAO!E"&amp;(ROW()+10))),"",INDIRECT("CICLO_EM_EXECUCAO!E"&amp;(ROW()+10))))</f>
        <v/>
      </c>
      <c r="W63" s="213">
        <f>IF($A63="","",IF(ISERROR(INDIRECT("CICLO_EM_EXECUCAO!F"&amp;(ROW()+10))),"",INDIRECT("CICLO_EM_EXECUCAO!F"&amp;(ROW()+10))))</f>
        <v/>
      </c>
      <c r="X63" s="213">
        <f>IF($A63="","",IF(ISERROR(INDIRECT("CICLO_EM_EXECUCAO!G"&amp;(ROW()+10))),"",INDIRECT("CICLO_EM_EXECUCAO!G"&amp;(ROW()+10))))</f>
        <v/>
      </c>
      <c r="Y63">
        <f>IF($A63="","",IF(ISERROR(INDIRECT("CICLO_EM_EXECUCAO!K"&amp;(ROW()+10))),"CICLO_EM_EXECUCAO AUSENTE",INDIRECT("CICLO_EM_EXECUCAO!K"&amp;(ROW()+10))))</f>
        <v/>
      </c>
    </row>
    <row r="64">
      <c r="A64" s="116">
        <f>IF(AND(itens_Remanesc!A63="",itens_Remanesc!A62&lt;&gt;"",COUNTIF(itens_Remanesc!A64:$A$200,"&lt;&gt;")=0),"TOTAL",IF(itens_Remanesc!A63="","",itens_Remanesc!A63))</f>
        <v/>
      </c>
      <c r="B64" s="355">
        <f>IF(OR(historico_VU!A63="",historico_VU!C63=""),"",historico_VU!C63)</f>
        <v/>
      </c>
      <c r="C64" s="118">
        <f>IF(posicao_contratual!A63="","",posicao_contratual!G63)</f>
        <v/>
      </c>
      <c r="D64" s="355">
        <f>IF(A64="TOTAL",ROUND(SUM($D$3:D63),2),IF(OR(A64="",B64="",C64=""),"",ROUND(B64*C64,2)))</f>
        <v/>
      </c>
      <c r="E64" s="356">
        <f>IF(OR(historico_VU!A63="",historico_VU!D63=""),"",historico_VU!D63)</f>
        <v/>
      </c>
      <c r="F64" s="120">
        <f>IF(posicao_contratual!A63="","",posicao_contratual!K63)</f>
        <v/>
      </c>
      <c r="G64" s="356">
        <f>IF(A64="TOTAL",ROUND(SUM($G$3:G63),2),IF(OR(A64="",E64="",F64=""),"",ROUND(E64*F64,2)))</f>
        <v/>
      </c>
      <c r="H64" s="355">
        <f>IF(OR(historico_VU!A63="",historico_VU!E63=""),"",historico_VU!E63)</f>
        <v/>
      </c>
      <c r="I64" s="118">
        <f>IF(posicao_contratual!A63="","",posicao_contratual!O63)</f>
        <v/>
      </c>
      <c r="J64" s="355">
        <f>IF(A64="TOTAL",ROUND(SUM($J$3:J63),2),IF(OR(A64="",H64="",I64=""),"",ROUND(H64*I64,2)))</f>
        <v/>
      </c>
      <c r="K64" s="356">
        <f>IF(OR(historico_VU!A63="",historico_VU!F63=""),"",historico_VU!F63)</f>
        <v/>
      </c>
      <c r="L64" s="120">
        <f>IF(posicao_contratual!A63="","",posicao_contratual!S63)</f>
        <v/>
      </c>
      <c r="M64" s="356">
        <f>IF(A64="TOTAL",ROUND(SUM($M$3:M63),2),IF(OR(A64="",K64="",L64=""),"",ROUND(K64*L64,2)))</f>
        <v/>
      </c>
      <c r="N64" s="355">
        <f>IF(OR(historico_VU!A63="",historico_VU!G63=""),"",historico_VU!G63)</f>
        <v/>
      </c>
      <c r="O64" s="118">
        <f>IF(posicao_contratual!A63="","",posicao_contratual!W63)</f>
        <v/>
      </c>
      <c r="P64" s="355">
        <f>IF(A64="TOTAL",ROUND(SUM($P$3:P63),2),IF(OR(A64="",N64="",O64=""),"",ROUND(N64*O64,2)))</f>
        <v/>
      </c>
      <c r="Q64" s="195">
        <f>IF($A64="","",IF(ISERROR(INDIRECT("CICLO_EM_EXECUCAO!$D$5")),"",INDIRECT("CICLO_EM_EXECUCAO!$D$5")))</f>
        <v/>
      </c>
      <c r="R64">
        <f>IF($A64="","",IF(MEMORIA_RESULTADOS!$W$46="","","C"&amp;MEMORIA_RESULTADOS!$W$46))</f>
        <v/>
      </c>
      <c r="S64" s="273">
        <f>IF($A64="","",IF(ISERROR(INDIRECT("CICLO_EM_EXECUCAO!B"&amp;(ROW()+10))),"",INDIRECT("CICLO_EM_EXECUCAO!B"&amp;(ROW()+10))))</f>
        <v/>
      </c>
      <c r="T64" s="273">
        <f>IF($A64="","",IF(ISERROR(INDIRECT("CICLO_EM_EXECUCAO!D"&amp;(ROW()+10))),"",INDIRECT("CICLO_EM_EXECUCAO!D"&amp;(ROW()+10))))</f>
        <v/>
      </c>
      <c r="U64" s="273">
        <f>IF($A64="","",IF(ISERROR(INDIRECT("CICLO_EM_EXECUCAO!C"&amp;(ROW()+10))),"",INDIRECT("CICLO_EM_EXECUCAO!C"&amp;(ROW()+10))))</f>
        <v/>
      </c>
      <c r="V64" s="213">
        <f>IF($A64="","",IF(ISERROR(INDIRECT("CICLO_EM_EXECUCAO!E"&amp;(ROW()+10))),"",INDIRECT("CICLO_EM_EXECUCAO!E"&amp;(ROW()+10))))</f>
        <v/>
      </c>
      <c r="W64" s="213">
        <f>IF($A64="","",IF(ISERROR(INDIRECT("CICLO_EM_EXECUCAO!F"&amp;(ROW()+10))),"",INDIRECT("CICLO_EM_EXECUCAO!F"&amp;(ROW()+10))))</f>
        <v/>
      </c>
      <c r="X64" s="213">
        <f>IF($A64="","",IF(ISERROR(INDIRECT("CICLO_EM_EXECUCAO!G"&amp;(ROW()+10))),"",INDIRECT("CICLO_EM_EXECUCAO!G"&amp;(ROW()+10))))</f>
        <v/>
      </c>
      <c r="Y64">
        <f>IF($A64="","",IF(ISERROR(INDIRECT("CICLO_EM_EXECUCAO!K"&amp;(ROW()+10))),"CICLO_EM_EXECUCAO AUSENTE",INDIRECT("CICLO_EM_EXECUCAO!K"&amp;(ROW()+10))))</f>
        <v/>
      </c>
    </row>
    <row r="65">
      <c r="A65" s="116">
        <f>IF(AND(itens_Remanesc!A64="",itens_Remanesc!A63&lt;&gt;"",COUNTIF(itens_Remanesc!A65:$A$200,"&lt;&gt;")=0),"TOTAL",IF(itens_Remanesc!A64="","",itens_Remanesc!A64))</f>
        <v/>
      </c>
      <c r="B65" s="355">
        <f>IF(OR(historico_VU!A64="",historico_VU!C64=""),"",historico_VU!C64)</f>
        <v/>
      </c>
      <c r="C65" s="118">
        <f>IF(posicao_contratual!A64="","",posicao_contratual!G64)</f>
        <v/>
      </c>
      <c r="D65" s="355">
        <f>IF(A65="TOTAL",ROUND(SUM($D$3:D64),2),IF(OR(A65="",B65="",C65=""),"",ROUND(B65*C65,2)))</f>
        <v/>
      </c>
      <c r="E65" s="356">
        <f>IF(OR(historico_VU!A64="",historico_VU!D64=""),"",historico_VU!D64)</f>
        <v/>
      </c>
      <c r="F65" s="120">
        <f>IF(posicao_contratual!A64="","",posicao_contratual!K64)</f>
        <v/>
      </c>
      <c r="G65" s="356">
        <f>IF(A65="TOTAL",ROUND(SUM($G$3:G64),2),IF(OR(A65="",E65="",F65=""),"",ROUND(E65*F65,2)))</f>
        <v/>
      </c>
      <c r="H65" s="355">
        <f>IF(OR(historico_VU!A64="",historico_VU!E64=""),"",historico_VU!E64)</f>
        <v/>
      </c>
      <c r="I65" s="118">
        <f>IF(posicao_contratual!A64="","",posicao_contratual!O64)</f>
        <v/>
      </c>
      <c r="J65" s="355">
        <f>IF(A65="TOTAL",ROUND(SUM($J$3:J64),2),IF(OR(A65="",H65="",I65=""),"",ROUND(H65*I65,2)))</f>
        <v/>
      </c>
      <c r="K65" s="356">
        <f>IF(OR(historico_VU!A64="",historico_VU!F64=""),"",historico_VU!F64)</f>
        <v/>
      </c>
      <c r="L65" s="120">
        <f>IF(posicao_contratual!A64="","",posicao_contratual!S64)</f>
        <v/>
      </c>
      <c r="M65" s="356">
        <f>IF(A65="TOTAL",ROUND(SUM($M$3:M64),2),IF(OR(A65="",K65="",L65=""),"",ROUND(K65*L65,2)))</f>
        <v/>
      </c>
      <c r="N65" s="355">
        <f>IF(OR(historico_VU!A64="",historico_VU!G64=""),"",historico_VU!G64)</f>
        <v/>
      </c>
      <c r="O65" s="118">
        <f>IF(posicao_contratual!A64="","",posicao_contratual!W64)</f>
        <v/>
      </c>
      <c r="P65" s="355">
        <f>IF(A65="TOTAL",ROUND(SUM($P$3:P64),2),IF(OR(A65="",N65="",O65=""),"",ROUND(N65*O65,2)))</f>
        <v/>
      </c>
      <c r="Q65" s="195">
        <f>IF($A65="","",IF(ISERROR(INDIRECT("CICLO_EM_EXECUCAO!$D$5")),"",INDIRECT("CICLO_EM_EXECUCAO!$D$5")))</f>
        <v/>
      </c>
      <c r="R65">
        <f>IF($A65="","",IF(MEMORIA_RESULTADOS!$W$46="","","C"&amp;MEMORIA_RESULTADOS!$W$46))</f>
        <v/>
      </c>
      <c r="S65" s="273">
        <f>IF($A65="","",IF(ISERROR(INDIRECT("CICLO_EM_EXECUCAO!B"&amp;(ROW()+10))),"",INDIRECT("CICLO_EM_EXECUCAO!B"&amp;(ROW()+10))))</f>
        <v/>
      </c>
      <c r="T65" s="273">
        <f>IF($A65="","",IF(ISERROR(INDIRECT("CICLO_EM_EXECUCAO!D"&amp;(ROW()+10))),"",INDIRECT("CICLO_EM_EXECUCAO!D"&amp;(ROW()+10))))</f>
        <v/>
      </c>
      <c r="U65" s="273">
        <f>IF($A65="","",IF(ISERROR(INDIRECT("CICLO_EM_EXECUCAO!C"&amp;(ROW()+10))),"",INDIRECT("CICLO_EM_EXECUCAO!C"&amp;(ROW()+10))))</f>
        <v/>
      </c>
      <c r="V65" s="213">
        <f>IF($A65="","",IF(ISERROR(INDIRECT("CICLO_EM_EXECUCAO!E"&amp;(ROW()+10))),"",INDIRECT("CICLO_EM_EXECUCAO!E"&amp;(ROW()+10))))</f>
        <v/>
      </c>
      <c r="W65" s="213">
        <f>IF($A65="","",IF(ISERROR(INDIRECT("CICLO_EM_EXECUCAO!F"&amp;(ROW()+10))),"",INDIRECT("CICLO_EM_EXECUCAO!F"&amp;(ROW()+10))))</f>
        <v/>
      </c>
      <c r="X65" s="213">
        <f>IF($A65="","",IF(ISERROR(INDIRECT("CICLO_EM_EXECUCAO!G"&amp;(ROW()+10))),"",INDIRECT("CICLO_EM_EXECUCAO!G"&amp;(ROW()+10))))</f>
        <v/>
      </c>
      <c r="Y65">
        <f>IF($A65="","",IF(ISERROR(INDIRECT("CICLO_EM_EXECUCAO!K"&amp;(ROW()+10))),"CICLO_EM_EXECUCAO AUSENTE",INDIRECT("CICLO_EM_EXECUCAO!K"&amp;(ROW()+10))))</f>
        <v/>
      </c>
    </row>
    <row r="66">
      <c r="A66" s="116">
        <f>IF(AND(itens_Remanesc!A65="",itens_Remanesc!A64&lt;&gt;"",COUNTIF(itens_Remanesc!A66:$A$200,"&lt;&gt;")=0),"TOTAL",IF(itens_Remanesc!A65="","",itens_Remanesc!A65))</f>
        <v/>
      </c>
      <c r="B66" s="355">
        <f>IF(OR(historico_VU!A65="",historico_VU!C65=""),"",historico_VU!C65)</f>
        <v/>
      </c>
      <c r="C66" s="118">
        <f>IF(posicao_contratual!A65="","",posicao_contratual!G65)</f>
        <v/>
      </c>
      <c r="D66" s="355">
        <f>IF(A66="TOTAL",ROUND(SUM($D$3:D65),2),IF(OR(A66="",B66="",C66=""),"",ROUND(B66*C66,2)))</f>
        <v/>
      </c>
      <c r="E66" s="356">
        <f>IF(OR(historico_VU!A65="",historico_VU!D65=""),"",historico_VU!D65)</f>
        <v/>
      </c>
      <c r="F66" s="120">
        <f>IF(posicao_contratual!A65="","",posicao_contratual!K65)</f>
        <v/>
      </c>
      <c r="G66" s="356">
        <f>IF(A66="TOTAL",ROUND(SUM($G$3:G65),2),IF(OR(A66="",E66="",F66=""),"",ROUND(E66*F66,2)))</f>
        <v/>
      </c>
      <c r="H66" s="355">
        <f>IF(OR(historico_VU!A65="",historico_VU!E65=""),"",historico_VU!E65)</f>
        <v/>
      </c>
      <c r="I66" s="118">
        <f>IF(posicao_contratual!A65="","",posicao_contratual!O65)</f>
        <v/>
      </c>
      <c r="J66" s="355">
        <f>IF(A66="TOTAL",ROUND(SUM($J$3:J65),2),IF(OR(A66="",H66="",I66=""),"",ROUND(H66*I66,2)))</f>
        <v/>
      </c>
      <c r="K66" s="356">
        <f>IF(OR(historico_VU!A65="",historico_VU!F65=""),"",historico_VU!F65)</f>
        <v/>
      </c>
      <c r="L66" s="120">
        <f>IF(posicao_contratual!A65="","",posicao_contratual!S65)</f>
        <v/>
      </c>
      <c r="M66" s="356">
        <f>IF(A66="TOTAL",ROUND(SUM($M$3:M65),2),IF(OR(A66="",K66="",L66=""),"",ROUND(K66*L66,2)))</f>
        <v/>
      </c>
      <c r="N66" s="355">
        <f>IF(OR(historico_VU!A65="",historico_VU!G65=""),"",historico_VU!G65)</f>
        <v/>
      </c>
      <c r="O66" s="118">
        <f>IF(posicao_contratual!A65="","",posicao_contratual!W65)</f>
        <v/>
      </c>
      <c r="P66" s="355">
        <f>IF(A66="TOTAL",ROUND(SUM($P$3:P65),2),IF(OR(A66="",N66="",O66=""),"",ROUND(N66*O66,2)))</f>
        <v/>
      </c>
      <c r="Q66" s="195">
        <f>IF($A66="","",IF(ISERROR(INDIRECT("CICLO_EM_EXECUCAO!$D$5")),"",INDIRECT("CICLO_EM_EXECUCAO!$D$5")))</f>
        <v/>
      </c>
      <c r="R66">
        <f>IF($A66="","",IF(MEMORIA_RESULTADOS!$W$46="","","C"&amp;MEMORIA_RESULTADOS!$W$46))</f>
        <v/>
      </c>
      <c r="S66" s="273">
        <f>IF($A66="","",IF(ISERROR(INDIRECT("CICLO_EM_EXECUCAO!B"&amp;(ROW()+10))),"",INDIRECT("CICLO_EM_EXECUCAO!B"&amp;(ROW()+10))))</f>
        <v/>
      </c>
      <c r="T66" s="273">
        <f>IF($A66="","",IF(ISERROR(INDIRECT("CICLO_EM_EXECUCAO!D"&amp;(ROW()+10))),"",INDIRECT("CICLO_EM_EXECUCAO!D"&amp;(ROW()+10))))</f>
        <v/>
      </c>
      <c r="U66" s="273">
        <f>IF($A66="","",IF(ISERROR(INDIRECT("CICLO_EM_EXECUCAO!C"&amp;(ROW()+10))),"",INDIRECT("CICLO_EM_EXECUCAO!C"&amp;(ROW()+10))))</f>
        <v/>
      </c>
      <c r="V66" s="213">
        <f>IF($A66="","",IF(ISERROR(INDIRECT("CICLO_EM_EXECUCAO!E"&amp;(ROW()+10))),"",INDIRECT("CICLO_EM_EXECUCAO!E"&amp;(ROW()+10))))</f>
        <v/>
      </c>
      <c r="W66" s="213">
        <f>IF($A66="","",IF(ISERROR(INDIRECT("CICLO_EM_EXECUCAO!F"&amp;(ROW()+10))),"",INDIRECT("CICLO_EM_EXECUCAO!F"&amp;(ROW()+10))))</f>
        <v/>
      </c>
      <c r="X66" s="213">
        <f>IF($A66="","",IF(ISERROR(INDIRECT("CICLO_EM_EXECUCAO!G"&amp;(ROW()+10))),"",INDIRECT("CICLO_EM_EXECUCAO!G"&amp;(ROW()+10))))</f>
        <v/>
      </c>
      <c r="Y66">
        <f>IF($A66="","",IF(ISERROR(INDIRECT("CICLO_EM_EXECUCAO!K"&amp;(ROW()+10))),"CICLO_EM_EXECUCAO AUSENTE",INDIRECT("CICLO_EM_EXECUCAO!K"&amp;(ROW()+10))))</f>
        <v/>
      </c>
    </row>
    <row r="67">
      <c r="A67" s="116">
        <f>IF(AND(itens_Remanesc!A66="",itens_Remanesc!A65&lt;&gt;"",COUNTIF(itens_Remanesc!A67:$A$200,"&lt;&gt;")=0),"TOTAL",IF(itens_Remanesc!A66="","",itens_Remanesc!A66))</f>
        <v/>
      </c>
      <c r="B67" s="355">
        <f>IF(OR(historico_VU!A66="",historico_VU!C66=""),"",historico_VU!C66)</f>
        <v/>
      </c>
      <c r="C67" s="118">
        <f>IF(posicao_contratual!A66="","",posicao_contratual!G66)</f>
        <v/>
      </c>
      <c r="D67" s="355">
        <f>IF(A67="TOTAL",ROUND(SUM($D$3:D66),2),IF(OR(A67="",B67="",C67=""),"",ROUND(B67*C67,2)))</f>
        <v/>
      </c>
      <c r="E67" s="356">
        <f>IF(OR(historico_VU!A66="",historico_VU!D66=""),"",historico_VU!D66)</f>
        <v/>
      </c>
      <c r="F67" s="120">
        <f>IF(posicao_contratual!A66="","",posicao_contratual!K66)</f>
        <v/>
      </c>
      <c r="G67" s="356">
        <f>IF(A67="TOTAL",ROUND(SUM($G$3:G66),2),IF(OR(A67="",E67="",F67=""),"",ROUND(E67*F67,2)))</f>
        <v/>
      </c>
      <c r="H67" s="355">
        <f>IF(OR(historico_VU!A66="",historico_VU!E66=""),"",historico_VU!E66)</f>
        <v/>
      </c>
      <c r="I67" s="118">
        <f>IF(posicao_contratual!A66="","",posicao_contratual!O66)</f>
        <v/>
      </c>
      <c r="J67" s="355">
        <f>IF(A67="TOTAL",ROUND(SUM($J$3:J66),2),IF(OR(A67="",H67="",I67=""),"",ROUND(H67*I67,2)))</f>
        <v/>
      </c>
      <c r="K67" s="356">
        <f>IF(OR(historico_VU!A66="",historico_VU!F66=""),"",historico_VU!F66)</f>
        <v/>
      </c>
      <c r="L67" s="120">
        <f>IF(posicao_contratual!A66="","",posicao_contratual!S66)</f>
        <v/>
      </c>
      <c r="M67" s="356">
        <f>IF(A67="TOTAL",ROUND(SUM($M$3:M66),2),IF(OR(A67="",K67="",L67=""),"",ROUND(K67*L67,2)))</f>
        <v/>
      </c>
      <c r="N67" s="355">
        <f>IF(OR(historico_VU!A66="",historico_VU!G66=""),"",historico_VU!G66)</f>
        <v/>
      </c>
      <c r="O67" s="118">
        <f>IF(posicao_contratual!A66="","",posicao_contratual!W66)</f>
        <v/>
      </c>
      <c r="P67" s="355">
        <f>IF(A67="TOTAL",ROUND(SUM($P$3:P66),2),IF(OR(A67="",N67="",O67=""),"",ROUND(N67*O67,2)))</f>
        <v/>
      </c>
      <c r="Q67" s="195">
        <f>IF($A67="","",IF(ISERROR(INDIRECT("CICLO_EM_EXECUCAO!$D$5")),"",INDIRECT("CICLO_EM_EXECUCAO!$D$5")))</f>
        <v/>
      </c>
      <c r="R67">
        <f>IF($A67="","",IF(MEMORIA_RESULTADOS!$W$46="","","C"&amp;MEMORIA_RESULTADOS!$W$46))</f>
        <v/>
      </c>
      <c r="S67" s="273">
        <f>IF($A67="","",IF(ISERROR(INDIRECT("CICLO_EM_EXECUCAO!B"&amp;(ROW()+10))),"",INDIRECT("CICLO_EM_EXECUCAO!B"&amp;(ROW()+10))))</f>
        <v/>
      </c>
      <c r="T67" s="273">
        <f>IF($A67="","",IF(ISERROR(INDIRECT("CICLO_EM_EXECUCAO!D"&amp;(ROW()+10))),"",INDIRECT("CICLO_EM_EXECUCAO!D"&amp;(ROW()+10))))</f>
        <v/>
      </c>
      <c r="U67" s="273">
        <f>IF($A67="","",IF(ISERROR(INDIRECT("CICLO_EM_EXECUCAO!C"&amp;(ROW()+10))),"",INDIRECT("CICLO_EM_EXECUCAO!C"&amp;(ROW()+10))))</f>
        <v/>
      </c>
      <c r="V67" s="213">
        <f>IF($A67="","",IF(ISERROR(INDIRECT("CICLO_EM_EXECUCAO!E"&amp;(ROW()+10))),"",INDIRECT("CICLO_EM_EXECUCAO!E"&amp;(ROW()+10))))</f>
        <v/>
      </c>
      <c r="W67" s="213">
        <f>IF($A67="","",IF(ISERROR(INDIRECT("CICLO_EM_EXECUCAO!F"&amp;(ROW()+10))),"",INDIRECT("CICLO_EM_EXECUCAO!F"&amp;(ROW()+10))))</f>
        <v/>
      </c>
      <c r="X67" s="213">
        <f>IF($A67="","",IF(ISERROR(INDIRECT("CICLO_EM_EXECUCAO!G"&amp;(ROW()+10))),"",INDIRECT("CICLO_EM_EXECUCAO!G"&amp;(ROW()+10))))</f>
        <v/>
      </c>
      <c r="Y67">
        <f>IF($A67="","",IF(ISERROR(INDIRECT("CICLO_EM_EXECUCAO!K"&amp;(ROW()+10))),"CICLO_EM_EXECUCAO AUSENTE",INDIRECT("CICLO_EM_EXECUCAO!K"&amp;(ROW()+10))))</f>
        <v/>
      </c>
    </row>
    <row r="68">
      <c r="A68" s="116">
        <f>IF(AND(itens_Remanesc!A67="",itens_Remanesc!A66&lt;&gt;"",COUNTIF(itens_Remanesc!A68:$A$200,"&lt;&gt;")=0),"TOTAL",IF(itens_Remanesc!A67="","",itens_Remanesc!A67))</f>
        <v/>
      </c>
      <c r="B68" s="355">
        <f>IF(OR(historico_VU!A67="",historico_VU!C67=""),"",historico_VU!C67)</f>
        <v/>
      </c>
      <c r="C68" s="118">
        <f>IF(posicao_contratual!A67="","",posicao_contratual!G67)</f>
        <v/>
      </c>
      <c r="D68" s="355">
        <f>IF(A68="TOTAL",ROUND(SUM($D$3:D67),2),IF(OR(A68="",B68="",C68=""),"",ROUND(B68*C68,2)))</f>
        <v/>
      </c>
      <c r="E68" s="356">
        <f>IF(OR(historico_VU!A67="",historico_VU!D67=""),"",historico_VU!D67)</f>
        <v/>
      </c>
      <c r="F68" s="120">
        <f>IF(posicao_contratual!A67="","",posicao_contratual!K67)</f>
        <v/>
      </c>
      <c r="G68" s="356">
        <f>IF(A68="TOTAL",ROUND(SUM($G$3:G67),2),IF(OR(A68="",E68="",F68=""),"",ROUND(E68*F68,2)))</f>
        <v/>
      </c>
      <c r="H68" s="355">
        <f>IF(OR(historico_VU!A67="",historico_VU!E67=""),"",historico_VU!E67)</f>
        <v/>
      </c>
      <c r="I68" s="118">
        <f>IF(posicao_contratual!A67="","",posicao_contratual!O67)</f>
        <v/>
      </c>
      <c r="J68" s="355">
        <f>IF(A68="TOTAL",ROUND(SUM($J$3:J67),2),IF(OR(A68="",H68="",I68=""),"",ROUND(H68*I68,2)))</f>
        <v/>
      </c>
      <c r="K68" s="356">
        <f>IF(OR(historico_VU!A67="",historico_VU!F67=""),"",historico_VU!F67)</f>
        <v/>
      </c>
      <c r="L68" s="120">
        <f>IF(posicao_contratual!A67="","",posicao_contratual!S67)</f>
        <v/>
      </c>
      <c r="M68" s="356">
        <f>IF(A68="TOTAL",ROUND(SUM($M$3:M67),2),IF(OR(A68="",K68="",L68=""),"",ROUND(K68*L68,2)))</f>
        <v/>
      </c>
      <c r="N68" s="355">
        <f>IF(OR(historico_VU!A67="",historico_VU!G67=""),"",historico_VU!G67)</f>
        <v/>
      </c>
      <c r="O68" s="118">
        <f>IF(posicao_contratual!A67="","",posicao_contratual!W67)</f>
        <v/>
      </c>
      <c r="P68" s="355">
        <f>IF(A68="TOTAL",ROUND(SUM($P$3:P67),2),IF(OR(A68="",N68="",O68=""),"",ROUND(N68*O68,2)))</f>
        <v/>
      </c>
      <c r="Q68" s="195">
        <f>IF($A68="","",IF(ISERROR(INDIRECT("CICLO_EM_EXECUCAO!$D$5")),"",INDIRECT("CICLO_EM_EXECUCAO!$D$5")))</f>
        <v/>
      </c>
      <c r="R68">
        <f>IF($A68="","",IF(MEMORIA_RESULTADOS!$W$46="","","C"&amp;MEMORIA_RESULTADOS!$W$46))</f>
        <v/>
      </c>
      <c r="S68" s="273">
        <f>IF($A68="","",IF(ISERROR(INDIRECT("CICLO_EM_EXECUCAO!B"&amp;(ROW()+10))),"",INDIRECT("CICLO_EM_EXECUCAO!B"&amp;(ROW()+10))))</f>
        <v/>
      </c>
      <c r="T68" s="273">
        <f>IF($A68="","",IF(ISERROR(INDIRECT("CICLO_EM_EXECUCAO!D"&amp;(ROW()+10))),"",INDIRECT("CICLO_EM_EXECUCAO!D"&amp;(ROW()+10))))</f>
        <v/>
      </c>
      <c r="U68" s="273">
        <f>IF($A68="","",IF(ISERROR(INDIRECT("CICLO_EM_EXECUCAO!C"&amp;(ROW()+10))),"",INDIRECT("CICLO_EM_EXECUCAO!C"&amp;(ROW()+10))))</f>
        <v/>
      </c>
      <c r="V68" s="213">
        <f>IF($A68="","",IF(ISERROR(INDIRECT("CICLO_EM_EXECUCAO!E"&amp;(ROW()+10))),"",INDIRECT("CICLO_EM_EXECUCAO!E"&amp;(ROW()+10))))</f>
        <v/>
      </c>
      <c r="W68" s="213">
        <f>IF($A68="","",IF(ISERROR(INDIRECT("CICLO_EM_EXECUCAO!F"&amp;(ROW()+10))),"",INDIRECT("CICLO_EM_EXECUCAO!F"&amp;(ROW()+10))))</f>
        <v/>
      </c>
      <c r="X68" s="213">
        <f>IF($A68="","",IF(ISERROR(INDIRECT("CICLO_EM_EXECUCAO!G"&amp;(ROW()+10))),"",INDIRECT("CICLO_EM_EXECUCAO!G"&amp;(ROW()+10))))</f>
        <v/>
      </c>
      <c r="Y68">
        <f>IF($A68="","",IF(ISERROR(INDIRECT("CICLO_EM_EXECUCAO!K"&amp;(ROW()+10))),"CICLO_EM_EXECUCAO AUSENTE",INDIRECT("CICLO_EM_EXECUCAO!K"&amp;(ROW()+10))))</f>
        <v/>
      </c>
    </row>
    <row r="69">
      <c r="A69" s="116">
        <f>IF(AND(itens_Remanesc!A68="",itens_Remanesc!A67&lt;&gt;"",COUNTIF(itens_Remanesc!A69:$A$200,"&lt;&gt;")=0),"TOTAL",IF(itens_Remanesc!A68="","",itens_Remanesc!A68))</f>
        <v/>
      </c>
      <c r="B69" s="355">
        <f>IF(OR(historico_VU!A68="",historico_VU!C68=""),"",historico_VU!C68)</f>
        <v/>
      </c>
      <c r="C69" s="118">
        <f>IF(posicao_contratual!A68="","",posicao_contratual!G68)</f>
        <v/>
      </c>
      <c r="D69" s="355">
        <f>IF(A69="TOTAL",ROUND(SUM($D$3:D68),2),IF(OR(A69="",B69="",C69=""),"",ROUND(B69*C69,2)))</f>
        <v/>
      </c>
      <c r="E69" s="356">
        <f>IF(OR(historico_VU!A68="",historico_VU!D68=""),"",historico_VU!D68)</f>
        <v/>
      </c>
      <c r="F69" s="120">
        <f>IF(posicao_contratual!A68="","",posicao_contratual!K68)</f>
        <v/>
      </c>
      <c r="G69" s="356">
        <f>IF(A69="TOTAL",ROUND(SUM($G$3:G68),2),IF(OR(A69="",E69="",F69=""),"",ROUND(E69*F69,2)))</f>
        <v/>
      </c>
      <c r="H69" s="355">
        <f>IF(OR(historico_VU!A68="",historico_VU!E68=""),"",historico_VU!E68)</f>
        <v/>
      </c>
      <c r="I69" s="118">
        <f>IF(posicao_contratual!A68="","",posicao_contratual!O68)</f>
        <v/>
      </c>
      <c r="J69" s="355">
        <f>IF(A69="TOTAL",ROUND(SUM($J$3:J68),2),IF(OR(A69="",H69="",I69=""),"",ROUND(H69*I69,2)))</f>
        <v/>
      </c>
      <c r="K69" s="356">
        <f>IF(OR(historico_VU!A68="",historico_VU!F68=""),"",historico_VU!F68)</f>
        <v/>
      </c>
      <c r="L69" s="120">
        <f>IF(posicao_contratual!A68="","",posicao_contratual!S68)</f>
        <v/>
      </c>
      <c r="M69" s="356">
        <f>IF(A69="TOTAL",ROUND(SUM($M$3:M68),2),IF(OR(A69="",K69="",L69=""),"",ROUND(K69*L69,2)))</f>
        <v/>
      </c>
      <c r="N69" s="355">
        <f>IF(OR(historico_VU!A68="",historico_VU!G68=""),"",historico_VU!G68)</f>
        <v/>
      </c>
      <c r="O69" s="118">
        <f>IF(posicao_contratual!A68="","",posicao_contratual!W68)</f>
        <v/>
      </c>
      <c r="P69" s="355">
        <f>IF(A69="TOTAL",ROUND(SUM($P$3:P68),2),IF(OR(A69="",N69="",O69=""),"",ROUND(N69*O69,2)))</f>
        <v/>
      </c>
      <c r="Q69" s="195">
        <f>IF($A69="","",IF(ISERROR(INDIRECT("CICLO_EM_EXECUCAO!$D$5")),"",INDIRECT("CICLO_EM_EXECUCAO!$D$5")))</f>
        <v/>
      </c>
      <c r="R69">
        <f>IF($A69="","",IF(MEMORIA_RESULTADOS!$W$46="","","C"&amp;MEMORIA_RESULTADOS!$W$46))</f>
        <v/>
      </c>
      <c r="S69" s="273">
        <f>IF($A69="","",IF(ISERROR(INDIRECT("CICLO_EM_EXECUCAO!B"&amp;(ROW()+10))),"",INDIRECT("CICLO_EM_EXECUCAO!B"&amp;(ROW()+10))))</f>
        <v/>
      </c>
      <c r="T69" s="273">
        <f>IF($A69="","",IF(ISERROR(INDIRECT("CICLO_EM_EXECUCAO!D"&amp;(ROW()+10))),"",INDIRECT("CICLO_EM_EXECUCAO!D"&amp;(ROW()+10))))</f>
        <v/>
      </c>
      <c r="U69" s="273">
        <f>IF($A69="","",IF(ISERROR(INDIRECT("CICLO_EM_EXECUCAO!C"&amp;(ROW()+10))),"",INDIRECT("CICLO_EM_EXECUCAO!C"&amp;(ROW()+10))))</f>
        <v/>
      </c>
      <c r="V69" s="213">
        <f>IF($A69="","",IF(ISERROR(INDIRECT("CICLO_EM_EXECUCAO!E"&amp;(ROW()+10))),"",INDIRECT("CICLO_EM_EXECUCAO!E"&amp;(ROW()+10))))</f>
        <v/>
      </c>
      <c r="W69" s="213">
        <f>IF($A69="","",IF(ISERROR(INDIRECT("CICLO_EM_EXECUCAO!F"&amp;(ROW()+10))),"",INDIRECT("CICLO_EM_EXECUCAO!F"&amp;(ROW()+10))))</f>
        <v/>
      </c>
      <c r="X69" s="213">
        <f>IF($A69="","",IF(ISERROR(INDIRECT("CICLO_EM_EXECUCAO!G"&amp;(ROW()+10))),"",INDIRECT("CICLO_EM_EXECUCAO!G"&amp;(ROW()+10))))</f>
        <v/>
      </c>
      <c r="Y69">
        <f>IF($A69="","",IF(ISERROR(INDIRECT("CICLO_EM_EXECUCAO!K"&amp;(ROW()+10))),"CICLO_EM_EXECUCAO AUSENTE",INDIRECT("CICLO_EM_EXECUCAO!K"&amp;(ROW()+10))))</f>
        <v/>
      </c>
    </row>
    <row r="70">
      <c r="A70" s="116">
        <f>IF(AND(itens_Remanesc!A69="",itens_Remanesc!A68&lt;&gt;"",COUNTIF(itens_Remanesc!A70:$A$200,"&lt;&gt;")=0),"TOTAL",IF(itens_Remanesc!A69="","",itens_Remanesc!A69))</f>
        <v/>
      </c>
      <c r="B70" s="355">
        <f>IF(OR(historico_VU!A69="",historico_VU!C69=""),"",historico_VU!C69)</f>
        <v/>
      </c>
      <c r="C70" s="118">
        <f>IF(posicao_contratual!A69="","",posicao_contratual!G69)</f>
        <v/>
      </c>
      <c r="D70" s="355">
        <f>IF(A70="TOTAL",ROUND(SUM($D$3:D69),2),IF(OR(A70="",B70="",C70=""),"",ROUND(B70*C70,2)))</f>
        <v/>
      </c>
      <c r="E70" s="356">
        <f>IF(OR(historico_VU!A69="",historico_VU!D69=""),"",historico_VU!D69)</f>
        <v/>
      </c>
      <c r="F70" s="120">
        <f>IF(posicao_contratual!A69="","",posicao_contratual!K69)</f>
        <v/>
      </c>
      <c r="G70" s="356">
        <f>IF(A70="TOTAL",ROUND(SUM($G$3:G69),2),IF(OR(A70="",E70="",F70=""),"",ROUND(E70*F70,2)))</f>
        <v/>
      </c>
      <c r="H70" s="355">
        <f>IF(OR(historico_VU!A69="",historico_VU!E69=""),"",historico_VU!E69)</f>
        <v/>
      </c>
      <c r="I70" s="118">
        <f>IF(posicao_contratual!A69="","",posicao_contratual!O69)</f>
        <v/>
      </c>
      <c r="J70" s="355">
        <f>IF(A70="TOTAL",ROUND(SUM($J$3:J69),2),IF(OR(A70="",H70="",I70=""),"",ROUND(H70*I70,2)))</f>
        <v/>
      </c>
      <c r="K70" s="356">
        <f>IF(OR(historico_VU!A69="",historico_VU!F69=""),"",historico_VU!F69)</f>
        <v/>
      </c>
      <c r="L70" s="120">
        <f>IF(posicao_contratual!A69="","",posicao_contratual!S69)</f>
        <v/>
      </c>
      <c r="M70" s="356">
        <f>IF(A70="TOTAL",ROUND(SUM($M$3:M69),2),IF(OR(A70="",K70="",L70=""),"",ROUND(K70*L70,2)))</f>
        <v/>
      </c>
      <c r="N70" s="355">
        <f>IF(OR(historico_VU!A69="",historico_VU!G69=""),"",historico_VU!G69)</f>
        <v/>
      </c>
      <c r="O70" s="118">
        <f>IF(posicao_contratual!A69="","",posicao_contratual!W69)</f>
        <v/>
      </c>
      <c r="P70" s="355">
        <f>IF(A70="TOTAL",ROUND(SUM($P$3:P69),2),IF(OR(A70="",N70="",O70=""),"",ROUND(N70*O70,2)))</f>
        <v/>
      </c>
      <c r="Q70" s="195">
        <f>IF($A70="","",IF(ISERROR(INDIRECT("CICLO_EM_EXECUCAO!$D$5")),"",INDIRECT("CICLO_EM_EXECUCAO!$D$5")))</f>
        <v/>
      </c>
      <c r="R70">
        <f>IF($A70="","",IF(MEMORIA_RESULTADOS!$W$46="","","C"&amp;MEMORIA_RESULTADOS!$W$46))</f>
        <v/>
      </c>
      <c r="S70" s="273">
        <f>IF($A70="","",IF(ISERROR(INDIRECT("CICLO_EM_EXECUCAO!B"&amp;(ROW()+10))),"",INDIRECT("CICLO_EM_EXECUCAO!B"&amp;(ROW()+10))))</f>
        <v/>
      </c>
      <c r="T70" s="273">
        <f>IF($A70="","",IF(ISERROR(INDIRECT("CICLO_EM_EXECUCAO!D"&amp;(ROW()+10))),"",INDIRECT("CICLO_EM_EXECUCAO!D"&amp;(ROW()+10))))</f>
        <v/>
      </c>
      <c r="U70" s="273">
        <f>IF($A70="","",IF(ISERROR(INDIRECT("CICLO_EM_EXECUCAO!C"&amp;(ROW()+10))),"",INDIRECT("CICLO_EM_EXECUCAO!C"&amp;(ROW()+10))))</f>
        <v/>
      </c>
      <c r="V70" s="213">
        <f>IF($A70="","",IF(ISERROR(INDIRECT("CICLO_EM_EXECUCAO!E"&amp;(ROW()+10))),"",INDIRECT("CICLO_EM_EXECUCAO!E"&amp;(ROW()+10))))</f>
        <v/>
      </c>
      <c r="W70" s="213">
        <f>IF($A70="","",IF(ISERROR(INDIRECT("CICLO_EM_EXECUCAO!F"&amp;(ROW()+10))),"",INDIRECT("CICLO_EM_EXECUCAO!F"&amp;(ROW()+10))))</f>
        <v/>
      </c>
      <c r="X70" s="213">
        <f>IF($A70="","",IF(ISERROR(INDIRECT("CICLO_EM_EXECUCAO!G"&amp;(ROW()+10))),"",INDIRECT("CICLO_EM_EXECUCAO!G"&amp;(ROW()+10))))</f>
        <v/>
      </c>
      <c r="Y70">
        <f>IF($A70="","",IF(ISERROR(INDIRECT("CICLO_EM_EXECUCAO!K"&amp;(ROW()+10))),"CICLO_EM_EXECUCAO AUSENTE",INDIRECT("CICLO_EM_EXECUCAO!K"&amp;(ROW()+10))))</f>
        <v/>
      </c>
    </row>
    <row r="71">
      <c r="A71" s="116">
        <f>IF(AND(itens_Remanesc!A70="",itens_Remanesc!A69&lt;&gt;"",COUNTIF(itens_Remanesc!A71:$A$200,"&lt;&gt;")=0),"TOTAL",IF(itens_Remanesc!A70="","",itens_Remanesc!A70))</f>
        <v/>
      </c>
      <c r="B71" s="355">
        <f>IF(OR(historico_VU!A70="",historico_VU!C70=""),"",historico_VU!C70)</f>
        <v/>
      </c>
      <c r="C71" s="118">
        <f>IF(posicao_contratual!A70="","",posicao_contratual!G70)</f>
        <v/>
      </c>
      <c r="D71" s="355">
        <f>IF(A71="TOTAL",ROUND(SUM($D$3:D70),2),IF(OR(A71="",B71="",C71=""),"",ROUND(B71*C71,2)))</f>
        <v/>
      </c>
      <c r="E71" s="356">
        <f>IF(OR(historico_VU!A70="",historico_VU!D70=""),"",historico_VU!D70)</f>
        <v/>
      </c>
      <c r="F71" s="120">
        <f>IF(posicao_contratual!A70="","",posicao_contratual!K70)</f>
        <v/>
      </c>
      <c r="G71" s="356">
        <f>IF(A71="TOTAL",ROUND(SUM($G$3:G70),2),IF(OR(A71="",E71="",F71=""),"",ROUND(E71*F71,2)))</f>
        <v/>
      </c>
      <c r="H71" s="355">
        <f>IF(OR(historico_VU!A70="",historico_VU!E70=""),"",historico_VU!E70)</f>
        <v/>
      </c>
      <c r="I71" s="118">
        <f>IF(posicao_contratual!A70="","",posicao_contratual!O70)</f>
        <v/>
      </c>
      <c r="J71" s="355">
        <f>IF(A71="TOTAL",ROUND(SUM($J$3:J70),2),IF(OR(A71="",H71="",I71=""),"",ROUND(H71*I71,2)))</f>
        <v/>
      </c>
      <c r="K71" s="356">
        <f>IF(OR(historico_VU!A70="",historico_VU!F70=""),"",historico_VU!F70)</f>
        <v/>
      </c>
      <c r="L71" s="120">
        <f>IF(posicao_contratual!A70="","",posicao_contratual!S70)</f>
        <v/>
      </c>
      <c r="M71" s="356">
        <f>IF(A71="TOTAL",ROUND(SUM($M$3:M70),2),IF(OR(A71="",K71="",L71=""),"",ROUND(K71*L71,2)))</f>
        <v/>
      </c>
      <c r="N71" s="355">
        <f>IF(OR(historico_VU!A70="",historico_VU!G70=""),"",historico_VU!G70)</f>
        <v/>
      </c>
      <c r="O71" s="118">
        <f>IF(posicao_contratual!A70="","",posicao_contratual!W70)</f>
        <v/>
      </c>
      <c r="P71" s="355">
        <f>IF(A71="TOTAL",ROUND(SUM($P$3:P70),2),IF(OR(A71="",N71="",O71=""),"",ROUND(N71*O71,2)))</f>
        <v/>
      </c>
      <c r="Q71" s="195">
        <f>IF($A71="","",IF(ISERROR(INDIRECT("CICLO_EM_EXECUCAO!$D$5")),"",INDIRECT("CICLO_EM_EXECUCAO!$D$5")))</f>
        <v/>
      </c>
      <c r="R71">
        <f>IF($A71="","",IF(MEMORIA_RESULTADOS!$W$46="","","C"&amp;MEMORIA_RESULTADOS!$W$46))</f>
        <v/>
      </c>
      <c r="S71" s="273">
        <f>IF($A71="","",IF(ISERROR(INDIRECT("CICLO_EM_EXECUCAO!B"&amp;(ROW()+10))),"",INDIRECT("CICLO_EM_EXECUCAO!B"&amp;(ROW()+10))))</f>
        <v/>
      </c>
      <c r="T71" s="273">
        <f>IF($A71="","",IF(ISERROR(INDIRECT("CICLO_EM_EXECUCAO!D"&amp;(ROW()+10))),"",INDIRECT("CICLO_EM_EXECUCAO!D"&amp;(ROW()+10))))</f>
        <v/>
      </c>
      <c r="U71" s="273">
        <f>IF($A71="","",IF(ISERROR(INDIRECT("CICLO_EM_EXECUCAO!C"&amp;(ROW()+10))),"",INDIRECT("CICLO_EM_EXECUCAO!C"&amp;(ROW()+10))))</f>
        <v/>
      </c>
      <c r="V71" s="213">
        <f>IF($A71="","",IF(ISERROR(INDIRECT("CICLO_EM_EXECUCAO!E"&amp;(ROW()+10))),"",INDIRECT("CICLO_EM_EXECUCAO!E"&amp;(ROW()+10))))</f>
        <v/>
      </c>
      <c r="W71" s="213">
        <f>IF($A71="","",IF(ISERROR(INDIRECT("CICLO_EM_EXECUCAO!F"&amp;(ROW()+10))),"",INDIRECT("CICLO_EM_EXECUCAO!F"&amp;(ROW()+10))))</f>
        <v/>
      </c>
      <c r="X71" s="213">
        <f>IF($A71="","",IF(ISERROR(INDIRECT("CICLO_EM_EXECUCAO!G"&amp;(ROW()+10))),"",INDIRECT("CICLO_EM_EXECUCAO!G"&amp;(ROW()+10))))</f>
        <v/>
      </c>
      <c r="Y71">
        <f>IF($A71="","",IF(ISERROR(INDIRECT("CICLO_EM_EXECUCAO!K"&amp;(ROW()+10))),"CICLO_EM_EXECUCAO AUSENTE",INDIRECT("CICLO_EM_EXECUCAO!K"&amp;(ROW()+10))))</f>
        <v/>
      </c>
    </row>
    <row r="72">
      <c r="A72" s="116">
        <f>IF(AND(itens_Remanesc!A71="",itens_Remanesc!A70&lt;&gt;"",COUNTIF(itens_Remanesc!A72:$A$200,"&lt;&gt;")=0),"TOTAL",IF(itens_Remanesc!A71="","",itens_Remanesc!A71))</f>
        <v/>
      </c>
      <c r="B72" s="355">
        <f>IF(OR(historico_VU!A71="",historico_VU!C71=""),"",historico_VU!C71)</f>
        <v/>
      </c>
      <c r="C72" s="118">
        <f>IF(posicao_contratual!A71="","",posicao_contratual!G71)</f>
        <v/>
      </c>
      <c r="D72" s="355">
        <f>IF(A72="TOTAL",ROUND(SUM($D$3:D71),2),IF(OR(A72="",B72="",C72=""),"",ROUND(B72*C72,2)))</f>
        <v/>
      </c>
      <c r="E72" s="356">
        <f>IF(OR(historico_VU!A71="",historico_VU!D71=""),"",historico_VU!D71)</f>
        <v/>
      </c>
      <c r="F72" s="120">
        <f>IF(posicao_contratual!A71="","",posicao_contratual!K71)</f>
        <v/>
      </c>
      <c r="G72" s="356">
        <f>IF(A72="TOTAL",ROUND(SUM($G$3:G71),2),IF(OR(A72="",E72="",F72=""),"",ROUND(E72*F72,2)))</f>
        <v/>
      </c>
      <c r="H72" s="355">
        <f>IF(OR(historico_VU!A71="",historico_VU!E71=""),"",historico_VU!E71)</f>
        <v/>
      </c>
      <c r="I72" s="118">
        <f>IF(posicao_contratual!A71="","",posicao_contratual!O71)</f>
        <v/>
      </c>
      <c r="J72" s="355">
        <f>IF(A72="TOTAL",ROUND(SUM($J$3:J71),2),IF(OR(A72="",H72="",I72=""),"",ROUND(H72*I72,2)))</f>
        <v/>
      </c>
      <c r="K72" s="356">
        <f>IF(OR(historico_VU!A71="",historico_VU!F71=""),"",historico_VU!F71)</f>
        <v/>
      </c>
      <c r="L72" s="120">
        <f>IF(posicao_contratual!A71="","",posicao_contratual!S71)</f>
        <v/>
      </c>
      <c r="M72" s="356">
        <f>IF(A72="TOTAL",ROUND(SUM($M$3:M71),2),IF(OR(A72="",K72="",L72=""),"",ROUND(K72*L72,2)))</f>
        <v/>
      </c>
      <c r="N72" s="355">
        <f>IF(OR(historico_VU!A71="",historico_VU!G71=""),"",historico_VU!G71)</f>
        <v/>
      </c>
      <c r="O72" s="118">
        <f>IF(posicao_contratual!A71="","",posicao_contratual!W71)</f>
        <v/>
      </c>
      <c r="P72" s="355">
        <f>IF(A72="TOTAL",ROUND(SUM($P$3:P71),2),IF(OR(A72="",N72="",O72=""),"",ROUND(N72*O72,2)))</f>
        <v/>
      </c>
      <c r="Q72" s="195">
        <f>IF($A72="","",IF(ISERROR(INDIRECT("CICLO_EM_EXECUCAO!$D$5")),"",INDIRECT("CICLO_EM_EXECUCAO!$D$5")))</f>
        <v/>
      </c>
      <c r="R72">
        <f>IF($A72="","",IF(MEMORIA_RESULTADOS!$W$46="","","C"&amp;MEMORIA_RESULTADOS!$W$46))</f>
        <v/>
      </c>
      <c r="S72" s="273">
        <f>IF($A72="","",IF(ISERROR(INDIRECT("CICLO_EM_EXECUCAO!B"&amp;(ROW()+10))),"",INDIRECT("CICLO_EM_EXECUCAO!B"&amp;(ROW()+10))))</f>
        <v/>
      </c>
      <c r="T72" s="273">
        <f>IF($A72="","",IF(ISERROR(INDIRECT("CICLO_EM_EXECUCAO!D"&amp;(ROW()+10))),"",INDIRECT("CICLO_EM_EXECUCAO!D"&amp;(ROW()+10))))</f>
        <v/>
      </c>
      <c r="U72" s="273">
        <f>IF($A72="","",IF(ISERROR(INDIRECT("CICLO_EM_EXECUCAO!C"&amp;(ROW()+10))),"",INDIRECT("CICLO_EM_EXECUCAO!C"&amp;(ROW()+10))))</f>
        <v/>
      </c>
      <c r="V72" s="213">
        <f>IF($A72="","",IF(ISERROR(INDIRECT("CICLO_EM_EXECUCAO!E"&amp;(ROW()+10))),"",INDIRECT("CICLO_EM_EXECUCAO!E"&amp;(ROW()+10))))</f>
        <v/>
      </c>
      <c r="W72" s="213">
        <f>IF($A72="","",IF(ISERROR(INDIRECT("CICLO_EM_EXECUCAO!F"&amp;(ROW()+10))),"",INDIRECT("CICLO_EM_EXECUCAO!F"&amp;(ROW()+10))))</f>
        <v/>
      </c>
      <c r="X72" s="213">
        <f>IF($A72="","",IF(ISERROR(INDIRECT("CICLO_EM_EXECUCAO!G"&amp;(ROW()+10))),"",INDIRECT("CICLO_EM_EXECUCAO!G"&amp;(ROW()+10))))</f>
        <v/>
      </c>
      <c r="Y72">
        <f>IF($A72="","",IF(ISERROR(INDIRECT("CICLO_EM_EXECUCAO!K"&amp;(ROW()+10))),"CICLO_EM_EXECUCAO AUSENTE",INDIRECT("CICLO_EM_EXECUCAO!K"&amp;(ROW()+10))))</f>
        <v/>
      </c>
    </row>
    <row r="73">
      <c r="A73" s="116">
        <f>IF(AND(itens_Remanesc!A72="",itens_Remanesc!A71&lt;&gt;"",COUNTIF(itens_Remanesc!A73:$A$200,"&lt;&gt;")=0),"TOTAL",IF(itens_Remanesc!A72="","",itens_Remanesc!A72))</f>
        <v/>
      </c>
      <c r="B73" s="355">
        <f>IF(OR(historico_VU!A72="",historico_VU!C72=""),"",historico_VU!C72)</f>
        <v/>
      </c>
      <c r="C73" s="118">
        <f>IF(posicao_contratual!A72="","",posicao_contratual!G72)</f>
        <v/>
      </c>
      <c r="D73" s="355">
        <f>IF(A73="TOTAL",ROUND(SUM($D$3:D72),2),IF(OR(A73="",B73="",C73=""),"",ROUND(B73*C73,2)))</f>
        <v/>
      </c>
      <c r="E73" s="356">
        <f>IF(OR(historico_VU!A72="",historico_VU!D72=""),"",historico_VU!D72)</f>
        <v/>
      </c>
      <c r="F73" s="120">
        <f>IF(posicao_contratual!A72="","",posicao_contratual!K72)</f>
        <v/>
      </c>
      <c r="G73" s="356">
        <f>IF(A73="TOTAL",ROUND(SUM($G$3:G72),2),IF(OR(A73="",E73="",F73=""),"",ROUND(E73*F73,2)))</f>
        <v/>
      </c>
      <c r="H73" s="355">
        <f>IF(OR(historico_VU!A72="",historico_VU!E72=""),"",historico_VU!E72)</f>
        <v/>
      </c>
      <c r="I73" s="118">
        <f>IF(posicao_contratual!A72="","",posicao_contratual!O72)</f>
        <v/>
      </c>
      <c r="J73" s="355">
        <f>IF(A73="TOTAL",ROUND(SUM($J$3:J72),2),IF(OR(A73="",H73="",I73=""),"",ROUND(H73*I73,2)))</f>
        <v/>
      </c>
      <c r="K73" s="356">
        <f>IF(OR(historico_VU!A72="",historico_VU!F72=""),"",historico_VU!F72)</f>
        <v/>
      </c>
      <c r="L73" s="120">
        <f>IF(posicao_contratual!A72="","",posicao_contratual!S72)</f>
        <v/>
      </c>
      <c r="M73" s="356">
        <f>IF(A73="TOTAL",ROUND(SUM($M$3:M72),2),IF(OR(A73="",K73="",L73=""),"",ROUND(K73*L73,2)))</f>
        <v/>
      </c>
      <c r="N73" s="355">
        <f>IF(OR(historico_VU!A72="",historico_VU!G72=""),"",historico_VU!G72)</f>
        <v/>
      </c>
      <c r="O73" s="118">
        <f>IF(posicao_contratual!A72="","",posicao_contratual!W72)</f>
        <v/>
      </c>
      <c r="P73" s="355">
        <f>IF(A73="TOTAL",ROUND(SUM($P$3:P72),2),IF(OR(A73="",N73="",O73=""),"",ROUND(N73*O73,2)))</f>
        <v/>
      </c>
      <c r="Q73" s="195">
        <f>IF($A73="","",IF(ISERROR(INDIRECT("CICLO_EM_EXECUCAO!$D$5")),"",INDIRECT("CICLO_EM_EXECUCAO!$D$5")))</f>
        <v/>
      </c>
      <c r="R73">
        <f>IF($A73="","",IF(MEMORIA_RESULTADOS!$W$46="","","C"&amp;MEMORIA_RESULTADOS!$W$46))</f>
        <v/>
      </c>
      <c r="S73" s="273">
        <f>IF($A73="","",IF(ISERROR(INDIRECT("CICLO_EM_EXECUCAO!B"&amp;(ROW()+10))),"",INDIRECT("CICLO_EM_EXECUCAO!B"&amp;(ROW()+10))))</f>
        <v/>
      </c>
      <c r="T73" s="273">
        <f>IF($A73="","",IF(ISERROR(INDIRECT("CICLO_EM_EXECUCAO!D"&amp;(ROW()+10))),"",INDIRECT("CICLO_EM_EXECUCAO!D"&amp;(ROW()+10))))</f>
        <v/>
      </c>
      <c r="U73" s="273">
        <f>IF($A73="","",IF(ISERROR(INDIRECT("CICLO_EM_EXECUCAO!C"&amp;(ROW()+10))),"",INDIRECT("CICLO_EM_EXECUCAO!C"&amp;(ROW()+10))))</f>
        <v/>
      </c>
      <c r="V73" s="213">
        <f>IF($A73="","",IF(ISERROR(INDIRECT("CICLO_EM_EXECUCAO!E"&amp;(ROW()+10))),"",INDIRECT("CICLO_EM_EXECUCAO!E"&amp;(ROW()+10))))</f>
        <v/>
      </c>
      <c r="W73" s="213">
        <f>IF($A73="","",IF(ISERROR(INDIRECT("CICLO_EM_EXECUCAO!F"&amp;(ROW()+10))),"",INDIRECT("CICLO_EM_EXECUCAO!F"&amp;(ROW()+10))))</f>
        <v/>
      </c>
      <c r="X73" s="213">
        <f>IF($A73="","",IF(ISERROR(INDIRECT("CICLO_EM_EXECUCAO!G"&amp;(ROW()+10))),"",INDIRECT("CICLO_EM_EXECUCAO!G"&amp;(ROW()+10))))</f>
        <v/>
      </c>
      <c r="Y73">
        <f>IF($A73="","",IF(ISERROR(INDIRECT("CICLO_EM_EXECUCAO!K"&amp;(ROW()+10))),"CICLO_EM_EXECUCAO AUSENTE",INDIRECT("CICLO_EM_EXECUCAO!K"&amp;(ROW()+10))))</f>
        <v/>
      </c>
    </row>
    <row r="74">
      <c r="A74" s="116">
        <f>IF(AND(itens_Remanesc!A73="",itens_Remanesc!A72&lt;&gt;"",COUNTIF(itens_Remanesc!A74:$A$200,"&lt;&gt;")=0),"TOTAL",IF(itens_Remanesc!A73="","",itens_Remanesc!A73))</f>
        <v/>
      </c>
      <c r="B74" s="355">
        <f>IF(OR(historico_VU!A73="",historico_VU!C73=""),"",historico_VU!C73)</f>
        <v/>
      </c>
      <c r="C74" s="118">
        <f>IF(posicao_contratual!A73="","",posicao_contratual!G73)</f>
        <v/>
      </c>
      <c r="D74" s="355">
        <f>IF(A74="TOTAL",ROUND(SUM($D$3:D73),2),IF(OR(A74="",B74="",C74=""),"",ROUND(B74*C74,2)))</f>
        <v/>
      </c>
      <c r="E74" s="356">
        <f>IF(OR(historico_VU!A73="",historico_VU!D73=""),"",historico_VU!D73)</f>
        <v/>
      </c>
      <c r="F74" s="120">
        <f>IF(posicao_contratual!A73="","",posicao_contratual!K73)</f>
        <v/>
      </c>
      <c r="G74" s="356">
        <f>IF(A74="TOTAL",ROUND(SUM($G$3:G73),2),IF(OR(A74="",E74="",F74=""),"",ROUND(E74*F74,2)))</f>
        <v/>
      </c>
      <c r="H74" s="355">
        <f>IF(OR(historico_VU!A73="",historico_VU!E73=""),"",historico_VU!E73)</f>
        <v/>
      </c>
      <c r="I74" s="118">
        <f>IF(posicao_contratual!A73="","",posicao_contratual!O73)</f>
        <v/>
      </c>
      <c r="J74" s="355">
        <f>IF(A74="TOTAL",ROUND(SUM($J$3:J73),2),IF(OR(A74="",H74="",I74=""),"",ROUND(H74*I74,2)))</f>
        <v/>
      </c>
      <c r="K74" s="356">
        <f>IF(OR(historico_VU!A73="",historico_VU!F73=""),"",historico_VU!F73)</f>
        <v/>
      </c>
      <c r="L74" s="120">
        <f>IF(posicao_contratual!A73="","",posicao_contratual!S73)</f>
        <v/>
      </c>
      <c r="M74" s="356">
        <f>IF(A74="TOTAL",ROUND(SUM($M$3:M73),2),IF(OR(A74="",K74="",L74=""),"",ROUND(K74*L74,2)))</f>
        <v/>
      </c>
      <c r="N74" s="355">
        <f>IF(OR(historico_VU!A73="",historico_VU!G73=""),"",historico_VU!G73)</f>
        <v/>
      </c>
      <c r="O74" s="118">
        <f>IF(posicao_contratual!A73="","",posicao_contratual!W73)</f>
        <v/>
      </c>
      <c r="P74" s="355">
        <f>IF(A74="TOTAL",ROUND(SUM($P$3:P73),2),IF(OR(A74="",N74="",O74=""),"",ROUND(N74*O74,2)))</f>
        <v/>
      </c>
      <c r="Q74" s="195">
        <f>IF($A74="","",IF(ISERROR(INDIRECT("CICLO_EM_EXECUCAO!$D$5")),"",INDIRECT("CICLO_EM_EXECUCAO!$D$5")))</f>
        <v/>
      </c>
      <c r="R74">
        <f>IF($A74="","",IF(MEMORIA_RESULTADOS!$W$46="","","C"&amp;MEMORIA_RESULTADOS!$W$46))</f>
        <v/>
      </c>
      <c r="S74" s="273">
        <f>IF($A74="","",IF(ISERROR(INDIRECT("CICLO_EM_EXECUCAO!B"&amp;(ROW()+10))),"",INDIRECT("CICLO_EM_EXECUCAO!B"&amp;(ROW()+10))))</f>
        <v/>
      </c>
      <c r="T74" s="273">
        <f>IF($A74="","",IF(ISERROR(INDIRECT("CICLO_EM_EXECUCAO!D"&amp;(ROW()+10))),"",INDIRECT("CICLO_EM_EXECUCAO!D"&amp;(ROW()+10))))</f>
        <v/>
      </c>
      <c r="U74" s="273">
        <f>IF($A74="","",IF(ISERROR(INDIRECT("CICLO_EM_EXECUCAO!C"&amp;(ROW()+10))),"",INDIRECT("CICLO_EM_EXECUCAO!C"&amp;(ROW()+10))))</f>
        <v/>
      </c>
      <c r="V74" s="213">
        <f>IF($A74="","",IF(ISERROR(INDIRECT("CICLO_EM_EXECUCAO!E"&amp;(ROW()+10))),"",INDIRECT("CICLO_EM_EXECUCAO!E"&amp;(ROW()+10))))</f>
        <v/>
      </c>
      <c r="W74" s="213">
        <f>IF($A74="","",IF(ISERROR(INDIRECT("CICLO_EM_EXECUCAO!F"&amp;(ROW()+10))),"",INDIRECT("CICLO_EM_EXECUCAO!F"&amp;(ROW()+10))))</f>
        <v/>
      </c>
      <c r="X74" s="213">
        <f>IF($A74="","",IF(ISERROR(INDIRECT("CICLO_EM_EXECUCAO!G"&amp;(ROW()+10))),"",INDIRECT("CICLO_EM_EXECUCAO!G"&amp;(ROW()+10))))</f>
        <v/>
      </c>
      <c r="Y74">
        <f>IF($A74="","",IF(ISERROR(INDIRECT("CICLO_EM_EXECUCAO!K"&amp;(ROW()+10))),"CICLO_EM_EXECUCAO AUSENTE",INDIRECT("CICLO_EM_EXECUCAO!K"&amp;(ROW()+10))))</f>
        <v/>
      </c>
    </row>
    <row r="75">
      <c r="A75" s="116">
        <f>IF(AND(itens_Remanesc!A74="",itens_Remanesc!A73&lt;&gt;"",COUNTIF(itens_Remanesc!A75:$A$200,"&lt;&gt;")=0),"TOTAL",IF(itens_Remanesc!A74="","",itens_Remanesc!A74))</f>
        <v/>
      </c>
      <c r="B75" s="355">
        <f>IF(OR(historico_VU!A74="",historico_VU!C74=""),"",historico_VU!C74)</f>
        <v/>
      </c>
      <c r="C75" s="118">
        <f>IF(posicao_contratual!A74="","",posicao_contratual!G74)</f>
        <v/>
      </c>
      <c r="D75" s="355">
        <f>IF(A75="TOTAL",ROUND(SUM($D$3:D74),2),IF(OR(A75="",B75="",C75=""),"",ROUND(B75*C75,2)))</f>
        <v/>
      </c>
      <c r="E75" s="356">
        <f>IF(OR(historico_VU!A74="",historico_VU!D74=""),"",historico_VU!D74)</f>
        <v/>
      </c>
      <c r="F75" s="120">
        <f>IF(posicao_contratual!A74="","",posicao_contratual!K74)</f>
        <v/>
      </c>
      <c r="G75" s="356">
        <f>IF(A75="TOTAL",ROUND(SUM($G$3:G74),2),IF(OR(A75="",E75="",F75=""),"",ROUND(E75*F75,2)))</f>
        <v/>
      </c>
      <c r="H75" s="355">
        <f>IF(OR(historico_VU!A74="",historico_VU!E74=""),"",historico_VU!E74)</f>
        <v/>
      </c>
      <c r="I75" s="118">
        <f>IF(posicao_contratual!A74="","",posicao_contratual!O74)</f>
        <v/>
      </c>
      <c r="J75" s="355">
        <f>IF(A75="TOTAL",ROUND(SUM($J$3:J74),2),IF(OR(A75="",H75="",I75=""),"",ROUND(H75*I75,2)))</f>
        <v/>
      </c>
      <c r="K75" s="356">
        <f>IF(OR(historico_VU!A74="",historico_VU!F74=""),"",historico_VU!F74)</f>
        <v/>
      </c>
      <c r="L75" s="120">
        <f>IF(posicao_contratual!A74="","",posicao_contratual!S74)</f>
        <v/>
      </c>
      <c r="M75" s="356">
        <f>IF(A75="TOTAL",ROUND(SUM($M$3:M74),2),IF(OR(A75="",K75="",L75=""),"",ROUND(K75*L75,2)))</f>
        <v/>
      </c>
      <c r="N75" s="355">
        <f>IF(OR(historico_VU!A74="",historico_VU!G74=""),"",historico_VU!G74)</f>
        <v/>
      </c>
      <c r="O75" s="118">
        <f>IF(posicao_contratual!A74="","",posicao_contratual!W74)</f>
        <v/>
      </c>
      <c r="P75" s="355">
        <f>IF(A75="TOTAL",ROUND(SUM($P$3:P74),2),IF(OR(A75="",N75="",O75=""),"",ROUND(N75*O75,2)))</f>
        <v/>
      </c>
      <c r="Q75" s="195">
        <f>IF($A75="","",IF(ISERROR(INDIRECT("CICLO_EM_EXECUCAO!$D$5")),"",INDIRECT("CICLO_EM_EXECUCAO!$D$5")))</f>
        <v/>
      </c>
      <c r="R75">
        <f>IF($A75="","",IF(MEMORIA_RESULTADOS!$W$46="","","C"&amp;MEMORIA_RESULTADOS!$W$46))</f>
        <v/>
      </c>
      <c r="S75" s="273">
        <f>IF($A75="","",IF(ISERROR(INDIRECT("CICLO_EM_EXECUCAO!B"&amp;(ROW()+10))),"",INDIRECT("CICLO_EM_EXECUCAO!B"&amp;(ROW()+10))))</f>
        <v/>
      </c>
      <c r="T75" s="273">
        <f>IF($A75="","",IF(ISERROR(INDIRECT("CICLO_EM_EXECUCAO!D"&amp;(ROW()+10))),"",INDIRECT("CICLO_EM_EXECUCAO!D"&amp;(ROW()+10))))</f>
        <v/>
      </c>
      <c r="U75" s="273">
        <f>IF($A75="","",IF(ISERROR(INDIRECT("CICLO_EM_EXECUCAO!C"&amp;(ROW()+10))),"",INDIRECT("CICLO_EM_EXECUCAO!C"&amp;(ROW()+10))))</f>
        <v/>
      </c>
      <c r="V75" s="213">
        <f>IF($A75="","",IF(ISERROR(INDIRECT("CICLO_EM_EXECUCAO!E"&amp;(ROW()+10))),"",INDIRECT("CICLO_EM_EXECUCAO!E"&amp;(ROW()+10))))</f>
        <v/>
      </c>
      <c r="W75" s="213">
        <f>IF($A75="","",IF(ISERROR(INDIRECT("CICLO_EM_EXECUCAO!F"&amp;(ROW()+10))),"",INDIRECT("CICLO_EM_EXECUCAO!F"&amp;(ROW()+10))))</f>
        <v/>
      </c>
      <c r="X75" s="213">
        <f>IF($A75="","",IF(ISERROR(INDIRECT("CICLO_EM_EXECUCAO!G"&amp;(ROW()+10))),"",INDIRECT("CICLO_EM_EXECUCAO!G"&amp;(ROW()+10))))</f>
        <v/>
      </c>
      <c r="Y75">
        <f>IF($A75="","",IF(ISERROR(INDIRECT("CICLO_EM_EXECUCAO!K"&amp;(ROW()+10))),"CICLO_EM_EXECUCAO AUSENTE",INDIRECT("CICLO_EM_EXECUCAO!K"&amp;(ROW()+10))))</f>
        <v/>
      </c>
    </row>
    <row r="76">
      <c r="A76" s="116">
        <f>IF(AND(itens_Remanesc!A75="",itens_Remanesc!A74&lt;&gt;"",COUNTIF(itens_Remanesc!A76:$A$200,"&lt;&gt;")=0),"TOTAL",IF(itens_Remanesc!A75="","",itens_Remanesc!A75))</f>
        <v/>
      </c>
      <c r="B76" s="355">
        <f>IF(OR(historico_VU!A75="",historico_VU!C75=""),"",historico_VU!C75)</f>
        <v/>
      </c>
      <c r="C76" s="118">
        <f>IF(posicao_contratual!A75="","",posicao_contratual!G75)</f>
        <v/>
      </c>
      <c r="D76" s="355">
        <f>IF(A76="TOTAL",ROUND(SUM($D$3:D75),2),IF(OR(A76="",B76="",C76=""),"",ROUND(B76*C76,2)))</f>
        <v/>
      </c>
      <c r="E76" s="356">
        <f>IF(OR(historico_VU!A75="",historico_VU!D75=""),"",historico_VU!D75)</f>
        <v/>
      </c>
      <c r="F76" s="120">
        <f>IF(posicao_contratual!A75="","",posicao_contratual!K75)</f>
        <v/>
      </c>
      <c r="G76" s="356">
        <f>IF(A76="TOTAL",ROUND(SUM($G$3:G75),2),IF(OR(A76="",E76="",F76=""),"",ROUND(E76*F76,2)))</f>
        <v/>
      </c>
      <c r="H76" s="355">
        <f>IF(OR(historico_VU!A75="",historico_VU!E75=""),"",historico_VU!E75)</f>
        <v/>
      </c>
      <c r="I76" s="118">
        <f>IF(posicao_contratual!A75="","",posicao_contratual!O75)</f>
        <v/>
      </c>
      <c r="J76" s="355">
        <f>IF(A76="TOTAL",ROUND(SUM($J$3:J75),2),IF(OR(A76="",H76="",I76=""),"",ROUND(H76*I76,2)))</f>
        <v/>
      </c>
      <c r="K76" s="356">
        <f>IF(OR(historico_VU!A75="",historico_VU!F75=""),"",historico_VU!F75)</f>
        <v/>
      </c>
      <c r="L76" s="120">
        <f>IF(posicao_contratual!A75="","",posicao_contratual!S75)</f>
        <v/>
      </c>
      <c r="M76" s="356">
        <f>IF(A76="TOTAL",ROUND(SUM($M$3:M75),2),IF(OR(A76="",K76="",L76=""),"",ROUND(K76*L76,2)))</f>
        <v/>
      </c>
      <c r="N76" s="355">
        <f>IF(OR(historico_VU!A75="",historico_VU!G75=""),"",historico_VU!G75)</f>
        <v/>
      </c>
      <c r="O76" s="118">
        <f>IF(posicao_contratual!A75="","",posicao_contratual!W75)</f>
        <v/>
      </c>
      <c r="P76" s="355">
        <f>IF(A76="TOTAL",ROUND(SUM($P$3:P75),2),IF(OR(A76="",N76="",O76=""),"",ROUND(N76*O76,2)))</f>
        <v/>
      </c>
      <c r="Q76" s="195">
        <f>IF($A76="","",IF(ISERROR(INDIRECT("CICLO_EM_EXECUCAO!$D$5")),"",INDIRECT("CICLO_EM_EXECUCAO!$D$5")))</f>
        <v/>
      </c>
      <c r="R76">
        <f>IF($A76="","",IF(MEMORIA_RESULTADOS!$W$46="","","C"&amp;MEMORIA_RESULTADOS!$W$46))</f>
        <v/>
      </c>
      <c r="S76" s="273">
        <f>IF($A76="","",IF(ISERROR(INDIRECT("CICLO_EM_EXECUCAO!B"&amp;(ROW()+10))),"",INDIRECT("CICLO_EM_EXECUCAO!B"&amp;(ROW()+10))))</f>
        <v/>
      </c>
      <c r="T76" s="273">
        <f>IF($A76="","",IF(ISERROR(INDIRECT("CICLO_EM_EXECUCAO!D"&amp;(ROW()+10))),"",INDIRECT("CICLO_EM_EXECUCAO!D"&amp;(ROW()+10))))</f>
        <v/>
      </c>
      <c r="U76" s="273">
        <f>IF($A76="","",IF(ISERROR(INDIRECT("CICLO_EM_EXECUCAO!C"&amp;(ROW()+10))),"",INDIRECT("CICLO_EM_EXECUCAO!C"&amp;(ROW()+10))))</f>
        <v/>
      </c>
      <c r="V76" s="213">
        <f>IF($A76="","",IF(ISERROR(INDIRECT("CICLO_EM_EXECUCAO!E"&amp;(ROW()+10))),"",INDIRECT("CICLO_EM_EXECUCAO!E"&amp;(ROW()+10))))</f>
        <v/>
      </c>
      <c r="W76" s="213">
        <f>IF($A76="","",IF(ISERROR(INDIRECT("CICLO_EM_EXECUCAO!F"&amp;(ROW()+10))),"",INDIRECT("CICLO_EM_EXECUCAO!F"&amp;(ROW()+10))))</f>
        <v/>
      </c>
      <c r="X76" s="213">
        <f>IF($A76="","",IF(ISERROR(INDIRECT("CICLO_EM_EXECUCAO!G"&amp;(ROW()+10))),"",INDIRECT("CICLO_EM_EXECUCAO!G"&amp;(ROW()+10))))</f>
        <v/>
      </c>
      <c r="Y76">
        <f>IF($A76="","",IF(ISERROR(INDIRECT("CICLO_EM_EXECUCAO!K"&amp;(ROW()+10))),"CICLO_EM_EXECUCAO AUSENTE",INDIRECT("CICLO_EM_EXECUCAO!K"&amp;(ROW()+10))))</f>
        <v/>
      </c>
    </row>
    <row r="77">
      <c r="A77" s="116">
        <f>IF(AND(itens_Remanesc!A76="",itens_Remanesc!A75&lt;&gt;"",COUNTIF(itens_Remanesc!A77:$A$200,"&lt;&gt;")=0),"TOTAL",IF(itens_Remanesc!A76="","",itens_Remanesc!A76))</f>
        <v/>
      </c>
      <c r="B77" s="355">
        <f>IF(OR(historico_VU!A76="",historico_VU!C76=""),"",historico_VU!C76)</f>
        <v/>
      </c>
      <c r="C77" s="118">
        <f>IF(posicao_contratual!A76="","",posicao_contratual!G76)</f>
        <v/>
      </c>
      <c r="D77" s="355">
        <f>IF(A77="TOTAL",ROUND(SUM($D$3:D76),2),IF(OR(A77="",B77="",C77=""),"",ROUND(B77*C77,2)))</f>
        <v/>
      </c>
      <c r="E77" s="356">
        <f>IF(OR(historico_VU!A76="",historico_VU!D76=""),"",historico_VU!D76)</f>
        <v/>
      </c>
      <c r="F77" s="120">
        <f>IF(posicao_contratual!A76="","",posicao_contratual!K76)</f>
        <v/>
      </c>
      <c r="G77" s="356">
        <f>IF(A77="TOTAL",ROUND(SUM($G$3:G76),2),IF(OR(A77="",E77="",F77=""),"",ROUND(E77*F77,2)))</f>
        <v/>
      </c>
      <c r="H77" s="355">
        <f>IF(OR(historico_VU!A76="",historico_VU!E76=""),"",historico_VU!E76)</f>
        <v/>
      </c>
      <c r="I77" s="118">
        <f>IF(posicao_contratual!A76="","",posicao_contratual!O76)</f>
        <v/>
      </c>
      <c r="J77" s="355">
        <f>IF(A77="TOTAL",ROUND(SUM($J$3:J76),2),IF(OR(A77="",H77="",I77=""),"",ROUND(H77*I77,2)))</f>
        <v/>
      </c>
      <c r="K77" s="356">
        <f>IF(OR(historico_VU!A76="",historico_VU!F76=""),"",historico_VU!F76)</f>
        <v/>
      </c>
      <c r="L77" s="120">
        <f>IF(posicao_contratual!A76="","",posicao_contratual!S76)</f>
        <v/>
      </c>
      <c r="M77" s="356">
        <f>IF(A77="TOTAL",ROUND(SUM($M$3:M76),2),IF(OR(A77="",K77="",L77=""),"",ROUND(K77*L77,2)))</f>
        <v/>
      </c>
      <c r="N77" s="355">
        <f>IF(OR(historico_VU!A76="",historico_VU!G76=""),"",historico_VU!G76)</f>
        <v/>
      </c>
      <c r="O77" s="118">
        <f>IF(posicao_contratual!A76="","",posicao_contratual!W76)</f>
        <v/>
      </c>
      <c r="P77" s="355">
        <f>IF(A77="TOTAL",ROUND(SUM($P$3:P76),2),IF(OR(A77="",N77="",O77=""),"",ROUND(N77*O77,2)))</f>
        <v/>
      </c>
      <c r="Q77" s="195">
        <f>IF($A77="","",IF(ISERROR(INDIRECT("CICLO_EM_EXECUCAO!$D$5")),"",INDIRECT("CICLO_EM_EXECUCAO!$D$5")))</f>
        <v/>
      </c>
      <c r="R77">
        <f>IF($A77="","",IF(MEMORIA_RESULTADOS!$W$46="","","C"&amp;MEMORIA_RESULTADOS!$W$46))</f>
        <v/>
      </c>
      <c r="S77" s="273">
        <f>IF($A77="","",IF(ISERROR(INDIRECT("CICLO_EM_EXECUCAO!B"&amp;(ROW()+10))),"",INDIRECT("CICLO_EM_EXECUCAO!B"&amp;(ROW()+10))))</f>
        <v/>
      </c>
      <c r="T77" s="273">
        <f>IF($A77="","",IF(ISERROR(INDIRECT("CICLO_EM_EXECUCAO!D"&amp;(ROW()+10))),"",INDIRECT("CICLO_EM_EXECUCAO!D"&amp;(ROW()+10))))</f>
        <v/>
      </c>
      <c r="U77" s="273">
        <f>IF($A77="","",IF(ISERROR(INDIRECT("CICLO_EM_EXECUCAO!C"&amp;(ROW()+10))),"",INDIRECT("CICLO_EM_EXECUCAO!C"&amp;(ROW()+10))))</f>
        <v/>
      </c>
      <c r="V77" s="213">
        <f>IF($A77="","",IF(ISERROR(INDIRECT("CICLO_EM_EXECUCAO!E"&amp;(ROW()+10))),"",INDIRECT("CICLO_EM_EXECUCAO!E"&amp;(ROW()+10))))</f>
        <v/>
      </c>
      <c r="W77" s="213">
        <f>IF($A77="","",IF(ISERROR(INDIRECT("CICLO_EM_EXECUCAO!F"&amp;(ROW()+10))),"",INDIRECT("CICLO_EM_EXECUCAO!F"&amp;(ROW()+10))))</f>
        <v/>
      </c>
      <c r="X77" s="213">
        <f>IF($A77="","",IF(ISERROR(INDIRECT("CICLO_EM_EXECUCAO!G"&amp;(ROW()+10))),"",INDIRECT("CICLO_EM_EXECUCAO!G"&amp;(ROW()+10))))</f>
        <v/>
      </c>
      <c r="Y77">
        <f>IF($A77="","",IF(ISERROR(INDIRECT("CICLO_EM_EXECUCAO!K"&amp;(ROW()+10))),"CICLO_EM_EXECUCAO AUSENTE",INDIRECT("CICLO_EM_EXECUCAO!K"&amp;(ROW()+10))))</f>
        <v/>
      </c>
    </row>
    <row r="78">
      <c r="A78" s="116">
        <f>IF(AND(itens_Remanesc!A77="",itens_Remanesc!A76&lt;&gt;"",COUNTIF(itens_Remanesc!A78:$A$200,"&lt;&gt;")=0),"TOTAL",IF(itens_Remanesc!A77="","",itens_Remanesc!A77))</f>
        <v/>
      </c>
      <c r="B78" s="355">
        <f>IF(OR(historico_VU!A77="",historico_VU!C77=""),"",historico_VU!C77)</f>
        <v/>
      </c>
      <c r="C78" s="118">
        <f>IF(posicao_contratual!A77="","",posicao_contratual!G77)</f>
        <v/>
      </c>
      <c r="D78" s="355">
        <f>IF(A78="TOTAL",ROUND(SUM($D$3:D77),2),IF(OR(A78="",B78="",C78=""),"",ROUND(B78*C78,2)))</f>
        <v/>
      </c>
      <c r="E78" s="356">
        <f>IF(OR(historico_VU!A77="",historico_VU!D77=""),"",historico_VU!D77)</f>
        <v/>
      </c>
      <c r="F78" s="120">
        <f>IF(posicao_contratual!A77="","",posicao_contratual!K77)</f>
        <v/>
      </c>
      <c r="G78" s="356">
        <f>IF(A78="TOTAL",ROUND(SUM($G$3:G77),2),IF(OR(A78="",E78="",F78=""),"",ROUND(E78*F78,2)))</f>
        <v/>
      </c>
      <c r="H78" s="355">
        <f>IF(OR(historico_VU!A77="",historico_VU!E77=""),"",historico_VU!E77)</f>
        <v/>
      </c>
      <c r="I78" s="118">
        <f>IF(posicao_contratual!A77="","",posicao_contratual!O77)</f>
        <v/>
      </c>
      <c r="J78" s="355">
        <f>IF(A78="TOTAL",ROUND(SUM($J$3:J77),2),IF(OR(A78="",H78="",I78=""),"",ROUND(H78*I78,2)))</f>
        <v/>
      </c>
      <c r="K78" s="356">
        <f>IF(OR(historico_VU!A77="",historico_VU!F77=""),"",historico_VU!F77)</f>
        <v/>
      </c>
      <c r="L78" s="120">
        <f>IF(posicao_contratual!A77="","",posicao_contratual!S77)</f>
        <v/>
      </c>
      <c r="M78" s="356">
        <f>IF(A78="TOTAL",ROUND(SUM($M$3:M77),2),IF(OR(A78="",K78="",L78=""),"",ROUND(K78*L78,2)))</f>
        <v/>
      </c>
      <c r="N78" s="355">
        <f>IF(OR(historico_VU!A77="",historico_VU!G77=""),"",historico_VU!G77)</f>
        <v/>
      </c>
      <c r="O78" s="118">
        <f>IF(posicao_contratual!A77="","",posicao_contratual!W77)</f>
        <v/>
      </c>
      <c r="P78" s="355">
        <f>IF(A78="TOTAL",ROUND(SUM($P$3:P77),2),IF(OR(A78="",N78="",O78=""),"",ROUND(N78*O78,2)))</f>
        <v/>
      </c>
      <c r="Q78" s="195">
        <f>IF($A78="","",IF(ISERROR(INDIRECT("CICLO_EM_EXECUCAO!$D$5")),"",INDIRECT("CICLO_EM_EXECUCAO!$D$5")))</f>
        <v/>
      </c>
      <c r="R78">
        <f>IF($A78="","",IF(MEMORIA_RESULTADOS!$W$46="","","C"&amp;MEMORIA_RESULTADOS!$W$46))</f>
        <v/>
      </c>
      <c r="S78" s="273">
        <f>IF($A78="","",IF(ISERROR(INDIRECT("CICLO_EM_EXECUCAO!B"&amp;(ROW()+10))),"",INDIRECT("CICLO_EM_EXECUCAO!B"&amp;(ROW()+10))))</f>
        <v/>
      </c>
      <c r="T78" s="273">
        <f>IF($A78="","",IF(ISERROR(INDIRECT("CICLO_EM_EXECUCAO!D"&amp;(ROW()+10))),"",INDIRECT("CICLO_EM_EXECUCAO!D"&amp;(ROW()+10))))</f>
        <v/>
      </c>
      <c r="U78" s="273">
        <f>IF($A78="","",IF(ISERROR(INDIRECT("CICLO_EM_EXECUCAO!C"&amp;(ROW()+10))),"",INDIRECT("CICLO_EM_EXECUCAO!C"&amp;(ROW()+10))))</f>
        <v/>
      </c>
      <c r="V78" s="213">
        <f>IF($A78="","",IF(ISERROR(INDIRECT("CICLO_EM_EXECUCAO!E"&amp;(ROW()+10))),"",INDIRECT("CICLO_EM_EXECUCAO!E"&amp;(ROW()+10))))</f>
        <v/>
      </c>
      <c r="W78" s="213">
        <f>IF($A78="","",IF(ISERROR(INDIRECT("CICLO_EM_EXECUCAO!F"&amp;(ROW()+10))),"",INDIRECT("CICLO_EM_EXECUCAO!F"&amp;(ROW()+10))))</f>
        <v/>
      </c>
      <c r="X78" s="213">
        <f>IF($A78="","",IF(ISERROR(INDIRECT("CICLO_EM_EXECUCAO!G"&amp;(ROW()+10))),"",INDIRECT("CICLO_EM_EXECUCAO!G"&amp;(ROW()+10))))</f>
        <v/>
      </c>
      <c r="Y78">
        <f>IF($A78="","",IF(ISERROR(INDIRECT("CICLO_EM_EXECUCAO!K"&amp;(ROW()+10))),"CICLO_EM_EXECUCAO AUSENTE",INDIRECT("CICLO_EM_EXECUCAO!K"&amp;(ROW()+10))))</f>
        <v/>
      </c>
    </row>
    <row r="79">
      <c r="A79" s="116">
        <f>IF(AND(itens_Remanesc!A78="",itens_Remanesc!A77&lt;&gt;"",COUNTIF(itens_Remanesc!A79:$A$200,"&lt;&gt;")=0),"TOTAL",IF(itens_Remanesc!A78="","",itens_Remanesc!A78))</f>
        <v/>
      </c>
      <c r="B79" s="355">
        <f>IF(OR(historico_VU!A78="",historico_VU!C78=""),"",historico_VU!C78)</f>
        <v/>
      </c>
      <c r="C79" s="118">
        <f>IF(posicao_contratual!A78="","",posicao_contratual!G78)</f>
        <v/>
      </c>
      <c r="D79" s="355">
        <f>IF(A79="TOTAL",ROUND(SUM($D$3:D78),2),IF(OR(A79="",B79="",C79=""),"",ROUND(B79*C79,2)))</f>
        <v/>
      </c>
      <c r="E79" s="356">
        <f>IF(OR(historico_VU!A78="",historico_VU!D78=""),"",historico_VU!D78)</f>
        <v/>
      </c>
      <c r="F79" s="120">
        <f>IF(posicao_contratual!A78="","",posicao_contratual!K78)</f>
        <v/>
      </c>
      <c r="G79" s="356">
        <f>IF(A79="TOTAL",ROUND(SUM($G$3:G78),2),IF(OR(A79="",E79="",F79=""),"",ROUND(E79*F79,2)))</f>
        <v/>
      </c>
      <c r="H79" s="355">
        <f>IF(OR(historico_VU!A78="",historico_VU!E78=""),"",historico_VU!E78)</f>
        <v/>
      </c>
      <c r="I79" s="118">
        <f>IF(posicao_contratual!A78="","",posicao_contratual!O78)</f>
        <v/>
      </c>
      <c r="J79" s="355">
        <f>IF(A79="TOTAL",ROUND(SUM($J$3:J78),2),IF(OR(A79="",H79="",I79=""),"",ROUND(H79*I79,2)))</f>
        <v/>
      </c>
      <c r="K79" s="356">
        <f>IF(OR(historico_VU!A78="",historico_VU!F78=""),"",historico_VU!F78)</f>
        <v/>
      </c>
      <c r="L79" s="120">
        <f>IF(posicao_contratual!A78="","",posicao_contratual!S78)</f>
        <v/>
      </c>
      <c r="M79" s="356">
        <f>IF(A79="TOTAL",ROUND(SUM($M$3:M78),2),IF(OR(A79="",K79="",L79=""),"",ROUND(K79*L79,2)))</f>
        <v/>
      </c>
      <c r="N79" s="355">
        <f>IF(OR(historico_VU!A78="",historico_VU!G78=""),"",historico_VU!G78)</f>
        <v/>
      </c>
      <c r="O79" s="118">
        <f>IF(posicao_contratual!A78="","",posicao_contratual!W78)</f>
        <v/>
      </c>
      <c r="P79" s="355">
        <f>IF(A79="TOTAL",ROUND(SUM($P$3:P78),2),IF(OR(A79="",N79="",O79=""),"",ROUND(N79*O79,2)))</f>
        <v/>
      </c>
      <c r="Q79" s="195">
        <f>IF($A79="","",IF(ISERROR(INDIRECT("CICLO_EM_EXECUCAO!$D$5")),"",INDIRECT("CICLO_EM_EXECUCAO!$D$5")))</f>
        <v/>
      </c>
      <c r="R79">
        <f>IF($A79="","",IF(MEMORIA_RESULTADOS!$W$46="","","C"&amp;MEMORIA_RESULTADOS!$W$46))</f>
        <v/>
      </c>
      <c r="S79" s="273">
        <f>IF($A79="","",IF(ISERROR(INDIRECT("CICLO_EM_EXECUCAO!B"&amp;(ROW()+10))),"",INDIRECT("CICLO_EM_EXECUCAO!B"&amp;(ROW()+10))))</f>
        <v/>
      </c>
      <c r="T79" s="273">
        <f>IF($A79="","",IF(ISERROR(INDIRECT("CICLO_EM_EXECUCAO!D"&amp;(ROW()+10))),"",INDIRECT("CICLO_EM_EXECUCAO!D"&amp;(ROW()+10))))</f>
        <v/>
      </c>
      <c r="U79" s="273">
        <f>IF($A79="","",IF(ISERROR(INDIRECT("CICLO_EM_EXECUCAO!C"&amp;(ROW()+10))),"",INDIRECT("CICLO_EM_EXECUCAO!C"&amp;(ROW()+10))))</f>
        <v/>
      </c>
      <c r="V79" s="213">
        <f>IF($A79="","",IF(ISERROR(INDIRECT("CICLO_EM_EXECUCAO!E"&amp;(ROW()+10))),"",INDIRECT("CICLO_EM_EXECUCAO!E"&amp;(ROW()+10))))</f>
        <v/>
      </c>
      <c r="W79" s="213">
        <f>IF($A79="","",IF(ISERROR(INDIRECT("CICLO_EM_EXECUCAO!F"&amp;(ROW()+10))),"",INDIRECT("CICLO_EM_EXECUCAO!F"&amp;(ROW()+10))))</f>
        <v/>
      </c>
      <c r="X79" s="213">
        <f>IF($A79="","",IF(ISERROR(INDIRECT("CICLO_EM_EXECUCAO!G"&amp;(ROW()+10))),"",INDIRECT("CICLO_EM_EXECUCAO!G"&amp;(ROW()+10))))</f>
        <v/>
      </c>
      <c r="Y79">
        <f>IF($A79="","",IF(ISERROR(INDIRECT("CICLO_EM_EXECUCAO!K"&amp;(ROW()+10))),"CICLO_EM_EXECUCAO AUSENTE",INDIRECT("CICLO_EM_EXECUCAO!K"&amp;(ROW()+10))))</f>
        <v/>
      </c>
    </row>
    <row r="80">
      <c r="A80" s="116">
        <f>IF(AND(itens_Remanesc!A79="",itens_Remanesc!A78&lt;&gt;"",COUNTIF(itens_Remanesc!A80:$A$200,"&lt;&gt;")=0),"TOTAL",IF(itens_Remanesc!A79="","",itens_Remanesc!A79))</f>
        <v/>
      </c>
      <c r="B80" s="355">
        <f>IF(OR(historico_VU!A79="",historico_VU!C79=""),"",historico_VU!C79)</f>
        <v/>
      </c>
      <c r="C80" s="118">
        <f>IF(posicao_contratual!A79="","",posicao_contratual!G79)</f>
        <v/>
      </c>
      <c r="D80" s="355">
        <f>IF(A80="TOTAL",ROUND(SUM($D$3:D79),2),IF(OR(A80="",B80="",C80=""),"",ROUND(B80*C80,2)))</f>
        <v/>
      </c>
      <c r="E80" s="356">
        <f>IF(OR(historico_VU!A79="",historico_VU!D79=""),"",historico_VU!D79)</f>
        <v/>
      </c>
      <c r="F80" s="120">
        <f>IF(posicao_contratual!A79="","",posicao_contratual!K79)</f>
        <v/>
      </c>
      <c r="G80" s="356">
        <f>IF(A80="TOTAL",ROUND(SUM($G$3:G79),2),IF(OR(A80="",E80="",F80=""),"",ROUND(E80*F80,2)))</f>
        <v/>
      </c>
      <c r="H80" s="355">
        <f>IF(OR(historico_VU!A79="",historico_VU!E79=""),"",historico_VU!E79)</f>
        <v/>
      </c>
      <c r="I80" s="118">
        <f>IF(posicao_contratual!A79="","",posicao_contratual!O79)</f>
        <v/>
      </c>
      <c r="J80" s="355">
        <f>IF(A80="TOTAL",ROUND(SUM($J$3:J79),2),IF(OR(A80="",H80="",I80=""),"",ROUND(H80*I80,2)))</f>
        <v/>
      </c>
      <c r="K80" s="356">
        <f>IF(OR(historico_VU!A79="",historico_VU!F79=""),"",historico_VU!F79)</f>
        <v/>
      </c>
      <c r="L80" s="120">
        <f>IF(posicao_contratual!A79="","",posicao_contratual!S79)</f>
        <v/>
      </c>
      <c r="M80" s="356">
        <f>IF(A80="TOTAL",ROUND(SUM($M$3:M79),2),IF(OR(A80="",K80="",L80=""),"",ROUND(K80*L80,2)))</f>
        <v/>
      </c>
      <c r="N80" s="355">
        <f>IF(OR(historico_VU!A79="",historico_VU!G79=""),"",historico_VU!G79)</f>
        <v/>
      </c>
      <c r="O80" s="118">
        <f>IF(posicao_contratual!A79="","",posicao_contratual!W79)</f>
        <v/>
      </c>
      <c r="P80" s="355">
        <f>IF(A80="TOTAL",ROUND(SUM($P$3:P79),2),IF(OR(A80="",N80="",O80=""),"",ROUND(N80*O80,2)))</f>
        <v/>
      </c>
      <c r="Q80" s="195">
        <f>IF($A80="","",IF(ISERROR(INDIRECT("CICLO_EM_EXECUCAO!$D$5")),"",INDIRECT("CICLO_EM_EXECUCAO!$D$5")))</f>
        <v/>
      </c>
      <c r="R80">
        <f>IF($A80="","",IF(MEMORIA_RESULTADOS!$W$46="","","C"&amp;MEMORIA_RESULTADOS!$W$46))</f>
        <v/>
      </c>
      <c r="S80" s="273">
        <f>IF($A80="","",IF(ISERROR(INDIRECT("CICLO_EM_EXECUCAO!B"&amp;(ROW()+10))),"",INDIRECT("CICLO_EM_EXECUCAO!B"&amp;(ROW()+10))))</f>
        <v/>
      </c>
      <c r="T80" s="273">
        <f>IF($A80="","",IF(ISERROR(INDIRECT("CICLO_EM_EXECUCAO!D"&amp;(ROW()+10))),"",INDIRECT("CICLO_EM_EXECUCAO!D"&amp;(ROW()+10))))</f>
        <v/>
      </c>
      <c r="U80" s="273">
        <f>IF($A80="","",IF(ISERROR(INDIRECT("CICLO_EM_EXECUCAO!C"&amp;(ROW()+10))),"",INDIRECT("CICLO_EM_EXECUCAO!C"&amp;(ROW()+10))))</f>
        <v/>
      </c>
      <c r="V80" s="213">
        <f>IF($A80="","",IF(ISERROR(INDIRECT("CICLO_EM_EXECUCAO!E"&amp;(ROW()+10))),"",INDIRECT("CICLO_EM_EXECUCAO!E"&amp;(ROW()+10))))</f>
        <v/>
      </c>
      <c r="W80" s="213">
        <f>IF($A80="","",IF(ISERROR(INDIRECT("CICLO_EM_EXECUCAO!F"&amp;(ROW()+10))),"",INDIRECT("CICLO_EM_EXECUCAO!F"&amp;(ROW()+10))))</f>
        <v/>
      </c>
      <c r="X80" s="213">
        <f>IF($A80="","",IF(ISERROR(INDIRECT("CICLO_EM_EXECUCAO!G"&amp;(ROW()+10))),"",INDIRECT("CICLO_EM_EXECUCAO!G"&amp;(ROW()+10))))</f>
        <v/>
      </c>
      <c r="Y80">
        <f>IF($A80="","",IF(ISERROR(INDIRECT("CICLO_EM_EXECUCAO!K"&amp;(ROW()+10))),"CICLO_EM_EXECUCAO AUSENTE",INDIRECT("CICLO_EM_EXECUCAO!K"&amp;(ROW()+10))))</f>
        <v/>
      </c>
    </row>
    <row r="81">
      <c r="A81" s="116">
        <f>IF(AND(itens_Remanesc!A80="",itens_Remanesc!A79&lt;&gt;"",COUNTIF(itens_Remanesc!A81:$A$200,"&lt;&gt;")=0),"TOTAL",IF(itens_Remanesc!A80="","",itens_Remanesc!A80))</f>
        <v/>
      </c>
      <c r="B81" s="355">
        <f>IF(OR(historico_VU!A80="",historico_VU!C80=""),"",historico_VU!C80)</f>
        <v/>
      </c>
      <c r="C81" s="118">
        <f>IF(posicao_contratual!A80="","",posicao_contratual!G80)</f>
        <v/>
      </c>
      <c r="D81" s="355">
        <f>IF(A81="TOTAL",ROUND(SUM($D$3:D80),2),IF(OR(A81="",B81="",C81=""),"",ROUND(B81*C81,2)))</f>
        <v/>
      </c>
      <c r="E81" s="356">
        <f>IF(OR(historico_VU!A80="",historico_VU!D80=""),"",historico_VU!D80)</f>
        <v/>
      </c>
      <c r="F81" s="120">
        <f>IF(posicao_contratual!A80="","",posicao_contratual!K80)</f>
        <v/>
      </c>
      <c r="G81" s="356">
        <f>IF(A81="TOTAL",ROUND(SUM($G$3:G80),2),IF(OR(A81="",E81="",F81=""),"",ROUND(E81*F81,2)))</f>
        <v/>
      </c>
      <c r="H81" s="355">
        <f>IF(OR(historico_VU!A80="",historico_VU!E80=""),"",historico_VU!E80)</f>
        <v/>
      </c>
      <c r="I81" s="118">
        <f>IF(posicao_contratual!A80="","",posicao_contratual!O80)</f>
        <v/>
      </c>
      <c r="J81" s="355">
        <f>IF(A81="TOTAL",ROUND(SUM($J$3:J80),2),IF(OR(A81="",H81="",I81=""),"",ROUND(H81*I81,2)))</f>
        <v/>
      </c>
      <c r="K81" s="356">
        <f>IF(OR(historico_VU!A80="",historico_VU!F80=""),"",historico_VU!F80)</f>
        <v/>
      </c>
      <c r="L81" s="120">
        <f>IF(posicao_contratual!A80="","",posicao_contratual!S80)</f>
        <v/>
      </c>
      <c r="M81" s="356">
        <f>IF(A81="TOTAL",ROUND(SUM($M$3:M80),2),IF(OR(A81="",K81="",L81=""),"",ROUND(K81*L81,2)))</f>
        <v/>
      </c>
      <c r="N81" s="355">
        <f>IF(OR(historico_VU!A80="",historico_VU!G80=""),"",historico_VU!G80)</f>
        <v/>
      </c>
      <c r="O81" s="118">
        <f>IF(posicao_contratual!A80="","",posicao_contratual!W80)</f>
        <v/>
      </c>
      <c r="P81" s="355">
        <f>IF(A81="TOTAL",ROUND(SUM($P$3:P80),2),IF(OR(A81="",N81="",O81=""),"",ROUND(N81*O81,2)))</f>
        <v/>
      </c>
      <c r="Q81" s="195">
        <f>IF($A81="","",IF(ISERROR(INDIRECT("CICLO_EM_EXECUCAO!$D$5")),"",INDIRECT("CICLO_EM_EXECUCAO!$D$5")))</f>
        <v/>
      </c>
      <c r="R81">
        <f>IF($A81="","",IF(MEMORIA_RESULTADOS!$W$46="","","C"&amp;MEMORIA_RESULTADOS!$W$46))</f>
        <v/>
      </c>
      <c r="S81" s="273">
        <f>IF($A81="","",IF(ISERROR(INDIRECT("CICLO_EM_EXECUCAO!B"&amp;(ROW()+10))),"",INDIRECT("CICLO_EM_EXECUCAO!B"&amp;(ROW()+10))))</f>
        <v/>
      </c>
      <c r="T81" s="273">
        <f>IF($A81="","",IF(ISERROR(INDIRECT("CICLO_EM_EXECUCAO!D"&amp;(ROW()+10))),"",INDIRECT("CICLO_EM_EXECUCAO!D"&amp;(ROW()+10))))</f>
        <v/>
      </c>
      <c r="U81" s="273">
        <f>IF($A81="","",IF(ISERROR(INDIRECT("CICLO_EM_EXECUCAO!C"&amp;(ROW()+10))),"",INDIRECT("CICLO_EM_EXECUCAO!C"&amp;(ROW()+10))))</f>
        <v/>
      </c>
      <c r="V81" s="213">
        <f>IF($A81="","",IF(ISERROR(INDIRECT("CICLO_EM_EXECUCAO!E"&amp;(ROW()+10))),"",INDIRECT("CICLO_EM_EXECUCAO!E"&amp;(ROW()+10))))</f>
        <v/>
      </c>
      <c r="W81" s="213">
        <f>IF($A81="","",IF(ISERROR(INDIRECT("CICLO_EM_EXECUCAO!F"&amp;(ROW()+10))),"",INDIRECT("CICLO_EM_EXECUCAO!F"&amp;(ROW()+10))))</f>
        <v/>
      </c>
      <c r="X81" s="213">
        <f>IF($A81="","",IF(ISERROR(INDIRECT("CICLO_EM_EXECUCAO!G"&amp;(ROW()+10))),"",INDIRECT("CICLO_EM_EXECUCAO!G"&amp;(ROW()+10))))</f>
        <v/>
      </c>
      <c r="Y81">
        <f>IF($A81="","",IF(ISERROR(INDIRECT("CICLO_EM_EXECUCAO!K"&amp;(ROW()+10))),"CICLO_EM_EXECUCAO AUSENTE",INDIRECT("CICLO_EM_EXECUCAO!K"&amp;(ROW()+10))))</f>
        <v/>
      </c>
    </row>
    <row r="82">
      <c r="A82" s="116">
        <f>IF(AND(itens_Remanesc!A81="",itens_Remanesc!A80&lt;&gt;"",COUNTIF(itens_Remanesc!A82:$A$200,"&lt;&gt;")=0),"TOTAL",IF(itens_Remanesc!A81="","",itens_Remanesc!A81))</f>
        <v/>
      </c>
      <c r="B82" s="355">
        <f>IF(OR(historico_VU!A81="",historico_VU!C81=""),"",historico_VU!C81)</f>
        <v/>
      </c>
      <c r="C82" s="118">
        <f>IF(posicao_contratual!A81="","",posicao_contratual!G81)</f>
        <v/>
      </c>
      <c r="D82" s="355">
        <f>IF(A82="TOTAL",ROUND(SUM($D$3:D81),2),IF(OR(A82="",B82="",C82=""),"",ROUND(B82*C82,2)))</f>
        <v/>
      </c>
      <c r="E82" s="356">
        <f>IF(OR(historico_VU!A81="",historico_VU!D81=""),"",historico_VU!D81)</f>
        <v/>
      </c>
      <c r="F82" s="120">
        <f>IF(posicao_contratual!A81="","",posicao_contratual!K81)</f>
        <v/>
      </c>
      <c r="G82" s="356">
        <f>IF(A82="TOTAL",ROUND(SUM($G$3:G81),2),IF(OR(A82="",E82="",F82=""),"",ROUND(E82*F82,2)))</f>
        <v/>
      </c>
      <c r="H82" s="355">
        <f>IF(OR(historico_VU!A81="",historico_VU!E81=""),"",historico_VU!E81)</f>
        <v/>
      </c>
      <c r="I82" s="118">
        <f>IF(posicao_contratual!A81="","",posicao_contratual!O81)</f>
        <v/>
      </c>
      <c r="J82" s="355">
        <f>IF(A82="TOTAL",ROUND(SUM($J$3:J81),2),IF(OR(A82="",H82="",I82=""),"",ROUND(H82*I82,2)))</f>
        <v/>
      </c>
      <c r="K82" s="356">
        <f>IF(OR(historico_VU!A81="",historico_VU!F81=""),"",historico_VU!F81)</f>
        <v/>
      </c>
      <c r="L82" s="120">
        <f>IF(posicao_contratual!A81="","",posicao_contratual!S81)</f>
        <v/>
      </c>
      <c r="M82" s="356">
        <f>IF(A82="TOTAL",ROUND(SUM($M$3:M81),2),IF(OR(A82="",K82="",L82=""),"",ROUND(K82*L82,2)))</f>
        <v/>
      </c>
      <c r="N82" s="355">
        <f>IF(OR(historico_VU!A81="",historico_VU!G81=""),"",historico_VU!G81)</f>
        <v/>
      </c>
      <c r="O82" s="118">
        <f>IF(posicao_contratual!A81="","",posicao_contratual!W81)</f>
        <v/>
      </c>
      <c r="P82" s="355">
        <f>IF(A82="TOTAL",ROUND(SUM($P$3:P81),2),IF(OR(A82="",N82="",O82=""),"",ROUND(N82*O82,2)))</f>
        <v/>
      </c>
      <c r="Q82" s="195">
        <f>IF($A82="","",IF(ISERROR(INDIRECT("CICLO_EM_EXECUCAO!$D$5")),"",INDIRECT("CICLO_EM_EXECUCAO!$D$5")))</f>
        <v/>
      </c>
      <c r="R82">
        <f>IF($A82="","",IF(MEMORIA_RESULTADOS!$W$46="","","C"&amp;MEMORIA_RESULTADOS!$W$46))</f>
        <v/>
      </c>
      <c r="S82" s="273">
        <f>IF($A82="","",IF(ISERROR(INDIRECT("CICLO_EM_EXECUCAO!B"&amp;(ROW()+10))),"",INDIRECT("CICLO_EM_EXECUCAO!B"&amp;(ROW()+10))))</f>
        <v/>
      </c>
      <c r="T82" s="273">
        <f>IF($A82="","",IF(ISERROR(INDIRECT("CICLO_EM_EXECUCAO!D"&amp;(ROW()+10))),"",INDIRECT("CICLO_EM_EXECUCAO!D"&amp;(ROW()+10))))</f>
        <v/>
      </c>
      <c r="U82" s="273">
        <f>IF($A82="","",IF(ISERROR(INDIRECT("CICLO_EM_EXECUCAO!C"&amp;(ROW()+10))),"",INDIRECT("CICLO_EM_EXECUCAO!C"&amp;(ROW()+10))))</f>
        <v/>
      </c>
      <c r="V82" s="213">
        <f>IF($A82="","",IF(ISERROR(INDIRECT("CICLO_EM_EXECUCAO!E"&amp;(ROW()+10))),"",INDIRECT("CICLO_EM_EXECUCAO!E"&amp;(ROW()+10))))</f>
        <v/>
      </c>
      <c r="W82" s="213">
        <f>IF($A82="","",IF(ISERROR(INDIRECT("CICLO_EM_EXECUCAO!F"&amp;(ROW()+10))),"",INDIRECT("CICLO_EM_EXECUCAO!F"&amp;(ROW()+10))))</f>
        <v/>
      </c>
      <c r="X82" s="213">
        <f>IF($A82="","",IF(ISERROR(INDIRECT("CICLO_EM_EXECUCAO!G"&amp;(ROW()+10))),"",INDIRECT("CICLO_EM_EXECUCAO!G"&amp;(ROW()+10))))</f>
        <v/>
      </c>
      <c r="Y82">
        <f>IF($A82="","",IF(ISERROR(INDIRECT("CICLO_EM_EXECUCAO!K"&amp;(ROW()+10))),"CICLO_EM_EXECUCAO AUSENTE",INDIRECT("CICLO_EM_EXECUCAO!K"&amp;(ROW()+10))))</f>
        <v/>
      </c>
    </row>
    <row r="83">
      <c r="A83" s="116">
        <f>IF(AND(itens_Remanesc!A82="",itens_Remanesc!A81&lt;&gt;"",COUNTIF(itens_Remanesc!A83:$A$200,"&lt;&gt;")=0),"TOTAL",IF(itens_Remanesc!A82="","",itens_Remanesc!A82))</f>
        <v/>
      </c>
      <c r="B83" s="355">
        <f>IF(OR(historico_VU!A82="",historico_VU!C82=""),"",historico_VU!C82)</f>
        <v/>
      </c>
      <c r="C83" s="118">
        <f>IF(posicao_contratual!A82="","",posicao_contratual!G82)</f>
        <v/>
      </c>
      <c r="D83" s="355">
        <f>IF(A83="TOTAL",ROUND(SUM($D$3:D82),2),IF(OR(A83="",B83="",C83=""),"",ROUND(B83*C83,2)))</f>
        <v/>
      </c>
      <c r="E83" s="356">
        <f>IF(OR(historico_VU!A82="",historico_VU!D82=""),"",historico_VU!D82)</f>
        <v/>
      </c>
      <c r="F83" s="120">
        <f>IF(posicao_contratual!A82="","",posicao_contratual!K82)</f>
        <v/>
      </c>
      <c r="G83" s="356">
        <f>IF(A83="TOTAL",ROUND(SUM($G$3:G82),2),IF(OR(A83="",E83="",F83=""),"",ROUND(E83*F83,2)))</f>
        <v/>
      </c>
      <c r="H83" s="355">
        <f>IF(OR(historico_VU!A82="",historico_VU!E82=""),"",historico_VU!E82)</f>
        <v/>
      </c>
      <c r="I83" s="118">
        <f>IF(posicao_contratual!A82="","",posicao_contratual!O82)</f>
        <v/>
      </c>
      <c r="J83" s="355">
        <f>IF(A83="TOTAL",ROUND(SUM($J$3:J82),2),IF(OR(A83="",H83="",I83=""),"",ROUND(H83*I83,2)))</f>
        <v/>
      </c>
      <c r="K83" s="356">
        <f>IF(OR(historico_VU!A82="",historico_VU!F82=""),"",historico_VU!F82)</f>
        <v/>
      </c>
      <c r="L83" s="120">
        <f>IF(posicao_contratual!A82="","",posicao_contratual!S82)</f>
        <v/>
      </c>
      <c r="M83" s="356">
        <f>IF(A83="TOTAL",ROUND(SUM($M$3:M82),2),IF(OR(A83="",K83="",L83=""),"",ROUND(K83*L83,2)))</f>
        <v/>
      </c>
      <c r="N83" s="355">
        <f>IF(OR(historico_VU!A82="",historico_VU!G82=""),"",historico_VU!G82)</f>
        <v/>
      </c>
      <c r="O83" s="118">
        <f>IF(posicao_contratual!A82="","",posicao_contratual!W82)</f>
        <v/>
      </c>
      <c r="P83" s="355">
        <f>IF(A83="TOTAL",ROUND(SUM($P$3:P82),2),IF(OR(A83="",N83="",O83=""),"",ROUND(N83*O83,2)))</f>
        <v/>
      </c>
      <c r="Q83" s="195">
        <f>IF($A83="","",IF(ISERROR(INDIRECT("CICLO_EM_EXECUCAO!$D$5")),"",INDIRECT("CICLO_EM_EXECUCAO!$D$5")))</f>
        <v/>
      </c>
      <c r="R83">
        <f>IF($A83="","",IF(MEMORIA_RESULTADOS!$W$46="","","C"&amp;MEMORIA_RESULTADOS!$W$46))</f>
        <v/>
      </c>
      <c r="S83" s="273">
        <f>IF($A83="","",IF(ISERROR(INDIRECT("CICLO_EM_EXECUCAO!B"&amp;(ROW()+10))),"",INDIRECT("CICLO_EM_EXECUCAO!B"&amp;(ROW()+10))))</f>
        <v/>
      </c>
      <c r="T83" s="273">
        <f>IF($A83="","",IF(ISERROR(INDIRECT("CICLO_EM_EXECUCAO!D"&amp;(ROW()+10))),"",INDIRECT("CICLO_EM_EXECUCAO!D"&amp;(ROW()+10))))</f>
        <v/>
      </c>
      <c r="U83" s="273">
        <f>IF($A83="","",IF(ISERROR(INDIRECT("CICLO_EM_EXECUCAO!C"&amp;(ROW()+10))),"",INDIRECT("CICLO_EM_EXECUCAO!C"&amp;(ROW()+10))))</f>
        <v/>
      </c>
      <c r="V83" s="213">
        <f>IF($A83="","",IF(ISERROR(INDIRECT("CICLO_EM_EXECUCAO!E"&amp;(ROW()+10))),"",INDIRECT("CICLO_EM_EXECUCAO!E"&amp;(ROW()+10))))</f>
        <v/>
      </c>
      <c r="W83" s="213">
        <f>IF($A83="","",IF(ISERROR(INDIRECT("CICLO_EM_EXECUCAO!F"&amp;(ROW()+10))),"",INDIRECT("CICLO_EM_EXECUCAO!F"&amp;(ROW()+10))))</f>
        <v/>
      </c>
      <c r="X83" s="213">
        <f>IF($A83="","",IF(ISERROR(INDIRECT("CICLO_EM_EXECUCAO!G"&amp;(ROW()+10))),"",INDIRECT("CICLO_EM_EXECUCAO!G"&amp;(ROW()+10))))</f>
        <v/>
      </c>
      <c r="Y83">
        <f>IF($A83="","",IF(ISERROR(INDIRECT("CICLO_EM_EXECUCAO!K"&amp;(ROW()+10))),"CICLO_EM_EXECUCAO AUSENTE",INDIRECT("CICLO_EM_EXECUCAO!K"&amp;(ROW()+10))))</f>
        <v/>
      </c>
    </row>
    <row r="84">
      <c r="A84" s="116">
        <f>IF(AND(itens_Remanesc!A83="",itens_Remanesc!A82&lt;&gt;"",COUNTIF(itens_Remanesc!A84:$A$200,"&lt;&gt;")=0),"TOTAL",IF(itens_Remanesc!A83="","",itens_Remanesc!A83))</f>
        <v/>
      </c>
      <c r="B84" s="355">
        <f>IF(OR(historico_VU!A83="",historico_VU!C83=""),"",historico_VU!C83)</f>
        <v/>
      </c>
      <c r="C84" s="118">
        <f>IF(posicao_contratual!A83="","",posicao_contratual!G83)</f>
        <v/>
      </c>
      <c r="D84" s="355">
        <f>IF(A84="TOTAL",ROUND(SUM($D$3:D83),2),IF(OR(A84="",B84="",C84=""),"",ROUND(B84*C84,2)))</f>
        <v/>
      </c>
      <c r="E84" s="356">
        <f>IF(OR(historico_VU!A83="",historico_VU!D83=""),"",historico_VU!D83)</f>
        <v/>
      </c>
      <c r="F84" s="120">
        <f>IF(posicao_contratual!A83="","",posicao_contratual!K83)</f>
        <v/>
      </c>
      <c r="G84" s="356">
        <f>IF(A84="TOTAL",ROUND(SUM($G$3:G83),2),IF(OR(A84="",E84="",F84=""),"",ROUND(E84*F84,2)))</f>
        <v/>
      </c>
      <c r="H84" s="355">
        <f>IF(OR(historico_VU!A83="",historico_VU!E83=""),"",historico_VU!E83)</f>
        <v/>
      </c>
      <c r="I84" s="118">
        <f>IF(posicao_contratual!A83="","",posicao_contratual!O83)</f>
        <v/>
      </c>
      <c r="J84" s="355">
        <f>IF(A84="TOTAL",ROUND(SUM($J$3:J83),2),IF(OR(A84="",H84="",I84=""),"",ROUND(H84*I84,2)))</f>
        <v/>
      </c>
      <c r="K84" s="356">
        <f>IF(OR(historico_VU!A83="",historico_VU!F83=""),"",historico_VU!F83)</f>
        <v/>
      </c>
      <c r="L84" s="120">
        <f>IF(posicao_contratual!A83="","",posicao_contratual!S83)</f>
        <v/>
      </c>
      <c r="M84" s="356">
        <f>IF(A84="TOTAL",ROUND(SUM($M$3:M83),2),IF(OR(A84="",K84="",L84=""),"",ROUND(K84*L84,2)))</f>
        <v/>
      </c>
      <c r="N84" s="355">
        <f>IF(OR(historico_VU!A83="",historico_VU!G83=""),"",historico_VU!G83)</f>
        <v/>
      </c>
      <c r="O84" s="118">
        <f>IF(posicao_contratual!A83="","",posicao_contratual!W83)</f>
        <v/>
      </c>
      <c r="P84" s="355">
        <f>IF(A84="TOTAL",ROUND(SUM($P$3:P83),2),IF(OR(A84="",N84="",O84=""),"",ROUND(N84*O84,2)))</f>
        <v/>
      </c>
      <c r="Q84" s="195">
        <f>IF($A84="","",IF(ISERROR(INDIRECT("CICLO_EM_EXECUCAO!$D$5")),"",INDIRECT("CICLO_EM_EXECUCAO!$D$5")))</f>
        <v/>
      </c>
      <c r="R84">
        <f>IF($A84="","",IF(MEMORIA_RESULTADOS!$W$46="","","C"&amp;MEMORIA_RESULTADOS!$W$46))</f>
        <v/>
      </c>
      <c r="S84" s="273">
        <f>IF($A84="","",IF(ISERROR(INDIRECT("CICLO_EM_EXECUCAO!B"&amp;(ROW()+10))),"",INDIRECT("CICLO_EM_EXECUCAO!B"&amp;(ROW()+10))))</f>
        <v/>
      </c>
      <c r="T84" s="273">
        <f>IF($A84="","",IF(ISERROR(INDIRECT("CICLO_EM_EXECUCAO!D"&amp;(ROW()+10))),"",INDIRECT("CICLO_EM_EXECUCAO!D"&amp;(ROW()+10))))</f>
        <v/>
      </c>
      <c r="U84" s="273">
        <f>IF($A84="","",IF(ISERROR(INDIRECT("CICLO_EM_EXECUCAO!C"&amp;(ROW()+10))),"",INDIRECT("CICLO_EM_EXECUCAO!C"&amp;(ROW()+10))))</f>
        <v/>
      </c>
      <c r="V84" s="213">
        <f>IF($A84="","",IF(ISERROR(INDIRECT("CICLO_EM_EXECUCAO!E"&amp;(ROW()+10))),"",INDIRECT("CICLO_EM_EXECUCAO!E"&amp;(ROW()+10))))</f>
        <v/>
      </c>
      <c r="W84" s="213">
        <f>IF($A84="","",IF(ISERROR(INDIRECT("CICLO_EM_EXECUCAO!F"&amp;(ROW()+10))),"",INDIRECT("CICLO_EM_EXECUCAO!F"&amp;(ROW()+10))))</f>
        <v/>
      </c>
      <c r="X84" s="213">
        <f>IF($A84="","",IF(ISERROR(INDIRECT("CICLO_EM_EXECUCAO!G"&amp;(ROW()+10))),"",INDIRECT("CICLO_EM_EXECUCAO!G"&amp;(ROW()+10))))</f>
        <v/>
      </c>
      <c r="Y84">
        <f>IF($A84="","",IF(ISERROR(INDIRECT("CICLO_EM_EXECUCAO!K"&amp;(ROW()+10))),"CICLO_EM_EXECUCAO AUSENTE",INDIRECT("CICLO_EM_EXECUCAO!K"&amp;(ROW()+10))))</f>
        <v/>
      </c>
    </row>
    <row r="85">
      <c r="A85" s="116">
        <f>IF(AND(itens_Remanesc!A84="",itens_Remanesc!A83&lt;&gt;"",COUNTIF(itens_Remanesc!A85:$A$200,"&lt;&gt;")=0),"TOTAL",IF(itens_Remanesc!A84="","",itens_Remanesc!A84))</f>
        <v/>
      </c>
      <c r="B85" s="355">
        <f>IF(OR(historico_VU!A84="",historico_VU!C84=""),"",historico_VU!C84)</f>
        <v/>
      </c>
      <c r="C85" s="118">
        <f>IF(posicao_contratual!A84="","",posicao_contratual!G84)</f>
        <v/>
      </c>
      <c r="D85" s="355">
        <f>IF(A85="TOTAL",ROUND(SUM($D$3:D84),2),IF(OR(A85="",B85="",C85=""),"",ROUND(B85*C85,2)))</f>
        <v/>
      </c>
      <c r="E85" s="356">
        <f>IF(OR(historico_VU!A84="",historico_VU!D84=""),"",historico_VU!D84)</f>
        <v/>
      </c>
      <c r="F85" s="120">
        <f>IF(posicao_contratual!A84="","",posicao_contratual!K84)</f>
        <v/>
      </c>
      <c r="G85" s="356">
        <f>IF(A85="TOTAL",ROUND(SUM($G$3:G84),2),IF(OR(A85="",E85="",F85=""),"",ROUND(E85*F85,2)))</f>
        <v/>
      </c>
      <c r="H85" s="355">
        <f>IF(OR(historico_VU!A84="",historico_VU!E84=""),"",historico_VU!E84)</f>
        <v/>
      </c>
      <c r="I85" s="118">
        <f>IF(posicao_contratual!A84="","",posicao_contratual!O84)</f>
        <v/>
      </c>
      <c r="J85" s="355">
        <f>IF(A85="TOTAL",ROUND(SUM($J$3:J84),2),IF(OR(A85="",H85="",I85=""),"",ROUND(H85*I85,2)))</f>
        <v/>
      </c>
      <c r="K85" s="356">
        <f>IF(OR(historico_VU!A84="",historico_VU!F84=""),"",historico_VU!F84)</f>
        <v/>
      </c>
      <c r="L85" s="120">
        <f>IF(posicao_contratual!A84="","",posicao_contratual!S84)</f>
        <v/>
      </c>
      <c r="M85" s="356">
        <f>IF(A85="TOTAL",ROUND(SUM($M$3:M84),2),IF(OR(A85="",K85="",L85=""),"",ROUND(K85*L85,2)))</f>
        <v/>
      </c>
      <c r="N85" s="355">
        <f>IF(OR(historico_VU!A84="",historico_VU!G84=""),"",historico_VU!G84)</f>
        <v/>
      </c>
      <c r="O85" s="118">
        <f>IF(posicao_contratual!A84="","",posicao_contratual!W84)</f>
        <v/>
      </c>
      <c r="P85" s="355">
        <f>IF(A85="TOTAL",ROUND(SUM($P$3:P84),2),IF(OR(A85="",N85="",O85=""),"",ROUND(N85*O85,2)))</f>
        <v/>
      </c>
      <c r="Q85" s="195">
        <f>IF($A85="","",IF(ISERROR(INDIRECT("CICLO_EM_EXECUCAO!$D$5")),"",INDIRECT("CICLO_EM_EXECUCAO!$D$5")))</f>
        <v/>
      </c>
      <c r="R85">
        <f>IF($A85="","",IF(MEMORIA_RESULTADOS!$W$46="","","C"&amp;MEMORIA_RESULTADOS!$W$46))</f>
        <v/>
      </c>
      <c r="S85" s="273">
        <f>IF($A85="","",IF(ISERROR(INDIRECT("CICLO_EM_EXECUCAO!B"&amp;(ROW()+10))),"",INDIRECT("CICLO_EM_EXECUCAO!B"&amp;(ROW()+10))))</f>
        <v/>
      </c>
      <c r="T85" s="273">
        <f>IF($A85="","",IF(ISERROR(INDIRECT("CICLO_EM_EXECUCAO!D"&amp;(ROW()+10))),"",INDIRECT("CICLO_EM_EXECUCAO!D"&amp;(ROW()+10))))</f>
        <v/>
      </c>
      <c r="U85" s="273">
        <f>IF($A85="","",IF(ISERROR(INDIRECT("CICLO_EM_EXECUCAO!C"&amp;(ROW()+10))),"",INDIRECT("CICLO_EM_EXECUCAO!C"&amp;(ROW()+10))))</f>
        <v/>
      </c>
      <c r="V85" s="213">
        <f>IF($A85="","",IF(ISERROR(INDIRECT("CICLO_EM_EXECUCAO!E"&amp;(ROW()+10))),"",INDIRECT("CICLO_EM_EXECUCAO!E"&amp;(ROW()+10))))</f>
        <v/>
      </c>
      <c r="W85" s="213">
        <f>IF($A85="","",IF(ISERROR(INDIRECT("CICLO_EM_EXECUCAO!F"&amp;(ROW()+10))),"",INDIRECT("CICLO_EM_EXECUCAO!F"&amp;(ROW()+10))))</f>
        <v/>
      </c>
      <c r="X85" s="213">
        <f>IF($A85="","",IF(ISERROR(INDIRECT("CICLO_EM_EXECUCAO!G"&amp;(ROW()+10))),"",INDIRECT("CICLO_EM_EXECUCAO!G"&amp;(ROW()+10))))</f>
        <v/>
      </c>
      <c r="Y85">
        <f>IF($A85="","",IF(ISERROR(INDIRECT("CICLO_EM_EXECUCAO!K"&amp;(ROW()+10))),"CICLO_EM_EXECUCAO AUSENTE",INDIRECT("CICLO_EM_EXECUCAO!K"&amp;(ROW()+10))))</f>
        <v/>
      </c>
    </row>
    <row r="86">
      <c r="A86" s="116">
        <f>IF(AND(itens_Remanesc!A85="",itens_Remanesc!A84&lt;&gt;"",COUNTIF(itens_Remanesc!A86:$A$200,"&lt;&gt;")=0),"TOTAL",IF(itens_Remanesc!A85="","",itens_Remanesc!A85))</f>
        <v/>
      </c>
      <c r="B86" s="355">
        <f>IF(OR(historico_VU!A85="",historico_VU!C85=""),"",historico_VU!C85)</f>
        <v/>
      </c>
      <c r="C86" s="118">
        <f>IF(posicao_contratual!A85="","",posicao_contratual!G85)</f>
        <v/>
      </c>
      <c r="D86" s="355">
        <f>IF(A86="TOTAL",ROUND(SUM($D$3:D85),2),IF(OR(A86="",B86="",C86=""),"",ROUND(B86*C86,2)))</f>
        <v/>
      </c>
      <c r="E86" s="356">
        <f>IF(OR(historico_VU!A85="",historico_VU!D85=""),"",historico_VU!D85)</f>
        <v/>
      </c>
      <c r="F86" s="120">
        <f>IF(posicao_contratual!A85="","",posicao_contratual!K85)</f>
        <v/>
      </c>
      <c r="G86" s="356">
        <f>IF(A86="TOTAL",ROUND(SUM($G$3:G85),2),IF(OR(A86="",E86="",F86=""),"",ROUND(E86*F86,2)))</f>
        <v/>
      </c>
      <c r="H86" s="355">
        <f>IF(OR(historico_VU!A85="",historico_VU!E85=""),"",historico_VU!E85)</f>
        <v/>
      </c>
      <c r="I86" s="118">
        <f>IF(posicao_contratual!A85="","",posicao_contratual!O85)</f>
        <v/>
      </c>
      <c r="J86" s="355">
        <f>IF(A86="TOTAL",ROUND(SUM($J$3:J85),2),IF(OR(A86="",H86="",I86=""),"",ROUND(H86*I86,2)))</f>
        <v/>
      </c>
      <c r="K86" s="356">
        <f>IF(OR(historico_VU!A85="",historico_VU!F85=""),"",historico_VU!F85)</f>
        <v/>
      </c>
      <c r="L86" s="120">
        <f>IF(posicao_contratual!A85="","",posicao_contratual!S85)</f>
        <v/>
      </c>
      <c r="M86" s="356">
        <f>IF(A86="TOTAL",ROUND(SUM($M$3:M85),2),IF(OR(A86="",K86="",L86=""),"",ROUND(K86*L86,2)))</f>
        <v/>
      </c>
      <c r="N86" s="355">
        <f>IF(OR(historico_VU!A85="",historico_VU!G85=""),"",historico_VU!G85)</f>
        <v/>
      </c>
      <c r="O86" s="118">
        <f>IF(posicao_contratual!A85="","",posicao_contratual!W85)</f>
        <v/>
      </c>
      <c r="P86" s="355">
        <f>IF(A86="TOTAL",ROUND(SUM($P$3:P85),2),IF(OR(A86="",N86="",O86=""),"",ROUND(N86*O86,2)))</f>
        <v/>
      </c>
      <c r="Q86" s="195">
        <f>IF($A86="","",IF(ISERROR(INDIRECT("CICLO_EM_EXECUCAO!$D$5")),"",INDIRECT("CICLO_EM_EXECUCAO!$D$5")))</f>
        <v/>
      </c>
      <c r="R86">
        <f>IF($A86="","",IF(MEMORIA_RESULTADOS!$W$46="","","C"&amp;MEMORIA_RESULTADOS!$W$46))</f>
        <v/>
      </c>
      <c r="S86" s="273">
        <f>IF($A86="","",IF(ISERROR(INDIRECT("CICLO_EM_EXECUCAO!B"&amp;(ROW()+10))),"",INDIRECT("CICLO_EM_EXECUCAO!B"&amp;(ROW()+10))))</f>
        <v/>
      </c>
      <c r="T86" s="273">
        <f>IF($A86="","",IF(ISERROR(INDIRECT("CICLO_EM_EXECUCAO!D"&amp;(ROW()+10))),"",INDIRECT("CICLO_EM_EXECUCAO!D"&amp;(ROW()+10))))</f>
        <v/>
      </c>
      <c r="U86" s="273">
        <f>IF($A86="","",IF(ISERROR(INDIRECT("CICLO_EM_EXECUCAO!C"&amp;(ROW()+10))),"",INDIRECT("CICLO_EM_EXECUCAO!C"&amp;(ROW()+10))))</f>
        <v/>
      </c>
      <c r="V86" s="213">
        <f>IF($A86="","",IF(ISERROR(INDIRECT("CICLO_EM_EXECUCAO!E"&amp;(ROW()+10))),"",INDIRECT("CICLO_EM_EXECUCAO!E"&amp;(ROW()+10))))</f>
        <v/>
      </c>
      <c r="W86" s="213">
        <f>IF($A86="","",IF(ISERROR(INDIRECT("CICLO_EM_EXECUCAO!F"&amp;(ROW()+10))),"",INDIRECT("CICLO_EM_EXECUCAO!F"&amp;(ROW()+10))))</f>
        <v/>
      </c>
      <c r="X86" s="213">
        <f>IF($A86="","",IF(ISERROR(INDIRECT("CICLO_EM_EXECUCAO!G"&amp;(ROW()+10))),"",INDIRECT("CICLO_EM_EXECUCAO!G"&amp;(ROW()+10))))</f>
        <v/>
      </c>
      <c r="Y86">
        <f>IF($A86="","",IF(ISERROR(INDIRECT("CICLO_EM_EXECUCAO!K"&amp;(ROW()+10))),"CICLO_EM_EXECUCAO AUSENTE",INDIRECT("CICLO_EM_EXECUCAO!K"&amp;(ROW()+10))))</f>
        <v/>
      </c>
    </row>
    <row r="87">
      <c r="A87" s="116">
        <f>IF(AND(itens_Remanesc!A86="",itens_Remanesc!A85&lt;&gt;"",COUNTIF(itens_Remanesc!A87:$A$200,"&lt;&gt;")=0),"TOTAL",IF(itens_Remanesc!A86="","",itens_Remanesc!A86))</f>
        <v/>
      </c>
      <c r="B87" s="355">
        <f>IF(OR(historico_VU!A86="",historico_VU!C86=""),"",historico_VU!C86)</f>
        <v/>
      </c>
      <c r="C87" s="118">
        <f>IF(posicao_contratual!A86="","",posicao_contratual!G86)</f>
        <v/>
      </c>
      <c r="D87" s="355">
        <f>IF(A87="TOTAL",ROUND(SUM($D$3:D86),2),IF(OR(A87="",B87="",C87=""),"",ROUND(B87*C87,2)))</f>
        <v/>
      </c>
      <c r="E87" s="356">
        <f>IF(OR(historico_VU!A86="",historico_VU!D86=""),"",historico_VU!D86)</f>
        <v/>
      </c>
      <c r="F87" s="120">
        <f>IF(posicao_contratual!A86="","",posicao_contratual!K86)</f>
        <v/>
      </c>
      <c r="G87" s="356">
        <f>IF(A87="TOTAL",ROUND(SUM($G$3:G86),2),IF(OR(A87="",E87="",F87=""),"",ROUND(E87*F87,2)))</f>
        <v/>
      </c>
      <c r="H87" s="355">
        <f>IF(OR(historico_VU!A86="",historico_VU!E86=""),"",historico_VU!E86)</f>
        <v/>
      </c>
      <c r="I87" s="118">
        <f>IF(posicao_contratual!A86="","",posicao_contratual!O86)</f>
        <v/>
      </c>
      <c r="J87" s="355">
        <f>IF(A87="TOTAL",ROUND(SUM($J$3:J86),2),IF(OR(A87="",H87="",I87=""),"",ROUND(H87*I87,2)))</f>
        <v/>
      </c>
      <c r="K87" s="356">
        <f>IF(OR(historico_VU!A86="",historico_VU!F86=""),"",historico_VU!F86)</f>
        <v/>
      </c>
      <c r="L87" s="120">
        <f>IF(posicao_contratual!A86="","",posicao_contratual!S86)</f>
        <v/>
      </c>
      <c r="M87" s="356">
        <f>IF(A87="TOTAL",ROUND(SUM($M$3:M86),2),IF(OR(A87="",K87="",L87=""),"",ROUND(K87*L87,2)))</f>
        <v/>
      </c>
      <c r="N87" s="355">
        <f>IF(OR(historico_VU!A86="",historico_VU!G86=""),"",historico_VU!G86)</f>
        <v/>
      </c>
      <c r="O87" s="118">
        <f>IF(posicao_contratual!A86="","",posicao_contratual!W86)</f>
        <v/>
      </c>
      <c r="P87" s="355">
        <f>IF(A87="TOTAL",ROUND(SUM($P$3:P86),2),IF(OR(A87="",N87="",O87=""),"",ROUND(N87*O87,2)))</f>
        <v/>
      </c>
      <c r="Q87" s="195">
        <f>IF($A87="","",IF(ISERROR(INDIRECT("CICLO_EM_EXECUCAO!$D$5")),"",INDIRECT("CICLO_EM_EXECUCAO!$D$5")))</f>
        <v/>
      </c>
      <c r="R87">
        <f>IF($A87="","",IF(MEMORIA_RESULTADOS!$W$46="","","C"&amp;MEMORIA_RESULTADOS!$W$46))</f>
        <v/>
      </c>
      <c r="S87" s="273">
        <f>IF($A87="","",IF(ISERROR(INDIRECT("CICLO_EM_EXECUCAO!B"&amp;(ROW()+10))),"",INDIRECT("CICLO_EM_EXECUCAO!B"&amp;(ROW()+10))))</f>
        <v/>
      </c>
      <c r="T87" s="273">
        <f>IF($A87="","",IF(ISERROR(INDIRECT("CICLO_EM_EXECUCAO!D"&amp;(ROW()+10))),"",INDIRECT("CICLO_EM_EXECUCAO!D"&amp;(ROW()+10))))</f>
        <v/>
      </c>
      <c r="U87" s="273">
        <f>IF($A87="","",IF(ISERROR(INDIRECT("CICLO_EM_EXECUCAO!C"&amp;(ROW()+10))),"",INDIRECT("CICLO_EM_EXECUCAO!C"&amp;(ROW()+10))))</f>
        <v/>
      </c>
      <c r="V87" s="213">
        <f>IF($A87="","",IF(ISERROR(INDIRECT("CICLO_EM_EXECUCAO!E"&amp;(ROW()+10))),"",INDIRECT("CICLO_EM_EXECUCAO!E"&amp;(ROW()+10))))</f>
        <v/>
      </c>
      <c r="W87" s="213">
        <f>IF($A87="","",IF(ISERROR(INDIRECT("CICLO_EM_EXECUCAO!F"&amp;(ROW()+10))),"",INDIRECT("CICLO_EM_EXECUCAO!F"&amp;(ROW()+10))))</f>
        <v/>
      </c>
      <c r="X87" s="213">
        <f>IF($A87="","",IF(ISERROR(INDIRECT("CICLO_EM_EXECUCAO!G"&amp;(ROW()+10))),"",INDIRECT("CICLO_EM_EXECUCAO!G"&amp;(ROW()+10))))</f>
        <v/>
      </c>
      <c r="Y87">
        <f>IF($A87="","",IF(ISERROR(INDIRECT("CICLO_EM_EXECUCAO!K"&amp;(ROW()+10))),"CICLO_EM_EXECUCAO AUSENTE",INDIRECT("CICLO_EM_EXECUCAO!K"&amp;(ROW()+10))))</f>
        <v/>
      </c>
    </row>
    <row r="88">
      <c r="A88" s="116">
        <f>IF(AND(itens_Remanesc!A87="",itens_Remanesc!A86&lt;&gt;"",COUNTIF(itens_Remanesc!A88:$A$200,"&lt;&gt;")=0),"TOTAL",IF(itens_Remanesc!A87="","",itens_Remanesc!A87))</f>
        <v/>
      </c>
      <c r="B88" s="355">
        <f>IF(OR(historico_VU!A87="",historico_VU!C87=""),"",historico_VU!C87)</f>
        <v/>
      </c>
      <c r="C88" s="118">
        <f>IF(posicao_contratual!A87="","",posicao_contratual!G87)</f>
        <v/>
      </c>
      <c r="D88" s="355">
        <f>IF(A88="TOTAL",ROUND(SUM($D$3:D87),2),IF(OR(A88="",B88="",C88=""),"",ROUND(B88*C88,2)))</f>
        <v/>
      </c>
      <c r="E88" s="356">
        <f>IF(OR(historico_VU!A87="",historico_VU!D87=""),"",historico_VU!D87)</f>
        <v/>
      </c>
      <c r="F88" s="120">
        <f>IF(posicao_contratual!A87="","",posicao_contratual!K87)</f>
        <v/>
      </c>
      <c r="G88" s="356">
        <f>IF(A88="TOTAL",ROUND(SUM($G$3:G87),2),IF(OR(A88="",E88="",F88=""),"",ROUND(E88*F88,2)))</f>
        <v/>
      </c>
      <c r="H88" s="355">
        <f>IF(OR(historico_VU!A87="",historico_VU!E87=""),"",historico_VU!E87)</f>
        <v/>
      </c>
      <c r="I88" s="118">
        <f>IF(posicao_contratual!A87="","",posicao_contratual!O87)</f>
        <v/>
      </c>
      <c r="J88" s="355">
        <f>IF(A88="TOTAL",ROUND(SUM($J$3:J87),2),IF(OR(A88="",H88="",I88=""),"",ROUND(H88*I88,2)))</f>
        <v/>
      </c>
      <c r="K88" s="356">
        <f>IF(OR(historico_VU!A87="",historico_VU!F87=""),"",historico_VU!F87)</f>
        <v/>
      </c>
      <c r="L88" s="120">
        <f>IF(posicao_contratual!A87="","",posicao_contratual!S87)</f>
        <v/>
      </c>
      <c r="M88" s="356">
        <f>IF(A88="TOTAL",ROUND(SUM($M$3:M87),2),IF(OR(A88="",K88="",L88=""),"",ROUND(K88*L88,2)))</f>
        <v/>
      </c>
      <c r="N88" s="355">
        <f>IF(OR(historico_VU!A87="",historico_VU!G87=""),"",historico_VU!G87)</f>
        <v/>
      </c>
      <c r="O88" s="118">
        <f>IF(posicao_contratual!A87="","",posicao_contratual!W87)</f>
        <v/>
      </c>
      <c r="P88" s="355">
        <f>IF(A88="TOTAL",ROUND(SUM($P$3:P87),2),IF(OR(A88="",N88="",O88=""),"",ROUND(N88*O88,2)))</f>
        <v/>
      </c>
      <c r="Q88" s="195">
        <f>IF($A88="","",IF(ISERROR(INDIRECT("CICLO_EM_EXECUCAO!$D$5")),"",INDIRECT("CICLO_EM_EXECUCAO!$D$5")))</f>
        <v/>
      </c>
      <c r="R88">
        <f>IF($A88="","",IF(MEMORIA_RESULTADOS!$W$46="","","C"&amp;MEMORIA_RESULTADOS!$W$46))</f>
        <v/>
      </c>
      <c r="S88" s="273">
        <f>IF($A88="","",IF(ISERROR(INDIRECT("CICLO_EM_EXECUCAO!B"&amp;(ROW()+10))),"",INDIRECT("CICLO_EM_EXECUCAO!B"&amp;(ROW()+10))))</f>
        <v/>
      </c>
      <c r="T88" s="273">
        <f>IF($A88="","",IF(ISERROR(INDIRECT("CICLO_EM_EXECUCAO!D"&amp;(ROW()+10))),"",INDIRECT("CICLO_EM_EXECUCAO!D"&amp;(ROW()+10))))</f>
        <v/>
      </c>
      <c r="U88" s="273">
        <f>IF($A88="","",IF(ISERROR(INDIRECT("CICLO_EM_EXECUCAO!C"&amp;(ROW()+10))),"",INDIRECT("CICLO_EM_EXECUCAO!C"&amp;(ROW()+10))))</f>
        <v/>
      </c>
      <c r="V88" s="213">
        <f>IF($A88="","",IF(ISERROR(INDIRECT("CICLO_EM_EXECUCAO!E"&amp;(ROW()+10))),"",INDIRECT("CICLO_EM_EXECUCAO!E"&amp;(ROW()+10))))</f>
        <v/>
      </c>
      <c r="W88" s="213">
        <f>IF($A88="","",IF(ISERROR(INDIRECT("CICLO_EM_EXECUCAO!F"&amp;(ROW()+10))),"",INDIRECT("CICLO_EM_EXECUCAO!F"&amp;(ROW()+10))))</f>
        <v/>
      </c>
      <c r="X88" s="213">
        <f>IF($A88="","",IF(ISERROR(INDIRECT("CICLO_EM_EXECUCAO!G"&amp;(ROW()+10))),"",INDIRECT("CICLO_EM_EXECUCAO!G"&amp;(ROW()+10))))</f>
        <v/>
      </c>
      <c r="Y88">
        <f>IF($A88="","",IF(ISERROR(INDIRECT("CICLO_EM_EXECUCAO!K"&amp;(ROW()+10))),"CICLO_EM_EXECUCAO AUSENTE",INDIRECT("CICLO_EM_EXECUCAO!K"&amp;(ROW()+10))))</f>
        <v/>
      </c>
    </row>
    <row r="89">
      <c r="A89" s="116">
        <f>IF(AND(itens_Remanesc!A88="",itens_Remanesc!A87&lt;&gt;"",COUNTIF(itens_Remanesc!A89:$A$200,"&lt;&gt;")=0),"TOTAL",IF(itens_Remanesc!A88="","",itens_Remanesc!A88))</f>
        <v/>
      </c>
      <c r="B89" s="355">
        <f>IF(OR(historico_VU!A88="",historico_VU!C88=""),"",historico_VU!C88)</f>
        <v/>
      </c>
      <c r="C89" s="118">
        <f>IF(posicao_contratual!A88="","",posicao_contratual!G88)</f>
        <v/>
      </c>
      <c r="D89" s="355">
        <f>IF(A89="TOTAL",ROUND(SUM($D$3:D88),2),IF(OR(A89="",B89="",C89=""),"",ROUND(B89*C89,2)))</f>
        <v/>
      </c>
      <c r="E89" s="356">
        <f>IF(OR(historico_VU!A88="",historico_VU!D88=""),"",historico_VU!D88)</f>
        <v/>
      </c>
      <c r="F89" s="120">
        <f>IF(posicao_contratual!A88="","",posicao_contratual!K88)</f>
        <v/>
      </c>
      <c r="G89" s="356">
        <f>IF(A89="TOTAL",ROUND(SUM($G$3:G88),2),IF(OR(A89="",E89="",F89=""),"",ROUND(E89*F89,2)))</f>
        <v/>
      </c>
      <c r="H89" s="355">
        <f>IF(OR(historico_VU!A88="",historico_VU!E88=""),"",historico_VU!E88)</f>
        <v/>
      </c>
      <c r="I89" s="118">
        <f>IF(posicao_contratual!A88="","",posicao_contratual!O88)</f>
        <v/>
      </c>
      <c r="J89" s="355">
        <f>IF(A89="TOTAL",ROUND(SUM($J$3:J88),2),IF(OR(A89="",H89="",I89=""),"",ROUND(H89*I89,2)))</f>
        <v/>
      </c>
      <c r="K89" s="356">
        <f>IF(OR(historico_VU!A88="",historico_VU!F88=""),"",historico_VU!F88)</f>
        <v/>
      </c>
      <c r="L89" s="120">
        <f>IF(posicao_contratual!A88="","",posicao_contratual!S88)</f>
        <v/>
      </c>
      <c r="M89" s="356">
        <f>IF(A89="TOTAL",ROUND(SUM($M$3:M88),2),IF(OR(A89="",K89="",L89=""),"",ROUND(K89*L89,2)))</f>
        <v/>
      </c>
      <c r="N89" s="355">
        <f>IF(OR(historico_VU!A88="",historico_VU!G88=""),"",historico_VU!G88)</f>
        <v/>
      </c>
      <c r="O89" s="118">
        <f>IF(posicao_contratual!A88="","",posicao_contratual!W88)</f>
        <v/>
      </c>
      <c r="P89" s="355">
        <f>IF(A89="TOTAL",ROUND(SUM($P$3:P88),2),IF(OR(A89="",N89="",O89=""),"",ROUND(N89*O89,2)))</f>
        <v/>
      </c>
      <c r="Q89" s="195">
        <f>IF($A89="","",IF(ISERROR(INDIRECT("CICLO_EM_EXECUCAO!$D$5")),"",INDIRECT("CICLO_EM_EXECUCAO!$D$5")))</f>
        <v/>
      </c>
      <c r="R89">
        <f>IF($A89="","",IF(MEMORIA_RESULTADOS!$W$46="","","C"&amp;MEMORIA_RESULTADOS!$W$46))</f>
        <v/>
      </c>
      <c r="S89" s="273">
        <f>IF($A89="","",IF(ISERROR(INDIRECT("CICLO_EM_EXECUCAO!B"&amp;(ROW()+10))),"",INDIRECT("CICLO_EM_EXECUCAO!B"&amp;(ROW()+10))))</f>
        <v/>
      </c>
      <c r="T89" s="273">
        <f>IF($A89="","",IF(ISERROR(INDIRECT("CICLO_EM_EXECUCAO!D"&amp;(ROW()+10))),"",INDIRECT("CICLO_EM_EXECUCAO!D"&amp;(ROW()+10))))</f>
        <v/>
      </c>
      <c r="U89" s="273">
        <f>IF($A89="","",IF(ISERROR(INDIRECT("CICLO_EM_EXECUCAO!C"&amp;(ROW()+10))),"",INDIRECT("CICLO_EM_EXECUCAO!C"&amp;(ROW()+10))))</f>
        <v/>
      </c>
      <c r="V89" s="213">
        <f>IF($A89="","",IF(ISERROR(INDIRECT("CICLO_EM_EXECUCAO!E"&amp;(ROW()+10))),"",INDIRECT("CICLO_EM_EXECUCAO!E"&amp;(ROW()+10))))</f>
        <v/>
      </c>
      <c r="W89" s="213">
        <f>IF($A89="","",IF(ISERROR(INDIRECT("CICLO_EM_EXECUCAO!F"&amp;(ROW()+10))),"",INDIRECT("CICLO_EM_EXECUCAO!F"&amp;(ROW()+10))))</f>
        <v/>
      </c>
      <c r="X89" s="213">
        <f>IF($A89="","",IF(ISERROR(INDIRECT("CICLO_EM_EXECUCAO!G"&amp;(ROW()+10))),"",INDIRECT("CICLO_EM_EXECUCAO!G"&amp;(ROW()+10))))</f>
        <v/>
      </c>
      <c r="Y89">
        <f>IF($A89="","",IF(ISERROR(INDIRECT("CICLO_EM_EXECUCAO!K"&amp;(ROW()+10))),"CICLO_EM_EXECUCAO AUSENTE",INDIRECT("CICLO_EM_EXECUCAO!K"&amp;(ROW()+10))))</f>
        <v/>
      </c>
    </row>
    <row r="90">
      <c r="A90" s="116">
        <f>IF(AND(itens_Remanesc!A89="",itens_Remanesc!A88&lt;&gt;"",COUNTIF(itens_Remanesc!A90:$A$200,"&lt;&gt;")=0),"TOTAL",IF(itens_Remanesc!A89="","",itens_Remanesc!A89))</f>
        <v/>
      </c>
      <c r="B90" s="355">
        <f>IF(OR(historico_VU!A89="",historico_VU!C89=""),"",historico_VU!C89)</f>
        <v/>
      </c>
      <c r="C90" s="118">
        <f>IF(posicao_contratual!A89="","",posicao_contratual!G89)</f>
        <v/>
      </c>
      <c r="D90" s="355">
        <f>IF(A90="TOTAL",ROUND(SUM($D$3:D89),2),IF(OR(A90="",B90="",C90=""),"",ROUND(B90*C90,2)))</f>
        <v/>
      </c>
      <c r="E90" s="356">
        <f>IF(OR(historico_VU!A89="",historico_VU!D89=""),"",historico_VU!D89)</f>
        <v/>
      </c>
      <c r="F90" s="120">
        <f>IF(posicao_contratual!A89="","",posicao_contratual!K89)</f>
        <v/>
      </c>
      <c r="G90" s="356">
        <f>IF(A90="TOTAL",ROUND(SUM($G$3:G89),2),IF(OR(A90="",E90="",F90=""),"",ROUND(E90*F90,2)))</f>
        <v/>
      </c>
      <c r="H90" s="355">
        <f>IF(OR(historico_VU!A89="",historico_VU!E89=""),"",historico_VU!E89)</f>
        <v/>
      </c>
      <c r="I90" s="118">
        <f>IF(posicao_contratual!A89="","",posicao_contratual!O89)</f>
        <v/>
      </c>
      <c r="J90" s="355">
        <f>IF(A90="TOTAL",ROUND(SUM($J$3:J89),2),IF(OR(A90="",H90="",I90=""),"",ROUND(H90*I90,2)))</f>
        <v/>
      </c>
      <c r="K90" s="356">
        <f>IF(OR(historico_VU!A89="",historico_VU!F89=""),"",historico_VU!F89)</f>
        <v/>
      </c>
      <c r="L90" s="120">
        <f>IF(posicao_contratual!A89="","",posicao_contratual!S89)</f>
        <v/>
      </c>
      <c r="M90" s="356">
        <f>IF(A90="TOTAL",ROUND(SUM($M$3:M89),2),IF(OR(A90="",K90="",L90=""),"",ROUND(K90*L90,2)))</f>
        <v/>
      </c>
      <c r="N90" s="355">
        <f>IF(OR(historico_VU!A89="",historico_VU!G89=""),"",historico_VU!G89)</f>
        <v/>
      </c>
      <c r="O90" s="118">
        <f>IF(posicao_contratual!A89="","",posicao_contratual!W89)</f>
        <v/>
      </c>
      <c r="P90" s="355">
        <f>IF(A90="TOTAL",ROUND(SUM($P$3:P89),2),IF(OR(A90="",N90="",O90=""),"",ROUND(N90*O90,2)))</f>
        <v/>
      </c>
      <c r="Q90" s="195">
        <f>IF($A90="","",IF(ISERROR(INDIRECT("CICLO_EM_EXECUCAO!$D$5")),"",INDIRECT("CICLO_EM_EXECUCAO!$D$5")))</f>
        <v/>
      </c>
      <c r="R90">
        <f>IF($A90="","",IF(MEMORIA_RESULTADOS!$W$46="","","C"&amp;MEMORIA_RESULTADOS!$W$46))</f>
        <v/>
      </c>
      <c r="S90" s="273">
        <f>IF($A90="","",IF(ISERROR(INDIRECT("CICLO_EM_EXECUCAO!B"&amp;(ROW()+10))),"",INDIRECT("CICLO_EM_EXECUCAO!B"&amp;(ROW()+10))))</f>
        <v/>
      </c>
      <c r="T90" s="273">
        <f>IF($A90="","",IF(ISERROR(INDIRECT("CICLO_EM_EXECUCAO!D"&amp;(ROW()+10))),"",INDIRECT("CICLO_EM_EXECUCAO!D"&amp;(ROW()+10))))</f>
        <v/>
      </c>
      <c r="U90" s="273">
        <f>IF($A90="","",IF(ISERROR(INDIRECT("CICLO_EM_EXECUCAO!C"&amp;(ROW()+10))),"",INDIRECT("CICLO_EM_EXECUCAO!C"&amp;(ROW()+10))))</f>
        <v/>
      </c>
      <c r="V90" s="213">
        <f>IF($A90="","",IF(ISERROR(INDIRECT("CICLO_EM_EXECUCAO!E"&amp;(ROW()+10))),"",INDIRECT("CICLO_EM_EXECUCAO!E"&amp;(ROW()+10))))</f>
        <v/>
      </c>
      <c r="W90" s="213">
        <f>IF($A90="","",IF(ISERROR(INDIRECT("CICLO_EM_EXECUCAO!F"&amp;(ROW()+10))),"",INDIRECT("CICLO_EM_EXECUCAO!F"&amp;(ROW()+10))))</f>
        <v/>
      </c>
      <c r="X90" s="213">
        <f>IF($A90="","",IF(ISERROR(INDIRECT("CICLO_EM_EXECUCAO!G"&amp;(ROW()+10))),"",INDIRECT("CICLO_EM_EXECUCAO!G"&amp;(ROW()+10))))</f>
        <v/>
      </c>
      <c r="Y90">
        <f>IF($A90="","",IF(ISERROR(INDIRECT("CICLO_EM_EXECUCAO!K"&amp;(ROW()+10))),"CICLO_EM_EXECUCAO AUSENTE",INDIRECT("CICLO_EM_EXECUCAO!K"&amp;(ROW()+10))))</f>
        <v/>
      </c>
    </row>
    <row r="91">
      <c r="A91" s="116">
        <f>IF(AND(itens_Remanesc!A90="",itens_Remanesc!A89&lt;&gt;"",COUNTIF(itens_Remanesc!A91:$A$200,"&lt;&gt;")=0),"TOTAL",IF(itens_Remanesc!A90="","",itens_Remanesc!A90))</f>
        <v/>
      </c>
      <c r="B91" s="355">
        <f>IF(OR(historico_VU!A90="",historico_VU!C90=""),"",historico_VU!C90)</f>
        <v/>
      </c>
      <c r="C91" s="118">
        <f>IF(posicao_contratual!A90="","",posicao_contratual!G90)</f>
        <v/>
      </c>
      <c r="D91" s="355">
        <f>IF(A91="TOTAL",ROUND(SUM($D$3:D90),2),IF(OR(A91="",B91="",C91=""),"",ROUND(B91*C91,2)))</f>
        <v/>
      </c>
      <c r="E91" s="356">
        <f>IF(OR(historico_VU!A90="",historico_VU!D90=""),"",historico_VU!D90)</f>
        <v/>
      </c>
      <c r="F91" s="120">
        <f>IF(posicao_contratual!A90="","",posicao_contratual!K90)</f>
        <v/>
      </c>
      <c r="G91" s="356">
        <f>IF(A91="TOTAL",ROUND(SUM($G$3:G90),2),IF(OR(A91="",E91="",F91=""),"",ROUND(E91*F91,2)))</f>
        <v/>
      </c>
      <c r="H91" s="355">
        <f>IF(OR(historico_VU!A90="",historico_VU!E90=""),"",historico_VU!E90)</f>
        <v/>
      </c>
      <c r="I91" s="118">
        <f>IF(posicao_contratual!A90="","",posicao_contratual!O90)</f>
        <v/>
      </c>
      <c r="J91" s="355">
        <f>IF(A91="TOTAL",ROUND(SUM($J$3:J90),2),IF(OR(A91="",H91="",I91=""),"",ROUND(H91*I91,2)))</f>
        <v/>
      </c>
      <c r="K91" s="356">
        <f>IF(OR(historico_VU!A90="",historico_VU!F90=""),"",historico_VU!F90)</f>
        <v/>
      </c>
      <c r="L91" s="120">
        <f>IF(posicao_contratual!A90="","",posicao_contratual!S90)</f>
        <v/>
      </c>
      <c r="M91" s="356">
        <f>IF(A91="TOTAL",ROUND(SUM($M$3:M90),2),IF(OR(A91="",K91="",L91=""),"",ROUND(K91*L91,2)))</f>
        <v/>
      </c>
      <c r="N91" s="355">
        <f>IF(OR(historico_VU!A90="",historico_VU!G90=""),"",historico_VU!G90)</f>
        <v/>
      </c>
      <c r="O91" s="118">
        <f>IF(posicao_contratual!A90="","",posicao_contratual!W90)</f>
        <v/>
      </c>
      <c r="P91" s="355">
        <f>IF(A91="TOTAL",ROUND(SUM($P$3:P90),2),IF(OR(A91="",N91="",O91=""),"",ROUND(N91*O91,2)))</f>
        <v/>
      </c>
      <c r="Q91" s="195">
        <f>IF($A91="","",IF(ISERROR(INDIRECT("CICLO_EM_EXECUCAO!$D$5")),"",INDIRECT("CICLO_EM_EXECUCAO!$D$5")))</f>
        <v/>
      </c>
      <c r="R91">
        <f>IF($A91="","",IF(MEMORIA_RESULTADOS!$W$46="","","C"&amp;MEMORIA_RESULTADOS!$W$46))</f>
        <v/>
      </c>
      <c r="S91" s="273">
        <f>IF($A91="","",IF(ISERROR(INDIRECT("CICLO_EM_EXECUCAO!B"&amp;(ROW()+10))),"",INDIRECT("CICLO_EM_EXECUCAO!B"&amp;(ROW()+10))))</f>
        <v/>
      </c>
      <c r="T91" s="273">
        <f>IF($A91="","",IF(ISERROR(INDIRECT("CICLO_EM_EXECUCAO!D"&amp;(ROW()+10))),"",INDIRECT("CICLO_EM_EXECUCAO!D"&amp;(ROW()+10))))</f>
        <v/>
      </c>
      <c r="U91" s="273">
        <f>IF($A91="","",IF(ISERROR(INDIRECT("CICLO_EM_EXECUCAO!C"&amp;(ROW()+10))),"",INDIRECT("CICLO_EM_EXECUCAO!C"&amp;(ROW()+10))))</f>
        <v/>
      </c>
      <c r="V91" s="213">
        <f>IF($A91="","",IF(ISERROR(INDIRECT("CICLO_EM_EXECUCAO!E"&amp;(ROW()+10))),"",INDIRECT("CICLO_EM_EXECUCAO!E"&amp;(ROW()+10))))</f>
        <v/>
      </c>
      <c r="W91" s="213">
        <f>IF($A91="","",IF(ISERROR(INDIRECT("CICLO_EM_EXECUCAO!F"&amp;(ROW()+10))),"",INDIRECT("CICLO_EM_EXECUCAO!F"&amp;(ROW()+10))))</f>
        <v/>
      </c>
      <c r="X91" s="213">
        <f>IF($A91="","",IF(ISERROR(INDIRECT("CICLO_EM_EXECUCAO!G"&amp;(ROW()+10))),"",INDIRECT("CICLO_EM_EXECUCAO!G"&amp;(ROW()+10))))</f>
        <v/>
      </c>
      <c r="Y91">
        <f>IF($A91="","",IF(ISERROR(INDIRECT("CICLO_EM_EXECUCAO!K"&amp;(ROW()+10))),"CICLO_EM_EXECUCAO AUSENTE",INDIRECT("CICLO_EM_EXECUCAO!K"&amp;(ROW()+10))))</f>
        <v/>
      </c>
    </row>
    <row r="92">
      <c r="A92" s="116">
        <f>IF(AND(itens_Remanesc!A91="",itens_Remanesc!A90&lt;&gt;"",COUNTIF(itens_Remanesc!A92:$A$200,"&lt;&gt;")=0),"TOTAL",IF(itens_Remanesc!A91="","",itens_Remanesc!A91))</f>
        <v/>
      </c>
      <c r="B92" s="355">
        <f>IF(OR(historico_VU!A91="",historico_VU!C91=""),"",historico_VU!C91)</f>
        <v/>
      </c>
      <c r="C92" s="118">
        <f>IF(posicao_contratual!A91="","",posicao_contratual!G91)</f>
        <v/>
      </c>
      <c r="D92" s="355">
        <f>IF(A92="TOTAL",ROUND(SUM($D$3:D91),2),IF(OR(A92="",B92="",C92=""),"",ROUND(B92*C92,2)))</f>
        <v/>
      </c>
      <c r="E92" s="356">
        <f>IF(OR(historico_VU!A91="",historico_VU!D91=""),"",historico_VU!D91)</f>
        <v/>
      </c>
      <c r="F92" s="120">
        <f>IF(posicao_contratual!A91="","",posicao_contratual!K91)</f>
        <v/>
      </c>
      <c r="G92" s="356">
        <f>IF(A92="TOTAL",ROUND(SUM($G$3:G91),2),IF(OR(A92="",E92="",F92=""),"",ROUND(E92*F92,2)))</f>
        <v/>
      </c>
      <c r="H92" s="355">
        <f>IF(OR(historico_VU!A91="",historico_VU!E91=""),"",historico_VU!E91)</f>
        <v/>
      </c>
      <c r="I92" s="118">
        <f>IF(posicao_contratual!A91="","",posicao_contratual!O91)</f>
        <v/>
      </c>
      <c r="J92" s="355">
        <f>IF(A92="TOTAL",ROUND(SUM($J$3:J91),2),IF(OR(A92="",H92="",I92=""),"",ROUND(H92*I92,2)))</f>
        <v/>
      </c>
      <c r="K92" s="356">
        <f>IF(OR(historico_VU!A91="",historico_VU!F91=""),"",historico_VU!F91)</f>
        <v/>
      </c>
      <c r="L92" s="120">
        <f>IF(posicao_contratual!A91="","",posicao_contratual!S91)</f>
        <v/>
      </c>
      <c r="M92" s="356">
        <f>IF(A92="TOTAL",ROUND(SUM($M$3:M91),2),IF(OR(A92="",K92="",L92=""),"",ROUND(K92*L92,2)))</f>
        <v/>
      </c>
      <c r="N92" s="355">
        <f>IF(OR(historico_VU!A91="",historico_VU!G91=""),"",historico_VU!G91)</f>
        <v/>
      </c>
      <c r="O92" s="118">
        <f>IF(posicao_contratual!A91="","",posicao_contratual!W91)</f>
        <v/>
      </c>
      <c r="P92" s="355">
        <f>IF(A92="TOTAL",ROUND(SUM($P$3:P91),2),IF(OR(A92="",N92="",O92=""),"",ROUND(N92*O92,2)))</f>
        <v/>
      </c>
      <c r="Q92" s="195">
        <f>IF($A92="","",IF(ISERROR(INDIRECT("CICLO_EM_EXECUCAO!$D$5")),"",INDIRECT("CICLO_EM_EXECUCAO!$D$5")))</f>
        <v/>
      </c>
      <c r="R92">
        <f>IF($A92="","",IF(MEMORIA_RESULTADOS!$W$46="","","C"&amp;MEMORIA_RESULTADOS!$W$46))</f>
        <v/>
      </c>
      <c r="S92" s="273">
        <f>IF($A92="","",IF(ISERROR(INDIRECT("CICLO_EM_EXECUCAO!B"&amp;(ROW()+10))),"",INDIRECT("CICLO_EM_EXECUCAO!B"&amp;(ROW()+10))))</f>
        <v/>
      </c>
      <c r="T92" s="273">
        <f>IF($A92="","",IF(ISERROR(INDIRECT("CICLO_EM_EXECUCAO!D"&amp;(ROW()+10))),"",INDIRECT("CICLO_EM_EXECUCAO!D"&amp;(ROW()+10))))</f>
        <v/>
      </c>
      <c r="U92" s="273">
        <f>IF($A92="","",IF(ISERROR(INDIRECT("CICLO_EM_EXECUCAO!C"&amp;(ROW()+10))),"",INDIRECT("CICLO_EM_EXECUCAO!C"&amp;(ROW()+10))))</f>
        <v/>
      </c>
      <c r="V92" s="213">
        <f>IF($A92="","",IF(ISERROR(INDIRECT("CICLO_EM_EXECUCAO!E"&amp;(ROW()+10))),"",INDIRECT("CICLO_EM_EXECUCAO!E"&amp;(ROW()+10))))</f>
        <v/>
      </c>
      <c r="W92" s="213">
        <f>IF($A92="","",IF(ISERROR(INDIRECT("CICLO_EM_EXECUCAO!F"&amp;(ROW()+10))),"",INDIRECT("CICLO_EM_EXECUCAO!F"&amp;(ROW()+10))))</f>
        <v/>
      </c>
      <c r="X92" s="213">
        <f>IF($A92="","",IF(ISERROR(INDIRECT("CICLO_EM_EXECUCAO!G"&amp;(ROW()+10))),"",INDIRECT("CICLO_EM_EXECUCAO!G"&amp;(ROW()+10))))</f>
        <v/>
      </c>
      <c r="Y92">
        <f>IF($A92="","",IF(ISERROR(INDIRECT("CICLO_EM_EXECUCAO!K"&amp;(ROW()+10))),"CICLO_EM_EXECUCAO AUSENTE",INDIRECT("CICLO_EM_EXECUCAO!K"&amp;(ROW()+10))))</f>
        <v/>
      </c>
    </row>
    <row r="93">
      <c r="A93" s="116">
        <f>IF(AND(itens_Remanesc!A92="",itens_Remanesc!A91&lt;&gt;"",COUNTIF(itens_Remanesc!A93:$A$200,"&lt;&gt;")=0),"TOTAL",IF(itens_Remanesc!A92="","",itens_Remanesc!A92))</f>
        <v/>
      </c>
      <c r="B93" s="355">
        <f>IF(OR(historico_VU!A92="",historico_VU!C92=""),"",historico_VU!C92)</f>
        <v/>
      </c>
      <c r="C93" s="118">
        <f>IF(posicao_contratual!A92="","",posicao_contratual!G92)</f>
        <v/>
      </c>
      <c r="D93" s="355">
        <f>IF(A93="TOTAL",ROUND(SUM($D$3:D92),2),IF(OR(A93="",B93="",C93=""),"",ROUND(B93*C93,2)))</f>
        <v/>
      </c>
      <c r="E93" s="356">
        <f>IF(OR(historico_VU!A92="",historico_VU!D92=""),"",historico_VU!D92)</f>
        <v/>
      </c>
      <c r="F93" s="120">
        <f>IF(posicao_contratual!A92="","",posicao_contratual!K92)</f>
        <v/>
      </c>
      <c r="G93" s="356">
        <f>IF(A93="TOTAL",ROUND(SUM($G$3:G92),2),IF(OR(A93="",E93="",F93=""),"",ROUND(E93*F93,2)))</f>
        <v/>
      </c>
      <c r="H93" s="355">
        <f>IF(OR(historico_VU!A92="",historico_VU!E92=""),"",historico_VU!E92)</f>
        <v/>
      </c>
      <c r="I93" s="118">
        <f>IF(posicao_contratual!A92="","",posicao_contratual!O92)</f>
        <v/>
      </c>
      <c r="J93" s="355">
        <f>IF(A93="TOTAL",ROUND(SUM($J$3:J92),2),IF(OR(A93="",H93="",I93=""),"",ROUND(H93*I93,2)))</f>
        <v/>
      </c>
      <c r="K93" s="356">
        <f>IF(OR(historico_VU!A92="",historico_VU!F92=""),"",historico_VU!F92)</f>
        <v/>
      </c>
      <c r="L93" s="120">
        <f>IF(posicao_contratual!A92="","",posicao_contratual!S92)</f>
        <v/>
      </c>
      <c r="M93" s="356">
        <f>IF(A93="TOTAL",ROUND(SUM($M$3:M92),2),IF(OR(A93="",K93="",L93=""),"",ROUND(K93*L93,2)))</f>
        <v/>
      </c>
      <c r="N93" s="355">
        <f>IF(OR(historico_VU!A92="",historico_VU!G92=""),"",historico_VU!G92)</f>
        <v/>
      </c>
      <c r="O93" s="118">
        <f>IF(posicao_contratual!A92="","",posicao_contratual!W92)</f>
        <v/>
      </c>
      <c r="P93" s="355">
        <f>IF(A93="TOTAL",ROUND(SUM($P$3:P92),2),IF(OR(A93="",N93="",O93=""),"",ROUND(N93*O93,2)))</f>
        <v/>
      </c>
      <c r="Q93" s="195">
        <f>IF($A93="","",IF(ISERROR(INDIRECT("CICLO_EM_EXECUCAO!$D$5")),"",INDIRECT("CICLO_EM_EXECUCAO!$D$5")))</f>
        <v/>
      </c>
      <c r="R93">
        <f>IF($A93="","",IF(MEMORIA_RESULTADOS!$W$46="","","C"&amp;MEMORIA_RESULTADOS!$W$46))</f>
        <v/>
      </c>
      <c r="S93" s="273">
        <f>IF($A93="","",IF(ISERROR(INDIRECT("CICLO_EM_EXECUCAO!B"&amp;(ROW()+10))),"",INDIRECT("CICLO_EM_EXECUCAO!B"&amp;(ROW()+10))))</f>
        <v/>
      </c>
      <c r="T93" s="273">
        <f>IF($A93="","",IF(ISERROR(INDIRECT("CICLO_EM_EXECUCAO!D"&amp;(ROW()+10))),"",INDIRECT("CICLO_EM_EXECUCAO!D"&amp;(ROW()+10))))</f>
        <v/>
      </c>
      <c r="U93" s="273">
        <f>IF($A93="","",IF(ISERROR(INDIRECT("CICLO_EM_EXECUCAO!C"&amp;(ROW()+10))),"",INDIRECT("CICLO_EM_EXECUCAO!C"&amp;(ROW()+10))))</f>
        <v/>
      </c>
      <c r="V93" s="213">
        <f>IF($A93="","",IF(ISERROR(INDIRECT("CICLO_EM_EXECUCAO!E"&amp;(ROW()+10))),"",INDIRECT("CICLO_EM_EXECUCAO!E"&amp;(ROW()+10))))</f>
        <v/>
      </c>
      <c r="W93" s="213">
        <f>IF($A93="","",IF(ISERROR(INDIRECT("CICLO_EM_EXECUCAO!F"&amp;(ROW()+10))),"",INDIRECT("CICLO_EM_EXECUCAO!F"&amp;(ROW()+10))))</f>
        <v/>
      </c>
      <c r="X93" s="213">
        <f>IF($A93="","",IF(ISERROR(INDIRECT("CICLO_EM_EXECUCAO!G"&amp;(ROW()+10))),"",INDIRECT("CICLO_EM_EXECUCAO!G"&amp;(ROW()+10))))</f>
        <v/>
      </c>
      <c r="Y93">
        <f>IF($A93="","",IF(ISERROR(INDIRECT("CICLO_EM_EXECUCAO!K"&amp;(ROW()+10))),"CICLO_EM_EXECUCAO AUSENTE",INDIRECT("CICLO_EM_EXECUCAO!K"&amp;(ROW()+10))))</f>
        <v/>
      </c>
    </row>
    <row r="94">
      <c r="A94" s="116">
        <f>IF(AND(itens_Remanesc!A93="",itens_Remanesc!A92&lt;&gt;"",COUNTIF(itens_Remanesc!A94:$A$200,"&lt;&gt;")=0),"TOTAL",IF(itens_Remanesc!A93="","",itens_Remanesc!A93))</f>
        <v/>
      </c>
      <c r="B94" s="355">
        <f>IF(OR(historico_VU!A93="",historico_VU!C93=""),"",historico_VU!C93)</f>
        <v/>
      </c>
      <c r="C94" s="118">
        <f>IF(posicao_contratual!A93="","",posicao_contratual!G93)</f>
        <v/>
      </c>
      <c r="D94" s="355">
        <f>IF(A94="TOTAL",ROUND(SUM($D$3:D93),2),IF(OR(A94="",B94="",C94=""),"",ROUND(B94*C94,2)))</f>
        <v/>
      </c>
      <c r="E94" s="356">
        <f>IF(OR(historico_VU!A93="",historico_VU!D93=""),"",historico_VU!D93)</f>
        <v/>
      </c>
      <c r="F94" s="120">
        <f>IF(posicao_contratual!A93="","",posicao_contratual!K93)</f>
        <v/>
      </c>
      <c r="G94" s="356">
        <f>IF(A94="TOTAL",ROUND(SUM($G$3:G93),2),IF(OR(A94="",E94="",F94=""),"",ROUND(E94*F94,2)))</f>
        <v/>
      </c>
      <c r="H94" s="355">
        <f>IF(OR(historico_VU!A93="",historico_VU!E93=""),"",historico_VU!E93)</f>
        <v/>
      </c>
      <c r="I94" s="118">
        <f>IF(posicao_contratual!A93="","",posicao_contratual!O93)</f>
        <v/>
      </c>
      <c r="J94" s="355">
        <f>IF(A94="TOTAL",ROUND(SUM($J$3:J93),2),IF(OR(A94="",H94="",I94=""),"",ROUND(H94*I94,2)))</f>
        <v/>
      </c>
      <c r="K94" s="356">
        <f>IF(OR(historico_VU!A93="",historico_VU!F93=""),"",historico_VU!F93)</f>
        <v/>
      </c>
      <c r="L94" s="120">
        <f>IF(posicao_contratual!A93="","",posicao_contratual!S93)</f>
        <v/>
      </c>
      <c r="M94" s="356">
        <f>IF(A94="TOTAL",ROUND(SUM($M$3:M93),2),IF(OR(A94="",K94="",L94=""),"",ROUND(K94*L94,2)))</f>
        <v/>
      </c>
      <c r="N94" s="355">
        <f>IF(OR(historico_VU!A93="",historico_VU!G93=""),"",historico_VU!G93)</f>
        <v/>
      </c>
      <c r="O94" s="118">
        <f>IF(posicao_contratual!A93="","",posicao_contratual!W93)</f>
        <v/>
      </c>
      <c r="P94" s="355">
        <f>IF(A94="TOTAL",ROUND(SUM($P$3:P93),2),IF(OR(A94="",N94="",O94=""),"",ROUND(N94*O94,2)))</f>
        <v/>
      </c>
      <c r="Q94" s="195">
        <f>IF($A94="","",IF(ISERROR(INDIRECT("CICLO_EM_EXECUCAO!$D$5")),"",INDIRECT("CICLO_EM_EXECUCAO!$D$5")))</f>
        <v/>
      </c>
      <c r="R94">
        <f>IF($A94="","",IF(MEMORIA_RESULTADOS!$W$46="","","C"&amp;MEMORIA_RESULTADOS!$W$46))</f>
        <v/>
      </c>
      <c r="S94" s="273">
        <f>IF($A94="","",IF(ISERROR(INDIRECT("CICLO_EM_EXECUCAO!B"&amp;(ROW()+10))),"",INDIRECT("CICLO_EM_EXECUCAO!B"&amp;(ROW()+10))))</f>
        <v/>
      </c>
      <c r="T94" s="273">
        <f>IF($A94="","",IF(ISERROR(INDIRECT("CICLO_EM_EXECUCAO!D"&amp;(ROW()+10))),"",INDIRECT("CICLO_EM_EXECUCAO!D"&amp;(ROW()+10))))</f>
        <v/>
      </c>
      <c r="U94" s="273">
        <f>IF($A94="","",IF(ISERROR(INDIRECT("CICLO_EM_EXECUCAO!C"&amp;(ROW()+10))),"",INDIRECT("CICLO_EM_EXECUCAO!C"&amp;(ROW()+10))))</f>
        <v/>
      </c>
      <c r="V94" s="213">
        <f>IF($A94="","",IF(ISERROR(INDIRECT("CICLO_EM_EXECUCAO!E"&amp;(ROW()+10))),"",INDIRECT("CICLO_EM_EXECUCAO!E"&amp;(ROW()+10))))</f>
        <v/>
      </c>
      <c r="W94" s="213">
        <f>IF($A94="","",IF(ISERROR(INDIRECT("CICLO_EM_EXECUCAO!F"&amp;(ROW()+10))),"",INDIRECT("CICLO_EM_EXECUCAO!F"&amp;(ROW()+10))))</f>
        <v/>
      </c>
      <c r="X94" s="213">
        <f>IF($A94="","",IF(ISERROR(INDIRECT("CICLO_EM_EXECUCAO!G"&amp;(ROW()+10))),"",INDIRECT("CICLO_EM_EXECUCAO!G"&amp;(ROW()+10))))</f>
        <v/>
      </c>
      <c r="Y94">
        <f>IF($A94="","",IF(ISERROR(INDIRECT("CICLO_EM_EXECUCAO!K"&amp;(ROW()+10))),"CICLO_EM_EXECUCAO AUSENTE",INDIRECT("CICLO_EM_EXECUCAO!K"&amp;(ROW()+10))))</f>
        <v/>
      </c>
    </row>
    <row r="95">
      <c r="A95" s="116">
        <f>IF(AND(itens_Remanesc!A94="",itens_Remanesc!A93&lt;&gt;"",COUNTIF(itens_Remanesc!A95:$A$200,"&lt;&gt;")=0),"TOTAL",IF(itens_Remanesc!A94="","",itens_Remanesc!A94))</f>
        <v/>
      </c>
      <c r="B95" s="355">
        <f>IF(OR(historico_VU!A94="",historico_VU!C94=""),"",historico_VU!C94)</f>
        <v/>
      </c>
      <c r="C95" s="118">
        <f>IF(posicao_contratual!A94="","",posicao_contratual!G94)</f>
        <v/>
      </c>
      <c r="D95" s="355">
        <f>IF(A95="TOTAL",ROUND(SUM($D$3:D94),2),IF(OR(A95="",B95="",C95=""),"",ROUND(B95*C95,2)))</f>
        <v/>
      </c>
      <c r="E95" s="356">
        <f>IF(OR(historico_VU!A94="",historico_VU!D94=""),"",historico_VU!D94)</f>
        <v/>
      </c>
      <c r="F95" s="120">
        <f>IF(posicao_contratual!A94="","",posicao_contratual!K94)</f>
        <v/>
      </c>
      <c r="G95" s="356">
        <f>IF(A95="TOTAL",ROUND(SUM($G$3:G94),2),IF(OR(A95="",E95="",F95=""),"",ROUND(E95*F95,2)))</f>
        <v/>
      </c>
      <c r="H95" s="355">
        <f>IF(OR(historico_VU!A94="",historico_VU!E94=""),"",historico_VU!E94)</f>
        <v/>
      </c>
      <c r="I95" s="118">
        <f>IF(posicao_contratual!A94="","",posicao_contratual!O94)</f>
        <v/>
      </c>
      <c r="J95" s="355">
        <f>IF(A95="TOTAL",ROUND(SUM($J$3:J94),2),IF(OR(A95="",H95="",I95=""),"",ROUND(H95*I95,2)))</f>
        <v/>
      </c>
      <c r="K95" s="356">
        <f>IF(OR(historico_VU!A94="",historico_VU!F94=""),"",historico_VU!F94)</f>
        <v/>
      </c>
      <c r="L95" s="120">
        <f>IF(posicao_contratual!A94="","",posicao_contratual!S94)</f>
        <v/>
      </c>
      <c r="M95" s="356">
        <f>IF(A95="TOTAL",ROUND(SUM($M$3:M94),2),IF(OR(A95="",K95="",L95=""),"",ROUND(K95*L95,2)))</f>
        <v/>
      </c>
      <c r="N95" s="355">
        <f>IF(OR(historico_VU!A94="",historico_VU!G94=""),"",historico_VU!G94)</f>
        <v/>
      </c>
      <c r="O95" s="118">
        <f>IF(posicao_contratual!A94="","",posicao_contratual!W94)</f>
        <v/>
      </c>
      <c r="P95" s="355">
        <f>IF(A95="TOTAL",ROUND(SUM($P$3:P94),2),IF(OR(A95="",N95="",O95=""),"",ROUND(N95*O95,2)))</f>
        <v/>
      </c>
      <c r="Q95" s="195">
        <f>IF($A95="","",IF(ISERROR(INDIRECT("CICLO_EM_EXECUCAO!$D$5")),"",INDIRECT("CICLO_EM_EXECUCAO!$D$5")))</f>
        <v/>
      </c>
      <c r="R95">
        <f>IF($A95="","",IF(MEMORIA_RESULTADOS!$W$46="","","C"&amp;MEMORIA_RESULTADOS!$W$46))</f>
        <v/>
      </c>
      <c r="S95" s="273">
        <f>IF($A95="","",IF(ISERROR(INDIRECT("CICLO_EM_EXECUCAO!B"&amp;(ROW()+10))),"",INDIRECT("CICLO_EM_EXECUCAO!B"&amp;(ROW()+10))))</f>
        <v/>
      </c>
      <c r="T95" s="273">
        <f>IF($A95="","",IF(ISERROR(INDIRECT("CICLO_EM_EXECUCAO!D"&amp;(ROW()+10))),"",INDIRECT("CICLO_EM_EXECUCAO!D"&amp;(ROW()+10))))</f>
        <v/>
      </c>
      <c r="U95" s="273">
        <f>IF($A95="","",IF(ISERROR(INDIRECT("CICLO_EM_EXECUCAO!C"&amp;(ROW()+10))),"",INDIRECT("CICLO_EM_EXECUCAO!C"&amp;(ROW()+10))))</f>
        <v/>
      </c>
      <c r="V95" s="213">
        <f>IF($A95="","",IF(ISERROR(INDIRECT("CICLO_EM_EXECUCAO!E"&amp;(ROW()+10))),"",INDIRECT("CICLO_EM_EXECUCAO!E"&amp;(ROW()+10))))</f>
        <v/>
      </c>
      <c r="W95" s="213">
        <f>IF($A95="","",IF(ISERROR(INDIRECT("CICLO_EM_EXECUCAO!F"&amp;(ROW()+10))),"",INDIRECT("CICLO_EM_EXECUCAO!F"&amp;(ROW()+10))))</f>
        <v/>
      </c>
      <c r="X95" s="213">
        <f>IF($A95="","",IF(ISERROR(INDIRECT("CICLO_EM_EXECUCAO!G"&amp;(ROW()+10))),"",INDIRECT("CICLO_EM_EXECUCAO!G"&amp;(ROW()+10))))</f>
        <v/>
      </c>
      <c r="Y95">
        <f>IF($A95="","",IF(ISERROR(INDIRECT("CICLO_EM_EXECUCAO!K"&amp;(ROW()+10))),"CICLO_EM_EXECUCAO AUSENTE",INDIRECT("CICLO_EM_EXECUCAO!K"&amp;(ROW()+10))))</f>
        <v/>
      </c>
    </row>
    <row r="96">
      <c r="A96" s="116">
        <f>IF(AND(itens_Remanesc!A95="",itens_Remanesc!A94&lt;&gt;"",COUNTIF(itens_Remanesc!A96:$A$200,"&lt;&gt;")=0),"TOTAL",IF(itens_Remanesc!A95="","",itens_Remanesc!A95))</f>
        <v/>
      </c>
      <c r="B96" s="355">
        <f>IF(OR(historico_VU!A95="",historico_VU!C95=""),"",historico_VU!C95)</f>
        <v/>
      </c>
      <c r="C96" s="118">
        <f>IF(posicao_contratual!A95="","",posicao_contratual!G95)</f>
        <v/>
      </c>
      <c r="D96" s="355">
        <f>IF(A96="TOTAL",ROUND(SUM($D$3:D95),2),IF(OR(A96="",B96="",C96=""),"",ROUND(B96*C96,2)))</f>
        <v/>
      </c>
      <c r="E96" s="356">
        <f>IF(OR(historico_VU!A95="",historico_VU!D95=""),"",historico_VU!D95)</f>
        <v/>
      </c>
      <c r="F96" s="120">
        <f>IF(posicao_contratual!A95="","",posicao_contratual!K95)</f>
        <v/>
      </c>
      <c r="G96" s="356">
        <f>IF(A96="TOTAL",ROUND(SUM($G$3:G95),2),IF(OR(A96="",E96="",F96=""),"",ROUND(E96*F96,2)))</f>
        <v/>
      </c>
      <c r="H96" s="355">
        <f>IF(OR(historico_VU!A95="",historico_VU!E95=""),"",historico_VU!E95)</f>
        <v/>
      </c>
      <c r="I96" s="118">
        <f>IF(posicao_contratual!A95="","",posicao_contratual!O95)</f>
        <v/>
      </c>
      <c r="J96" s="355">
        <f>IF(A96="TOTAL",ROUND(SUM($J$3:J95),2),IF(OR(A96="",H96="",I96=""),"",ROUND(H96*I96,2)))</f>
        <v/>
      </c>
      <c r="K96" s="356">
        <f>IF(OR(historico_VU!A95="",historico_VU!F95=""),"",historico_VU!F95)</f>
        <v/>
      </c>
      <c r="L96" s="120">
        <f>IF(posicao_contratual!A95="","",posicao_contratual!S95)</f>
        <v/>
      </c>
      <c r="M96" s="356">
        <f>IF(A96="TOTAL",ROUND(SUM($M$3:M95),2),IF(OR(A96="",K96="",L96=""),"",ROUND(K96*L96,2)))</f>
        <v/>
      </c>
      <c r="N96" s="355">
        <f>IF(OR(historico_VU!A95="",historico_VU!G95=""),"",historico_VU!G95)</f>
        <v/>
      </c>
      <c r="O96" s="118">
        <f>IF(posicao_contratual!A95="","",posicao_contratual!W95)</f>
        <v/>
      </c>
      <c r="P96" s="355">
        <f>IF(A96="TOTAL",ROUND(SUM($P$3:P95),2),IF(OR(A96="",N96="",O96=""),"",ROUND(N96*O96,2)))</f>
        <v/>
      </c>
      <c r="Q96" s="195">
        <f>IF($A96="","",IF(ISERROR(INDIRECT("CICLO_EM_EXECUCAO!$D$5")),"",INDIRECT("CICLO_EM_EXECUCAO!$D$5")))</f>
        <v/>
      </c>
      <c r="R96">
        <f>IF($A96="","",IF(MEMORIA_RESULTADOS!$W$46="","","C"&amp;MEMORIA_RESULTADOS!$W$46))</f>
        <v/>
      </c>
      <c r="S96" s="273">
        <f>IF($A96="","",IF(ISERROR(INDIRECT("CICLO_EM_EXECUCAO!B"&amp;(ROW()+10))),"",INDIRECT("CICLO_EM_EXECUCAO!B"&amp;(ROW()+10))))</f>
        <v/>
      </c>
      <c r="T96" s="273">
        <f>IF($A96="","",IF(ISERROR(INDIRECT("CICLO_EM_EXECUCAO!D"&amp;(ROW()+10))),"",INDIRECT("CICLO_EM_EXECUCAO!D"&amp;(ROW()+10))))</f>
        <v/>
      </c>
      <c r="U96" s="273">
        <f>IF($A96="","",IF(ISERROR(INDIRECT("CICLO_EM_EXECUCAO!C"&amp;(ROW()+10))),"",INDIRECT("CICLO_EM_EXECUCAO!C"&amp;(ROW()+10))))</f>
        <v/>
      </c>
      <c r="V96" s="213">
        <f>IF($A96="","",IF(ISERROR(INDIRECT("CICLO_EM_EXECUCAO!E"&amp;(ROW()+10))),"",INDIRECT("CICLO_EM_EXECUCAO!E"&amp;(ROW()+10))))</f>
        <v/>
      </c>
      <c r="W96" s="213">
        <f>IF($A96="","",IF(ISERROR(INDIRECT("CICLO_EM_EXECUCAO!F"&amp;(ROW()+10))),"",INDIRECT("CICLO_EM_EXECUCAO!F"&amp;(ROW()+10))))</f>
        <v/>
      </c>
      <c r="X96" s="213">
        <f>IF($A96="","",IF(ISERROR(INDIRECT("CICLO_EM_EXECUCAO!G"&amp;(ROW()+10))),"",INDIRECT("CICLO_EM_EXECUCAO!G"&amp;(ROW()+10))))</f>
        <v/>
      </c>
      <c r="Y96">
        <f>IF($A96="","",IF(ISERROR(INDIRECT("CICLO_EM_EXECUCAO!K"&amp;(ROW()+10))),"CICLO_EM_EXECUCAO AUSENTE",INDIRECT("CICLO_EM_EXECUCAO!K"&amp;(ROW()+10))))</f>
        <v/>
      </c>
    </row>
    <row r="97">
      <c r="A97" s="116">
        <f>IF(AND(itens_Remanesc!A96="",itens_Remanesc!A95&lt;&gt;"",COUNTIF(itens_Remanesc!A97:$A$200,"&lt;&gt;")=0),"TOTAL",IF(itens_Remanesc!A96="","",itens_Remanesc!A96))</f>
        <v/>
      </c>
      <c r="B97" s="355">
        <f>IF(OR(historico_VU!A96="",historico_VU!C96=""),"",historico_VU!C96)</f>
        <v/>
      </c>
      <c r="C97" s="118">
        <f>IF(posicao_contratual!A96="","",posicao_contratual!G96)</f>
        <v/>
      </c>
      <c r="D97" s="355">
        <f>IF(A97="TOTAL",ROUND(SUM($D$3:D96),2),IF(OR(A97="",B97="",C97=""),"",ROUND(B97*C97,2)))</f>
        <v/>
      </c>
      <c r="E97" s="356">
        <f>IF(OR(historico_VU!A96="",historico_VU!D96=""),"",historico_VU!D96)</f>
        <v/>
      </c>
      <c r="F97" s="120">
        <f>IF(posicao_contratual!A96="","",posicao_contratual!K96)</f>
        <v/>
      </c>
      <c r="G97" s="356">
        <f>IF(A97="TOTAL",ROUND(SUM($G$3:G96),2),IF(OR(A97="",E97="",F97=""),"",ROUND(E97*F97,2)))</f>
        <v/>
      </c>
      <c r="H97" s="355">
        <f>IF(OR(historico_VU!A96="",historico_VU!E96=""),"",historico_VU!E96)</f>
        <v/>
      </c>
      <c r="I97" s="118">
        <f>IF(posicao_contratual!A96="","",posicao_contratual!O96)</f>
        <v/>
      </c>
      <c r="J97" s="355">
        <f>IF(A97="TOTAL",ROUND(SUM($J$3:J96),2),IF(OR(A97="",H97="",I97=""),"",ROUND(H97*I97,2)))</f>
        <v/>
      </c>
      <c r="K97" s="356">
        <f>IF(OR(historico_VU!A96="",historico_VU!F96=""),"",historico_VU!F96)</f>
        <v/>
      </c>
      <c r="L97" s="120">
        <f>IF(posicao_contratual!A96="","",posicao_contratual!S96)</f>
        <v/>
      </c>
      <c r="M97" s="356">
        <f>IF(A97="TOTAL",ROUND(SUM($M$3:M96),2),IF(OR(A97="",K97="",L97=""),"",ROUND(K97*L97,2)))</f>
        <v/>
      </c>
      <c r="N97" s="355">
        <f>IF(OR(historico_VU!A96="",historico_VU!G96=""),"",historico_VU!G96)</f>
        <v/>
      </c>
      <c r="O97" s="118">
        <f>IF(posicao_contratual!A96="","",posicao_contratual!W96)</f>
        <v/>
      </c>
      <c r="P97" s="355">
        <f>IF(A97="TOTAL",ROUND(SUM($P$3:P96),2),IF(OR(A97="",N97="",O97=""),"",ROUND(N97*O97,2)))</f>
        <v/>
      </c>
      <c r="Q97" s="195">
        <f>IF($A97="","",IF(ISERROR(INDIRECT("CICLO_EM_EXECUCAO!$D$5")),"",INDIRECT("CICLO_EM_EXECUCAO!$D$5")))</f>
        <v/>
      </c>
      <c r="R97">
        <f>IF($A97="","",IF(MEMORIA_RESULTADOS!$W$46="","","C"&amp;MEMORIA_RESULTADOS!$W$46))</f>
        <v/>
      </c>
      <c r="S97" s="273">
        <f>IF($A97="","",IF(ISERROR(INDIRECT("CICLO_EM_EXECUCAO!B"&amp;(ROW()+10))),"",INDIRECT("CICLO_EM_EXECUCAO!B"&amp;(ROW()+10))))</f>
        <v/>
      </c>
      <c r="T97" s="273">
        <f>IF($A97="","",IF(ISERROR(INDIRECT("CICLO_EM_EXECUCAO!D"&amp;(ROW()+10))),"",INDIRECT("CICLO_EM_EXECUCAO!D"&amp;(ROW()+10))))</f>
        <v/>
      </c>
      <c r="U97" s="273">
        <f>IF($A97="","",IF(ISERROR(INDIRECT("CICLO_EM_EXECUCAO!C"&amp;(ROW()+10))),"",INDIRECT("CICLO_EM_EXECUCAO!C"&amp;(ROW()+10))))</f>
        <v/>
      </c>
      <c r="V97" s="213">
        <f>IF($A97="","",IF(ISERROR(INDIRECT("CICLO_EM_EXECUCAO!E"&amp;(ROW()+10))),"",INDIRECT("CICLO_EM_EXECUCAO!E"&amp;(ROW()+10))))</f>
        <v/>
      </c>
      <c r="W97" s="213">
        <f>IF($A97="","",IF(ISERROR(INDIRECT("CICLO_EM_EXECUCAO!F"&amp;(ROW()+10))),"",INDIRECT("CICLO_EM_EXECUCAO!F"&amp;(ROW()+10))))</f>
        <v/>
      </c>
      <c r="X97" s="213">
        <f>IF($A97="","",IF(ISERROR(INDIRECT("CICLO_EM_EXECUCAO!G"&amp;(ROW()+10))),"",INDIRECT("CICLO_EM_EXECUCAO!G"&amp;(ROW()+10))))</f>
        <v/>
      </c>
      <c r="Y97">
        <f>IF($A97="","",IF(ISERROR(INDIRECT("CICLO_EM_EXECUCAO!K"&amp;(ROW()+10))),"CICLO_EM_EXECUCAO AUSENTE",INDIRECT("CICLO_EM_EXECUCAO!K"&amp;(ROW()+10))))</f>
        <v/>
      </c>
    </row>
    <row r="98">
      <c r="A98" s="116">
        <f>IF(AND(itens_Remanesc!A97="",itens_Remanesc!A96&lt;&gt;"",COUNTIF(itens_Remanesc!A98:$A$200,"&lt;&gt;")=0),"TOTAL",IF(itens_Remanesc!A97="","",itens_Remanesc!A97))</f>
        <v/>
      </c>
      <c r="B98" s="355">
        <f>IF(OR(historico_VU!A97="",historico_VU!C97=""),"",historico_VU!C97)</f>
        <v/>
      </c>
      <c r="C98" s="118">
        <f>IF(posicao_contratual!A97="","",posicao_contratual!G97)</f>
        <v/>
      </c>
      <c r="D98" s="355">
        <f>IF(A98="TOTAL",ROUND(SUM($D$3:D97),2),IF(OR(A98="",B98="",C98=""),"",ROUND(B98*C98,2)))</f>
        <v/>
      </c>
      <c r="E98" s="356">
        <f>IF(OR(historico_VU!A97="",historico_VU!D97=""),"",historico_VU!D97)</f>
        <v/>
      </c>
      <c r="F98" s="120">
        <f>IF(posicao_contratual!A97="","",posicao_contratual!K97)</f>
        <v/>
      </c>
      <c r="G98" s="356">
        <f>IF(A98="TOTAL",ROUND(SUM($G$3:G97),2),IF(OR(A98="",E98="",F98=""),"",ROUND(E98*F98,2)))</f>
        <v/>
      </c>
      <c r="H98" s="355">
        <f>IF(OR(historico_VU!A97="",historico_VU!E97=""),"",historico_VU!E97)</f>
        <v/>
      </c>
      <c r="I98" s="118">
        <f>IF(posicao_contratual!A97="","",posicao_contratual!O97)</f>
        <v/>
      </c>
      <c r="J98" s="355">
        <f>IF(A98="TOTAL",ROUND(SUM($J$3:J97),2),IF(OR(A98="",H98="",I98=""),"",ROUND(H98*I98,2)))</f>
        <v/>
      </c>
      <c r="K98" s="356">
        <f>IF(OR(historico_VU!A97="",historico_VU!F97=""),"",historico_VU!F97)</f>
        <v/>
      </c>
      <c r="L98" s="120">
        <f>IF(posicao_contratual!A97="","",posicao_contratual!S97)</f>
        <v/>
      </c>
      <c r="M98" s="356">
        <f>IF(A98="TOTAL",ROUND(SUM($M$3:M97),2),IF(OR(A98="",K98="",L98=""),"",ROUND(K98*L98,2)))</f>
        <v/>
      </c>
      <c r="N98" s="355">
        <f>IF(OR(historico_VU!A97="",historico_VU!G97=""),"",historico_VU!G97)</f>
        <v/>
      </c>
      <c r="O98" s="118">
        <f>IF(posicao_contratual!A97="","",posicao_contratual!W97)</f>
        <v/>
      </c>
      <c r="P98" s="355">
        <f>IF(A98="TOTAL",ROUND(SUM($P$3:P97),2),IF(OR(A98="",N98="",O98=""),"",ROUND(N98*O98,2)))</f>
        <v/>
      </c>
      <c r="Q98" s="195">
        <f>IF($A98="","",IF(ISERROR(INDIRECT("CICLO_EM_EXECUCAO!$D$5")),"",INDIRECT("CICLO_EM_EXECUCAO!$D$5")))</f>
        <v/>
      </c>
      <c r="R98">
        <f>IF($A98="","",IF(MEMORIA_RESULTADOS!$W$46="","","C"&amp;MEMORIA_RESULTADOS!$W$46))</f>
        <v/>
      </c>
      <c r="S98" s="273">
        <f>IF($A98="","",IF(ISERROR(INDIRECT("CICLO_EM_EXECUCAO!B"&amp;(ROW()+10))),"",INDIRECT("CICLO_EM_EXECUCAO!B"&amp;(ROW()+10))))</f>
        <v/>
      </c>
      <c r="T98" s="273">
        <f>IF($A98="","",IF(ISERROR(INDIRECT("CICLO_EM_EXECUCAO!D"&amp;(ROW()+10))),"",INDIRECT("CICLO_EM_EXECUCAO!D"&amp;(ROW()+10))))</f>
        <v/>
      </c>
      <c r="U98" s="273">
        <f>IF($A98="","",IF(ISERROR(INDIRECT("CICLO_EM_EXECUCAO!C"&amp;(ROW()+10))),"",INDIRECT("CICLO_EM_EXECUCAO!C"&amp;(ROW()+10))))</f>
        <v/>
      </c>
      <c r="V98" s="213">
        <f>IF($A98="","",IF(ISERROR(INDIRECT("CICLO_EM_EXECUCAO!E"&amp;(ROW()+10))),"",INDIRECT("CICLO_EM_EXECUCAO!E"&amp;(ROW()+10))))</f>
        <v/>
      </c>
      <c r="W98" s="213">
        <f>IF($A98="","",IF(ISERROR(INDIRECT("CICLO_EM_EXECUCAO!F"&amp;(ROW()+10))),"",INDIRECT("CICLO_EM_EXECUCAO!F"&amp;(ROW()+10))))</f>
        <v/>
      </c>
      <c r="X98" s="213">
        <f>IF($A98="","",IF(ISERROR(INDIRECT("CICLO_EM_EXECUCAO!G"&amp;(ROW()+10))),"",INDIRECT("CICLO_EM_EXECUCAO!G"&amp;(ROW()+10))))</f>
        <v/>
      </c>
      <c r="Y98">
        <f>IF($A98="","",IF(ISERROR(INDIRECT("CICLO_EM_EXECUCAO!K"&amp;(ROW()+10))),"CICLO_EM_EXECUCAO AUSENTE",INDIRECT("CICLO_EM_EXECUCAO!K"&amp;(ROW()+10))))</f>
        <v/>
      </c>
    </row>
    <row r="99">
      <c r="A99" s="116">
        <f>IF(AND(itens_Remanesc!A98="",itens_Remanesc!A97&lt;&gt;"",COUNTIF(itens_Remanesc!A99:$A$200,"&lt;&gt;")=0),"TOTAL",IF(itens_Remanesc!A98="","",itens_Remanesc!A98))</f>
        <v/>
      </c>
      <c r="B99" s="355">
        <f>IF(OR(historico_VU!A98="",historico_VU!C98=""),"",historico_VU!C98)</f>
        <v/>
      </c>
      <c r="C99" s="118">
        <f>IF(posicao_contratual!A98="","",posicao_contratual!G98)</f>
        <v/>
      </c>
      <c r="D99" s="355">
        <f>IF(A99="TOTAL",ROUND(SUM($D$3:D98),2),IF(OR(A99="",B99="",C99=""),"",ROUND(B99*C99,2)))</f>
        <v/>
      </c>
      <c r="E99" s="356">
        <f>IF(OR(historico_VU!A98="",historico_VU!D98=""),"",historico_VU!D98)</f>
        <v/>
      </c>
      <c r="F99" s="120">
        <f>IF(posicao_contratual!A98="","",posicao_contratual!K98)</f>
        <v/>
      </c>
      <c r="G99" s="356">
        <f>IF(A99="TOTAL",ROUND(SUM($G$3:G98),2),IF(OR(A99="",E99="",F99=""),"",ROUND(E99*F99,2)))</f>
        <v/>
      </c>
      <c r="H99" s="355">
        <f>IF(OR(historico_VU!A98="",historico_VU!E98=""),"",historico_VU!E98)</f>
        <v/>
      </c>
      <c r="I99" s="118">
        <f>IF(posicao_contratual!A98="","",posicao_contratual!O98)</f>
        <v/>
      </c>
      <c r="J99" s="355">
        <f>IF(A99="TOTAL",ROUND(SUM($J$3:J98),2),IF(OR(A99="",H99="",I99=""),"",ROUND(H99*I99,2)))</f>
        <v/>
      </c>
      <c r="K99" s="356">
        <f>IF(OR(historico_VU!A98="",historico_VU!F98=""),"",historico_VU!F98)</f>
        <v/>
      </c>
      <c r="L99" s="120">
        <f>IF(posicao_contratual!A98="","",posicao_contratual!S98)</f>
        <v/>
      </c>
      <c r="M99" s="356">
        <f>IF(A99="TOTAL",ROUND(SUM($M$3:M98),2),IF(OR(A99="",K99="",L99=""),"",ROUND(K99*L99,2)))</f>
        <v/>
      </c>
      <c r="N99" s="355">
        <f>IF(OR(historico_VU!A98="",historico_VU!G98=""),"",historico_VU!G98)</f>
        <v/>
      </c>
      <c r="O99" s="118">
        <f>IF(posicao_contratual!A98="","",posicao_contratual!W98)</f>
        <v/>
      </c>
      <c r="P99" s="355">
        <f>IF(A99="TOTAL",ROUND(SUM($P$3:P98),2),IF(OR(A99="",N99="",O99=""),"",ROUND(N99*O99,2)))</f>
        <v/>
      </c>
      <c r="Q99" s="195">
        <f>IF($A99="","",IF(ISERROR(INDIRECT("CICLO_EM_EXECUCAO!$D$5")),"",INDIRECT("CICLO_EM_EXECUCAO!$D$5")))</f>
        <v/>
      </c>
      <c r="R99">
        <f>IF($A99="","",IF(MEMORIA_RESULTADOS!$W$46="","","C"&amp;MEMORIA_RESULTADOS!$W$46))</f>
        <v/>
      </c>
      <c r="S99" s="273">
        <f>IF($A99="","",IF(ISERROR(INDIRECT("CICLO_EM_EXECUCAO!B"&amp;(ROW()+10))),"",INDIRECT("CICLO_EM_EXECUCAO!B"&amp;(ROW()+10))))</f>
        <v/>
      </c>
      <c r="T99" s="273">
        <f>IF($A99="","",IF(ISERROR(INDIRECT("CICLO_EM_EXECUCAO!D"&amp;(ROW()+10))),"",INDIRECT("CICLO_EM_EXECUCAO!D"&amp;(ROW()+10))))</f>
        <v/>
      </c>
      <c r="U99" s="273">
        <f>IF($A99="","",IF(ISERROR(INDIRECT("CICLO_EM_EXECUCAO!C"&amp;(ROW()+10))),"",INDIRECT("CICLO_EM_EXECUCAO!C"&amp;(ROW()+10))))</f>
        <v/>
      </c>
      <c r="V99" s="213">
        <f>IF($A99="","",IF(ISERROR(INDIRECT("CICLO_EM_EXECUCAO!E"&amp;(ROW()+10))),"",INDIRECT("CICLO_EM_EXECUCAO!E"&amp;(ROW()+10))))</f>
        <v/>
      </c>
      <c r="W99" s="213">
        <f>IF($A99="","",IF(ISERROR(INDIRECT("CICLO_EM_EXECUCAO!F"&amp;(ROW()+10))),"",INDIRECT("CICLO_EM_EXECUCAO!F"&amp;(ROW()+10))))</f>
        <v/>
      </c>
      <c r="X99" s="213">
        <f>IF($A99="","",IF(ISERROR(INDIRECT("CICLO_EM_EXECUCAO!G"&amp;(ROW()+10))),"",INDIRECT("CICLO_EM_EXECUCAO!G"&amp;(ROW()+10))))</f>
        <v/>
      </c>
      <c r="Y99">
        <f>IF($A99="","",IF(ISERROR(INDIRECT("CICLO_EM_EXECUCAO!K"&amp;(ROW()+10))),"CICLO_EM_EXECUCAO AUSENTE",INDIRECT("CICLO_EM_EXECUCAO!K"&amp;(ROW()+10))))</f>
        <v/>
      </c>
    </row>
    <row r="100">
      <c r="A100" s="116">
        <f>IF(AND(itens_Remanesc!A99="",itens_Remanesc!A98&lt;&gt;"",COUNTIF(itens_Remanesc!A100:$A$200,"&lt;&gt;")=0),"TOTAL",IF(itens_Remanesc!A99="","",itens_Remanesc!A99))</f>
        <v/>
      </c>
      <c r="B100" s="355">
        <f>IF(OR(historico_VU!A99="",historico_VU!C99=""),"",historico_VU!C99)</f>
        <v/>
      </c>
      <c r="C100" s="118">
        <f>IF(posicao_contratual!A99="","",posicao_contratual!G99)</f>
        <v/>
      </c>
      <c r="D100" s="355">
        <f>IF(A100="TOTAL",ROUND(SUM($D$3:D99),2),IF(OR(A100="",B100="",C100=""),"",ROUND(B100*C100,2)))</f>
        <v/>
      </c>
      <c r="E100" s="356">
        <f>IF(OR(historico_VU!A99="",historico_VU!D99=""),"",historico_VU!D99)</f>
        <v/>
      </c>
      <c r="F100" s="120">
        <f>IF(posicao_contratual!A99="","",posicao_contratual!K99)</f>
        <v/>
      </c>
      <c r="G100" s="356">
        <f>IF(A100="TOTAL",ROUND(SUM($G$3:G99),2),IF(OR(A100="",E100="",F100=""),"",ROUND(E100*F100,2)))</f>
        <v/>
      </c>
      <c r="H100" s="355">
        <f>IF(OR(historico_VU!A99="",historico_VU!E99=""),"",historico_VU!E99)</f>
        <v/>
      </c>
      <c r="I100" s="118">
        <f>IF(posicao_contratual!A99="","",posicao_contratual!O99)</f>
        <v/>
      </c>
      <c r="J100" s="355">
        <f>IF(A100="TOTAL",ROUND(SUM($J$3:J99),2),IF(OR(A100="",H100="",I100=""),"",ROUND(H100*I100,2)))</f>
        <v/>
      </c>
      <c r="K100" s="356">
        <f>IF(OR(historico_VU!A99="",historico_VU!F99=""),"",historico_VU!F99)</f>
        <v/>
      </c>
      <c r="L100" s="120">
        <f>IF(posicao_contratual!A99="","",posicao_contratual!S99)</f>
        <v/>
      </c>
      <c r="M100" s="356">
        <f>IF(A100="TOTAL",ROUND(SUM($M$3:M99),2),IF(OR(A100="",K100="",L100=""),"",ROUND(K100*L100,2)))</f>
        <v/>
      </c>
      <c r="N100" s="355">
        <f>IF(OR(historico_VU!A99="",historico_VU!G99=""),"",historico_VU!G99)</f>
        <v/>
      </c>
      <c r="O100" s="118">
        <f>IF(posicao_contratual!A99="","",posicao_contratual!W99)</f>
        <v/>
      </c>
      <c r="P100" s="355">
        <f>IF(A100="TOTAL",ROUND(SUM($P$3:P99),2),IF(OR(A100="",N100="",O100=""),"",ROUND(N100*O100,2)))</f>
        <v/>
      </c>
      <c r="Q100" s="195">
        <f>IF($A100="","",IF(ISERROR(INDIRECT("CICLO_EM_EXECUCAO!$D$5")),"",INDIRECT("CICLO_EM_EXECUCAO!$D$5")))</f>
        <v/>
      </c>
      <c r="R100">
        <f>IF($A100="","",IF(MEMORIA_RESULTADOS!$W$46="","","C"&amp;MEMORIA_RESULTADOS!$W$46))</f>
        <v/>
      </c>
      <c r="S100" s="273">
        <f>IF($A100="","",IF(ISERROR(INDIRECT("CICLO_EM_EXECUCAO!B"&amp;(ROW()+10))),"",INDIRECT("CICLO_EM_EXECUCAO!B"&amp;(ROW()+10))))</f>
        <v/>
      </c>
      <c r="T100" s="273">
        <f>IF($A100="","",IF(ISERROR(INDIRECT("CICLO_EM_EXECUCAO!D"&amp;(ROW()+10))),"",INDIRECT("CICLO_EM_EXECUCAO!D"&amp;(ROW()+10))))</f>
        <v/>
      </c>
      <c r="U100" s="273">
        <f>IF($A100="","",IF(ISERROR(INDIRECT("CICLO_EM_EXECUCAO!C"&amp;(ROW()+10))),"",INDIRECT("CICLO_EM_EXECUCAO!C"&amp;(ROW()+10))))</f>
        <v/>
      </c>
      <c r="V100" s="213">
        <f>IF($A100="","",IF(ISERROR(INDIRECT("CICLO_EM_EXECUCAO!E"&amp;(ROW()+10))),"",INDIRECT("CICLO_EM_EXECUCAO!E"&amp;(ROW()+10))))</f>
        <v/>
      </c>
      <c r="W100" s="213">
        <f>IF($A100="","",IF(ISERROR(INDIRECT("CICLO_EM_EXECUCAO!F"&amp;(ROW()+10))),"",INDIRECT("CICLO_EM_EXECUCAO!F"&amp;(ROW()+10))))</f>
        <v/>
      </c>
      <c r="X100" s="213">
        <f>IF($A100="","",IF(ISERROR(INDIRECT("CICLO_EM_EXECUCAO!G"&amp;(ROW()+10))),"",INDIRECT("CICLO_EM_EXECUCAO!G"&amp;(ROW()+10))))</f>
        <v/>
      </c>
      <c r="Y100">
        <f>IF($A100="","",IF(ISERROR(INDIRECT("CICLO_EM_EXECUCAO!K"&amp;(ROW()+10))),"CICLO_EM_EXECUCAO AUSENTE",INDIRECT("CICLO_EM_EXECUCAO!K"&amp;(ROW()+10))))</f>
        <v/>
      </c>
    </row>
    <row r="101">
      <c r="A101" s="116">
        <f>IF(AND(itens_Remanesc!A100="",itens_Remanesc!A99&lt;&gt;"",COUNTIF(itens_Remanesc!A101:$A$200,"&lt;&gt;")=0),"TOTAL",IF(itens_Remanesc!A100="","",itens_Remanesc!A100))</f>
        <v/>
      </c>
      <c r="B101" s="355">
        <f>IF(OR(historico_VU!A100="",historico_VU!C100=""),"",historico_VU!C100)</f>
        <v/>
      </c>
      <c r="C101" s="118">
        <f>IF(posicao_contratual!A100="","",posicao_contratual!G100)</f>
        <v/>
      </c>
      <c r="D101" s="355">
        <f>IF(A101="TOTAL",ROUND(SUM($D$3:D100),2),IF(OR(A101="",B101="",C101=""),"",ROUND(B101*C101,2)))</f>
        <v/>
      </c>
      <c r="E101" s="356">
        <f>IF(OR(historico_VU!A100="",historico_VU!D100=""),"",historico_VU!D100)</f>
        <v/>
      </c>
      <c r="F101" s="120">
        <f>IF(posicao_contratual!A100="","",posicao_contratual!K100)</f>
        <v/>
      </c>
      <c r="G101" s="356">
        <f>IF(A101="TOTAL",ROUND(SUM($G$3:G100),2),IF(OR(A101="",E101="",F101=""),"",ROUND(E101*F101,2)))</f>
        <v/>
      </c>
      <c r="H101" s="355">
        <f>IF(OR(historico_VU!A100="",historico_VU!E100=""),"",historico_VU!E100)</f>
        <v/>
      </c>
      <c r="I101" s="118">
        <f>IF(posicao_contratual!A100="","",posicao_contratual!O100)</f>
        <v/>
      </c>
      <c r="J101" s="355">
        <f>IF(A101="TOTAL",ROUND(SUM($J$3:J100),2),IF(OR(A101="",H101="",I101=""),"",ROUND(H101*I101,2)))</f>
        <v/>
      </c>
      <c r="K101" s="356">
        <f>IF(OR(historico_VU!A100="",historico_VU!F100=""),"",historico_VU!F100)</f>
        <v/>
      </c>
      <c r="L101" s="120">
        <f>IF(posicao_contratual!A100="","",posicao_contratual!S100)</f>
        <v/>
      </c>
      <c r="M101" s="356">
        <f>IF(A101="TOTAL",ROUND(SUM($M$3:M100),2),IF(OR(A101="",K101="",L101=""),"",ROUND(K101*L101,2)))</f>
        <v/>
      </c>
      <c r="N101" s="355">
        <f>IF(OR(historico_VU!A100="",historico_VU!G100=""),"",historico_VU!G100)</f>
        <v/>
      </c>
      <c r="O101" s="118">
        <f>IF(posicao_contratual!A100="","",posicao_contratual!W100)</f>
        <v/>
      </c>
      <c r="P101" s="355">
        <f>IF(A101="TOTAL",ROUND(SUM($P$3:P100),2),IF(OR(A101="",N101="",O101=""),"",ROUND(N101*O101,2)))</f>
        <v/>
      </c>
      <c r="Q101" s="195">
        <f>IF($A101="","",IF(ISERROR(INDIRECT("CICLO_EM_EXECUCAO!$D$5")),"",INDIRECT("CICLO_EM_EXECUCAO!$D$5")))</f>
        <v/>
      </c>
      <c r="R101">
        <f>IF($A101="","",IF(MEMORIA_RESULTADOS!$W$46="","","C"&amp;MEMORIA_RESULTADOS!$W$46))</f>
        <v/>
      </c>
      <c r="S101" s="273">
        <f>IF($A101="","",IF(ISERROR(INDIRECT("CICLO_EM_EXECUCAO!B"&amp;(ROW()+10))),"",INDIRECT("CICLO_EM_EXECUCAO!B"&amp;(ROW()+10))))</f>
        <v/>
      </c>
      <c r="T101" s="273">
        <f>IF($A101="","",IF(ISERROR(INDIRECT("CICLO_EM_EXECUCAO!D"&amp;(ROW()+10))),"",INDIRECT("CICLO_EM_EXECUCAO!D"&amp;(ROW()+10))))</f>
        <v/>
      </c>
      <c r="U101" s="273">
        <f>IF($A101="","",IF(ISERROR(INDIRECT("CICLO_EM_EXECUCAO!C"&amp;(ROW()+10))),"",INDIRECT("CICLO_EM_EXECUCAO!C"&amp;(ROW()+10))))</f>
        <v/>
      </c>
      <c r="V101" s="213">
        <f>IF($A101="","",IF(ISERROR(INDIRECT("CICLO_EM_EXECUCAO!E"&amp;(ROW()+10))),"",INDIRECT("CICLO_EM_EXECUCAO!E"&amp;(ROW()+10))))</f>
        <v/>
      </c>
      <c r="W101" s="213">
        <f>IF($A101="","",IF(ISERROR(INDIRECT("CICLO_EM_EXECUCAO!F"&amp;(ROW()+10))),"",INDIRECT("CICLO_EM_EXECUCAO!F"&amp;(ROW()+10))))</f>
        <v/>
      </c>
      <c r="X101" s="213">
        <f>IF($A101="","",IF(ISERROR(INDIRECT("CICLO_EM_EXECUCAO!G"&amp;(ROW()+10))),"",INDIRECT("CICLO_EM_EXECUCAO!G"&amp;(ROW()+10))))</f>
        <v/>
      </c>
      <c r="Y101">
        <f>IF($A101="","",IF(ISERROR(INDIRECT("CICLO_EM_EXECUCAO!K"&amp;(ROW()+10))),"CICLO_EM_EXECUCAO AUSENTE",INDIRECT("CICLO_EM_EXECUCAO!K"&amp;(ROW()+10))))</f>
        <v/>
      </c>
    </row>
    <row r="102">
      <c r="A102" s="116">
        <f>IF(AND(itens_Remanesc!A101="",itens_Remanesc!A100&lt;&gt;"",COUNTIF(itens_Remanesc!A102:$A$200,"&lt;&gt;")=0),"TOTAL",IF(itens_Remanesc!A101="","",itens_Remanesc!A101))</f>
        <v/>
      </c>
      <c r="B102" s="355">
        <f>IF(OR(historico_VU!A101="",historico_VU!C101=""),"",historico_VU!C101)</f>
        <v/>
      </c>
      <c r="C102" s="118">
        <f>IF(posicao_contratual!A101="","",posicao_contratual!G101)</f>
        <v/>
      </c>
      <c r="D102" s="355">
        <f>IF(A102="TOTAL",ROUND(SUM($D$3:D101),2),IF(OR(A102="",B102="",C102=""),"",ROUND(B102*C102,2)))</f>
        <v/>
      </c>
      <c r="E102" s="356">
        <f>IF(OR(historico_VU!A101="",historico_VU!D101=""),"",historico_VU!D101)</f>
        <v/>
      </c>
      <c r="F102" s="120">
        <f>IF(posicao_contratual!A101="","",posicao_contratual!K101)</f>
        <v/>
      </c>
      <c r="G102" s="356">
        <f>IF(A102="TOTAL",ROUND(SUM($G$3:G101),2),IF(OR(A102="",E102="",F102=""),"",ROUND(E102*F102,2)))</f>
        <v/>
      </c>
      <c r="H102" s="355">
        <f>IF(OR(historico_VU!A101="",historico_VU!E101=""),"",historico_VU!E101)</f>
        <v/>
      </c>
      <c r="I102" s="118">
        <f>IF(posicao_contratual!A101="","",posicao_contratual!O101)</f>
        <v/>
      </c>
      <c r="J102" s="355">
        <f>IF(A102="TOTAL",ROUND(SUM($J$3:J101),2),IF(OR(A102="",H102="",I102=""),"",ROUND(H102*I102,2)))</f>
        <v/>
      </c>
      <c r="K102" s="356">
        <f>IF(OR(historico_VU!A101="",historico_VU!F101=""),"",historico_VU!F101)</f>
        <v/>
      </c>
      <c r="L102" s="120">
        <f>IF(posicao_contratual!A101="","",posicao_contratual!S101)</f>
        <v/>
      </c>
      <c r="M102" s="356">
        <f>IF(A102="TOTAL",ROUND(SUM($M$3:M101),2),IF(OR(A102="",K102="",L102=""),"",ROUND(K102*L102,2)))</f>
        <v/>
      </c>
      <c r="N102" s="355">
        <f>IF(OR(historico_VU!A101="",historico_VU!G101=""),"",historico_VU!G101)</f>
        <v/>
      </c>
      <c r="O102" s="118">
        <f>IF(posicao_contratual!A101="","",posicao_contratual!W101)</f>
        <v/>
      </c>
      <c r="P102" s="355">
        <f>IF(A102="TOTAL",ROUND(SUM($P$3:P101),2),IF(OR(A102="",N102="",O102=""),"",ROUND(N102*O102,2)))</f>
        <v/>
      </c>
      <c r="Q102" s="195">
        <f>IF($A102="","",IF(ISERROR(INDIRECT("CICLO_EM_EXECUCAO!$D$5")),"",INDIRECT("CICLO_EM_EXECUCAO!$D$5")))</f>
        <v/>
      </c>
      <c r="R102">
        <f>IF($A102="","",IF(MEMORIA_RESULTADOS!$W$46="","","C"&amp;MEMORIA_RESULTADOS!$W$46))</f>
        <v/>
      </c>
      <c r="S102" s="273">
        <f>IF($A102="","",IF(ISERROR(INDIRECT("CICLO_EM_EXECUCAO!B"&amp;(ROW()+10))),"",INDIRECT("CICLO_EM_EXECUCAO!B"&amp;(ROW()+10))))</f>
        <v/>
      </c>
      <c r="T102" s="273">
        <f>IF($A102="","",IF(ISERROR(INDIRECT("CICLO_EM_EXECUCAO!D"&amp;(ROW()+10))),"",INDIRECT("CICLO_EM_EXECUCAO!D"&amp;(ROW()+10))))</f>
        <v/>
      </c>
      <c r="U102" s="273">
        <f>IF($A102="","",IF(ISERROR(INDIRECT("CICLO_EM_EXECUCAO!C"&amp;(ROW()+10))),"",INDIRECT("CICLO_EM_EXECUCAO!C"&amp;(ROW()+10))))</f>
        <v/>
      </c>
      <c r="V102" s="213">
        <f>IF($A102="","",IF(ISERROR(INDIRECT("CICLO_EM_EXECUCAO!E"&amp;(ROW()+10))),"",INDIRECT("CICLO_EM_EXECUCAO!E"&amp;(ROW()+10))))</f>
        <v/>
      </c>
      <c r="W102" s="213">
        <f>IF($A102="","",IF(ISERROR(INDIRECT("CICLO_EM_EXECUCAO!F"&amp;(ROW()+10))),"",INDIRECT("CICLO_EM_EXECUCAO!F"&amp;(ROW()+10))))</f>
        <v/>
      </c>
      <c r="X102" s="213">
        <f>IF($A102="","",IF(ISERROR(INDIRECT("CICLO_EM_EXECUCAO!G"&amp;(ROW()+10))),"",INDIRECT("CICLO_EM_EXECUCAO!G"&amp;(ROW()+10))))</f>
        <v/>
      </c>
      <c r="Y102">
        <f>IF($A102="","",IF(ISERROR(INDIRECT("CICLO_EM_EXECUCAO!K"&amp;(ROW()+10))),"CICLO_EM_EXECUCAO AUSENTE",INDIRECT("CICLO_EM_EXECUCAO!K"&amp;(ROW()+10))))</f>
        <v/>
      </c>
    </row>
    <row r="103">
      <c r="A103" s="116">
        <f>IF(AND(itens_Remanesc!A102="",itens_Remanesc!A101&lt;&gt;"",COUNTIF(itens_Remanesc!A103:$A$200,"&lt;&gt;")=0),"TOTAL",IF(itens_Remanesc!A102="","",itens_Remanesc!A102))</f>
        <v/>
      </c>
      <c r="B103" s="355">
        <f>IF(OR(historico_VU!A102="",historico_VU!C102=""),"",historico_VU!C102)</f>
        <v/>
      </c>
      <c r="C103" s="118">
        <f>IF(posicao_contratual!A102="","",posicao_contratual!G102)</f>
        <v/>
      </c>
      <c r="D103" s="355">
        <f>IF(A103="TOTAL",ROUND(SUM($D$3:D102),2),IF(OR(A103="",B103="",C103=""),"",ROUND(B103*C103,2)))</f>
        <v/>
      </c>
      <c r="E103" s="356">
        <f>IF(OR(historico_VU!A102="",historico_VU!D102=""),"",historico_VU!D102)</f>
        <v/>
      </c>
      <c r="F103" s="120">
        <f>IF(posicao_contratual!A102="","",posicao_contratual!K102)</f>
        <v/>
      </c>
      <c r="G103" s="356">
        <f>IF(A103="TOTAL",ROUND(SUM($G$3:G102),2),IF(OR(A103="",E103="",F103=""),"",ROUND(E103*F103,2)))</f>
        <v/>
      </c>
      <c r="H103" s="355">
        <f>IF(OR(historico_VU!A102="",historico_VU!E102=""),"",historico_VU!E102)</f>
        <v/>
      </c>
      <c r="I103" s="118">
        <f>IF(posicao_contratual!A102="","",posicao_contratual!O102)</f>
        <v/>
      </c>
      <c r="J103" s="355">
        <f>IF(A103="TOTAL",ROUND(SUM($J$3:J102),2),IF(OR(A103="",H103="",I103=""),"",ROUND(H103*I103,2)))</f>
        <v/>
      </c>
      <c r="K103" s="356">
        <f>IF(OR(historico_VU!A102="",historico_VU!F102=""),"",historico_VU!F102)</f>
        <v/>
      </c>
      <c r="L103" s="120">
        <f>IF(posicao_contratual!A102="","",posicao_contratual!S102)</f>
        <v/>
      </c>
      <c r="M103" s="356">
        <f>IF(A103="TOTAL",ROUND(SUM($M$3:M102),2),IF(OR(A103="",K103="",L103=""),"",ROUND(K103*L103,2)))</f>
        <v/>
      </c>
      <c r="N103" s="355">
        <f>IF(OR(historico_VU!A102="",historico_VU!G102=""),"",historico_VU!G102)</f>
        <v/>
      </c>
      <c r="O103" s="118">
        <f>IF(posicao_contratual!A102="","",posicao_contratual!W102)</f>
        <v/>
      </c>
      <c r="P103" s="355">
        <f>IF(A103="TOTAL",ROUND(SUM($P$3:P102),2),IF(OR(A103="",N103="",O103=""),"",ROUND(N103*O103,2)))</f>
        <v/>
      </c>
      <c r="Q103" s="195">
        <f>IF($A103="","",IF(ISERROR(INDIRECT("CICLO_EM_EXECUCAO!$D$5")),"",INDIRECT("CICLO_EM_EXECUCAO!$D$5")))</f>
        <v/>
      </c>
      <c r="R103">
        <f>IF($A103="","",IF(MEMORIA_RESULTADOS!$W$46="","","C"&amp;MEMORIA_RESULTADOS!$W$46))</f>
        <v/>
      </c>
      <c r="S103" s="273">
        <f>IF($A103="","",IF(ISERROR(INDIRECT("CICLO_EM_EXECUCAO!B"&amp;(ROW()+10))),"",INDIRECT("CICLO_EM_EXECUCAO!B"&amp;(ROW()+10))))</f>
        <v/>
      </c>
      <c r="T103" s="273">
        <f>IF($A103="","",IF(ISERROR(INDIRECT("CICLO_EM_EXECUCAO!D"&amp;(ROW()+10))),"",INDIRECT("CICLO_EM_EXECUCAO!D"&amp;(ROW()+10))))</f>
        <v/>
      </c>
      <c r="U103" s="273">
        <f>IF($A103="","",IF(ISERROR(INDIRECT("CICLO_EM_EXECUCAO!C"&amp;(ROW()+10))),"",INDIRECT("CICLO_EM_EXECUCAO!C"&amp;(ROW()+10))))</f>
        <v/>
      </c>
      <c r="V103" s="213">
        <f>IF($A103="","",IF(ISERROR(INDIRECT("CICLO_EM_EXECUCAO!E"&amp;(ROW()+10))),"",INDIRECT("CICLO_EM_EXECUCAO!E"&amp;(ROW()+10))))</f>
        <v/>
      </c>
      <c r="W103" s="213">
        <f>IF($A103="","",IF(ISERROR(INDIRECT("CICLO_EM_EXECUCAO!F"&amp;(ROW()+10))),"",INDIRECT("CICLO_EM_EXECUCAO!F"&amp;(ROW()+10))))</f>
        <v/>
      </c>
      <c r="X103" s="213">
        <f>IF($A103="","",IF(ISERROR(INDIRECT("CICLO_EM_EXECUCAO!G"&amp;(ROW()+10))),"",INDIRECT("CICLO_EM_EXECUCAO!G"&amp;(ROW()+10))))</f>
        <v/>
      </c>
      <c r="Y103">
        <f>IF($A103="","",IF(ISERROR(INDIRECT("CICLO_EM_EXECUCAO!K"&amp;(ROW()+10))),"CICLO_EM_EXECUCAO AUSENTE",INDIRECT("CICLO_EM_EXECUCAO!K"&amp;(ROW()+10))))</f>
        <v/>
      </c>
    </row>
    <row r="104">
      <c r="A104" s="116">
        <f>IF(AND(itens_Remanesc!A103="",itens_Remanesc!A102&lt;&gt;"",COUNTIF(itens_Remanesc!A104:$A$200,"&lt;&gt;")=0),"TOTAL",IF(itens_Remanesc!A103="","",itens_Remanesc!A103))</f>
        <v/>
      </c>
      <c r="B104" s="355">
        <f>IF(OR(historico_VU!A103="",historico_VU!C103=""),"",historico_VU!C103)</f>
        <v/>
      </c>
      <c r="C104" s="118">
        <f>IF(posicao_contratual!A103="","",posicao_contratual!G103)</f>
        <v/>
      </c>
      <c r="D104" s="355">
        <f>IF(A104="TOTAL",ROUND(SUM($D$3:D103),2),IF(OR(A104="",B104="",C104=""),"",ROUND(B104*C104,2)))</f>
        <v/>
      </c>
      <c r="E104" s="356">
        <f>IF(OR(historico_VU!A103="",historico_VU!D103=""),"",historico_VU!D103)</f>
        <v/>
      </c>
      <c r="F104" s="120">
        <f>IF(posicao_contratual!A103="","",posicao_contratual!K103)</f>
        <v/>
      </c>
      <c r="G104" s="356">
        <f>IF(A104="TOTAL",ROUND(SUM($G$3:G103),2),IF(OR(A104="",E104="",F104=""),"",ROUND(E104*F104,2)))</f>
        <v/>
      </c>
      <c r="H104" s="355">
        <f>IF(OR(historico_VU!A103="",historico_VU!E103=""),"",historico_VU!E103)</f>
        <v/>
      </c>
      <c r="I104" s="118">
        <f>IF(posicao_contratual!A103="","",posicao_contratual!O103)</f>
        <v/>
      </c>
      <c r="J104" s="355">
        <f>IF(A104="TOTAL",ROUND(SUM($J$3:J103),2),IF(OR(A104="",H104="",I104=""),"",ROUND(H104*I104,2)))</f>
        <v/>
      </c>
      <c r="K104" s="356">
        <f>IF(OR(historico_VU!A103="",historico_VU!F103=""),"",historico_VU!F103)</f>
        <v/>
      </c>
      <c r="L104" s="120">
        <f>IF(posicao_contratual!A103="","",posicao_contratual!S103)</f>
        <v/>
      </c>
      <c r="M104" s="356">
        <f>IF(A104="TOTAL",ROUND(SUM($M$3:M103),2),IF(OR(A104="",K104="",L104=""),"",ROUND(K104*L104,2)))</f>
        <v/>
      </c>
      <c r="N104" s="355">
        <f>IF(OR(historico_VU!A103="",historico_VU!G103=""),"",historico_VU!G103)</f>
        <v/>
      </c>
      <c r="O104" s="118">
        <f>IF(posicao_contratual!A103="","",posicao_contratual!W103)</f>
        <v/>
      </c>
      <c r="P104" s="355">
        <f>IF(A104="TOTAL",ROUND(SUM($P$3:P103),2),IF(OR(A104="",N104="",O104=""),"",ROUND(N104*O104,2)))</f>
        <v/>
      </c>
      <c r="Q104" s="195">
        <f>IF($A104="","",IF(ISERROR(INDIRECT("CICLO_EM_EXECUCAO!$D$5")),"",INDIRECT("CICLO_EM_EXECUCAO!$D$5")))</f>
        <v/>
      </c>
      <c r="R104">
        <f>IF($A104="","",IF(MEMORIA_RESULTADOS!$W$46="","","C"&amp;MEMORIA_RESULTADOS!$W$46))</f>
        <v/>
      </c>
      <c r="S104" s="273">
        <f>IF($A104="","",IF(ISERROR(INDIRECT("CICLO_EM_EXECUCAO!B"&amp;(ROW()+10))),"",INDIRECT("CICLO_EM_EXECUCAO!B"&amp;(ROW()+10))))</f>
        <v/>
      </c>
      <c r="T104" s="273">
        <f>IF($A104="","",IF(ISERROR(INDIRECT("CICLO_EM_EXECUCAO!D"&amp;(ROW()+10))),"",INDIRECT("CICLO_EM_EXECUCAO!D"&amp;(ROW()+10))))</f>
        <v/>
      </c>
      <c r="U104" s="273">
        <f>IF($A104="","",IF(ISERROR(INDIRECT("CICLO_EM_EXECUCAO!C"&amp;(ROW()+10))),"",INDIRECT("CICLO_EM_EXECUCAO!C"&amp;(ROW()+10))))</f>
        <v/>
      </c>
      <c r="V104" s="213">
        <f>IF($A104="","",IF(ISERROR(INDIRECT("CICLO_EM_EXECUCAO!E"&amp;(ROW()+10))),"",INDIRECT("CICLO_EM_EXECUCAO!E"&amp;(ROW()+10))))</f>
        <v/>
      </c>
      <c r="W104" s="213">
        <f>IF($A104="","",IF(ISERROR(INDIRECT("CICLO_EM_EXECUCAO!F"&amp;(ROW()+10))),"",INDIRECT("CICLO_EM_EXECUCAO!F"&amp;(ROW()+10))))</f>
        <v/>
      </c>
      <c r="X104" s="213">
        <f>IF($A104="","",IF(ISERROR(INDIRECT("CICLO_EM_EXECUCAO!G"&amp;(ROW()+10))),"",INDIRECT("CICLO_EM_EXECUCAO!G"&amp;(ROW()+10))))</f>
        <v/>
      </c>
      <c r="Y104">
        <f>IF($A104="","",IF(ISERROR(INDIRECT("CICLO_EM_EXECUCAO!K"&amp;(ROW()+10))),"CICLO_EM_EXECUCAO AUSENTE",INDIRECT("CICLO_EM_EXECUCAO!K"&amp;(ROW()+10))))</f>
        <v/>
      </c>
    </row>
    <row r="105">
      <c r="A105" s="116">
        <f>IF(AND(itens_Remanesc!A104="",itens_Remanesc!A103&lt;&gt;"",COUNTIF(itens_Remanesc!A105:$A$200,"&lt;&gt;")=0),"TOTAL",IF(itens_Remanesc!A104="","",itens_Remanesc!A104))</f>
        <v/>
      </c>
      <c r="B105" s="355">
        <f>IF(OR(historico_VU!A104="",historico_VU!C104=""),"",historico_VU!C104)</f>
        <v/>
      </c>
      <c r="C105" s="118">
        <f>IF(posicao_contratual!A104="","",posicao_contratual!G104)</f>
        <v/>
      </c>
      <c r="D105" s="355">
        <f>IF(A105="TOTAL",ROUND(SUM($D$3:D104),2),IF(OR(A105="",B105="",C105=""),"",ROUND(B105*C105,2)))</f>
        <v/>
      </c>
      <c r="E105" s="356">
        <f>IF(OR(historico_VU!A104="",historico_VU!D104=""),"",historico_VU!D104)</f>
        <v/>
      </c>
      <c r="F105" s="120">
        <f>IF(posicao_contratual!A104="","",posicao_contratual!K104)</f>
        <v/>
      </c>
      <c r="G105" s="356">
        <f>IF(A105="TOTAL",ROUND(SUM($G$3:G104),2),IF(OR(A105="",E105="",F105=""),"",ROUND(E105*F105,2)))</f>
        <v/>
      </c>
      <c r="H105" s="355">
        <f>IF(OR(historico_VU!A104="",historico_VU!E104=""),"",historico_VU!E104)</f>
        <v/>
      </c>
      <c r="I105" s="118">
        <f>IF(posicao_contratual!A104="","",posicao_contratual!O104)</f>
        <v/>
      </c>
      <c r="J105" s="355">
        <f>IF(A105="TOTAL",ROUND(SUM($J$3:J104),2),IF(OR(A105="",H105="",I105=""),"",ROUND(H105*I105,2)))</f>
        <v/>
      </c>
      <c r="K105" s="356">
        <f>IF(OR(historico_VU!A104="",historico_VU!F104=""),"",historico_VU!F104)</f>
        <v/>
      </c>
      <c r="L105" s="120">
        <f>IF(posicao_contratual!A104="","",posicao_contratual!S104)</f>
        <v/>
      </c>
      <c r="M105" s="356">
        <f>IF(A105="TOTAL",ROUND(SUM($M$3:M104),2),IF(OR(A105="",K105="",L105=""),"",ROUND(K105*L105,2)))</f>
        <v/>
      </c>
      <c r="N105" s="355">
        <f>IF(OR(historico_VU!A104="",historico_VU!G104=""),"",historico_VU!G104)</f>
        <v/>
      </c>
      <c r="O105" s="118">
        <f>IF(posicao_contratual!A104="","",posicao_contratual!W104)</f>
        <v/>
      </c>
      <c r="P105" s="355">
        <f>IF(A105="TOTAL",ROUND(SUM($P$3:P104),2),IF(OR(A105="",N105="",O105=""),"",ROUND(N105*O105,2)))</f>
        <v/>
      </c>
      <c r="Q105" s="195">
        <f>IF($A105="","",IF(ISERROR(INDIRECT("CICLO_EM_EXECUCAO!$D$5")),"",INDIRECT("CICLO_EM_EXECUCAO!$D$5")))</f>
        <v/>
      </c>
      <c r="R105">
        <f>IF($A105="","",IF(MEMORIA_RESULTADOS!$W$46="","","C"&amp;MEMORIA_RESULTADOS!$W$46))</f>
        <v/>
      </c>
      <c r="S105" s="273">
        <f>IF($A105="","",IF(ISERROR(INDIRECT("CICLO_EM_EXECUCAO!B"&amp;(ROW()+10))),"",INDIRECT("CICLO_EM_EXECUCAO!B"&amp;(ROW()+10))))</f>
        <v/>
      </c>
      <c r="T105" s="273">
        <f>IF($A105="","",IF(ISERROR(INDIRECT("CICLO_EM_EXECUCAO!D"&amp;(ROW()+10))),"",INDIRECT("CICLO_EM_EXECUCAO!D"&amp;(ROW()+10))))</f>
        <v/>
      </c>
      <c r="U105" s="273">
        <f>IF($A105="","",IF(ISERROR(INDIRECT("CICLO_EM_EXECUCAO!C"&amp;(ROW()+10))),"",INDIRECT("CICLO_EM_EXECUCAO!C"&amp;(ROW()+10))))</f>
        <v/>
      </c>
      <c r="V105" s="213">
        <f>IF($A105="","",IF(ISERROR(INDIRECT("CICLO_EM_EXECUCAO!E"&amp;(ROW()+10))),"",INDIRECT("CICLO_EM_EXECUCAO!E"&amp;(ROW()+10))))</f>
        <v/>
      </c>
      <c r="W105" s="213">
        <f>IF($A105="","",IF(ISERROR(INDIRECT("CICLO_EM_EXECUCAO!F"&amp;(ROW()+10))),"",INDIRECT("CICLO_EM_EXECUCAO!F"&amp;(ROW()+10))))</f>
        <v/>
      </c>
      <c r="X105" s="213">
        <f>IF($A105="","",IF(ISERROR(INDIRECT("CICLO_EM_EXECUCAO!G"&amp;(ROW()+10))),"",INDIRECT("CICLO_EM_EXECUCAO!G"&amp;(ROW()+10))))</f>
        <v/>
      </c>
      <c r="Y105">
        <f>IF($A105="","",IF(ISERROR(INDIRECT("CICLO_EM_EXECUCAO!K"&amp;(ROW()+10))),"CICLO_EM_EXECUCAO AUSENTE",INDIRECT("CICLO_EM_EXECUCAO!K"&amp;(ROW()+10))))</f>
        <v/>
      </c>
    </row>
    <row r="106">
      <c r="A106" s="116">
        <f>IF(AND(itens_Remanesc!A105="",itens_Remanesc!A104&lt;&gt;"",COUNTIF(itens_Remanesc!A106:$A$200,"&lt;&gt;")=0),"TOTAL",IF(itens_Remanesc!A105="","",itens_Remanesc!A105))</f>
        <v/>
      </c>
      <c r="B106" s="355">
        <f>IF(OR(historico_VU!A105="",historico_VU!C105=""),"",historico_VU!C105)</f>
        <v/>
      </c>
      <c r="C106" s="118">
        <f>IF(posicao_contratual!A105="","",posicao_contratual!G105)</f>
        <v/>
      </c>
      <c r="D106" s="355">
        <f>IF(A106="TOTAL",ROUND(SUM($D$3:D105),2),IF(OR(A106="",B106="",C106=""),"",ROUND(B106*C106,2)))</f>
        <v/>
      </c>
      <c r="E106" s="356">
        <f>IF(OR(historico_VU!A105="",historico_VU!D105=""),"",historico_VU!D105)</f>
        <v/>
      </c>
      <c r="F106" s="120">
        <f>IF(posicao_contratual!A105="","",posicao_contratual!K105)</f>
        <v/>
      </c>
      <c r="G106" s="356">
        <f>IF(A106="TOTAL",ROUND(SUM($G$3:G105),2),IF(OR(A106="",E106="",F106=""),"",ROUND(E106*F106,2)))</f>
        <v/>
      </c>
      <c r="H106" s="355">
        <f>IF(OR(historico_VU!A105="",historico_VU!E105=""),"",historico_VU!E105)</f>
        <v/>
      </c>
      <c r="I106" s="118">
        <f>IF(posicao_contratual!A105="","",posicao_contratual!O105)</f>
        <v/>
      </c>
      <c r="J106" s="355">
        <f>IF(A106="TOTAL",ROUND(SUM($J$3:J105),2),IF(OR(A106="",H106="",I106=""),"",ROUND(H106*I106,2)))</f>
        <v/>
      </c>
      <c r="K106" s="356">
        <f>IF(OR(historico_VU!A105="",historico_VU!F105=""),"",historico_VU!F105)</f>
        <v/>
      </c>
      <c r="L106" s="120">
        <f>IF(posicao_contratual!A105="","",posicao_contratual!S105)</f>
        <v/>
      </c>
      <c r="M106" s="356">
        <f>IF(A106="TOTAL",ROUND(SUM($M$3:M105),2),IF(OR(A106="",K106="",L106=""),"",ROUND(K106*L106,2)))</f>
        <v/>
      </c>
      <c r="N106" s="355">
        <f>IF(OR(historico_VU!A105="",historico_VU!G105=""),"",historico_VU!G105)</f>
        <v/>
      </c>
      <c r="O106" s="118">
        <f>IF(posicao_contratual!A105="","",posicao_contratual!W105)</f>
        <v/>
      </c>
      <c r="P106" s="355">
        <f>IF(A106="TOTAL",ROUND(SUM($P$3:P105),2),IF(OR(A106="",N106="",O106=""),"",ROUND(N106*O106,2)))</f>
        <v/>
      </c>
      <c r="Q106" s="195">
        <f>IF($A106="","",IF(ISERROR(INDIRECT("CICLO_EM_EXECUCAO!$D$5")),"",INDIRECT("CICLO_EM_EXECUCAO!$D$5")))</f>
        <v/>
      </c>
      <c r="R106">
        <f>IF($A106="","",IF(MEMORIA_RESULTADOS!$W$46="","","C"&amp;MEMORIA_RESULTADOS!$W$46))</f>
        <v/>
      </c>
      <c r="S106" s="273">
        <f>IF($A106="","",IF(ISERROR(INDIRECT("CICLO_EM_EXECUCAO!B"&amp;(ROW()+10))),"",INDIRECT("CICLO_EM_EXECUCAO!B"&amp;(ROW()+10))))</f>
        <v/>
      </c>
      <c r="T106" s="273">
        <f>IF($A106="","",IF(ISERROR(INDIRECT("CICLO_EM_EXECUCAO!D"&amp;(ROW()+10))),"",INDIRECT("CICLO_EM_EXECUCAO!D"&amp;(ROW()+10))))</f>
        <v/>
      </c>
      <c r="U106" s="273">
        <f>IF($A106="","",IF(ISERROR(INDIRECT("CICLO_EM_EXECUCAO!C"&amp;(ROW()+10))),"",INDIRECT("CICLO_EM_EXECUCAO!C"&amp;(ROW()+10))))</f>
        <v/>
      </c>
      <c r="V106" s="213">
        <f>IF($A106="","",IF(ISERROR(INDIRECT("CICLO_EM_EXECUCAO!E"&amp;(ROW()+10))),"",INDIRECT("CICLO_EM_EXECUCAO!E"&amp;(ROW()+10))))</f>
        <v/>
      </c>
      <c r="W106" s="213">
        <f>IF($A106="","",IF(ISERROR(INDIRECT("CICLO_EM_EXECUCAO!F"&amp;(ROW()+10))),"",INDIRECT("CICLO_EM_EXECUCAO!F"&amp;(ROW()+10))))</f>
        <v/>
      </c>
      <c r="X106" s="213">
        <f>IF($A106="","",IF(ISERROR(INDIRECT("CICLO_EM_EXECUCAO!G"&amp;(ROW()+10))),"",INDIRECT("CICLO_EM_EXECUCAO!G"&amp;(ROW()+10))))</f>
        <v/>
      </c>
      <c r="Y106">
        <f>IF($A106="","",IF(ISERROR(INDIRECT("CICLO_EM_EXECUCAO!K"&amp;(ROW()+10))),"CICLO_EM_EXECUCAO AUSENTE",INDIRECT("CICLO_EM_EXECUCAO!K"&amp;(ROW()+10))))</f>
        <v/>
      </c>
    </row>
    <row r="107">
      <c r="A107" s="116">
        <f>IF(AND(itens_Remanesc!A106="",itens_Remanesc!A105&lt;&gt;"",COUNTIF(itens_Remanesc!A107:$A$200,"&lt;&gt;")=0),"TOTAL",IF(itens_Remanesc!A106="","",itens_Remanesc!A106))</f>
        <v/>
      </c>
      <c r="B107" s="355">
        <f>IF(OR(historico_VU!A106="",historico_VU!C106=""),"",historico_VU!C106)</f>
        <v/>
      </c>
      <c r="C107" s="118">
        <f>IF(posicao_contratual!A106="","",posicao_contratual!G106)</f>
        <v/>
      </c>
      <c r="D107" s="355">
        <f>IF(A107="TOTAL",ROUND(SUM($D$3:D106),2),IF(OR(A107="",B107="",C107=""),"",ROUND(B107*C107,2)))</f>
        <v/>
      </c>
      <c r="E107" s="356">
        <f>IF(OR(historico_VU!A106="",historico_VU!D106=""),"",historico_VU!D106)</f>
        <v/>
      </c>
      <c r="F107" s="120">
        <f>IF(posicao_contratual!A106="","",posicao_contratual!K106)</f>
        <v/>
      </c>
      <c r="G107" s="356">
        <f>IF(A107="TOTAL",ROUND(SUM($G$3:G106),2),IF(OR(A107="",E107="",F107=""),"",ROUND(E107*F107,2)))</f>
        <v/>
      </c>
      <c r="H107" s="355">
        <f>IF(OR(historico_VU!A106="",historico_VU!E106=""),"",historico_VU!E106)</f>
        <v/>
      </c>
      <c r="I107" s="118">
        <f>IF(posicao_contratual!A106="","",posicao_contratual!O106)</f>
        <v/>
      </c>
      <c r="J107" s="355">
        <f>IF(A107="TOTAL",ROUND(SUM($J$3:J106),2),IF(OR(A107="",H107="",I107=""),"",ROUND(H107*I107,2)))</f>
        <v/>
      </c>
      <c r="K107" s="356">
        <f>IF(OR(historico_VU!A106="",historico_VU!F106=""),"",historico_VU!F106)</f>
        <v/>
      </c>
      <c r="L107" s="120">
        <f>IF(posicao_contratual!A106="","",posicao_contratual!S106)</f>
        <v/>
      </c>
      <c r="M107" s="356">
        <f>IF(A107="TOTAL",ROUND(SUM($M$3:M106),2),IF(OR(A107="",K107="",L107=""),"",ROUND(K107*L107,2)))</f>
        <v/>
      </c>
      <c r="N107" s="355">
        <f>IF(OR(historico_VU!A106="",historico_VU!G106=""),"",historico_VU!G106)</f>
        <v/>
      </c>
      <c r="O107" s="118">
        <f>IF(posicao_contratual!A106="","",posicao_contratual!W106)</f>
        <v/>
      </c>
      <c r="P107" s="355">
        <f>IF(A107="TOTAL",ROUND(SUM($P$3:P106),2),IF(OR(A107="",N107="",O107=""),"",ROUND(N107*O107,2)))</f>
        <v/>
      </c>
      <c r="Q107" s="195">
        <f>IF($A107="","",IF(ISERROR(INDIRECT("CICLO_EM_EXECUCAO!$D$5")),"",INDIRECT("CICLO_EM_EXECUCAO!$D$5")))</f>
        <v/>
      </c>
      <c r="R107">
        <f>IF($A107="","",IF(MEMORIA_RESULTADOS!$W$46="","","C"&amp;MEMORIA_RESULTADOS!$W$46))</f>
        <v/>
      </c>
      <c r="S107" s="273">
        <f>IF($A107="","",IF(ISERROR(INDIRECT("CICLO_EM_EXECUCAO!B"&amp;(ROW()+10))),"",INDIRECT("CICLO_EM_EXECUCAO!B"&amp;(ROW()+10))))</f>
        <v/>
      </c>
      <c r="T107" s="273">
        <f>IF($A107="","",IF(ISERROR(INDIRECT("CICLO_EM_EXECUCAO!D"&amp;(ROW()+10))),"",INDIRECT("CICLO_EM_EXECUCAO!D"&amp;(ROW()+10))))</f>
        <v/>
      </c>
      <c r="U107" s="273">
        <f>IF($A107="","",IF(ISERROR(INDIRECT("CICLO_EM_EXECUCAO!C"&amp;(ROW()+10))),"",INDIRECT("CICLO_EM_EXECUCAO!C"&amp;(ROW()+10))))</f>
        <v/>
      </c>
      <c r="V107" s="213">
        <f>IF($A107="","",IF(ISERROR(INDIRECT("CICLO_EM_EXECUCAO!E"&amp;(ROW()+10))),"",INDIRECT("CICLO_EM_EXECUCAO!E"&amp;(ROW()+10))))</f>
        <v/>
      </c>
      <c r="W107" s="213">
        <f>IF($A107="","",IF(ISERROR(INDIRECT("CICLO_EM_EXECUCAO!F"&amp;(ROW()+10))),"",INDIRECT("CICLO_EM_EXECUCAO!F"&amp;(ROW()+10))))</f>
        <v/>
      </c>
      <c r="X107" s="213">
        <f>IF($A107="","",IF(ISERROR(INDIRECT("CICLO_EM_EXECUCAO!G"&amp;(ROW()+10))),"",INDIRECT("CICLO_EM_EXECUCAO!G"&amp;(ROW()+10))))</f>
        <v/>
      </c>
      <c r="Y107">
        <f>IF($A107="","",IF(ISERROR(INDIRECT("CICLO_EM_EXECUCAO!K"&amp;(ROW()+10))),"CICLO_EM_EXECUCAO AUSENTE",INDIRECT("CICLO_EM_EXECUCAO!K"&amp;(ROW()+10))))</f>
        <v/>
      </c>
    </row>
    <row r="108">
      <c r="A108" s="116">
        <f>IF(AND(itens_Remanesc!A107="",itens_Remanesc!A106&lt;&gt;"",COUNTIF(itens_Remanesc!A108:$A$200,"&lt;&gt;")=0),"TOTAL",IF(itens_Remanesc!A107="","",itens_Remanesc!A107))</f>
        <v/>
      </c>
      <c r="B108" s="355">
        <f>IF(OR(historico_VU!A107="",historico_VU!C107=""),"",historico_VU!C107)</f>
        <v/>
      </c>
      <c r="C108" s="118">
        <f>IF(posicao_contratual!A107="","",posicao_contratual!G107)</f>
        <v/>
      </c>
      <c r="D108" s="355">
        <f>IF(A108="TOTAL",ROUND(SUM($D$3:D107),2),IF(OR(A108="",B108="",C108=""),"",ROUND(B108*C108,2)))</f>
        <v/>
      </c>
      <c r="E108" s="356">
        <f>IF(OR(historico_VU!A107="",historico_VU!D107=""),"",historico_VU!D107)</f>
        <v/>
      </c>
      <c r="F108" s="120">
        <f>IF(posicao_contratual!A107="","",posicao_contratual!K107)</f>
        <v/>
      </c>
      <c r="G108" s="356">
        <f>IF(A108="TOTAL",ROUND(SUM($G$3:G107),2),IF(OR(A108="",E108="",F108=""),"",ROUND(E108*F108,2)))</f>
        <v/>
      </c>
      <c r="H108" s="355">
        <f>IF(OR(historico_VU!A107="",historico_VU!E107=""),"",historico_VU!E107)</f>
        <v/>
      </c>
      <c r="I108" s="118">
        <f>IF(posicao_contratual!A107="","",posicao_contratual!O107)</f>
        <v/>
      </c>
      <c r="J108" s="355">
        <f>IF(A108="TOTAL",ROUND(SUM($J$3:J107),2),IF(OR(A108="",H108="",I108=""),"",ROUND(H108*I108,2)))</f>
        <v/>
      </c>
      <c r="K108" s="356">
        <f>IF(OR(historico_VU!A107="",historico_VU!F107=""),"",historico_VU!F107)</f>
        <v/>
      </c>
      <c r="L108" s="120">
        <f>IF(posicao_contratual!A107="","",posicao_contratual!S107)</f>
        <v/>
      </c>
      <c r="M108" s="356">
        <f>IF(A108="TOTAL",ROUND(SUM($M$3:M107),2),IF(OR(A108="",K108="",L108=""),"",ROUND(K108*L108,2)))</f>
        <v/>
      </c>
      <c r="N108" s="355">
        <f>IF(OR(historico_VU!A107="",historico_VU!G107=""),"",historico_VU!G107)</f>
        <v/>
      </c>
      <c r="O108" s="118">
        <f>IF(posicao_contratual!A107="","",posicao_contratual!W107)</f>
        <v/>
      </c>
      <c r="P108" s="355">
        <f>IF(A108="TOTAL",ROUND(SUM($P$3:P107),2),IF(OR(A108="",N108="",O108=""),"",ROUND(N108*O108,2)))</f>
        <v/>
      </c>
      <c r="Q108" s="195">
        <f>IF($A108="","",IF(ISERROR(INDIRECT("CICLO_EM_EXECUCAO!$D$5")),"",INDIRECT("CICLO_EM_EXECUCAO!$D$5")))</f>
        <v/>
      </c>
      <c r="R108">
        <f>IF($A108="","",IF(MEMORIA_RESULTADOS!$W$46="","","C"&amp;MEMORIA_RESULTADOS!$W$46))</f>
        <v/>
      </c>
      <c r="S108" s="273">
        <f>IF($A108="","",IF(ISERROR(INDIRECT("CICLO_EM_EXECUCAO!B"&amp;(ROW()+10))),"",INDIRECT("CICLO_EM_EXECUCAO!B"&amp;(ROW()+10))))</f>
        <v/>
      </c>
      <c r="T108" s="273">
        <f>IF($A108="","",IF(ISERROR(INDIRECT("CICLO_EM_EXECUCAO!D"&amp;(ROW()+10))),"",INDIRECT("CICLO_EM_EXECUCAO!D"&amp;(ROW()+10))))</f>
        <v/>
      </c>
      <c r="U108" s="273">
        <f>IF($A108="","",IF(ISERROR(INDIRECT("CICLO_EM_EXECUCAO!C"&amp;(ROW()+10))),"",INDIRECT("CICLO_EM_EXECUCAO!C"&amp;(ROW()+10))))</f>
        <v/>
      </c>
      <c r="V108" s="213">
        <f>IF($A108="","",IF(ISERROR(INDIRECT("CICLO_EM_EXECUCAO!E"&amp;(ROW()+10))),"",INDIRECT("CICLO_EM_EXECUCAO!E"&amp;(ROW()+10))))</f>
        <v/>
      </c>
      <c r="W108" s="213">
        <f>IF($A108="","",IF(ISERROR(INDIRECT("CICLO_EM_EXECUCAO!F"&amp;(ROW()+10))),"",INDIRECT("CICLO_EM_EXECUCAO!F"&amp;(ROW()+10))))</f>
        <v/>
      </c>
      <c r="X108" s="213">
        <f>IF($A108="","",IF(ISERROR(INDIRECT("CICLO_EM_EXECUCAO!G"&amp;(ROW()+10))),"",INDIRECT("CICLO_EM_EXECUCAO!G"&amp;(ROW()+10))))</f>
        <v/>
      </c>
      <c r="Y108">
        <f>IF($A108="","",IF(ISERROR(INDIRECT("CICLO_EM_EXECUCAO!K"&amp;(ROW()+10))),"CICLO_EM_EXECUCAO AUSENTE",INDIRECT("CICLO_EM_EXECUCAO!K"&amp;(ROW()+10))))</f>
        <v/>
      </c>
    </row>
    <row r="109">
      <c r="A109" s="116">
        <f>IF(AND(itens_Remanesc!A108="",itens_Remanesc!A107&lt;&gt;"",COUNTIF(itens_Remanesc!A109:$A$200,"&lt;&gt;")=0),"TOTAL",IF(itens_Remanesc!A108="","",itens_Remanesc!A108))</f>
        <v/>
      </c>
      <c r="B109" s="355">
        <f>IF(OR(historico_VU!A108="",historico_VU!C108=""),"",historico_VU!C108)</f>
        <v/>
      </c>
      <c r="C109" s="118">
        <f>IF(posicao_contratual!A108="","",posicao_contratual!G108)</f>
        <v/>
      </c>
      <c r="D109" s="355">
        <f>IF(A109="TOTAL",ROUND(SUM($D$3:D108),2),IF(OR(A109="",B109="",C109=""),"",ROUND(B109*C109,2)))</f>
        <v/>
      </c>
      <c r="E109" s="356">
        <f>IF(OR(historico_VU!A108="",historico_VU!D108=""),"",historico_VU!D108)</f>
        <v/>
      </c>
      <c r="F109" s="120">
        <f>IF(posicao_contratual!A108="","",posicao_contratual!K108)</f>
        <v/>
      </c>
      <c r="G109" s="356">
        <f>IF(A109="TOTAL",ROUND(SUM($G$3:G108),2),IF(OR(A109="",E109="",F109=""),"",ROUND(E109*F109,2)))</f>
        <v/>
      </c>
      <c r="H109" s="355">
        <f>IF(OR(historico_VU!A108="",historico_VU!E108=""),"",historico_VU!E108)</f>
        <v/>
      </c>
      <c r="I109" s="118">
        <f>IF(posicao_contratual!A108="","",posicao_contratual!O108)</f>
        <v/>
      </c>
      <c r="J109" s="355">
        <f>IF(A109="TOTAL",ROUND(SUM($J$3:J108),2),IF(OR(A109="",H109="",I109=""),"",ROUND(H109*I109,2)))</f>
        <v/>
      </c>
      <c r="K109" s="356">
        <f>IF(OR(historico_VU!A108="",historico_VU!F108=""),"",historico_VU!F108)</f>
        <v/>
      </c>
      <c r="L109" s="120">
        <f>IF(posicao_contratual!A108="","",posicao_contratual!S108)</f>
        <v/>
      </c>
      <c r="M109" s="356">
        <f>IF(A109="TOTAL",ROUND(SUM($M$3:M108),2),IF(OR(A109="",K109="",L109=""),"",ROUND(K109*L109,2)))</f>
        <v/>
      </c>
      <c r="N109" s="355">
        <f>IF(OR(historico_VU!A108="",historico_VU!G108=""),"",historico_VU!G108)</f>
        <v/>
      </c>
      <c r="O109" s="118">
        <f>IF(posicao_contratual!A108="","",posicao_contratual!W108)</f>
        <v/>
      </c>
      <c r="P109" s="355">
        <f>IF(A109="TOTAL",ROUND(SUM($P$3:P108),2),IF(OR(A109="",N109="",O109=""),"",ROUND(N109*O109,2)))</f>
        <v/>
      </c>
      <c r="Q109" s="195">
        <f>IF($A109="","",IF(ISERROR(INDIRECT("CICLO_EM_EXECUCAO!$D$5")),"",INDIRECT("CICLO_EM_EXECUCAO!$D$5")))</f>
        <v/>
      </c>
      <c r="R109">
        <f>IF($A109="","",IF(MEMORIA_RESULTADOS!$W$46="","","C"&amp;MEMORIA_RESULTADOS!$W$46))</f>
        <v/>
      </c>
      <c r="S109" s="273">
        <f>IF($A109="","",IF(ISERROR(INDIRECT("CICLO_EM_EXECUCAO!B"&amp;(ROW()+10))),"",INDIRECT("CICLO_EM_EXECUCAO!B"&amp;(ROW()+10))))</f>
        <v/>
      </c>
      <c r="T109" s="273">
        <f>IF($A109="","",IF(ISERROR(INDIRECT("CICLO_EM_EXECUCAO!D"&amp;(ROW()+10))),"",INDIRECT("CICLO_EM_EXECUCAO!D"&amp;(ROW()+10))))</f>
        <v/>
      </c>
      <c r="U109" s="273">
        <f>IF($A109="","",IF(ISERROR(INDIRECT("CICLO_EM_EXECUCAO!C"&amp;(ROW()+10))),"",INDIRECT("CICLO_EM_EXECUCAO!C"&amp;(ROW()+10))))</f>
        <v/>
      </c>
      <c r="V109" s="213">
        <f>IF($A109="","",IF(ISERROR(INDIRECT("CICLO_EM_EXECUCAO!E"&amp;(ROW()+10))),"",INDIRECT("CICLO_EM_EXECUCAO!E"&amp;(ROW()+10))))</f>
        <v/>
      </c>
      <c r="W109" s="213">
        <f>IF($A109="","",IF(ISERROR(INDIRECT("CICLO_EM_EXECUCAO!F"&amp;(ROW()+10))),"",INDIRECT("CICLO_EM_EXECUCAO!F"&amp;(ROW()+10))))</f>
        <v/>
      </c>
      <c r="X109" s="213">
        <f>IF($A109="","",IF(ISERROR(INDIRECT("CICLO_EM_EXECUCAO!G"&amp;(ROW()+10))),"",INDIRECT("CICLO_EM_EXECUCAO!G"&amp;(ROW()+10))))</f>
        <v/>
      </c>
      <c r="Y109">
        <f>IF($A109="","",IF(ISERROR(INDIRECT("CICLO_EM_EXECUCAO!K"&amp;(ROW()+10))),"CICLO_EM_EXECUCAO AUSENTE",INDIRECT("CICLO_EM_EXECUCAO!K"&amp;(ROW()+10))))</f>
        <v/>
      </c>
    </row>
    <row r="110">
      <c r="A110" s="116">
        <f>IF(AND(itens_Remanesc!A109="",itens_Remanesc!A108&lt;&gt;"",COUNTIF(itens_Remanesc!A110:$A$200,"&lt;&gt;")=0),"TOTAL",IF(itens_Remanesc!A109="","",itens_Remanesc!A109))</f>
        <v/>
      </c>
      <c r="B110" s="355">
        <f>IF(OR(historico_VU!A109="",historico_VU!C109=""),"",historico_VU!C109)</f>
        <v/>
      </c>
      <c r="C110" s="118">
        <f>IF(posicao_contratual!A109="","",posicao_contratual!G109)</f>
        <v/>
      </c>
      <c r="D110" s="355">
        <f>IF(A110="TOTAL",ROUND(SUM($D$3:D109),2),IF(OR(A110="",B110="",C110=""),"",ROUND(B110*C110,2)))</f>
        <v/>
      </c>
      <c r="E110" s="356">
        <f>IF(OR(historico_VU!A109="",historico_VU!D109=""),"",historico_VU!D109)</f>
        <v/>
      </c>
      <c r="F110" s="120">
        <f>IF(posicao_contratual!A109="","",posicao_contratual!K109)</f>
        <v/>
      </c>
      <c r="G110" s="356">
        <f>IF(A110="TOTAL",ROUND(SUM($G$3:G109),2),IF(OR(A110="",E110="",F110=""),"",ROUND(E110*F110,2)))</f>
        <v/>
      </c>
      <c r="H110" s="355">
        <f>IF(OR(historico_VU!A109="",historico_VU!E109=""),"",historico_VU!E109)</f>
        <v/>
      </c>
      <c r="I110" s="118">
        <f>IF(posicao_contratual!A109="","",posicao_contratual!O109)</f>
        <v/>
      </c>
      <c r="J110" s="355">
        <f>IF(A110="TOTAL",ROUND(SUM($J$3:J109),2),IF(OR(A110="",H110="",I110=""),"",ROUND(H110*I110,2)))</f>
        <v/>
      </c>
      <c r="K110" s="356">
        <f>IF(OR(historico_VU!A109="",historico_VU!F109=""),"",historico_VU!F109)</f>
        <v/>
      </c>
      <c r="L110" s="120">
        <f>IF(posicao_contratual!A109="","",posicao_contratual!S109)</f>
        <v/>
      </c>
      <c r="M110" s="356">
        <f>IF(A110="TOTAL",ROUND(SUM($M$3:M109),2),IF(OR(A110="",K110="",L110=""),"",ROUND(K110*L110,2)))</f>
        <v/>
      </c>
      <c r="N110" s="355">
        <f>IF(OR(historico_VU!A109="",historico_VU!G109=""),"",historico_VU!G109)</f>
        <v/>
      </c>
      <c r="O110" s="118">
        <f>IF(posicao_contratual!A109="","",posicao_contratual!W109)</f>
        <v/>
      </c>
      <c r="P110" s="355">
        <f>IF(A110="TOTAL",ROUND(SUM($P$3:P109),2),IF(OR(A110="",N110="",O110=""),"",ROUND(N110*O110,2)))</f>
        <v/>
      </c>
      <c r="Q110" s="195">
        <f>IF($A110="","",IF(ISERROR(INDIRECT("CICLO_EM_EXECUCAO!$D$5")),"",INDIRECT("CICLO_EM_EXECUCAO!$D$5")))</f>
        <v/>
      </c>
      <c r="R110">
        <f>IF($A110="","",IF(MEMORIA_RESULTADOS!$W$46="","","C"&amp;MEMORIA_RESULTADOS!$W$46))</f>
        <v/>
      </c>
      <c r="S110" s="273">
        <f>IF($A110="","",IF(ISERROR(INDIRECT("CICLO_EM_EXECUCAO!B"&amp;(ROW()+10))),"",INDIRECT("CICLO_EM_EXECUCAO!B"&amp;(ROW()+10))))</f>
        <v/>
      </c>
      <c r="T110" s="273">
        <f>IF($A110="","",IF(ISERROR(INDIRECT("CICLO_EM_EXECUCAO!D"&amp;(ROW()+10))),"",INDIRECT("CICLO_EM_EXECUCAO!D"&amp;(ROW()+10))))</f>
        <v/>
      </c>
      <c r="U110" s="273">
        <f>IF($A110="","",IF(ISERROR(INDIRECT("CICLO_EM_EXECUCAO!C"&amp;(ROW()+10))),"",INDIRECT("CICLO_EM_EXECUCAO!C"&amp;(ROW()+10))))</f>
        <v/>
      </c>
      <c r="V110" s="213">
        <f>IF($A110="","",IF(ISERROR(INDIRECT("CICLO_EM_EXECUCAO!E"&amp;(ROW()+10))),"",INDIRECT("CICLO_EM_EXECUCAO!E"&amp;(ROW()+10))))</f>
        <v/>
      </c>
      <c r="W110" s="213">
        <f>IF($A110="","",IF(ISERROR(INDIRECT("CICLO_EM_EXECUCAO!F"&amp;(ROW()+10))),"",INDIRECT("CICLO_EM_EXECUCAO!F"&amp;(ROW()+10))))</f>
        <v/>
      </c>
      <c r="X110" s="213">
        <f>IF($A110="","",IF(ISERROR(INDIRECT("CICLO_EM_EXECUCAO!G"&amp;(ROW()+10))),"",INDIRECT("CICLO_EM_EXECUCAO!G"&amp;(ROW()+10))))</f>
        <v/>
      </c>
      <c r="Y110">
        <f>IF($A110="","",IF(ISERROR(INDIRECT("CICLO_EM_EXECUCAO!K"&amp;(ROW()+10))),"CICLO_EM_EXECUCAO AUSENTE",INDIRECT("CICLO_EM_EXECUCAO!K"&amp;(ROW()+10))))</f>
        <v/>
      </c>
    </row>
    <row r="111">
      <c r="A111" s="116">
        <f>IF(AND(itens_Remanesc!A110="",itens_Remanesc!A109&lt;&gt;"",COUNTIF(itens_Remanesc!A111:$A$200,"&lt;&gt;")=0),"TOTAL",IF(itens_Remanesc!A110="","",itens_Remanesc!A110))</f>
        <v/>
      </c>
      <c r="B111" s="355">
        <f>IF(OR(historico_VU!A110="",historico_VU!C110=""),"",historico_VU!C110)</f>
        <v/>
      </c>
      <c r="C111" s="118">
        <f>IF(posicao_contratual!A110="","",posicao_contratual!G110)</f>
        <v/>
      </c>
      <c r="D111" s="355">
        <f>IF(A111="TOTAL",ROUND(SUM($D$3:D110),2),IF(OR(A111="",B111="",C111=""),"",ROUND(B111*C111,2)))</f>
        <v/>
      </c>
      <c r="E111" s="356">
        <f>IF(OR(historico_VU!A110="",historico_VU!D110=""),"",historico_VU!D110)</f>
        <v/>
      </c>
      <c r="F111" s="120">
        <f>IF(posicao_contratual!A110="","",posicao_contratual!K110)</f>
        <v/>
      </c>
      <c r="G111" s="356">
        <f>IF(A111="TOTAL",ROUND(SUM($G$3:G110),2),IF(OR(A111="",E111="",F111=""),"",ROUND(E111*F111,2)))</f>
        <v/>
      </c>
      <c r="H111" s="355">
        <f>IF(OR(historico_VU!A110="",historico_VU!E110=""),"",historico_VU!E110)</f>
        <v/>
      </c>
      <c r="I111" s="118">
        <f>IF(posicao_contratual!A110="","",posicao_contratual!O110)</f>
        <v/>
      </c>
      <c r="J111" s="355">
        <f>IF(A111="TOTAL",ROUND(SUM($J$3:J110),2),IF(OR(A111="",H111="",I111=""),"",ROUND(H111*I111,2)))</f>
        <v/>
      </c>
      <c r="K111" s="356">
        <f>IF(OR(historico_VU!A110="",historico_VU!F110=""),"",historico_VU!F110)</f>
        <v/>
      </c>
      <c r="L111" s="120">
        <f>IF(posicao_contratual!A110="","",posicao_contratual!S110)</f>
        <v/>
      </c>
      <c r="M111" s="356">
        <f>IF(A111="TOTAL",ROUND(SUM($M$3:M110),2),IF(OR(A111="",K111="",L111=""),"",ROUND(K111*L111,2)))</f>
        <v/>
      </c>
      <c r="N111" s="355">
        <f>IF(OR(historico_VU!A110="",historico_VU!G110=""),"",historico_VU!G110)</f>
        <v/>
      </c>
      <c r="O111" s="118">
        <f>IF(posicao_contratual!A110="","",posicao_contratual!W110)</f>
        <v/>
      </c>
      <c r="P111" s="355">
        <f>IF(A111="TOTAL",ROUND(SUM($P$3:P110),2),IF(OR(A111="",N111="",O111=""),"",ROUND(N111*O111,2)))</f>
        <v/>
      </c>
      <c r="Q111" s="195">
        <f>IF($A111="","",IF(ISERROR(INDIRECT("CICLO_EM_EXECUCAO!$D$5")),"",INDIRECT("CICLO_EM_EXECUCAO!$D$5")))</f>
        <v/>
      </c>
      <c r="R111">
        <f>IF($A111="","",IF(MEMORIA_RESULTADOS!$W$46="","","C"&amp;MEMORIA_RESULTADOS!$W$46))</f>
        <v/>
      </c>
      <c r="S111" s="273">
        <f>IF($A111="","",IF(ISERROR(INDIRECT("CICLO_EM_EXECUCAO!B"&amp;(ROW()+10))),"",INDIRECT("CICLO_EM_EXECUCAO!B"&amp;(ROW()+10))))</f>
        <v/>
      </c>
      <c r="T111" s="273">
        <f>IF($A111="","",IF(ISERROR(INDIRECT("CICLO_EM_EXECUCAO!D"&amp;(ROW()+10))),"",INDIRECT("CICLO_EM_EXECUCAO!D"&amp;(ROW()+10))))</f>
        <v/>
      </c>
      <c r="U111" s="273">
        <f>IF($A111="","",IF(ISERROR(INDIRECT("CICLO_EM_EXECUCAO!C"&amp;(ROW()+10))),"",INDIRECT("CICLO_EM_EXECUCAO!C"&amp;(ROW()+10))))</f>
        <v/>
      </c>
      <c r="V111" s="213">
        <f>IF($A111="","",IF(ISERROR(INDIRECT("CICLO_EM_EXECUCAO!E"&amp;(ROW()+10))),"",INDIRECT("CICLO_EM_EXECUCAO!E"&amp;(ROW()+10))))</f>
        <v/>
      </c>
      <c r="W111" s="213">
        <f>IF($A111="","",IF(ISERROR(INDIRECT("CICLO_EM_EXECUCAO!F"&amp;(ROW()+10))),"",INDIRECT("CICLO_EM_EXECUCAO!F"&amp;(ROW()+10))))</f>
        <v/>
      </c>
      <c r="X111" s="213">
        <f>IF($A111="","",IF(ISERROR(INDIRECT("CICLO_EM_EXECUCAO!G"&amp;(ROW()+10))),"",INDIRECT("CICLO_EM_EXECUCAO!G"&amp;(ROW()+10))))</f>
        <v/>
      </c>
      <c r="Y111">
        <f>IF($A111="","",IF(ISERROR(INDIRECT("CICLO_EM_EXECUCAO!K"&amp;(ROW()+10))),"CICLO_EM_EXECUCAO AUSENTE",INDIRECT("CICLO_EM_EXECUCAO!K"&amp;(ROW()+10))))</f>
        <v/>
      </c>
    </row>
    <row r="112">
      <c r="A112" s="116">
        <f>IF(AND(itens_Remanesc!A111="",itens_Remanesc!A110&lt;&gt;"",COUNTIF(itens_Remanesc!A112:$A$200,"&lt;&gt;")=0),"TOTAL",IF(itens_Remanesc!A111="","",itens_Remanesc!A111))</f>
        <v/>
      </c>
      <c r="B112" s="355">
        <f>IF(OR(historico_VU!A111="",historico_VU!C111=""),"",historico_VU!C111)</f>
        <v/>
      </c>
      <c r="C112" s="118">
        <f>IF(posicao_contratual!A111="","",posicao_contratual!G111)</f>
        <v/>
      </c>
      <c r="D112" s="355">
        <f>IF(A112="TOTAL",ROUND(SUM($D$3:D111),2),IF(OR(A112="",B112="",C112=""),"",ROUND(B112*C112,2)))</f>
        <v/>
      </c>
      <c r="E112" s="356">
        <f>IF(OR(historico_VU!A111="",historico_VU!D111=""),"",historico_VU!D111)</f>
        <v/>
      </c>
      <c r="F112" s="120">
        <f>IF(posicao_contratual!A111="","",posicao_contratual!K111)</f>
        <v/>
      </c>
      <c r="G112" s="356">
        <f>IF(A112="TOTAL",ROUND(SUM($G$3:G111),2),IF(OR(A112="",E112="",F112=""),"",ROUND(E112*F112,2)))</f>
        <v/>
      </c>
      <c r="H112" s="355">
        <f>IF(OR(historico_VU!A111="",historico_VU!E111=""),"",historico_VU!E111)</f>
        <v/>
      </c>
      <c r="I112" s="118">
        <f>IF(posicao_contratual!A111="","",posicao_contratual!O111)</f>
        <v/>
      </c>
      <c r="J112" s="355">
        <f>IF(A112="TOTAL",ROUND(SUM($J$3:J111),2),IF(OR(A112="",H112="",I112=""),"",ROUND(H112*I112,2)))</f>
        <v/>
      </c>
      <c r="K112" s="356">
        <f>IF(OR(historico_VU!A111="",historico_VU!F111=""),"",historico_VU!F111)</f>
        <v/>
      </c>
      <c r="L112" s="120">
        <f>IF(posicao_contratual!A111="","",posicao_contratual!S111)</f>
        <v/>
      </c>
      <c r="M112" s="356">
        <f>IF(A112="TOTAL",ROUND(SUM($M$3:M111),2),IF(OR(A112="",K112="",L112=""),"",ROUND(K112*L112,2)))</f>
        <v/>
      </c>
      <c r="N112" s="355">
        <f>IF(OR(historico_VU!A111="",historico_VU!G111=""),"",historico_VU!G111)</f>
        <v/>
      </c>
      <c r="O112" s="118">
        <f>IF(posicao_contratual!A111="","",posicao_contratual!W111)</f>
        <v/>
      </c>
      <c r="P112" s="355">
        <f>IF(A112="TOTAL",ROUND(SUM($P$3:P111),2),IF(OR(A112="",N112="",O112=""),"",ROUND(N112*O112,2)))</f>
        <v/>
      </c>
      <c r="Q112" s="195">
        <f>IF($A112="","",IF(ISERROR(INDIRECT("CICLO_EM_EXECUCAO!$D$5")),"",INDIRECT("CICLO_EM_EXECUCAO!$D$5")))</f>
        <v/>
      </c>
      <c r="R112">
        <f>IF($A112="","",IF(MEMORIA_RESULTADOS!$W$46="","","C"&amp;MEMORIA_RESULTADOS!$W$46))</f>
        <v/>
      </c>
      <c r="S112" s="273">
        <f>IF($A112="","",IF(ISERROR(INDIRECT("CICLO_EM_EXECUCAO!B"&amp;(ROW()+10))),"",INDIRECT("CICLO_EM_EXECUCAO!B"&amp;(ROW()+10))))</f>
        <v/>
      </c>
      <c r="T112" s="273">
        <f>IF($A112="","",IF(ISERROR(INDIRECT("CICLO_EM_EXECUCAO!D"&amp;(ROW()+10))),"",INDIRECT("CICLO_EM_EXECUCAO!D"&amp;(ROW()+10))))</f>
        <v/>
      </c>
      <c r="U112" s="273">
        <f>IF($A112="","",IF(ISERROR(INDIRECT("CICLO_EM_EXECUCAO!C"&amp;(ROW()+10))),"",INDIRECT("CICLO_EM_EXECUCAO!C"&amp;(ROW()+10))))</f>
        <v/>
      </c>
      <c r="V112" s="213">
        <f>IF($A112="","",IF(ISERROR(INDIRECT("CICLO_EM_EXECUCAO!E"&amp;(ROW()+10))),"",INDIRECT("CICLO_EM_EXECUCAO!E"&amp;(ROW()+10))))</f>
        <v/>
      </c>
      <c r="W112" s="213">
        <f>IF($A112="","",IF(ISERROR(INDIRECT("CICLO_EM_EXECUCAO!F"&amp;(ROW()+10))),"",INDIRECT("CICLO_EM_EXECUCAO!F"&amp;(ROW()+10))))</f>
        <v/>
      </c>
      <c r="X112" s="213">
        <f>IF($A112="","",IF(ISERROR(INDIRECT("CICLO_EM_EXECUCAO!G"&amp;(ROW()+10))),"",INDIRECT("CICLO_EM_EXECUCAO!G"&amp;(ROW()+10))))</f>
        <v/>
      </c>
      <c r="Y112">
        <f>IF($A112="","",IF(ISERROR(INDIRECT("CICLO_EM_EXECUCAO!K"&amp;(ROW()+10))),"CICLO_EM_EXECUCAO AUSENTE",INDIRECT("CICLO_EM_EXECUCAO!K"&amp;(ROW()+10))))</f>
        <v/>
      </c>
    </row>
    <row r="113">
      <c r="A113" s="116">
        <f>IF(AND(itens_Remanesc!A112="",itens_Remanesc!A111&lt;&gt;"",COUNTIF(itens_Remanesc!A113:$A$200,"&lt;&gt;")=0),"TOTAL",IF(itens_Remanesc!A112="","",itens_Remanesc!A112))</f>
        <v/>
      </c>
      <c r="B113" s="355">
        <f>IF(OR(historico_VU!A112="",historico_VU!C112=""),"",historico_VU!C112)</f>
        <v/>
      </c>
      <c r="C113" s="118">
        <f>IF(posicao_contratual!A112="","",posicao_contratual!G112)</f>
        <v/>
      </c>
      <c r="D113" s="355">
        <f>IF(A113="TOTAL",ROUND(SUM($D$3:D112),2),IF(OR(A113="",B113="",C113=""),"",ROUND(B113*C113,2)))</f>
        <v/>
      </c>
      <c r="E113" s="356">
        <f>IF(OR(historico_VU!A112="",historico_VU!D112=""),"",historico_VU!D112)</f>
        <v/>
      </c>
      <c r="F113" s="120">
        <f>IF(posicao_contratual!A112="","",posicao_contratual!K112)</f>
        <v/>
      </c>
      <c r="G113" s="356">
        <f>IF(A113="TOTAL",ROUND(SUM($G$3:G112),2),IF(OR(A113="",E113="",F113=""),"",ROUND(E113*F113,2)))</f>
        <v/>
      </c>
      <c r="H113" s="355">
        <f>IF(OR(historico_VU!A112="",historico_VU!E112=""),"",historico_VU!E112)</f>
        <v/>
      </c>
      <c r="I113" s="118">
        <f>IF(posicao_contratual!A112="","",posicao_contratual!O112)</f>
        <v/>
      </c>
      <c r="J113" s="355">
        <f>IF(A113="TOTAL",ROUND(SUM($J$3:J112),2),IF(OR(A113="",H113="",I113=""),"",ROUND(H113*I113,2)))</f>
        <v/>
      </c>
      <c r="K113" s="356">
        <f>IF(OR(historico_VU!A112="",historico_VU!F112=""),"",historico_VU!F112)</f>
        <v/>
      </c>
      <c r="L113" s="120">
        <f>IF(posicao_contratual!A112="","",posicao_contratual!S112)</f>
        <v/>
      </c>
      <c r="M113" s="356">
        <f>IF(A113="TOTAL",ROUND(SUM($M$3:M112),2),IF(OR(A113="",K113="",L113=""),"",ROUND(K113*L113,2)))</f>
        <v/>
      </c>
      <c r="N113" s="355">
        <f>IF(OR(historico_VU!A112="",historico_VU!G112=""),"",historico_VU!G112)</f>
        <v/>
      </c>
      <c r="O113" s="118">
        <f>IF(posicao_contratual!A112="","",posicao_contratual!W112)</f>
        <v/>
      </c>
      <c r="P113" s="355">
        <f>IF(A113="TOTAL",ROUND(SUM($P$3:P112),2),IF(OR(A113="",N113="",O113=""),"",ROUND(N113*O113,2)))</f>
        <v/>
      </c>
      <c r="Q113" s="195">
        <f>IF($A113="","",IF(ISERROR(INDIRECT("CICLO_EM_EXECUCAO!$D$5")),"",INDIRECT("CICLO_EM_EXECUCAO!$D$5")))</f>
        <v/>
      </c>
      <c r="R113">
        <f>IF($A113="","",IF(MEMORIA_RESULTADOS!$W$46="","","C"&amp;MEMORIA_RESULTADOS!$W$46))</f>
        <v/>
      </c>
      <c r="S113" s="273">
        <f>IF($A113="","",IF(ISERROR(INDIRECT("CICLO_EM_EXECUCAO!B"&amp;(ROW()+10))),"",INDIRECT("CICLO_EM_EXECUCAO!B"&amp;(ROW()+10))))</f>
        <v/>
      </c>
      <c r="T113" s="273">
        <f>IF($A113="","",IF(ISERROR(INDIRECT("CICLO_EM_EXECUCAO!D"&amp;(ROW()+10))),"",INDIRECT("CICLO_EM_EXECUCAO!D"&amp;(ROW()+10))))</f>
        <v/>
      </c>
      <c r="U113" s="273">
        <f>IF($A113="","",IF(ISERROR(INDIRECT("CICLO_EM_EXECUCAO!C"&amp;(ROW()+10))),"",INDIRECT("CICLO_EM_EXECUCAO!C"&amp;(ROW()+10))))</f>
        <v/>
      </c>
      <c r="V113" s="213">
        <f>IF($A113="","",IF(ISERROR(INDIRECT("CICLO_EM_EXECUCAO!E"&amp;(ROW()+10))),"",INDIRECT("CICLO_EM_EXECUCAO!E"&amp;(ROW()+10))))</f>
        <v/>
      </c>
      <c r="W113" s="213">
        <f>IF($A113="","",IF(ISERROR(INDIRECT("CICLO_EM_EXECUCAO!F"&amp;(ROW()+10))),"",INDIRECT("CICLO_EM_EXECUCAO!F"&amp;(ROW()+10))))</f>
        <v/>
      </c>
      <c r="X113" s="213">
        <f>IF($A113="","",IF(ISERROR(INDIRECT("CICLO_EM_EXECUCAO!G"&amp;(ROW()+10))),"",INDIRECT("CICLO_EM_EXECUCAO!G"&amp;(ROW()+10))))</f>
        <v/>
      </c>
      <c r="Y113">
        <f>IF($A113="","",IF(ISERROR(INDIRECT("CICLO_EM_EXECUCAO!K"&amp;(ROW()+10))),"CICLO_EM_EXECUCAO AUSENTE",INDIRECT("CICLO_EM_EXECUCAO!K"&amp;(ROW()+10))))</f>
        <v/>
      </c>
    </row>
    <row r="114">
      <c r="A114" s="116">
        <f>IF(AND(itens_Remanesc!A113="",itens_Remanesc!A112&lt;&gt;"",COUNTIF(itens_Remanesc!A114:$A$200,"&lt;&gt;")=0),"TOTAL",IF(itens_Remanesc!A113="","",itens_Remanesc!A113))</f>
        <v/>
      </c>
      <c r="B114" s="355">
        <f>IF(OR(historico_VU!A113="",historico_VU!C113=""),"",historico_VU!C113)</f>
        <v/>
      </c>
      <c r="C114" s="118">
        <f>IF(posicao_contratual!A113="","",posicao_contratual!G113)</f>
        <v/>
      </c>
      <c r="D114" s="355">
        <f>IF(A114="TOTAL",ROUND(SUM($D$3:D113),2),IF(OR(A114="",B114="",C114=""),"",ROUND(B114*C114,2)))</f>
        <v/>
      </c>
      <c r="E114" s="356">
        <f>IF(OR(historico_VU!A113="",historico_VU!D113=""),"",historico_VU!D113)</f>
        <v/>
      </c>
      <c r="F114" s="120">
        <f>IF(posicao_contratual!A113="","",posicao_contratual!K113)</f>
        <v/>
      </c>
      <c r="G114" s="356">
        <f>IF(A114="TOTAL",ROUND(SUM($G$3:G113),2),IF(OR(A114="",E114="",F114=""),"",ROUND(E114*F114,2)))</f>
        <v/>
      </c>
      <c r="H114" s="355">
        <f>IF(OR(historico_VU!A113="",historico_VU!E113=""),"",historico_VU!E113)</f>
        <v/>
      </c>
      <c r="I114" s="118">
        <f>IF(posicao_contratual!A113="","",posicao_contratual!O113)</f>
        <v/>
      </c>
      <c r="J114" s="355">
        <f>IF(A114="TOTAL",ROUND(SUM($J$3:J113),2),IF(OR(A114="",H114="",I114=""),"",ROUND(H114*I114,2)))</f>
        <v/>
      </c>
      <c r="K114" s="356">
        <f>IF(OR(historico_VU!A113="",historico_VU!F113=""),"",historico_VU!F113)</f>
        <v/>
      </c>
      <c r="L114" s="120">
        <f>IF(posicao_contratual!A113="","",posicao_contratual!S113)</f>
        <v/>
      </c>
      <c r="M114" s="356">
        <f>IF(A114="TOTAL",ROUND(SUM($M$3:M113),2),IF(OR(A114="",K114="",L114=""),"",ROUND(K114*L114,2)))</f>
        <v/>
      </c>
      <c r="N114" s="355">
        <f>IF(OR(historico_VU!A113="",historico_VU!G113=""),"",historico_VU!G113)</f>
        <v/>
      </c>
      <c r="O114" s="118">
        <f>IF(posicao_contratual!A113="","",posicao_contratual!W113)</f>
        <v/>
      </c>
      <c r="P114" s="355">
        <f>IF(A114="TOTAL",ROUND(SUM($P$3:P113),2),IF(OR(A114="",N114="",O114=""),"",ROUND(N114*O114,2)))</f>
        <v/>
      </c>
      <c r="Q114" s="195">
        <f>IF($A114="","",IF(ISERROR(INDIRECT("CICLO_EM_EXECUCAO!$D$5")),"",INDIRECT("CICLO_EM_EXECUCAO!$D$5")))</f>
        <v/>
      </c>
      <c r="R114">
        <f>IF($A114="","",IF(MEMORIA_RESULTADOS!$W$46="","","C"&amp;MEMORIA_RESULTADOS!$W$46))</f>
        <v/>
      </c>
      <c r="S114" s="273">
        <f>IF($A114="","",IF(ISERROR(INDIRECT("CICLO_EM_EXECUCAO!B"&amp;(ROW()+10))),"",INDIRECT("CICLO_EM_EXECUCAO!B"&amp;(ROW()+10))))</f>
        <v/>
      </c>
      <c r="T114" s="273">
        <f>IF($A114="","",IF(ISERROR(INDIRECT("CICLO_EM_EXECUCAO!D"&amp;(ROW()+10))),"",INDIRECT("CICLO_EM_EXECUCAO!D"&amp;(ROW()+10))))</f>
        <v/>
      </c>
      <c r="U114" s="273">
        <f>IF($A114="","",IF(ISERROR(INDIRECT("CICLO_EM_EXECUCAO!C"&amp;(ROW()+10))),"",INDIRECT("CICLO_EM_EXECUCAO!C"&amp;(ROW()+10))))</f>
        <v/>
      </c>
      <c r="V114" s="213">
        <f>IF($A114="","",IF(ISERROR(INDIRECT("CICLO_EM_EXECUCAO!E"&amp;(ROW()+10))),"",INDIRECT("CICLO_EM_EXECUCAO!E"&amp;(ROW()+10))))</f>
        <v/>
      </c>
      <c r="W114" s="213">
        <f>IF($A114="","",IF(ISERROR(INDIRECT("CICLO_EM_EXECUCAO!F"&amp;(ROW()+10))),"",INDIRECT("CICLO_EM_EXECUCAO!F"&amp;(ROW()+10))))</f>
        <v/>
      </c>
      <c r="X114" s="213">
        <f>IF($A114="","",IF(ISERROR(INDIRECT("CICLO_EM_EXECUCAO!G"&amp;(ROW()+10))),"",INDIRECT("CICLO_EM_EXECUCAO!G"&amp;(ROW()+10))))</f>
        <v/>
      </c>
      <c r="Y114">
        <f>IF($A114="","",IF(ISERROR(INDIRECT("CICLO_EM_EXECUCAO!K"&amp;(ROW()+10))),"CICLO_EM_EXECUCAO AUSENTE",INDIRECT("CICLO_EM_EXECUCAO!K"&amp;(ROW()+10))))</f>
        <v/>
      </c>
    </row>
    <row r="115">
      <c r="A115" s="116">
        <f>IF(AND(itens_Remanesc!A114="",itens_Remanesc!A113&lt;&gt;"",COUNTIF(itens_Remanesc!A115:$A$200,"&lt;&gt;")=0),"TOTAL",IF(itens_Remanesc!A114="","",itens_Remanesc!A114))</f>
        <v/>
      </c>
      <c r="B115" s="355">
        <f>IF(OR(historico_VU!A114="",historico_VU!C114=""),"",historico_VU!C114)</f>
        <v/>
      </c>
      <c r="C115" s="118">
        <f>IF(posicao_contratual!A114="","",posicao_contratual!G114)</f>
        <v/>
      </c>
      <c r="D115" s="355">
        <f>IF(A115="TOTAL",ROUND(SUM($D$3:D114),2),IF(OR(A115="",B115="",C115=""),"",ROUND(B115*C115,2)))</f>
        <v/>
      </c>
      <c r="E115" s="356">
        <f>IF(OR(historico_VU!A114="",historico_VU!D114=""),"",historico_VU!D114)</f>
        <v/>
      </c>
      <c r="F115" s="120">
        <f>IF(posicao_contratual!A114="","",posicao_contratual!K114)</f>
        <v/>
      </c>
      <c r="G115" s="356">
        <f>IF(A115="TOTAL",ROUND(SUM($G$3:G114),2),IF(OR(A115="",E115="",F115=""),"",ROUND(E115*F115,2)))</f>
        <v/>
      </c>
      <c r="H115" s="355">
        <f>IF(OR(historico_VU!A114="",historico_VU!E114=""),"",historico_VU!E114)</f>
        <v/>
      </c>
      <c r="I115" s="118">
        <f>IF(posicao_contratual!A114="","",posicao_contratual!O114)</f>
        <v/>
      </c>
      <c r="J115" s="355">
        <f>IF(A115="TOTAL",ROUND(SUM($J$3:J114),2),IF(OR(A115="",H115="",I115=""),"",ROUND(H115*I115,2)))</f>
        <v/>
      </c>
      <c r="K115" s="356">
        <f>IF(OR(historico_VU!A114="",historico_VU!F114=""),"",historico_VU!F114)</f>
        <v/>
      </c>
      <c r="L115" s="120">
        <f>IF(posicao_contratual!A114="","",posicao_contratual!S114)</f>
        <v/>
      </c>
      <c r="M115" s="356">
        <f>IF(A115="TOTAL",ROUND(SUM($M$3:M114),2),IF(OR(A115="",K115="",L115=""),"",ROUND(K115*L115,2)))</f>
        <v/>
      </c>
      <c r="N115" s="355">
        <f>IF(OR(historico_VU!A114="",historico_VU!G114=""),"",historico_VU!G114)</f>
        <v/>
      </c>
      <c r="O115" s="118">
        <f>IF(posicao_contratual!A114="","",posicao_contratual!W114)</f>
        <v/>
      </c>
      <c r="P115" s="355">
        <f>IF(A115="TOTAL",ROUND(SUM($P$3:P114),2),IF(OR(A115="",N115="",O115=""),"",ROUND(N115*O115,2)))</f>
        <v/>
      </c>
      <c r="Q115" s="195">
        <f>IF($A115="","",IF(ISERROR(INDIRECT("CICLO_EM_EXECUCAO!$D$5")),"",INDIRECT("CICLO_EM_EXECUCAO!$D$5")))</f>
        <v/>
      </c>
      <c r="R115">
        <f>IF($A115="","",IF(MEMORIA_RESULTADOS!$W$46="","","C"&amp;MEMORIA_RESULTADOS!$W$46))</f>
        <v/>
      </c>
      <c r="S115" s="273">
        <f>IF($A115="","",IF(ISERROR(INDIRECT("CICLO_EM_EXECUCAO!B"&amp;(ROW()+10))),"",INDIRECT("CICLO_EM_EXECUCAO!B"&amp;(ROW()+10))))</f>
        <v/>
      </c>
      <c r="T115" s="273">
        <f>IF($A115="","",IF(ISERROR(INDIRECT("CICLO_EM_EXECUCAO!D"&amp;(ROW()+10))),"",INDIRECT("CICLO_EM_EXECUCAO!D"&amp;(ROW()+10))))</f>
        <v/>
      </c>
      <c r="U115" s="273">
        <f>IF($A115="","",IF(ISERROR(INDIRECT("CICLO_EM_EXECUCAO!C"&amp;(ROW()+10))),"",INDIRECT("CICLO_EM_EXECUCAO!C"&amp;(ROW()+10))))</f>
        <v/>
      </c>
      <c r="V115" s="213">
        <f>IF($A115="","",IF(ISERROR(INDIRECT("CICLO_EM_EXECUCAO!E"&amp;(ROW()+10))),"",INDIRECT("CICLO_EM_EXECUCAO!E"&amp;(ROW()+10))))</f>
        <v/>
      </c>
      <c r="W115" s="213">
        <f>IF($A115="","",IF(ISERROR(INDIRECT("CICLO_EM_EXECUCAO!F"&amp;(ROW()+10))),"",INDIRECT("CICLO_EM_EXECUCAO!F"&amp;(ROW()+10))))</f>
        <v/>
      </c>
      <c r="X115" s="213">
        <f>IF($A115="","",IF(ISERROR(INDIRECT("CICLO_EM_EXECUCAO!G"&amp;(ROW()+10))),"",INDIRECT("CICLO_EM_EXECUCAO!G"&amp;(ROW()+10))))</f>
        <v/>
      </c>
      <c r="Y115">
        <f>IF($A115="","",IF(ISERROR(INDIRECT("CICLO_EM_EXECUCAO!K"&amp;(ROW()+10))),"CICLO_EM_EXECUCAO AUSENTE",INDIRECT("CICLO_EM_EXECUCAO!K"&amp;(ROW()+10))))</f>
        <v/>
      </c>
    </row>
    <row r="116">
      <c r="A116" s="116">
        <f>IF(AND(itens_Remanesc!A115="",itens_Remanesc!A114&lt;&gt;"",COUNTIF(itens_Remanesc!A116:$A$200,"&lt;&gt;")=0),"TOTAL",IF(itens_Remanesc!A115="","",itens_Remanesc!A115))</f>
        <v/>
      </c>
      <c r="B116" s="355">
        <f>IF(OR(historico_VU!A115="",historico_VU!C115=""),"",historico_VU!C115)</f>
        <v/>
      </c>
      <c r="C116" s="118">
        <f>IF(posicao_contratual!A115="","",posicao_contratual!G115)</f>
        <v/>
      </c>
      <c r="D116" s="355">
        <f>IF(A116="TOTAL",ROUND(SUM($D$3:D115),2),IF(OR(A116="",B116="",C116=""),"",ROUND(B116*C116,2)))</f>
        <v/>
      </c>
      <c r="E116" s="356">
        <f>IF(OR(historico_VU!A115="",historico_VU!D115=""),"",historico_VU!D115)</f>
        <v/>
      </c>
      <c r="F116" s="120">
        <f>IF(posicao_contratual!A115="","",posicao_contratual!K115)</f>
        <v/>
      </c>
      <c r="G116" s="356">
        <f>IF(A116="TOTAL",ROUND(SUM($G$3:G115),2),IF(OR(A116="",E116="",F116=""),"",ROUND(E116*F116,2)))</f>
        <v/>
      </c>
      <c r="H116" s="355">
        <f>IF(OR(historico_VU!A115="",historico_VU!E115=""),"",historico_VU!E115)</f>
        <v/>
      </c>
      <c r="I116" s="118">
        <f>IF(posicao_contratual!A115="","",posicao_contratual!O115)</f>
        <v/>
      </c>
      <c r="J116" s="355">
        <f>IF(A116="TOTAL",ROUND(SUM($J$3:J115),2),IF(OR(A116="",H116="",I116=""),"",ROUND(H116*I116,2)))</f>
        <v/>
      </c>
      <c r="K116" s="356">
        <f>IF(OR(historico_VU!A115="",historico_VU!F115=""),"",historico_VU!F115)</f>
        <v/>
      </c>
      <c r="L116" s="120">
        <f>IF(posicao_contratual!A115="","",posicao_contratual!S115)</f>
        <v/>
      </c>
      <c r="M116" s="356">
        <f>IF(A116="TOTAL",ROUND(SUM($M$3:M115),2),IF(OR(A116="",K116="",L116=""),"",ROUND(K116*L116,2)))</f>
        <v/>
      </c>
      <c r="N116" s="355">
        <f>IF(OR(historico_VU!A115="",historico_VU!G115=""),"",historico_VU!G115)</f>
        <v/>
      </c>
      <c r="O116" s="118">
        <f>IF(posicao_contratual!A115="","",posicao_contratual!W115)</f>
        <v/>
      </c>
      <c r="P116" s="355">
        <f>IF(A116="TOTAL",ROUND(SUM($P$3:P115),2),IF(OR(A116="",N116="",O116=""),"",ROUND(N116*O116,2)))</f>
        <v/>
      </c>
      <c r="Q116" s="195">
        <f>IF($A116="","",IF(ISERROR(INDIRECT("CICLO_EM_EXECUCAO!$D$5")),"",INDIRECT("CICLO_EM_EXECUCAO!$D$5")))</f>
        <v/>
      </c>
      <c r="R116">
        <f>IF($A116="","",IF(MEMORIA_RESULTADOS!$W$46="","","C"&amp;MEMORIA_RESULTADOS!$W$46))</f>
        <v/>
      </c>
      <c r="S116" s="273">
        <f>IF($A116="","",IF(ISERROR(INDIRECT("CICLO_EM_EXECUCAO!B"&amp;(ROW()+10))),"",INDIRECT("CICLO_EM_EXECUCAO!B"&amp;(ROW()+10))))</f>
        <v/>
      </c>
      <c r="T116" s="273">
        <f>IF($A116="","",IF(ISERROR(INDIRECT("CICLO_EM_EXECUCAO!D"&amp;(ROW()+10))),"",INDIRECT("CICLO_EM_EXECUCAO!D"&amp;(ROW()+10))))</f>
        <v/>
      </c>
      <c r="U116" s="273">
        <f>IF($A116="","",IF(ISERROR(INDIRECT("CICLO_EM_EXECUCAO!C"&amp;(ROW()+10))),"",INDIRECT("CICLO_EM_EXECUCAO!C"&amp;(ROW()+10))))</f>
        <v/>
      </c>
      <c r="V116" s="213">
        <f>IF($A116="","",IF(ISERROR(INDIRECT("CICLO_EM_EXECUCAO!E"&amp;(ROW()+10))),"",INDIRECT("CICLO_EM_EXECUCAO!E"&amp;(ROW()+10))))</f>
        <v/>
      </c>
      <c r="W116" s="213">
        <f>IF($A116="","",IF(ISERROR(INDIRECT("CICLO_EM_EXECUCAO!F"&amp;(ROW()+10))),"",INDIRECT("CICLO_EM_EXECUCAO!F"&amp;(ROW()+10))))</f>
        <v/>
      </c>
      <c r="X116" s="213">
        <f>IF($A116="","",IF(ISERROR(INDIRECT("CICLO_EM_EXECUCAO!G"&amp;(ROW()+10))),"",INDIRECT("CICLO_EM_EXECUCAO!G"&amp;(ROW()+10))))</f>
        <v/>
      </c>
      <c r="Y116">
        <f>IF($A116="","",IF(ISERROR(INDIRECT("CICLO_EM_EXECUCAO!K"&amp;(ROW()+10))),"CICLO_EM_EXECUCAO AUSENTE",INDIRECT("CICLO_EM_EXECUCAO!K"&amp;(ROW()+10))))</f>
        <v/>
      </c>
    </row>
    <row r="117">
      <c r="A117" s="116">
        <f>IF(AND(itens_Remanesc!A116="",itens_Remanesc!A115&lt;&gt;"",COUNTIF(itens_Remanesc!A117:$A$200,"&lt;&gt;")=0),"TOTAL",IF(itens_Remanesc!A116="","",itens_Remanesc!A116))</f>
        <v/>
      </c>
      <c r="B117" s="355">
        <f>IF(OR(historico_VU!A116="",historico_VU!C116=""),"",historico_VU!C116)</f>
        <v/>
      </c>
      <c r="C117" s="118">
        <f>IF(posicao_contratual!A116="","",posicao_contratual!G116)</f>
        <v/>
      </c>
      <c r="D117" s="355">
        <f>IF(A117="TOTAL",ROUND(SUM($D$3:D116),2),IF(OR(A117="",B117="",C117=""),"",ROUND(B117*C117,2)))</f>
        <v/>
      </c>
      <c r="E117" s="356">
        <f>IF(OR(historico_VU!A116="",historico_VU!D116=""),"",historico_VU!D116)</f>
        <v/>
      </c>
      <c r="F117" s="120">
        <f>IF(posicao_contratual!A116="","",posicao_contratual!K116)</f>
        <v/>
      </c>
      <c r="G117" s="356">
        <f>IF(A117="TOTAL",ROUND(SUM($G$3:G116),2),IF(OR(A117="",E117="",F117=""),"",ROUND(E117*F117,2)))</f>
        <v/>
      </c>
      <c r="H117" s="355">
        <f>IF(OR(historico_VU!A116="",historico_VU!E116=""),"",historico_VU!E116)</f>
        <v/>
      </c>
      <c r="I117" s="118">
        <f>IF(posicao_contratual!A116="","",posicao_contratual!O116)</f>
        <v/>
      </c>
      <c r="J117" s="355">
        <f>IF(A117="TOTAL",ROUND(SUM($J$3:J116),2),IF(OR(A117="",H117="",I117=""),"",ROUND(H117*I117,2)))</f>
        <v/>
      </c>
      <c r="K117" s="356">
        <f>IF(OR(historico_VU!A116="",historico_VU!F116=""),"",historico_VU!F116)</f>
        <v/>
      </c>
      <c r="L117" s="120">
        <f>IF(posicao_contratual!A116="","",posicao_contratual!S116)</f>
        <v/>
      </c>
      <c r="M117" s="356">
        <f>IF(A117="TOTAL",ROUND(SUM($M$3:M116),2),IF(OR(A117="",K117="",L117=""),"",ROUND(K117*L117,2)))</f>
        <v/>
      </c>
      <c r="N117" s="355">
        <f>IF(OR(historico_VU!A116="",historico_VU!G116=""),"",historico_VU!G116)</f>
        <v/>
      </c>
      <c r="O117" s="118">
        <f>IF(posicao_contratual!A116="","",posicao_contratual!W116)</f>
        <v/>
      </c>
      <c r="P117" s="355">
        <f>IF(A117="TOTAL",ROUND(SUM($P$3:P116),2),IF(OR(A117="",N117="",O117=""),"",ROUND(N117*O117,2)))</f>
        <v/>
      </c>
      <c r="Q117" s="195">
        <f>IF($A117="","",IF(ISERROR(INDIRECT("CICLO_EM_EXECUCAO!$D$5")),"",INDIRECT("CICLO_EM_EXECUCAO!$D$5")))</f>
        <v/>
      </c>
      <c r="R117">
        <f>IF($A117="","",IF(MEMORIA_RESULTADOS!$W$46="","","C"&amp;MEMORIA_RESULTADOS!$W$46))</f>
        <v/>
      </c>
      <c r="S117" s="273">
        <f>IF($A117="","",IF(ISERROR(INDIRECT("CICLO_EM_EXECUCAO!B"&amp;(ROW()+10))),"",INDIRECT("CICLO_EM_EXECUCAO!B"&amp;(ROW()+10))))</f>
        <v/>
      </c>
      <c r="T117" s="273">
        <f>IF($A117="","",IF(ISERROR(INDIRECT("CICLO_EM_EXECUCAO!D"&amp;(ROW()+10))),"",INDIRECT("CICLO_EM_EXECUCAO!D"&amp;(ROW()+10))))</f>
        <v/>
      </c>
      <c r="U117" s="273">
        <f>IF($A117="","",IF(ISERROR(INDIRECT("CICLO_EM_EXECUCAO!C"&amp;(ROW()+10))),"",INDIRECT("CICLO_EM_EXECUCAO!C"&amp;(ROW()+10))))</f>
        <v/>
      </c>
      <c r="V117" s="213">
        <f>IF($A117="","",IF(ISERROR(INDIRECT("CICLO_EM_EXECUCAO!E"&amp;(ROW()+10))),"",INDIRECT("CICLO_EM_EXECUCAO!E"&amp;(ROW()+10))))</f>
        <v/>
      </c>
      <c r="W117" s="213">
        <f>IF($A117="","",IF(ISERROR(INDIRECT("CICLO_EM_EXECUCAO!F"&amp;(ROW()+10))),"",INDIRECT("CICLO_EM_EXECUCAO!F"&amp;(ROW()+10))))</f>
        <v/>
      </c>
      <c r="X117" s="213">
        <f>IF($A117="","",IF(ISERROR(INDIRECT("CICLO_EM_EXECUCAO!G"&amp;(ROW()+10))),"",INDIRECT("CICLO_EM_EXECUCAO!G"&amp;(ROW()+10))))</f>
        <v/>
      </c>
      <c r="Y117">
        <f>IF($A117="","",IF(ISERROR(INDIRECT("CICLO_EM_EXECUCAO!K"&amp;(ROW()+10))),"CICLO_EM_EXECUCAO AUSENTE",INDIRECT("CICLO_EM_EXECUCAO!K"&amp;(ROW()+10))))</f>
        <v/>
      </c>
    </row>
    <row r="118">
      <c r="A118" s="116">
        <f>IF(AND(itens_Remanesc!A117="",itens_Remanesc!A116&lt;&gt;"",COUNTIF(itens_Remanesc!A118:$A$200,"&lt;&gt;")=0),"TOTAL",IF(itens_Remanesc!A117="","",itens_Remanesc!A117))</f>
        <v/>
      </c>
      <c r="B118" s="355">
        <f>IF(OR(historico_VU!A117="",historico_VU!C117=""),"",historico_VU!C117)</f>
        <v/>
      </c>
      <c r="C118" s="118">
        <f>IF(posicao_contratual!A117="","",posicao_contratual!G117)</f>
        <v/>
      </c>
      <c r="D118" s="355">
        <f>IF(A118="TOTAL",ROUND(SUM($D$3:D117),2),IF(OR(A118="",B118="",C118=""),"",ROUND(B118*C118,2)))</f>
        <v/>
      </c>
      <c r="E118" s="356">
        <f>IF(OR(historico_VU!A117="",historico_VU!D117=""),"",historico_VU!D117)</f>
        <v/>
      </c>
      <c r="F118" s="120">
        <f>IF(posicao_contratual!A117="","",posicao_contratual!K117)</f>
        <v/>
      </c>
      <c r="G118" s="356">
        <f>IF(A118="TOTAL",ROUND(SUM($G$3:G117),2),IF(OR(A118="",E118="",F118=""),"",ROUND(E118*F118,2)))</f>
        <v/>
      </c>
      <c r="H118" s="355">
        <f>IF(OR(historico_VU!A117="",historico_VU!E117=""),"",historico_VU!E117)</f>
        <v/>
      </c>
      <c r="I118" s="118">
        <f>IF(posicao_contratual!A117="","",posicao_contratual!O117)</f>
        <v/>
      </c>
      <c r="J118" s="355">
        <f>IF(A118="TOTAL",ROUND(SUM($J$3:J117),2),IF(OR(A118="",H118="",I118=""),"",ROUND(H118*I118,2)))</f>
        <v/>
      </c>
      <c r="K118" s="356">
        <f>IF(OR(historico_VU!A117="",historico_VU!F117=""),"",historico_VU!F117)</f>
        <v/>
      </c>
      <c r="L118" s="120">
        <f>IF(posicao_contratual!A117="","",posicao_contratual!S117)</f>
        <v/>
      </c>
      <c r="M118" s="356">
        <f>IF(A118="TOTAL",ROUND(SUM($M$3:M117),2),IF(OR(A118="",K118="",L118=""),"",ROUND(K118*L118,2)))</f>
        <v/>
      </c>
      <c r="N118" s="355">
        <f>IF(OR(historico_VU!A117="",historico_VU!G117=""),"",historico_VU!G117)</f>
        <v/>
      </c>
      <c r="O118" s="118">
        <f>IF(posicao_contratual!A117="","",posicao_contratual!W117)</f>
        <v/>
      </c>
      <c r="P118" s="355">
        <f>IF(A118="TOTAL",ROUND(SUM($P$3:P117),2),IF(OR(A118="",N118="",O118=""),"",ROUND(N118*O118,2)))</f>
        <v/>
      </c>
      <c r="Q118" s="195">
        <f>IF($A118="","",IF(ISERROR(INDIRECT("CICLO_EM_EXECUCAO!$D$5")),"",INDIRECT("CICLO_EM_EXECUCAO!$D$5")))</f>
        <v/>
      </c>
      <c r="R118">
        <f>IF($A118="","",IF(MEMORIA_RESULTADOS!$W$46="","","C"&amp;MEMORIA_RESULTADOS!$W$46))</f>
        <v/>
      </c>
      <c r="S118" s="273">
        <f>IF($A118="","",IF(ISERROR(INDIRECT("CICLO_EM_EXECUCAO!B"&amp;(ROW()+10))),"",INDIRECT("CICLO_EM_EXECUCAO!B"&amp;(ROW()+10))))</f>
        <v/>
      </c>
      <c r="T118" s="273">
        <f>IF($A118="","",IF(ISERROR(INDIRECT("CICLO_EM_EXECUCAO!D"&amp;(ROW()+10))),"",INDIRECT("CICLO_EM_EXECUCAO!D"&amp;(ROW()+10))))</f>
        <v/>
      </c>
      <c r="U118" s="273">
        <f>IF($A118="","",IF(ISERROR(INDIRECT("CICLO_EM_EXECUCAO!C"&amp;(ROW()+10))),"",INDIRECT("CICLO_EM_EXECUCAO!C"&amp;(ROW()+10))))</f>
        <v/>
      </c>
      <c r="V118" s="213">
        <f>IF($A118="","",IF(ISERROR(INDIRECT("CICLO_EM_EXECUCAO!E"&amp;(ROW()+10))),"",INDIRECT("CICLO_EM_EXECUCAO!E"&amp;(ROW()+10))))</f>
        <v/>
      </c>
      <c r="W118" s="213">
        <f>IF($A118="","",IF(ISERROR(INDIRECT("CICLO_EM_EXECUCAO!F"&amp;(ROW()+10))),"",INDIRECT("CICLO_EM_EXECUCAO!F"&amp;(ROW()+10))))</f>
        <v/>
      </c>
      <c r="X118" s="213">
        <f>IF($A118="","",IF(ISERROR(INDIRECT("CICLO_EM_EXECUCAO!G"&amp;(ROW()+10))),"",INDIRECT("CICLO_EM_EXECUCAO!G"&amp;(ROW()+10))))</f>
        <v/>
      </c>
      <c r="Y118">
        <f>IF($A118="","",IF(ISERROR(INDIRECT("CICLO_EM_EXECUCAO!K"&amp;(ROW()+10))),"CICLO_EM_EXECUCAO AUSENTE",INDIRECT("CICLO_EM_EXECUCAO!K"&amp;(ROW()+10))))</f>
        <v/>
      </c>
    </row>
    <row r="119">
      <c r="A119" s="116">
        <f>IF(AND(itens_Remanesc!A118="",itens_Remanesc!A117&lt;&gt;"",COUNTIF(itens_Remanesc!A119:$A$200,"&lt;&gt;")=0),"TOTAL",IF(itens_Remanesc!A118="","",itens_Remanesc!A118))</f>
        <v/>
      </c>
      <c r="B119" s="355">
        <f>IF(OR(historico_VU!A118="",historico_VU!C118=""),"",historico_VU!C118)</f>
        <v/>
      </c>
      <c r="C119" s="118">
        <f>IF(posicao_contratual!A118="","",posicao_contratual!G118)</f>
        <v/>
      </c>
      <c r="D119" s="355">
        <f>IF(A119="TOTAL",ROUND(SUM($D$3:D118),2),IF(OR(A119="",B119="",C119=""),"",ROUND(B119*C119,2)))</f>
        <v/>
      </c>
      <c r="E119" s="356">
        <f>IF(OR(historico_VU!A118="",historico_VU!D118=""),"",historico_VU!D118)</f>
        <v/>
      </c>
      <c r="F119" s="120">
        <f>IF(posicao_contratual!A118="","",posicao_contratual!K118)</f>
        <v/>
      </c>
      <c r="G119" s="356">
        <f>IF(A119="TOTAL",ROUND(SUM($G$3:G118),2),IF(OR(A119="",E119="",F119=""),"",ROUND(E119*F119,2)))</f>
        <v/>
      </c>
      <c r="H119" s="355">
        <f>IF(OR(historico_VU!A118="",historico_VU!E118=""),"",historico_VU!E118)</f>
        <v/>
      </c>
      <c r="I119" s="118">
        <f>IF(posicao_contratual!A118="","",posicao_contratual!O118)</f>
        <v/>
      </c>
      <c r="J119" s="355">
        <f>IF(A119="TOTAL",ROUND(SUM($J$3:J118),2),IF(OR(A119="",H119="",I119=""),"",ROUND(H119*I119,2)))</f>
        <v/>
      </c>
      <c r="K119" s="356">
        <f>IF(OR(historico_VU!A118="",historico_VU!F118=""),"",historico_VU!F118)</f>
        <v/>
      </c>
      <c r="L119" s="120">
        <f>IF(posicao_contratual!A118="","",posicao_contratual!S118)</f>
        <v/>
      </c>
      <c r="M119" s="356">
        <f>IF(A119="TOTAL",ROUND(SUM($M$3:M118),2),IF(OR(A119="",K119="",L119=""),"",ROUND(K119*L119,2)))</f>
        <v/>
      </c>
      <c r="N119" s="355">
        <f>IF(OR(historico_VU!A118="",historico_VU!G118=""),"",historico_VU!G118)</f>
        <v/>
      </c>
      <c r="O119" s="118">
        <f>IF(posicao_contratual!A118="","",posicao_contratual!W118)</f>
        <v/>
      </c>
      <c r="P119" s="355">
        <f>IF(A119="TOTAL",ROUND(SUM($P$3:P118),2),IF(OR(A119="",N119="",O119=""),"",ROUND(N119*O119,2)))</f>
        <v/>
      </c>
      <c r="Q119" s="195">
        <f>IF($A119="","",IF(ISERROR(INDIRECT("CICLO_EM_EXECUCAO!$D$5")),"",INDIRECT("CICLO_EM_EXECUCAO!$D$5")))</f>
        <v/>
      </c>
      <c r="R119">
        <f>IF($A119="","",IF(MEMORIA_RESULTADOS!$W$46="","","C"&amp;MEMORIA_RESULTADOS!$W$46))</f>
        <v/>
      </c>
      <c r="S119" s="273">
        <f>IF($A119="","",IF(ISERROR(INDIRECT("CICLO_EM_EXECUCAO!B"&amp;(ROW()+10))),"",INDIRECT("CICLO_EM_EXECUCAO!B"&amp;(ROW()+10))))</f>
        <v/>
      </c>
      <c r="T119" s="273">
        <f>IF($A119="","",IF(ISERROR(INDIRECT("CICLO_EM_EXECUCAO!D"&amp;(ROW()+10))),"",INDIRECT("CICLO_EM_EXECUCAO!D"&amp;(ROW()+10))))</f>
        <v/>
      </c>
      <c r="U119" s="273">
        <f>IF($A119="","",IF(ISERROR(INDIRECT("CICLO_EM_EXECUCAO!C"&amp;(ROW()+10))),"",INDIRECT("CICLO_EM_EXECUCAO!C"&amp;(ROW()+10))))</f>
        <v/>
      </c>
      <c r="V119" s="213">
        <f>IF($A119="","",IF(ISERROR(INDIRECT("CICLO_EM_EXECUCAO!E"&amp;(ROW()+10))),"",INDIRECT("CICLO_EM_EXECUCAO!E"&amp;(ROW()+10))))</f>
        <v/>
      </c>
      <c r="W119" s="213">
        <f>IF($A119="","",IF(ISERROR(INDIRECT("CICLO_EM_EXECUCAO!F"&amp;(ROW()+10))),"",INDIRECT("CICLO_EM_EXECUCAO!F"&amp;(ROW()+10))))</f>
        <v/>
      </c>
      <c r="X119" s="213">
        <f>IF($A119="","",IF(ISERROR(INDIRECT("CICLO_EM_EXECUCAO!G"&amp;(ROW()+10))),"",INDIRECT("CICLO_EM_EXECUCAO!G"&amp;(ROW()+10))))</f>
        <v/>
      </c>
      <c r="Y119">
        <f>IF($A119="","",IF(ISERROR(INDIRECT("CICLO_EM_EXECUCAO!K"&amp;(ROW()+10))),"CICLO_EM_EXECUCAO AUSENTE",INDIRECT("CICLO_EM_EXECUCAO!K"&amp;(ROW()+10))))</f>
        <v/>
      </c>
    </row>
    <row r="120">
      <c r="A120" s="116">
        <f>IF(AND(itens_Remanesc!A119="",itens_Remanesc!A118&lt;&gt;"",COUNTIF(itens_Remanesc!A120:$A$200,"&lt;&gt;")=0),"TOTAL",IF(itens_Remanesc!A119="","",itens_Remanesc!A119))</f>
        <v/>
      </c>
      <c r="B120" s="355">
        <f>IF(OR(historico_VU!A119="",historico_VU!C119=""),"",historico_VU!C119)</f>
        <v/>
      </c>
      <c r="C120" s="118">
        <f>IF(posicao_contratual!A119="","",posicao_contratual!G119)</f>
        <v/>
      </c>
      <c r="D120" s="355">
        <f>IF(A120="TOTAL",ROUND(SUM($D$3:D119),2),IF(OR(A120="",B120="",C120=""),"",ROUND(B120*C120,2)))</f>
        <v/>
      </c>
      <c r="E120" s="356">
        <f>IF(OR(historico_VU!A119="",historico_VU!D119=""),"",historico_VU!D119)</f>
        <v/>
      </c>
      <c r="F120" s="120">
        <f>IF(posicao_contratual!A119="","",posicao_contratual!K119)</f>
        <v/>
      </c>
      <c r="G120" s="356">
        <f>IF(A120="TOTAL",ROUND(SUM($G$3:G119),2),IF(OR(A120="",E120="",F120=""),"",ROUND(E120*F120,2)))</f>
        <v/>
      </c>
      <c r="H120" s="355">
        <f>IF(OR(historico_VU!A119="",historico_VU!E119=""),"",historico_VU!E119)</f>
        <v/>
      </c>
      <c r="I120" s="118">
        <f>IF(posicao_contratual!A119="","",posicao_contratual!O119)</f>
        <v/>
      </c>
      <c r="J120" s="355">
        <f>IF(A120="TOTAL",ROUND(SUM($J$3:J119),2),IF(OR(A120="",H120="",I120=""),"",ROUND(H120*I120,2)))</f>
        <v/>
      </c>
      <c r="K120" s="356">
        <f>IF(OR(historico_VU!A119="",historico_VU!F119=""),"",historico_VU!F119)</f>
        <v/>
      </c>
      <c r="L120" s="120">
        <f>IF(posicao_contratual!A119="","",posicao_contratual!S119)</f>
        <v/>
      </c>
      <c r="M120" s="356">
        <f>IF(A120="TOTAL",ROUND(SUM($M$3:M119),2),IF(OR(A120="",K120="",L120=""),"",ROUND(K120*L120,2)))</f>
        <v/>
      </c>
      <c r="N120" s="355">
        <f>IF(OR(historico_VU!A119="",historico_VU!G119=""),"",historico_VU!G119)</f>
        <v/>
      </c>
      <c r="O120" s="118">
        <f>IF(posicao_contratual!A119="","",posicao_contratual!W119)</f>
        <v/>
      </c>
      <c r="P120" s="355">
        <f>IF(A120="TOTAL",ROUND(SUM($P$3:P119),2),IF(OR(A120="",N120="",O120=""),"",ROUND(N120*O120,2)))</f>
        <v/>
      </c>
      <c r="Q120" s="195">
        <f>IF($A120="","",IF(ISERROR(INDIRECT("CICLO_EM_EXECUCAO!$D$5")),"",INDIRECT("CICLO_EM_EXECUCAO!$D$5")))</f>
        <v/>
      </c>
      <c r="R120">
        <f>IF($A120="","",IF(MEMORIA_RESULTADOS!$W$46="","","C"&amp;MEMORIA_RESULTADOS!$W$46))</f>
        <v/>
      </c>
      <c r="S120" s="273">
        <f>IF($A120="","",IF(ISERROR(INDIRECT("CICLO_EM_EXECUCAO!B"&amp;(ROW()+10))),"",INDIRECT("CICLO_EM_EXECUCAO!B"&amp;(ROW()+10))))</f>
        <v/>
      </c>
      <c r="T120" s="273">
        <f>IF($A120="","",IF(ISERROR(INDIRECT("CICLO_EM_EXECUCAO!D"&amp;(ROW()+10))),"",INDIRECT("CICLO_EM_EXECUCAO!D"&amp;(ROW()+10))))</f>
        <v/>
      </c>
      <c r="U120" s="273">
        <f>IF($A120="","",IF(ISERROR(INDIRECT("CICLO_EM_EXECUCAO!C"&amp;(ROW()+10))),"",INDIRECT("CICLO_EM_EXECUCAO!C"&amp;(ROW()+10))))</f>
        <v/>
      </c>
      <c r="V120" s="213">
        <f>IF($A120="","",IF(ISERROR(INDIRECT("CICLO_EM_EXECUCAO!E"&amp;(ROW()+10))),"",INDIRECT("CICLO_EM_EXECUCAO!E"&amp;(ROW()+10))))</f>
        <v/>
      </c>
      <c r="W120" s="213">
        <f>IF($A120="","",IF(ISERROR(INDIRECT("CICLO_EM_EXECUCAO!F"&amp;(ROW()+10))),"",INDIRECT("CICLO_EM_EXECUCAO!F"&amp;(ROW()+10))))</f>
        <v/>
      </c>
      <c r="X120" s="213">
        <f>IF($A120="","",IF(ISERROR(INDIRECT("CICLO_EM_EXECUCAO!G"&amp;(ROW()+10))),"",INDIRECT("CICLO_EM_EXECUCAO!G"&amp;(ROW()+10))))</f>
        <v/>
      </c>
      <c r="Y120">
        <f>IF($A120="","",IF(ISERROR(INDIRECT("CICLO_EM_EXECUCAO!K"&amp;(ROW()+10))),"CICLO_EM_EXECUCAO AUSENTE",INDIRECT("CICLO_EM_EXECUCAO!K"&amp;(ROW()+10))))</f>
        <v/>
      </c>
    </row>
    <row r="121">
      <c r="A121" s="116">
        <f>IF(AND(itens_Remanesc!A120="",itens_Remanesc!A119&lt;&gt;"",COUNTIF(itens_Remanesc!A121:$A$200,"&lt;&gt;")=0),"TOTAL",IF(itens_Remanesc!A120="","",itens_Remanesc!A120))</f>
        <v/>
      </c>
      <c r="B121" s="355">
        <f>IF(OR(historico_VU!A120="",historico_VU!C120=""),"",historico_VU!C120)</f>
        <v/>
      </c>
      <c r="C121" s="118">
        <f>IF(posicao_contratual!A120="","",posicao_contratual!G120)</f>
        <v/>
      </c>
      <c r="D121" s="355">
        <f>IF(A121="TOTAL",ROUND(SUM($D$3:D120),2),IF(OR(A121="",B121="",C121=""),"",ROUND(B121*C121,2)))</f>
        <v/>
      </c>
      <c r="E121" s="356">
        <f>IF(OR(historico_VU!A120="",historico_VU!D120=""),"",historico_VU!D120)</f>
        <v/>
      </c>
      <c r="F121" s="120">
        <f>IF(posicao_contratual!A120="","",posicao_contratual!K120)</f>
        <v/>
      </c>
      <c r="G121" s="356">
        <f>IF(A121="TOTAL",ROUND(SUM($G$3:G120),2),IF(OR(A121="",E121="",F121=""),"",ROUND(E121*F121,2)))</f>
        <v/>
      </c>
      <c r="H121" s="355">
        <f>IF(OR(historico_VU!A120="",historico_VU!E120=""),"",historico_VU!E120)</f>
        <v/>
      </c>
      <c r="I121" s="118">
        <f>IF(posicao_contratual!A120="","",posicao_contratual!O120)</f>
        <v/>
      </c>
      <c r="J121" s="355">
        <f>IF(A121="TOTAL",ROUND(SUM($J$3:J120),2),IF(OR(A121="",H121="",I121=""),"",ROUND(H121*I121,2)))</f>
        <v/>
      </c>
      <c r="K121" s="356">
        <f>IF(OR(historico_VU!A120="",historico_VU!F120=""),"",historico_VU!F120)</f>
        <v/>
      </c>
      <c r="L121" s="120">
        <f>IF(posicao_contratual!A120="","",posicao_contratual!S120)</f>
        <v/>
      </c>
      <c r="M121" s="356">
        <f>IF(A121="TOTAL",ROUND(SUM($M$3:M120),2),IF(OR(A121="",K121="",L121=""),"",ROUND(K121*L121,2)))</f>
        <v/>
      </c>
      <c r="N121" s="355">
        <f>IF(OR(historico_VU!A120="",historico_VU!G120=""),"",historico_VU!G120)</f>
        <v/>
      </c>
      <c r="O121" s="118">
        <f>IF(posicao_contratual!A120="","",posicao_contratual!W120)</f>
        <v/>
      </c>
      <c r="P121" s="355">
        <f>IF(A121="TOTAL",ROUND(SUM($P$3:P120),2),IF(OR(A121="",N121="",O121=""),"",ROUND(N121*O121,2)))</f>
        <v/>
      </c>
      <c r="Q121" s="195">
        <f>IF($A121="","",IF(ISERROR(INDIRECT("CICLO_EM_EXECUCAO!$D$5")),"",INDIRECT("CICLO_EM_EXECUCAO!$D$5")))</f>
        <v/>
      </c>
      <c r="R121">
        <f>IF($A121="","",IF(MEMORIA_RESULTADOS!$W$46="","","C"&amp;MEMORIA_RESULTADOS!$W$46))</f>
        <v/>
      </c>
      <c r="S121" s="273">
        <f>IF($A121="","",IF(ISERROR(INDIRECT("CICLO_EM_EXECUCAO!B"&amp;(ROW()+10))),"",INDIRECT("CICLO_EM_EXECUCAO!B"&amp;(ROW()+10))))</f>
        <v/>
      </c>
      <c r="T121" s="273">
        <f>IF($A121="","",IF(ISERROR(INDIRECT("CICLO_EM_EXECUCAO!D"&amp;(ROW()+10))),"",INDIRECT("CICLO_EM_EXECUCAO!D"&amp;(ROW()+10))))</f>
        <v/>
      </c>
      <c r="U121" s="273">
        <f>IF($A121="","",IF(ISERROR(INDIRECT("CICLO_EM_EXECUCAO!C"&amp;(ROW()+10))),"",INDIRECT("CICLO_EM_EXECUCAO!C"&amp;(ROW()+10))))</f>
        <v/>
      </c>
      <c r="V121" s="213">
        <f>IF($A121="","",IF(ISERROR(INDIRECT("CICLO_EM_EXECUCAO!E"&amp;(ROW()+10))),"",INDIRECT("CICLO_EM_EXECUCAO!E"&amp;(ROW()+10))))</f>
        <v/>
      </c>
      <c r="W121" s="213">
        <f>IF($A121="","",IF(ISERROR(INDIRECT("CICLO_EM_EXECUCAO!F"&amp;(ROW()+10))),"",INDIRECT("CICLO_EM_EXECUCAO!F"&amp;(ROW()+10))))</f>
        <v/>
      </c>
      <c r="X121" s="213">
        <f>IF($A121="","",IF(ISERROR(INDIRECT("CICLO_EM_EXECUCAO!G"&amp;(ROW()+10))),"",INDIRECT("CICLO_EM_EXECUCAO!G"&amp;(ROW()+10))))</f>
        <v/>
      </c>
      <c r="Y121">
        <f>IF($A121="","",IF(ISERROR(INDIRECT("CICLO_EM_EXECUCAO!K"&amp;(ROW()+10))),"CICLO_EM_EXECUCAO AUSENTE",INDIRECT("CICLO_EM_EXECUCAO!K"&amp;(ROW()+10))))</f>
        <v/>
      </c>
    </row>
    <row r="122">
      <c r="A122" s="116">
        <f>IF(AND(itens_Remanesc!A121="",itens_Remanesc!A120&lt;&gt;"",COUNTIF(itens_Remanesc!A122:$A$200,"&lt;&gt;")=0),"TOTAL",IF(itens_Remanesc!A121="","",itens_Remanesc!A121))</f>
        <v/>
      </c>
      <c r="B122" s="355">
        <f>IF(OR(historico_VU!A121="",historico_VU!C121=""),"",historico_VU!C121)</f>
        <v/>
      </c>
      <c r="C122" s="118">
        <f>IF(posicao_contratual!A121="","",posicao_contratual!G121)</f>
        <v/>
      </c>
      <c r="D122" s="355">
        <f>IF(A122="TOTAL",ROUND(SUM($D$3:D121),2),IF(OR(A122="",B122="",C122=""),"",ROUND(B122*C122,2)))</f>
        <v/>
      </c>
      <c r="E122" s="356">
        <f>IF(OR(historico_VU!A121="",historico_VU!D121=""),"",historico_VU!D121)</f>
        <v/>
      </c>
      <c r="F122" s="120">
        <f>IF(posicao_contratual!A121="","",posicao_contratual!K121)</f>
        <v/>
      </c>
      <c r="G122" s="356">
        <f>IF(A122="TOTAL",ROUND(SUM($G$3:G121),2),IF(OR(A122="",E122="",F122=""),"",ROUND(E122*F122,2)))</f>
        <v/>
      </c>
      <c r="H122" s="355">
        <f>IF(OR(historico_VU!A121="",historico_VU!E121=""),"",historico_VU!E121)</f>
        <v/>
      </c>
      <c r="I122" s="118">
        <f>IF(posicao_contratual!A121="","",posicao_contratual!O121)</f>
        <v/>
      </c>
      <c r="J122" s="355">
        <f>IF(A122="TOTAL",ROUND(SUM($J$3:J121),2),IF(OR(A122="",H122="",I122=""),"",ROUND(H122*I122,2)))</f>
        <v/>
      </c>
      <c r="K122" s="356">
        <f>IF(OR(historico_VU!A121="",historico_VU!F121=""),"",historico_VU!F121)</f>
        <v/>
      </c>
      <c r="L122" s="120">
        <f>IF(posicao_contratual!A121="","",posicao_contratual!S121)</f>
        <v/>
      </c>
      <c r="M122" s="356">
        <f>IF(A122="TOTAL",ROUND(SUM($M$3:M121),2),IF(OR(A122="",K122="",L122=""),"",ROUND(K122*L122,2)))</f>
        <v/>
      </c>
      <c r="N122" s="355">
        <f>IF(OR(historico_VU!A121="",historico_VU!G121=""),"",historico_VU!G121)</f>
        <v/>
      </c>
      <c r="O122" s="118">
        <f>IF(posicao_contratual!A121="","",posicao_contratual!W121)</f>
        <v/>
      </c>
      <c r="P122" s="355">
        <f>IF(A122="TOTAL",ROUND(SUM($P$3:P121),2),IF(OR(A122="",N122="",O122=""),"",ROUND(N122*O122,2)))</f>
        <v/>
      </c>
      <c r="Q122" s="195">
        <f>IF($A122="","",IF(ISERROR(INDIRECT("CICLO_EM_EXECUCAO!$D$5")),"",INDIRECT("CICLO_EM_EXECUCAO!$D$5")))</f>
        <v/>
      </c>
      <c r="R122">
        <f>IF($A122="","",IF(MEMORIA_RESULTADOS!$W$46="","","C"&amp;MEMORIA_RESULTADOS!$W$46))</f>
        <v/>
      </c>
      <c r="S122" s="273">
        <f>IF($A122="","",IF(ISERROR(INDIRECT("CICLO_EM_EXECUCAO!B"&amp;(ROW()+10))),"",INDIRECT("CICLO_EM_EXECUCAO!B"&amp;(ROW()+10))))</f>
        <v/>
      </c>
      <c r="T122" s="273">
        <f>IF($A122="","",IF(ISERROR(INDIRECT("CICLO_EM_EXECUCAO!D"&amp;(ROW()+10))),"",INDIRECT("CICLO_EM_EXECUCAO!D"&amp;(ROW()+10))))</f>
        <v/>
      </c>
      <c r="U122" s="273">
        <f>IF($A122="","",IF(ISERROR(INDIRECT("CICLO_EM_EXECUCAO!C"&amp;(ROW()+10))),"",INDIRECT("CICLO_EM_EXECUCAO!C"&amp;(ROW()+10))))</f>
        <v/>
      </c>
      <c r="V122" s="213">
        <f>IF($A122="","",IF(ISERROR(INDIRECT("CICLO_EM_EXECUCAO!E"&amp;(ROW()+10))),"",INDIRECT("CICLO_EM_EXECUCAO!E"&amp;(ROW()+10))))</f>
        <v/>
      </c>
      <c r="W122" s="213">
        <f>IF($A122="","",IF(ISERROR(INDIRECT("CICLO_EM_EXECUCAO!F"&amp;(ROW()+10))),"",INDIRECT("CICLO_EM_EXECUCAO!F"&amp;(ROW()+10))))</f>
        <v/>
      </c>
      <c r="X122" s="213">
        <f>IF($A122="","",IF(ISERROR(INDIRECT("CICLO_EM_EXECUCAO!G"&amp;(ROW()+10))),"",INDIRECT("CICLO_EM_EXECUCAO!G"&amp;(ROW()+10))))</f>
        <v/>
      </c>
      <c r="Y122">
        <f>IF($A122="","",IF(ISERROR(INDIRECT("CICLO_EM_EXECUCAO!K"&amp;(ROW()+10))),"CICLO_EM_EXECUCAO AUSENTE",INDIRECT("CICLO_EM_EXECUCAO!K"&amp;(ROW()+10))))</f>
        <v/>
      </c>
    </row>
    <row r="123">
      <c r="A123" s="116">
        <f>IF(AND(itens_Remanesc!A122="",itens_Remanesc!A121&lt;&gt;"",COUNTIF(itens_Remanesc!A123:$A$200,"&lt;&gt;")=0),"TOTAL",IF(itens_Remanesc!A122="","",itens_Remanesc!A122))</f>
        <v/>
      </c>
      <c r="B123" s="355">
        <f>IF(OR(historico_VU!A122="",historico_VU!C122=""),"",historico_VU!C122)</f>
        <v/>
      </c>
      <c r="C123" s="118">
        <f>IF(posicao_contratual!A122="","",posicao_contratual!G122)</f>
        <v/>
      </c>
      <c r="D123" s="355">
        <f>IF(A123="TOTAL",ROUND(SUM($D$3:D122),2),IF(OR(A123="",B123="",C123=""),"",ROUND(B123*C123,2)))</f>
        <v/>
      </c>
      <c r="E123" s="356">
        <f>IF(OR(historico_VU!A122="",historico_VU!D122=""),"",historico_VU!D122)</f>
        <v/>
      </c>
      <c r="F123" s="120">
        <f>IF(posicao_contratual!A122="","",posicao_contratual!K122)</f>
        <v/>
      </c>
      <c r="G123" s="356">
        <f>IF(A123="TOTAL",ROUND(SUM($G$3:G122),2),IF(OR(A123="",E123="",F123=""),"",ROUND(E123*F123,2)))</f>
        <v/>
      </c>
      <c r="H123" s="355">
        <f>IF(OR(historico_VU!A122="",historico_VU!E122=""),"",historico_VU!E122)</f>
        <v/>
      </c>
      <c r="I123" s="118">
        <f>IF(posicao_contratual!A122="","",posicao_contratual!O122)</f>
        <v/>
      </c>
      <c r="J123" s="355">
        <f>IF(A123="TOTAL",ROUND(SUM($J$3:J122),2),IF(OR(A123="",H123="",I123=""),"",ROUND(H123*I123,2)))</f>
        <v/>
      </c>
      <c r="K123" s="356">
        <f>IF(OR(historico_VU!A122="",historico_VU!F122=""),"",historico_VU!F122)</f>
        <v/>
      </c>
      <c r="L123" s="120">
        <f>IF(posicao_contratual!A122="","",posicao_contratual!S122)</f>
        <v/>
      </c>
      <c r="M123" s="356">
        <f>IF(A123="TOTAL",ROUND(SUM($M$3:M122),2),IF(OR(A123="",K123="",L123=""),"",ROUND(K123*L123,2)))</f>
        <v/>
      </c>
      <c r="N123" s="355">
        <f>IF(OR(historico_VU!A122="",historico_VU!G122=""),"",historico_VU!G122)</f>
        <v/>
      </c>
      <c r="O123" s="118">
        <f>IF(posicao_contratual!A122="","",posicao_contratual!W122)</f>
        <v/>
      </c>
      <c r="P123" s="355">
        <f>IF(A123="TOTAL",ROUND(SUM($P$3:P122),2),IF(OR(A123="",N123="",O123=""),"",ROUND(N123*O123,2)))</f>
        <v/>
      </c>
      <c r="Q123" s="195">
        <f>IF($A123="","",IF(ISERROR(INDIRECT("CICLO_EM_EXECUCAO!$D$5")),"",INDIRECT("CICLO_EM_EXECUCAO!$D$5")))</f>
        <v/>
      </c>
      <c r="R123">
        <f>IF($A123="","",IF(MEMORIA_RESULTADOS!$W$46="","","C"&amp;MEMORIA_RESULTADOS!$W$46))</f>
        <v/>
      </c>
      <c r="S123" s="273">
        <f>IF($A123="","",IF(ISERROR(INDIRECT("CICLO_EM_EXECUCAO!B"&amp;(ROW()+10))),"",INDIRECT("CICLO_EM_EXECUCAO!B"&amp;(ROW()+10))))</f>
        <v/>
      </c>
      <c r="T123" s="273">
        <f>IF($A123="","",IF(ISERROR(INDIRECT("CICLO_EM_EXECUCAO!D"&amp;(ROW()+10))),"",INDIRECT("CICLO_EM_EXECUCAO!D"&amp;(ROW()+10))))</f>
        <v/>
      </c>
      <c r="U123" s="273">
        <f>IF($A123="","",IF(ISERROR(INDIRECT("CICLO_EM_EXECUCAO!C"&amp;(ROW()+10))),"",INDIRECT("CICLO_EM_EXECUCAO!C"&amp;(ROW()+10))))</f>
        <v/>
      </c>
      <c r="V123" s="213">
        <f>IF($A123="","",IF(ISERROR(INDIRECT("CICLO_EM_EXECUCAO!E"&amp;(ROW()+10))),"",INDIRECT("CICLO_EM_EXECUCAO!E"&amp;(ROW()+10))))</f>
        <v/>
      </c>
      <c r="W123" s="213">
        <f>IF($A123="","",IF(ISERROR(INDIRECT("CICLO_EM_EXECUCAO!F"&amp;(ROW()+10))),"",INDIRECT("CICLO_EM_EXECUCAO!F"&amp;(ROW()+10))))</f>
        <v/>
      </c>
      <c r="X123" s="213">
        <f>IF($A123="","",IF(ISERROR(INDIRECT("CICLO_EM_EXECUCAO!G"&amp;(ROW()+10))),"",INDIRECT("CICLO_EM_EXECUCAO!G"&amp;(ROW()+10))))</f>
        <v/>
      </c>
      <c r="Y123">
        <f>IF($A123="","",IF(ISERROR(INDIRECT("CICLO_EM_EXECUCAO!K"&amp;(ROW()+10))),"CICLO_EM_EXECUCAO AUSENTE",INDIRECT("CICLO_EM_EXECUCAO!K"&amp;(ROW()+10))))</f>
        <v/>
      </c>
    </row>
    <row r="124">
      <c r="A124" s="116">
        <f>IF(AND(itens_Remanesc!A123="",itens_Remanesc!A122&lt;&gt;"",COUNTIF(itens_Remanesc!A124:$A$200,"&lt;&gt;")=0),"TOTAL",IF(itens_Remanesc!A123="","",itens_Remanesc!A123))</f>
        <v/>
      </c>
      <c r="B124" s="355">
        <f>IF(OR(historico_VU!A123="",historico_VU!C123=""),"",historico_VU!C123)</f>
        <v/>
      </c>
      <c r="C124" s="118">
        <f>IF(posicao_contratual!A123="","",posicao_contratual!G123)</f>
        <v/>
      </c>
      <c r="D124" s="355">
        <f>IF(A124="TOTAL",ROUND(SUM($D$3:D123),2),IF(OR(A124="",B124="",C124=""),"",ROUND(B124*C124,2)))</f>
        <v/>
      </c>
      <c r="E124" s="356">
        <f>IF(OR(historico_VU!A123="",historico_VU!D123=""),"",historico_VU!D123)</f>
        <v/>
      </c>
      <c r="F124" s="120">
        <f>IF(posicao_contratual!A123="","",posicao_contratual!K123)</f>
        <v/>
      </c>
      <c r="G124" s="356">
        <f>IF(A124="TOTAL",ROUND(SUM($G$3:G123),2),IF(OR(A124="",E124="",F124=""),"",ROUND(E124*F124,2)))</f>
        <v/>
      </c>
      <c r="H124" s="355">
        <f>IF(OR(historico_VU!A123="",historico_VU!E123=""),"",historico_VU!E123)</f>
        <v/>
      </c>
      <c r="I124" s="118">
        <f>IF(posicao_contratual!A123="","",posicao_contratual!O123)</f>
        <v/>
      </c>
      <c r="J124" s="355">
        <f>IF(A124="TOTAL",ROUND(SUM($J$3:J123),2),IF(OR(A124="",H124="",I124=""),"",ROUND(H124*I124,2)))</f>
        <v/>
      </c>
      <c r="K124" s="356">
        <f>IF(OR(historico_VU!A123="",historico_VU!F123=""),"",historico_VU!F123)</f>
        <v/>
      </c>
      <c r="L124" s="120">
        <f>IF(posicao_contratual!A123="","",posicao_contratual!S123)</f>
        <v/>
      </c>
      <c r="M124" s="356">
        <f>IF(A124="TOTAL",ROUND(SUM($M$3:M123),2),IF(OR(A124="",K124="",L124=""),"",ROUND(K124*L124,2)))</f>
        <v/>
      </c>
      <c r="N124" s="355">
        <f>IF(OR(historico_VU!A123="",historico_VU!G123=""),"",historico_VU!G123)</f>
        <v/>
      </c>
      <c r="O124" s="118">
        <f>IF(posicao_contratual!A123="","",posicao_contratual!W123)</f>
        <v/>
      </c>
      <c r="P124" s="355">
        <f>IF(A124="TOTAL",ROUND(SUM($P$3:P123),2),IF(OR(A124="",N124="",O124=""),"",ROUND(N124*O124,2)))</f>
        <v/>
      </c>
      <c r="Q124" s="195">
        <f>IF($A124="","",IF(ISERROR(INDIRECT("CICLO_EM_EXECUCAO!$D$5")),"",INDIRECT("CICLO_EM_EXECUCAO!$D$5")))</f>
        <v/>
      </c>
      <c r="R124">
        <f>IF($A124="","",IF(MEMORIA_RESULTADOS!$W$46="","","C"&amp;MEMORIA_RESULTADOS!$W$46))</f>
        <v/>
      </c>
      <c r="S124" s="273">
        <f>IF($A124="","",IF(ISERROR(INDIRECT("CICLO_EM_EXECUCAO!B"&amp;(ROW()+10))),"",INDIRECT("CICLO_EM_EXECUCAO!B"&amp;(ROW()+10))))</f>
        <v/>
      </c>
      <c r="T124" s="273">
        <f>IF($A124="","",IF(ISERROR(INDIRECT("CICLO_EM_EXECUCAO!D"&amp;(ROW()+10))),"",INDIRECT("CICLO_EM_EXECUCAO!D"&amp;(ROW()+10))))</f>
        <v/>
      </c>
      <c r="U124" s="273">
        <f>IF($A124="","",IF(ISERROR(INDIRECT("CICLO_EM_EXECUCAO!C"&amp;(ROW()+10))),"",INDIRECT("CICLO_EM_EXECUCAO!C"&amp;(ROW()+10))))</f>
        <v/>
      </c>
      <c r="V124" s="213">
        <f>IF($A124="","",IF(ISERROR(INDIRECT("CICLO_EM_EXECUCAO!E"&amp;(ROW()+10))),"",INDIRECT("CICLO_EM_EXECUCAO!E"&amp;(ROW()+10))))</f>
        <v/>
      </c>
      <c r="W124" s="213">
        <f>IF($A124="","",IF(ISERROR(INDIRECT("CICLO_EM_EXECUCAO!F"&amp;(ROW()+10))),"",INDIRECT("CICLO_EM_EXECUCAO!F"&amp;(ROW()+10))))</f>
        <v/>
      </c>
      <c r="X124" s="213">
        <f>IF($A124="","",IF(ISERROR(INDIRECT("CICLO_EM_EXECUCAO!G"&amp;(ROW()+10))),"",INDIRECT("CICLO_EM_EXECUCAO!G"&amp;(ROW()+10))))</f>
        <v/>
      </c>
      <c r="Y124">
        <f>IF($A124="","",IF(ISERROR(INDIRECT("CICLO_EM_EXECUCAO!K"&amp;(ROW()+10))),"CICLO_EM_EXECUCAO AUSENTE",INDIRECT("CICLO_EM_EXECUCAO!K"&amp;(ROW()+10))))</f>
        <v/>
      </c>
    </row>
    <row r="125">
      <c r="A125" s="116">
        <f>IF(AND(itens_Remanesc!A124="",itens_Remanesc!A123&lt;&gt;"",COUNTIF(itens_Remanesc!A125:$A$200,"&lt;&gt;")=0),"TOTAL",IF(itens_Remanesc!A124="","",itens_Remanesc!A124))</f>
        <v/>
      </c>
      <c r="B125" s="355">
        <f>IF(OR(historico_VU!A124="",historico_VU!C124=""),"",historico_VU!C124)</f>
        <v/>
      </c>
      <c r="C125" s="118">
        <f>IF(posicao_contratual!A124="","",posicao_contratual!G124)</f>
        <v/>
      </c>
      <c r="D125" s="355">
        <f>IF(A125="TOTAL",ROUND(SUM($D$3:D124),2),IF(OR(A125="",B125="",C125=""),"",ROUND(B125*C125,2)))</f>
        <v/>
      </c>
      <c r="E125" s="356">
        <f>IF(OR(historico_VU!A124="",historico_VU!D124=""),"",historico_VU!D124)</f>
        <v/>
      </c>
      <c r="F125" s="120">
        <f>IF(posicao_contratual!A124="","",posicao_contratual!K124)</f>
        <v/>
      </c>
      <c r="G125" s="356">
        <f>IF(A125="TOTAL",ROUND(SUM($G$3:G124),2),IF(OR(A125="",E125="",F125=""),"",ROUND(E125*F125,2)))</f>
        <v/>
      </c>
      <c r="H125" s="355">
        <f>IF(OR(historico_VU!A124="",historico_VU!E124=""),"",historico_VU!E124)</f>
        <v/>
      </c>
      <c r="I125" s="118">
        <f>IF(posicao_contratual!A124="","",posicao_contratual!O124)</f>
        <v/>
      </c>
      <c r="J125" s="355">
        <f>IF(A125="TOTAL",ROUND(SUM($J$3:J124),2),IF(OR(A125="",H125="",I125=""),"",ROUND(H125*I125,2)))</f>
        <v/>
      </c>
      <c r="K125" s="356">
        <f>IF(OR(historico_VU!A124="",historico_VU!F124=""),"",historico_VU!F124)</f>
        <v/>
      </c>
      <c r="L125" s="120">
        <f>IF(posicao_contratual!A124="","",posicao_contratual!S124)</f>
        <v/>
      </c>
      <c r="M125" s="356">
        <f>IF(A125="TOTAL",ROUND(SUM($M$3:M124),2),IF(OR(A125="",K125="",L125=""),"",ROUND(K125*L125,2)))</f>
        <v/>
      </c>
      <c r="N125" s="355">
        <f>IF(OR(historico_VU!A124="",historico_VU!G124=""),"",historico_VU!G124)</f>
        <v/>
      </c>
      <c r="O125" s="118">
        <f>IF(posicao_contratual!A124="","",posicao_contratual!W124)</f>
        <v/>
      </c>
      <c r="P125" s="355">
        <f>IF(A125="TOTAL",ROUND(SUM($P$3:P124),2),IF(OR(A125="",N125="",O125=""),"",ROUND(N125*O125,2)))</f>
        <v/>
      </c>
      <c r="Q125" s="195">
        <f>IF($A125="","",IF(ISERROR(INDIRECT("CICLO_EM_EXECUCAO!$D$5")),"",INDIRECT("CICLO_EM_EXECUCAO!$D$5")))</f>
        <v/>
      </c>
      <c r="R125">
        <f>IF($A125="","",IF(MEMORIA_RESULTADOS!$W$46="","","C"&amp;MEMORIA_RESULTADOS!$W$46))</f>
        <v/>
      </c>
      <c r="S125" s="273">
        <f>IF($A125="","",IF(ISERROR(INDIRECT("CICLO_EM_EXECUCAO!B"&amp;(ROW()+10))),"",INDIRECT("CICLO_EM_EXECUCAO!B"&amp;(ROW()+10))))</f>
        <v/>
      </c>
      <c r="T125" s="273">
        <f>IF($A125="","",IF(ISERROR(INDIRECT("CICLO_EM_EXECUCAO!D"&amp;(ROW()+10))),"",INDIRECT("CICLO_EM_EXECUCAO!D"&amp;(ROW()+10))))</f>
        <v/>
      </c>
      <c r="U125" s="273">
        <f>IF($A125="","",IF(ISERROR(INDIRECT("CICLO_EM_EXECUCAO!C"&amp;(ROW()+10))),"",INDIRECT("CICLO_EM_EXECUCAO!C"&amp;(ROW()+10))))</f>
        <v/>
      </c>
      <c r="V125" s="213">
        <f>IF($A125="","",IF(ISERROR(INDIRECT("CICLO_EM_EXECUCAO!E"&amp;(ROW()+10))),"",INDIRECT("CICLO_EM_EXECUCAO!E"&amp;(ROW()+10))))</f>
        <v/>
      </c>
      <c r="W125" s="213">
        <f>IF($A125="","",IF(ISERROR(INDIRECT("CICLO_EM_EXECUCAO!F"&amp;(ROW()+10))),"",INDIRECT("CICLO_EM_EXECUCAO!F"&amp;(ROW()+10))))</f>
        <v/>
      </c>
      <c r="X125" s="213">
        <f>IF($A125="","",IF(ISERROR(INDIRECT("CICLO_EM_EXECUCAO!G"&amp;(ROW()+10))),"",INDIRECT("CICLO_EM_EXECUCAO!G"&amp;(ROW()+10))))</f>
        <v/>
      </c>
      <c r="Y125">
        <f>IF($A125="","",IF(ISERROR(INDIRECT("CICLO_EM_EXECUCAO!K"&amp;(ROW()+10))),"CICLO_EM_EXECUCAO AUSENTE",INDIRECT("CICLO_EM_EXECUCAO!K"&amp;(ROW()+10))))</f>
        <v/>
      </c>
    </row>
    <row r="126">
      <c r="A126" s="116">
        <f>IF(AND(itens_Remanesc!A125="",itens_Remanesc!A124&lt;&gt;"",COUNTIF(itens_Remanesc!A126:$A$200,"&lt;&gt;")=0),"TOTAL",IF(itens_Remanesc!A125="","",itens_Remanesc!A125))</f>
        <v/>
      </c>
      <c r="B126" s="355">
        <f>IF(OR(historico_VU!A125="",historico_VU!C125=""),"",historico_VU!C125)</f>
        <v/>
      </c>
      <c r="C126" s="118">
        <f>IF(posicao_contratual!A125="","",posicao_contratual!G125)</f>
        <v/>
      </c>
      <c r="D126" s="355">
        <f>IF(A126="TOTAL",ROUND(SUM($D$3:D125),2),IF(OR(A126="",B126="",C126=""),"",ROUND(B126*C126,2)))</f>
        <v/>
      </c>
      <c r="E126" s="356">
        <f>IF(OR(historico_VU!A125="",historico_VU!D125=""),"",historico_VU!D125)</f>
        <v/>
      </c>
      <c r="F126" s="120">
        <f>IF(posicao_contratual!A125="","",posicao_contratual!K125)</f>
        <v/>
      </c>
      <c r="G126" s="356">
        <f>IF(A126="TOTAL",ROUND(SUM($G$3:G125),2),IF(OR(A126="",E126="",F126=""),"",ROUND(E126*F126,2)))</f>
        <v/>
      </c>
      <c r="H126" s="355">
        <f>IF(OR(historico_VU!A125="",historico_VU!E125=""),"",historico_VU!E125)</f>
        <v/>
      </c>
      <c r="I126" s="118">
        <f>IF(posicao_contratual!A125="","",posicao_contratual!O125)</f>
        <v/>
      </c>
      <c r="J126" s="355">
        <f>IF(A126="TOTAL",ROUND(SUM($J$3:J125),2),IF(OR(A126="",H126="",I126=""),"",ROUND(H126*I126,2)))</f>
        <v/>
      </c>
      <c r="K126" s="356">
        <f>IF(OR(historico_VU!A125="",historico_VU!F125=""),"",historico_VU!F125)</f>
        <v/>
      </c>
      <c r="L126" s="120">
        <f>IF(posicao_contratual!A125="","",posicao_contratual!S125)</f>
        <v/>
      </c>
      <c r="M126" s="356">
        <f>IF(A126="TOTAL",ROUND(SUM($M$3:M125),2),IF(OR(A126="",K126="",L126=""),"",ROUND(K126*L126,2)))</f>
        <v/>
      </c>
      <c r="N126" s="355">
        <f>IF(OR(historico_VU!A125="",historico_VU!G125=""),"",historico_VU!G125)</f>
        <v/>
      </c>
      <c r="O126" s="118">
        <f>IF(posicao_contratual!A125="","",posicao_contratual!W125)</f>
        <v/>
      </c>
      <c r="P126" s="355">
        <f>IF(A126="TOTAL",ROUND(SUM($P$3:P125),2),IF(OR(A126="",N126="",O126=""),"",ROUND(N126*O126,2)))</f>
        <v/>
      </c>
      <c r="Q126" s="195">
        <f>IF($A126="","",IF(ISERROR(INDIRECT("CICLO_EM_EXECUCAO!$D$5")),"",INDIRECT("CICLO_EM_EXECUCAO!$D$5")))</f>
        <v/>
      </c>
      <c r="R126">
        <f>IF($A126="","",IF(MEMORIA_RESULTADOS!$W$46="","","C"&amp;MEMORIA_RESULTADOS!$W$46))</f>
        <v/>
      </c>
      <c r="S126" s="273">
        <f>IF($A126="","",IF(ISERROR(INDIRECT("CICLO_EM_EXECUCAO!B"&amp;(ROW()+10))),"",INDIRECT("CICLO_EM_EXECUCAO!B"&amp;(ROW()+10))))</f>
        <v/>
      </c>
      <c r="T126" s="273">
        <f>IF($A126="","",IF(ISERROR(INDIRECT("CICLO_EM_EXECUCAO!D"&amp;(ROW()+10))),"",INDIRECT("CICLO_EM_EXECUCAO!D"&amp;(ROW()+10))))</f>
        <v/>
      </c>
      <c r="U126" s="273">
        <f>IF($A126="","",IF(ISERROR(INDIRECT("CICLO_EM_EXECUCAO!C"&amp;(ROW()+10))),"",INDIRECT("CICLO_EM_EXECUCAO!C"&amp;(ROW()+10))))</f>
        <v/>
      </c>
      <c r="V126" s="213">
        <f>IF($A126="","",IF(ISERROR(INDIRECT("CICLO_EM_EXECUCAO!E"&amp;(ROW()+10))),"",INDIRECT("CICLO_EM_EXECUCAO!E"&amp;(ROW()+10))))</f>
        <v/>
      </c>
      <c r="W126" s="213">
        <f>IF($A126="","",IF(ISERROR(INDIRECT("CICLO_EM_EXECUCAO!F"&amp;(ROW()+10))),"",INDIRECT("CICLO_EM_EXECUCAO!F"&amp;(ROW()+10))))</f>
        <v/>
      </c>
      <c r="X126" s="213">
        <f>IF($A126="","",IF(ISERROR(INDIRECT("CICLO_EM_EXECUCAO!G"&amp;(ROW()+10))),"",INDIRECT("CICLO_EM_EXECUCAO!G"&amp;(ROW()+10))))</f>
        <v/>
      </c>
      <c r="Y126">
        <f>IF($A126="","",IF(ISERROR(INDIRECT("CICLO_EM_EXECUCAO!K"&amp;(ROW()+10))),"CICLO_EM_EXECUCAO AUSENTE",INDIRECT("CICLO_EM_EXECUCAO!K"&amp;(ROW()+10))))</f>
        <v/>
      </c>
    </row>
    <row r="127">
      <c r="A127" s="116">
        <f>IF(AND(itens_Remanesc!A126="",itens_Remanesc!A125&lt;&gt;"",COUNTIF(itens_Remanesc!A127:$A$200,"&lt;&gt;")=0),"TOTAL",IF(itens_Remanesc!A126="","",itens_Remanesc!A126))</f>
        <v/>
      </c>
      <c r="B127" s="355">
        <f>IF(OR(historico_VU!A126="",historico_VU!C126=""),"",historico_VU!C126)</f>
        <v/>
      </c>
      <c r="C127" s="118">
        <f>IF(posicao_contratual!A126="","",posicao_contratual!G126)</f>
        <v/>
      </c>
      <c r="D127" s="355">
        <f>IF(A127="TOTAL",ROUND(SUM($D$3:D126),2),IF(OR(A127="",B127="",C127=""),"",ROUND(B127*C127,2)))</f>
        <v/>
      </c>
      <c r="E127" s="356">
        <f>IF(OR(historico_VU!A126="",historico_VU!D126=""),"",historico_VU!D126)</f>
        <v/>
      </c>
      <c r="F127" s="120">
        <f>IF(posicao_contratual!A126="","",posicao_contratual!K126)</f>
        <v/>
      </c>
      <c r="G127" s="356">
        <f>IF(A127="TOTAL",ROUND(SUM($G$3:G126),2),IF(OR(A127="",E127="",F127=""),"",ROUND(E127*F127,2)))</f>
        <v/>
      </c>
      <c r="H127" s="355">
        <f>IF(OR(historico_VU!A126="",historico_VU!E126=""),"",historico_VU!E126)</f>
        <v/>
      </c>
      <c r="I127" s="118">
        <f>IF(posicao_contratual!A126="","",posicao_contratual!O126)</f>
        <v/>
      </c>
      <c r="J127" s="355">
        <f>IF(A127="TOTAL",ROUND(SUM($J$3:J126),2),IF(OR(A127="",H127="",I127=""),"",ROUND(H127*I127,2)))</f>
        <v/>
      </c>
      <c r="K127" s="356">
        <f>IF(OR(historico_VU!A126="",historico_VU!F126=""),"",historico_VU!F126)</f>
        <v/>
      </c>
      <c r="L127" s="120">
        <f>IF(posicao_contratual!A126="","",posicao_contratual!S126)</f>
        <v/>
      </c>
      <c r="M127" s="356">
        <f>IF(A127="TOTAL",ROUND(SUM($M$3:M126),2),IF(OR(A127="",K127="",L127=""),"",ROUND(K127*L127,2)))</f>
        <v/>
      </c>
      <c r="N127" s="355">
        <f>IF(OR(historico_VU!A126="",historico_VU!G126=""),"",historico_VU!G126)</f>
        <v/>
      </c>
      <c r="O127" s="118">
        <f>IF(posicao_contratual!A126="","",posicao_contratual!W126)</f>
        <v/>
      </c>
      <c r="P127" s="355">
        <f>IF(A127="TOTAL",ROUND(SUM($P$3:P126),2),IF(OR(A127="",N127="",O127=""),"",ROUND(N127*O127,2)))</f>
        <v/>
      </c>
      <c r="Q127" s="195">
        <f>IF($A127="","",IF(ISERROR(INDIRECT("CICLO_EM_EXECUCAO!$D$5")),"",INDIRECT("CICLO_EM_EXECUCAO!$D$5")))</f>
        <v/>
      </c>
      <c r="R127">
        <f>IF($A127="","",IF(MEMORIA_RESULTADOS!$W$46="","","C"&amp;MEMORIA_RESULTADOS!$W$46))</f>
        <v/>
      </c>
      <c r="S127" s="273">
        <f>IF($A127="","",IF(ISERROR(INDIRECT("CICLO_EM_EXECUCAO!B"&amp;(ROW()+10))),"",INDIRECT("CICLO_EM_EXECUCAO!B"&amp;(ROW()+10))))</f>
        <v/>
      </c>
      <c r="T127" s="273">
        <f>IF($A127="","",IF(ISERROR(INDIRECT("CICLO_EM_EXECUCAO!D"&amp;(ROW()+10))),"",INDIRECT("CICLO_EM_EXECUCAO!D"&amp;(ROW()+10))))</f>
        <v/>
      </c>
      <c r="U127" s="273">
        <f>IF($A127="","",IF(ISERROR(INDIRECT("CICLO_EM_EXECUCAO!C"&amp;(ROW()+10))),"",INDIRECT("CICLO_EM_EXECUCAO!C"&amp;(ROW()+10))))</f>
        <v/>
      </c>
      <c r="V127" s="213">
        <f>IF($A127="","",IF(ISERROR(INDIRECT("CICLO_EM_EXECUCAO!E"&amp;(ROW()+10))),"",INDIRECT("CICLO_EM_EXECUCAO!E"&amp;(ROW()+10))))</f>
        <v/>
      </c>
      <c r="W127" s="213">
        <f>IF($A127="","",IF(ISERROR(INDIRECT("CICLO_EM_EXECUCAO!F"&amp;(ROW()+10))),"",INDIRECT("CICLO_EM_EXECUCAO!F"&amp;(ROW()+10))))</f>
        <v/>
      </c>
      <c r="X127" s="213">
        <f>IF($A127="","",IF(ISERROR(INDIRECT("CICLO_EM_EXECUCAO!G"&amp;(ROW()+10))),"",INDIRECT("CICLO_EM_EXECUCAO!G"&amp;(ROW()+10))))</f>
        <v/>
      </c>
      <c r="Y127">
        <f>IF($A127="","",IF(ISERROR(INDIRECT("CICLO_EM_EXECUCAO!K"&amp;(ROW()+10))),"CICLO_EM_EXECUCAO AUSENTE",INDIRECT("CICLO_EM_EXECUCAO!K"&amp;(ROW()+10))))</f>
        <v/>
      </c>
    </row>
    <row r="128">
      <c r="A128" s="116">
        <f>IF(AND(itens_Remanesc!A127="",itens_Remanesc!A126&lt;&gt;"",COUNTIF(itens_Remanesc!A128:$A$200,"&lt;&gt;")=0),"TOTAL",IF(itens_Remanesc!A127="","",itens_Remanesc!A127))</f>
        <v/>
      </c>
      <c r="B128" s="355">
        <f>IF(OR(historico_VU!A127="",historico_VU!C127=""),"",historico_VU!C127)</f>
        <v/>
      </c>
      <c r="C128" s="118">
        <f>IF(posicao_contratual!A127="","",posicao_contratual!G127)</f>
        <v/>
      </c>
      <c r="D128" s="355">
        <f>IF(A128="TOTAL",ROUND(SUM($D$3:D127),2),IF(OR(A128="",B128="",C128=""),"",ROUND(B128*C128,2)))</f>
        <v/>
      </c>
      <c r="E128" s="356">
        <f>IF(OR(historico_VU!A127="",historico_VU!D127=""),"",historico_VU!D127)</f>
        <v/>
      </c>
      <c r="F128" s="120">
        <f>IF(posicao_contratual!A127="","",posicao_contratual!K127)</f>
        <v/>
      </c>
      <c r="G128" s="356">
        <f>IF(A128="TOTAL",ROUND(SUM($G$3:G127),2),IF(OR(A128="",E128="",F128=""),"",ROUND(E128*F128,2)))</f>
        <v/>
      </c>
      <c r="H128" s="355">
        <f>IF(OR(historico_VU!A127="",historico_VU!E127=""),"",historico_VU!E127)</f>
        <v/>
      </c>
      <c r="I128" s="118">
        <f>IF(posicao_contratual!A127="","",posicao_contratual!O127)</f>
        <v/>
      </c>
      <c r="J128" s="355">
        <f>IF(A128="TOTAL",ROUND(SUM($J$3:J127),2),IF(OR(A128="",H128="",I128=""),"",ROUND(H128*I128,2)))</f>
        <v/>
      </c>
      <c r="K128" s="356">
        <f>IF(OR(historico_VU!A127="",historico_VU!F127=""),"",historico_VU!F127)</f>
        <v/>
      </c>
      <c r="L128" s="120">
        <f>IF(posicao_contratual!A127="","",posicao_contratual!S127)</f>
        <v/>
      </c>
      <c r="M128" s="356">
        <f>IF(A128="TOTAL",ROUND(SUM($M$3:M127),2),IF(OR(A128="",K128="",L128=""),"",ROUND(K128*L128,2)))</f>
        <v/>
      </c>
      <c r="N128" s="355">
        <f>IF(OR(historico_VU!A127="",historico_VU!G127=""),"",historico_VU!G127)</f>
        <v/>
      </c>
      <c r="O128" s="118">
        <f>IF(posicao_contratual!A127="","",posicao_contratual!W127)</f>
        <v/>
      </c>
      <c r="P128" s="355">
        <f>IF(A128="TOTAL",ROUND(SUM($P$3:P127),2),IF(OR(A128="",N128="",O128=""),"",ROUND(N128*O128,2)))</f>
        <v/>
      </c>
      <c r="Q128" s="195">
        <f>IF($A128="","",IF(ISERROR(INDIRECT("CICLO_EM_EXECUCAO!$D$5")),"",INDIRECT("CICLO_EM_EXECUCAO!$D$5")))</f>
        <v/>
      </c>
      <c r="R128">
        <f>IF($A128="","",IF(MEMORIA_RESULTADOS!$W$46="","","C"&amp;MEMORIA_RESULTADOS!$W$46))</f>
        <v/>
      </c>
      <c r="S128" s="273">
        <f>IF($A128="","",IF(ISERROR(INDIRECT("CICLO_EM_EXECUCAO!B"&amp;(ROW()+10))),"",INDIRECT("CICLO_EM_EXECUCAO!B"&amp;(ROW()+10))))</f>
        <v/>
      </c>
      <c r="T128" s="273">
        <f>IF($A128="","",IF(ISERROR(INDIRECT("CICLO_EM_EXECUCAO!D"&amp;(ROW()+10))),"",INDIRECT("CICLO_EM_EXECUCAO!D"&amp;(ROW()+10))))</f>
        <v/>
      </c>
      <c r="U128" s="273">
        <f>IF($A128="","",IF(ISERROR(INDIRECT("CICLO_EM_EXECUCAO!C"&amp;(ROW()+10))),"",INDIRECT("CICLO_EM_EXECUCAO!C"&amp;(ROW()+10))))</f>
        <v/>
      </c>
      <c r="V128" s="213">
        <f>IF($A128="","",IF(ISERROR(INDIRECT("CICLO_EM_EXECUCAO!E"&amp;(ROW()+10))),"",INDIRECT("CICLO_EM_EXECUCAO!E"&amp;(ROW()+10))))</f>
        <v/>
      </c>
      <c r="W128" s="213">
        <f>IF($A128="","",IF(ISERROR(INDIRECT("CICLO_EM_EXECUCAO!F"&amp;(ROW()+10))),"",INDIRECT("CICLO_EM_EXECUCAO!F"&amp;(ROW()+10))))</f>
        <v/>
      </c>
      <c r="X128" s="213">
        <f>IF($A128="","",IF(ISERROR(INDIRECT("CICLO_EM_EXECUCAO!G"&amp;(ROW()+10))),"",INDIRECT("CICLO_EM_EXECUCAO!G"&amp;(ROW()+10))))</f>
        <v/>
      </c>
      <c r="Y128">
        <f>IF($A128="","",IF(ISERROR(INDIRECT("CICLO_EM_EXECUCAO!K"&amp;(ROW()+10))),"CICLO_EM_EXECUCAO AUSENTE",INDIRECT("CICLO_EM_EXECUCAO!K"&amp;(ROW()+10))))</f>
        <v/>
      </c>
    </row>
    <row r="129">
      <c r="A129" s="116">
        <f>IF(AND(itens_Remanesc!A128="",itens_Remanesc!A127&lt;&gt;"",COUNTIF(itens_Remanesc!A129:$A$200,"&lt;&gt;")=0),"TOTAL",IF(itens_Remanesc!A128="","",itens_Remanesc!A128))</f>
        <v/>
      </c>
      <c r="B129" s="355">
        <f>IF(OR(historico_VU!A128="",historico_VU!C128=""),"",historico_VU!C128)</f>
        <v/>
      </c>
      <c r="C129" s="118">
        <f>IF(posicao_contratual!A128="","",posicao_contratual!G128)</f>
        <v/>
      </c>
      <c r="D129" s="355">
        <f>IF(A129="TOTAL",ROUND(SUM($D$3:D128),2),IF(OR(A129="",B129="",C129=""),"",ROUND(B129*C129,2)))</f>
        <v/>
      </c>
      <c r="E129" s="356">
        <f>IF(OR(historico_VU!A128="",historico_VU!D128=""),"",historico_VU!D128)</f>
        <v/>
      </c>
      <c r="F129" s="120">
        <f>IF(posicao_contratual!A128="","",posicao_contratual!K128)</f>
        <v/>
      </c>
      <c r="G129" s="356">
        <f>IF(A129="TOTAL",ROUND(SUM($G$3:G128),2),IF(OR(A129="",E129="",F129=""),"",ROUND(E129*F129,2)))</f>
        <v/>
      </c>
      <c r="H129" s="355">
        <f>IF(OR(historico_VU!A128="",historico_VU!E128=""),"",historico_VU!E128)</f>
        <v/>
      </c>
      <c r="I129" s="118">
        <f>IF(posicao_contratual!A128="","",posicao_contratual!O128)</f>
        <v/>
      </c>
      <c r="J129" s="355">
        <f>IF(A129="TOTAL",ROUND(SUM($J$3:J128),2),IF(OR(A129="",H129="",I129=""),"",ROUND(H129*I129,2)))</f>
        <v/>
      </c>
      <c r="K129" s="356">
        <f>IF(OR(historico_VU!A128="",historico_VU!F128=""),"",historico_VU!F128)</f>
        <v/>
      </c>
      <c r="L129" s="120">
        <f>IF(posicao_contratual!A128="","",posicao_contratual!S128)</f>
        <v/>
      </c>
      <c r="M129" s="356">
        <f>IF(A129="TOTAL",ROUND(SUM($M$3:M128),2),IF(OR(A129="",K129="",L129=""),"",ROUND(K129*L129,2)))</f>
        <v/>
      </c>
      <c r="N129" s="355">
        <f>IF(OR(historico_VU!A128="",historico_VU!G128=""),"",historico_VU!G128)</f>
        <v/>
      </c>
      <c r="O129" s="118">
        <f>IF(posicao_contratual!A128="","",posicao_contratual!W128)</f>
        <v/>
      </c>
      <c r="P129" s="355">
        <f>IF(A129="TOTAL",ROUND(SUM($P$3:P128),2),IF(OR(A129="",N129="",O129=""),"",ROUND(N129*O129,2)))</f>
        <v/>
      </c>
      <c r="Q129" s="195">
        <f>IF($A129="","",IF(ISERROR(INDIRECT("CICLO_EM_EXECUCAO!$D$5")),"",INDIRECT("CICLO_EM_EXECUCAO!$D$5")))</f>
        <v/>
      </c>
      <c r="R129">
        <f>IF($A129="","",IF(MEMORIA_RESULTADOS!$W$46="","","C"&amp;MEMORIA_RESULTADOS!$W$46))</f>
        <v/>
      </c>
      <c r="S129" s="273">
        <f>IF($A129="","",IF(ISERROR(INDIRECT("CICLO_EM_EXECUCAO!B"&amp;(ROW()+10))),"",INDIRECT("CICLO_EM_EXECUCAO!B"&amp;(ROW()+10))))</f>
        <v/>
      </c>
      <c r="T129" s="273">
        <f>IF($A129="","",IF(ISERROR(INDIRECT("CICLO_EM_EXECUCAO!D"&amp;(ROW()+10))),"",INDIRECT("CICLO_EM_EXECUCAO!D"&amp;(ROW()+10))))</f>
        <v/>
      </c>
      <c r="U129" s="273">
        <f>IF($A129="","",IF(ISERROR(INDIRECT("CICLO_EM_EXECUCAO!C"&amp;(ROW()+10))),"",INDIRECT("CICLO_EM_EXECUCAO!C"&amp;(ROW()+10))))</f>
        <v/>
      </c>
      <c r="V129" s="213">
        <f>IF($A129="","",IF(ISERROR(INDIRECT("CICLO_EM_EXECUCAO!E"&amp;(ROW()+10))),"",INDIRECT("CICLO_EM_EXECUCAO!E"&amp;(ROW()+10))))</f>
        <v/>
      </c>
      <c r="W129" s="213">
        <f>IF($A129="","",IF(ISERROR(INDIRECT("CICLO_EM_EXECUCAO!F"&amp;(ROW()+10))),"",INDIRECT("CICLO_EM_EXECUCAO!F"&amp;(ROW()+10))))</f>
        <v/>
      </c>
      <c r="X129" s="213">
        <f>IF($A129="","",IF(ISERROR(INDIRECT("CICLO_EM_EXECUCAO!G"&amp;(ROW()+10))),"",INDIRECT("CICLO_EM_EXECUCAO!G"&amp;(ROW()+10))))</f>
        <v/>
      </c>
      <c r="Y129">
        <f>IF($A129="","",IF(ISERROR(INDIRECT("CICLO_EM_EXECUCAO!K"&amp;(ROW()+10))),"CICLO_EM_EXECUCAO AUSENTE",INDIRECT("CICLO_EM_EXECUCAO!K"&amp;(ROW()+10))))</f>
        <v/>
      </c>
    </row>
    <row r="130">
      <c r="A130" s="116">
        <f>IF(AND(itens_Remanesc!A129="",itens_Remanesc!A128&lt;&gt;"",COUNTIF(itens_Remanesc!A130:$A$200,"&lt;&gt;")=0),"TOTAL",IF(itens_Remanesc!A129="","",itens_Remanesc!A129))</f>
        <v/>
      </c>
      <c r="B130" s="355">
        <f>IF(OR(historico_VU!A129="",historico_VU!C129=""),"",historico_VU!C129)</f>
        <v/>
      </c>
      <c r="C130" s="118">
        <f>IF(posicao_contratual!A129="","",posicao_contratual!G129)</f>
        <v/>
      </c>
      <c r="D130" s="355">
        <f>IF(A130="TOTAL",ROUND(SUM($D$3:D129),2),IF(OR(A130="",B130="",C130=""),"",ROUND(B130*C130,2)))</f>
        <v/>
      </c>
      <c r="E130" s="356">
        <f>IF(OR(historico_VU!A129="",historico_VU!D129=""),"",historico_VU!D129)</f>
        <v/>
      </c>
      <c r="F130" s="120">
        <f>IF(posicao_contratual!A129="","",posicao_contratual!K129)</f>
        <v/>
      </c>
      <c r="G130" s="356">
        <f>IF(A130="TOTAL",ROUND(SUM($G$3:G129),2),IF(OR(A130="",E130="",F130=""),"",ROUND(E130*F130,2)))</f>
        <v/>
      </c>
      <c r="H130" s="355">
        <f>IF(OR(historico_VU!A129="",historico_VU!E129=""),"",historico_VU!E129)</f>
        <v/>
      </c>
      <c r="I130" s="118">
        <f>IF(posicao_contratual!A129="","",posicao_contratual!O129)</f>
        <v/>
      </c>
      <c r="J130" s="355">
        <f>IF(A130="TOTAL",ROUND(SUM($J$3:J129),2),IF(OR(A130="",H130="",I130=""),"",ROUND(H130*I130,2)))</f>
        <v/>
      </c>
      <c r="K130" s="356">
        <f>IF(OR(historico_VU!A129="",historico_VU!F129=""),"",historico_VU!F129)</f>
        <v/>
      </c>
      <c r="L130" s="120">
        <f>IF(posicao_contratual!A129="","",posicao_contratual!S129)</f>
        <v/>
      </c>
      <c r="M130" s="356">
        <f>IF(A130="TOTAL",ROUND(SUM($M$3:M129),2),IF(OR(A130="",K130="",L130=""),"",ROUND(K130*L130,2)))</f>
        <v/>
      </c>
      <c r="N130" s="355">
        <f>IF(OR(historico_VU!A129="",historico_VU!G129=""),"",historico_VU!G129)</f>
        <v/>
      </c>
      <c r="O130" s="118">
        <f>IF(posicao_contratual!A129="","",posicao_contratual!W129)</f>
        <v/>
      </c>
      <c r="P130" s="355">
        <f>IF(A130="TOTAL",ROUND(SUM($P$3:P129),2),IF(OR(A130="",N130="",O130=""),"",ROUND(N130*O130,2)))</f>
        <v/>
      </c>
      <c r="Q130" s="195">
        <f>IF($A130="","",IF(ISERROR(INDIRECT("CICLO_EM_EXECUCAO!$D$5")),"",INDIRECT("CICLO_EM_EXECUCAO!$D$5")))</f>
        <v/>
      </c>
      <c r="R130">
        <f>IF($A130="","",IF(MEMORIA_RESULTADOS!$W$46="","","C"&amp;MEMORIA_RESULTADOS!$W$46))</f>
        <v/>
      </c>
      <c r="S130" s="273">
        <f>IF($A130="","",IF(ISERROR(INDIRECT("CICLO_EM_EXECUCAO!B"&amp;(ROW()+10))),"",INDIRECT("CICLO_EM_EXECUCAO!B"&amp;(ROW()+10))))</f>
        <v/>
      </c>
      <c r="T130" s="273">
        <f>IF($A130="","",IF(ISERROR(INDIRECT("CICLO_EM_EXECUCAO!D"&amp;(ROW()+10))),"",INDIRECT("CICLO_EM_EXECUCAO!D"&amp;(ROW()+10))))</f>
        <v/>
      </c>
      <c r="U130" s="273">
        <f>IF($A130="","",IF(ISERROR(INDIRECT("CICLO_EM_EXECUCAO!C"&amp;(ROW()+10))),"",INDIRECT("CICLO_EM_EXECUCAO!C"&amp;(ROW()+10))))</f>
        <v/>
      </c>
      <c r="V130" s="213">
        <f>IF($A130="","",IF(ISERROR(INDIRECT("CICLO_EM_EXECUCAO!E"&amp;(ROW()+10))),"",INDIRECT("CICLO_EM_EXECUCAO!E"&amp;(ROW()+10))))</f>
        <v/>
      </c>
      <c r="W130" s="213">
        <f>IF($A130="","",IF(ISERROR(INDIRECT("CICLO_EM_EXECUCAO!F"&amp;(ROW()+10))),"",INDIRECT("CICLO_EM_EXECUCAO!F"&amp;(ROW()+10))))</f>
        <v/>
      </c>
      <c r="X130" s="213">
        <f>IF($A130="","",IF(ISERROR(INDIRECT("CICLO_EM_EXECUCAO!G"&amp;(ROW()+10))),"",INDIRECT("CICLO_EM_EXECUCAO!G"&amp;(ROW()+10))))</f>
        <v/>
      </c>
      <c r="Y130">
        <f>IF($A130="","",IF(ISERROR(INDIRECT("CICLO_EM_EXECUCAO!K"&amp;(ROW()+10))),"CICLO_EM_EXECUCAO AUSENTE",INDIRECT("CICLO_EM_EXECUCAO!K"&amp;(ROW()+10))))</f>
        <v/>
      </c>
    </row>
    <row r="131">
      <c r="A131" s="116">
        <f>IF(AND(itens_Remanesc!A130="",itens_Remanesc!A129&lt;&gt;"",COUNTIF(itens_Remanesc!A131:$A$200,"&lt;&gt;")=0),"TOTAL",IF(itens_Remanesc!A130="","",itens_Remanesc!A130))</f>
        <v/>
      </c>
      <c r="B131" s="355">
        <f>IF(OR(historico_VU!A130="",historico_VU!C130=""),"",historico_VU!C130)</f>
        <v/>
      </c>
      <c r="C131" s="118">
        <f>IF(posicao_contratual!A130="","",posicao_contratual!G130)</f>
        <v/>
      </c>
      <c r="D131" s="355">
        <f>IF(A131="TOTAL",ROUND(SUM($D$3:D130),2),IF(OR(A131="",B131="",C131=""),"",ROUND(B131*C131,2)))</f>
        <v/>
      </c>
      <c r="E131" s="356">
        <f>IF(OR(historico_VU!A130="",historico_VU!D130=""),"",historico_VU!D130)</f>
        <v/>
      </c>
      <c r="F131" s="120">
        <f>IF(posicao_contratual!A130="","",posicao_contratual!K130)</f>
        <v/>
      </c>
      <c r="G131" s="356">
        <f>IF(A131="TOTAL",ROUND(SUM($G$3:G130),2),IF(OR(A131="",E131="",F131=""),"",ROUND(E131*F131,2)))</f>
        <v/>
      </c>
      <c r="H131" s="355">
        <f>IF(OR(historico_VU!A130="",historico_VU!E130=""),"",historico_VU!E130)</f>
        <v/>
      </c>
      <c r="I131" s="118">
        <f>IF(posicao_contratual!A130="","",posicao_contratual!O130)</f>
        <v/>
      </c>
      <c r="J131" s="355">
        <f>IF(A131="TOTAL",ROUND(SUM($J$3:J130),2),IF(OR(A131="",H131="",I131=""),"",ROUND(H131*I131,2)))</f>
        <v/>
      </c>
      <c r="K131" s="356">
        <f>IF(OR(historico_VU!A130="",historico_VU!F130=""),"",historico_VU!F130)</f>
        <v/>
      </c>
      <c r="L131" s="120">
        <f>IF(posicao_contratual!A130="","",posicao_contratual!S130)</f>
        <v/>
      </c>
      <c r="M131" s="356">
        <f>IF(A131="TOTAL",ROUND(SUM($M$3:M130),2),IF(OR(A131="",K131="",L131=""),"",ROUND(K131*L131,2)))</f>
        <v/>
      </c>
      <c r="N131" s="355">
        <f>IF(OR(historico_VU!A130="",historico_VU!G130=""),"",historico_VU!G130)</f>
        <v/>
      </c>
      <c r="O131" s="118">
        <f>IF(posicao_contratual!A130="","",posicao_contratual!W130)</f>
        <v/>
      </c>
      <c r="P131" s="355">
        <f>IF(A131="TOTAL",ROUND(SUM($P$3:P130),2),IF(OR(A131="",N131="",O131=""),"",ROUND(N131*O131,2)))</f>
        <v/>
      </c>
      <c r="Q131" s="195">
        <f>IF($A131="","",IF(ISERROR(INDIRECT("CICLO_EM_EXECUCAO!$D$5")),"",INDIRECT("CICLO_EM_EXECUCAO!$D$5")))</f>
        <v/>
      </c>
      <c r="R131">
        <f>IF($A131="","",IF(MEMORIA_RESULTADOS!$W$46="","","C"&amp;MEMORIA_RESULTADOS!$W$46))</f>
        <v/>
      </c>
      <c r="S131" s="273">
        <f>IF($A131="","",IF(ISERROR(INDIRECT("CICLO_EM_EXECUCAO!B"&amp;(ROW()+10))),"",INDIRECT("CICLO_EM_EXECUCAO!B"&amp;(ROW()+10))))</f>
        <v/>
      </c>
      <c r="T131" s="273">
        <f>IF($A131="","",IF(ISERROR(INDIRECT("CICLO_EM_EXECUCAO!D"&amp;(ROW()+10))),"",INDIRECT("CICLO_EM_EXECUCAO!D"&amp;(ROW()+10))))</f>
        <v/>
      </c>
      <c r="U131" s="273">
        <f>IF($A131="","",IF(ISERROR(INDIRECT("CICLO_EM_EXECUCAO!C"&amp;(ROW()+10))),"",INDIRECT("CICLO_EM_EXECUCAO!C"&amp;(ROW()+10))))</f>
        <v/>
      </c>
      <c r="V131" s="213">
        <f>IF($A131="","",IF(ISERROR(INDIRECT("CICLO_EM_EXECUCAO!E"&amp;(ROW()+10))),"",INDIRECT("CICLO_EM_EXECUCAO!E"&amp;(ROW()+10))))</f>
        <v/>
      </c>
      <c r="W131" s="213">
        <f>IF($A131="","",IF(ISERROR(INDIRECT("CICLO_EM_EXECUCAO!F"&amp;(ROW()+10))),"",INDIRECT("CICLO_EM_EXECUCAO!F"&amp;(ROW()+10))))</f>
        <v/>
      </c>
      <c r="X131" s="213">
        <f>IF($A131="","",IF(ISERROR(INDIRECT("CICLO_EM_EXECUCAO!G"&amp;(ROW()+10))),"",INDIRECT("CICLO_EM_EXECUCAO!G"&amp;(ROW()+10))))</f>
        <v/>
      </c>
      <c r="Y131">
        <f>IF($A131="","",IF(ISERROR(INDIRECT("CICLO_EM_EXECUCAO!K"&amp;(ROW()+10))),"CICLO_EM_EXECUCAO AUSENTE",INDIRECT("CICLO_EM_EXECUCAO!K"&amp;(ROW()+10))))</f>
        <v/>
      </c>
    </row>
    <row r="132">
      <c r="A132" s="116">
        <f>IF(AND(itens_Remanesc!A131="",itens_Remanesc!A130&lt;&gt;"",COUNTIF(itens_Remanesc!A132:$A$200,"&lt;&gt;")=0),"TOTAL",IF(itens_Remanesc!A131="","",itens_Remanesc!A131))</f>
        <v/>
      </c>
      <c r="B132" s="355">
        <f>IF(OR(historico_VU!A131="",historico_VU!C131=""),"",historico_VU!C131)</f>
        <v/>
      </c>
      <c r="C132" s="118">
        <f>IF(posicao_contratual!A131="","",posicao_contratual!G131)</f>
        <v/>
      </c>
      <c r="D132" s="355">
        <f>IF(A132="TOTAL",ROUND(SUM($D$3:D131),2),IF(OR(A132="",B132="",C132=""),"",ROUND(B132*C132,2)))</f>
        <v/>
      </c>
      <c r="E132" s="356">
        <f>IF(OR(historico_VU!A131="",historico_VU!D131=""),"",historico_VU!D131)</f>
        <v/>
      </c>
      <c r="F132" s="120">
        <f>IF(posicao_contratual!A131="","",posicao_contratual!K131)</f>
        <v/>
      </c>
      <c r="G132" s="356">
        <f>IF(A132="TOTAL",ROUND(SUM($G$3:G131),2),IF(OR(A132="",E132="",F132=""),"",ROUND(E132*F132,2)))</f>
        <v/>
      </c>
      <c r="H132" s="355">
        <f>IF(OR(historico_VU!A131="",historico_VU!E131=""),"",historico_VU!E131)</f>
        <v/>
      </c>
      <c r="I132" s="118">
        <f>IF(posicao_contratual!A131="","",posicao_contratual!O131)</f>
        <v/>
      </c>
      <c r="J132" s="355">
        <f>IF(A132="TOTAL",ROUND(SUM($J$3:J131),2),IF(OR(A132="",H132="",I132=""),"",ROUND(H132*I132,2)))</f>
        <v/>
      </c>
      <c r="K132" s="356">
        <f>IF(OR(historico_VU!A131="",historico_VU!F131=""),"",historico_VU!F131)</f>
        <v/>
      </c>
      <c r="L132" s="120">
        <f>IF(posicao_contratual!A131="","",posicao_contratual!S131)</f>
        <v/>
      </c>
      <c r="M132" s="356">
        <f>IF(A132="TOTAL",ROUND(SUM($M$3:M131),2),IF(OR(A132="",K132="",L132=""),"",ROUND(K132*L132,2)))</f>
        <v/>
      </c>
      <c r="N132" s="355">
        <f>IF(OR(historico_VU!A131="",historico_VU!G131=""),"",historico_VU!G131)</f>
        <v/>
      </c>
      <c r="O132" s="118">
        <f>IF(posicao_contratual!A131="","",posicao_contratual!W131)</f>
        <v/>
      </c>
      <c r="P132" s="355">
        <f>IF(A132="TOTAL",ROUND(SUM($P$3:P131),2),IF(OR(A132="",N132="",O132=""),"",ROUND(N132*O132,2)))</f>
        <v/>
      </c>
      <c r="Q132" s="195">
        <f>IF($A132="","",IF(ISERROR(INDIRECT("CICLO_EM_EXECUCAO!$D$5")),"",INDIRECT("CICLO_EM_EXECUCAO!$D$5")))</f>
        <v/>
      </c>
      <c r="R132">
        <f>IF($A132="","",IF(MEMORIA_RESULTADOS!$W$46="","","C"&amp;MEMORIA_RESULTADOS!$W$46))</f>
        <v/>
      </c>
      <c r="S132" s="273">
        <f>IF($A132="","",IF(ISERROR(INDIRECT("CICLO_EM_EXECUCAO!B"&amp;(ROW()+10))),"",INDIRECT("CICLO_EM_EXECUCAO!B"&amp;(ROW()+10))))</f>
        <v/>
      </c>
      <c r="T132" s="273">
        <f>IF($A132="","",IF(ISERROR(INDIRECT("CICLO_EM_EXECUCAO!D"&amp;(ROW()+10))),"",INDIRECT("CICLO_EM_EXECUCAO!D"&amp;(ROW()+10))))</f>
        <v/>
      </c>
      <c r="U132" s="273">
        <f>IF($A132="","",IF(ISERROR(INDIRECT("CICLO_EM_EXECUCAO!C"&amp;(ROW()+10))),"",INDIRECT("CICLO_EM_EXECUCAO!C"&amp;(ROW()+10))))</f>
        <v/>
      </c>
      <c r="V132" s="213">
        <f>IF($A132="","",IF(ISERROR(INDIRECT("CICLO_EM_EXECUCAO!E"&amp;(ROW()+10))),"",INDIRECT("CICLO_EM_EXECUCAO!E"&amp;(ROW()+10))))</f>
        <v/>
      </c>
      <c r="W132" s="213">
        <f>IF($A132="","",IF(ISERROR(INDIRECT("CICLO_EM_EXECUCAO!F"&amp;(ROW()+10))),"",INDIRECT("CICLO_EM_EXECUCAO!F"&amp;(ROW()+10))))</f>
        <v/>
      </c>
      <c r="X132" s="213">
        <f>IF($A132="","",IF(ISERROR(INDIRECT("CICLO_EM_EXECUCAO!G"&amp;(ROW()+10))),"",INDIRECT("CICLO_EM_EXECUCAO!G"&amp;(ROW()+10))))</f>
        <v/>
      </c>
      <c r="Y132">
        <f>IF($A132="","",IF(ISERROR(INDIRECT("CICLO_EM_EXECUCAO!K"&amp;(ROW()+10))),"CICLO_EM_EXECUCAO AUSENTE",INDIRECT("CICLO_EM_EXECUCAO!K"&amp;(ROW()+10))))</f>
        <v/>
      </c>
    </row>
    <row r="133">
      <c r="A133" s="116">
        <f>IF(AND(itens_Remanesc!A132="",itens_Remanesc!A131&lt;&gt;"",COUNTIF(itens_Remanesc!A133:$A$200,"&lt;&gt;")=0),"TOTAL",IF(itens_Remanesc!A132="","",itens_Remanesc!A132))</f>
        <v/>
      </c>
      <c r="B133" s="355">
        <f>IF(OR(historico_VU!A132="",historico_VU!C132=""),"",historico_VU!C132)</f>
        <v/>
      </c>
      <c r="C133" s="118">
        <f>IF(posicao_contratual!A132="","",posicao_contratual!G132)</f>
        <v/>
      </c>
      <c r="D133" s="355">
        <f>IF(A133="TOTAL",ROUND(SUM($D$3:D132),2),IF(OR(A133="",B133="",C133=""),"",ROUND(B133*C133,2)))</f>
        <v/>
      </c>
      <c r="E133" s="356">
        <f>IF(OR(historico_VU!A132="",historico_VU!D132=""),"",historico_VU!D132)</f>
        <v/>
      </c>
      <c r="F133" s="120">
        <f>IF(posicao_contratual!A132="","",posicao_contratual!K132)</f>
        <v/>
      </c>
      <c r="G133" s="356">
        <f>IF(A133="TOTAL",ROUND(SUM($G$3:G132),2),IF(OR(A133="",E133="",F133=""),"",ROUND(E133*F133,2)))</f>
        <v/>
      </c>
      <c r="H133" s="355">
        <f>IF(OR(historico_VU!A132="",historico_VU!E132=""),"",historico_VU!E132)</f>
        <v/>
      </c>
      <c r="I133" s="118">
        <f>IF(posicao_contratual!A132="","",posicao_contratual!O132)</f>
        <v/>
      </c>
      <c r="J133" s="355">
        <f>IF(A133="TOTAL",ROUND(SUM($J$3:J132),2),IF(OR(A133="",H133="",I133=""),"",ROUND(H133*I133,2)))</f>
        <v/>
      </c>
      <c r="K133" s="356">
        <f>IF(OR(historico_VU!A132="",historico_VU!F132=""),"",historico_VU!F132)</f>
        <v/>
      </c>
      <c r="L133" s="120">
        <f>IF(posicao_contratual!A132="","",posicao_contratual!S132)</f>
        <v/>
      </c>
      <c r="M133" s="356">
        <f>IF(A133="TOTAL",ROUND(SUM($M$3:M132),2),IF(OR(A133="",K133="",L133=""),"",ROUND(K133*L133,2)))</f>
        <v/>
      </c>
      <c r="N133" s="355">
        <f>IF(OR(historico_VU!A132="",historico_VU!G132=""),"",historico_VU!G132)</f>
        <v/>
      </c>
      <c r="O133" s="118">
        <f>IF(posicao_contratual!A132="","",posicao_contratual!W132)</f>
        <v/>
      </c>
      <c r="P133" s="355">
        <f>IF(A133="TOTAL",ROUND(SUM($P$3:P132),2),IF(OR(A133="",N133="",O133=""),"",ROUND(N133*O133,2)))</f>
        <v/>
      </c>
      <c r="Q133" s="195">
        <f>IF($A133="","",IF(ISERROR(INDIRECT("CICLO_EM_EXECUCAO!$D$5")),"",INDIRECT("CICLO_EM_EXECUCAO!$D$5")))</f>
        <v/>
      </c>
      <c r="R133">
        <f>IF($A133="","",IF(MEMORIA_RESULTADOS!$W$46="","","C"&amp;MEMORIA_RESULTADOS!$W$46))</f>
        <v/>
      </c>
      <c r="S133" s="273">
        <f>IF($A133="","",IF(ISERROR(INDIRECT("CICLO_EM_EXECUCAO!B"&amp;(ROW()+10))),"",INDIRECT("CICLO_EM_EXECUCAO!B"&amp;(ROW()+10))))</f>
        <v/>
      </c>
      <c r="T133" s="273">
        <f>IF($A133="","",IF(ISERROR(INDIRECT("CICLO_EM_EXECUCAO!D"&amp;(ROW()+10))),"",INDIRECT("CICLO_EM_EXECUCAO!D"&amp;(ROW()+10))))</f>
        <v/>
      </c>
      <c r="U133" s="273">
        <f>IF($A133="","",IF(ISERROR(INDIRECT("CICLO_EM_EXECUCAO!C"&amp;(ROW()+10))),"",INDIRECT("CICLO_EM_EXECUCAO!C"&amp;(ROW()+10))))</f>
        <v/>
      </c>
      <c r="V133" s="213">
        <f>IF($A133="","",IF(ISERROR(INDIRECT("CICLO_EM_EXECUCAO!E"&amp;(ROW()+10))),"",INDIRECT("CICLO_EM_EXECUCAO!E"&amp;(ROW()+10))))</f>
        <v/>
      </c>
      <c r="W133" s="213">
        <f>IF($A133="","",IF(ISERROR(INDIRECT("CICLO_EM_EXECUCAO!F"&amp;(ROW()+10))),"",INDIRECT("CICLO_EM_EXECUCAO!F"&amp;(ROW()+10))))</f>
        <v/>
      </c>
      <c r="X133" s="213">
        <f>IF($A133="","",IF(ISERROR(INDIRECT("CICLO_EM_EXECUCAO!G"&amp;(ROW()+10))),"",INDIRECT("CICLO_EM_EXECUCAO!G"&amp;(ROW()+10))))</f>
        <v/>
      </c>
      <c r="Y133">
        <f>IF($A133="","",IF(ISERROR(INDIRECT("CICLO_EM_EXECUCAO!K"&amp;(ROW()+10))),"CICLO_EM_EXECUCAO AUSENTE",INDIRECT("CICLO_EM_EXECUCAO!K"&amp;(ROW()+10))))</f>
        <v/>
      </c>
    </row>
    <row r="134">
      <c r="A134" s="116">
        <f>IF(AND(itens_Remanesc!A133="",itens_Remanesc!A132&lt;&gt;"",COUNTIF(itens_Remanesc!A134:$A$200,"&lt;&gt;")=0),"TOTAL",IF(itens_Remanesc!A133="","",itens_Remanesc!A133))</f>
        <v/>
      </c>
      <c r="B134" s="355">
        <f>IF(OR(historico_VU!A133="",historico_VU!C133=""),"",historico_VU!C133)</f>
        <v/>
      </c>
      <c r="C134" s="118">
        <f>IF(posicao_contratual!A133="","",posicao_contratual!G133)</f>
        <v/>
      </c>
      <c r="D134" s="355">
        <f>IF(A134="TOTAL",ROUND(SUM($D$3:D133),2),IF(OR(A134="",B134="",C134=""),"",ROUND(B134*C134,2)))</f>
        <v/>
      </c>
      <c r="E134" s="356">
        <f>IF(OR(historico_VU!A133="",historico_VU!D133=""),"",historico_VU!D133)</f>
        <v/>
      </c>
      <c r="F134" s="120">
        <f>IF(posicao_contratual!A133="","",posicao_contratual!K133)</f>
        <v/>
      </c>
      <c r="G134" s="356">
        <f>IF(A134="TOTAL",ROUND(SUM($G$3:G133),2),IF(OR(A134="",E134="",F134=""),"",ROUND(E134*F134,2)))</f>
        <v/>
      </c>
      <c r="H134" s="355">
        <f>IF(OR(historico_VU!A133="",historico_VU!E133=""),"",historico_VU!E133)</f>
        <v/>
      </c>
      <c r="I134" s="118">
        <f>IF(posicao_contratual!A133="","",posicao_contratual!O133)</f>
        <v/>
      </c>
      <c r="J134" s="355">
        <f>IF(A134="TOTAL",ROUND(SUM($J$3:J133),2),IF(OR(A134="",H134="",I134=""),"",ROUND(H134*I134,2)))</f>
        <v/>
      </c>
      <c r="K134" s="356">
        <f>IF(OR(historico_VU!A133="",historico_VU!F133=""),"",historico_VU!F133)</f>
        <v/>
      </c>
      <c r="L134" s="120">
        <f>IF(posicao_contratual!A133="","",posicao_contratual!S133)</f>
        <v/>
      </c>
      <c r="M134" s="356">
        <f>IF(A134="TOTAL",ROUND(SUM($M$3:M133),2),IF(OR(A134="",K134="",L134=""),"",ROUND(K134*L134,2)))</f>
        <v/>
      </c>
      <c r="N134" s="355">
        <f>IF(OR(historico_VU!A133="",historico_VU!G133=""),"",historico_VU!G133)</f>
        <v/>
      </c>
      <c r="O134" s="118">
        <f>IF(posicao_contratual!A133="","",posicao_contratual!W133)</f>
        <v/>
      </c>
      <c r="P134" s="355">
        <f>IF(A134="TOTAL",ROUND(SUM($P$3:P133),2),IF(OR(A134="",N134="",O134=""),"",ROUND(N134*O134,2)))</f>
        <v/>
      </c>
      <c r="Q134" s="195">
        <f>IF($A134="","",IF(ISERROR(INDIRECT("CICLO_EM_EXECUCAO!$D$5")),"",INDIRECT("CICLO_EM_EXECUCAO!$D$5")))</f>
        <v/>
      </c>
      <c r="R134">
        <f>IF($A134="","",IF(MEMORIA_RESULTADOS!$W$46="","","C"&amp;MEMORIA_RESULTADOS!$W$46))</f>
        <v/>
      </c>
      <c r="S134" s="273">
        <f>IF($A134="","",IF(ISERROR(INDIRECT("CICLO_EM_EXECUCAO!B"&amp;(ROW()+10))),"",INDIRECT("CICLO_EM_EXECUCAO!B"&amp;(ROW()+10))))</f>
        <v/>
      </c>
      <c r="T134" s="273">
        <f>IF($A134="","",IF(ISERROR(INDIRECT("CICLO_EM_EXECUCAO!D"&amp;(ROW()+10))),"",INDIRECT("CICLO_EM_EXECUCAO!D"&amp;(ROW()+10))))</f>
        <v/>
      </c>
      <c r="U134" s="273">
        <f>IF($A134="","",IF(ISERROR(INDIRECT("CICLO_EM_EXECUCAO!C"&amp;(ROW()+10))),"",INDIRECT("CICLO_EM_EXECUCAO!C"&amp;(ROW()+10))))</f>
        <v/>
      </c>
      <c r="V134" s="213">
        <f>IF($A134="","",IF(ISERROR(INDIRECT("CICLO_EM_EXECUCAO!E"&amp;(ROW()+10))),"",INDIRECT("CICLO_EM_EXECUCAO!E"&amp;(ROW()+10))))</f>
        <v/>
      </c>
      <c r="W134" s="213">
        <f>IF($A134="","",IF(ISERROR(INDIRECT("CICLO_EM_EXECUCAO!F"&amp;(ROW()+10))),"",INDIRECT("CICLO_EM_EXECUCAO!F"&amp;(ROW()+10))))</f>
        <v/>
      </c>
      <c r="X134" s="213">
        <f>IF($A134="","",IF(ISERROR(INDIRECT("CICLO_EM_EXECUCAO!G"&amp;(ROW()+10))),"",INDIRECT("CICLO_EM_EXECUCAO!G"&amp;(ROW()+10))))</f>
        <v/>
      </c>
      <c r="Y134">
        <f>IF($A134="","",IF(ISERROR(INDIRECT("CICLO_EM_EXECUCAO!K"&amp;(ROW()+10))),"CICLO_EM_EXECUCAO AUSENTE",INDIRECT("CICLO_EM_EXECUCAO!K"&amp;(ROW()+10))))</f>
        <v/>
      </c>
    </row>
    <row r="135">
      <c r="A135" s="116">
        <f>IF(AND(itens_Remanesc!A134="",itens_Remanesc!A133&lt;&gt;"",COUNTIF(itens_Remanesc!A135:$A$200,"&lt;&gt;")=0),"TOTAL",IF(itens_Remanesc!A134="","",itens_Remanesc!A134))</f>
        <v/>
      </c>
      <c r="B135" s="355">
        <f>IF(OR(historico_VU!A134="",historico_VU!C134=""),"",historico_VU!C134)</f>
        <v/>
      </c>
      <c r="C135" s="118">
        <f>IF(posicao_contratual!A134="","",posicao_contratual!G134)</f>
        <v/>
      </c>
      <c r="D135" s="355">
        <f>IF(A135="TOTAL",ROUND(SUM($D$3:D134),2),IF(OR(A135="",B135="",C135=""),"",ROUND(B135*C135,2)))</f>
        <v/>
      </c>
      <c r="E135" s="356">
        <f>IF(OR(historico_VU!A134="",historico_VU!D134=""),"",historico_VU!D134)</f>
        <v/>
      </c>
      <c r="F135" s="120">
        <f>IF(posicao_contratual!A134="","",posicao_contratual!K134)</f>
        <v/>
      </c>
      <c r="G135" s="356">
        <f>IF(A135="TOTAL",ROUND(SUM($G$3:G134),2),IF(OR(A135="",E135="",F135=""),"",ROUND(E135*F135,2)))</f>
        <v/>
      </c>
      <c r="H135" s="355">
        <f>IF(OR(historico_VU!A134="",historico_VU!E134=""),"",historico_VU!E134)</f>
        <v/>
      </c>
      <c r="I135" s="118">
        <f>IF(posicao_contratual!A134="","",posicao_contratual!O134)</f>
        <v/>
      </c>
      <c r="J135" s="355">
        <f>IF(A135="TOTAL",ROUND(SUM($J$3:J134),2),IF(OR(A135="",H135="",I135=""),"",ROUND(H135*I135,2)))</f>
        <v/>
      </c>
      <c r="K135" s="356">
        <f>IF(OR(historico_VU!A134="",historico_VU!F134=""),"",historico_VU!F134)</f>
        <v/>
      </c>
      <c r="L135" s="120">
        <f>IF(posicao_contratual!A134="","",posicao_contratual!S134)</f>
        <v/>
      </c>
      <c r="M135" s="356">
        <f>IF(A135="TOTAL",ROUND(SUM($M$3:M134),2),IF(OR(A135="",K135="",L135=""),"",ROUND(K135*L135,2)))</f>
        <v/>
      </c>
      <c r="N135" s="355">
        <f>IF(OR(historico_VU!A134="",historico_VU!G134=""),"",historico_VU!G134)</f>
        <v/>
      </c>
      <c r="O135" s="118">
        <f>IF(posicao_contratual!A134="","",posicao_contratual!W134)</f>
        <v/>
      </c>
      <c r="P135" s="355">
        <f>IF(A135="TOTAL",ROUND(SUM($P$3:P134),2),IF(OR(A135="",N135="",O135=""),"",ROUND(N135*O135,2)))</f>
        <v/>
      </c>
      <c r="Q135" s="195">
        <f>IF($A135="","",IF(ISERROR(INDIRECT("CICLO_EM_EXECUCAO!$D$5")),"",INDIRECT("CICLO_EM_EXECUCAO!$D$5")))</f>
        <v/>
      </c>
      <c r="R135">
        <f>IF($A135="","",IF(MEMORIA_RESULTADOS!$W$46="","","C"&amp;MEMORIA_RESULTADOS!$W$46))</f>
        <v/>
      </c>
      <c r="S135" s="273">
        <f>IF($A135="","",IF(ISERROR(INDIRECT("CICLO_EM_EXECUCAO!B"&amp;(ROW()+10))),"",INDIRECT("CICLO_EM_EXECUCAO!B"&amp;(ROW()+10))))</f>
        <v/>
      </c>
      <c r="T135" s="273">
        <f>IF($A135="","",IF(ISERROR(INDIRECT("CICLO_EM_EXECUCAO!D"&amp;(ROW()+10))),"",INDIRECT("CICLO_EM_EXECUCAO!D"&amp;(ROW()+10))))</f>
        <v/>
      </c>
      <c r="U135" s="273">
        <f>IF($A135="","",IF(ISERROR(INDIRECT("CICLO_EM_EXECUCAO!C"&amp;(ROW()+10))),"",INDIRECT("CICLO_EM_EXECUCAO!C"&amp;(ROW()+10))))</f>
        <v/>
      </c>
      <c r="V135" s="213">
        <f>IF($A135="","",IF(ISERROR(INDIRECT("CICLO_EM_EXECUCAO!E"&amp;(ROW()+10))),"",INDIRECT("CICLO_EM_EXECUCAO!E"&amp;(ROW()+10))))</f>
        <v/>
      </c>
      <c r="W135" s="213">
        <f>IF($A135="","",IF(ISERROR(INDIRECT("CICLO_EM_EXECUCAO!F"&amp;(ROW()+10))),"",INDIRECT("CICLO_EM_EXECUCAO!F"&amp;(ROW()+10))))</f>
        <v/>
      </c>
      <c r="X135" s="213">
        <f>IF($A135="","",IF(ISERROR(INDIRECT("CICLO_EM_EXECUCAO!G"&amp;(ROW()+10))),"",INDIRECT("CICLO_EM_EXECUCAO!G"&amp;(ROW()+10))))</f>
        <v/>
      </c>
      <c r="Y135">
        <f>IF($A135="","",IF(ISERROR(INDIRECT("CICLO_EM_EXECUCAO!K"&amp;(ROW()+10))),"CICLO_EM_EXECUCAO AUSENTE",INDIRECT("CICLO_EM_EXECUCAO!K"&amp;(ROW()+10))))</f>
        <v/>
      </c>
    </row>
    <row r="136">
      <c r="A136" s="116">
        <f>IF(AND(itens_Remanesc!A135="",itens_Remanesc!A134&lt;&gt;"",COUNTIF(itens_Remanesc!A136:$A$200,"&lt;&gt;")=0),"TOTAL",IF(itens_Remanesc!A135="","",itens_Remanesc!A135))</f>
        <v/>
      </c>
      <c r="B136" s="355">
        <f>IF(OR(historico_VU!A135="",historico_VU!C135=""),"",historico_VU!C135)</f>
        <v/>
      </c>
      <c r="C136" s="118">
        <f>IF(posicao_contratual!A135="","",posicao_contratual!G135)</f>
        <v/>
      </c>
      <c r="D136" s="355">
        <f>IF(A136="TOTAL",ROUND(SUM($D$3:D135),2),IF(OR(A136="",B136="",C136=""),"",ROUND(B136*C136,2)))</f>
        <v/>
      </c>
      <c r="E136" s="356">
        <f>IF(OR(historico_VU!A135="",historico_VU!D135=""),"",historico_VU!D135)</f>
        <v/>
      </c>
      <c r="F136" s="120">
        <f>IF(posicao_contratual!A135="","",posicao_contratual!K135)</f>
        <v/>
      </c>
      <c r="G136" s="356">
        <f>IF(A136="TOTAL",ROUND(SUM($G$3:G135),2),IF(OR(A136="",E136="",F136=""),"",ROUND(E136*F136,2)))</f>
        <v/>
      </c>
      <c r="H136" s="355">
        <f>IF(OR(historico_VU!A135="",historico_VU!E135=""),"",historico_VU!E135)</f>
        <v/>
      </c>
      <c r="I136" s="118">
        <f>IF(posicao_contratual!A135="","",posicao_contratual!O135)</f>
        <v/>
      </c>
      <c r="J136" s="355">
        <f>IF(A136="TOTAL",ROUND(SUM($J$3:J135),2),IF(OR(A136="",H136="",I136=""),"",ROUND(H136*I136,2)))</f>
        <v/>
      </c>
      <c r="K136" s="356">
        <f>IF(OR(historico_VU!A135="",historico_VU!F135=""),"",historico_VU!F135)</f>
        <v/>
      </c>
      <c r="L136" s="120">
        <f>IF(posicao_contratual!A135="","",posicao_contratual!S135)</f>
        <v/>
      </c>
      <c r="M136" s="356">
        <f>IF(A136="TOTAL",ROUND(SUM($M$3:M135),2),IF(OR(A136="",K136="",L136=""),"",ROUND(K136*L136,2)))</f>
        <v/>
      </c>
      <c r="N136" s="355">
        <f>IF(OR(historico_VU!A135="",historico_VU!G135=""),"",historico_VU!G135)</f>
        <v/>
      </c>
      <c r="O136" s="118">
        <f>IF(posicao_contratual!A135="","",posicao_contratual!W135)</f>
        <v/>
      </c>
      <c r="P136" s="355">
        <f>IF(A136="TOTAL",ROUND(SUM($P$3:P135),2),IF(OR(A136="",N136="",O136=""),"",ROUND(N136*O136,2)))</f>
        <v/>
      </c>
      <c r="Q136" s="195">
        <f>IF($A136="","",IF(ISERROR(INDIRECT("CICLO_EM_EXECUCAO!$D$5")),"",INDIRECT("CICLO_EM_EXECUCAO!$D$5")))</f>
        <v/>
      </c>
      <c r="R136">
        <f>IF($A136="","",IF(MEMORIA_RESULTADOS!$W$46="","","C"&amp;MEMORIA_RESULTADOS!$W$46))</f>
        <v/>
      </c>
      <c r="S136" s="273">
        <f>IF($A136="","",IF(ISERROR(INDIRECT("CICLO_EM_EXECUCAO!B"&amp;(ROW()+10))),"",INDIRECT("CICLO_EM_EXECUCAO!B"&amp;(ROW()+10))))</f>
        <v/>
      </c>
      <c r="T136" s="273">
        <f>IF($A136="","",IF(ISERROR(INDIRECT("CICLO_EM_EXECUCAO!D"&amp;(ROW()+10))),"",INDIRECT("CICLO_EM_EXECUCAO!D"&amp;(ROW()+10))))</f>
        <v/>
      </c>
      <c r="U136" s="273">
        <f>IF($A136="","",IF(ISERROR(INDIRECT("CICLO_EM_EXECUCAO!C"&amp;(ROW()+10))),"",INDIRECT("CICLO_EM_EXECUCAO!C"&amp;(ROW()+10))))</f>
        <v/>
      </c>
      <c r="V136" s="213">
        <f>IF($A136="","",IF(ISERROR(INDIRECT("CICLO_EM_EXECUCAO!E"&amp;(ROW()+10))),"",INDIRECT("CICLO_EM_EXECUCAO!E"&amp;(ROW()+10))))</f>
        <v/>
      </c>
      <c r="W136" s="213">
        <f>IF($A136="","",IF(ISERROR(INDIRECT("CICLO_EM_EXECUCAO!F"&amp;(ROW()+10))),"",INDIRECT("CICLO_EM_EXECUCAO!F"&amp;(ROW()+10))))</f>
        <v/>
      </c>
      <c r="X136" s="213">
        <f>IF($A136="","",IF(ISERROR(INDIRECT("CICLO_EM_EXECUCAO!G"&amp;(ROW()+10))),"",INDIRECT("CICLO_EM_EXECUCAO!G"&amp;(ROW()+10))))</f>
        <v/>
      </c>
      <c r="Y136">
        <f>IF($A136="","",IF(ISERROR(INDIRECT("CICLO_EM_EXECUCAO!K"&amp;(ROW()+10))),"CICLO_EM_EXECUCAO AUSENTE",INDIRECT("CICLO_EM_EXECUCAO!K"&amp;(ROW()+10))))</f>
        <v/>
      </c>
    </row>
    <row r="137">
      <c r="A137" s="116">
        <f>IF(AND(itens_Remanesc!A136="",itens_Remanesc!A135&lt;&gt;"",COUNTIF(itens_Remanesc!A137:$A$200,"&lt;&gt;")=0),"TOTAL",IF(itens_Remanesc!A136="","",itens_Remanesc!A136))</f>
        <v/>
      </c>
      <c r="B137" s="355">
        <f>IF(OR(historico_VU!A136="",historico_VU!C136=""),"",historico_VU!C136)</f>
        <v/>
      </c>
      <c r="C137" s="118">
        <f>IF(posicao_contratual!A136="","",posicao_contratual!G136)</f>
        <v/>
      </c>
      <c r="D137" s="355">
        <f>IF(A137="TOTAL",ROUND(SUM($D$3:D136),2),IF(OR(A137="",B137="",C137=""),"",ROUND(B137*C137,2)))</f>
        <v/>
      </c>
      <c r="E137" s="356">
        <f>IF(OR(historico_VU!A136="",historico_VU!D136=""),"",historico_VU!D136)</f>
        <v/>
      </c>
      <c r="F137" s="120">
        <f>IF(posicao_contratual!A136="","",posicao_contratual!K136)</f>
        <v/>
      </c>
      <c r="G137" s="356">
        <f>IF(A137="TOTAL",ROUND(SUM($G$3:G136),2),IF(OR(A137="",E137="",F137=""),"",ROUND(E137*F137,2)))</f>
        <v/>
      </c>
      <c r="H137" s="355">
        <f>IF(OR(historico_VU!A136="",historico_VU!E136=""),"",historico_VU!E136)</f>
        <v/>
      </c>
      <c r="I137" s="118">
        <f>IF(posicao_contratual!A136="","",posicao_contratual!O136)</f>
        <v/>
      </c>
      <c r="J137" s="355">
        <f>IF(A137="TOTAL",ROUND(SUM($J$3:J136),2),IF(OR(A137="",H137="",I137=""),"",ROUND(H137*I137,2)))</f>
        <v/>
      </c>
      <c r="K137" s="356">
        <f>IF(OR(historico_VU!A136="",historico_VU!F136=""),"",historico_VU!F136)</f>
        <v/>
      </c>
      <c r="L137" s="120">
        <f>IF(posicao_contratual!A136="","",posicao_contratual!S136)</f>
        <v/>
      </c>
      <c r="M137" s="356">
        <f>IF(A137="TOTAL",ROUND(SUM($M$3:M136),2),IF(OR(A137="",K137="",L137=""),"",ROUND(K137*L137,2)))</f>
        <v/>
      </c>
      <c r="N137" s="355">
        <f>IF(OR(historico_VU!A136="",historico_VU!G136=""),"",historico_VU!G136)</f>
        <v/>
      </c>
      <c r="O137" s="118">
        <f>IF(posicao_contratual!A136="","",posicao_contratual!W136)</f>
        <v/>
      </c>
      <c r="P137" s="355">
        <f>IF(A137="TOTAL",ROUND(SUM($P$3:P136),2),IF(OR(A137="",N137="",O137=""),"",ROUND(N137*O137,2)))</f>
        <v/>
      </c>
      <c r="Q137" s="195">
        <f>IF($A137="","",IF(ISERROR(INDIRECT("CICLO_EM_EXECUCAO!$D$5")),"",INDIRECT("CICLO_EM_EXECUCAO!$D$5")))</f>
        <v/>
      </c>
      <c r="R137">
        <f>IF($A137="","",IF(MEMORIA_RESULTADOS!$W$46="","","C"&amp;MEMORIA_RESULTADOS!$W$46))</f>
        <v/>
      </c>
      <c r="S137" s="273">
        <f>IF($A137="","",IF(ISERROR(INDIRECT("CICLO_EM_EXECUCAO!B"&amp;(ROW()+10))),"",INDIRECT("CICLO_EM_EXECUCAO!B"&amp;(ROW()+10))))</f>
        <v/>
      </c>
      <c r="T137" s="273">
        <f>IF($A137="","",IF(ISERROR(INDIRECT("CICLO_EM_EXECUCAO!D"&amp;(ROW()+10))),"",INDIRECT("CICLO_EM_EXECUCAO!D"&amp;(ROW()+10))))</f>
        <v/>
      </c>
      <c r="U137" s="273">
        <f>IF($A137="","",IF(ISERROR(INDIRECT("CICLO_EM_EXECUCAO!C"&amp;(ROW()+10))),"",INDIRECT("CICLO_EM_EXECUCAO!C"&amp;(ROW()+10))))</f>
        <v/>
      </c>
      <c r="V137" s="213">
        <f>IF($A137="","",IF(ISERROR(INDIRECT("CICLO_EM_EXECUCAO!E"&amp;(ROW()+10))),"",INDIRECT("CICLO_EM_EXECUCAO!E"&amp;(ROW()+10))))</f>
        <v/>
      </c>
      <c r="W137" s="213">
        <f>IF($A137="","",IF(ISERROR(INDIRECT("CICLO_EM_EXECUCAO!F"&amp;(ROW()+10))),"",INDIRECT("CICLO_EM_EXECUCAO!F"&amp;(ROW()+10))))</f>
        <v/>
      </c>
      <c r="X137" s="213">
        <f>IF($A137="","",IF(ISERROR(INDIRECT("CICLO_EM_EXECUCAO!G"&amp;(ROW()+10))),"",INDIRECT("CICLO_EM_EXECUCAO!G"&amp;(ROW()+10))))</f>
        <v/>
      </c>
      <c r="Y137">
        <f>IF($A137="","",IF(ISERROR(INDIRECT("CICLO_EM_EXECUCAO!K"&amp;(ROW()+10))),"CICLO_EM_EXECUCAO AUSENTE",INDIRECT("CICLO_EM_EXECUCAO!K"&amp;(ROW()+10))))</f>
        <v/>
      </c>
    </row>
    <row r="138">
      <c r="A138" s="116">
        <f>IF(AND(itens_Remanesc!A137="",itens_Remanesc!A136&lt;&gt;"",COUNTIF(itens_Remanesc!A138:$A$200,"&lt;&gt;")=0),"TOTAL",IF(itens_Remanesc!A137="","",itens_Remanesc!A137))</f>
        <v/>
      </c>
      <c r="B138" s="355">
        <f>IF(OR(historico_VU!A137="",historico_VU!C137=""),"",historico_VU!C137)</f>
        <v/>
      </c>
      <c r="C138" s="118">
        <f>IF(posicao_contratual!A137="","",posicao_contratual!G137)</f>
        <v/>
      </c>
      <c r="D138" s="355">
        <f>IF(A138="TOTAL",ROUND(SUM($D$3:D137),2),IF(OR(A138="",B138="",C138=""),"",ROUND(B138*C138,2)))</f>
        <v/>
      </c>
      <c r="E138" s="356">
        <f>IF(OR(historico_VU!A137="",historico_VU!D137=""),"",historico_VU!D137)</f>
        <v/>
      </c>
      <c r="F138" s="120">
        <f>IF(posicao_contratual!A137="","",posicao_contratual!K137)</f>
        <v/>
      </c>
      <c r="G138" s="356">
        <f>IF(A138="TOTAL",ROUND(SUM($G$3:G137),2),IF(OR(A138="",E138="",F138=""),"",ROUND(E138*F138,2)))</f>
        <v/>
      </c>
      <c r="H138" s="355">
        <f>IF(OR(historico_VU!A137="",historico_VU!E137=""),"",historico_VU!E137)</f>
        <v/>
      </c>
      <c r="I138" s="118">
        <f>IF(posicao_contratual!A137="","",posicao_contratual!O137)</f>
        <v/>
      </c>
      <c r="J138" s="355">
        <f>IF(A138="TOTAL",ROUND(SUM($J$3:J137),2),IF(OR(A138="",H138="",I138=""),"",ROUND(H138*I138,2)))</f>
        <v/>
      </c>
      <c r="K138" s="356">
        <f>IF(OR(historico_VU!A137="",historico_VU!F137=""),"",historico_VU!F137)</f>
        <v/>
      </c>
      <c r="L138" s="120">
        <f>IF(posicao_contratual!A137="","",posicao_contratual!S137)</f>
        <v/>
      </c>
      <c r="M138" s="356">
        <f>IF(A138="TOTAL",ROUND(SUM($M$3:M137),2),IF(OR(A138="",K138="",L138=""),"",ROUND(K138*L138,2)))</f>
        <v/>
      </c>
      <c r="N138" s="355">
        <f>IF(OR(historico_VU!A137="",historico_VU!G137=""),"",historico_VU!G137)</f>
        <v/>
      </c>
      <c r="O138" s="118">
        <f>IF(posicao_contratual!A137="","",posicao_contratual!W137)</f>
        <v/>
      </c>
      <c r="P138" s="355">
        <f>IF(A138="TOTAL",ROUND(SUM($P$3:P137),2),IF(OR(A138="",N138="",O138=""),"",ROUND(N138*O138,2)))</f>
        <v/>
      </c>
      <c r="Q138" s="195">
        <f>IF($A138="","",IF(ISERROR(INDIRECT("CICLO_EM_EXECUCAO!$D$5")),"",INDIRECT("CICLO_EM_EXECUCAO!$D$5")))</f>
        <v/>
      </c>
      <c r="R138">
        <f>IF($A138="","",IF(MEMORIA_RESULTADOS!$W$46="","","C"&amp;MEMORIA_RESULTADOS!$W$46))</f>
        <v/>
      </c>
      <c r="S138" s="273">
        <f>IF($A138="","",IF(ISERROR(INDIRECT("CICLO_EM_EXECUCAO!B"&amp;(ROW()+10))),"",INDIRECT("CICLO_EM_EXECUCAO!B"&amp;(ROW()+10))))</f>
        <v/>
      </c>
      <c r="T138" s="273">
        <f>IF($A138="","",IF(ISERROR(INDIRECT("CICLO_EM_EXECUCAO!D"&amp;(ROW()+10))),"",INDIRECT("CICLO_EM_EXECUCAO!D"&amp;(ROW()+10))))</f>
        <v/>
      </c>
      <c r="U138" s="273">
        <f>IF($A138="","",IF(ISERROR(INDIRECT("CICLO_EM_EXECUCAO!C"&amp;(ROW()+10))),"",INDIRECT("CICLO_EM_EXECUCAO!C"&amp;(ROW()+10))))</f>
        <v/>
      </c>
      <c r="V138" s="213">
        <f>IF($A138="","",IF(ISERROR(INDIRECT("CICLO_EM_EXECUCAO!E"&amp;(ROW()+10))),"",INDIRECT("CICLO_EM_EXECUCAO!E"&amp;(ROW()+10))))</f>
        <v/>
      </c>
      <c r="W138" s="213">
        <f>IF($A138="","",IF(ISERROR(INDIRECT("CICLO_EM_EXECUCAO!F"&amp;(ROW()+10))),"",INDIRECT("CICLO_EM_EXECUCAO!F"&amp;(ROW()+10))))</f>
        <v/>
      </c>
      <c r="X138" s="213">
        <f>IF($A138="","",IF(ISERROR(INDIRECT("CICLO_EM_EXECUCAO!G"&amp;(ROW()+10))),"",INDIRECT("CICLO_EM_EXECUCAO!G"&amp;(ROW()+10))))</f>
        <v/>
      </c>
      <c r="Y138">
        <f>IF($A138="","",IF(ISERROR(INDIRECT("CICLO_EM_EXECUCAO!K"&amp;(ROW()+10))),"CICLO_EM_EXECUCAO AUSENTE",INDIRECT("CICLO_EM_EXECUCAO!K"&amp;(ROW()+10))))</f>
        <v/>
      </c>
    </row>
    <row r="139">
      <c r="A139" s="116">
        <f>IF(AND(itens_Remanesc!A138="",itens_Remanesc!A137&lt;&gt;"",COUNTIF(itens_Remanesc!A139:$A$200,"&lt;&gt;")=0),"TOTAL",IF(itens_Remanesc!A138="","",itens_Remanesc!A138))</f>
        <v/>
      </c>
      <c r="B139" s="355">
        <f>IF(OR(historico_VU!A138="",historico_VU!C138=""),"",historico_VU!C138)</f>
        <v/>
      </c>
      <c r="C139" s="118">
        <f>IF(posicao_contratual!A138="","",posicao_contratual!G138)</f>
        <v/>
      </c>
      <c r="D139" s="355">
        <f>IF(A139="TOTAL",ROUND(SUM($D$3:D138),2),IF(OR(A139="",B139="",C139=""),"",ROUND(B139*C139,2)))</f>
        <v/>
      </c>
      <c r="E139" s="356">
        <f>IF(OR(historico_VU!A138="",historico_VU!D138=""),"",historico_VU!D138)</f>
        <v/>
      </c>
      <c r="F139" s="120">
        <f>IF(posicao_contratual!A138="","",posicao_contratual!K138)</f>
        <v/>
      </c>
      <c r="G139" s="356">
        <f>IF(A139="TOTAL",ROUND(SUM($G$3:G138),2),IF(OR(A139="",E139="",F139=""),"",ROUND(E139*F139,2)))</f>
        <v/>
      </c>
      <c r="H139" s="355">
        <f>IF(OR(historico_VU!A138="",historico_VU!E138=""),"",historico_VU!E138)</f>
        <v/>
      </c>
      <c r="I139" s="118">
        <f>IF(posicao_contratual!A138="","",posicao_contratual!O138)</f>
        <v/>
      </c>
      <c r="J139" s="355">
        <f>IF(A139="TOTAL",ROUND(SUM($J$3:J138),2),IF(OR(A139="",H139="",I139=""),"",ROUND(H139*I139,2)))</f>
        <v/>
      </c>
      <c r="K139" s="356">
        <f>IF(OR(historico_VU!A138="",historico_VU!F138=""),"",historico_VU!F138)</f>
        <v/>
      </c>
      <c r="L139" s="120">
        <f>IF(posicao_contratual!A138="","",posicao_contratual!S138)</f>
        <v/>
      </c>
      <c r="M139" s="356">
        <f>IF(A139="TOTAL",ROUND(SUM($M$3:M138),2),IF(OR(A139="",K139="",L139=""),"",ROUND(K139*L139,2)))</f>
        <v/>
      </c>
      <c r="N139" s="355">
        <f>IF(OR(historico_VU!A138="",historico_VU!G138=""),"",historico_VU!G138)</f>
        <v/>
      </c>
      <c r="O139" s="118">
        <f>IF(posicao_contratual!A138="","",posicao_contratual!W138)</f>
        <v/>
      </c>
      <c r="P139" s="355">
        <f>IF(A139="TOTAL",ROUND(SUM($P$3:P138),2),IF(OR(A139="",N139="",O139=""),"",ROUND(N139*O139,2)))</f>
        <v/>
      </c>
      <c r="Q139" s="195">
        <f>IF($A139="","",IF(ISERROR(INDIRECT("CICLO_EM_EXECUCAO!$D$5")),"",INDIRECT("CICLO_EM_EXECUCAO!$D$5")))</f>
        <v/>
      </c>
      <c r="R139">
        <f>IF($A139="","",IF(MEMORIA_RESULTADOS!$W$46="","","C"&amp;MEMORIA_RESULTADOS!$W$46))</f>
        <v/>
      </c>
      <c r="S139" s="273">
        <f>IF($A139="","",IF(ISERROR(INDIRECT("CICLO_EM_EXECUCAO!B"&amp;(ROW()+10))),"",INDIRECT("CICLO_EM_EXECUCAO!B"&amp;(ROW()+10))))</f>
        <v/>
      </c>
      <c r="T139" s="273">
        <f>IF($A139="","",IF(ISERROR(INDIRECT("CICLO_EM_EXECUCAO!D"&amp;(ROW()+10))),"",INDIRECT("CICLO_EM_EXECUCAO!D"&amp;(ROW()+10))))</f>
        <v/>
      </c>
      <c r="U139" s="273">
        <f>IF($A139="","",IF(ISERROR(INDIRECT("CICLO_EM_EXECUCAO!C"&amp;(ROW()+10))),"",INDIRECT("CICLO_EM_EXECUCAO!C"&amp;(ROW()+10))))</f>
        <v/>
      </c>
      <c r="V139" s="213">
        <f>IF($A139="","",IF(ISERROR(INDIRECT("CICLO_EM_EXECUCAO!E"&amp;(ROW()+10))),"",INDIRECT("CICLO_EM_EXECUCAO!E"&amp;(ROW()+10))))</f>
        <v/>
      </c>
      <c r="W139" s="213">
        <f>IF($A139="","",IF(ISERROR(INDIRECT("CICLO_EM_EXECUCAO!F"&amp;(ROW()+10))),"",INDIRECT("CICLO_EM_EXECUCAO!F"&amp;(ROW()+10))))</f>
        <v/>
      </c>
      <c r="X139" s="213">
        <f>IF($A139="","",IF(ISERROR(INDIRECT("CICLO_EM_EXECUCAO!G"&amp;(ROW()+10))),"",INDIRECT("CICLO_EM_EXECUCAO!G"&amp;(ROW()+10))))</f>
        <v/>
      </c>
      <c r="Y139">
        <f>IF($A139="","",IF(ISERROR(INDIRECT("CICLO_EM_EXECUCAO!K"&amp;(ROW()+10))),"CICLO_EM_EXECUCAO AUSENTE",INDIRECT("CICLO_EM_EXECUCAO!K"&amp;(ROW()+10))))</f>
        <v/>
      </c>
    </row>
    <row r="140">
      <c r="A140" s="116">
        <f>IF(AND(itens_Remanesc!A139="",itens_Remanesc!A138&lt;&gt;"",COUNTIF(itens_Remanesc!A140:$A$200,"&lt;&gt;")=0),"TOTAL",IF(itens_Remanesc!A139="","",itens_Remanesc!A139))</f>
        <v/>
      </c>
      <c r="B140" s="355">
        <f>IF(OR(historico_VU!A139="",historico_VU!C139=""),"",historico_VU!C139)</f>
        <v/>
      </c>
      <c r="C140" s="118">
        <f>IF(posicao_contratual!A139="","",posicao_contratual!G139)</f>
        <v/>
      </c>
      <c r="D140" s="355">
        <f>IF(A140="TOTAL",ROUND(SUM($D$3:D139),2),IF(OR(A140="",B140="",C140=""),"",ROUND(B140*C140,2)))</f>
        <v/>
      </c>
      <c r="E140" s="356">
        <f>IF(OR(historico_VU!A139="",historico_VU!D139=""),"",historico_VU!D139)</f>
        <v/>
      </c>
      <c r="F140" s="120">
        <f>IF(posicao_contratual!A139="","",posicao_contratual!K139)</f>
        <v/>
      </c>
      <c r="G140" s="356">
        <f>IF(A140="TOTAL",ROUND(SUM($G$3:G139),2),IF(OR(A140="",E140="",F140=""),"",ROUND(E140*F140,2)))</f>
        <v/>
      </c>
      <c r="H140" s="355">
        <f>IF(OR(historico_VU!A139="",historico_VU!E139=""),"",historico_VU!E139)</f>
        <v/>
      </c>
      <c r="I140" s="118">
        <f>IF(posicao_contratual!A139="","",posicao_contratual!O139)</f>
        <v/>
      </c>
      <c r="J140" s="355">
        <f>IF(A140="TOTAL",ROUND(SUM($J$3:J139),2),IF(OR(A140="",H140="",I140=""),"",ROUND(H140*I140,2)))</f>
        <v/>
      </c>
      <c r="K140" s="356">
        <f>IF(OR(historico_VU!A139="",historico_VU!F139=""),"",historico_VU!F139)</f>
        <v/>
      </c>
      <c r="L140" s="120">
        <f>IF(posicao_contratual!A139="","",posicao_contratual!S139)</f>
        <v/>
      </c>
      <c r="M140" s="356">
        <f>IF(A140="TOTAL",ROUND(SUM($M$3:M139),2),IF(OR(A140="",K140="",L140=""),"",ROUND(K140*L140,2)))</f>
        <v/>
      </c>
      <c r="N140" s="355">
        <f>IF(OR(historico_VU!A139="",historico_VU!G139=""),"",historico_VU!G139)</f>
        <v/>
      </c>
      <c r="O140" s="118">
        <f>IF(posicao_contratual!A139="","",posicao_contratual!W139)</f>
        <v/>
      </c>
      <c r="P140" s="355">
        <f>IF(A140="TOTAL",ROUND(SUM($P$3:P139),2),IF(OR(A140="",N140="",O140=""),"",ROUND(N140*O140,2)))</f>
        <v/>
      </c>
      <c r="Q140" s="195">
        <f>IF($A140="","",IF(ISERROR(INDIRECT("CICLO_EM_EXECUCAO!$D$5")),"",INDIRECT("CICLO_EM_EXECUCAO!$D$5")))</f>
        <v/>
      </c>
      <c r="R140">
        <f>IF($A140="","",IF(MEMORIA_RESULTADOS!$W$46="","","C"&amp;MEMORIA_RESULTADOS!$W$46))</f>
        <v/>
      </c>
      <c r="S140" s="273">
        <f>IF($A140="","",IF(ISERROR(INDIRECT("CICLO_EM_EXECUCAO!B"&amp;(ROW()+10))),"",INDIRECT("CICLO_EM_EXECUCAO!B"&amp;(ROW()+10))))</f>
        <v/>
      </c>
      <c r="T140" s="273">
        <f>IF($A140="","",IF(ISERROR(INDIRECT("CICLO_EM_EXECUCAO!D"&amp;(ROW()+10))),"",INDIRECT("CICLO_EM_EXECUCAO!D"&amp;(ROW()+10))))</f>
        <v/>
      </c>
      <c r="U140" s="273">
        <f>IF($A140="","",IF(ISERROR(INDIRECT("CICLO_EM_EXECUCAO!C"&amp;(ROW()+10))),"",INDIRECT("CICLO_EM_EXECUCAO!C"&amp;(ROW()+10))))</f>
        <v/>
      </c>
      <c r="V140" s="213">
        <f>IF($A140="","",IF(ISERROR(INDIRECT("CICLO_EM_EXECUCAO!E"&amp;(ROW()+10))),"",INDIRECT("CICLO_EM_EXECUCAO!E"&amp;(ROW()+10))))</f>
        <v/>
      </c>
      <c r="W140" s="213">
        <f>IF($A140="","",IF(ISERROR(INDIRECT("CICLO_EM_EXECUCAO!F"&amp;(ROW()+10))),"",INDIRECT("CICLO_EM_EXECUCAO!F"&amp;(ROW()+10))))</f>
        <v/>
      </c>
      <c r="X140" s="213">
        <f>IF($A140="","",IF(ISERROR(INDIRECT("CICLO_EM_EXECUCAO!G"&amp;(ROW()+10))),"",INDIRECT("CICLO_EM_EXECUCAO!G"&amp;(ROW()+10))))</f>
        <v/>
      </c>
      <c r="Y140">
        <f>IF($A140="","",IF(ISERROR(INDIRECT("CICLO_EM_EXECUCAO!K"&amp;(ROW()+10))),"CICLO_EM_EXECUCAO AUSENTE",INDIRECT("CICLO_EM_EXECUCAO!K"&amp;(ROW()+10))))</f>
        <v/>
      </c>
    </row>
    <row r="141">
      <c r="A141" s="116">
        <f>IF(AND(itens_Remanesc!A140="",itens_Remanesc!A139&lt;&gt;"",COUNTIF(itens_Remanesc!A141:$A$200,"&lt;&gt;")=0),"TOTAL",IF(itens_Remanesc!A140="","",itens_Remanesc!A140))</f>
        <v/>
      </c>
      <c r="B141" s="355">
        <f>IF(OR(historico_VU!A140="",historico_VU!C140=""),"",historico_VU!C140)</f>
        <v/>
      </c>
      <c r="C141" s="118">
        <f>IF(posicao_contratual!A140="","",posicao_contratual!G140)</f>
        <v/>
      </c>
      <c r="D141" s="355">
        <f>IF(A141="TOTAL",ROUND(SUM($D$3:D140),2),IF(OR(A141="",B141="",C141=""),"",ROUND(B141*C141,2)))</f>
        <v/>
      </c>
      <c r="E141" s="356">
        <f>IF(OR(historico_VU!A140="",historico_VU!D140=""),"",historico_VU!D140)</f>
        <v/>
      </c>
      <c r="F141" s="120">
        <f>IF(posicao_contratual!A140="","",posicao_contratual!K140)</f>
        <v/>
      </c>
      <c r="G141" s="356">
        <f>IF(A141="TOTAL",ROUND(SUM($G$3:G140),2),IF(OR(A141="",E141="",F141=""),"",ROUND(E141*F141,2)))</f>
        <v/>
      </c>
      <c r="H141" s="355">
        <f>IF(OR(historico_VU!A140="",historico_VU!E140=""),"",historico_VU!E140)</f>
        <v/>
      </c>
      <c r="I141" s="118">
        <f>IF(posicao_contratual!A140="","",posicao_contratual!O140)</f>
        <v/>
      </c>
      <c r="J141" s="355">
        <f>IF(A141="TOTAL",ROUND(SUM($J$3:J140),2),IF(OR(A141="",H141="",I141=""),"",ROUND(H141*I141,2)))</f>
        <v/>
      </c>
      <c r="K141" s="356">
        <f>IF(OR(historico_VU!A140="",historico_VU!F140=""),"",historico_VU!F140)</f>
        <v/>
      </c>
      <c r="L141" s="120">
        <f>IF(posicao_contratual!A140="","",posicao_contratual!S140)</f>
        <v/>
      </c>
      <c r="M141" s="356">
        <f>IF(A141="TOTAL",ROUND(SUM($M$3:M140),2),IF(OR(A141="",K141="",L141=""),"",ROUND(K141*L141,2)))</f>
        <v/>
      </c>
      <c r="N141" s="355">
        <f>IF(OR(historico_VU!A140="",historico_VU!G140=""),"",historico_VU!G140)</f>
        <v/>
      </c>
      <c r="O141" s="118">
        <f>IF(posicao_contratual!A140="","",posicao_contratual!W140)</f>
        <v/>
      </c>
      <c r="P141" s="355">
        <f>IF(A141="TOTAL",ROUND(SUM($P$3:P140),2),IF(OR(A141="",N141="",O141=""),"",ROUND(N141*O141,2)))</f>
        <v/>
      </c>
      <c r="Q141" s="195">
        <f>IF($A141="","",IF(ISERROR(INDIRECT("CICLO_EM_EXECUCAO!$D$5")),"",INDIRECT("CICLO_EM_EXECUCAO!$D$5")))</f>
        <v/>
      </c>
      <c r="R141">
        <f>IF($A141="","",IF(MEMORIA_RESULTADOS!$W$46="","","C"&amp;MEMORIA_RESULTADOS!$W$46))</f>
        <v/>
      </c>
      <c r="S141" s="273">
        <f>IF($A141="","",IF(ISERROR(INDIRECT("CICLO_EM_EXECUCAO!B"&amp;(ROW()+10))),"",INDIRECT("CICLO_EM_EXECUCAO!B"&amp;(ROW()+10))))</f>
        <v/>
      </c>
      <c r="T141" s="273">
        <f>IF($A141="","",IF(ISERROR(INDIRECT("CICLO_EM_EXECUCAO!D"&amp;(ROW()+10))),"",INDIRECT("CICLO_EM_EXECUCAO!D"&amp;(ROW()+10))))</f>
        <v/>
      </c>
      <c r="U141" s="273">
        <f>IF($A141="","",IF(ISERROR(INDIRECT("CICLO_EM_EXECUCAO!C"&amp;(ROW()+10))),"",INDIRECT("CICLO_EM_EXECUCAO!C"&amp;(ROW()+10))))</f>
        <v/>
      </c>
      <c r="V141" s="213">
        <f>IF($A141="","",IF(ISERROR(INDIRECT("CICLO_EM_EXECUCAO!E"&amp;(ROW()+10))),"",INDIRECT("CICLO_EM_EXECUCAO!E"&amp;(ROW()+10))))</f>
        <v/>
      </c>
      <c r="W141" s="213">
        <f>IF($A141="","",IF(ISERROR(INDIRECT("CICLO_EM_EXECUCAO!F"&amp;(ROW()+10))),"",INDIRECT("CICLO_EM_EXECUCAO!F"&amp;(ROW()+10))))</f>
        <v/>
      </c>
      <c r="X141" s="213">
        <f>IF($A141="","",IF(ISERROR(INDIRECT("CICLO_EM_EXECUCAO!G"&amp;(ROW()+10))),"",INDIRECT("CICLO_EM_EXECUCAO!G"&amp;(ROW()+10))))</f>
        <v/>
      </c>
      <c r="Y141">
        <f>IF($A141="","",IF(ISERROR(INDIRECT("CICLO_EM_EXECUCAO!K"&amp;(ROW()+10))),"CICLO_EM_EXECUCAO AUSENTE",INDIRECT("CICLO_EM_EXECUCAO!K"&amp;(ROW()+10))))</f>
        <v/>
      </c>
    </row>
    <row r="142">
      <c r="A142" s="116">
        <f>IF(AND(itens_Remanesc!A141="",itens_Remanesc!A140&lt;&gt;"",COUNTIF(itens_Remanesc!A142:$A$200,"&lt;&gt;")=0),"TOTAL",IF(itens_Remanesc!A141="","",itens_Remanesc!A141))</f>
        <v/>
      </c>
      <c r="B142" s="355">
        <f>IF(OR(historico_VU!A141="",historico_VU!C141=""),"",historico_VU!C141)</f>
        <v/>
      </c>
      <c r="C142" s="118">
        <f>IF(posicao_contratual!A141="","",posicao_contratual!G141)</f>
        <v/>
      </c>
      <c r="D142" s="355">
        <f>IF(A142="TOTAL",ROUND(SUM($D$3:D141),2),IF(OR(A142="",B142="",C142=""),"",ROUND(B142*C142,2)))</f>
        <v/>
      </c>
      <c r="E142" s="356">
        <f>IF(OR(historico_VU!A141="",historico_VU!D141=""),"",historico_VU!D141)</f>
        <v/>
      </c>
      <c r="F142" s="120">
        <f>IF(posicao_contratual!A141="","",posicao_contratual!K141)</f>
        <v/>
      </c>
      <c r="G142" s="356">
        <f>IF(A142="TOTAL",ROUND(SUM($G$3:G141),2),IF(OR(A142="",E142="",F142=""),"",ROUND(E142*F142,2)))</f>
        <v/>
      </c>
      <c r="H142" s="355">
        <f>IF(OR(historico_VU!A141="",historico_VU!E141=""),"",historico_VU!E141)</f>
        <v/>
      </c>
      <c r="I142" s="118">
        <f>IF(posicao_contratual!A141="","",posicao_contratual!O141)</f>
        <v/>
      </c>
      <c r="J142" s="355">
        <f>IF(A142="TOTAL",ROUND(SUM($J$3:J141),2),IF(OR(A142="",H142="",I142=""),"",ROUND(H142*I142,2)))</f>
        <v/>
      </c>
      <c r="K142" s="356">
        <f>IF(OR(historico_VU!A141="",historico_VU!F141=""),"",historico_VU!F141)</f>
        <v/>
      </c>
      <c r="L142" s="120">
        <f>IF(posicao_contratual!A141="","",posicao_contratual!S141)</f>
        <v/>
      </c>
      <c r="M142" s="356">
        <f>IF(A142="TOTAL",ROUND(SUM($M$3:M141),2),IF(OR(A142="",K142="",L142=""),"",ROUND(K142*L142,2)))</f>
        <v/>
      </c>
      <c r="N142" s="355">
        <f>IF(OR(historico_VU!A141="",historico_VU!G141=""),"",historico_VU!G141)</f>
        <v/>
      </c>
      <c r="O142" s="118">
        <f>IF(posicao_contratual!A141="","",posicao_contratual!W141)</f>
        <v/>
      </c>
      <c r="P142" s="355">
        <f>IF(A142="TOTAL",ROUND(SUM($P$3:P141),2),IF(OR(A142="",N142="",O142=""),"",ROUND(N142*O142,2)))</f>
        <v/>
      </c>
      <c r="Q142" s="195">
        <f>IF($A142="","",IF(ISERROR(INDIRECT("CICLO_EM_EXECUCAO!$D$5")),"",INDIRECT("CICLO_EM_EXECUCAO!$D$5")))</f>
        <v/>
      </c>
      <c r="R142">
        <f>IF($A142="","",IF(MEMORIA_RESULTADOS!$W$46="","","C"&amp;MEMORIA_RESULTADOS!$W$46))</f>
        <v/>
      </c>
      <c r="S142" s="273">
        <f>IF($A142="","",IF(ISERROR(INDIRECT("CICLO_EM_EXECUCAO!B"&amp;(ROW()+10))),"",INDIRECT("CICLO_EM_EXECUCAO!B"&amp;(ROW()+10))))</f>
        <v/>
      </c>
      <c r="T142" s="273">
        <f>IF($A142="","",IF(ISERROR(INDIRECT("CICLO_EM_EXECUCAO!D"&amp;(ROW()+10))),"",INDIRECT("CICLO_EM_EXECUCAO!D"&amp;(ROW()+10))))</f>
        <v/>
      </c>
      <c r="U142" s="273">
        <f>IF($A142="","",IF(ISERROR(INDIRECT("CICLO_EM_EXECUCAO!C"&amp;(ROW()+10))),"",INDIRECT("CICLO_EM_EXECUCAO!C"&amp;(ROW()+10))))</f>
        <v/>
      </c>
      <c r="V142" s="213">
        <f>IF($A142="","",IF(ISERROR(INDIRECT("CICLO_EM_EXECUCAO!E"&amp;(ROW()+10))),"",INDIRECT("CICLO_EM_EXECUCAO!E"&amp;(ROW()+10))))</f>
        <v/>
      </c>
      <c r="W142" s="213">
        <f>IF($A142="","",IF(ISERROR(INDIRECT("CICLO_EM_EXECUCAO!F"&amp;(ROW()+10))),"",INDIRECT("CICLO_EM_EXECUCAO!F"&amp;(ROW()+10))))</f>
        <v/>
      </c>
      <c r="X142" s="213">
        <f>IF($A142="","",IF(ISERROR(INDIRECT("CICLO_EM_EXECUCAO!G"&amp;(ROW()+10))),"",INDIRECT("CICLO_EM_EXECUCAO!G"&amp;(ROW()+10))))</f>
        <v/>
      </c>
      <c r="Y142">
        <f>IF($A142="","",IF(ISERROR(INDIRECT("CICLO_EM_EXECUCAO!K"&amp;(ROW()+10))),"CICLO_EM_EXECUCAO AUSENTE",INDIRECT("CICLO_EM_EXECUCAO!K"&amp;(ROW()+10))))</f>
        <v/>
      </c>
    </row>
    <row r="143">
      <c r="A143" s="116">
        <f>IF(AND(itens_Remanesc!A142="",itens_Remanesc!A141&lt;&gt;"",COUNTIF(itens_Remanesc!A143:$A$200,"&lt;&gt;")=0),"TOTAL",IF(itens_Remanesc!A142="","",itens_Remanesc!A142))</f>
        <v/>
      </c>
      <c r="B143" s="355">
        <f>IF(OR(historico_VU!A142="",historico_VU!C142=""),"",historico_VU!C142)</f>
        <v/>
      </c>
      <c r="C143" s="118">
        <f>IF(posicao_contratual!A142="","",posicao_contratual!G142)</f>
        <v/>
      </c>
      <c r="D143" s="355">
        <f>IF(A143="TOTAL",ROUND(SUM($D$3:D142),2),IF(OR(A143="",B143="",C143=""),"",ROUND(B143*C143,2)))</f>
        <v/>
      </c>
      <c r="E143" s="356">
        <f>IF(OR(historico_VU!A142="",historico_VU!D142=""),"",historico_VU!D142)</f>
        <v/>
      </c>
      <c r="F143" s="120">
        <f>IF(posicao_contratual!A142="","",posicao_contratual!K142)</f>
        <v/>
      </c>
      <c r="G143" s="356">
        <f>IF(A143="TOTAL",ROUND(SUM($G$3:G142),2),IF(OR(A143="",E143="",F143=""),"",ROUND(E143*F143,2)))</f>
        <v/>
      </c>
      <c r="H143" s="355">
        <f>IF(OR(historico_VU!A142="",historico_VU!E142=""),"",historico_VU!E142)</f>
        <v/>
      </c>
      <c r="I143" s="118">
        <f>IF(posicao_contratual!A142="","",posicao_contratual!O142)</f>
        <v/>
      </c>
      <c r="J143" s="355">
        <f>IF(A143="TOTAL",ROUND(SUM($J$3:J142),2),IF(OR(A143="",H143="",I143=""),"",ROUND(H143*I143,2)))</f>
        <v/>
      </c>
      <c r="K143" s="356">
        <f>IF(OR(historico_VU!A142="",historico_VU!F142=""),"",historico_VU!F142)</f>
        <v/>
      </c>
      <c r="L143" s="120">
        <f>IF(posicao_contratual!A142="","",posicao_contratual!S142)</f>
        <v/>
      </c>
      <c r="M143" s="356">
        <f>IF(A143="TOTAL",ROUND(SUM($M$3:M142),2),IF(OR(A143="",K143="",L143=""),"",ROUND(K143*L143,2)))</f>
        <v/>
      </c>
      <c r="N143" s="355">
        <f>IF(OR(historico_VU!A142="",historico_VU!G142=""),"",historico_VU!G142)</f>
        <v/>
      </c>
      <c r="O143" s="118">
        <f>IF(posicao_contratual!A142="","",posicao_contratual!W142)</f>
        <v/>
      </c>
      <c r="P143" s="355">
        <f>IF(A143="TOTAL",ROUND(SUM($P$3:P142),2),IF(OR(A143="",N143="",O143=""),"",ROUND(N143*O143,2)))</f>
        <v/>
      </c>
      <c r="Q143" s="195">
        <f>IF($A143="","",IF(ISERROR(INDIRECT("CICLO_EM_EXECUCAO!$D$5")),"",INDIRECT("CICLO_EM_EXECUCAO!$D$5")))</f>
        <v/>
      </c>
      <c r="R143">
        <f>IF($A143="","",IF(MEMORIA_RESULTADOS!$W$46="","","C"&amp;MEMORIA_RESULTADOS!$W$46))</f>
        <v/>
      </c>
      <c r="S143" s="273">
        <f>IF($A143="","",IF(ISERROR(INDIRECT("CICLO_EM_EXECUCAO!B"&amp;(ROW()+10))),"",INDIRECT("CICLO_EM_EXECUCAO!B"&amp;(ROW()+10))))</f>
        <v/>
      </c>
      <c r="T143" s="273">
        <f>IF($A143="","",IF(ISERROR(INDIRECT("CICLO_EM_EXECUCAO!D"&amp;(ROW()+10))),"",INDIRECT("CICLO_EM_EXECUCAO!D"&amp;(ROW()+10))))</f>
        <v/>
      </c>
      <c r="U143" s="273">
        <f>IF($A143="","",IF(ISERROR(INDIRECT("CICLO_EM_EXECUCAO!C"&amp;(ROW()+10))),"",INDIRECT("CICLO_EM_EXECUCAO!C"&amp;(ROW()+10))))</f>
        <v/>
      </c>
      <c r="V143" s="213">
        <f>IF($A143="","",IF(ISERROR(INDIRECT("CICLO_EM_EXECUCAO!E"&amp;(ROW()+10))),"",INDIRECT("CICLO_EM_EXECUCAO!E"&amp;(ROW()+10))))</f>
        <v/>
      </c>
      <c r="W143" s="213">
        <f>IF($A143="","",IF(ISERROR(INDIRECT("CICLO_EM_EXECUCAO!F"&amp;(ROW()+10))),"",INDIRECT("CICLO_EM_EXECUCAO!F"&amp;(ROW()+10))))</f>
        <v/>
      </c>
      <c r="X143" s="213">
        <f>IF($A143="","",IF(ISERROR(INDIRECT("CICLO_EM_EXECUCAO!G"&amp;(ROW()+10))),"",INDIRECT("CICLO_EM_EXECUCAO!G"&amp;(ROW()+10))))</f>
        <v/>
      </c>
      <c r="Y143">
        <f>IF($A143="","",IF(ISERROR(INDIRECT("CICLO_EM_EXECUCAO!K"&amp;(ROW()+10))),"CICLO_EM_EXECUCAO AUSENTE",INDIRECT("CICLO_EM_EXECUCAO!K"&amp;(ROW()+10))))</f>
        <v/>
      </c>
    </row>
    <row r="144">
      <c r="A144" s="116">
        <f>IF(AND(itens_Remanesc!A143="",itens_Remanesc!A142&lt;&gt;"",COUNTIF(itens_Remanesc!A144:$A$200,"&lt;&gt;")=0),"TOTAL",IF(itens_Remanesc!A143="","",itens_Remanesc!A143))</f>
        <v/>
      </c>
      <c r="B144" s="355">
        <f>IF(OR(historico_VU!A143="",historico_VU!C143=""),"",historico_VU!C143)</f>
        <v/>
      </c>
      <c r="C144" s="118">
        <f>IF(posicao_contratual!A143="","",posicao_contratual!G143)</f>
        <v/>
      </c>
      <c r="D144" s="355">
        <f>IF(A144="TOTAL",ROUND(SUM($D$3:D143),2),IF(OR(A144="",B144="",C144=""),"",ROUND(B144*C144,2)))</f>
        <v/>
      </c>
      <c r="E144" s="356">
        <f>IF(OR(historico_VU!A143="",historico_VU!D143=""),"",historico_VU!D143)</f>
        <v/>
      </c>
      <c r="F144" s="120">
        <f>IF(posicao_contratual!A143="","",posicao_contratual!K143)</f>
        <v/>
      </c>
      <c r="G144" s="356">
        <f>IF(A144="TOTAL",ROUND(SUM($G$3:G143),2),IF(OR(A144="",E144="",F144=""),"",ROUND(E144*F144,2)))</f>
        <v/>
      </c>
      <c r="H144" s="355">
        <f>IF(OR(historico_VU!A143="",historico_VU!E143=""),"",historico_VU!E143)</f>
        <v/>
      </c>
      <c r="I144" s="118">
        <f>IF(posicao_contratual!A143="","",posicao_contratual!O143)</f>
        <v/>
      </c>
      <c r="J144" s="355">
        <f>IF(A144="TOTAL",ROUND(SUM($J$3:J143),2),IF(OR(A144="",H144="",I144=""),"",ROUND(H144*I144,2)))</f>
        <v/>
      </c>
      <c r="K144" s="356">
        <f>IF(OR(historico_VU!A143="",historico_VU!F143=""),"",historico_VU!F143)</f>
        <v/>
      </c>
      <c r="L144" s="120">
        <f>IF(posicao_contratual!A143="","",posicao_contratual!S143)</f>
        <v/>
      </c>
      <c r="M144" s="356">
        <f>IF(A144="TOTAL",ROUND(SUM($M$3:M143),2),IF(OR(A144="",K144="",L144=""),"",ROUND(K144*L144,2)))</f>
        <v/>
      </c>
      <c r="N144" s="355">
        <f>IF(OR(historico_VU!A143="",historico_VU!G143=""),"",historico_VU!G143)</f>
        <v/>
      </c>
      <c r="O144" s="118">
        <f>IF(posicao_contratual!A143="","",posicao_contratual!W143)</f>
        <v/>
      </c>
      <c r="P144" s="355">
        <f>IF(A144="TOTAL",ROUND(SUM($P$3:P143),2),IF(OR(A144="",N144="",O144=""),"",ROUND(N144*O144,2)))</f>
        <v/>
      </c>
      <c r="Q144" s="195">
        <f>IF($A144="","",IF(ISERROR(INDIRECT("CICLO_EM_EXECUCAO!$D$5")),"",INDIRECT("CICLO_EM_EXECUCAO!$D$5")))</f>
        <v/>
      </c>
      <c r="R144">
        <f>IF($A144="","",IF(MEMORIA_RESULTADOS!$W$46="","","C"&amp;MEMORIA_RESULTADOS!$W$46))</f>
        <v/>
      </c>
      <c r="S144" s="273">
        <f>IF($A144="","",IF(ISERROR(INDIRECT("CICLO_EM_EXECUCAO!B"&amp;(ROW()+10))),"",INDIRECT("CICLO_EM_EXECUCAO!B"&amp;(ROW()+10))))</f>
        <v/>
      </c>
      <c r="T144" s="273">
        <f>IF($A144="","",IF(ISERROR(INDIRECT("CICLO_EM_EXECUCAO!D"&amp;(ROW()+10))),"",INDIRECT("CICLO_EM_EXECUCAO!D"&amp;(ROW()+10))))</f>
        <v/>
      </c>
      <c r="U144" s="273">
        <f>IF($A144="","",IF(ISERROR(INDIRECT("CICLO_EM_EXECUCAO!C"&amp;(ROW()+10))),"",INDIRECT("CICLO_EM_EXECUCAO!C"&amp;(ROW()+10))))</f>
        <v/>
      </c>
      <c r="V144" s="213">
        <f>IF($A144="","",IF(ISERROR(INDIRECT("CICLO_EM_EXECUCAO!E"&amp;(ROW()+10))),"",INDIRECT("CICLO_EM_EXECUCAO!E"&amp;(ROW()+10))))</f>
        <v/>
      </c>
      <c r="W144" s="213">
        <f>IF($A144="","",IF(ISERROR(INDIRECT("CICLO_EM_EXECUCAO!F"&amp;(ROW()+10))),"",INDIRECT("CICLO_EM_EXECUCAO!F"&amp;(ROW()+10))))</f>
        <v/>
      </c>
      <c r="X144" s="213">
        <f>IF($A144="","",IF(ISERROR(INDIRECT("CICLO_EM_EXECUCAO!G"&amp;(ROW()+10))),"",INDIRECT("CICLO_EM_EXECUCAO!G"&amp;(ROW()+10))))</f>
        <v/>
      </c>
      <c r="Y144">
        <f>IF($A144="","",IF(ISERROR(INDIRECT("CICLO_EM_EXECUCAO!K"&amp;(ROW()+10))),"CICLO_EM_EXECUCAO AUSENTE",INDIRECT("CICLO_EM_EXECUCAO!K"&amp;(ROW()+10))))</f>
        <v/>
      </c>
    </row>
    <row r="145">
      <c r="A145" s="116">
        <f>IF(AND(itens_Remanesc!A144="",itens_Remanesc!A143&lt;&gt;"",COUNTIF(itens_Remanesc!A145:$A$200,"&lt;&gt;")=0),"TOTAL",IF(itens_Remanesc!A144="","",itens_Remanesc!A144))</f>
        <v/>
      </c>
      <c r="B145" s="355">
        <f>IF(OR(historico_VU!A144="",historico_VU!C144=""),"",historico_VU!C144)</f>
        <v/>
      </c>
      <c r="C145" s="118">
        <f>IF(posicao_contratual!A144="","",posicao_contratual!G144)</f>
        <v/>
      </c>
      <c r="D145" s="355">
        <f>IF(A145="TOTAL",ROUND(SUM($D$3:D144),2),IF(OR(A145="",B145="",C145=""),"",ROUND(B145*C145,2)))</f>
        <v/>
      </c>
      <c r="E145" s="356">
        <f>IF(OR(historico_VU!A144="",historico_VU!D144=""),"",historico_VU!D144)</f>
        <v/>
      </c>
      <c r="F145" s="120">
        <f>IF(posicao_contratual!A144="","",posicao_contratual!K144)</f>
        <v/>
      </c>
      <c r="G145" s="356">
        <f>IF(A145="TOTAL",ROUND(SUM($G$3:G144),2),IF(OR(A145="",E145="",F145=""),"",ROUND(E145*F145,2)))</f>
        <v/>
      </c>
      <c r="H145" s="355">
        <f>IF(OR(historico_VU!A144="",historico_VU!E144=""),"",historico_VU!E144)</f>
        <v/>
      </c>
      <c r="I145" s="118">
        <f>IF(posicao_contratual!A144="","",posicao_contratual!O144)</f>
        <v/>
      </c>
      <c r="J145" s="355">
        <f>IF(A145="TOTAL",ROUND(SUM($J$3:J144),2),IF(OR(A145="",H145="",I145=""),"",ROUND(H145*I145,2)))</f>
        <v/>
      </c>
      <c r="K145" s="356">
        <f>IF(OR(historico_VU!A144="",historico_VU!F144=""),"",historico_VU!F144)</f>
        <v/>
      </c>
      <c r="L145" s="120">
        <f>IF(posicao_contratual!A144="","",posicao_contratual!S144)</f>
        <v/>
      </c>
      <c r="M145" s="356">
        <f>IF(A145="TOTAL",ROUND(SUM($M$3:M144),2),IF(OR(A145="",K145="",L145=""),"",ROUND(K145*L145,2)))</f>
        <v/>
      </c>
      <c r="N145" s="355">
        <f>IF(OR(historico_VU!A144="",historico_VU!G144=""),"",historico_VU!G144)</f>
        <v/>
      </c>
      <c r="O145" s="118">
        <f>IF(posicao_contratual!A144="","",posicao_contratual!W144)</f>
        <v/>
      </c>
      <c r="P145" s="355">
        <f>IF(A145="TOTAL",ROUND(SUM($P$3:P144),2),IF(OR(A145="",N145="",O145=""),"",ROUND(N145*O145,2)))</f>
        <v/>
      </c>
      <c r="Q145" s="195">
        <f>IF($A145="","",IF(ISERROR(INDIRECT("CICLO_EM_EXECUCAO!$D$5")),"",INDIRECT("CICLO_EM_EXECUCAO!$D$5")))</f>
        <v/>
      </c>
      <c r="R145">
        <f>IF($A145="","",IF(MEMORIA_RESULTADOS!$W$46="","","C"&amp;MEMORIA_RESULTADOS!$W$46))</f>
        <v/>
      </c>
      <c r="S145" s="273">
        <f>IF($A145="","",IF(ISERROR(INDIRECT("CICLO_EM_EXECUCAO!B"&amp;(ROW()+10))),"",INDIRECT("CICLO_EM_EXECUCAO!B"&amp;(ROW()+10))))</f>
        <v/>
      </c>
      <c r="T145" s="273">
        <f>IF($A145="","",IF(ISERROR(INDIRECT("CICLO_EM_EXECUCAO!D"&amp;(ROW()+10))),"",INDIRECT("CICLO_EM_EXECUCAO!D"&amp;(ROW()+10))))</f>
        <v/>
      </c>
      <c r="U145" s="273">
        <f>IF($A145="","",IF(ISERROR(INDIRECT("CICLO_EM_EXECUCAO!C"&amp;(ROW()+10))),"",INDIRECT("CICLO_EM_EXECUCAO!C"&amp;(ROW()+10))))</f>
        <v/>
      </c>
      <c r="V145" s="213">
        <f>IF($A145="","",IF(ISERROR(INDIRECT("CICLO_EM_EXECUCAO!E"&amp;(ROW()+10))),"",INDIRECT("CICLO_EM_EXECUCAO!E"&amp;(ROW()+10))))</f>
        <v/>
      </c>
      <c r="W145" s="213">
        <f>IF($A145="","",IF(ISERROR(INDIRECT("CICLO_EM_EXECUCAO!F"&amp;(ROW()+10))),"",INDIRECT("CICLO_EM_EXECUCAO!F"&amp;(ROW()+10))))</f>
        <v/>
      </c>
      <c r="X145" s="213">
        <f>IF($A145="","",IF(ISERROR(INDIRECT("CICLO_EM_EXECUCAO!G"&amp;(ROW()+10))),"",INDIRECT("CICLO_EM_EXECUCAO!G"&amp;(ROW()+10))))</f>
        <v/>
      </c>
      <c r="Y145">
        <f>IF($A145="","",IF(ISERROR(INDIRECT("CICLO_EM_EXECUCAO!K"&amp;(ROW()+10))),"CICLO_EM_EXECUCAO AUSENTE",INDIRECT("CICLO_EM_EXECUCAO!K"&amp;(ROW()+10))))</f>
        <v/>
      </c>
    </row>
    <row r="146">
      <c r="A146" s="116">
        <f>IF(AND(itens_Remanesc!A145="",itens_Remanesc!A144&lt;&gt;"",COUNTIF(itens_Remanesc!A146:$A$200,"&lt;&gt;")=0),"TOTAL",IF(itens_Remanesc!A145="","",itens_Remanesc!A145))</f>
        <v/>
      </c>
      <c r="B146" s="355">
        <f>IF(OR(historico_VU!A145="",historico_VU!C145=""),"",historico_VU!C145)</f>
        <v/>
      </c>
      <c r="C146" s="118">
        <f>IF(posicao_contratual!A145="","",posicao_contratual!G145)</f>
        <v/>
      </c>
      <c r="D146" s="355">
        <f>IF(A146="TOTAL",ROUND(SUM($D$3:D145),2),IF(OR(A146="",B146="",C146=""),"",ROUND(B146*C146,2)))</f>
        <v/>
      </c>
      <c r="E146" s="356">
        <f>IF(OR(historico_VU!A145="",historico_VU!D145=""),"",historico_VU!D145)</f>
        <v/>
      </c>
      <c r="F146" s="120">
        <f>IF(posicao_contratual!A145="","",posicao_contratual!K145)</f>
        <v/>
      </c>
      <c r="G146" s="356">
        <f>IF(A146="TOTAL",ROUND(SUM($G$3:G145),2),IF(OR(A146="",E146="",F146=""),"",ROUND(E146*F146,2)))</f>
        <v/>
      </c>
      <c r="H146" s="355">
        <f>IF(OR(historico_VU!A145="",historico_VU!E145=""),"",historico_VU!E145)</f>
        <v/>
      </c>
      <c r="I146" s="118">
        <f>IF(posicao_contratual!A145="","",posicao_contratual!O145)</f>
        <v/>
      </c>
      <c r="J146" s="355">
        <f>IF(A146="TOTAL",ROUND(SUM($J$3:J145),2),IF(OR(A146="",H146="",I146=""),"",ROUND(H146*I146,2)))</f>
        <v/>
      </c>
      <c r="K146" s="356">
        <f>IF(OR(historico_VU!A145="",historico_VU!F145=""),"",historico_VU!F145)</f>
        <v/>
      </c>
      <c r="L146" s="120">
        <f>IF(posicao_contratual!A145="","",posicao_contratual!S145)</f>
        <v/>
      </c>
      <c r="M146" s="356">
        <f>IF(A146="TOTAL",ROUND(SUM($M$3:M145),2),IF(OR(A146="",K146="",L146=""),"",ROUND(K146*L146,2)))</f>
        <v/>
      </c>
      <c r="N146" s="355">
        <f>IF(OR(historico_VU!A145="",historico_VU!G145=""),"",historico_VU!G145)</f>
        <v/>
      </c>
      <c r="O146" s="118">
        <f>IF(posicao_contratual!A145="","",posicao_contratual!W145)</f>
        <v/>
      </c>
      <c r="P146" s="355">
        <f>IF(A146="TOTAL",ROUND(SUM($P$3:P145),2),IF(OR(A146="",N146="",O146=""),"",ROUND(N146*O146,2)))</f>
        <v/>
      </c>
      <c r="Q146" s="195">
        <f>IF($A146="","",IF(ISERROR(INDIRECT("CICLO_EM_EXECUCAO!$D$5")),"",INDIRECT("CICLO_EM_EXECUCAO!$D$5")))</f>
        <v/>
      </c>
      <c r="R146">
        <f>IF($A146="","",IF(MEMORIA_RESULTADOS!$W$46="","","C"&amp;MEMORIA_RESULTADOS!$W$46))</f>
        <v/>
      </c>
      <c r="S146" s="273">
        <f>IF($A146="","",IF(ISERROR(INDIRECT("CICLO_EM_EXECUCAO!B"&amp;(ROW()+10))),"",INDIRECT("CICLO_EM_EXECUCAO!B"&amp;(ROW()+10))))</f>
        <v/>
      </c>
      <c r="T146" s="273">
        <f>IF($A146="","",IF(ISERROR(INDIRECT("CICLO_EM_EXECUCAO!D"&amp;(ROW()+10))),"",INDIRECT("CICLO_EM_EXECUCAO!D"&amp;(ROW()+10))))</f>
        <v/>
      </c>
      <c r="U146" s="273">
        <f>IF($A146="","",IF(ISERROR(INDIRECT("CICLO_EM_EXECUCAO!C"&amp;(ROW()+10))),"",INDIRECT("CICLO_EM_EXECUCAO!C"&amp;(ROW()+10))))</f>
        <v/>
      </c>
      <c r="V146" s="213">
        <f>IF($A146="","",IF(ISERROR(INDIRECT("CICLO_EM_EXECUCAO!E"&amp;(ROW()+10))),"",INDIRECT("CICLO_EM_EXECUCAO!E"&amp;(ROW()+10))))</f>
        <v/>
      </c>
      <c r="W146" s="213">
        <f>IF($A146="","",IF(ISERROR(INDIRECT("CICLO_EM_EXECUCAO!F"&amp;(ROW()+10))),"",INDIRECT("CICLO_EM_EXECUCAO!F"&amp;(ROW()+10))))</f>
        <v/>
      </c>
      <c r="X146" s="213">
        <f>IF($A146="","",IF(ISERROR(INDIRECT("CICLO_EM_EXECUCAO!G"&amp;(ROW()+10))),"",INDIRECT("CICLO_EM_EXECUCAO!G"&amp;(ROW()+10))))</f>
        <v/>
      </c>
      <c r="Y146">
        <f>IF($A146="","",IF(ISERROR(INDIRECT("CICLO_EM_EXECUCAO!K"&amp;(ROW()+10))),"CICLO_EM_EXECUCAO AUSENTE",INDIRECT("CICLO_EM_EXECUCAO!K"&amp;(ROW()+10))))</f>
        <v/>
      </c>
    </row>
    <row r="147">
      <c r="A147" s="116">
        <f>IF(AND(itens_Remanesc!A146="",itens_Remanesc!A145&lt;&gt;"",COUNTIF(itens_Remanesc!A147:$A$200,"&lt;&gt;")=0),"TOTAL",IF(itens_Remanesc!A146="","",itens_Remanesc!A146))</f>
        <v/>
      </c>
      <c r="B147" s="355">
        <f>IF(OR(historico_VU!A146="",historico_VU!C146=""),"",historico_VU!C146)</f>
        <v/>
      </c>
      <c r="C147" s="118">
        <f>IF(posicao_contratual!A146="","",posicao_contratual!G146)</f>
        <v/>
      </c>
      <c r="D147" s="355">
        <f>IF(A147="TOTAL",ROUND(SUM($D$3:D146),2),IF(OR(A147="",B147="",C147=""),"",ROUND(B147*C147,2)))</f>
        <v/>
      </c>
      <c r="E147" s="356">
        <f>IF(OR(historico_VU!A146="",historico_VU!D146=""),"",historico_VU!D146)</f>
        <v/>
      </c>
      <c r="F147" s="120">
        <f>IF(posicao_contratual!A146="","",posicao_contratual!K146)</f>
        <v/>
      </c>
      <c r="G147" s="356">
        <f>IF(A147="TOTAL",ROUND(SUM($G$3:G146),2),IF(OR(A147="",E147="",F147=""),"",ROUND(E147*F147,2)))</f>
        <v/>
      </c>
      <c r="H147" s="355">
        <f>IF(OR(historico_VU!A146="",historico_VU!E146=""),"",historico_VU!E146)</f>
        <v/>
      </c>
      <c r="I147" s="118">
        <f>IF(posicao_contratual!A146="","",posicao_contratual!O146)</f>
        <v/>
      </c>
      <c r="J147" s="355">
        <f>IF(A147="TOTAL",ROUND(SUM($J$3:J146),2),IF(OR(A147="",H147="",I147=""),"",ROUND(H147*I147,2)))</f>
        <v/>
      </c>
      <c r="K147" s="356">
        <f>IF(OR(historico_VU!A146="",historico_VU!F146=""),"",historico_VU!F146)</f>
        <v/>
      </c>
      <c r="L147" s="120">
        <f>IF(posicao_contratual!A146="","",posicao_contratual!S146)</f>
        <v/>
      </c>
      <c r="M147" s="356">
        <f>IF(A147="TOTAL",ROUND(SUM($M$3:M146),2),IF(OR(A147="",K147="",L147=""),"",ROUND(K147*L147,2)))</f>
        <v/>
      </c>
      <c r="N147" s="355">
        <f>IF(OR(historico_VU!A146="",historico_VU!G146=""),"",historico_VU!G146)</f>
        <v/>
      </c>
      <c r="O147" s="118">
        <f>IF(posicao_contratual!A146="","",posicao_contratual!W146)</f>
        <v/>
      </c>
      <c r="P147" s="355">
        <f>IF(A147="TOTAL",ROUND(SUM($P$3:P146),2),IF(OR(A147="",N147="",O147=""),"",ROUND(N147*O147,2)))</f>
        <v/>
      </c>
      <c r="Q147" s="195">
        <f>IF($A147="","",IF(ISERROR(INDIRECT("CICLO_EM_EXECUCAO!$D$5")),"",INDIRECT("CICLO_EM_EXECUCAO!$D$5")))</f>
        <v/>
      </c>
      <c r="R147">
        <f>IF($A147="","",IF(MEMORIA_RESULTADOS!$W$46="","","C"&amp;MEMORIA_RESULTADOS!$W$46))</f>
        <v/>
      </c>
      <c r="S147" s="273">
        <f>IF($A147="","",IF(ISERROR(INDIRECT("CICLO_EM_EXECUCAO!B"&amp;(ROW()+10))),"",INDIRECT("CICLO_EM_EXECUCAO!B"&amp;(ROW()+10))))</f>
        <v/>
      </c>
      <c r="T147" s="273">
        <f>IF($A147="","",IF(ISERROR(INDIRECT("CICLO_EM_EXECUCAO!D"&amp;(ROW()+10))),"",INDIRECT("CICLO_EM_EXECUCAO!D"&amp;(ROW()+10))))</f>
        <v/>
      </c>
      <c r="U147" s="273">
        <f>IF($A147="","",IF(ISERROR(INDIRECT("CICLO_EM_EXECUCAO!C"&amp;(ROW()+10))),"",INDIRECT("CICLO_EM_EXECUCAO!C"&amp;(ROW()+10))))</f>
        <v/>
      </c>
      <c r="V147" s="213">
        <f>IF($A147="","",IF(ISERROR(INDIRECT("CICLO_EM_EXECUCAO!E"&amp;(ROW()+10))),"",INDIRECT("CICLO_EM_EXECUCAO!E"&amp;(ROW()+10))))</f>
        <v/>
      </c>
      <c r="W147" s="213">
        <f>IF($A147="","",IF(ISERROR(INDIRECT("CICLO_EM_EXECUCAO!F"&amp;(ROW()+10))),"",INDIRECT("CICLO_EM_EXECUCAO!F"&amp;(ROW()+10))))</f>
        <v/>
      </c>
      <c r="X147" s="213">
        <f>IF($A147="","",IF(ISERROR(INDIRECT("CICLO_EM_EXECUCAO!G"&amp;(ROW()+10))),"",INDIRECT("CICLO_EM_EXECUCAO!G"&amp;(ROW()+10))))</f>
        <v/>
      </c>
      <c r="Y147">
        <f>IF($A147="","",IF(ISERROR(INDIRECT("CICLO_EM_EXECUCAO!K"&amp;(ROW()+10))),"CICLO_EM_EXECUCAO AUSENTE",INDIRECT("CICLO_EM_EXECUCAO!K"&amp;(ROW()+10))))</f>
        <v/>
      </c>
    </row>
    <row r="148">
      <c r="A148" s="116">
        <f>IF(AND(itens_Remanesc!A147="",itens_Remanesc!A146&lt;&gt;"",COUNTIF(itens_Remanesc!A148:$A$200,"&lt;&gt;")=0),"TOTAL",IF(itens_Remanesc!A147="","",itens_Remanesc!A147))</f>
        <v/>
      </c>
      <c r="B148" s="355">
        <f>IF(OR(historico_VU!A147="",historico_VU!C147=""),"",historico_VU!C147)</f>
        <v/>
      </c>
      <c r="C148" s="118">
        <f>IF(posicao_contratual!A147="","",posicao_contratual!G147)</f>
        <v/>
      </c>
      <c r="D148" s="355">
        <f>IF(A148="TOTAL",ROUND(SUM($D$3:D147),2),IF(OR(A148="",B148="",C148=""),"",ROUND(B148*C148,2)))</f>
        <v/>
      </c>
      <c r="E148" s="356">
        <f>IF(OR(historico_VU!A147="",historico_VU!D147=""),"",historico_VU!D147)</f>
        <v/>
      </c>
      <c r="F148" s="120">
        <f>IF(posicao_contratual!A147="","",posicao_contratual!K147)</f>
        <v/>
      </c>
      <c r="G148" s="356">
        <f>IF(A148="TOTAL",ROUND(SUM($G$3:G147),2),IF(OR(A148="",E148="",F148=""),"",ROUND(E148*F148,2)))</f>
        <v/>
      </c>
      <c r="H148" s="355">
        <f>IF(OR(historico_VU!A147="",historico_VU!E147=""),"",historico_VU!E147)</f>
        <v/>
      </c>
      <c r="I148" s="118">
        <f>IF(posicao_contratual!A147="","",posicao_contratual!O147)</f>
        <v/>
      </c>
      <c r="J148" s="355">
        <f>IF(A148="TOTAL",ROUND(SUM($J$3:J147),2),IF(OR(A148="",H148="",I148=""),"",ROUND(H148*I148,2)))</f>
        <v/>
      </c>
      <c r="K148" s="356">
        <f>IF(OR(historico_VU!A147="",historico_VU!F147=""),"",historico_VU!F147)</f>
        <v/>
      </c>
      <c r="L148" s="120">
        <f>IF(posicao_contratual!A147="","",posicao_contratual!S147)</f>
        <v/>
      </c>
      <c r="M148" s="356">
        <f>IF(A148="TOTAL",ROUND(SUM($M$3:M147),2),IF(OR(A148="",K148="",L148=""),"",ROUND(K148*L148,2)))</f>
        <v/>
      </c>
      <c r="N148" s="355">
        <f>IF(OR(historico_VU!A147="",historico_VU!G147=""),"",historico_VU!G147)</f>
        <v/>
      </c>
      <c r="O148" s="118">
        <f>IF(posicao_contratual!A147="","",posicao_contratual!W147)</f>
        <v/>
      </c>
      <c r="P148" s="355">
        <f>IF(A148="TOTAL",ROUND(SUM($P$3:P147),2),IF(OR(A148="",N148="",O148=""),"",ROUND(N148*O148,2)))</f>
        <v/>
      </c>
      <c r="Q148" s="195">
        <f>IF($A148="","",IF(ISERROR(INDIRECT("CICLO_EM_EXECUCAO!$D$5")),"",INDIRECT("CICLO_EM_EXECUCAO!$D$5")))</f>
        <v/>
      </c>
      <c r="R148">
        <f>IF($A148="","",IF(MEMORIA_RESULTADOS!$W$46="","","C"&amp;MEMORIA_RESULTADOS!$W$46))</f>
        <v/>
      </c>
      <c r="S148" s="273">
        <f>IF($A148="","",IF(ISERROR(INDIRECT("CICLO_EM_EXECUCAO!B"&amp;(ROW()+10))),"",INDIRECT("CICLO_EM_EXECUCAO!B"&amp;(ROW()+10))))</f>
        <v/>
      </c>
      <c r="T148" s="273">
        <f>IF($A148="","",IF(ISERROR(INDIRECT("CICLO_EM_EXECUCAO!D"&amp;(ROW()+10))),"",INDIRECT("CICLO_EM_EXECUCAO!D"&amp;(ROW()+10))))</f>
        <v/>
      </c>
      <c r="U148" s="273">
        <f>IF($A148="","",IF(ISERROR(INDIRECT("CICLO_EM_EXECUCAO!C"&amp;(ROW()+10))),"",INDIRECT("CICLO_EM_EXECUCAO!C"&amp;(ROW()+10))))</f>
        <v/>
      </c>
      <c r="V148" s="213">
        <f>IF($A148="","",IF(ISERROR(INDIRECT("CICLO_EM_EXECUCAO!E"&amp;(ROW()+10))),"",INDIRECT("CICLO_EM_EXECUCAO!E"&amp;(ROW()+10))))</f>
        <v/>
      </c>
      <c r="W148" s="213">
        <f>IF($A148="","",IF(ISERROR(INDIRECT("CICLO_EM_EXECUCAO!F"&amp;(ROW()+10))),"",INDIRECT("CICLO_EM_EXECUCAO!F"&amp;(ROW()+10))))</f>
        <v/>
      </c>
      <c r="X148" s="213">
        <f>IF($A148="","",IF(ISERROR(INDIRECT("CICLO_EM_EXECUCAO!G"&amp;(ROW()+10))),"",INDIRECT("CICLO_EM_EXECUCAO!G"&amp;(ROW()+10))))</f>
        <v/>
      </c>
      <c r="Y148">
        <f>IF($A148="","",IF(ISERROR(INDIRECT("CICLO_EM_EXECUCAO!K"&amp;(ROW()+10))),"CICLO_EM_EXECUCAO AUSENTE",INDIRECT("CICLO_EM_EXECUCAO!K"&amp;(ROW()+10))))</f>
        <v/>
      </c>
    </row>
    <row r="149">
      <c r="A149" s="116">
        <f>IF(AND(itens_Remanesc!A148="",itens_Remanesc!A147&lt;&gt;"",COUNTIF(itens_Remanesc!A149:$A$200,"&lt;&gt;")=0),"TOTAL",IF(itens_Remanesc!A148="","",itens_Remanesc!A148))</f>
        <v/>
      </c>
      <c r="B149" s="355">
        <f>IF(OR(historico_VU!A148="",historico_VU!C148=""),"",historico_VU!C148)</f>
        <v/>
      </c>
      <c r="C149" s="118">
        <f>IF(posicao_contratual!A148="","",posicao_contratual!G148)</f>
        <v/>
      </c>
      <c r="D149" s="355">
        <f>IF(A149="TOTAL",ROUND(SUM($D$3:D148),2),IF(OR(A149="",B149="",C149=""),"",ROUND(B149*C149,2)))</f>
        <v/>
      </c>
      <c r="E149" s="356">
        <f>IF(OR(historico_VU!A148="",historico_VU!D148=""),"",historico_VU!D148)</f>
        <v/>
      </c>
      <c r="F149" s="120">
        <f>IF(posicao_contratual!A148="","",posicao_contratual!K148)</f>
        <v/>
      </c>
      <c r="G149" s="356">
        <f>IF(A149="TOTAL",ROUND(SUM($G$3:G148),2),IF(OR(A149="",E149="",F149=""),"",ROUND(E149*F149,2)))</f>
        <v/>
      </c>
      <c r="H149" s="355">
        <f>IF(OR(historico_VU!A148="",historico_VU!E148=""),"",historico_VU!E148)</f>
        <v/>
      </c>
      <c r="I149" s="118">
        <f>IF(posicao_contratual!A148="","",posicao_contratual!O148)</f>
        <v/>
      </c>
      <c r="J149" s="355">
        <f>IF(A149="TOTAL",ROUND(SUM($J$3:J148),2),IF(OR(A149="",H149="",I149=""),"",ROUND(H149*I149,2)))</f>
        <v/>
      </c>
      <c r="K149" s="356">
        <f>IF(OR(historico_VU!A148="",historico_VU!F148=""),"",historico_VU!F148)</f>
        <v/>
      </c>
      <c r="L149" s="120">
        <f>IF(posicao_contratual!A148="","",posicao_contratual!S148)</f>
        <v/>
      </c>
      <c r="M149" s="356">
        <f>IF(A149="TOTAL",ROUND(SUM($M$3:M148),2),IF(OR(A149="",K149="",L149=""),"",ROUND(K149*L149,2)))</f>
        <v/>
      </c>
      <c r="N149" s="355">
        <f>IF(OR(historico_VU!A148="",historico_VU!G148=""),"",historico_VU!G148)</f>
        <v/>
      </c>
      <c r="O149" s="118">
        <f>IF(posicao_contratual!A148="","",posicao_contratual!W148)</f>
        <v/>
      </c>
      <c r="P149" s="355">
        <f>IF(A149="TOTAL",ROUND(SUM($P$3:P148),2),IF(OR(A149="",N149="",O149=""),"",ROUND(N149*O149,2)))</f>
        <v/>
      </c>
      <c r="Q149" s="195">
        <f>IF($A149="","",IF(ISERROR(INDIRECT("CICLO_EM_EXECUCAO!$D$5")),"",INDIRECT("CICLO_EM_EXECUCAO!$D$5")))</f>
        <v/>
      </c>
      <c r="R149">
        <f>IF($A149="","",IF(MEMORIA_RESULTADOS!$W$46="","","C"&amp;MEMORIA_RESULTADOS!$W$46))</f>
        <v/>
      </c>
      <c r="S149" s="273">
        <f>IF($A149="","",IF(ISERROR(INDIRECT("CICLO_EM_EXECUCAO!B"&amp;(ROW()+10))),"",INDIRECT("CICLO_EM_EXECUCAO!B"&amp;(ROW()+10))))</f>
        <v/>
      </c>
      <c r="T149" s="273">
        <f>IF($A149="","",IF(ISERROR(INDIRECT("CICLO_EM_EXECUCAO!D"&amp;(ROW()+10))),"",INDIRECT("CICLO_EM_EXECUCAO!D"&amp;(ROW()+10))))</f>
        <v/>
      </c>
      <c r="U149" s="273">
        <f>IF($A149="","",IF(ISERROR(INDIRECT("CICLO_EM_EXECUCAO!C"&amp;(ROW()+10))),"",INDIRECT("CICLO_EM_EXECUCAO!C"&amp;(ROW()+10))))</f>
        <v/>
      </c>
      <c r="V149" s="213">
        <f>IF($A149="","",IF(ISERROR(INDIRECT("CICLO_EM_EXECUCAO!E"&amp;(ROW()+10))),"",INDIRECT("CICLO_EM_EXECUCAO!E"&amp;(ROW()+10))))</f>
        <v/>
      </c>
      <c r="W149" s="213">
        <f>IF($A149="","",IF(ISERROR(INDIRECT("CICLO_EM_EXECUCAO!F"&amp;(ROW()+10))),"",INDIRECT("CICLO_EM_EXECUCAO!F"&amp;(ROW()+10))))</f>
        <v/>
      </c>
      <c r="X149" s="213">
        <f>IF($A149="","",IF(ISERROR(INDIRECT("CICLO_EM_EXECUCAO!G"&amp;(ROW()+10))),"",INDIRECT("CICLO_EM_EXECUCAO!G"&amp;(ROW()+10))))</f>
        <v/>
      </c>
      <c r="Y149">
        <f>IF($A149="","",IF(ISERROR(INDIRECT("CICLO_EM_EXECUCAO!K"&amp;(ROW()+10))),"CICLO_EM_EXECUCAO AUSENTE",INDIRECT("CICLO_EM_EXECUCAO!K"&amp;(ROW()+10))))</f>
        <v/>
      </c>
    </row>
    <row r="150">
      <c r="A150" s="116">
        <f>IF(AND(itens_Remanesc!A149="",itens_Remanesc!A148&lt;&gt;"",COUNTIF(itens_Remanesc!A150:$A$200,"&lt;&gt;")=0),"TOTAL",IF(itens_Remanesc!A149="","",itens_Remanesc!A149))</f>
        <v/>
      </c>
      <c r="B150" s="355">
        <f>IF(OR(historico_VU!A149="",historico_VU!C149=""),"",historico_VU!C149)</f>
        <v/>
      </c>
      <c r="C150" s="118">
        <f>IF(posicao_contratual!A149="","",posicao_contratual!G149)</f>
        <v/>
      </c>
      <c r="D150" s="355">
        <f>IF(A150="TOTAL",ROUND(SUM($D$3:D149),2),IF(OR(A150="",B150="",C150=""),"",ROUND(B150*C150,2)))</f>
        <v/>
      </c>
      <c r="E150" s="356">
        <f>IF(OR(historico_VU!A149="",historico_VU!D149=""),"",historico_VU!D149)</f>
        <v/>
      </c>
      <c r="F150" s="120">
        <f>IF(posicao_contratual!A149="","",posicao_contratual!K149)</f>
        <v/>
      </c>
      <c r="G150" s="356">
        <f>IF(A150="TOTAL",ROUND(SUM($G$3:G149),2),IF(OR(A150="",E150="",F150=""),"",ROUND(E150*F150,2)))</f>
        <v/>
      </c>
      <c r="H150" s="355">
        <f>IF(OR(historico_VU!A149="",historico_VU!E149=""),"",historico_VU!E149)</f>
        <v/>
      </c>
      <c r="I150" s="118">
        <f>IF(posicao_contratual!A149="","",posicao_contratual!O149)</f>
        <v/>
      </c>
      <c r="J150" s="355">
        <f>IF(A150="TOTAL",ROUND(SUM($J$3:J149),2),IF(OR(A150="",H150="",I150=""),"",ROUND(H150*I150,2)))</f>
        <v/>
      </c>
      <c r="K150" s="356">
        <f>IF(OR(historico_VU!A149="",historico_VU!F149=""),"",historico_VU!F149)</f>
        <v/>
      </c>
      <c r="L150" s="120">
        <f>IF(posicao_contratual!A149="","",posicao_contratual!S149)</f>
        <v/>
      </c>
      <c r="M150" s="356">
        <f>IF(A150="TOTAL",ROUND(SUM($M$3:M149),2),IF(OR(A150="",K150="",L150=""),"",ROUND(K150*L150,2)))</f>
        <v/>
      </c>
      <c r="N150" s="355">
        <f>IF(OR(historico_VU!A149="",historico_VU!G149=""),"",historico_VU!G149)</f>
        <v/>
      </c>
      <c r="O150" s="118">
        <f>IF(posicao_contratual!A149="","",posicao_contratual!W149)</f>
        <v/>
      </c>
      <c r="P150" s="355">
        <f>IF(A150="TOTAL",ROUND(SUM($P$3:P149),2),IF(OR(A150="",N150="",O150=""),"",ROUND(N150*O150,2)))</f>
        <v/>
      </c>
      <c r="Q150" s="195">
        <f>IF($A150="","",IF(ISERROR(INDIRECT("CICLO_EM_EXECUCAO!$D$5")),"",INDIRECT("CICLO_EM_EXECUCAO!$D$5")))</f>
        <v/>
      </c>
      <c r="R150">
        <f>IF($A150="","",IF(MEMORIA_RESULTADOS!$W$46="","","C"&amp;MEMORIA_RESULTADOS!$W$46))</f>
        <v/>
      </c>
      <c r="S150" s="273">
        <f>IF($A150="","",IF(ISERROR(INDIRECT("CICLO_EM_EXECUCAO!B"&amp;(ROW()+10))),"",INDIRECT("CICLO_EM_EXECUCAO!B"&amp;(ROW()+10))))</f>
        <v/>
      </c>
      <c r="T150" s="273">
        <f>IF($A150="","",IF(ISERROR(INDIRECT("CICLO_EM_EXECUCAO!D"&amp;(ROW()+10))),"",INDIRECT("CICLO_EM_EXECUCAO!D"&amp;(ROW()+10))))</f>
        <v/>
      </c>
      <c r="U150" s="273">
        <f>IF($A150="","",IF(ISERROR(INDIRECT("CICLO_EM_EXECUCAO!C"&amp;(ROW()+10))),"",INDIRECT("CICLO_EM_EXECUCAO!C"&amp;(ROW()+10))))</f>
        <v/>
      </c>
      <c r="V150" s="213">
        <f>IF($A150="","",IF(ISERROR(INDIRECT("CICLO_EM_EXECUCAO!E"&amp;(ROW()+10))),"",INDIRECT("CICLO_EM_EXECUCAO!E"&amp;(ROW()+10))))</f>
        <v/>
      </c>
      <c r="W150" s="213">
        <f>IF($A150="","",IF(ISERROR(INDIRECT("CICLO_EM_EXECUCAO!F"&amp;(ROW()+10))),"",INDIRECT("CICLO_EM_EXECUCAO!F"&amp;(ROW()+10))))</f>
        <v/>
      </c>
      <c r="X150" s="213">
        <f>IF($A150="","",IF(ISERROR(INDIRECT("CICLO_EM_EXECUCAO!G"&amp;(ROW()+10))),"",INDIRECT("CICLO_EM_EXECUCAO!G"&amp;(ROW()+10))))</f>
        <v/>
      </c>
      <c r="Y150">
        <f>IF($A150="","",IF(ISERROR(INDIRECT("CICLO_EM_EXECUCAO!K"&amp;(ROW()+10))),"CICLO_EM_EXECUCAO AUSENTE",INDIRECT("CICLO_EM_EXECUCAO!K"&amp;(ROW()+10))))</f>
        <v/>
      </c>
    </row>
    <row r="151">
      <c r="A151" s="116">
        <f>IF(AND(itens_Remanesc!A150="",itens_Remanesc!A149&lt;&gt;"",COUNTIF(itens_Remanesc!A151:$A$200,"&lt;&gt;")=0),"TOTAL",IF(itens_Remanesc!A150="","",itens_Remanesc!A150))</f>
        <v/>
      </c>
      <c r="B151" s="355">
        <f>IF(OR(historico_VU!A150="",historico_VU!C150=""),"",historico_VU!C150)</f>
        <v/>
      </c>
      <c r="C151" s="118">
        <f>IF(posicao_contratual!A150="","",posicao_contratual!G150)</f>
        <v/>
      </c>
      <c r="D151" s="355">
        <f>IF(A151="TOTAL",ROUND(SUM($D$3:D150),2),IF(OR(A151="",B151="",C151=""),"",ROUND(B151*C151,2)))</f>
        <v/>
      </c>
      <c r="E151" s="356">
        <f>IF(OR(historico_VU!A150="",historico_VU!D150=""),"",historico_VU!D150)</f>
        <v/>
      </c>
      <c r="F151" s="120">
        <f>IF(posicao_contratual!A150="","",posicao_contratual!K150)</f>
        <v/>
      </c>
      <c r="G151" s="356">
        <f>IF(A151="TOTAL",ROUND(SUM($G$3:G150),2),IF(OR(A151="",E151="",F151=""),"",ROUND(E151*F151,2)))</f>
        <v/>
      </c>
      <c r="H151" s="355">
        <f>IF(OR(historico_VU!A150="",historico_VU!E150=""),"",historico_VU!E150)</f>
        <v/>
      </c>
      <c r="I151" s="118">
        <f>IF(posicao_contratual!A150="","",posicao_contratual!O150)</f>
        <v/>
      </c>
      <c r="J151" s="355">
        <f>IF(A151="TOTAL",ROUND(SUM($J$3:J150),2),IF(OR(A151="",H151="",I151=""),"",ROUND(H151*I151,2)))</f>
        <v/>
      </c>
      <c r="K151" s="356">
        <f>IF(OR(historico_VU!A150="",historico_VU!F150=""),"",historico_VU!F150)</f>
        <v/>
      </c>
      <c r="L151" s="120">
        <f>IF(posicao_contratual!A150="","",posicao_contratual!S150)</f>
        <v/>
      </c>
      <c r="M151" s="356">
        <f>IF(A151="TOTAL",ROUND(SUM($M$3:M150),2),IF(OR(A151="",K151="",L151=""),"",ROUND(K151*L151,2)))</f>
        <v/>
      </c>
      <c r="N151" s="355">
        <f>IF(OR(historico_VU!A150="",historico_VU!G150=""),"",historico_VU!G150)</f>
        <v/>
      </c>
      <c r="O151" s="118">
        <f>IF(posicao_contratual!A150="","",posicao_contratual!W150)</f>
        <v/>
      </c>
      <c r="P151" s="355">
        <f>IF(A151="TOTAL",ROUND(SUM($P$3:P150),2),IF(OR(A151="",N151="",O151=""),"",ROUND(N151*O151,2)))</f>
        <v/>
      </c>
      <c r="Q151" s="195">
        <f>IF($A151="","",IF(ISERROR(INDIRECT("CICLO_EM_EXECUCAO!$D$5")),"",INDIRECT("CICLO_EM_EXECUCAO!$D$5")))</f>
        <v/>
      </c>
      <c r="R151">
        <f>IF($A151="","",IF(MEMORIA_RESULTADOS!$W$46="","","C"&amp;MEMORIA_RESULTADOS!$W$46))</f>
        <v/>
      </c>
      <c r="S151" s="273">
        <f>IF($A151="","",IF(ISERROR(INDIRECT("CICLO_EM_EXECUCAO!B"&amp;(ROW()+10))),"",INDIRECT("CICLO_EM_EXECUCAO!B"&amp;(ROW()+10))))</f>
        <v/>
      </c>
      <c r="T151" s="273">
        <f>IF($A151="","",IF(ISERROR(INDIRECT("CICLO_EM_EXECUCAO!D"&amp;(ROW()+10))),"",INDIRECT("CICLO_EM_EXECUCAO!D"&amp;(ROW()+10))))</f>
        <v/>
      </c>
      <c r="U151" s="273">
        <f>IF($A151="","",IF(ISERROR(INDIRECT("CICLO_EM_EXECUCAO!C"&amp;(ROW()+10))),"",INDIRECT("CICLO_EM_EXECUCAO!C"&amp;(ROW()+10))))</f>
        <v/>
      </c>
      <c r="V151" s="213">
        <f>IF($A151="","",IF(ISERROR(INDIRECT("CICLO_EM_EXECUCAO!E"&amp;(ROW()+10))),"",INDIRECT("CICLO_EM_EXECUCAO!E"&amp;(ROW()+10))))</f>
        <v/>
      </c>
      <c r="W151" s="213">
        <f>IF($A151="","",IF(ISERROR(INDIRECT("CICLO_EM_EXECUCAO!F"&amp;(ROW()+10))),"",INDIRECT("CICLO_EM_EXECUCAO!F"&amp;(ROW()+10))))</f>
        <v/>
      </c>
      <c r="X151" s="213">
        <f>IF($A151="","",IF(ISERROR(INDIRECT("CICLO_EM_EXECUCAO!G"&amp;(ROW()+10))),"",INDIRECT("CICLO_EM_EXECUCAO!G"&amp;(ROW()+10))))</f>
        <v/>
      </c>
      <c r="Y151">
        <f>IF($A151="","",IF(ISERROR(INDIRECT("CICLO_EM_EXECUCAO!K"&amp;(ROW()+10))),"CICLO_EM_EXECUCAO AUSENTE",INDIRECT("CICLO_EM_EXECUCAO!K"&amp;(ROW()+10))))</f>
        <v/>
      </c>
    </row>
    <row r="152">
      <c r="A152" s="116">
        <f>IF(AND(itens_Remanesc!A151="",itens_Remanesc!A150&lt;&gt;"",COUNTIF(itens_Remanesc!A152:$A$200,"&lt;&gt;")=0),"TOTAL",IF(itens_Remanesc!A151="","",itens_Remanesc!A151))</f>
        <v/>
      </c>
      <c r="B152" s="355">
        <f>IF(OR(historico_VU!A151="",historico_VU!C151=""),"",historico_VU!C151)</f>
        <v/>
      </c>
      <c r="C152" s="118">
        <f>IF(posicao_contratual!A151="","",posicao_contratual!G151)</f>
        <v/>
      </c>
      <c r="D152" s="355">
        <f>IF(A152="TOTAL",ROUND(SUM($D$3:D151),2),IF(OR(A152="",B152="",C152=""),"",ROUND(B152*C152,2)))</f>
        <v/>
      </c>
      <c r="E152" s="356">
        <f>IF(OR(historico_VU!A151="",historico_VU!D151=""),"",historico_VU!D151)</f>
        <v/>
      </c>
      <c r="F152" s="120">
        <f>IF(posicao_contratual!A151="","",posicao_contratual!K151)</f>
        <v/>
      </c>
      <c r="G152" s="356">
        <f>IF(A152="TOTAL",ROUND(SUM($G$3:G151),2),IF(OR(A152="",E152="",F152=""),"",ROUND(E152*F152,2)))</f>
        <v/>
      </c>
      <c r="H152" s="355">
        <f>IF(OR(historico_VU!A151="",historico_VU!E151=""),"",historico_VU!E151)</f>
        <v/>
      </c>
      <c r="I152" s="118">
        <f>IF(posicao_contratual!A151="","",posicao_contratual!O151)</f>
        <v/>
      </c>
      <c r="J152" s="355">
        <f>IF(A152="TOTAL",ROUND(SUM($J$3:J151),2),IF(OR(A152="",H152="",I152=""),"",ROUND(H152*I152,2)))</f>
        <v/>
      </c>
      <c r="K152" s="356">
        <f>IF(OR(historico_VU!A151="",historico_VU!F151=""),"",historico_VU!F151)</f>
        <v/>
      </c>
      <c r="L152" s="120">
        <f>IF(posicao_contratual!A151="","",posicao_contratual!S151)</f>
        <v/>
      </c>
      <c r="M152" s="356">
        <f>IF(A152="TOTAL",ROUND(SUM($M$3:M151),2),IF(OR(A152="",K152="",L152=""),"",ROUND(K152*L152,2)))</f>
        <v/>
      </c>
      <c r="N152" s="355">
        <f>IF(OR(historico_VU!A151="",historico_VU!G151=""),"",historico_VU!G151)</f>
        <v/>
      </c>
      <c r="O152" s="118">
        <f>IF(posicao_contratual!A151="","",posicao_contratual!W151)</f>
        <v/>
      </c>
      <c r="P152" s="355">
        <f>IF(A152="TOTAL",ROUND(SUM($P$3:P151),2),IF(OR(A152="",N152="",O152=""),"",ROUND(N152*O152,2)))</f>
        <v/>
      </c>
      <c r="Q152" s="195">
        <f>IF($A152="","",IF(ISERROR(INDIRECT("CICLO_EM_EXECUCAO!$D$5")),"",INDIRECT("CICLO_EM_EXECUCAO!$D$5")))</f>
        <v/>
      </c>
      <c r="R152">
        <f>IF($A152="","",IF(MEMORIA_RESULTADOS!$W$46="","","C"&amp;MEMORIA_RESULTADOS!$W$46))</f>
        <v/>
      </c>
      <c r="S152" s="273">
        <f>IF($A152="","",IF(ISERROR(INDIRECT("CICLO_EM_EXECUCAO!B"&amp;(ROW()+10))),"",INDIRECT("CICLO_EM_EXECUCAO!B"&amp;(ROW()+10))))</f>
        <v/>
      </c>
      <c r="T152" s="273">
        <f>IF($A152="","",IF(ISERROR(INDIRECT("CICLO_EM_EXECUCAO!D"&amp;(ROW()+10))),"",INDIRECT("CICLO_EM_EXECUCAO!D"&amp;(ROW()+10))))</f>
        <v/>
      </c>
      <c r="U152" s="273">
        <f>IF($A152="","",IF(ISERROR(INDIRECT("CICLO_EM_EXECUCAO!C"&amp;(ROW()+10))),"",INDIRECT("CICLO_EM_EXECUCAO!C"&amp;(ROW()+10))))</f>
        <v/>
      </c>
      <c r="V152" s="213">
        <f>IF($A152="","",IF(ISERROR(INDIRECT("CICLO_EM_EXECUCAO!E"&amp;(ROW()+10))),"",INDIRECT("CICLO_EM_EXECUCAO!E"&amp;(ROW()+10))))</f>
        <v/>
      </c>
      <c r="W152" s="213">
        <f>IF($A152="","",IF(ISERROR(INDIRECT("CICLO_EM_EXECUCAO!F"&amp;(ROW()+10))),"",INDIRECT("CICLO_EM_EXECUCAO!F"&amp;(ROW()+10))))</f>
        <v/>
      </c>
      <c r="X152" s="213">
        <f>IF($A152="","",IF(ISERROR(INDIRECT("CICLO_EM_EXECUCAO!G"&amp;(ROW()+10))),"",INDIRECT("CICLO_EM_EXECUCAO!G"&amp;(ROW()+10))))</f>
        <v/>
      </c>
      <c r="Y152">
        <f>IF($A152="","",IF(ISERROR(INDIRECT("CICLO_EM_EXECUCAO!K"&amp;(ROW()+10))),"CICLO_EM_EXECUCAO AUSENTE",INDIRECT("CICLO_EM_EXECUCAO!K"&amp;(ROW()+10))))</f>
        <v/>
      </c>
    </row>
    <row r="153">
      <c r="A153" s="116">
        <f>IF(AND(itens_Remanesc!A152="",itens_Remanesc!A151&lt;&gt;"",COUNTIF(itens_Remanesc!A153:$A$200,"&lt;&gt;")=0),"TOTAL",IF(itens_Remanesc!A152="","",itens_Remanesc!A152))</f>
        <v/>
      </c>
      <c r="B153" s="355">
        <f>IF(OR(historico_VU!A152="",historico_VU!C152=""),"",historico_VU!C152)</f>
        <v/>
      </c>
      <c r="C153" s="118">
        <f>IF(posicao_contratual!A152="","",posicao_contratual!G152)</f>
        <v/>
      </c>
      <c r="D153" s="355">
        <f>IF(A153="TOTAL",ROUND(SUM($D$3:D152),2),IF(OR(A153="",B153="",C153=""),"",ROUND(B153*C153,2)))</f>
        <v/>
      </c>
      <c r="E153" s="356">
        <f>IF(OR(historico_VU!A152="",historico_VU!D152=""),"",historico_VU!D152)</f>
        <v/>
      </c>
      <c r="F153" s="120">
        <f>IF(posicao_contratual!A152="","",posicao_contratual!K152)</f>
        <v/>
      </c>
      <c r="G153" s="356">
        <f>IF(A153="TOTAL",ROUND(SUM($G$3:G152),2),IF(OR(A153="",E153="",F153=""),"",ROUND(E153*F153,2)))</f>
        <v/>
      </c>
      <c r="H153" s="355">
        <f>IF(OR(historico_VU!A152="",historico_VU!E152=""),"",historico_VU!E152)</f>
        <v/>
      </c>
      <c r="I153" s="118">
        <f>IF(posicao_contratual!A152="","",posicao_contratual!O152)</f>
        <v/>
      </c>
      <c r="J153" s="355">
        <f>IF(A153="TOTAL",ROUND(SUM($J$3:J152),2),IF(OR(A153="",H153="",I153=""),"",ROUND(H153*I153,2)))</f>
        <v/>
      </c>
      <c r="K153" s="356">
        <f>IF(OR(historico_VU!A152="",historico_VU!F152=""),"",historico_VU!F152)</f>
        <v/>
      </c>
      <c r="L153" s="120">
        <f>IF(posicao_contratual!A152="","",posicao_contratual!S152)</f>
        <v/>
      </c>
      <c r="M153" s="356">
        <f>IF(A153="TOTAL",ROUND(SUM($M$3:M152),2),IF(OR(A153="",K153="",L153=""),"",ROUND(K153*L153,2)))</f>
        <v/>
      </c>
      <c r="N153" s="355">
        <f>IF(OR(historico_VU!A152="",historico_VU!G152=""),"",historico_VU!G152)</f>
        <v/>
      </c>
      <c r="O153" s="118">
        <f>IF(posicao_contratual!A152="","",posicao_contratual!W152)</f>
        <v/>
      </c>
      <c r="P153" s="355">
        <f>IF(A153="TOTAL",ROUND(SUM($P$3:P152),2),IF(OR(A153="",N153="",O153=""),"",ROUND(N153*O153,2)))</f>
        <v/>
      </c>
      <c r="Q153" s="195">
        <f>IF($A153="","",IF(ISERROR(INDIRECT("CICLO_EM_EXECUCAO!$D$5")),"",INDIRECT("CICLO_EM_EXECUCAO!$D$5")))</f>
        <v/>
      </c>
      <c r="R153">
        <f>IF($A153="","",IF(MEMORIA_RESULTADOS!$W$46="","","C"&amp;MEMORIA_RESULTADOS!$W$46))</f>
        <v/>
      </c>
      <c r="S153" s="273">
        <f>IF($A153="","",IF(ISERROR(INDIRECT("CICLO_EM_EXECUCAO!B"&amp;(ROW()+10))),"",INDIRECT("CICLO_EM_EXECUCAO!B"&amp;(ROW()+10))))</f>
        <v/>
      </c>
      <c r="T153" s="273">
        <f>IF($A153="","",IF(ISERROR(INDIRECT("CICLO_EM_EXECUCAO!D"&amp;(ROW()+10))),"",INDIRECT("CICLO_EM_EXECUCAO!D"&amp;(ROW()+10))))</f>
        <v/>
      </c>
      <c r="U153" s="273">
        <f>IF($A153="","",IF(ISERROR(INDIRECT("CICLO_EM_EXECUCAO!C"&amp;(ROW()+10))),"",INDIRECT("CICLO_EM_EXECUCAO!C"&amp;(ROW()+10))))</f>
        <v/>
      </c>
      <c r="V153" s="213">
        <f>IF($A153="","",IF(ISERROR(INDIRECT("CICLO_EM_EXECUCAO!E"&amp;(ROW()+10))),"",INDIRECT("CICLO_EM_EXECUCAO!E"&amp;(ROW()+10))))</f>
        <v/>
      </c>
      <c r="W153" s="213">
        <f>IF($A153="","",IF(ISERROR(INDIRECT("CICLO_EM_EXECUCAO!F"&amp;(ROW()+10))),"",INDIRECT("CICLO_EM_EXECUCAO!F"&amp;(ROW()+10))))</f>
        <v/>
      </c>
      <c r="X153" s="213">
        <f>IF($A153="","",IF(ISERROR(INDIRECT("CICLO_EM_EXECUCAO!G"&amp;(ROW()+10))),"",INDIRECT("CICLO_EM_EXECUCAO!G"&amp;(ROW()+10))))</f>
        <v/>
      </c>
      <c r="Y153">
        <f>IF($A153="","",IF(ISERROR(INDIRECT("CICLO_EM_EXECUCAO!K"&amp;(ROW()+10))),"CICLO_EM_EXECUCAO AUSENTE",INDIRECT("CICLO_EM_EXECUCAO!K"&amp;(ROW()+10))))</f>
        <v/>
      </c>
    </row>
    <row r="154">
      <c r="A154" s="116">
        <f>IF(AND(itens_Remanesc!A153="",itens_Remanesc!A152&lt;&gt;"",COUNTIF(itens_Remanesc!A154:$A$200,"&lt;&gt;")=0),"TOTAL",IF(itens_Remanesc!A153="","",itens_Remanesc!A153))</f>
        <v/>
      </c>
      <c r="B154" s="355">
        <f>IF(OR(historico_VU!A153="",historico_VU!C153=""),"",historico_VU!C153)</f>
        <v/>
      </c>
      <c r="C154" s="118">
        <f>IF(posicao_contratual!A153="","",posicao_contratual!G153)</f>
        <v/>
      </c>
      <c r="D154" s="355">
        <f>IF(A154="TOTAL",ROUND(SUM($D$3:D153),2),IF(OR(A154="",B154="",C154=""),"",ROUND(B154*C154,2)))</f>
        <v/>
      </c>
      <c r="E154" s="356">
        <f>IF(OR(historico_VU!A153="",historico_VU!D153=""),"",historico_VU!D153)</f>
        <v/>
      </c>
      <c r="F154" s="120">
        <f>IF(posicao_contratual!A153="","",posicao_contratual!K153)</f>
        <v/>
      </c>
      <c r="G154" s="356">
        <f>IF(A154="TOTAL",ROUND(SUM($G$3:G153),2),IF(OR(A154="",E154="",F154=""),"",ROUND(E154*F154,2)))</f>
        <v/>
      </c>
      <c r="H154" s="355">
        <f>IF(OR(historico_VU!A153="",historico_VU!E153=""),"",historico_VU!E153)</f>
        <v/>
      </c>
      <c r="I154" s="118">
        <f>IF(posicao_contratual!A153="","",posicao_contratual!O153)</f>
        <v/>
      </c>
      <c r="J154" s="355">
        <f>IF(A154="TOTAL",ROUND(SUM($J$3:J153),2),IF(OR(A154="",H154="",I154=""),"",ROUND(H154*I154,2)))</f>
        <v/>
      </c>
      <c r="K154" s="356">
        <f>IF(OR(historico_VU!A153="",historico_VU!F153=""),"",historico_VU!F153)</f>
        <v/>
      </c>
      <c r="L154" s="120">
        <f>IF(posicao_contratual!A153="","",posicao_contratual!S153)</f>
        <v/>
      </c>
      <c r="M154" s="356">
        <f>IF(A154="TOTAL",ROUND(SUM($M$3:M153),2),IF(OR(A154="",K154="",L154=""),"",ROUND(K154*L154,2)))</f>
        <v/>
      </c>
      <c r="N154" s="355">
        <f>IF(OR(historico_VU!A153="",historico_VU!G153=""),"",historico_VU!G153)</f>
        <v/>
      </c>
      <c r="O154" s="118">
        <f>IF(posicao_contratual!A153="","",posicao_contratual!W153)</f>
        <v/>
      </c>
      <c r="P154" s="355">
        <f>IF(A154="TOTAL",ROUND(SUM($P$3:P153),2),IF(OR(A154="",N154="",O154=""),"",ROUND(N154*O154,2)))</f>
        <v/>
      </c>
      <c r="Q154" s="195">
        <f>IF($A154="","",IF(ISERROR(INDIRECT("CICLO_EM_EXECUCAO!$D$5")),"",INDIRECT("CICLO_EM_EXECUCAO!$D$5")))</f>
        <v/>
      </c>
      <c r="R154">
        <f>IF($A154="","",IF(MEMORIA_RESULTADOS!$W$46="","","C"&amp;MEMORIA_RESULTADOS!$W$46))</f>
        <v/>
      </c>
      <c r="S154" s="273">
        <f>IF($A154="","",IF(ISERROR(INDIRECT("CICLO_EM_EXECUCAO!B"&amp;(ROW()+10))),"",INDIRECT("CICLO_EM_EXECUCAO!B"&amp;(ROW()+10))))</f>
        <v/>
      </c>
      <c r="T154" s="273">
        <f>IF($A154="","",IF(ISERROR(INDIRECT("CICLO_EM_EXECUCAO!D"&amp;(ROW()+10))),"",INDIRECT("CICLO_EM_EXECUCAO!D"&amp;(ROW()+10))))</f>
        <v/>
      </c>
      <c r="U154" s="273">
        <f>IF($A154="","",IF(ISERROR(INDIRECT("CICLO_EM_EXECUCAO!C"&amp;(ROW()+10))),"",INDIRECT("CICLO_EM_EXECUCAO!C"&amp;(ROW()+10))))</f>
        <v/>
      </c>
      <c r="V154" s="213">
        <f>IF($A154="","",IF(ISERROR(INDIRECT("CICLO_EM_EXECUCAO!E"&amp;(ROW()+10))),"",INDIRECT("CICLO_EM_EXECUCAO!E"&amp;(ROW()+10))))</f>
        <v/>
      </c>
      <c r="W154" s="213">
        <f>IF($A154="","",IF(ISERROR(INDIRECT("CICLO_EM_EXECUCAO!F"&amp;(ROW()+10))),"",INDIRECT("CICLO_EM_EXECUCAO!F"&amp;(ROW()+10))))</f>
        <v/>
      </c>
      <c r="X154" s="213">
        <f>IF($A154="","",IF(ISERROR(INDIRECT("CICLO_EM_EXECUCAO!G"&amp;(ROW()+10))),"",INDIRECT("CICLO_EM_EXECUCAO!G"&amp;(ROW()+10))))</f>
        <v/>
      </c>
      <c r="Y154">
        <f>IF($A154="","",IF(ISERROR(INDIRECT("CICLO_EM_EXECUCAO!K"&amp;(ROW()+10))),"CICLO_EM_EXECUCAO AUSENTE",INDIRECT("CICLO_EM_EXECUCAO!K"&amp;(ROW()+10))))</f>
        <v/>
      </c>
    </row>
    <row r="155">
      <c r="A155" s="116">
        <f>IF(AND(itens_Remanesc!A154="",itens_Remanesc!A153&lt;&gt;"",COUNTIF(itens_Remanesc!A155:$A$200,"&lt;&gt;")=0),"TOTAL",IF(itens_Remanesc!A154="","",itens_Remanesc!A154))</f>
        <v/>
      </c>
      <c r="B155" s="355">
        <f>IF(OR(historico_VU!A154="",historico_VU!C154=""),"",historico_VU!C154)</f>
        <v/>
      </c>
      <c r="C155" s="118">
        <f>IF(posicao_contratual!A154="","",posicao_contratual!G154)</f>
        <v/>
      </c>
      <c r="D155" s="355">
        <f>IF(A155="TOTAL",ROUND(SUM($D$3:D154),2),IF(OR(A155="",B155="",C155=""),"",ROUND(B155*C155,2)))</f>
        <v/>
      </c>
      <c r="E155" s="356">
        <f>IF(OR(historico_VU!A154="",historico_VU!D154=""),"",historico_VU!D154)</f>
        <v/>
      </c>
      <c r="F155" s="120">
        <f>IF(posicao_contratual!A154="","",posicao_contratual!K154)</f>
        <v/>
      </c>
      <c r="G155" s="356">
        <f>IF(A155="TOTAL",ROUND(SUM($G$3:G154),2),IF(OR(A155="",E155="",F155=""),"",ROUND(E155*F155,2)))</f>
        <v/>
      </c>
      <c r="H155" s="355">
        <f>IF(OR(historico_VU!A154="",historico_VU!E154=""),"",historico_VU!E154)</f>
        <v/>
      </c>
      <c r="I155" s="118">
        <f>IF(posicao_contratual!A154="","",posicao_contratual!O154)</f>
        <v/>
      </c>
      <c r="J155" s="355">
        <f>IF(A155="TOTAL",ROUND(SUM($J$3:J154),2),IF(OR(A155="",H155="",I155=""),"",ROUND(H155*I155,2)))</f>
        <v/>
      </c>
      <c r="K155" s="356">
        <f>IF(OR(historico_VU!A154="",historico_VU!F154=""),"",historico_VU!F154)</f>
        <v/>
      </c>
      <c r="L155" s="120">
        <f>IF(posicao_contratual!A154="","",posicao_contratual!S154)</f>
        <v/>
      </c>
      <c r="M155" s="356">
        <f>IF(A155="TOTAL",ROUND(SUM($M$3:M154),2),IF(OR(A155="",K155="",L155=""),"",ROUND(K155*L155,2)))</f>
        <v/>
      </c>
      <c r="N155" s="355">
        <f>IF(OR(historico_VU!A154="",historico_VU!G154=""),"",historico_VU!G154)</f>
        <v/>
      </c>
      <c r="O155" s="118">
        <f>IF(posicao_contratual!A154="","",posicao_contratual!W154)</f>
        <v/>
      </c>
      <c r="P155" s="355">
        <f>IF(A155="TOTAL",ROUND(SUM($P$3:P154),2),IF(OR(A155="",N155="",O155=""),"",ROUND(N155*O155,2)))</f>
        <v/>
      </c>
      <c r="Q155" s="195">
        <f>IF($A155="","",IF(ISERROR(INDIRECT("CICLO_EM_EXECUCAO!$D$5")),"",INDIRECT("CICLO_EM_EXECUCAO!$D$5")))</f>
        <v/>
      </c>
      <c r="R155">
        <f>IF($A155="","",IF(MEMORIA_RESULTADOS!$W$46="","","C"&amp;MEMORIA_RESULTADOS!$W$46))</f>
        <v/>
      </c>
      <c r="S155" s="273">
        <f>IF($A155="","",IF(ISERROR(INDIRECT("CICLO_EM_EXECUCAO!B"&amp;(ROW()+10))),"",INDIRECT("CICLO_EM_EXECUCAO!B"&amp;(ROW()+10))))</f>
        <v/>
      </c>
      <c r="T155" s="273">
        <f>IF($A155="","",IF(ISERROR(INDIRECT("CICLO_EM_EXECUCAO!D"&amp;(ROW()+10))),"",INDIRECT("CICLO_EM_EXECUCAO!D"&amp;(ROW()+10))))</f>
        <v/>
      </c>
      <c r="U155" s="273">
        <f>IF($A155="","",IF(ISERROR(INDIRECT("CICLO_EM_EXECUCAO!C"&amp;(ROW()+10))),"",INDIRECT("CICLO_EM_EXECUCAO!C"&amp;(ROW()+10))))</f>
        <v/>
      </c>
      <c r="V155" s="213">
        <f>IF($A155="","",IF(ISERROR(INDIRECT("CICLO_EM_EXECUCAO!E"&amp;(ROW()+10))),"",INDIRECT("CICLO_EM_EXECUCAO!E"&amp;(ROW()+10))))</f>
        <v/>
      </c>
      <c r="W155" s="213">
        <f>IF($A155="","",IF(ISERROR(INDIRECT("CICLO_EM_EXECUCAO!F"&amp;(ROW()+10))),"",INDIRECT("CICLO_EM_EXECUCAO!F"&amp;(ROW()+10))))</f>
        <v/>
      </c>
      <c r="X155" s="213">
        <f>IF($A155="","",IF(ISERROR(INDIRECT("CICLO_EM_EXECUCAO!G"&amp;(ROW()+10))),"",INDIRECT("CICLO_EM_EXECUCAO!G"&amp;(ROW()+10))))</f>
        <v/>
      </c>
      <c r="Y155">
        <f>IF($A155="","",IF(ISERROR(INDIRECT("CICLO_EM_EXECUCAO!K"&amp;(ROW()+10))),"CICLO_EM_EXECUCAO AUSENTE",INDIRECT("CICLO_EM_EXECUCAO!K"&amp;(ROW()+10))))</f>
        <v/>
      </c>
    </row>
    <row r="156">
      <c r="A156" s="116">
        <f>IF(AND(itens_Remanesc!A155="",itens_Remanesc!A154&lt;&gt;"",COUNTIF(itens_Remanesc!A156:$A$200,"&lt;&gt;")=0),"TOTAL",IF(itens_Remanesc!A155="","",itens_Remanesc!A155))</f>
        <v/>
      </c>
      <c r="B156" s="355">
        <f>IF(OR(historico_VU!A155="",historico_VU!C155=""),"",historico_VU!C155)</f>
        <v/>
      </c>
      <c r="C156" s="118">
        <f>IF(posicao_contratual!A155="","",posicao_contratual!G155)</f>
        <v/>
      </c>
      <c r="D156" s="355">
        <f>IF(A156="TOTAL",ROUND(SUM($D$3:D155),2),IF(OR(A156="",B156="",C156=""),"",ROUND(B156*C156,2)))</f>
        <v/>
      </c>
      <c r="E156" s="356">
        <f>IF(OR(historico_VU!A155="",historico_VU!D155=""),"",historico_VU!D155)</f>
        <v/>
      </c>
      <c r="F156" s="120">
        <f>IF(posicao_contratual!A155="","",posicao_contratual!K155)</f>
        <v/>
      </c>
      <c r="G156" s="356">
        <f>IF(A156="TOTAL",ROUND(SUM($G$3:G155),2),IF(OR(A156="",E156="",F156=""),"",ROUND(E156*F156,2)))</f>
        <v/>
      </c>
      <c r="H156" s="355">
        <f>IF(OR(historico_VU!A155="",historico_VU!E155=""),"",historico_VU!E155)</f>
        <v/>
      </c>
      <c r="I156" s="118">
        <f>IF(posicao_contratual!A155="","",posicao_contratual!O155)</f>
        <v/>
      </c>
      <c r="J156" s="355">
        <f>IF(A156="TOTAL",ROUND(SUM($J$3:J155),2),IF(OR(A156="",H156="",I156=""),"",ROUND(H156*I156,2)))</f>
        <v/>
      </c>
      <c r="K156" s="356">
        <f>IF(OR(historico_VU!A155="",historico_VU!F155=""),"",historico_VU!F155)</f>
        <v/>
      </c>
      <c r="L156" s="120">
        <f>IF(posicao_contratual!A155="","",posicao_contratual!S155)</f>
        <v/>
      </c>
      <c r="M156" s="356">
        <f>IF(A156="TOTAL",ROUND(SUM($M$3:M155),2),IF(OR(A156="",K156="",L156=""),"",ROUND(K156*L156,2)))</f>
        <v/>
      </c>
      <c r="N156" s="355">
        <f>IF(OR(historico_VU!A155="",historico_VU!G155=""),"",historico_VU!G155)</f>
        <v/>
      </c>
      <c r="O156" s="118">
        <f>IF(posicao_contratual!A155="","",posicao_contratual!W155)</f>
        <v/>
      </c>
      <c r="P156" s="355">
        <f>IF(A156="TOTAL",ROUND(SUM($P$3:P155),2),IF(OR(A156="",N156="",O156=""),"",ROUND(N156*O156,2)))</f>
        <v/>
      </c>
      <c r="Q156" s="195">
        <f>IF($A156="","",IF(ISERROR(INDIRECT("CICLO_EM_EXECUCAO!$D$5")),"",INDIRECT("CICLO_EM_EXECUCAO!$D$5")))</f>
        <v/>
      </c>
      <c r="R156">
        <f>IF($A156="","",IF(MEMORIA_RESULTADOS!$W$46="","","C"&amp;MEMORIA_RESULTADOS!$W$46))</f>
        <v/>
      </c>
      <c r="S156" s="273">
        <f>IF($A156="","",IF(ISERROR(INDIRECT("CICLO_EM_EXECUCAO!B"&amp;(ROW()+10))),"",INDIRECT("CICLO_EM_EXECUCAO!B"&amp;(ROW()+10))))</f>
        <v/>
      </c>
      <c r="T156" s="273">
        <f>IF($A156="","",IF(ISERROR(INDIRECT("CICLO_EM_EXECUCAO!D"&amp;(ROW()+10))),"",INDIRECT("CICLO_EM_EXECUCAO!D"&amp;(ROW()+10))))</f>
        <v/>
      </c>
      <c r="U156" s="273">
        <f>IF($A156="","",IF(ISERROR(INDIRECT("CICLO_EM_EXECUCAO!C"&amp;(ROW()+10))),"",INDIRECT("CICLO_EM_EXECUCAO!C"&amp;(ROW()+10))))</f>
        <v/>
      </c>
      <c r="V156" s="213">
        <f>IF($A156="","",IF(ISERROR(INDIRECT("CICLO_EM_EXECUCAO!E"&amp;(ROW()+10))),"",INDIRECT("CICLO_EM_EXECUCAO!E"&amp;(ROW()+10))))</f>
        <v/>
      </c>
      <c r="W156" s="213">
        <f>IF($A156="","",IF(ISERROR(INDIRECT("CICLO_EM_EXECUCAO!F"&amp;(ROW()+10))),"",INDIRECT("CICLO_EM_EXECUCAO!F"&amp;(ROW()+10))))</f>
        <v/>
      </c>
      <c r="X156" s="213">
        <f>IF($A156="","",IF(ISERROR(INDIRECT("CICLO_EM_EXECUCAO!G"&amp;(ROW()+10))),"",INDIRECT("CICLO_EM_EXECUCAO!G"&amp;(ROW()+10))))</f>
        <v/>
      </c>
      <c r="Y156">
        <f>IF($A156="","",IF(ISERROR(INDIRECT("CICLO_EM_EXECUCAO!K"&amp;(ROW()+10))),"CICLO_EM_EXECUCAO AUSENTE",INDIRECT("CICLO_EM_EXECUCAO!K"&amp;(ROW()+10))))</f>
        <v/>
      </c>
    </row>
    <row r="157">
      <c r="A157" s="116">
        <f>IF(AND(itens_Remanesc!A156="",itens_Remanesc!A155&lt;&gt;"",COUNTIF(itens_Remanesc!A157:$A$200,"&lt;&gt;")=0),"TOTAL",IF(itens_Remanesc!A156="","",itens_Remanesc!A156))</f>
        <v/>
      </c>
      <c r="B157" s="355">
        <f>IF(OR(historico_VU!A156="",historico_VU!C156=""),"",historico_VU!C156)</f>
        <v/>
      </c>
      <c r="C157" s="118">
        <f>IF(posicao_contratual!A156="","",posicao_contratual!G156)</f>
        <v/>
      </c>
      <c r="D157" s="355">
        <f>IF(A157="TOTAL",ROUND(SUM($D$3:D156),2),IF(OR(A157="",B157="",C157=""),"",ROUND(B157*C157,2)))</f>
        <v/>
      </c>
      <c r="E157" s="356">
        <f>IF(OR(historico_VU!A156="",historico_VU!D156=""),"",historico_VU!D156)</f>
        <v/>
      </c>
      <c r="F157" s="120">
        <f>IF(posicao_contratual!A156="","",posicao_contratual!K156)</f>
        <v/>
      </c>
      <c r="G157" s="356">
        <f>IF(A157="TOTAL",ROUND(SUM($G$3:G156),2),IF(OR(A157="",E157="",F157=""),"",ROUND(E157*F157,2)))</f>
        <v/>
      </c>
      <c r="H157" s="355">
        <f>IF(OR(historico_VU!A156="",historico_VU!E156=""),"",historico_VU!E156)</f>
        <v/>
      </c>
      <c r="I157" s="118">
        <f>IF(posicao_contratual!A156="","",posicao_contratual!O156)</f>
        <v/>
      </c>
      <c r="J157" s="355">
        <f>IF(A157="TOTAL",ROUND(SUM($J$3:J156),2),IF(OR(A157="",H157="",I157=""),"",ROUND(H157*I157,2)))</f>
        <v/>
      </c>
      <c r="K157" s="356">
        <f>IF(OR(historico_VU!A156="",historico_VU!F156=""),"",historico_VU!F156)</f>
        <v/>
      </c>
      <c r="L157" s="120">
        <f>IF(posicao_contratual!A156="","",posicao_contratual!S156)</f>
        <v/>
      </c>
      <c r="M157" s="356">
        <f>IF(A157="TOTAL",ROUND(SUM($M$3:M156),2),IF(OR(A157="",K157="",L157=""),"",ROUND(K157*L157,2)))</f>
        <v/>
      </c>
      <c r="N157" s="355">
        <f>IF(OR(historico_VU!A156="",historico_VU!G156=""),"",historico_VU!G156)</f>
        <v/>
      </c>
      <c r="O157" s="118">
        <f>IF(posicao_contratual!A156="","",posicao_contratual!W156)</f>
        <v/>
      </c>
      <c r="P157" s="355">
        <f>IF(A157="TOTAL",ROUND(SUM($P$3:P156),2),IF(OR(A157="",N157="",O157=""),"",ROUND(N157*O157,2)))</f>
        <v/>
      </c>
      <c r="Q157" s="195">
        <f>IF($A157="","",IF(ISERROR(INDIRECT("CICLO_EM_EXECUCAO!$D$5")),"",INDIRECT("CICLO_EM_EXECUCAO!$D$5")))</f>
        <v/>
      </c>
      <c r="R157">
        <f>IF($A157="","",IF(MEMORIA_RESULTADOS!$W$46="","","C"&amp;MEMORIA_RESULTADOS!$W$46))</f>
        <v/>
      </c>
      <c r="S157" s="273">
        <f>IF($A157="","",IF(ISERROR(INDIRECT("CICLO_EM_EXECUCAO!B"&amp;(ROW()+10))),"",INDIRECT("CICLO_EM_EXECUCAO!B"&amp;(ROW()+10))))</f>
        <v/>
      </c>
      <c r="T157" s="273">
        <f>IF($A157="","",IF(ISERROR(INDIRECT("CICLO_EM_EXECUCAO!D"&amp;(ROW()+10))),"",INDIRECT("CICLO_EM_EXECUCAO!D"&amp;(ROW()+10))))</f>
        <v/>
      </c>
      <c r="U157" s="273">
        <f>IF($A157="","",IF(ISERROR(INDIRECT("CICLO_EM_EXECUCAO!C"&amp;(ROW()+10))),"",INDIRECT("CICLO_EM_EXECUCAO!C"&amp;(ROW()+10))))</f>
        <v/>
      </c>
      <c r="V157" s="213">
        <f>IF($A157="","",IF(ISERROR(INDIRECT("CICLO_EM_EXECUCAO!E"&amp;(ROW()+10))),"",INDIRECT("CICLO_EM_EXECUCAO!E"&amp;(ROW()+10))))</f>
        <v/>
      </c>
      <c r="W157" s="213">
        <f>IF($A157="","",IF(ISERROR(INDIRECT("CICLO_EM_EXECUCAO!F"&amp;(ROW()+10))),"",INDIRECT("CICLO_EM_EXECUCAO!F"&amp;(ROW()+10))))</f>
        <v/>
      </c>
      <c r="X157" s="213">
        <f>IF($A157="","",IF(ISERROR(INDIRECT("CICLO_EM_EXECUCAO!G"&amp;(ROW()+10))),"",INDIRECT("CICLO_EM_EXECUCAO!G"&amp;(ROW()+10))))</f>
        <v/>
      </c>
      <c r="Y157">
        <f>IF($A157="","",IF(ISERROR(INDIRECT("CICLO_EM_EXECUCAO!K"&amp;(ROW()+10))),"CICLO_EM_EXECUCAO AUSENTE",INDIRECT("CICLO_EM_EXECUCAO!K"&amp;(ROW()+10))))</f>
        <v/>
      </c>
    </row>
    <row r="158">
      <c r="A158" s="116">
        <f>IF(AND(itens_Remanesc!A157="",itens_Remanesc!A156&lt;&gt;"",COUNTIF(itens_Remanesc!A158:$A$200,"&lt;&gt;")=0),"TOTAL",IF(itens_Remanesc!A157="","",itens_Remanesc!A157))</f>
        <v/>
      </c>
      <c r="B158" s="355">
        <f>IF(OR(historico_VU!A157="",historico_VU!C157=""),"",historico_VU!C157)</f>
        <v/>
      </c>
      <c r="C158" s="118">
        <f>IF(posicao_contratual!A157="","",posicao_contratual!G157)</f>
        <v/>
      </c>
      <c r="D158" s="355">
        <f>IF(A158="TOTAL",ROUND(SUM($D$3:D157),2),IF(OR(A158="",B158="",C158=""),"",ROUND(B158*C158,2)))</f>
        <v/>
      </c>
      <c r="E158" s="356">
        <f>IF(OR(historico_VU!A157="",historico_VU!D157=""),"",historico_VU!D157)</f>
        <v/>
      </c>
      <c r="F158" s="120">
        <f>IF(posicao_contratual!A157="","",posicao_contratual!K157)</f>
        <v/>
      </c>
      <c r="G158" s="356">
        <f>IF(A158="TOTAL",ROUND(SUM($G$3:G157),2),IF(OR(A158="",E158="",F158=""),"",ROUND(E158*F158,2)))</f>
        <v/>
      </c>
      <c r="H158" s="355">
        <f>IF(OR(historico_VU!A157="",historico_VU!E157=""),"",historico_VU!E157)</f>
        <v/>
      </c>
      <c r="I158" s="118">
        <f>IF(posicao_contratual!A157="","",posicao_contratual!O157)</f>
        <v/>
      </c>
      <c r="J158" s="355">
        <f>IF(A158="TOTAL",ROUND(SUM($J$3:J157),2),IF(OR(A158="",H158="",I158=""),"",ROUND(H158*I158,2)))</f>
        <v/>
      </c>
      <c r="K158" s="356">
        <f>IF(OR(historico_VU!A157="",historico_VU!F157=""),"",historico_VU!F157)</f>
        <v/>
      </c>
      <c r="L158" s="120">
        <f>IF(posicao_contratual!A157="","",posicao_contratual!S157)</f>
        <v/>
      </c>
      <c r="M158" s="356">
        <f>IF(A158="TOTAL",ROUND(SUM($M$3:M157),2),IF(OR(A158="",K158="",L158=""),"",ROUND(K158*L158,2)))</f>
        <v/>
      </c>
      <c r="N158" s="355">
        <f>IF(OR(historico_VU!A157="",historico_VU!G157=""),"",historico_VU!G157)</f>
        <v/>
      </c>
      <c r="O158" s="118">
        <f>IF(posicao_contratual!A157="","",posicao_contratual!W157)</f>
        <v/>
      </c>
      <c r="P158" s="355">
        <f>IF(A158="TOTAL",ROUND(SUM($P$3:P157),2),IF(OR(A158="",N158="",O158=""),"",ROUND(N158*O158,2)))</f>
        <v/>
      </c>
      <c r="Q158" s="195">
        <f>IF($A158="","",IF(ISERROR(INDIRECT("CICLO_EM_EXECUCAO!$D$5")),"",INDIRECT("CICLO_EM_EXECUCAO!$D$5")))</f>
        <v/>
      </c>
      <c r="R158">
        <f>IF($A158="","",IF(MEMORIA_RESULTADOS!$W$46="","","C"&amp;MEMORIA_RESULTADOS!$W$46))</f>
        <v/>
      </c>
      <c r="S158" s="273">
        <f>IF($A158="","",IF(ISERROR(INDIRECT("CICLO_EM_EXECUCAO!B"&amp;(ROW()+10))),"",INDIRECT("CICLO_EM_EXECUCAO!B"&amp;(ROW()+10))))</f>
        <v/>
      </c>
      <c r="T158" s="273">
        <f>IF($A158="","",IF(ISERROR(INDIRECT("CICLO_EM_EXECUCAO!D"&amp;(ROW()+10))),"",INDIRECT("CICLO_EM_EXECUCAO!D"&amp;(ROW()+10))))</f>
        <v/>
      </c>
      <c r="U158" s="273">
        <f>IF($A158="","",IF(ISERROR(INDIRECT("CICLO_EM_EXECUCAO!C"&amp;(ROW()+10))),"",INDIRECT("CICLO_EM_EXECUCAO!C"&amp;(ROW()+10))))</f>
        <v/>
      </c>
      <c r="V158" s="213">
        <f>IF($A158="","",IF(ISERROR(INDIRECT("CICLO_EM_EXECUCAO!E"&amp;(ROW()+10))),"",INDIRECT("CICLO_EM_EXECUCAO!E"&amp;(ROW()+10))))</f>
        <v/>
      </c>
      <c r="W158" s="213">
        <f>IF($A158="","",IF(ISERROR(INDIRECT("CICLO_EM_EXECUCAO!F"&amp;(ROW()+10))),"",INDIRECT("CICLO_EM_EXECUCAO!F"&amp;(ROW()+10))))</f>
        <v/>
      </c>
      <c r="X158" s="213">
        <f>IF($A158="","",IF(ISERROR(INDIRECT("CICLO_EM_EXECUCAO!G"&amp;(ROW()+10))),"",INDIRECT("CICLO_EM_EXECUCAO!G"&amp;(ROW()+10))))</f>
        <v/>
      </c>
      <c r="Y158">
        <f>IF($A158="","",IF(ISERROR(INDIRECT("CICLO_EM_EXECUCAO!K"&amp;(ROW()+10))),"CICLO_EM_EXECUCAO AUSENTE",INDIRECT("CICLO_EM_EXECUCAO!K"&amp;(ROW()+10))))</f>
        <v/>
      </c>
    </row>
    <row r="159">
      <c r="A159" s="116">
        <f>IF(AND(itens_Remanesc!A158="",itens_Remanesc!A157&lt;&gt;"",COUNTIF(itens_Remanesc!A159:$A$200,"&lt;&gt;")=0),"TOTAL",IF(itens_Remanesc!A158="","",itens_Remanesc!A158))</f>
        <v/>
      </c>
      <c r="B159" s="355">
        <f>IF(OR(historico_VU!A158="",historico_VU!C158=""),"",historico_VU!C158)</f>
        <v/>
      </c>
      <c r="C159" s="118">
        <f>IF(posicao_contratual!A158="","",posicao_contratual!G158)</f>
        <v/>
      </c>
      <c r="D159" s="355">
        <f>IF(A159="TOTAL",ROUND(SUM($D$3:D158),2),IF(OR(A159="",B159="",C159=""),"",ROUND(B159*C159,2)))</f>
        <v/>
      </c>
      <c r="E159" s="356">
        <f>IF(OR(historico_VU!A158="",historico_VU!D158=""),"",historico_VU!D158)</f>
        <v/>
      </c>
      <c r="F159" s="120">
        <f>IF(posicao_contratual!A158="","",posicao_contratual!K158)</f>
        <v/>
      </c>
      <c r="G159" s="356">
        <f>IF(A159="TOTAL",ROUND(SUM($G$3:G158),2),IF(OR(A159="",E159="",F159=""),"",ROUND(E159*F159,2)))</f>
        <v/>
      </c>
      <c r="H159" s="355">
        <f>IF(OR(historico_VU!A158="",historico_VU!E158=""),"",historico_VU!E158)</f>
        <v/>
      </c>
      <c r="I159" s="118">
        <f>IF(posicao_contratual!A158="","",posicao_contratual!O158)</f>
        <v/>
      </c>
      <c r="J159" s="355">
        <f>IF(A159="TOTAL",ROUND(SUM($J$3:J158),2),IF(OR(A159="",H159="",I159=""),"",ROUND(H159*I159,2)))</f>
        <v/>
      </c>
      <c r="K159" s="356">
        <f>IF(OR(historico_VU!A158="",historico_VU!F158=""),"",historico_VU!F158)</f>
        <v/>
      </c>
      <c r="L159" s="120">
        <f>IF(posicao_contratual!A158="","",posicao_contratual!S158)</f>
        <v/>
      </c>
      <c r="M159" s="356">
        <f>IF(A159="TOTAL",ROUND(SUM($M$3:M158),2),IF(OR(A159="",K159="",L159=""),"",ROUND(K159*L159,2)))</f>
        <v/>
      </c>
      <c r="N159" s="355">
        <f>IF(OR(historico_VU!A158="",historico_VU!G158=""),"",historico_VU!G158)</f>
        <v/>
      </c>
      <c r="O159" s="118">
        <f>IF(posicao_contratual!A158="","",posicao_contratual!W158)</f>
        <v/>
      </c>
      <c r="P159" s="355">
        <f>IF(A159="TOTAL",ROUND(SUM($P$3:P158),2),IF(OR(A159="",N159="",O159=""),"",ROUND(N159*O159,2)))</f>
        <v/>
      </c>
      <c r="Q159" s="195">
        <f>IF($A159="","",IF(ISERROR(INDIRECT("CICLO_EM_EXECUCAO!$D$5")),"",INDIRECT("CICLO_EM_EXECUCAO!$D$5")))</f>
        <v/>
      </c>
      <c r="R159">
        <f>IF($A159="","",IF(MEMORIA_RESULTADOS!$W$46="","","C"&amp;MEMORIA_RESULTADOS!$W$46))</f>
        <v/>
      </c>
      <c r="S159" s="273">
        <f>IF($A159="","",IF(ISERROR(INDIRECT("CICLO_EM_EXECUCAO!B"&amp;(ROW()+10))),"",INDIRECT("CICLO_EM_EXECUCAO!B"&amp;(ROW()+10))))</f>
        <v/>
      </c>
      <c r="T159" s="273">
        <f>IF($A159="","",IF(ISERROR(INDIRECT("CICLO_EM_EXECUCAO!D"&amp;(ROW()+10))),"",INDIRECT("CICLO_EM_EXECUCAO!D"&amp;(ROW()+10))))</f>
        <v/>
      </c>
      <c r="U159" s="273">
        <f>IF($A159="","",IF(ISERROR(INDIRECT("CICLO_EM_EXECUCAO!C"&amp;(ROW()+10))),"",INDIRECT("CICLO_EM_EXECUCAO!C"&amp;(ROW()+10))))</f>
        <v/>
      </c>
      <c r="V159" s="213">
        <f>IF($A159="","",IF(ISERROR(INDIRECT("CICLO_EM_EXECUCAO!E"&amp;(ROW()+10))),"",INDIRECT("CICLO_EM_EXECUCAO!E"&amp;(ROW()+10))))</f>
        <v/>
      </c>
      <c r="W159" s="213">
        <f>IF($A159="","",IF(ISERROR(INDIRECT("CICLO_EM_EXECUCAO!F"&amp;(ROW()+10))),"",INDIRECT("CICLO_EM_EXECUCAO!F"&amp;(ROW()+10))))</f>
        <v/>
      </c>
      <c r="X159" s="213">
        <f>IF($A159="","",IF(ISERROR(INDIRECT("CICLO_EM_EXECUCAO!G"&amp;(ROW()+10))),"",INDIRECT("CICLO_EM_EXECUCAO!G"&amp;(ROW()+10))))</f>
        <v/>
      </c>
      <c r="Y159">
        <f>IF($A159="","",IF(ISERROR(INDIRECT("CICLO_EM_EXECUCAO!K"&amp;(ROW()+10))),"CICLO_EM_EXECUCAO AUSENTE",INDIRECT("CICLO_EM_EXECUCAO!K"&amp;(ROW()+10))))</f>
        <v/>
      </c>
    </row>
    <row r="160">
      <c r="A160" s="116">
        <f>IF(AND(itens_Remanesc!A159="",itens_Remanesc!A158&lt;&gt;"",COUNTIF(itens_Remanesc!A160:$A$200,"&lt;&gt;")=0),"TOTAL",IF(itens_Remanesc!A159="","",itens_Remanesc!A159))</f>
        <v/>
      </c>
      <c r="B160" s="355">
        <f>IF(OR(historico_VU!A159="",historico_VU!C159=""),"",historico_VU!C159)</f>
        <v/>
      </c>
      <c r="C160" s="118">
        <f>IF(posicao_contratual!A159="","",posicao_contratual!G159)</f>
        <v/>
      </c>
      <c r="D160" s="355">
        <f>IF(A160="TOTAL",ROUND(SUM($D$3:D159),2),IF(OR(A160="",B160="",C160=""),"",ROUND(B160*C160,2)))</f>
        <v/>
      </c>
      <c r="E160" s="356">
        <f>IF(OR(historico_VU!A159="",historico_VU!D159=""),"",historico_VU!D159)</f>
        <v/>
      </c>
      <c r="F160" s="120">
        <f>IF(posicao_contratual!A159="","",posicao_contratual!K159)</f>
        <v/>
      </c>
      <c r="G160" s="356">
        <f>IF(A160="TOTAL",ROUND(SUM($G$3:G159),2),IF(OR(A160="",E160="",F160=""),"",ROUND(E160*F160,2)))</f>
        <v/>
      </c>
      <c r="H160" s="355">
        <f>IF(OR(historico_VU!A159="",historico_VU!E159=""),"",historico_VU!E159)</f>
        <v/>
      </c>
      <c r="I160" s="118">
        <f>IF(posicao_contratual!A159="","",posicao_contratual!O159)</f>
        <v/>
      </c>
      <c r="J160" s="355">
        <f>IF(A160="TOTAL",ROUND(SUM($J$3:J159),2),IF(OR(A160="",H160="",I160=""),"",ROUND(H160*I160,2)))</f>
        <v/>
      </c>
      <c r="K160" s="356">
        <f>IF(OR(historico_VU!A159="",historico_VU!F159=""),"",historico_VU!F159)</f>
        <v/>
      </c>
      <c r="L160" s="120">
        <f>IF(posicao_contratual!A159="","",posicao_contratual!S159)</f>
        <v/>
      </c>
      <c r="M160" s="356">
        <f>IF(A160="TOTAL",ROUND(SUM($M$3:M159),2),IF(OR(A160="",K160="",L160=""),"",ROUND(K160*L160,2)))</f>
        <v/>
      </c>
      <c r="N160" s="355">
        <f>IF(OR(historico_VU!A159="",historico_VU!G159=""),"",historico_VU!G159)</f>
        <v/>
      </c>
      <c r="O160" s="118">
        <f>IF(posicao_contratual!A159="","",posicao_contratual!W159)</f>
        <v/>
      </c>
      <c r="P160" s="355">
        <f>IF(A160="TOTAL",ROUND(SUM($P$3:P159),2),IF(OR(A160="",N160="",O160=""),"",ROUND(N160*O160,2)))</f>
        <v/>
      </c>
      <c r="Q160" s="195">
        <f>IF($A160="","",IF(ISERROR(INDIRECT("CICLO_EM_EXECUCAO!$D$5")),"",INDIRECT("CICLO_EM_EXECUCAO!$D$5")))</f>
        <v/>
      </c>
      <c r="R160">
        <f>IF($A160="","",IF(MEMORIA_RESULTADOS!$W$46="","","C"&amp;MEMORIA_RESULTADOS!$W$46))</f>
        <v/>
      </c>
      <c r="S160" s="273">
        <f>IF($A160="","",IF(ISERROR(INDIRECT("CICLO_EM_EXECUCAO!B"&amp;(ROW()+10))),"",INDIRECT("CICLO_EM_EXECUCAO!B"&amp;(ROW()+10))))</f>
        <v/>
      </c>
      <c r="T160" s="273">
        <f>IF($A160="","",IF(ISERROR(INDIRECT("CICLO_EM_EXECUCAO!D"&amp;(ROW()+10))),"",INDIRECT("CICLO_EM_EXECUCAO!D"&amp;(ROW()+10))))</f>
        <v/>
      </c>
      <c r="U160" s="273">
        <f>IF($A160="","",IF(ISERROR(INDIRECT("CICLO_EM_EXECUCAO!C"&amp;(ROW()+10))),"",INDIRECT("CICLO_EM_EXECUCAO!C"&amp;(ROW()+10))))</f>
        <v/>
      </c>
      <c r="V160" s="213">
        <f>IF($A160="","",IF(ISERROR(INDIRECT("CICLO_EM_EXECUCAO!E"&amp;(ROW()+10))),"",INDIRECT("CICLO_EM_EXECUCAO!E"&amp;(ROW()+10))))</f>
        <v/>
      </c>
      <c r="W160" s="213">
        <f>IF($A160="","",IF(ISERROR(INDIRECT("CICLO_EM_EXECUCAO!F"&amp;(ROW()+10))),"",INDIRECT("CICLO_EM_EXECUCAO!F"&amp;(ROW()+10))))</f>
        <v/>
      </c>
      <c r="X160" s="213">
        <f>IF($A160="","",IF(ISERROR(INDIRECT("CICLO_EM_EXECUCAO!G"&amp;(ROW()+10))),"",INDIRECT("CICLO_EM_EXECUCAO!G"&amp;(ROW()+10))))</f>
        <v/>
      </c>
      <c r="Y160">
        <f>IF($A160="","",IF(ISERROR(INDIRECT("CICLO_EM_EXECUCAO!K"&amp;(ROW()+10))),"CICLO_EM_EXECUCAO AUSENTE",INDIRECT("CICLO_EM_EXECUCAO!K"&amp;(ROW()+10))))</f>
        <v/>
      </c>
    </row>
    <row r="161">
      <c r="A161" s="116">
        <f>IF(AND(itens_Remanesc!A160="",itens_Remanesc!A159&lt;&gt;"",COUNTIF(itens_Remanesc!A161:$A$200,"&lt;&gt;")=0),"TOTAL",IF(itens_Remanesc!A160="","",itens_Remanesc!A160))</f>
        <v/>
      </c>
      <c r="B161" s="355">
        <f>IF(OR(historico_VU!A160="",historico_VU!C160=""),"",historico_VU!C160)</f>
        <v/>
      </c>
      <c r="C161" s="118">
        <f>IF(posicao_contratual!A160="","",posicao_contratual!G160)</f>
        <v/>
      </c>
      <c r="D161" s="355">
        <f>IF(A161="TOTAL",ROUND(SUM($D$3:D160),2),IF(OR(A161="",B161="",C161=""),"",ROUND(B161*C161,2)))</f>
        <v/>
      </c>
      <c r="E161" s="356">
        <f>IF(OR(historico_VU!A160="",historico_VU!D160=""),"",historico_VU!D160)</f>
        <v/>
      </c>
      <c r="F161" s="120">
        <f>IF(posicao_contratual!A160="","",posicao_contratual!K160)</f>
        <v/>
      </c>
      <c r="G161" s="356">
        <f>IF(A161="TOTAL",ROUND(SUM($G$3:G160),2),IF(OR(A161="",E161="",F161=""),"",ROUND(E161*F161,2)))</f>
        <v/>
      </c>
      <c r="H161" s="355">
        <f>IF(OR(historico_VU!A160="",historico_VU!E160=""),"",historico_VU!E160)</f>
        <v/>
      </c>
      <c r="I161" s="118">
        <f>IF(posicao_contratual!A160="","",posicao_contratual!O160)</f>
        <v/>
      </c>
      <c r="J161" s="355">
        <f>IF(A161="TOTAL",ROUND(SUM($J$3:J160),2),IF(OR(A161="",H161="",I161=""),"",ROUND(H161*I161,2)))</f>
        <v/>
      </c>
      <c r="K161" s="356">
        <f>IF(OR(historico_VU!A160="",historico_VU!F160=""),"",historico_VU!F160)</f>
        <v/>
      </c>
      <c r="L161" s="120">
        <f>IF(posicao_contratual!A160="","",posicao_contratual!S160)</f>
        <v/>
      </c>
      <c r="M161" s="356">
        <f>IF(A161="TOTAL",ROUND(SUM($M$3:M160),2),IF(OR(A161="",K161="",L161=""),"",ROUND(K161*L161,2)))</f>
        <v/>
      </c>
      <c r="N161" s="355">
        <f>IF(OR(historico_VU!A160="",historico_VU!G160=""),"",historico_VU!G160)</f>
        <v/>
      </c>
      <c r="O161" s="118">
        <f>IF(posicao_contratual!A160="","",posicao_contratual!W160)</f>
        <v/>
      </c>
      <c r="P161" s="355">
        <f>IF(A161="TOTAL",ROUND(SUM($P$3:P160),2),IF(OR(A161="",N161="",O161=""),"",ROUND(N161*O161,2)))</f>
        <v/>
      </c>
      <c r="Q161" s="195">
        <f>IF($A161="","",IF(ISERROR(INDIRECT("CICLO_EM_EXECUCAO!$D$5")),"",INDIRECT("CICLO_EM_EXECUCAO!$D$5")))</f>
        <v/>
      </c>
      <c r="R161">
        <f>IF($A161="","",IF(MEMORIA_RESULTADOS!$W$46="","","C"&amp;MEMORIA_RESULTADOS!$W$46))</f>
        <v/>
      </c>
      <c r="S161" s="273">
        <f>IF($A161="","",IF(ISERROR(INDIRECT("CICLO_EM_EXECUCAO!B"&amp;(ROW()+10))),"",INDIRECT("CICLO_EM_EXECUCAO!B"&amp;(ROW()+10))))</f>
        <v/>
      </c>
      <c r="T161" s="273">
        <f>IF($A161="","",IF(ISERROR(INDIRECT("CICLO_EM_EXECUCAO!D"&amp;(ROW()+10))),"",INDIRECT("CICLO_EM_EXECUCAO!D"&amp;(ROW()+10))))</f>
        <v/>
      </c>
      <c r="U161" s="273">
        <f>IF($A161="","",IF(ISERROR(INDIRECT("CICLO_EM_EXECUCAO!C"&amp;(ROW()+10))),"",INDIRECT("CICLO_EM_EXECUCAO!C"&amp;(ROW()+10))))</f>
        <v/>
      </c>
      <c r="V161" s="213">
        <f>IF($A161="","",IF(ISERROR(INDIRECT("CICLO_EM_EXECUCAO!E"&amp;(ROW()+10))),"",INDIRECT("CICLO_EM_EXECUCAO!E"&amp;(ROW()+10))))</f>
        <v/>
      </c>
      <c r="W161" s="213">
        <f>IF($A161="","",IF(ISERROR(INDIRECT("CICLO_EM_EXECUCAO!F"&amp;(ROW()+10))),"",INDIRECT("CICLO_EM_EXECUCAO!F"&amp;(ROW()+10))))</f>
        <v/>
      </c>
      <c r="X161" s="213">
        <f>IF($A161="","",IF(ISERROR(INDIRECT("CICLO_EM_EXECUCAO!G"&amp;(ROW()+10))),"",INDIRECT("CICLO_EM_EXECUCAO!G"&amp;(ROW()+10))))</f>
        <v/>
      </c>
      <c r="Y161">
        <f>IF($A161="","",IF(ISERROR(INDIRECT("CICLO_EM_EXECUCAO!K"&amp;(ROW()+10))),"CICLO_EM_EXECUCAO AUSENTE",INDIRECT("CICLO_EM_EXECUCAO!K"&amp;(ROW()+10))))</f>
        <v/>
      </c>
    </row>
    <row r="162">
      <c r="A162" s="116">
        <f>IF(AND(itens_Remanesc!A161="",itens_Remanesc!A160&lt;&gt;"",COUNTIF(itens_Remanesc!A162:$A$200,"&lt;&gt;")=0),"TOTAL",IF(itens_Remanesc!A161="","",itens_Remanesc!A161))</f>
        <v/>
      </c>
      <c r="B162" s="355">
        <f>IF(OR(historico_VU!A161="",historico_VU!C161=""),"",historico_VU!C161)</f>
        <v/>
      </c>
      <c r="C162" s="118">
        <f>IF(posicao_contratual!A161="","",posicao_contratual!G161)</f>
        <v/>
      </c>
      <c r="D162" s="355">
        <f>IF(A162="TOTAL",ROUND(SUM($D$3:D161),2),IF(OR(A162="",B162="",C162=""),"",ROUND(B162*C162,2)))</f>
        <v/>
      </c>
      <c r="E162" s="356">
        <f>IF(OR(historico_VU!A161="",historico_VU!D161=""),"",historico_VU!D161)</f>
        <v/>
      </c>
      <c r="F162" s="120">
        <f>IF(posicao_contratual!A161="","",posicao_contratual!K161)</f>
        <v/>
      </c>
      <c r="G162" s="356">
        <f>IF(A162="TOTAL",ROUND(SUM($G$3:G161),2),IF(OR(A162="",E162="",F162=""),"",ROUND(E162*F162,2)))</f>
        <v/>
      </c>
      <c r="H162" s="355">
        <f>IF(OR(historico_VU!A161="",historico_VU!E161=""),"",historico_VU!E161)</f>
        <v/>
      </c>
      <c r="I162" s="118">
        <f>IF(posicao_contratual!A161="","",posicao_contratual!O161)</f>
        <v/>
      </c>
      <c r="J162" s="355">
        <f>IF(A162="TOTAL",ROUND(SUM($J$3:J161),2),IF(OR(A162="",H162="",I162=""),"",ROUND(H162*I162,2)))</f>
        <v/>
      </c>
      <c r="K162" s="356">
        <f>IF(OR(historico_VU!A161="",historico_VU!F161=""),"",historico_VU!F161)</f>
        <v/>
      </c>
      <c r="L162" s="120">
        <f>IF(posicao_contratual!A161="","",posicao_contratual!S161)</f>
        <v/>
      </c>
      <c r="M162" s="356">
        <f>IF(A162="TOTAL",ROUND(SUM($M$3:M161),2),IF(OR(A162="",K162="",L162=""),"",ROUND(K162*L162,2)))</f>
        <v/>
      </c>
      <c r="N162" s="355">
        <f>IF(OR(historico_VU!A161="",historico_VU!G161=""),"",historico_VU!G161)</f>
        <v/>
      </c>
      <c r="O162" s="118">
        <f>IF(posicao_contratual!A161="","",posicao_contratual!W161)</f>
        <v/>
      </c>
      <c r="P162" s="355">
        <f>IF(A162="TOTAL",ROUND(SUM($P$3:P161),2),IF(OR(A162="",N162="",O162=""),"",ROUND(N162*O162,2)))</f>
        <v/>
      </c>
      <c r="Q162" s="195">
        <f>IF($A162="","",IF(ISERROR(INDIRECT("CICLO_EM_EXECUCAO!$D$5")),"",INDIRECT("CICLO_EM_EXECUCAO!$D$5")))</f>
        <v/>
      </c>
      <c r="R162">
        <f>IF($A162="","",IF(MEMORIA_RESULTADOS!$W$46="","","C"&amp;MEMORIA_RESULTADOS!$W$46))</f>
        <v/>
      </c>
      <c r="S162" s="273">
        <f>IF($A162="","",IF(ISERROR(INDIRECT("CICLO_EM_EXECUCAO!B"&amp;(ROW()+10))),"",INDIRECT("CICLO_EM_EXECUCAO!B"&amp;(ROW()+10))))</f>
        <v/>
      </c>
      <c r="T162" s="273">
        <f>IF($A162="","",IF(ISERROR(INDIRECT("CICLO_EM_EXECUCAO!D"&amp;(ROW()+10))),"",INDIRECT("CICLO_EM_EXECUCAO!D"&amp;(ROW()+10))))</f>
        <v/>
      </c>
      <c r="U162" s="273">
        <f>IF($A162="","",IF(ISERROR(INDIRECT("CICLO_EM_EXECUCAO!C"&amp;(ROW()+10))),"",INDIRECT("CICLO_EM_EXECUCAO!C"&amp;(ROW()+10))))</f>
        <v/>
      </c>
      <c r="V162" s="213">
        <f>IF($A162="","",IF(ISERROR(INDIRECT("CICLO_EM_EXECUCAO!E"&amp;(ROW()+10))),"",INDIRECT("CICLO_EM_EXECUCAO!E"&amp;(ROW()+10))))</f>
        <v/>
      </c>
      <c r="W162" s="213">
        <f>IF($A162="","",IF(ISERROR(INDIRECT("CICLO_EM_EXECUCAO!F"&amp;(ROW()+10))),"",INDIRECT("CICLO_EM_EXECUCAO!F"&amp;(ROW()+10))))</f>
        <v/>
      </c>
      <c r="X162" s="213">
        <f>IF($A162="","",IF(ISERROR(INDIRECT("CICLO_EM_EXECUCAO!G"&amp;(ROW()+10))),"",INDIRECT("CICLO_EM_EXECUCAO!G"&amp;(ROW()+10))))</f>
        <v/>
      </c>
      <c r="Y162">
        <f>IF($A162="","",IF(ISERROR(INDIRECT("CICLO_EM_EXECUCAO!K"&amp;(ROW()+10))),"CICLO_EM_EXECUCAO AUSENTE",INDIRECT("CICLO_EM_EXECUCAO!K"&amp;(ROW()+10))))</f>
        <v/>
      </c>
    </row>
    <row r="163">
      <c r="A163" s="116">
        <f>IF(AND(itens_Remanesc!A162="",itens_Remanesc!A161&lt;&gt;"",COUNTIF(itens_Remanesc!A163:$A$200,"&lt;&gt;")=0),"TOTAL",IF(itens_Remanesc!A162="","",itens_Remanesc!A162))</f>
        <v/>
      </c>
      <c r="B163" s="355">
        <f>IF(OR(historico_VU!A162="",historico_VU!C162=""),"",historico_VU!C162)</f>
        <v/>
      </c>
      <c r="C163" s="118">
        <f>IF(posicao_contratual!A162="","",posicao_contratual!G162)</f>
        <v/>
      </c>
      <c r="D163" s="355">
        <f>IF(A163="TOTAL",ROUND(SUM($D$3:D162),2),IF(OR(A163="",B163="",C163=""),"",ROUND(B163*C163,2)))</f>
        <v/>
      </c>
      <c r="E163" s="356">
        <f>IF(OR(historico_VU!A162="",historico_VU!D162=""),"",historico_VU!D162)</f>
        <v/>
      </c>
      <c r="F163" s="120">
        <f>IF(posicao_contratual!A162="","",posicao_contratual!K162)</f>
        <v/>
      </c>
      <c r="G163" s="356">
        <f>IF(A163="TOTAL",ROUND(SUM($G$3:G162),2),IF(OR(A163="",E163="",F163=""),"",ROUND(E163*F163,2)))</f>
        <v/>
      </c>
      <c r="H163" s="355">
        <f>IF(OR(historico_VU!A162="",historico_VU!E162=""),"",historico_VU!E162)</f>
        <v/>
      </c>
      <c r="I163" s="118">
        <f>IF(posicao_contratual!A162="","",posicao_contratual!O162)</f>
        <v/>
      </c>
      <c r="J163" s="355">
        <f>IF(A163="TOTAL",ROUND(SUM($J$3:J162),2),IF(OR(A163="",H163="",I163=""),"",ROUND(H163*I163,2)))</f>
        <v/>
      </c>
      <c r="K163" s="356">
        <f>IF(OR(historico_VU!A162="",historico_VU!F162=""),"",historico_VU!F162)</f>
        <v/>
      </c>
      <c r="L163" s="120">
        <f>IF(posicao_contratual!A162="","",posicao_contratual!S162)</f>
        <v/>
      </c>
      <c r="M163" s="356">
        <f>IF(A163="TOTAL",ROUND(SUM($M$3:M162),2),IF(OR(A163="",K163="",L163=""),"",ROUND(K163*L163,2)))</f>
        <v/>
      </c>
      <c r="N163" s="355">
        <f>IF(OR(historico_VU!A162="",historico_VU!G162=""),"",historico_VU!G162)</f>
        <v/>
      </c>
      <c r="O163" s="118">
        <f>IF(posicao_contratual!A162="","",posicao_contratual!W162)</f>
        <v/>
      </c>
      <c r="P163" s="355">
        <f>IF(A163="TOTAL",ROUND(SUM($P$3:P162),2),IF(OR(A163="",N163="",O163=""),"",ROUND(N163*O163,2)))</f>
        <v/>
      </c>
      <c r="Q163" s="195">
        <f>IF($A163="","",IF(ISERROR(INDIRECT("CICLO_EM_EXECUCAO!$D$5")),"",INDIRECT("CICLO_EM_EXECUCAO!$D$5")))</f>
        <v/>
      </c>
      <c r="R163">
        <f>IF($A163="","",IF(MEMORIA_RESULTADOS!$W$46="","","C"&amp;MEMORIA_RESULTADOS!$W$46))</f>
        <v/>
      </c>
      <c r="S163" s="273">
        <f>IF($A163="","",IF(ISERROR(INDIRECT("CICLO_EM_EXECUCAO!B"&amp;(ROW()+10))),"",INDIRECT("CICLO_EM_EXECUCAO!B"&amp;(ROW()+10))))</f>
        <v/>
      </c>
      <c r="T163" s="273">
        <f>IF($A163="","",IF(ISERROR(INDIRECT("CICLO_EM_EXECUCAO!D"&amp;(ROW()+10))),"",INDIRECT("CICLO_EM_EXECUCAO!D"&amp;(ROW()+10))))</f>
        <v/>
      </c>
      <c r="U163" s="273">
        <f>IF($A163="","",IF(ISERROR(INDIRECT("CICLO_EM_EXECUCAO!C"&amp;(ROW()+10))),"",INDIRECT("CICLO_EM_EXECUCAO!C"&amp;(ROW()+10))))</f>
        <v/>
      </c>
      <c r="V163" s="213">
        <f>IF($A163="","",IF(ISERROR(INDIRECT("CICLO_EM_EXECUCAO!E"&amp;(ROW()+10))),"",INDIRECT("CICLO_EM_EXECUCAO!E"&amp;(ROW()+10))))</f>
        <v/>
      </c>
      <c r="W163" s="213">
        <f>IF($A163="","",IF(ISERROR(INDIRECT("CICLO_EM_EXECUCAO!F"&amp;(ROW()+10))),"",INDIRECT("CICLO_EM_EXECUCAO!F"&amp;(ROW()+10))))</f>
        <v/>
      </c>
      <c r="X163" s="213">
        <f>IF($A163="","",IF(ISERROR(INDIRECT("CICLO_EM_EXECUCAO!G"&amp;(ROW()+10))),"",INDIRECT("CICLO_EM_EXECUCAO!G"&amp;(ROW()+10))))</f>
        <v/>
      </c>
      <c r="Y163">
        <f>IF($A163="","",IF(ISERROR(INDIRECT("CICLO_EM_EXECUCAO!K"&amp;(ROW()+10))),"CICLO_EM_EXECUCAO AUSENTE",INDIRECT("CICLO_EM_EXECUCAO!K"&amp;(ROW()+10))))</f>
        <v/>
      </c>
    </row>
    <row r="164">
      <c r="A164" s="116">
        <f>IF(AND(itens_Remanesc!A163="",itens_Remanesc!A162&lt;&gt;"",COUNTIF(itens_Remanesc!A164:$A$200,"&lt;&gt;")=0),"TOTAL",IF(itens_Remanesc!A163="","",itens_Remanesc!A163))</f>
        <v/>
      </c>
      <c r="B164" s="355">
        <f>IF(OR(historico_VU!A163="",historico_VU!C163=""),"",historico_VU!C163)</f>
        <v/>
      </c>
      <c r="C164" s="118">
        <f>IF(posicao_contratual!A163="","",posicao_contratual!G163)</f>
        <v/>
      </c>
      <c r="D164" s="355">
        <f>IF(A164="TOTAL",ROUND(SUM($D$3:D163),2),IF(OR(A164="",B164="",C164=""),"",ROUND(B164*C164,2)))</f>
        <v/>
      </c>
      <c r="E164" s="356">
        <f>IF(OR(historico_VU!A163="",historico_VU!D163=""),"",historico_VU!D163)</f>
        <v/>
      </c>
      <c r="F164" s="120">
        <f>IF(posicao_contratual!A163="","",posicao_contratual!K163)</f>
        <v/>
      </c>
      <c r="G164" s="356">
        <f>IF(A164="TOTAL",ROUND(SUM($G$3:G163),2),IF(OR(A164="",E164="",F164=""),"",ROUND(E164*F164,2)))</f>
        <v/>
      </c>
      <c r="H164" s="355">
        <f>IF(OR(historico_VU!A163="",historico_VU!E163=""),"",historico_VU!E163)</f>
        <v/>
      </c>
      <c r="I164" s="118">
        <f>IF(posicao_contratual!A163="","",posicao_contratual!O163)</f>
        <v/>
      </c>
      <c r="J164" s="355">
        <f>IF(A164="TOTAL",ROUND(SUM($J$3:J163),2),IF(OR(A164="",H164="",I164=""),"",ROUND(H164*I164,2)))</f>
        <v/>
      </c>
      <c r="K164" s="356">
        <f>IF(OR(historico_VU!A163="",historico_VU!F163=""),"",historico_VU!F163)</f>
        <v/>
      </c>
      <c r="L164" s="120">
        <f>IF(posicao_contratual!A163="","",posicao_contratual!S163)</f>
        <v/>
      </c>
      <c r="M164" s="356">
        <f>IF(A164="TOTAL",ROUND(SUM($M$3:M163),2),IF(OR(A164="",K164="",L164=""),"",ROUND(K164*L164,2)))</f>
        <v/>
      </c>
      <c r="N164" s="355">
        <f>IF(OR(historico_VU!A163="",historico_VU!G163=""),"",historico_VU!G163)</f>
        <v/>
      </c>
      <c r="O164" s="118">
        <f>IF(posicao_contratual!A163="","",posicao_contratual!W163)</f>
        <v/>
      </c>
      <c r="P164" s="355">
        <f>IF(A164="TOTAL",ROUND(SUM($P$3:P163),2),IF(OR(A164="",N164="",O164=""),"",ROUND(N164*O164,2)))</f>
        <v/>
      </c>
      <c r="Q164" s="195">
        <f>IF($A164="","",IF(ISERROR(INDIRECT("CICLO_EM_EXECUCAO!$D$5")),"",INDIRECT("CICLO_EM_EXECUCAO!$D$5")))</f>
        <v/>
      </c>
      <c r="R164">
        <f>IF($A164="","",IF(MEMORIA_RESULTADOS!$W$46="","","C"&amp;MEMORIA_RESULTADOS!$W$46))</f>
        <v/>
      </c>
      <c r="S164" s="273">
        <f>IF($A164="","",IF(ISERROR(INDIRECT("CICLO_EM_EXECUCAO!B"&amp;(ROW()+10))),"",INDIRECT("CICLO_EM_EXECUCAO!B"&amp;(ROW()+10))))</f>
        <v/>
      </c>
      <c r="T164" s="273">
        <f>IF($A164="","",IF(ISERROR(INDIRECT("CICLO_EM_EXECUCAO!D"&amp;(ROW()+10))),"",INDIRECT("CICLO_EM_EXECUCAO!D"&amp;(ROW()+10))))</f>
        <v/>
      </c>
      <c r="U164" s="273">
        <f>IF($A164="","",IF(ISERROR(INDIRECT("CICLO_EM_EXECUCAO!C"&amp;(ROW()+10))),"",INDIRECT("CICLO_EM_EXECUCAO!C"&amp;(ROW()+10))))</f>
        <v/>
      </c>
      <c r="V164" s="213">
        <f>IF($A164="","",IF(ISERROR(INDIRECT("CICLO_EM_EXECUCAO!E"&amp;(ROW()+10))),"",INDIRECT("CICLO_EM_EXECUCAO!E"&amp;(ROW()+10))))</f>
        <v/>
      </c>
      <c r="W164" s="213">
        <f>IF($A164="","",IF(ISERROR(INDIRECT("CICLO_EM_EXECUCAO!F"&amp;(ROW()+10))),"",INDIRECT("CICLO_EM_EXECUCAO!F"&amp;(ROW()+10))))</f>
        <v/>
      </c>
      <c r="X164" s="213">
        <f>IF($A164="","",IF(ISERROR(INDIRECT("CICLO_EM_EXECUCAO!G"&amp;(ROW()+10))),"",INDIRECT("CICLO_EM_EXECUCAO!G"&amp;(ROW()+10))))</f>
        <v/>
      </c>
      <c r="Y164">
        <f>IF($A164="","",IF(ISERROR(INDIRECT("CICLO_EM_EXECUCAO!K"&amp;(ROW()+10))),"CICLO_EM_EXECUCAO AUSENTE",INDIRECT("CICLO_EM_EXECUCAO!K"&amp;(ROW()+10))))</f>
        <v/>
      </c>
    </row>
    <row r="165">
      <c r="A165" s="116">
        <f>IF(AND(itens_Remanesc!A164="",itens_Remanesc!A163&lt;&gt;"",COUNTIF(itens_Remanesc!A165:$A$200,"&lt;&gt;")=0),"TOTAL",IF(itens_Remanesc!A164="","",itens_Remanesc!A164))</f>
        <v/>
      </c>
      <c r="B165" s="355">
        <f>IF(OR(historico_VU!A164="",historico_VU!C164=""),"",historico_VU!C164)</f>
        <v/>
      </c>
      <c r="C165" s="118">
        <f>IF(posicao_contratual!A164="","",posicao_contratual!G164)</f>
        <v/>
      </c>
      <c r="D165" s="355">
        <f>IF(A165="TOTAL",ROUND(SUM($D$3:D164),2),IF(OR(A165="",B165="",C165=""),"",ROUND(B165*C165,2)))</f>
        <v/>
      </c>
      <c r="E165" s="356">
        <f>IF(OR(historico_VU!A164="",historico_VU!D164=""),"",historico_VU!D164)</f>
        <v/>
      </c>
      <c r="F165" s="120">
        <f>IF(posicao_contratual!A164="","",posicao_contratual!K164)</f>
        <v/>
      </c>
      <c r="G165" s="356">
        <f>IF(A165="TOTAL",ROUND(SUM($G$3:G164),2),IF(OR(A165="",E165="",F165=""),"",ROUND(E165*F165,2)))</f>
        <v/>
      </c>
      <c r="H165" s="355">
        <f>IF(OR(historico_VU!A164="",historico_VU!E164=""),"",historico_VU!E164)</f>
        <v/>
      </c>
      <c r="I165" s="118">
        <f>IF(posicao_contratual!A164="","",posicao_contratual!O164)</f>
        <v/>
      </c>
      <c r="J165" s="355">
        <f>IF(A165="TOTAL",ROUND(SUM($J$3:J164),2),IF(OR(A165="",H165="",I165=""),"",ROUND(H165*I165,2)))</f>
        <v/>
      </c>
      <c r="K165" s="356">
        <f>IF(OR(historico_VU!A164="",historico_VU!F164=""),"",historico_VU!F164)</f>
        <v/>
      </c>
      <c r="L165" s="120">
        <f>IF(posicao_contratual!A164="","",posicao_contratual!S164)</f>
        <v/>
      </c>
      <c r="M165" s="356">
        <f>IF(A165="TOTAL",ROUND(SUM($M$3:M164),2),IF(OR(A165="",K165="",L165=""),"",ROUND(K165*L165,2)))</f>
        <v/>
      </c>
      <c r="N165" s="355">
        <f>IF(OR(historico_VU!A164="",historico_VU!G164=""),"",historico_VU!G164)</f>
        <v/>
      </c>
      <c r="O165" s="118">
        <f>IF(posicao_contratual!A164="","",posicao_contratual!W164)</f>
        <v/>
      </c>
      <c r="P165" s="355">
        <f>IF(A165="TOTAL",ROUND(SUM($P$3:P164),2),IF(OR(A165="",N165="",O165=""),"",ROUND(N165*O165,2)))</f>
        <v/>
      </c>
      <c r="Q165" s="195">
        <f>IF($A165="","",IF(ISERROR(INDIRECT("CICLO_EM_EXECUCAO!$D$5")),"",INDIRECT("CICLO_EM_EXECUCAO!$D$5")))</f>
        <v/>
      </c>
      <c r="R165">
        <f>IF($A165="","",IF(MEMORIA_RESULTADOS!$W$46="","","C"&amp;MEMORIA_RESULTADOS!$W$46))</f>
        <v/>
      </c>
      <c r="S165" s="273">
        <f>IF($A165="","",IF(ISERROR(INDIRECT("CICLO_EM_EXECUCAO!B"&amp;(ROW()+10))),"",INDIRECT("CICLO_EM_EXECUCAO!B"&amp;(ROW()+10))))</f>
        <v/>
      </c>
      <c r="T165" s="273">
        <f>IF($A165="","",IF(ISERROR(INDIRECT("CICLO_EM_EXECUCAO!D"&amp;(ROW()+10))),"",INDIRECT("CICLO_EM_EXECUCAO!D"&amp;(ROW()+10))))</f>
        <v/>
      </c>
      <c r="U165" s="273">
        <f>IF($A165="","",IF(ISERROR(INDIRECT("CICLO_EM_EXECUCAO!C"&amp;(ROW()+10))),"",INDIRECT("CICLO_EM_EXECUCAO!C"&amp;(ROW()+10))))</f>
        <v/>
      </c>
      <c r="V165" s="213">
        <f>IF($A165="","",IF(ISERROR(INDIRECT("CICLO_EM_EXECUCAO!E"&amp;(ROW()+10))),"",INDIRECT("CICLO_EM_EXECUCAO!E"&amp;(ROW()+10))))</f>
        <v/>
      </c>
      <c r="W165" s="213">
        <f>IF($A165="","",IF(ISERROR(INDIRECT("CICLO_EM_EXECUCAO!F"&amp;(ROW()+10))),"",INDIRECT("CICLO_EM_EXECUCAO!F"&amp;(ROW()+10))))</f>
        <v/>
      </c>
      <c r="X165" s="213">
        <f>IF($A165="","",IF(ISERROR(INDIRECT("CICLO_EM_EXECUCAO!G"&amp;(ROW()+10))),"",INDIRECT("CICLO_EM_EXECUCAO!G"&amp;(ROW()+10))))</f>
        <v/>
      </c>
      <c r="Y165">
        <f>IF($A165="","",IF(ISERROR(INDIRECT("CICLO_EM_EXECUCAO!K"&amp;(ROW()+10))),"CICLO_EM_EXECUCAO AUSENTE",INDIRECT("CICLO_EM_EXECUCAO!K"&amp;(ROW()+10))))</f>
        <v/>
      </c>
    </row>
    <row r="166">
      <c r="A166" s="116">
        <f>IF(AND(itens_Remanesc!A165="",itens_Remanesc!A164&lt;&gt;"",COUNTIF(itens_Remanesc!A166:$A$200,"&lt;&gt;")=0),"TOTAL",IF(itens_Remanesc!A165="","",itens_Remanesc!A165))</f>
        <v/>
      </c>
      <c r="B166" s="355">
        <f>IF(OR(historico_VU!A165="",historico_VU!C165=""),"",historico_VU!C165)</f>
        <v/>
      </c>
      <c r="C166" s="118">
        <f>IF(posicao_contratual!A165="","",posicao_contratual!G165)</f>
        <v/>
      </c>
      <c r="D166" s="355">
        <f>IF(A166="TOTAL",ROUND(SUM($D$3:D165),2),IF(OR(A166="",B166="",C166=""),"",ROUND(B166*C166,2)))</f>
        <v/>
      </c>
      <c r="E166" s="356">
        <f>IF(OR(historico_VU!A165="",historico_VU!D165=""),"",historico_VU!D165)</f>
        <v/>
      </c>
      <c r="F166" s="120">
        <f>IF(posicao_contratual!A165="","",posicao_contratual!K165)</f>
        <v/>
      </c>
      <c r="G166" s="356">
        <f>IF(A166="TOTAL",ROUND(SUM($G$3:G165),2),IF(OR(A166="",E166="",F166=""),"",ROUND(E166*F166,2)))</f>
        <v/>
      </c>
      <c r="H166" s="355">
        <f>IF(OR(historico_VU!A165="",historico_VU!E165=""),"",historico_VU!E165)</f>
        <v/>
      </c>
      <c r="I166" s="118">
        <f>IF(posicao_contratual!A165="","",posicao_contratual!O165)</f>
        <v/>
      </c>
      <c r="J166" s="355">
        <f>IF(A166="TOTAL",ROUND(SUM($J$3:J165),2),IF(OR(A166="",H166="",I166=""),"",ROUND(H166*I166,2)))</f>
        <v/>
      </c>
      <c r="K166" s="356">
        <f>IF(OR(historico_VU!A165="",historico_VU!F165=""),"",historico_VU!F165)</f>
        <v/>
      </c>
      <c r="L166" s="120">
        <f>IF(posicao_contratual!A165="","",posicao_contratual!S165)</f>
        <v/>
      </c>
      <c r="M166" s="356">
        <f>IF(A166="TOTAL",ROUND(SUM($M$3:M165),2),IF(OR(A166="",K166="",L166=""),"",ROUND(K166*L166,2)))</f>
        <v/>
      </c>
      <c r="N166" s="355">
        <f>IF(OR(historico_VU!A165="",historico_VU!G165=""),"",historico_VU!G165)</f>
        <v/>
      </c>
      <c r="O166" s="118">
        <f>IF(posicao_contratual!A165="","",posicao_contratual!W165)</f>
        <v/>
      </c>
      <c r="P166" s="355">
        <f>IF(A166="TOTAL",ROUND(SUM($P$3:P165),2),IF(OR(A166="",N166="",O166=""),"",ROUND(N166*O166,2)))</f>
        <v/>
      </c>
      <c r="Q166" s="195">
        <f>IF($A166="","",IF(ISERROR(INDIRECT("CICLO_EM_EXECUCAO!$D$5")),"",INDIRECT("CICLO_EM_EXECUCAO!$D$5")))</f>
        <v/>
      </c>
      <c r="R166">
        <f>IF($A166="","",IF(MEMORIA_RESULTADOS!$W$46="","","C"&amp;MEMORIA_RESULTADOS!$W$46))</f>
        <v/>
      </c>
      <c r="S166" s="273">
        <f>IF($A166="","",IF(ISERROR(INDIRECT("CICLO_EM_EXECUCAO!B"&amp;(ROW()+10))),"",INDIRECT("CICLO_EM_EXECUCAO!B"&amp;(ROW()+10))))</f>
        <v/>
      </c>
      <c r="T166" s="273">
        <f>IF($A166="","",IF(ISERROR(INDIRECT("CICLO_EM_EXECUCAO!D"&amp;(ROW()+10))),"",INDIRECT("CICLO_EM_EXECUCAO!D"&amp;(ROW()+10))))</f>
        <v/>
      </c>
      <c r="U166" s="273">
        <f>IF($A166="","",IF(ISERROR(INDIRECT("CICLO_EM_EXECUCAO!C"&amp;(ROW()+10))),"",INDIRECT("CICLO_EM_EXECUCAO!C"&amp;(ROW()+10))))</f>
        <v/>
      </c>
      <c r="V166" s="213">
        <f>IF($A166="","",IF(ISERROR(INDIRECT("CICLO_EM_EXECUCAO!E"&amp;(ROW()+10))),"",INDIRECT("CICLO_EM_EXECUCAO!E"&amp;(ROW()+10))))</f>
        <v/>
      </c>
      <c r="W166" s="213">
        <f>IF($A166="","",IF(ISERROR(INDIRECT("CICLO_EM_EXECUCAO!F"&amp;(ROW()+10))),"",INDIRECT("CICLO_EM_EXECUCAO!F"&amp;(ROW()+10))))</f>
        <v/>
      </c>
      <c r="X166" s="213">
        <f>IF($A166="","",IF(ISERROR(INDIRECT("CICLO_EM_EXECUCAO!G"&amp;(ROW()+10))),"",INDIRECT("CICLO_EM_EXECUCAO!G"&amp;(ROW()+10))))</f>
        <v/>
      </c>
      <c r="Y166">
        <f>IF($A166="","",IF(ISERROR(INDIRECT("CICLO_EM_EXECUCAO!K"&amp;(ROW()+10))),"CICLO_EM_EXECUCAO AUSENTE",INDIRECT("CICLO_EM_EXECUCAO!K"&amp;(ROW()+10))))</f>
        <v/>
      </c>
    </row>
    <row r="167">
      <c r="A167" s="116">
        <f>IF(AND(itens_Remanesc!A166="",itens_Remanesc!A165&lt;&gt;"",COUNTIF(itens_Remanesc!A167:$A$200,"&lt;&gt;")=0),"TOTAL",IF(itens_Remanesc!A166="","",itens_Remanesc!A166))</f>
        <v/>
      </c>
      <c r="B167" s="355">
        <f>IF(OR(historico_VU!A166="",historico_VU!C166=""),"",historico_VU!C166)</f>
        <v/>
      </c>
      <c r="C167" s="118">
        <f>IF(posicao_contratual!A166="","",posicao_contratual!G166)</f>
        <v/>
      </c>
      <c r="D167" s="355">
        <f>IF(A167="TOTAL",ROUND(SUM($D$3:D166),2),IF(OR(A167="",B167="",C167=""),"",ROUND(B167*C167,2)))</f>
        <v/>
      </c>
      <c r="E167" s="356">
        <f>IF(OR(historico_VU!A166="",historico_VU!D166=""),"",historico_VU!D166)</f>
        <v/>
      </c>
      <c r="F167" s="120">
        <f>IF(posicao_contratual!A166="","",posicao_contratual!K166)</f>
        <v/>
      </c>
      <c r="G167" s="356">
        <f>IF(A167="TOTAL",ROUND(SUM($G$3:G166),2),IF(OR(A167="",E167="",F167=""),"",ROUND(E167*F167,2)))</f>
        <v/>
      </c>
      <c r="H167" s="355">
        <f>IF(OR(historico_VU!A166="",historico_VU!E166=""),"",historico_VU!E166)</f>
        <v/>
      </c>
      <c r="I167" s="118">
        <f>IF(posicao_contratual!A166="","",posicao_contratual!O166)</f>
        <v/>
      </c>
      <c r="J167" s="355">
        <f>IF(A167="TOTAL",ROUND(SUM($J$3:J166),2),IF(OR(A167="",H167="",I167=""),"",ROUND(H167*I167,2)))</f>
        <v/>
      </c>
      <c r="K167" s="356">
        <f>IF(OR(historico_VU!A166="",historico_VU!F166=""),"",historico_VU!F166)</f>
        <v/>
      </c>
      <c r="L167" s="120">
        <f>IF(posicao_contratual!A166="","",posicao_contratual!S166)</f>
        <v/>
      </c>
      <c r="M167" s="356">
        <f>IF(A167="TOTAL",ROUND(SUM($M$3:M166),2),IF(OR(A167="",K167="",L167=""),"",ROUND(K167*L167,2)))</f>
        <v/>
      </c>
      <c r="N167" s="355">
        <f>IF(OR(historico_VU!A166="",historico_VU!G166=""),"",historico_VU!G166)</f>
        <v/>
      </c>
      <c r="O167" s="118">
        <f>IF(posicao_contratual!A166="","",posicao_contratual!W166)</f>
        <v/>
      </c>
      <c r="P167" s="355">
        <f>IF(A167="TOTAL",ROUND(SUM($P$3:P166),2),IF(OR(A167="",N167="",O167=""),"",ROUND(N167*O167,2)))</f>
        <v/>
      </c>
      <c r="Q167" s="195">
        <f>IF($A167="","",IF(ISERROR(INDIRECT("CICLO_EM_EXECUCAO!$D$5")),"",INDIRECT("CICLO_EM_EXECUCAO!$D$5")))</f>
        <v/>
      </c>
      <c r="R167">
        <f>IF($A167="","",IF(MEMORIA_RESULTADOS!$W$46="","","C"&amp;MEMORIA_RESULTADOS!$W$46))</f>
        <v/>
      </c>
      <c r="S167" s="273">
        <f>IF($A167="","",IF(ISERROR(INDIRECT("CICLO_EM_EXECUCAO!B"&amp;(ROW()+10))),"",INDIRECT("CICLO_EM_EXECUCAO!B"&amp;(ROW()+10))))</f>
        <v/>
      </c>
      <c r="T167" s="273">
        <f>IF($A167="","",IF(ISERROR(INDIRECT("CICLO_EM_EXECUCAO!D"&amp;(ROW()+10))),"",INDIRECT("CICLO_EM_EXECUCAO!D"&amp;(ROW()+10))))</f>
        <v/>
      </c>
      <c r="U167" s="273">
        <f>IF($A167="","",IF(ISERROR(INDIRECT("CICLO_EM_EXECUCAO!C"&amp;(ROW()+10))),"",INDIRECT("CICLO_EM_EXECUCAO!C"&amp;(ROW()+10))))</f>
        <v/>
      </c>
      <c r="V167" s="213">
        <f>IF($A167="","",IF(ISERROR(INDIRECT("CICLO_EM_EXECUCAO!E"&amp;(ROW()+10))),"",INDIRECT("CICLO_EM_EXECUCAO!E"&amp;(ROW()+10))))</f>
        <v/>
      </c>
      <c r="W167" s="213">
        <f>IF($A167="","",IF(ISERROR(INDIRECT("CICLO_EM_EXECUCAO!F"&amp;(ROW()+10))),"",INDIRECT("CICLO_EM_EXECUCAO!F"&amp;(ROW()+10))))</f>
        <v/>
      </c>
      <c r="X167" s="213">
        <f>IF($A167="","",IF(ISERROR(INDIRECT("CICLO_EM_EXECUCAO!G"&amp;(ROW()+10))),"",INDIRECT("CICLO_EM_EXECUCAO!G"&amp;(ROW()+10))))</f>
        <v/>
      </c>
      <c r="Y167">
        <f>IF($A167="","",IF(ISERROR(INDIRECT("CICLO_EM_EXECUCAO!K"&amp;(ROW()+10))),"CICLO_EM_EXECUCAO AUSENTE",INDIRECT("CICLO_EM_EXECUCAO!K"&amp;(ROW()+10))))</f>
        <v/>
      </c>
    </row>
    <row r="168">
      <c r="A168" s="116">
        <f>IF(AND(itens_Remanesc!A167="",itens_Remanesc!A166&lt;&gt;"",COUNTIF(itens_Remanesc!A168:$A$200,"&lt;&gt;")=0),"TOTAL",IF(itens_Remanesc!A167="","",itens_Remanesc!A167))</f>
        <v/>
      </c>
      <c r="B168" s="355">
        <f>IF(OR(historico_VU!A167="",historico_VU!C167=""),"",historico_VU!C167)</f>
        <v/>
      </c>
      <c r="C168" s="118">
        <f>IF(posicao_contratual!A167="","",posicao_contratual!G167)</f>
        <v/>
      </c>
      <c r="D168" s="355">
        <f>IF(A168="TOTAL",ROUND(SUM($D$3:D167),2),IF(OR(A168="",B168="",C168=""),"",ROUND(B168*C168,2)))</f>
        <v/>
      </c>
      <c r="E168" s="356">
        <f>IF(OR(historico_VU!A167="",historico_VU!D167=""),"",historico_VU!D167)</f>
        <v/>
      </c>
      <c r="F168" s="120">
        <f>IF(posicao_contratual!A167="","",posicao_contratual!K167)</f>
        <v/>
      </c>
      <c r="G168" s="356">
        <f>IF(A168="TOTAL",ROUND(SUM($G$3:G167),2),IF(OR(A168="",E168="",F168=""),"",ROUND(E168*F168,2)))</f>
        <v/>
      </c>
      <c r="H168" s="355">
        <f>IF(OR(historico_VU!A167="",historico_VU!E167=""),"",historico_VU!E167)</f>
        <v/>
      </c>
      <c r="I168" s="118">
        <f>IF(posicao_contratual!A167="","",posicao_contratual!O167)</f>
        <v/>
      </c>
      <c r="J168" s="355">
        <f>IF(A168="TOTAL",ROUND(SUM($J$3:J167),2),IF(OR(A168="",H168="",I168=""),"",ROUND(H168*I168,2)))</f>
        <v/>
      </c>
      <c r="K168" s="356">
        <f>IF(OR(historico_VU!A167="",historico_VU!F167=""),"",historico_VU!F167)</f>
        <v/>
      </c>
      <c r="L168" s="120">
        <f>IF(posicao_contratual!A167="","",posicao_contratual!S167)</f>
        <v/>
      </c>
      <c r="M168" s="356">
        <f>IF(A168="TOTAL",ROUND(SUM($M$3:M167),2),IF(OR(A168="",K168="",L168=""),"",ROUND(K168*L168,2)))</f>
        <v/>
      </c>
      <c r="N168" s="355">
        <f>IF(OR(historico_VU!A167="",historico_VU!G167=""),"",historico_VU!G167)</f>
        <v/>
      </c>
      <c r="O168" s="118">
        <f>IF(posicao_contratual!A167="","",posicao_contratual!W167)</f>
        <v/>
      </c>
      <c r="P168" s="355">
        <f>IF(A168="TOTAL",ROUND(SUM($P$3:P167),2),IF(OR(A168="",N168="",O168=""),"",ROUND(N168*O168,2)))</f>
        <v/>
      </c>
      <c r="Q168" s="195">
        <f>IF($A168="","",IF(ISERROR(INDIRECT("CICLO_EM_EXECUCAO!$D$5")),"",INDIRECT("CICLO_EM_EXECUCAO!$D$5")))</f>
        <v/>
      </c>
      <c r="R168">
        <f>IF($A168="","",IF(MEMORIA_RESULTADOS!$W$46="","","C"&amp;MEMORIA_RESULTADOS!$W$46))</f>
        <v/>
      </c>
      <c r="S168" s="273">
        <f>IF($A168="","",IF(ISERROR(INDIRECT("CICLO_EM_EXECUCAO!B"&amp;(ROW()+10))),"",INDIRECT("CICLO_EM_EXECUCAO!B"&amp;(ROW()+10))))</f>
        <v/>
      </c>
      <c r="T168" s="273">
        <f>IF($A168="","",IF(ISERROR(INDIRECT("CICLO_EM_EXECUCAO!D"&amp;(ROW()+10))),"",INDIRECT("CICLO_EM_EXECUCAO!D"&amp;(ROW()+10))))</f>
        <v/>
      </c>
      <c r="U168" s="273">
        <f>IF($A168="","",IF(ISERROR(INDIRECT("CICLO_EM_EXECUCAO!C"&amp;(ROW()+10))),"",INDIRECT("CICLO_EM_EXECUCAO!C"&amp;(ROW()+10))))</f>
        <v/>
      </c>
      <c r="V168" s="213">
        <f>IF($A168="","",IF(ISERROR(INDIRECT("CICLO_EM_EXECUCAO!E"&amp;(ROW()+10))),"",INDIRECT("CICLO_EM_EXECUCAO!E"&amp;(ROW()+10))))</f>
        <v/>
      </c>
      <c r="W168" s="213">
        <f>IF($A168="","",IF(ISERROR(INDIRECT("CICLO_EM_EXECUCAO!F"&amp;(ROW()+10))),"",INDIRECT("CICLO_EM_EXECUCAO!F"&amp;(ROW()+10))))</f>
        <v/>
      </c>
      <c r="X168" s="213">
        <f>IF($A168="","",IF(ISERROR(INDIRECT("CICLO_EM_EXECUCAO!G"&amp;(ROW()+10))),"",INDIRECT("CICLO_EM_EXECUCAO!G"&amp;(ROW()+10))))</f>
        <v/>
      </c>
      <c r="Y168">
        <f>IF($A168="","",IF(ISERROR(INDIRECT("CICLO_EM_EXECUCAO!K"&amp;(ROW()+10))),"CICLO_EM_EXECUCAO AUSENTE",INDIRECT("CICLO_EM_EXECUCAO!K"&amp;(ROW()+10))))</f>
        <v/>
      </c>
    </row>
    <row r="169">
      <c r="A169" s="116">
        <f>IF(AND(itens_Remanesc!A168="",itens_Remanesc!A167&lt;&gt;"",COUNTIF(itens_Remanesc!A169:$A$200,"&lt;&gt;")=0),"TOTAL",IF(itens_Remanesc!A168="","",itens_Remanesc!A168))</f>
        <v/>
      </c>
      <c r="B169" s="355">
        <f>IF(OR(historico_VU!A168="",historico_VU!C168=""),"",historico_VU!C168)</f>
        <v/>
      </c>
      <c r="C169" s="118">
        <f>IF(posicao_contratual!A168="","",posicao_contratual!G168)</f>
        <v/>
      </c>
      <c r="D169" s="355">
        <f>IF(A169="TOTAL",ROUND(SUM($D$3:D168),2),IF(OR(A169="",B169="",C169=""),"",ROUND(B169*C169,2)))</f>
        <v/>
      </c>
      <c r="E169" s="356">
        <f>IF(OR(historico_VU!A168="",historico_VU!D168=""),"",historico_VU!D168)</f>
        <v/>
      </c>
      <c r="F169" s="120">
        <f>IF(posicao_contratual!A168="","",posicao_contratual!K168)</f>
        <v/>
      </c>
      <c r="G169" s="356">
        <f>IF(A169="TOTAL",ROUND(SUM($G$3:G168),2),IF(OR(A169="",E169="",F169=""),"",ROUND(E169*F169,2)))</f>
        <v/>
      </c>
      <c r="H169" s="355">
        <f>IF(OR(historico_VU!A168="",historico_VU!E168=""),"",historico_VU!E168)</f>
        <v/>
      </c>
      <c r="I169" s="118">
        <f>IF(posicao_contratual!A168="","",posicao_contratual!O168)</f>
        <v/>
      </c>
      <c r="J169" s="355">
        <f>IF(A169="TOTAL",ROUND(SUM($J$3:J168),2),IF(OR(A169="",H169="",I169=""),"",ROUND(H169*I169,2)))</f>
        <v/>
      </c>
      <c r="K169" s="356">
        <f>IF(OR(historico_VU!A168="",historico_VU!F168=""),"",historico_VU!F168)</f>
        <v/>
      </c>
      <c r="L169" s="120">
        <f>IF(posicao_contratual!A168="","",posicao_contratual!S168)</f>
        <v/>
      </c>
      <c r="M169" s="356">
        <f>IF(A169="TOTAL",ROUND(SUM($M$3:M168),2),IF(OR(A169="",K169="",L169=""),"",ROUND(K169*L169,2)))</f>
        <v/>
      </c>
      <c r="N169" s="355">
        <f>IF(OR(historico_VU!A168="",historico_VU!G168=""),"",historico_VU!G168)</f>
        <v/>
      </c>
      <c r="O169" s="118">
        <f>IF(posicao_contratual!A168="","",posicao_contratual!W168)</f>
        <v/>
      </c>
      <c r="P169" s="355">
        <f>IF(A169="TOTAL",ROUND(SUM($P$3:P168),2),IF(OR(A169="",N169="",O169=""),"",ROUND(N169*O169,2)))</f>
        <v/>
      </c>
      <c r="Q169" s="195">
        <f>IF($A169="","",IF(ISERROR(INDIRECT("CICLO_EM_EXECUCAO!$D$5")),"",INDIRECT("CICLO_EM_EXECUCAO!$D$5")))</f>
        <v/>
      </c>
      <c r="R169">
        <f>IF($A169="","",IF(MEMORIA_RESULTADOS!$W$46="","","C"&amp;MEMORIA_RESULTADOS!$W$46))</f>
        <v/>
      </c>
      <c r="S169" s="273">
        <f>IF($A169="","",IF(ISERROR(INDIRECT("CICLO_EM_EXECUCAO!B"&amp;(ROW()+10))),"",INDIRECT("CICLO_EM_EXECUCAO!B"&amp;(ROW()+10))))</f>
        <v/>
      </c>
      <c r="T169" s="273">
        <f>IF($A169="","",IF(ISERROR(INDIRECT("CICLO_EM_EXECUCAO!D"&amp;(ROW()+10))),"",INDIRECT("CICLO_EM_EXECUCAO!D"&amp;(ROW()+10))))</f>
        <v/>
      </c>
      <c r="U169" s="273">
        <f>IF($A169="","",IF(ISERROR(INDIRECT("CICLO_EM_EXECUCAO!C"&amp;(ROW()+10))),"",INDIRECT("CICLO_EM_EXECUCAO!C"&amp;(ROW()+10))))</f>
        <v/>
      </c>
      <c r="V169" s="213">
        <f>IF($A169="","",IF(ISERROR(INDIRECT("CICLO_EM_EXECUCAO!E"&amp;(ROW()+10))),"",INDIRECT("CICLO_EM_EXECUCAO!E"&amp;(ROW()+10))))</f>
        <v/>
      </c>
      <c r="W169" s="213">
        <f>IF($A169="","",IF(ISERROR(INDIRECT("CICLO_EM_EXECUCAO!F"&amp;(ROW()+10))),"",INDIRECT("CICLO_EM_EXECUCAO!F"&amp;(ROW()+10))))</f>
        <v/>
      </c>
      <c r="X169" s="213">
        <f>IF($A169="","",IF(ISERROR(INDIRECT("CICLO_EM_EXECUCAO!G"&amp;(ROW()+10))),"",INDIRECT("CICLO_EM_EXECUCAO!G"&amp;(ROW()+10))))</f>
        <v/>
      </c>
      <c r="Y169">
        <f>IF($A169="","",IF(ISERROR(INDIRECT("CICLO_EM_EXECUCAO!K"&amp;(ROW()+10))),"CICLO_EM_EXECUCAO AUSENTE",INDIRECT("CICLO_EM_EXECUCAO!K"&amp;(ROW()+10))))</f>
        <v/>
      </c>
    </row>
    <row r="170">
      <c r="A170" s="116">
        <f>IF(AND(itens_Remanesc!A169="",itens_Remanesc!A168&lt;&gt;"",COUNTIF(itens_Remanesc!A170:$A$200,"&lt;&gt;")=0),"TOTAL",IF(itens_Remanesc!A169="","",itens_Remanesc!A169))</f>
        <v/>
      </c>
      <c r="B170" s="355">
        <f>IF(OR(historico_VU!A169="",historico_VU!C169=""),"",historico_VU!C169)</f>
        <v/>
      </c>
      <c r="C170" s="118">
        <f>IF(posicao_contratual!A169="","",posicao_contratual!G169)</f>
        <v/>
      </c>
      <c r="D170" s="355">
        <f>IF(A170="TOTAL",ROUND(SUM($D$3:D169),2),IF(OR(A170="",B170="",C170=""),"",ROUND(B170*C170,2)))</f>
        <v/>
      </c>
      <c r="E170" s="356">
        <f>IF(OR(historico_VU!A169="",historico_VU!D169=""),"",historico_VU!D169)</f>
        <v/>
      </c>
      <c r="F170" s="120">
        <f>IF(posicao_contratual!A169="","",posicao_contratual!K169)</f>
        <v/>
      </c>
      <c r="G170" s="356">
        <f>IF(A170="TOTAL",ROUND(SUM($G$3:G169),2),IF(OR(A170="",E170="",F170=""),"",ROUND(E170*F170,2)))</f>
        <v/>
      </c>
      <c r="H170" s="355">
        <f>IF(OR(historico_VU!A169="",historico_VU!E169=""),"",historico_VU!E169)</f>
        <v/>
      </c>
      <c r="I170" s="118">
        <f>IF(posicao_contratual!A169="","",posicao_contratual!O169)</f>
        <v/>
      </c>
      <c r="J170" s="355">
        <f>IF(A170="TOTAL",ROUND(SUM($J$3:J169),2),IF(OR(A170="",H170="",I170=""),"",ROUND(H170*I170,2)))</f>
        <v/>
      </c>
      <c r="K170" s="356">
        <f>IF(OR(historico_VU!A169="",historico_VU!F169=""),"",historico_VU!F169)</f>
        <v/>
      </c>
      <c r="L170" s="120">
        <f>IF(posicao_contratual!A169="","",posicao_contratual!S169)</f>
        <v/>
      </c>
      <c r="M170" s="356">
        <f>IF(A170="TOTAL",ROUND(SUM($M$3:M169),2),IF(OR(A170="",K170="",L170=""),"",ROUND(K170*L170,2)))</f>
        <v/>
      </c>
      <c r="N170" s="355">
        <f>IF(OR(historico_VU!A169="",historico_VU!G169=""),"",historico_VU!G169)</f>
        <v/>
      </c>
      <c r="O170" s="118">
        <f>IF(posicao_contratual!A169="","",posicao_contratual!W169)</f>
        <v/>
      </c>
      <c r="P170" s="355">
        <f>IF(A170="TOTAL",ROUND(SUM($P$3:P169),2),IF(OR(A170="",N170="",O170=""),"",ROUND(N170*O170,2)))</f>
        <v/>
      </c>
      <c r="Q170" s="195">
        <f>IF($A170="","",IF(ISERROR(INDIRECT("CICLO_EM_EXECUCAO!$D$5")),"",INDIRECT("CICLO_EM_EXECUCAO!$D$5")))</f>
        <v/>
      </c>
      <c r="R170">
        <f>IF($A170="","",IF(MEMORIA_RESULTADOS!$W$46="","","C"&amp;MEMORIA_RESULTADOS!$W$46))</f>
        <v/>
      </c>
      <c r="S170" s="273">
        <f>IF($A170="","",IF(ISERROR(INDIRECT("CICLO_EM_EXECUCAO!B"&amp;(ROW()+10))),"",INDIRECT("CICLO_EM_EXECUCAO!B"&amp;(ROW()+10))))</f>
        <v/>
      </c>
      <c r="T170" s="273">
        <f>IF($A170="","",IF(ISERROR(INDIRECT("CICLO_EM_EXECUCAO!D"&amp;(ROW()+10))),"",INDIRECT("CICLO_EM_EXECUCAO!D"&amp;(ROW()+10))))</f>
        <v/>
      </c>
      <c r="U170" s="273">
        <f>IF($A170="","",IF(ISERROR(INDIRECT("CICLO_EM_EXECUCAO!C"&amp;(ROW()+10))),"",INDIRECT("CICLO_EM_EXECUCAO!C"&amp;(ROW()+10))))</f>
        <v/>
      </c>
      <c r="V170" s="213">
        <f>IF($A170="","",IF(ISERROR(INDIRECT("CICLO_EM_EXECUCAO!E"&amp;(ROW()+10))),"",INDIRECT("CICLO_EM_EXECUCAO!E"&amp;(ROW()+10))))</f>
        <v/>
      </c>
      <c r="W170" s="213">
        <f>IF($A170="","",IF(ISERROR(INDIRECT("CICLO_EM_EXECUCAO!F"&amp;(ROW()+10))),"",INDIRECT("CICLO_EM_EXECUCAO!F"&amp;(ROW()+10))))</f>
        <v/>
      </c>
      <c r="X170" s="213">
        <f>IF($A170="","",IF(ISERROR(INDIRECT("CICLO_EM_EXECUCAO!G"&amp;(ROW()+10))),"",INDIRECT("CICLO_EM_EXECUCAO!G"&amp;(ROW()+10))))</f>
        <v/>
      </c>
      <c r="Y170">
        <f>IF($A170="","",IF(ISERROR(INDIRECT("CICLO_EM_EXECUCAO!K"&amp;(ROW()+10))),"CICLO_EM_EXECUCAO AUSENTE",INDIRECT("CICLO_EM_EXECUCAO!K"&amp;(ROW()+10))))</f>
        <v/>
      </c>
    </row>
    <row r="171">
      <c r="A171" s="116">
        <f>IF(AND(itens_Remanesc!A170="",itens_Remanesc!A169&lt;&gt;"",COUNTIF(itens_Remanesc!A171:$A$200,"&lt;&gt;")=0),"TOTAL",IF(itens_Remanesc!A170="","",itens_Remanesc!A170))</f>
        <v/>
      </c>
      <c r="B171" s="355">
        <f>IF(OR(historico_VU!A170="",historico_VU!C170=""),"",historico_VU!C170)</f>
        <v/>
      </c>
      <c r="C171" s="118">
        <f>IF(posicao_contratual!A170="","",posicao_contratual!G170)</f>
        <v/>
      </c>
      <c r="D171" s="355">
        <f>IF(A171="TOTAL",ROUND(SUM($D$3:D170),2),IF(OR(A171="",B171="",C171=""),"",ROUND(B171*C171,2)))</f>
        <v/>
      </c>
      <c r="E171" s="356">
        <f>IF(OR(historico_VU!A170="",historico_VU!D170=""),"",historico_VU!D170)</f>
        <v/>
      </c>
      <c r="F171" s="120">
        <f>IF(posicao_contratual!A170="","",posicao_contratual!K170)</f>
        <v/>
      </c>
      <c r="G171" s="356">
        <f>IF(A171="TOTAL",ROUND(SUM($G$3:G170),2),IF(OR(A171="",E171="",F171=""),"",ROUND(E171*F171,2)))</f>
        <v/>
      </c>
      <c r="H171" s="355">
        <f>IF(OR(historico_VU!A170="",historico_VU!E170=""),"",historico_VU!E170)</f>
        <v/>
      </c>
      <c r="I171" s="118">
        <f>IF(posicao_contratual!A170="","",posicao_contratual!O170)</f>
        <v/>
      </c>
      <c r="J171" s="355">
        <f>IF(A171="TOTAL",ROUND(SUM($J$3:J170),2),IF(OR(A171="",H171="",I171=""),"",ROUND(H171*I171,2)))</f>
        <v/>
      </c>
      <c r="K171" s="356">
        <f>IF(OR(historico_VU!A170="",historico_VU!F170=""),"",historico_VU!F170)</f>
        <v/>
      </c>
      <c r="L171" s="120">
        <f>IF(posicao_contratual!A170="","",posicao_contratual!S170)</f>
        <v/>
      </c>
      <c r="M171" s="356">
        <f>IF(A171="TOTAL",ROUND(SUM($M$3:M170),2),IF(OR(A171="",K171="",L171=""),"",ROUND(K171*L171,2)))</f>
        <v/>
      </c>
      <c r="N171" s="355">
        <f>IF(OR(historico_VU!A170="",historico_VU!G170=""),"",historico_VU!G170)</f>
        <v/>
      </c>
      <c r="O171" s="118">
        <f>IF(posicao_contratual!A170="","",posicao_contratual!W170)</f>
        <v/>
      </c>
      <c r="P171" s="355">
        <f>IF(A171="TOTAL",ROUND(SUM($P$3:P170),2),IF(OR(A171="",N171="",O171=""),"",ROUND(N171*O171,2)))</f>
        <v/>
      </c>
      <c r="Q171" s="195">
        <f>IF($A171="","",IF(ISERROR(INDIRECT("CICLO_EM_EXECUCAO!$D$5")),"",INDIRECT("CICLO_EM_EXECUCAO!$D$5")))</f>
        <v/>
      </c>
      <c r="R171">
        <f>IF($A171="","",IF(MEMORIA_RESULTADOS!$W$46="","","C"&amp;MEMORIA_RESULTADOS!$W$46))</f>
        <v/>
      </c>
      <c r="S171" s="273">
        <f>IF($A171="","",IF(ISERROR(INDIRECT("CICLO_EM_EXECUCAO!B"&amp;(ROW()+10))),"",INDIRECT("CICLO_EM_EXECUCAO!B"&amp;(ROW()+10))))</f>
        <v/>
      </c>
      <c r="T171" s="273">
        <f>IF($A171="","",IF(ISERROR(INDIRECT("CICLO_EM_EXECUCAO!D"&amp;(ROW()+10))),"",INDIRECT("CICLO_EM_EXECUCAO!D"&amp;(ROW()+10))))</f>
        <v/>
      </c>
      <c r="U171" s="273">
        <f>IF($A171="","",IF(ISERROR(INDIRECT("CICLO_EM_EXECUCAO!C"&amp;(ROW()+10))),"",INDIRECT("CICLO_EM_EXECUCAO!C"&amp;(ROW()+10))))</f>
        <v/>
      </c>
      <c r="V171" s="213">
        <f>IF($A171="","",IF(ISERROR(INDIRECT("CICLO_EM_EXECUCAO!E"&amp;(ROW()+10))),"",INDIRECT("CICLO_EM_EXECUCAO!E"&amp;(ROW()+10))))</f>
        <v/>
      </c>
      <c r="W171" s="213">
        <f>IF($A171="","",IF(ISERROR(INDIRECT("CICLO_EM_EXECUCAO!F"&amp;(ROW()+10))),"",INDIRECT("CICLO_EM_EXECUCAO!F"&amp;(ROW()+10))))</f>
        <v/>
      </c>
      <c r="X171" s="213">
        <f>IF($A171="","",IF(ISERROR(INDIRECT("CICLO_EM_EXECUCAO!G"&amp;(ROW()+10))),"",INDIRECT("CICLO_EM_EXECUCAO!G"&amp;(ROW()+10))))</f>
        <v/>
      </c>
      <c r="Y171">
        <f>IF($A171="","",IF(ISERROR(INDIRECT("CICLO_EM_EXECUCAO!K"&amp;(ROW()+10))),"CICLO_EM_EXECUCAO AUSENTE",INDIRECT("CICLO_EM_EXECUCAO!K"&amp;(ROW()+10))))</f>
        <v/>
      </c>
    </row>
    <row r="172">
      <c r="A172" s="116">
        <f>IF(AND(itens_Remanesc!A171="",itens_Remanesc!A170&lt;&gt;"",COUNTIF(itens_Remanesc!A172:$A$200,"&lt;&gt;")=0),"TOTAL",IF(itens_Remanesc!A171="","",itens_Remanesc!A171))</f>
        <v/>
      </c>
      <c r="B172" s="355">
        <f>IF(OR(historico_VU!A171="",historico_VU!C171=""),"",historico_VU!C171)</f>
        <v/>
      </c>
      <c r="C172" s="118">
        <f>IF(posicao_contratual!A171="","",posicao_contratual!G171)</f>
        <v/>
      </c>
      <c r="D172" s="355">
        <f>IF(A172="TOTAL",ROUND(SUM($D$3:D171),2),IF(OR(A172="",B172="",C172=""),"",ROUND(B172*C172,2)))</f>
        <v/>
      </c>
      <c r="E172" s="356">
        <f>IF(OR(historico_VU!A171="",historico_VU!D171=""),"",historico_VU!D171)</f>
        <v/>
      </c>
      <c r="F172" s="120">
        <f>IF(posicao_contratual!A171="","",posicao_contratual!K171)</f>
        <v/>
      </c>
      <c r="G172" s="356">
        <f>IF(A172="TOTAL",ROUND(SUM($G$3:G171),2),IF(OR(A172="",E172="",F172=""),"",ROUND(E172*F172,2)))</f>
        <v/>
      </c>
      <c r="H172" s="355">
        <f>IF(OR(historico_VU!A171="",historico_VU!E171=""),"",historico_VU!E171)</f>
        <v/>
      </c>
      <c r="I172" s="118">
        <f>IF(posicao_contratual!A171="","",posicao_contratual!O171)</f>
        <v/>
      </c>
      <c r="J172" s="355">
        <f>IF(A172="TOTAL",ROUND(SUM($J$3:J171),2),IF(OR(A172="",H172="",I172=""),"",ROUND(H172*I172,2)))</f>
        <v/>
      </c>
      <c r="K172" s="356">
        <f>IF(OR(historico_VU!A171="",historico_VU!F171=""),"",historico_VU!F171)</f>
        <v/>
      </c>
      <c r="L172" s="120">
        <f>IF(posicao_contratual!A171="","",posicao_contratual!S171)</f>
        <v/>
      </c>
      <c r="M172" s="356">
        <f>IF(A172="TOTAL",ROUND(SUM($M$3:M171),2),IF(OR(A172="",K172="",L172=""),"",ROUND(K172*L172,2)))</f>
        <v/>
      </c>
      <c r="N172" s="355">
        <f>IF(OR(historico_VU!A171="",historico_VU!G171=""),"",historico_VU!G171)</f>
        <v/>
      </c>
      <c r="O172" s="118">
        <f>IF(posicao_contratual!A171="","",posicao_contratual!W171)</f>
        <v/>
      </c>
      <c r="P172" s="355">
        <f>IF(A172="TOTAL",ROUND(SUM($P$3:P171),2),IF(OR(A172="",N172="",O172=""),"",ROUND(N172*O172,2)))</f>
        <v/>
      </c>
      <c r="Q172" s="195">
        <f>IF($A172="","",IF(ISERROR(INDIRECT("CICLO_EM_EXECUCAO!$D$5")),"",INDIRECT("CICLO_EM_EXECUCAO!$D$5")))</f>
        <v/>
      </c>
      <c r="R172">
        <f>IF($A172="","",IF(MEMORIA_RESULTADOS!$W$46="","","C"&amp;MEMORIA_RESULTADOS!$W$46))</f>
        <v/>
      </c>
      <c r="S172" s="273">
        <f>IF($A172="","",IF(ISERROR(INDIRECT("CICLO_EM_EXECUCAO!B"&amp;(ROW()+10))),"",INDIRECT("CICLO_EM_EXECUCAO!B"&amp;(ROW()+10))))</f>
        <v/>
      </c>
      <c r="T172" s="273">
        <f>IF($A172="","",IF(ISERROR(INDIRECT("CICLO_EM_EXECUCAO!D"&amp;(ROW()+10))),"",INDIRECT("CICLO_EM_EXECUCAO!D"&amp;(ROW()+10))))</f>
        <v/>
      </c>
      <c r="U172" s="273">
        <f>IF($A172="","",IF(ISERROR(INDIRECT("CICLO_EM_EXECUCAO!C"&amp;(ROW()+10))),"",INDIRECT("CICLO_EM_EXECUCAO!C"&amp;(ROW()+10))))</f>
        <v/>
      </c>
      <c r="V172" s="213">
        <f>IF($A172="","",IF(ISERROR(INDIRECT("CICLO_EM_EXECUCAO!E"&amp;(ROW()+10))),"",INDIRECT("CICLO_EM_EXECUCAO!E"&amp;(ROW()+10))))</f>
        <v/>
      </c>
      <c r="W172" s="213">
        <f>IF($A172="","",IF(ISERROR(INDIRECT("CICLO_EM_EXECUCAO!F"&amp;(ROW()+10))),"",INDIRECT("CICLO_EM_EXECUCAO!F"&amp;(ROW()+10))))</f>
        <v/>
      </c>
      <c r="X172" s="213">
        <f>IF($A172="","",IF(ISERROR(INDIRECT("CICLO_EM_EXECUCAO!G"&amp;(ROW()+10))),"",INDIRECT("CICLO_EM_EXECUCAO!G"&amp;(ROW()+10))))</f>
        <v/>
      </c>
      <c r="Y172">
        <f>IF($A172="","",IF(ISERROR(INDIRECT("CICLO_EM_EXECUCAO!K"&amp;(ROW()+10))),"CICLO_EM_EXECUCAO AUSENTE",INDIRECT("CICLO_EM_EXECUCAO!K"&amp;(ROW()+10))))</f>
        <v/>
      </c>
    </row>
    <row r="173">
      <c r="A173" s="116">
        <f>IF(AND(itens_Remanesc!A172="",itens_Remanesc!A171&lt;&gt;"",COUNTIF(itens_Remanesc!A173:$A$200,"&lt;&gt;")=0),"TOTAL",IF(itens_Remanesc!A172="","",itens_Remanesc!A172))</f>
        <v/>
      </c>
      <c r="B173" s="355">
        <f>IF(OR(historico_VU!A172="",historico_VU!C172=""),"",historico_VU!C172)</f>
        <v/>
      </c>
      <c r="C173" s="118">
        <f>IF(posicao_contratual!A172="","",posicao_contratual!G172)</f>
        <v/>
      </c>
      <c r="D173" s="355">
        <f>IF(A173="TOTAL",ROUND(SUM($D$3:D172),2),IF(OR(A173="",B173="",C173=""),"",ROUND(B173*C173,2)))</f>
        <v/>
      </c>
      <c r="E173" s="356">
        <f>IF(OR(historico_VU!A172="",historico_VU!D172=""),"",historico_VU!D172)</f>
        <v/>
      </c>
      <c r="F173" s="120">
        <f>IF(posicao_contratual!A172="","",posicao_contratual!K172)</f>
        <v/>
      </c>
      <c r="G173" s="356">
        <f>IF(A173="TOTAL",ROUND(SUM($G$3:G172),2),IF(OR(A173="",E173="",F173=""),"",ROUND(E173*F173,2)))</f>
        <v/>
      </c>
      <c r="H173" s="355">
        <f>IF(OR(historico_VU!A172="",historico_VU!E172=""),"",historico_VU!E172)</f>
        <v/>
      </c>
      <c r="I173" s="118">
        <f>IF(posicao_contratual!A172="","",posicao_contratual!O172)</f>
        <v/>
      </c>
      <c r="J173" s="355">
        <f>IF(A173="TOTAL",ROUND(SUM($J$3:J172),2),IF(OR(A173="",H173="",I173=""),"",ROUND(H173*I173,2)))</f>
        <v/>
      </c>
      <c r="K173" s="356">
        <f>IF(OR(historico_VU!A172="",historico_VU!F172=""),"",historico_VU!F172)</f>
        <v/>
      </c>
      <c r="L173" s="120">
        <f>IF(posicao_contratual!A172="","",posicao_contratual!S172)</f>
        <v/>
      </c>
      <c r="M173" s="356">
        <f>IF(A173="TOTAL",ROUND(SUM($M$3:M172),2),IF(OR(A173="",K173="",L173=""),"",ROUND(K173*L173,2)))</f>
        <v/>
      </c>
      <c r="N173" s="355">
        <f>IF(OR(historico_VU!A172="",historico_VU!G172=""),"",historico_VU!G172)</f>
        <v/>
      </c>
      <c r="O173" s="118">
        <f>IF(posicao_contratual!A172="","",posicao_contratual!W172)</f>
        <v/>
      </c>
      <c r="P173" s="355">
        <f>IF(A173="TOTAL",ROUND(SUM($P$3:P172),2),IF(OR(A173="",N173="",O173=""),"",ROUND(N173*O173,2)))</f>
        <v/>
      </c>
      <c r="Q173" s="195">
        <f>IF($A173="","",IF(ISERROR(INDIRECT("CICLO_EM_EXECUCAO!$D$5")),"",INDIRECT("CICLO_EM_EXECUCAO!$D$5")))</f>
        <v/>
      </c>
      <c r="R173">
        <f>IF($A173="","",IF(MEMORIA_RESULTADOS!$W$46="","","C"&amp;MEMORIA_RESULTADOS!$W$46))</f>
        <v/>
      </c>
      <c r="S173" s="273">
        <f>IF($A173="","",IF(ISERROR(INDIRECT("CICLO_EM_EXECUCAO!B"&amp;(ROW()+10))),"",INDIRECT("CICLO_EM_EXECUCAO!B"&amp;(ROW()+10))))</f>
        <v/>
      </c>
      <c r="T173" s="273">
        <f>IF($A173="","",IF(ISERROR(INDIRECT("CICLO_EM_EXECUCAO!D"&amp;(ROW()+10))),"",INDIRECT("CICLO_EM_EXECUCAO!D"&amp;(ROW()+10))))</f>
        <v/>
      </c>
      <c r="U173" s="273">
        <f>IF($A173="","",IF(ISERROR(INDIRECT("CICLO_EM_EXECUCAO!C"&amp;(ROW()+10))),"",INDIRECT("CICLO_EM_EXECUCAO!C"&amp;(ROW()+10))))</f>
        <v/>
      </c>
      <c r="V173" s="213">
        <f>IF($A173="","",IF(ISERROR(INDIRECT("CICLO_EM_EXECUCAO!E"&amp;(ROW()+10))),"",INDIRECT("CICLO_EM_EXECUCAO!E"&amp;(ROW()+10))))</f>
        <v/>
      </c>
      <c r="W173" s="213">
        <f>IF($A173="","",IF(ISERROR(INDIRECT("CICLO_EM_EXECUCAO!F"&amp;(ROW()+10))),"",INDIRECT("CICLO_EM_EXECUCAO!F"&amp;(ROW()+10))))</f>
        <v/>
      </c>
      <c r="X173" s="213">
        <f>IF($A173="","",IF(ISERROR(INDIRECT("CICLO_EM_EXECUCAO!G"&amp;(ROW()+10))),"",INDIRECT("CICLO_EM_EXECUCAO!G"&amp;(ROW()+10))))</f>
        <v/>
      </c>
      <c r="Y173">
        <f>IF($A173="","",IF(ISERROR(INDIRECT("CICLO_EM_EXECUCAO!K"&amp;(ROW()+10))),"CICLO_EM_EXECUCAO AUSENTE",INDIRECT("CICLO_EM_EXECUCAO!K"&amp;(ROW()+10))))</f>
        <v/>
      </c>
    </row>
    <row r="174">
      <c r="A174" s="116">
        <f>IF(AND(itens_Remanesc!A173="",itens_Remanesc!A172&lt;&gt;"",COUNTIF(itens_Remanesc!A174:$A$200,"&lt;&gt;")=0),"TOTAL",IF(itens_Remanesc!A173="","",itens_Remanesc!A173))</f>
        <v/>
      </c>
      <c r="B174" s="355">
        <f>IF(OR(historico_VU!A173="",historico_VU!C173=""),"",historico_VU!C173)</f>
        <v/>
      </c>
      <c r="C174" s="118">
        <f>IF(posicao_contratual!A173="","",posicao_contratual!G173)</f>
        <v/>
      </c>
      <c r="D174" s="355">
        <f>IF(A174="TOTAL",ROUND(SUM($D$3:D173),2),IF(OR(A174="",B174="",C174=""),"",ROUND(B174*C174,2)))</f>
        <v/>
      </c>
      <c r="E174" s="356">
        <f>IF(OR(historico_VU!A173="",historico_VU!D173=""),"",historico_VU!D173)</f>
        <v/>
      </c>
      <c r="F174" s="120">
        <f>IF(posicao_contratual!A173="","",posicao_contratual!K173)</f>
        <v/>
      </c>
      <c r="G174" s="356">
        <f>IF(A174="TOTAL",ROUND(SUM($G$3:G173),2),IF(OR(A174="",E174="",F174=""),"",ROUND(E174*F174,2)))</f>
        <v/>
      </c>
      <c r="H174" s="355">
        <f>IF(OR(historico_VU!A173="",historico_VU!E173=""),"",historico_VU!E173)</f>
        <v/>
      </c>
      <c r="I174" s="118">
        <f>IF(posicao_contratual!A173="","",posicao_contratual!O173)</f>
        <v/>
      </c>
      <c r="J174" s="355">
        <f>IF(A174="TOTAL",ROUND(SUM($J$3:J173),2),IF(OR(A174="",H174="",I174=""),"",ROUND(H174*I174,2)))</f>
        <v/>
      </c>
      <c r="K174" s="356">
        <f>IF(OR(historico_VU!A173="",historico_VU!F173=""),"",historico_VU!F173)</f>
        <v/>
      </c>
      <c r="L174" s="120">
        <f>IF(posicao_contratual!A173="","",posicao_contratual!S173)</f>
        <v/>
      </c>
      <c r="M174" s="356">
        <f>IF(A174="TOTAL",ROUND(SUM($M$3:M173),2),IF(OR(A174="",K174="",L174=""),"",ROUND(K174*L174,2)))</f>
        <v/>
      </c>
      <c r="N174" s="355">
        <f>IF(OR(historico_VU!A173="",historico_VU!G173=""),"",historico_VU!G173)</f>
        <v/>
      </c>
      <c r="O174" s="118">
        <f>IF(posicao_contratual!A173="","",posicao_contratual!W173)</f>
        <v/>
      </c>
      <c r="P174" s="355">
        <f>IF(A174="TOTAL",ROUND(SUM($P$3:P173),2),IF(OR(A174="",N174="",O174=""),"",ROUND(N174*O174,2)))</f>
        <v/>
      </c>
      <c r="Q174" s="195">
        <f>IF($A174="","",IF(ISERROR(INDIRECT("CICLO_EM_EXECUCAO!$D$5")),"",INDIRECT("CICLO_EM_EXECUCAO!$D$5")))</f>
        <v/>
      </c>
      <c r="R174">
        <f>IF($A174="","",IF(MEMORIA_RESULTADOS!$W$46="","","C"&amp;MEMORIA_RESULTADOS!$W$46))</f>
        <v/>
      </c>
      <c r="S174" s="273">
        <f>IF($A174="","",IF(ISERROR(INDIRECT("CICLO_EM_EXECUCAO!B"&amp;(ROW()+10))),"",INDIRECT("CICLO_EM_EXECUCAO!B"&amp;(ROW()+10))))</f>
        <v/>
      </c>
      <c r="T174" s="273">
        <f>IF($A174="","",IF(ISERROR(INDIRECT("CICLO_EM_EXECUCAO!D"&amp;(ROW()+10))),"",INDIRECT("CICLO_EM_EXECUCAO!D"&amp;(ROW()+10))))</f>
        <v/>
      </c>
      <c r="U174" s="273">
        <f>IF($A174="","",IF(ISERROR(INDIRECT("CICLO_EM_EXECUCAO!C"&amp;(ROW()+10))),"",INDIRECT("CICLO_EM_EXECUCAO!C"&amp;(ROW()+10))))</f>
        <v/>
      </c>
      <c r="V174" s="213">
        <f>IF($A174="","",IF(ISERROR(INDIRECT("CICLO_EM_EXECUCAO!E"&amp;(ROW()+10))),"",INDIRECT("CICLO_EM_EXECUCAO!E"&amp;(ROW()+10))))</f>
        <v/>
      </c>
      <c r="W174" s="213">
        <f>IF($A174="","",IF(ISERROR(INDIRECT("CICLO_EM_EXECUCAO!F"&amp;(ROW()+10))),"",INDIRECT("CICLO_EM_EXECUCAO!F"&amp;(ROW()+10))))</f>
        <v/>
      </c>
      <c r="X174" s="213">
        <f>IF($A174="","",IF(ISERROR(INDIRECT("CICLO_EM_EXECUCAO!G"&amp;(ROW()+10))),"",INDIRECT("CICLO_EM_EXECUCAO!G"&amp;(ROW()+10))))</f>
        <v/>
      </c>
      <c r="Y174">
        <f>IF($A174="","",IF(ISERROR(INDIRECT("CICLO_EM_EXECUCAO!K"&amp;(ROW()+10))),"CICLO_EM_EXECUCAO AUSENTE",INDIRECT("CICLO_EM_EXECUCAO!K"&amp;(ROW()+10))))</f>
        <v/>
      </c>
    </row>
    <row r="175">
      <c r="A175" s="116">
        <f>IF(AND(itens_Remanesc!A174="",itens_Remanesc!A173&lt;&gt;"",COUNTIF(itens_Remanesc!A175:$A$200,"&lt;&gt;")=0),"TOTAL",IF(itens_Remanesc!A174="","",itens_Remanesc!A174))</f>
        <v/>
      </c>
      <c r="B175" s="355">
        <f>IF(OR(historico_VU!A174="",historico_VU!C174=""),"",historico_VU!C174)</f>
        <v/>
      </c>
      <c r="C175" s="118">
        <f>IF(posicao_contratual!A174="","",posicao_contratual!G174)</f>
        <v/>
      </c>
      <c r="D175" s="355">
        <f>IF(A175="TOTAL",ROUND(SUM($D$3:D174),2),IF(OR(A175="",B175="",C175=""),"",ROUND(B175*C175,2)))</f>
        <v/>
      </c>
      <c r="E175" s="356">
        <f>IF(OR(historico_VU!A174="",historico_VU!D174=""),"",historico_VU!D174)</f>
        <v/>
      </c>
      <c r="F175" s="120">
        <f>IF(posicao_contratual!A174="","",posicao_contratual!K174)</f>
        <v/>
      </c>
      <c r="G175" s="356">
        <f>IF(A175="TOTAL",ROUND(SUM($G$3:G174),2),IF(OR(A175="",E175="",F175=""),"",ROUND(E175*F175,2)))</f>
        <v/>
      </c>
      <c r="H175" s="355">
        <f>IF(OR(historico_VU!A174="",historico_VU!E174=""),"",historico_VU!E174)</f>
        <v/>
      </c>
      <c r="I175" s="118">
        <f>IF(posicao_contratual!A174="","",posicao_contratual!O174)</f>
        <v/>
      </c>
      <c r="J175" s="355">
        <f>IF(A175="TOTAL",ROUND(SUM($J$3:J174),2),IF(OR(A175="",H175="",I175=""),"",ROUND(H175*I175,2)))</f>
        <v/>
      </c>
      <c r="K175" s="356">
        <f>IF(OR(historico_VU!A174="",historico_VU!F174=""),"",historico_VU!F174)</f>
        <v/>
      </c>
      <c r="L175" s="120">
        <f>IF(posicao_contratual!A174="","",posicao_contratual!S174)</f>
        <v/>
      </c>
      <c r="M175" s="356">
        <f>IF(A175="TOTAL",ROUND(SUM($M$3:M174),2),IF(OR(A175="",K175="",L175=""),"",ROUND(K175*L175,2)))</f>
        <v/>
      </c>
      <c r="N175" s="355">
        <f>IF(OR(historico_VU!A174="",historico_VU!G174=""),"",historico_VU!G174)</f>
        <v/>
      </c>
      <c r="O175" s="118">
        <f>IF(posicao_contratual!A174="","",posicao_contratual!W174)</f>
        <v/>
      </c>
      <c r="P175" s="355">
        <f>IF(A175="TOTAL",ROUND(SUM($P$3:P174),2),IF(OR(A175="",N175="",O175=""),"",ROUND(N175*O175,2)))</f>
        <v/>
      </c>
      <c r="Q175" s="195">
        <f>IF($A175="","",IF(ISERROR(INDIRECT("CICLO_EM_EXECUCAO!$D$5")),"",INDIRECT("CICLO_EM_EXECUCAO!$D$5")))</f>
        <v/>
      </c>
      <c r="R175">
        <f>IF($A175="","",IF(MEMORIA_RESULTADOS!$W$46="","","C"&amp;MEMORIA_RESULTADOS!$W$46))</f>
        <v/>
      </c>
      <c r="S175" s="273">
        <f>IF($A175="","",IF(ISERROR(INDIRECT("CICLO_EM_EXECUCAO!B"&amp;(ROW()+10))),"",INDIRECT("CICLO_EM_EXECUCAO!B"&amp;(ROW()+10))))</f>
        <v/>
      </c>
      <c r="T175" s="273">
        <f>IF($A175="","",IF(ISERROR(INDIRECT("CICLO_EM_EXECUCAO!D"&amp;(ROW()+10))),"",INDIRECT("CICLO_EM_EXECUCAO!D"&amp;(ROW()+10))))</f>
        <v/>
      </c>
      <c r="U175" s="273">
        <f>IF($A175="","",IF(ISERROR(INDIRECT("CICLO_EM_EXECUCAO!C"&amp;(ROW()+10))),"",INDIRECT("CICLO_EM_EXECUCAO!C"&amp;(ROW()+10))))</f>
        <v/>
      </c>
      <c r="V175" s="213">
        <f>IF($A175="","",IF(ISERROR(INDIRECT("CICLO_EM_EXECUCAO!E"&amp;(ROW()+10))),"",INDIRECT("CICLO_EM_EXECUCAO!E"&amp;(ROW()+10))))</f>
        <v/>
      </c>
      <c r="W175" s="213">
        <f>IF($A175="","",IF(ISERROR(INDIRECT("CICLO_EM_EXECUCAO!F"&amp;(ROW()+10))),"",INDIRECT("CICLO_EM_EXECUCAO!F"&amp;(ROW()+10))))</f>
        <v/>
      </c>
      <c r="X175" s="213">
        <f>IF($A175="","",IF(ISERROR(INDIRECT("CICLO_EM_EXECUCAO!G"&amp;(ROW()+10))),"",INDIRECT("CICLO_EM_EXECUCAO!G"&amp;(ROW()+10))))</f>
        <v/>
      </c>
      <c r="Y175">
        <f>IF($A175="","",IF(ISERROR(INDIRECT("CICLO_EM_EXECUCAO!K"&amp;(ROW()+10))),"CICLO_EM_EXECUCAO AUSENTE",INDIRECT("CICLO_EM_EXECUCAO!K"&amp;(ROW()+10))))</f>
        <v/>
      </c>
    </row>
    <row r="176">
      <c r="A176" s="116">
        <f>IF(AND(itens_Remanesc!A175="",itens_Remanesc!A174&lt;&gt;"",COUNTIF(itens_Remanesc!A176:$A$200,"&lt;&gt;")=0),"TOTAL",IF(itens_Remanesc!A175="","",itens_Remanesc!A175))</f>
        <v/>
      </c>
      <c r="B176" s="355">
        <f>IF(OR(historico_VU!A175="",historico_VU!C175=""),"",historico_VU!C175)</f>
        <v/>
      </c>
      <c r="C176" s="118">
        <f>IF(posicao_contratual!A175="","",posicao_contratual!G175)</f>
        <v/>
      </c>
      <c r="D176" s="355">
        <f>IF(A176="TOTAL",ROUND(SUM($D$3:D175),2),IF(OR(A176="",B176="",C176=""),"",ROUND(B176*C176,2)))</f>
        <v/>
      </c>
      <c r="E176" s="356">
        <f>IF(OR(historico_VU!A175="",historico_VU!D175=""),"",historico_VU!D175)</f>
        <v/>
      </c>
      <c r="F176" s="120">
        <f>IF(posicao_contratual!A175="","",posicao_contratual!K175)</f>
        <v/>
      </c>
      <c r="G176" s="356">
        <f>IF(A176="TOTAL",ROUND(SUM($G$3:G175),2),IF(OR(A176="",E176="",F176=""),"",ROUND(E176*F176,2)))</f>
        <v/>
      </c>
      <c r="H176" s="355">
        <f>IF(OR(historico_VU!A175="",historico_VU!E175=""),"",historico_VU!E175)</f>
        <v/>
      </c>
      <c r="I176" s="118">
        <f>IF(posicao_contratual!A175="","",posicao_contratual!O175)</f>
        <v/>
      </c>
      <c r="J176" s="355">
        <f>IF(A176="TOTAL",ROUND(SUM($J$3:J175),2),IF(OR(A176="",H176="",I176=""),"",ROUND(H176*I176,2)))</f>
        <v/>
      </c>
      <c r="K176" s="356">
        <f>IF(OR(historico_VU!A175="",historico_VU!F175=""),"",historico_VU!F175)</f>
        <v/>
      </c>
      <c r="L176" s="120">
        <f>IF(posicao_contratual!A175="","",posicao_contratual!S175)</f>
        <v/>
      </c>
      <c r="M176" s="356">
        <f>IF(A176="TOTAL",ROUND(SUM($M$3:M175),2),IF(OR(A176="",K176="",L176=""),"",ROUND(K176*L176,2)))</f>
        <v/>
      </c>
      <c r="N176" s="355">
        <f>IF(OR(historico_VU!A175="",historico_VU!G175=""),"",historico_VU!G175)</f>
        <v/>
      </c>
      <c r="O176" s="118">
        <f>IF(posicao_contratual!A175="","",posicao_contratual!W175)</f>
        <v/>
      </c>
      <c r="P176" s="355">
        <f>IF(A176="TOTAL",ROUND(SUM($P$3:P175),2),IF(OR(A176="",N176="",O176=""),"",ROUND(N176*O176,2)))</f>
        <v/>
      </c>
      <c r="Q176" s="195">
        <f>IF($A176="","",IF(ISERROR(INDIRECT("CICLO_EM_EXECUCAO!$D$5")),"",INDIRECT("CICLO_EM_EXECUCAO!$D$5")))</f>
        <v/>
      </c>
      <c r="R176">
        <f>IF($A176="","",IF(MEMORIA_RESULTADOS!$W$46="","","C"&amp;MEMORIA_RESULTADOS!$W$46))</f>
        <v/>
      </c>
      <c r="S176" s="273">
        <f>IF($A176="","",IF(ISERROR(INDIRECT("CICLO_EM_EXECUCAO!B"&amp;(ROW()+10))),"",INDIRECT("CICLO_EM_EXECUCAO!B"&amp;(ROW()+10))))</f>
        <v/>
      </c>
      <c r="T176" s="273">
        <f>IF($A176="","",IF(ISERROR(INDIRECT("CICLO_EM_EXECUCAO!D"&amp;(ROW()+10))),"",INDIRECT("CICLO_EM_EXECUCAO!D"&amp;(ROW()+10))))</f>
        <v/>
      </c>
      <c r="U176" s="273">
        <f>IF($A176="","",IF(ISERROR(INDIRECT("CICLO_EM_EXECUCAO!C"&amp;(ROW()+10))),"",INDIRECT("CICLO_EM_EXECUCAO!C"&amp;(ROW()+10))))</f>
        <v/>
      </c>
      <c r="V176" s="213">
        <f>IF($A176="","",IF(ISERROR(INDIRECT("CICLO_EM_EXECUCAO!E"&amp;(ROW()+10))),"",INDIRECT("CICLO_EM_EXECUCAO!E"&amp;(ROW()+10))))</f>
        <v/>
      </c>
      <c r="W176" s="213">
        <f>IF($A176="","",IF(ISERROR(INDIRECT("CICLO_EM_EXECUCAO!F"&amp;(ROW()+10))),"",INDIRECT("CICLO_EM_EXECUCAO!F"&amp;(ROW()+10))))</f>
        <v/>
      </c>
      <c r="X176" s="213">
        <f>IF($A176="","",IF(ISERROR(INDIRECT("CICLO_EM_EXECUCAO!G"&amp;(ROW()+10))),"",INDIRECT("CICLO_EM_EXECUCAO!G"&amp;(ROW()+10))))</f>
        <v/>
      </c>
      <c r="Y176">
        <f>IF($A176="","",IF(ISERROR(INDIRECT("CICLO_EM_EXECUCAO!K"&amp;(ROW()+10))),"CICLO_EM_EXECUCAO AUSENTE",INDIRECT("CICLO_EM_EXECUCAO!K"&amp;(ROW()+10))))</f>
        <v/>
      </c>
    </row>
    <row r="177">
      <c r="A177" s="116">
        <f>IF(AND(itens_Remanesc!A176="",itens_Remanesc!A175&lt;&gt;"",COUNTIF(itens_Remanesc!A177:$A$200,"&lt;&gt;")=0),"TOTAL",IF(itens_Remanesc!A176="","",itens_Remanesc!A176))</f>
        <v/>
      </c>
      <c r="B177" s="355">
        <f>IF(OR(historico_VU!A176="",historico_VU!C176=""),"",historico_VU!C176)</f>
        <v/>
      </c>
      <c r="C177" s="118">
        <f>IF(posicao_contratual!A176="","",posicao_contratual!G176)</f>
        <v/>
      </c>
      <c r="D177" s="355">
        <f>IF(A177="TOTAL",ROUND(SUM($D$3:D176),2),IF(OR(A177="",B177="",C177=""),"",ROUND(B177*C177,2)))</f>
        <v/>
      </c>
      <c r="E177" s="356">
        <f>IF(OR(historico_VU!A176="",historico_VU!D176=""),"",historico_VU!D176)</f>
        <v/>
      </c>
      <c r="F177" s="120">
        <f>IF(posicao_contratual!A176="","",posicao_contratual!K176)</f>
        <v/>
      </c>
      <c r="G177" s="356">
        <f>IF(A177="TOTAL",ROUND(SUM($G$3:G176),2),IF(OR(A177="",E177="",F177=""),"",ROUND(E177*F177,2)))</f>
        <v/>
      </c>
      <c r="H177" s="355">
        <f>IF(OR(historico_VU!A176="",historico_VU!E176=""),"",historico_VU!E176)</f>
        <v/>
      </c>
      <c r="I177" s="118">
        <f>IF(posicao_contratual!A176="","",posicao_contratual!O176)</f>
        <v/>
      </c>
      <c r="J177" s="355">
        <f>IF(A177="TOTAL",ROUND(SUM($J$3:J176),2),IF(OR(A177="",H177="",I177=""),"",ROUND(H177*I177,2)))</f>
        <v/>
      </c>
      <c r="K177" s="356">
        <f>IF(OR(historico_VU!A176="",historico_VU!F176=""),"",historico_VU!F176)</f>
        <v/>
      </c>
      <c r="L177" s="120">
        <f>IF(posicao_contratual!A176="","",posicao_contratual!S176)</f>
        <v/>
      </c>
      <c r="M177" s="356">
        <f>IF(A177="TOTAL",ROUND(SUM($M$3:M176),2),IF(OR(A177="",K177="",L177=""),"",ROUND(K177*L177,2)))</f>
        <v/>
      </c>
      <c r="N177" s="355">
        <f>IF(OR(historico_VU!A176="",historico_VU!G176=""),"",historico_VU!G176)</f>
        <v/>
      </c>
      <c r="O177" s="118">
        <f>IF(posicao_contratual!A176="","",posicao_contratual!W176)</f>
        <v/>
      </c>
      <c r="P177" s="355">
        <f>IF(A177="TOTAL",ROUND(SUM($P$3:P176),2),IF(OR(A177="",N177="",O177=""),"",ROUND(N177*O177,2)))</f>
        <v/>
      </c>
      <c r="Q177" s="195">
        <f>IF($A177="","",IF(ISERROR(INDIRECT("CICLO_EM_EXECUCAO!$D$5")),"",INDIRECT("CICLO_EM_EXECUCAO!$D$5")))</f>
        <v/>
      </c>
      <c r="R177">
        <f>IF($A177="","",IF(MEMORIA_RESULTADOS!$W$46="","","C"&amp;MEMORIA_RESULTADOS!$W$46))</f>
        <v/>
      </c>
      <c r="S177" s="273">
        <f>IF($A177="","",IF(ISERROR(INDIRECT("CICLO_EM_EXECUCAO!B"&amp;(ROW()+10))),"",INDIRECT("CICLO_EM_EXECUCAO!B"&amp;(ROW()+10))))</f>
        <v/>
      </c>
      <c r="T177" s="273">
        <f>IF($A177="","",IF(ISERROR(INDIRECT("CICLO_EM_EXECUCAO!D"&amp;(ROW()+10))),"",INDIRECT("CICLO_EM_EXECUCAO!D"&amp;(ROW()+10))))</f>
        <v/>
      </c>
      <c r="U177" s="273">
        <f>IF($A177="","",IF(ISERROR(INDIRECT("CICLO_EM_EXECUCAO!C"&amp;(ROW()+10))),"",INDIRECT("CICLO_EM_EXECUCAO!C"&amp;(ROW()+10))))</f>
        <v/>
      </c>
      <c r="V177" s="213">
        <f>IF($A177="","",IF(ISERROR(INDIRECT("CICLO_EM_EXECUCAO!E"&amp;(ROW()+10))),"",INDIRECT("CICLO_EM_EXECUCAO!E"&amp;(ROW()+10))))</f>
        <v/>
      </c>
      <c r="W177" s="213">
        <f>IF($A177="","",IF(ISERROR(INDIRECT("CICLO_EM_EXECUCAO!F"&amp;(ROW()+10))),"",INDIRECT("CICLO_EM_EXECUCAO!F"&amp;(ROW()+10))))</f>
        <v/>
      </c>
      <c r="X177" s="213">
        <f>IF($A177="","",IF(ISERROR(INDIRECT("CICLO_EM_EXECUCAO!G"&amp;(ROW()+10))),"",INDIRECT("CICLO_EM_EXECUCAO!G"&amp;(ROW()+10))))</f>
        <v/>
      </c>
      <c r="Y177">
        <f>IF($A177="","",IF(ISERROR(INDIRECT("CICLO_EM_EXECUCAO!K"&amp;(ROW()+10))),"CICLO_EM_EXECUCAO AUSENTE",INDIRECT("CICLO_EM_EXECUCAO!K"&amp;(ROW()+10))))</f>
        <v/>
      </c>
    </row>
    <row r="178">
      <c r="A178" s="116">
        <f>IF(AND(itens_Remanesc!A177="",itens_Remanesc!A176&lt;&gt;"",COUNTIF(itens_Remanesc!A178:$A$200,"&lt;&gt;")=0),"TOTAL",IF(itens_Remanesc!A177="","",itens_Remanesc!A177))</f>
        <v/>
      </c>
      <c r="B178" s="355">
        <f>IF(OR(historico_VU!A177="",historico_VU!C177=""),"",historico_VU!C177)</f>
        <v/>
      </c>
      <c r="C178" s="118">
        <f>IF(posicao_contratual!A177="","",posicao_contratual!G177)</f>
        <v/>
      </c>
      <c r="D178" s="355">
        <f>IF(A178="TOTAL",ROUND(SUM($D$3:D177),2),IF(OR(A178="",B178="",C178=""),"",ROUND(B178*C178,2)))</f>
        <v/>
      </c>
      <c r="E178" s="356">
        <f>IF(OR(historico_VU!A177="",historico_VU!D177=""),"",historico_VU!D177)</f>
        <v/>
      </c>
      <c r="F178" s="120">
        <f>IF(posicao_contratual!A177="","",posicao_contratual!K177)</f>
        <v/>
      </c>
      <c r="G178" s="356">
        <f>IF(A178="TOTAL",ROUND(SUM($G$3:G177),2),IF(OR(A178="",E178="",F178=""),"",ROUND(E178*F178,2)))</f>
        <v/>
      </c>
      <c r="H178" s="355">
        <f>IF(OR(historico_VU!A177="",historico_VU!E177=""),"",historico_VU!E177)</f>
        <v/>
      </c>
      <c r="I178" s="118">
        <f>IF(posicao_contratual!A177="","",posicao_contratual!O177)</f>
        <v/>
      </c>
      <c r="J178" s="355">
        <f>IF(A178="TOTAL",ROUND(SUM($J$3:J177),2),IF(OR(A178="",H178="",I178=""),"",ROUND(H178*I178,2)))</f>
        <v/>
      </c>
      <c r="K178" s="356">
        <f>IF(OR(historico_VU!A177="",historico_VU!F177=""),"",historico_VU!F177)</f>
        <v/>
      </c>
      <c r="L178" s="120">
        <f>IF(posicao_contratual!A177="","",posicao_contratual!S177)</f>
        <v/>
      </c>
      <c r="M178" s="356">
        <f>IF(A178="TOTAL",ROUND(SUM($M$3:M177),2),IF(OR(A178="",K178="",L178=""),"",ROUND(K178*L178,2)))</f>
        <v/>
      </c>
      <c r="N178" s="355">
        <f>IF(OR(historico_VU!A177="",historico_VU!G177=""),"",historico_VU!G177)</f>
        <v/>
      </c>
      <c r="O178" s="118">
        <f>IF(posicao_contratual!A177="","",posicao_contratual!W177)</f>
        <v/>
      </c>
      <c r="P178" s="355">
        <f>IF(A178="TOTAL",ROUND(SUM($P$3:P177),2),IF(OR(A178="",N178="",O178=""),"",ROUND(N178*O178,2)))</f>
        <v/>
      </c>
      <c r="Q178" s="195">
        <f>IF($A178="","",IF(ISERROR(INDIRECT("CICLO_EM_EXECUCAO!$D$5")),"",INDIRECT("CICLO_EM_EXECUCAO!$D$5")))</f>
        <v/>
      </c>
      <c r="R178">
        <f>IF($A178="","",IF(MEMORIA_RESULTADOS!$W$46="","","C"&amp;MEMORIA_RESULTADOS!$W$46))</f>
        <v/>
      </c>
      <c r="S178" s="273">
        <f>IF($A178="","",IF(ISERROR(INDIRECT("CICLO_EM_EXECUCAO!B"&amp;(ROW()+10))),"",INDIRECT("CICLO_EM_EXECUCAO!B"&amp;(ROW()+10))))</f>
        <v/>
      </c>
      <c r="T178" s="273">
        <f>IF($A178="","",IF(ISERROR(INDIRECT("CICLO_EM_EXECUCAO!D"&amp;(ROW()+10))),"",INDIRECT("CICLO_EM_EXECUCAO!D"&amp;(ROW()+10))))</f>
        <v/>
      </c>
      <c r="U178" s="273">
        <f>IF($A178="","",IF(ISERROR(INDIRECT("CICLO_EM_EXECUCAO!C"&amp;(ROW()+10))),"",INDIRECT("CICLO_EM_EXECUCAO!C"&amp;(ROW()+10))))</f>
        <v/>
      </c>
      <c r="V178" s="213">
        <f>IF($A178="","",IF(ISERROR(INDIRECT("CICLO_EM_EXECUCAO!E"&amp;(ROW()+10))),"",INDIRECT("CICLO_EM_EXECUCAO!E"&amp;(ROW()+10))))</f>
        <v/>
      </c>
      <c r="W178" s="213">
        <f>IF($A178="","",IF(ISERROR(INDIRECT("CICLO_EM_EXECUCAO!F"&amp;(ROW()+10))),"",INDIRECT("CICLO_EM_EXECUCAO!F"&amp;(ROW()+10))))</f>
        <v/>
      </c>
      <c r="X178" s="213">
        <f>IF($A178="","",IF(ISERROR(INDIRECT("CICLO_EM_EXECUCAO!G"&amp;(ROW()+10))),"",INDIRECT("CICLO_EM_EXECUCAO!G"&amp;(ROW()+10))))</f>
        <v/>
      </c>
      <c r="Y178">
        <f>IF($A178="","",IF(ISERROR(INDIRECT("CICLO_EM_EXECUCAO!K"&amp;(ROW()+10))),"CICLO_EM_EXECUCAO AUSENTE",INDIRECT("CICLO_EM_EXECUCAO!K"&amp;(ROW()+10))))</f>
        <v/>
      </c>
    </row>
    <row r="179">
      <c r="A179" s="116">
        <f>IF(AND(itens_Remanesc!A178="",itens_Remanesc!A177&lt;&gt;"",COUNTIF(itens_Remanesc!A179:$A$200,"&lt;&gt;")=0),"TOTAL",IF(itens_Remanesc!A178="","",itens_Remanesc!A178))</f>
        <v/>
      </c>
      <c r="B179" s="355">
        <f>IF(OR(historico_VU!A178="",historico_VU!C178=""),"",historico_VU!C178)</f>
        <v/>
      </c>
      <c r="C179" s="118">
        <f>IF(posicao_contratual!A178="","",posicao_contratual!G178)</f>
        <v/>
      </c>
      <c r="D179" s="355">
        <f>IF(A179="TOTAL",ROUND(SUM($D$3:D178),2),IF(OR(A179="",B179="",C179=""),"",ROUND(B179*C179,2)))</f>
        <v/>
      </c>
      <c r="E179" s="356">
        <f>IF(OR(historico_VU!A178="",historico_VU!D178=""),"",historico_VU!D178)</f>
        <v/>
      </c>
      <c r="F179" s="120">
        <f>IF(posicao_contratual!A178="","",posicao_contratual!K178)</f>
        <v/>
      </c>
      <c r="G179" s="356">
        <f>IF(A179="TOTAL",ROUND(SUM($G$3:G178),2),IF(OR(A179="",E179="",F179=""),"",ROUND(E179*F179,2)))</f>
        <v/>
      </c>
      <c r="H179" s="355">
        <f>IF(OR(historico_VU!A178="",historico_VU!E178=""),"",historico_VU!E178)</f>
        <v/>
      </c>
      <c r="I179" s="118">
        <f>IF(posicao_contratual!A178="","",posicao_contratual!O178)</f>
        <v/>
      </c>
      <c r="J179" s="355">
        <f>IF(A179="TOTAL",ROUND(SUM($J$3:J178),2),IF(OR(A179="",H179="",I179=""),"",ROUND(H179*I179,2)))</f>
        <v/>
      </c>
      <c r="K179" s="356">
        <f>IF(OR(historico_VU!A178="",historico_VU!F178=""),"",historico_VU!F178)</f>
        <v/>
      </c>
      <c r="L179" s="120">
        <f>IF(posicao_contratual!A178="","",posicao_contratual!S178)</f>
        <v/>
      </c>
      <c r="M179" s="356">
        <f>IF(A179="TOTAL",ROUND(SUM($M$3:M178),2),IF(OR(A179="",K179="",L179=""),"",ROUND(K179*L179,2)))</f>
        <v/>
      </c>
      <c r="N179" s="355">
        <f>IF(OR(historico_VU!A178="",historico_VU!G178=""),"",historico_VU!G178)</f>
        <v/>
      </c>
      <c r="O179" s="118">
        <f>IF(posicao_contratual!A178="","",posicao_contratual!W178)</f>
        <v/>
      </c>
      <c r="P179" s="355">
        <f>IF(A179="TOTAL",ROUND(SUM($P$3:P178),2),IF(OR(A179="",N179="",O179=""),"",ROUND(N179*O179,2)))</f>
        <v/>
      </c>
      <c r="Q179" s="195">
        <f>IF($A179="","",IF(ISERROR(INDIRECT("CICLO_EM_EXECUCAO!$D$5")),"",INDIRECT("CICLO_EM_EXECUCAO!$D$5")))</f>
        <v/>
      </c>
      <c r="R179">
        <f>IF($A179="","",IF(MEMORIA_RESULTADOS!$W$46="","","C"&amp;MEMORIA_RESULTADOS!$W$46))</f>
        <v/>
      </c>
      <c r="S179" s="273">
        <f>IF($A179="","",IF(ISERROR(INDIRECT("CICLO_EM_EXECUCAO!B"&amp;(ROW()+10))),"",INDIRECT("CICLO_EM_EXECUCAO!B"&amp;(ROW()+10))))</f>
        <v/>
      </c>
      <c r="T179" s="273">
        <f>IF($A179="","",IF(ISERROR(INDIRECT("CICLO_EM_EXECUCAO!D"&amp;(ROW()+10))),"",INDIRECT("CICLO_EM_EXECUCAO!D"&amp;(ROW()+10))))</f>
        <v/>
      </c>
      <c r="U179" s="273">
        <f>IF($A179="","",IF(ISERROR(INDIRECT("CICLO_EM_EXECUCAO!C"&amp;(ROW()+10))),"",INDIRECT("CICLO_EM_EXECUCAO!C"&amp;(ROW()+10))))</f>
        <v/>
      </c>
      <c r="V179" s="213">
        <f>IF($A179="","",IF(ISERROR(INDIRECT("CICLO_EM_EXECUCAO!E"&amp;(ROW()+10))),"",INDIRECT("CICLO_EM_EXECUCAO!E"&amp;(ROW()+10))))</f>
        <v/>
      </c>
      <c r="W179" s="213">
        <f>IF($A179="","",IF(ISERROR(INDIRECT("CICLO_EM_EXECUCAO!F"&amp;(ROW()+10))),"",INDIRECT("CICLO_EM_EXECUCAO!F"&amp;(ROW()+10))))</f>
        <v/>
      </c>
      <c r="X179" s="213">
        <f>IF($A179="","",IF(ISERROR(INDIRECT("CICLO_EM_EXECUCAO!G"&amp;(ROW()+10))),"",INDIRECT("CICLO_EM_EXECUCAO!G"&amp;(ROW()+10))))</f>
        <v/>
      </c>
      <c r="Y179">
        <f>IF($A179="","",IF(ISERROR(INDIRECT("CICLO_EM_EXECUCAO!K"&amp;(ROW()+10))),"CICLO_EM_EXECUCAO AUSENTE",INDIRECT("CICLO_EM_EXECUCAO!K"&amp;(ROW()+10))))</f>
        <v/>
      </c>
    </row>
    <row r="180">
      <c r="A180" s="116">
        <f>IF(AND(itens_Remanesc!A179="",itens_Remanesc!A178&lt;&gt;"",COUNTIF(itens_Remanesc!A180:$A$200,"&lt;&gt;")=0),"TOTAL",IF(itens_Remanesc!A179="","",itens_Remanesc!A179))</f>
        <v/>
      </c>
      <c r="B180" s="355">
        <f>IF(OR(historico_VU!A179="",historico_VU!C179=""),"",historico_VU!C179)</f>
        <v/>
      </c>
      <c r="C180" s="118">
        <f>IF(posicao_contratual!A179="","",posicao_contratual!G179)</f>
        <v/>
      </c>
      <c r="D180" s="355">
        <f>IF(A180="TOTAL",ROUND(SUM($D$3:D179),2),IF(OR(A180="",B180="",C180=""),"",ROUND(B180*C180,2)))</f>
        <v/>
      </c>
      <c r="E180" s="356">
        <f>IF(OR(historico_VU!A179="",historico_VU!D179=""),"",historico_VU!D179)</f>
        <v/>
      </c>
      <c r="F180" s="120">
        <f>IF(posicao_contratual!A179="","",posicao_contratual!K179)</f>
        <v/>
      </c>
      <c r="G180" s="356">
        <f>IF(A180="TOTAL",ROUND(SUM($G$3:G179),2),IF(OR(A180="",E180="",F180=""),"",ROUND(E180*F180,2)))</f>
        <v/>
      </c>
      <c r="H180" s="355">
        <f>IF(OR(historico_VU!A179="",historico_VU!E179=""),"",historico_VU!E179)</f>
        <v/>
      </c>
      <c r="I180" s="118">
        <f>IF(posicao_contratual!A179="","",posicao_contratual!O179)</f>
        <v/>
      </c>
      <c r="J180" s="355">
        <f>IF(A180="TOTAL",ROUND(SUM($J$3:J179),2),IF(OR(A180="",H180="",I180=""),"",ROUND(H180*I180,2)))</f>
        <v/>
      </c>
      <c r="K180" s="356">
        <f>IF(OR(historico_VU!A179="",historico_VU!F179=""),"",historico_VU!F179)</f>
        <v/>
      </c>
      <c r="L180" s="120">
        <f>IF(posicao_contratual!A179="","",posicao_contratual!S179)</f>
        <v/>
      </c>
      <c r="M180" s="356">
        <f>IF(A180="TOTAL",ROUND(SUM($M$3:M179),2),IF(OR(A180="",K180="",L180=""),"",ROUND(K180*L180,2)))</f>
        <v/>
      </c>
      <c r="N180" s="355">
        <f>IF(OR(historico_VU!A179="",historico_VU!G179=""),"",historico_VU!G179)</f>
        <v/>
      </c>
      <c r="O180" s="118">
        <f>IF(posicao_contratual!A179="","",posicao_contratual!W179)</f>
        <v/>
      </c>
      <c r="P180" s="355">
        <f>IF(A180="TOTAL",ROUND(SUM($P$3:P179),2),IF(OR(A180="",N180="",O180=""),"",ROUND(N180*O180,2)))</f>
        <v/>
      </c>
      <c r="Q180" s="195">
        <f>IF($A180="","",IF(ISERROR(INDIRECT("CICLO_EM_EXECUCAO!$D$5")),"",INDIRECT("CICLO_EM_EXECUCAO!$D$5")))</f>
        <v/>
      </c>
      <c r="R180">
        <f>IF($A180="","",IF(MEMORIA_RESULTADOS!$W$46="","","C"&amp;MEMORIA_RESULTADOS!$W$46))</f>
        <v/>
      </c>
      <c r="S180" s="273">
        <f>IF($A180="","",IF(ISERROR(INDIRECT("CICLO_EM_EXECUCAO!B"&amp;(ROW()+10))),"",INDIRECT("CICLO_EM_EXECUCAO!B"&amp;(ROW()+10))))</f>
        <v/>
      </c>
      <c r="T180" s="273">
        <f>IF($A180="","",IF(ISERROR(INDIRECT("CICLO_EM_EXECUCAO!D"&amp;(ROW()+10))),"",INDIRECT("CICLO_EM_EXECUCAO!D"&amp;(ROW()+10))))</f>
        <v/>
      </c>
      <c r="U180" s="273">
        <f>IF($A180="","",IF(ISERROR(INDIRECT("CICLO_EM_EXECUCAO!C"&amp;(ROW()+10))),"",INDIRECT("CICLO_EM_EXECUCAO!C"&amp;(ROW()+10))))</f>
        <v/>
      </c>
      <c r="V180" s="213">
        <f>IF($A180="","",IF(ISERROR(INDIRECT("CICLO_EM_EXECUCAO!E"&amp;(ROW()+10))),"",INDIRECT("CICLO_EM_EXECUCAO!E"&amp;(ROW()+10))))</f>
        <v/>
      </c>
      <c r="W180" s="213">
        <f>IF($A180="","",IF(ISERROR(INDIRECT("CICLO_EM_EXECUCAO!F"&amp;(ROW()+10))),"",INDIRECT("CICLO_EM_EXECUCAO!F"&amp;(ROW()+10))))</f>
        <v/>
      </c>
      <c r="X180" s="213">
        <f>IF($A180="","",IF(ISERROR(INDIRECT("CICLO_EM_EXECUCAO!G"&amp;(ROW()+10))),"",INDIRECT("CICLO_EM_EXECUCAO!G"&amp;(ROW()+10))))</f>
        <v/>
      </c>
      <c r="Y180">
        <f>IF($A180="","",IF(ISERROR(INDIRECT("CICLO_EM_EXECUCAO!K"&amp;(ROW()+10))),"CICLO_EM_EXECUCAO AUSENTE",INDIRECT("CICLO_EM_EXECUCAO!K"&amp;(ROW()+10))))</f>
        <v/>
      </c>
    </row>
    <row r="181">
      <c r="A181" s="116">
        <f>IF(AND(itens_Remanesc!A180="",itens_Remanesc!A179&lt;&gt;"",COUNTIF(itens_Remanesc!A181:$A$200,"&lt;&gt;")=0),"TOTAL",IF(itens_Remanesc!A180="","",itens_Remanesc!A180))</f>
        <v/>
      </c>
      <c r="B181" s="355">
        <f>IF(OR(historico_VU!A180="",historico_VU!C180=""),"",historico_VU!C180)</f>
        <v/>
      </c>
      <c r="C181" s="118">
        <f>IF(posicao_contratual!A180="","",posicao_contratual!G180)</f>
        <v/>
      </c>
      <c r="D181" s="355">
        <f>IF(A181="TOTAL",ROUND(SUM($D$3:D180),2),IF(OR(A181="",B181="",C181=""),"",ROUND(B181*C181,2)))</f>
        <v/>
      </c>
      <c r="E181" s="356">
        <f>IF(OR(historico_VU!A180="",historico_VU!D180=""),"",historico_VU!D180)</f>
        <v/>
      </c>
      <c r="F181" s="120">
        <f>IF(posicao_contratual!A180="","",posicao_contratual!K180)</f>
        <v/>
      </c>
      <c r="G181" s="356">
        <f>IF(A181="TOTAL",ROUND(SUM($G$3:G180),2),IF(OR(A181="",E181="",F181=""),"",ROUND(E181*F181,2)))</f>
        <v/>
      </c>
      <c r="H181" s="355">
        <f>IF(OR(historico_VU!A180="",historico_VU!E180=""),"",historico_VU!E180)</f>
        <v/>
      </c>
      <c r="I181" s="118">
        <f>IF(posicao_contratual!A180="","",posicao_contratual!O180)</f>
        <v/>
      </c>
      <c r="J181" s="355">
        <f>IF(A181="TOTAL",ROUND(SUM($J$3:J180),2),IF(OR(A181="",H181="",I181=""),"",ROUND(H181*I181,2)))</f>
        <v/>
      </c>
      <c r="K181" s="356">
        <f>IF(OR(historico_VU!A180="",historico_VU!F180=""),"",historico_VU!F180)</f>
        <v/>
      </c>
      <c r="L181" s="120">
        <f>IF(posicao_contratual!A180="","",posicao_contratual!S180)</f>
        <v/>
      </c>
      <c r="M181" s="356">
        <f>IF(A181="TOTAL",ROUND(SUM($M$3:M180),2),IF(OR(A181="",K181="",L181=""),"",ROUND(K181*L181,2)))</f>
        <v/>
      </c>
      <c r="N181" s="355">
        <f>IF(OR(historico_VU!A180="",historico_VU!G180=""),"",historico_VU!G180)</f>
        <v/>
      </c>
      <c r="O181" s="118">
        <f>IF(posicao_contratual!A180="","",posicao_contratual!W180)</f>
        <v/>
      </c>
      <c r="P181" s="355">
        <f>IF(A181="TOTAL",ROUND(SUM($P$3:P180),2),IF(OR(A181="",N181="",O181=""),"",ROUND(N181*O181,2)))</f>
        <v/>
      </c>
      <c r="Q181" s="195">
        <f>IF($A181="","",IF(ISERROR(INDIRECT("CICLO_EM_EXECUCAO!$D$5")),"",INDIRECT("CICLO_EM_EXECUCAO!$D$5")))</f>
        <v/>
      </c>
      <c r="R181">
        <f>IF($A181="","",IF(MEMORIA_RESULTADOS!$W$46="","","C"&amp;MEMORIA_RESULTADOS!$W$46))</f>
        <v/>
      </c>
      <c r="S181" s="273">
        <f>IF($A181="","",IF(ISERROR(INDIRECT("CICLO_EM_EXECUCAO!B"&amp;(ROW()+10))),"",INDIRECT("CICLO_EM_EXECUCAO!B"&amp;(ROW()+10))))</f>
        <v/>
      </c>
      <c r="T181" s="273">
        <f>IF($A181="","",IF(ISERROR(INDIRECT("CICLO_EM_EXECUCAO!D"&amp;(ROW()+10))),"",INDIRECT("CICLO_EM_EXECUCAO!D"&amp;(ROW()+10))))</f>
        <v/>
      </c>
      <c r="U181" s="273">
        <f>IF($A181="","",IF(ISERROR(INDIRECT("CICLO_EM_EXECUCAO!C"&amp;(ROW()+10))),"",INDIRECT("CICLO_EM_EXECUCAO!C"&amp;(ROW()+10))))</f>
        <v/>
      </c>
      <c r="V181" s="213">
        <f>IF($A181="","",IF(ISERROR(INDIRECT("CICLO_EM_EXECUCAO!E"&amp;(ROW()+10))),"",INDIRECT("CICLO_EM_EXECUCAO!E"&amp;(ROW()+10))))</f>
        <v/>
      </c>
      <c r="W181" s="213">
        <f>IF($A181="","",IF(ISERROR(INDIRECT("CICLO_EM_EXECUCAO!F"&amp;(ROW()+10))),"",INDIRECT("CICLO_EM_EXECUCAO!F"&amp;(ROW()+10))))</f>
        <v/>
      </c>
      <c r="X181" s="213">
        <f>IF($A181="","",IF(ISERROR(INDIRECT("CICLO_EM_EXECUCAO!G"&amp;(ROW()+10))),"",INDIRECT("CICLO_EM_EXECUCAO!G"&amp;(ROW()+10))))</f>
        <v/>
      </c>
      <c r="Y181">
        <f>IF($A181="","",IF(ISERROR(INDIRECT("CICLO_EM_EXECUCAO!K"&amp;(ROW()+10))),"CICLO_EM_EXECUCAO AUSENTE",INDIRECT("CICLO_EM_EXECUCAO!K"&amp;(ROW()+10))))</f>
        <v/>
      </c>
    </row>
    <row r="182">
      <c r="A182" s="116">
        <f>IF(AND(itens_Remanesc!A181="",itens_Remanesc!A180&lt;&gt;"",COUNTIF(itens_Remanesc!A182:$A$200,"&lt;&gt;")=0),"TOTAL",IF(itens_Remanesc!A181="","",itens_Remanesc!A181))</f>
        <v/>
      </c>
      <c r="B182" s="355">
        <f>IF(OR(historico_VU!A181="",historico_VU!C181=""),"",historico_VU!C181)</f>
        <v/>
      </c>
      <c r="C182" s="118">
        <f>IF(posicao_contratual!A181="","",posicao_contratual!G181)</f>
        <v/>
      </c>
      <c r="D182" s="355">
        <f>IF(A182="TOTAL",ROUND(SUM($D$3:D181),2),IF(OR(A182="",B182="",C182=""),"",ROUND(B182*C182,2)))</f>
        <v/>
      </c>
      <c r="E182" s="356">
        <f>IF(OR(historico_VU!A181="",historico_VU!D181=""),"",historico_VU!D181)</f>
        <v/>
      </c>
      <c r="F182" s="120">
        <f>IF(posicao_contratual!A181="","",posicao_contratual!K181)</f>
        <v/>
      </c>
      <c r="G182" s="356">
        <f>IF(A182="TOTAL",ROUND(SUM($G$3:G181),2),IF(OR(A182="",E182="",F182=""),"",ROUND(E182*F182,2)))</f>
        <v/>
      </c>
      <c r="H182" s="355">
        <f>IF(OR(historico_VU!A181="",historico_VU!E181=""),"",historico_VU!E181)</f>
        <v/>
      </c>
      <c r="I182" s="118">
        <f>IF(posicao_contratual!A181="","",posicao_contratual!O181)</f>
        <v/>
      </c>
      <c r="J182" s="355">
        <f>IF(A182="TOTAL",ROUND(SUM($J$3:J181),2),IF(OR(A182="",H182="",I182=""),"",ROUND(H182*I182,2)))</f>
        <v/>
      </c>
      <c r="K182" s="356">
        <f>IF(OR(historico_VU!A181="",historico_VU!F181=""),"",historico_VU!F181)</f>
        <v/>
      </c>
      <c r="L182" s="120">
        <f>IF(posicao_contratual!A181="","",posicao_contratual!S181)</f>
        <v/>
      </c>
      <c r="M182" s="356">
        <f>IF(A182="TOTAL",ROUND(SUM($M$3:M181),2),IF(OR(A182="",K182="",L182=""),"",ROUND(K182*L182,2)))</f>
        <v/>
      </c>
      <c r="N182" s="355">
        <f>IF(OR(historico_VU!A181="",historico_VU!G181=""),"",historico_VU!G181)</f>
        <v/>
      </c>
      <c r="O182" s="118">
        <f>IF(posicao_contratual!A181="","",posicao_contratual!W181)</f>
        <v/>
      </c>
      <c r="P182" s="355">
        <f>IF(A182="TOTAL",ROUND(SUM($P$3:P181),2),IF(OR(A182="",N182="",O182=""),"",ROUND(N182*O182,2)))</f>
        <v/>
      </c>
      <c r="Q182" s="195">
        <f>IF($A182="","",IF(ISERROR(INDIRECT("CICLO_EM_EXECUCAO!$D$5")),"",INDIRECT("CICLO_EM_EXECUCAO!$D$5")))</f>
        <v/>
      </c>
      <c r="R182">
        <f>IF($A182="","",IF(MEMORIA_RESULTADOS!$W$46="","","C"&amp;MEMORIA_RESULTADOS!$W$46))</f>
        <v/>
      </c>
      <c r="S182" s="273">
        <f>IF($A182="","",IF(ISERROR(INDIRECT("CICLO_EM_EXECUCAO!B"&amp;(ROW()+10))),"",INDIRECT("CICLO_EM_EXECUCAO!B"&amp;(ROW()+10))))</f>
        <v/>
      </c>
      <c r="T182" s="273">
        <f>IF($A182="","",IF(ISERROR(INDIRECT("CICLO_EM_EXECUCAO!D"&amp;(ROW()+10))),"",INDIRECT("CICLO_EM_EXECUCAO!D"&amp;(ROW()+10))))</f>
        <v/>
      </c>
      <c r="U182" s="273">
        <f>IF($A182="","",IF(ISERROR(INDIRECT("CICLO_EM_EXECUCAO!C"&amp;(ROW()+10))),"",INDIRECT("CICLO_EM_EXECUCAO!C"&amp;(ROW()+10))))</f>
        <v/>
      </c>
      <c r="V182" s="213">
        <f>IF($A182="","",IF(ISERROR(INDIRECT("CICLO_EM_EXECUCAO!E"&amp;(ROW()+10))),"",INDIRECT("CICLO_EM_EXECUCAO!E"&amp;(ROW()+10))))</f>
        <v/>
      </c>
      <c r="W182" s="213">
        <f>IF($A182="","",IF(ISERROR(INDIRECT("CICLO_EM_EXECUCAO!F"&amp;(ROW()+10))),"",INDIRECT("CICLO_EM_EXECUCAO!F"&amp;(ROW()+10))))</f>
        <v/>
      </c>
      <c r="X182" s="213">
        <f>IF($A182="","",IF(ISERROR(INDIRECT("CICLO_EM_EXECUCAO!G"&amp;(ROW()+10))),"",INDIRECT("CICLO_EM_EXECUCAO!G"&amp;(ROW()+10))))</f>
        <v/>
      </c>
      <c r="Y182">
        <f>IF($A182="","",IF(ISERROR(INDIRECT("CICLO_EM_EXECUCAO!K"&amp;(ROW()+10))),"CICLO_EM_EXECUCAO AUSENTE",INDIRECT("CICLO_EM_EXECUCAO!K"&amp;(ROW()+10))))</f>
        <v/>
      </c>
    </row>
    <row r="183">
      <c r="A183" s="116">
        <f>IF(AND(itens_Remanesc!A182="",itens_Remanesc!A181&lt;&gt;"",COUNTIF(itens_Remanesc!A183:$A$200,"&lt;&gt;")=0),"TOTAL",IF(itens_Remanesc!A182="","",itens_Remanesc!A182))</f>
        <v/>
      </c>
      <c r="B183" s="355">
        <f>IF(OR(historico_VU!A182="",historico_VU!C182=""),"",historico_VU!C182)</f>
        <v/>
      </c>
      <c r="C183" s="118">
        <f>IF(posicao_contratual!A182="","",posicao_contratual!G182)</f>
        <v/>
      </c>
      <c r="D183" s="355">
        <f>IF(A183="TOTAL",ROUND(SUM($D$3:D182),2),IF(OR(A183="",B183="",C183=""),"",ROUND(B183*C183,2)))</f>
        <v/>
      </c>
      <c r="E183" s="356">
        <f>IF(OR(historico_VU!A182="",historico_VU!D182=""),"",historico_VU!D182)</f>
        <v/>
      </c>
      <c r="F183" s="120">
        <f>IF(posicao_contratual!A182="","",posicao_contratual!K182)</f>
        <v/>
      </c>
      <c r="G183" s="356">
        <f>IF(A183="TOTAL",ROUND(SUM($G$3:G182),2),IF(OR(A183="",E183="",F183=""),"",ROUND(E183*F183,2)))</f>
        <v/>
      </c>
      <c r="H183" s="355">
        <f>IF(OR(historico_VU!A182="",historico_VU!E182=""),"",historico_VU!E182)</f>
        <v/>
      </c>
      <c r="I183" s="118">
        <f>IF(posicao_contratual!A182="","",posicao_contratual!O182)</f>
        <v/>
      </c>
      <c r="J183" s="355">
        <f>IF(A183="TOTAL",ROUND(SUM($J$3:J182),2),IF(OR(A183="",H183="",I183=""),"",ROUND(H183*I183,2)))</f>
        <v/>
      </c>
      <c r="K183" s="356">
        <f>IF(OR(historico_VU!A182="",historico_VU!F182=""),"",historico_VU!F182)</f>
        <v/>
      </c>
      <c r="L183" s="120">
        <f>IF(posicao_contratual!A182="","",posicao_contratual!S182)</f>
        <v/>
      </c>
      <c r="M183" s="356">
        <f>IF(A183="TOTAL",ROUND(SUM($M$3:M182),2),IF(OR(A183="",K183="",L183=""),"",ROUND(K183*L183,2)))</f>
        <v/>
      </c>
      <c r="N183" s="355">
        <f>IF(OR(historico_VU!A182="",historico_VU!G182=""),"",historico_VU!G182)</f>
        <v/>
      </c>
      <c r="O183" s="118">
        <f>IF(posicao_contratual!A182="","",posicao_contratual!W182)</f>
        <v/>
      </c>
      <c r="P183" s="355">
        <f>IF(A183="TOTAL",ROUND(SUM($P$3:P182),2),IF(OR(A183="",N183="",O183=""),"",ROUND(N183*O183,2)))</f>
        <v/>
      </c>
      <c r="Q183" s="195">
        <f>IF($A183="","",IF(ISERROR(INDIRECT("CICLO_EM_EXECUCAO!$D$5")),"",INDIRECT("CICLO_EM_EXECUCAO!$D$5")))</f>
        <v/>
      </c>
      <c r="R183">
        <f>IF($A183="","",IF(MEMORIA_RESULTADOS!$W$46="","","C"&amp;MEMORIA_RESULTADOS!$W$46))</f>
        <v/>
      </c>
      <c r="S183" s="273">
        <f>IF($A183="","",IF(ISERROR(INDIRECT("CICLO_EM_EXECUCAO!B"&amp;(ROW()+10))),"",INDIRECT("CICLO_EM_EXECUCAO!B"&amp;(ROW()+10))))</f>
        <v/>
      </c>
      <c r="T183" s="273">
        <f>IF($A183="","",IF(ISERROR(INDIRECT("CICLO_EM_EXECUCAO!D"&amp;(ROW()+10))),"",INDIRECT("CICLO_EM_EXECUCAO!D"&amp;(ROW()+10))))</f>
        <v/>
      </c>
      <c r="U183" s="273">
        <f>IF($A183="","",IF(ISERROR(INDIRECT("CICLO_EM_EXECUCAO!C"&amp;(ROW()+10))),"",INDIRECT("CICLO_EM_EXECUCAO!C"&amp;(ROW()+10))))</f>
        <v/>
      </c>
      <c r="V183" s="213">
        <f>IF($A183="","",IF(ISERROR(INDIRECT("CICLO_EM_EXECUCAO!E"&amp;(ROW()+10))),"",INDIRECT("CICLO_EM_EXECUCAO!E"&amp;(ROW()+10))))</f>
        <v/>
      </c>
      <c r="W183" s="213">
        <f>IF($A183="","",IF(ISERROR(INDIRECT("CICLO_EM_EXECUCAO!F"&amp;(ROW()+10))),"",INDIRECT("CICLO_EM_EXECUCAO!F"&amp;(ROW()+10))))</f>
        <v/>
      </c>
      <c r="X183" s="213">
        <f>IF($A183="","",IF(ISERROR(INDIRECT("CICLO_EM_EXECUCAO!G"&amp;(ROW()+10))),"",INDIRECT("CICLO_EM_EXECUCAO!G"&amp;(ROW()+10))))</f>
        <v/>
      </c>
      <c r="Y183">
        <f>IF($A183="","",IF(ISERROR(INDIRECT("CICLO_EM_EXECUCAO!K"&amp;(ROW()+10))),"CICLO_EM_EXECUCAO AUSENTE",INDIRECT("CICLO_EM_EXECUCAO!K"&amp;(ROW()+10))))</f>
        <v/>
      </c>
    </row>
    <row r="184">
      <c r="A184" s="116">
        <f>IF(AND(itens_Remanesc!A183="",itens_Remanesc!A182&lt;&gt;"",COUNTIF(itens_Remanesc!A184:$A$200,"&lt;&gt;")=0),"TOTAL",IF(itens_Remanesc!A183="","",itens_Remanesc!A183))</f>
        <v/>
      </c>
      <c r="B184" s="355">
        <f>IF(OR(historico_VU!A183="",historico_VU!C183=""),"",historico_VU!C183)</f>
        <v/>
      </c>
      <c r="C184" s="118">
        <f>IF(posicao_contratual!A183="","",posicao_contratual!G183)</f>
        <v/>
      </c>
      <c r="D184" s="355">
        <f>IF(A184="TOTAL",ROUND(SUM($D$3:D183),2),IF(OR(A184="",B184="",C184=""),"",ROUND(B184*C184,2)))</f>
        <v/>
      </c>
      <c r="E184" s="356">
        <f>IF(OR(historico_VU!A183="",historico_VU!D183=""),"",historico_VU!D183)</f>
        <v/>
      </c>
      <c r="F184" s="120">
        <f>IF(posicao_contratual!A183="","",posicao_contratual!K183)</f>
        <v/>
      </c>
      <c r="G184" s="356">
        <f>IF(A184="TOTAL",ROUND(SUM($G$3:G183),2),IF(OR(A184="",E184="",F184=""),"",ROUND(E184*F184,2)))</f>
        <v/>
      </c>
      <c r="H184" s="355">
        <f>IF(OR(historico_VU!A183="",historico_VU!E183=""),"",historico_VU!E183)</f>
        <v/>
      </c>
      <c r="I184" s="118">
        <f>IF(posicao_contratual!A183="","",posicao_contratual!O183)</f>
        <v/>
      </c>
      <c r="J184" s="355">
        <f>IF(A184="TOTAL",ROUND(SUM($J$3:J183),2),IF(OR(A184="",H184="",I184=""),"",ROUND(H184*I184,2)))</f>
        <v/>
      </c>
      <c r="K184" s="356">
        <f>IF(OR(historico_VU!A183="",historico_VU!F183=""),"",historico_VU!F183)</f>
        <v/>
      </c>
      <c r="L184" s="120">
        <f>IF(posicao_contratual!A183="","",posicao_contratual!S183)</f>
        <v/>
      </c>
      <c r="M184" s="356">
        <f>IF(A184="TOTAL",ROUND(SUM($M$3:M183),2),IF(OR(A184="",K184="",L184=""),"",ROUND(K184*L184,2)))</f>
        <v/>
      </c>
      <c r="N184" s="355">
        <f>IF(OR(historico_VU!A183="",historico_VU!G183=""),"",historico_VU!G183)</f>
        <v/>
      </c>
      <c r="O184" s="118">
        <f>IF(posicao_contratual!A183="","",posicao_contratual!W183)</f>
        <v/>
      </c>
      <c r="P184" s="355">
        <f>IF(A184="TOTAL",ROUND(SUM($P$3:P183),2),IF(OR(A184="",N184="",O184=""),"",ROUND(N184*O184,2)))</f>
        <v/>
      </c>
      <c r="Q184" s="195">
        <f>IF($A184="","",IF(ISERROR(INDIRECT("CICLO_EM_EXECUCAO!$D$5")),"",INDIRECT("CICLO_EM_EXECUCAO!$D$5")))</f>
        <v/>
      </c>
      <c r="R184">
        <f>IF($A184="","",IF(MEMORIA_RESULTADOS!$W$46="","","C"&amp;MEMORIA_RESULTADOS!$W$46))</f>
        <v/>
      </c>
      <c r="S184" s="273">
        <f>IF($A184="","",IF(ISERROR(INDIRECT("CICLO_EM_EXECUCAO!B"&amp;(ROW()+10))),"",INDIRECT("CICLO_EM_EXECUCAO!B"&amp;(ROW()+10))))</f>
        <v/>
      </c>
      <c r="T184" s="273">
        <f>IF($A184="","",IF(ISERROR(INDIRECT("CICLO_EM_EXECUCAO!D"&amp;(ROW()+10))),"",INDIRECT("CICLO_EM_EXECUCAO!D"&amp;(ROW()+10))))</f>
        <v/>
      </c>
      <c r="U184" s="273">
        <f>IF($A184="","",IF(ISERROR(INDIRECT("CICLO_EM_EXECUCAO!C"&amp;(ROW()+10))),"",INDIRECT("CICLO_EM_EXECUCAO!C"&amp;(ROW()+10))))</f>
        <v/>
      </c>
      <c r="V184" s="213">
        <f>IF($A184="","",IF(ISERROR(INDIRECT("CICLO_EM_EXECUCAO!E"&amp;(ROW()+10))),"",INDIRECT("CICLO_EM_EXECUCAO!E"&amp;(ROW()+10))))</f>
        <v/>
      </c>
      <c r="W184" s="213">
        <f>IF($A184="","",IF(ISERROR(INDIRECT("CICLO_EM_EXECUCAO!F"&amp;(ROW()+10))),"",INDIRECT("CICLO_EM_EXECUCAO!F"&amp;(ROW()+10))))</f>
        <v/>
      </c>
      <c r="X184" s="213">
        <f>IF($A184="","",IF(ISERROR(INDIRECT("CICLO_EM_EXECUCAO!G"&amp;(ROW()+10))),"",INDIRECT("CICLO_EM_EXECUCAO!G"&amp;(ROW()+10))))</f>
        <v/>
      </c>
      <c r="Y184">
        <f>IF($A184="","",IF(ISERROR(INDIRECT("CICLO_EM_EXECUCAO!K"&amp;(ROW()+10))),"CICLO_EM_EXECUCAO AUSENTE",INDIRECT("CICLO_EM_EXECUCAO!K"&amp;(ROW()+10))))</f>
        <v/>
      </c>
    </row>
    <row r="185">
      <c r="A185" s="116">
        <f>IF(AND(itens_Remanesc!A184="",itens_Remanesc!A183&lt;&gt;"",COUNTIF(itens_Remanesc!A185:$A$200,"&lt;&gt;")=0),"TOTAL",IF(itens_Remanesc!A184="","",itens_Remanesc!A184))</f>
        <v/>
      </c>
      <c r="B185" s="355">
        <f>IF(OR(historico_VU!A184="",historico_VU!C184=""),"",historico_VU!C184)</f>
        <v/>
      </c>
      <c r="C185" s="118">
        <f>IF(posicao_contratual!A184="","",posicao_contratual!G184)</f>
        <v/>
      </c>
      <c r="D185" s="355">
        <f>IF(A185="TOTAL",ROUND(SUM($D$3:D184),2),IF(OR(A185="",B185="",C185=""),"",ROUND(B185*C185,2)))</f>
        <v/>
      </c>
      <c r="E185" s="356">
        <f>IF(OR(historico_VU!A184="",historico_VU!D184=""),"",historico_VU!D184)</f>
        <v/>
      </c>
      <c r="F185" s="120">
        <f>IF(posicao_contratual!A184="","",posicao_contratual!K184)</f>
        <v/>
      </c>
      <c r="G185" s="356">
        <f>IF(A185="TOTAL",ROUND(SUM($G$3:G184),2),IF(OR(A185="",E185="",F185=""),"",ROUND(E185*F185,2)))</f>
        <v/>
      </c>
      <c r="H185" s="355">
        <f>IF(OR(historico_VU!A184="",historico_VU!E184=""),"",historico_VU!E184)</f>
        <v/>
      </c>
      <c r="I185" s="118">
        <f>IF(posicao_contratual!A184="","",posicao_contratual!O184)</f>
        <v/>
      </c>
      <c r="J185" s="355">
        <f>IF(A185="TOTAL",ROUND(SUM($J$3:J184),2),IF(OR(A185="",H185="",I185=""),"",ROUND(H185*I185,2)))</f>
        <v/>
      </c>
      <c r="K185" s="356">
        <f>IF(OR(historico_VU!A184="",historico_VU!F184=""),"",historico_VU!F184)</f>
        <v/>
      </c>
      <c r="L185" s="120">
        <f>IF(posicao_contratual!A184="","",posicao_contratual!S184)</f>
        <v/>
      </c>
      <c r="M185" s="356">
        <f>IF(A185="TOTAL",ROUND(SUM($M$3:M184),2),IF(OR(A185="",K185="",L185=""),"",ROUND(K185*L185,2)))</f>
        <v/>
      </c>
      <c r="N185" s="355">
        <f>IF(OR(historico_VU!A184="",historico_VU!G184=""),"",historico_VU!G184)</f>
        <v/>
      </c>
      <c r="O185" s="118">
        <f>IF(posicao_contratual!A184="","",posicao_contratual!W184)</f>
        <v/>
      </c>
      <c r="P185" s="355">
        <f>IF(A185="TOTAL",ROUND(SUM($P$3:P184),2),IF(OR(A185="",N185="",O185=""),"",ROUND(N185*O185,2)))</f>
        <v/>
      </c>
      <c r="Q185" s="195">
        <f>IF($A185="","",IF(ISERROR(INDIRECT("CICLO_EM_EXECUCAO!$D$5")),"",INDIRECT("CICLO_EM_EXECUCAO!$D$5")))</f>
        <v/>
      </c>
      <c r="R185">
        <f>IF($A185="","",IF(MEMORIA_RESULTADOS!$W$46="","","C"&amp;MEMORIA_RESULTADOS!$W$46))</f>
        <v/>
      </c>
      <c r="S185" s="273">
        <f>IF($A185="","",IF(ISERROR(INDIRECT("CICLO_EM_EXECUCAO!B"&amp;(ROW()+10))),"",INDIRECT("CICLO_EM_EXECUCAO!B"&amp;(ROW()+10))))</f>
        <v/>
      </c>
      <c r="T185" s="273">
        <f>IF($A185="","",IF(ISERROR(INDIRECT("CICLO_EM_EXECUCAO!D"&amp;(ROW()+10))),"",INDIRECT("CICLO_EM_EXECUCAO!D"&amp;(ROW()+10))))</f>
        <v/>
      </c>
      <c r="U185" s="273">
        <f>IF($A185="","",IF(ISERROR(INDIRECT("CICLO_EM_EXECUCAO!C"&amp;(ROW()+10))),"",INDIRECT("CICLO_EM_EXECUCAO!C"&amp;(ROW()+10))))</f>
        <v/>
      </c>
      <c r="V185" s="213">
        <f>IF($A185="","",IF(ISERROR(INDIRECT("CICLO_EM_EXECUCAO!E"&amp;(ROW()+10))),"",INDIRECT("CICLO_EM_EXECUCAO!E"&amp;(ROW()+10))))</f>
        <v/>
      </c>
      <c r="W185" s="213">
        <f>IF($A185="","",IF(ISERROR(INDIRECT("CICLO_EM_EXECUCAO!F"&amp;(ROW()+10))),"",INDIRECT("CICLO_EM_EXECUCAO!F"&amp;(ROW()+10))))</f>
        <v/>
      </c>
      <c r="X185" s="213">
        <f>IF($A185="","",IF(ISERROR(INDIRECT("CICLO_EM_EXECUCAO!G"&amp;(ROW()+10))),"",INDIRECT("CICLO_EM_EXECUCAO!G"&amp;(ROW()+10))))</f>
        <v/>
      </c>
      <c r="Y185">
        <f>IF($A185="","",IF(ISERROR(INDIRECT("CICLO_EM_EXECUCAO!K"&amp;(ROW()+10))),"CICLO_EM_EXECUCAO AUSENTE",INDIRECT("CICLO_EM_EXECUCAO!K"&amp;(ROW()+10))))</f>
        <v/>
      </c>
    </row>
    <row r="186">
      <c r="A186" s="116">
        <f>IF(AND(itens_Remanesc!A185="",itens_Remanesc!A184&lt;&gt;"",COUNTIF(itens_Remanesc!A186:$A$200,"&lt;&gt;")=0),"TOTAL",IF(itens_Remanesc!A185="","",itens_Remanesc!A185))</f>
        <v/>
      </c>
      <c r="B186" s="355">
        <f>IF(OR(historico_VU!A185="",historico_VU!C185=""),"",historico_VU!C185)</f>
        <v/>
      </c>
      <c r="C186" s="118">
        <f>IF(posicao_contratual!A185="","",posicao_contratual!G185)</f>
        <v/>
      </c>
      <c r="D186" s="355">
        <f>IF(A186="TOTAL",ROUND(SUM($D$3:D185),2),IF(OR(A186="",B186="",C186=""),"",ROUND(B186*C186,2)))</f>
        <v/>
      </c>
      <c r="E186" s="356">
        <f>IF(OR(historico_VU!A185="",historico_VU!D185=""),"",historico_VU!D185)</f>
        <v/>
      </c>
      <c r="F186" s="120">
        <f>IF(posicao_contratual!A185="","",posicao_contratual!K185)</f>
        <v/>
      </c>
      <c r="G186" s="356">
        <f>IF(A186="TOTAL",ROUND(SUM($G$3:G185),2),IF(OR(A186="",E186="",F186=""),"",ROUND(E186*F186,2)))</f>
        <v/>
      </c>
      <c r="H186" s="355">
        <f>IF(OR(historico_VU!A185="",historico_VU!E185=""),"",historico_VU!E185)</f>
        <v/>
      </c>
      <c r="I186" s="118">
        <f>IF(posicao_contratual!A185="","",posicao_contratual!O185)</f>
        <v/>
      </c>
      <c r="J186" s="355">
        <f>IF(A186="TOTAL",ROUND(SUM($J$3:J185),2),IF(OR(A186="",H186="",I186=""),"",ROUND(H186*I186,2)))</f>
        <v/>
      </c>
      <c r="K186" s="356">
        <f>IF(OR(historico_VU!A185="",historico_VU!F185=""),"",historico_VU!F185)</f>
        <v/>
      </c>
      <c r="L186" s="120">
        <f>IF(posicao_contratual!A185="","",posicao_contratual!S185)</f>
        <v/>
      </c>
      <c r="M186" s="356">
        <f>IF(A186="TOTAL",ROUND(SUM($M$3:M185),2),IF(OR(A186="",K186="",L186=""),"",ROUND(K186*L186,2)))</f>
        <v/>
      </c>
      <c r="N186" s="355">
        <f>IF(OR(historico_VU!A185="",historico_VU!G185=""),"",historico_VU!G185)</f>
        <v/>
      </c>
      <c r="O186" s="118">
        <f>IF(posicao_contratual!A185="","",posicao_contratual!W185)</f>
        <v/>
      </c>
      <c r="P186" s="355">
        <f>IF(A186="TOTAL",ROUND(SUM($P$3:P185),2),IF(OR(A186="",N186="",O186=""),"",ROUND(N186*O186,2)))</f>
        <v/>
      </c>
      <c r="Q186" s="195">
        <f>IF($A186="","",IF(ISERROR(INDIRECT("CICLO_EM_EXECUCAO!$D$5")),"",INDIRECT("CICLO_EM_EXECUCAO!$D$5")))</f>
        <v/>
      </c>
      <c r="R186">
        <f>IF($A186="","",IF(MEMORIA_RESULTADOS!$W$46="","","C"&amp;MEMORIA_RESULTADOS!$W$46))</f>
        <v/>
      </c>
      <c r="S186" s="273">
        <f>IF($A186="","",IF(ISERROR(INDIRECT("CICLO_EM_EXECUCAO!B"&amp;(ROW()+10))),"",INDIRECT("CICLO_EM_EXECUCAO!B"&amp;(ROW()+10))))</f>
        <v/>
      </c>
      <c r="T186" s="273">
        <f>IF($A186="","",IF(ISERROR(INDIRECT("CICLO_EM_EXECUCAO!D"&amp;(ROW()+10))),"",INDIRECT("CICLO_EM_EXECUCAO!D"&amp;(ROW()+10))))</f>
        <v/>
      </c>
      <c r="U186" s="273">
        <f>IF($A186="","",IF(ISERROR(INDIRECT("CICLO_EM_EXECUCAO!C"&amp;(ROW()+10))),"",INDIRECT("CICLO_EM_EXECUCAO!C"&amp;(ROW()+10))))</f>
        <v/>
      </c>
      <c r="V186" s="213">
        <f>IF($A186="","",IF(ISERROR(INDIRECT("CICLO_EM_EXECUCAO!E"&amp;(ROW()+10))),"",INDIRECT("CICLO_EM_EXECUCAO!E"&amp;(ROW()+10))))</f>
        <v/>
      </c>
      <c r="W186" s="213">
        <f>IF($A186="","",IF(ISERROR(INDIRECT("CICLO_EM_EXECUCAO!F"&amp;(ROW()+10))),"",INDIRECT("CICLO_EM_EXECUCAO!F"&amp;(ROW()+10))))</f>
        <v/>
      </c>
      <c r="X186" s="213">
        <f>IF($A186="","",IF(ISERROR(INDIRECT("CICLO_EM_EXECUCAO!G"&amp;(ROW()+10))),"",INDIRECT("CICLO_EM_EXECUCAO!G"&amp;(ROW()+10))))</f>
        <v/>
      </c>
      <c r="Y186">
        <f>IF($A186="","",IF(ISERROR(INDIRECT("CICLO_EM_EXECUCAO!K"&amp;(ROW()+10))),"CICLO_EM_EXECUCAO AUSENTE",INDIRECT("CICLO_EM_EXECUCAO!K"&amp;(ROW()+10))))</f>
        <v/>
      </c>
    </row>
    <row r="187">
      <c r="A187" s="116">
        <f>IF(AND(itens_Remanesc!A186="",itens_Remanesc!A185&lt;&gt;"",COUNTIF(itens_Remanesc!A187:$A$200,"&lt;&gt;")=0),"TOTAL",IF(itens_Remanesc!A186="","",itens_Remanesc!A186))</f>
        <v/>
      </c>
      <c r="B187" s="355">
        <f>IF(OR(historico_VU!A186="",historico_VU!C186=""),"",historico_VU!C186)</f>
        <v/>
      </c>
      <c r="C187" s="118">
        <f>IF(posicao_contratual!A186="","",posicao_contratual!G186)</f>
        <v/>
      </c>
      <c r="D187" s="355">
        <f>IF(A187="TOTAL",ROUND(SUM($D$3:D186),2),IF(OR(A187="",B187="",C187=""),"",ROUND(B187*C187,2)))</f>
        <v/>
      </c>
      <c r="E187" s="356">
        <f>IF(OR(historico_VU!A186="",historico_VU!D186=""),"",historico_VU!D186)</f>
        <v/>
      </c>
      <c r="F187" s="120">
        <f>IF(posicao_contratual!A186="","",posicao_contratual!K186)</f>
        <v/>
      </c>
      <c r="G187" s="356">
        <f>IF(A187="TOTAL",ROUND(SUM($G$3:G186),2),IF(OR(A187="",E187="",F187=""),"",ROUND(E187*F187,2)))</f>
        <v/>
      </c>
      <c r="H187" s="355">
        <f>IF(OR(historico_VU!A186="",historico_VU!E186=""),"",historico_VU!E186)</f>
        <v/>
      </c>
      <c r="I187" s="118">
        <f>IF(posicao_contratual!A186="","",posicao_contratual!O186)</f>
        <v/>
      </c>
      <c r="J187" s="355">
        <f>IF(A187="TOTAL",ROUND(SUM($J$3:J186),2),IF(OR(A187="",H187="",I187=""),"",ROUND(H187*I187,2)))</f>
        <v/>
      </c>
      <c r="K187" s="356">
        <f>IF(OR(historico_VU!A186="",historico_VU!F186=""),"",historico_VU!F186)</f>
        <v/>
      </c>
      <c r="L187" s="120">
        <f>IF(posicao_contratual!A186="","",posicao_contratual!S186)</f>
        <v/>
      </c>
      <c r="M187" s="356">
        <f>IF(A187="TOTAL",ROUND(SUM($M$3:M186),2),IF(OR(A187="",K187="",L187=""),"",ROUND(K187*L187,2)))</f>
        <v/>
      </c>
      <c r="N187" s="355">
        <f>IF(OR(historico_VU!A186="",historico_VU!G186=""),"",historico_VU!G186)</f>
        <v/>
      </c>
      <c r="O187" s="118">
        <f>IF(posicao_contratual!A186="","",posicao_contratual!W186)</f>
        <v/>
      </c>
      <c r="P187" s="355">
        <f>IF(A187="TOTAL",ROUND(SUM($P$3:P186),2),IF(OR(A187="",N187="",O187=""),"",ROUND(N187*O187,2)))</f>
        <v/>
      </c>
      <c r="Q187" s="195">
        <f>IF($A187="","",IF(ISERROR(INDIRECT("CICLO_EM_EXECUCAO!$D$5")),"",INDIRECT("CICLO_EM_EXECUCAO!$D$5")))</f>
        <v/>
      </c>
      <c r="R187">
        <f>IF($A187="","",IF(MEMORIA_RESULTADOS!$W$46="","","C"&amp;MEMORIA_RESULTADOS!$W$46))</f>
        <v/>
      </c>
      <c r="S187" s="273">
        <f>IF($A187="","",IF(ISERROR(INDIRECT("CICLO_EM_EXECUCAO!B"&amp;(ROW()+10))),"",INDIRECT("CICLO_EM_EXECUCAO!B"&amp;(ROW()+10))))</f>
        <v/>
      </c>
      <c r="T187" s="273">
        <f>IF($A187="","",IF(ISERROR(INDIRECT("CICLO_EM_EXECUCAO!D"&amp;(ROW()+10))),"",INDIRECT("CICLO_EM_EXECUCAO!D"&amp;(ROW()+10))))</f>
        <v/>
      </c>
      <c r="U187" s="273">
        <f>IF($A187="","",IF(ISERROR(INDIRECT("CICLO_EM_EXECUCAO!C"&amp;(ROW()+10))),"",INDIRECT("CICLO_EM_EXECUCAO!C"&amp;(ROW()+10))))</f>
        <v/>
      </c>
      <c r="V187" s="213">
        <f>IF($A187="","",IF(ISERROR(INDIRECT("CICLO_EM_EXECUCAO!E"&amp;(ROW()+10))),"",INDIRECT("CICLO_EM_EXECUCAO!E"&amp;(ROW()+10))))</f>
        <v/>
      </c>
      <c r="W187" s="213">
        <f>IF($A187="","",IF(ISERROR(INDIRECT("CICLO_EM_EXECUCAO!F"&amp;(ROW()+10))),"",INDIRECT("CICLO_EM_EXECUCAO!F"&amp;(ROW()+10))))</f>
        <v/>
      </c>
      <c r="X187" s="213">
        <f>IF($A187="","",IF(ISERROR(INDIRECT("CICLO_EM_EXECUCAO!G"&amp;(ROW()+10))),"",INDIRECT("CICLO_EM_EXECUCAO!G"&amp;(ROW()+10))))</f>
        <v/>
      </c>
      <c r="Y187">
        <f>IF($A187="","",IF(ISERROR(INDIRECT("CICLO_EM_EXECUCAO!K"&amp;(ROW()+10))),"CICLO_EM_EXECUCAO AUSENTE",INDIRECT("CICLO_EM_EXECUCAO!K"&amp;(ROW()+10))))</f>
        <v/>
      </c>
    </row>
    <row r="188">
      <c r="A188" s="116">
        <f>IF(AND(itens_Remanesc!A187="",itens_Remanesc!A186&lt;&gt;"",COUNTIF(itens_Remanesc!A188:$A$200,"&lt;&gt;")=0),"TOTAL",IF(itens_Remanesc!A187="","",itens_Remanesc!A187))</f>
        <v/>
      </c>
      <c r="B188" s="355">
        <f>IF(OR(historico_VU!A187="",historico_VU!C187=""),"",historico_VU!C187)</f>
        <v/>
      </c>
      <c r="C188" s="118">
        <f>IF(posicao_contratual!A187="","",posicao_contratual!G187)</f>
        <v/>
      </c>
      <c r="D188" s="355">
        <f>IF(A188="TOTAL",ROUND(SUM($D$3:D187),2),IF(OR(A188="",B188="",C188=""),"",ROUND(B188*C188,2)))</f>
        <v/>
      </c>
      <c r="E188" s="356">
        <f>IF(OR(historico_VU!A187="",historico_VU!D187=""),"",historico_VU!D187)</f>
        <v/>
      </c>
      <c r="F188" s="120">
        <f>IF(posicao_contratual!A187="","",posicao_contratual!K187)</f>
        <v/>
      </c>
      <c r="G188" s="356">
        <f>IF(A188="TOTAL",ROUND(SUM($G$3:G187),2),IF(OR(A188="",E188="",F188=""),"",ROUND(E188*F188,2)))</f>
        <v/>
      </c>
      <c r="H188" s="355">
        <f>IF(OR(historico_VU!A187="",historico_VU!E187=""),"",historico_VU!E187)</f>
        <v/>
      </c>
      <c r="I188" s="118">
        <f>IF(posicao_contratual!A187="","",posicao_contratual!O187)</f>
        <v/>
      </c>
      <c r="J188" s="355">
        <f>IF(A188="TOTAL",ROUND(SUM($J$3:J187),2),IF(OR(A188="",H188="",I188=""),"",ROUND(H188*I188,2)))</f>
        <v/>
      </c>
      <c r="K188" s="356">
        <f>IF(OR(historico_VU!A187="",historico_VU!F187=""),"",historico_VU!F187)</f>
        <v/>
      </c>
      <c r="L188" s="120">
        <f>IF(posicao_contratual!A187="","",posicao_contratual!S187)</f>
        <v/>
      </c>
      <c r="M188" s="356">
        <f>IF(A188="TOTAL",ROUND(SUM($M$3:M187),2),IF(OR(A188="",K188="",L188=""),"",ROUND(K188*L188,2)))</f>
        <v/>
      </c>
      <c r="N188" s="355">
        <f>IF(OR(historico_VU!A187="",historico_VU!G187=""),"",historico_VU!G187)</f>
        <v/>
      </c>
      <c r="O188" s="118">
        <f>IF(posicao_contratual!A187="","",posicao_contratual!W187)</f>
        <v/>
      </c>
      <c r="P188" s="355">
        <f>IF(A188="TOTAL",ROUND(SUM($P$3:P187),2),IF(OR(A188="",N188="",O188=""),"",ROUND(N188*O188,2)))</f>
        <v/>
      </c>
      <c r="Q188" s="195">
        <f>IF($A188="","",IF(ISERROR(INDIRECT("CICLO_EM_EXECUCAO!$D$5")),"",INDIRECT("CICLO_EM_EXECUCAO!$D$5")))</f>
        <v/>
      </c>
      <c r="R188">
        <f>IF($A188="","",IF(MEMORIA_RESULTADOS!$W$46="","","C"&amp;MEMORIA_RESULTADOS!$W$46))</f>
        <v/>
      </c>
      <c r="S188" s="273">
        <f>IF($A188="","",IF(ISERROR(INDIRECT("CICLO_EM_EXECUCAO!B"&amp;(ROW()+10))),"",INDIRECT("CICLO_EM_EXECUCAO!B"&amp;(ROW()+10))))</f>
        <v/>
      </c>
      <c r="T188" s="273">
        <f>IF($A188="","",IF(ISERROR(INDIRECT("CICLO_EM_EXECUCAO!D"&amp;(ROW()+10))),"",INDIRECT("CICLO_EM_EXECUCAO!D"&amp;(ROW()+10))))</f>
        <v/>
      </c>
      <c r="U188" s="273">
        <f>IF($A188="","",IF(ISERROR(INDIRECT("CICLO_EM_EXECUCAO!C"&amp;(ROW()+10))),"",INDIRECT("CICLO_EM_EXECUCAO!C"&amp;(ROW()+10))))</f>
        <v/>
      </c>
      <c r="V188" s="213">
        <f>IF($A188="","",IF(ISERROR(INDIRECT("CICLO_EM_EXECUCAO!E"&amp;(ROW()+10))),"",INDIRECT("CICLO_EM_EXECUCAO!E"&amp;(ROW()+10))))</f>
        <v/>
      </c>
      <c r="W188" s="213">
        <f>IF($A188="","",IF(ISERROR(INDIRECT("CICLO_EM_EXECUCAO!F"&amp;(ROW()+10))),"",INDIRECT("CICLO_EM_EXECUCAO!F"&amp;(ROW()+10))))</f>
        <v/>
      </c>
      <c r="X188" s="213">
        <f>IF($A188="","",IF(ISERROR(INDIRECT("CICLO_EM_EXECUCAO!G"&amp;(ROW()+10))),"",INDIRECT("CICLO_EM_EXECUCAO!G"&amp;(ROW()+10))))</f>
        <v/>
      </c>
      <c r="Y188">
        <f>IF($A188="","",IF(ISERROR(INDIRECT("CICLO_EM_EXECUCAO!K"&amp;(ROW()+10))),"CICLO_EM_EXECUCAO AUSENTE",INDIRECT("CICLO_EM_EXECUCAO!K"&amp;(ROW()+10))))</f>
        <v/>
      </c>
    </row>
    <row r="189">
      <c r="A189" s="116">
        <f>IF(AND(itens_Remanesc!A188="",itens_Remanesc!A187&lt;&gt;"",COUNTIF(itens_Remanesc!A189:$A$200,"&lt;&gt;")=0),"TOTAL",IF(itens_Remanesc!A188="","",itens_Remanesc!A188))</f>
        <v/>
      </c>
      <c r="B189" s="355">
        <f>IF(OR(historico_VU!A188="",historico_VU!C188=""),"",historico_VU!C188)</f>
        <v/>
      </c>
      <c r="C189" s="118">
        <f>IF(posicao_contratual!A188="","",posicao_contratual!G188)</f>
        <v/>
      </c>
      <c r="D189" s="355">
        <f>IF(A189="TOTAL",ROUND(SUM($D$3:D188),2),IF(OR(A189="",B189="",C189=""),"",ROUND(B189*C189,2)))</f>
        <v/>
      </c>
      <c r="E189" s="356">
        <f>IF(OR(historico_VU!A188="",historico_VU!D188=""),"",historico_VU!D188)</f>
        <v/>
      </c>
      <c r="F189" s="120">
        <f>IF(posicao_contratual!A188="","",posicao_contratual!K188)</f>
        <v/>
      </c>
      <c r="G189" s="356">
        <f>IF(A189="TOTAL",ROUND(SUM($G$3:G188),2),IF(OR(A189="",E189="",F189=""),"",ROUND(E189*F189,2)))</f>
        <v/>
      </c>
      <c r="H189" s="355">
        <f>IF(OR(historico_VU!A188="",historico_VU!E188=""),"",historico_VU!E188)</f>
        <v/>
      </c>
      <c r="I189" s="118">
        <f>IF(posicao_contratual!A188="","",posicao_contratual!O188)</f>
        <v/>
      </c>
      <c r="J189" s="355">
        <f>IF(A189="TOTAL",ROUND(SUM($J$3:J188),2),IF(OR(A189="",H189="",I189=""),"",ROUND(H189*I189,2)))</f>
        <v/>
      </c>
      <c r="K189" s="356">
        <f>IF(OR(historico_VU!A188="",historico_VU!F188=""),"",historico_VU!F188)</f>
        <v/>
      </c>
      <c r="L189" s="120">
        <f>IF(posicao_contratual!A188="","",posicao_contratual!S188)</f>
        <v/>
      </c>
      <c r="M189" s="356">
        <f>IF(A189="TOTAL",ROUND(SUM($M$3:M188),2),IF(OR(A189="",K189="",L189=""),"",ROUND(K189*L189,2)))</f>
        <v/>
      </c>
      <c r="N189" s="355">
        <f>IF(OR(historico_VU!A188="",historico_VU!G188=""),"",historico_VU!G188)</f>
        <v/>
      </c>
      <c r="O189" s="118">
        <f>IF(posicao_contratual!A188="","",posicao_contratual!W188)</f>
        <v/>
      </c>
      <c r="P189" s="355">
        <f>IF(A189="TOTAL",ROUND(SUM($P$3:P188),2),IF(OR(A189="",N189="",O189=""),"",ROUND(N189*O189,2)))</f>
        <v/>
      </c>
      <c r="Q189" s="195">
        <f>IF($A189="","",IF(ISERROR(INDIRECT("CICLO_EM_EXECUCAO!$D$5")),"",INDIRECT("CICLO_EM_EXECUCAO!$D$5")))</f>
        <v/>
      </c>
      <c r="R189">
        <f>IF($A189="","",IF(MEMORIA_RESULTADOS!$W$46="","","C"&amp;MEMORIA_RESULTADOS!$W$46))</f>
        <v/>
      </c>
      <c r="S189" s="273">
        <f>IF($A189="","",IF(ISERROR(INDIRECT("CICLO_EM_EXECUCAO!B"&amp;(ROW()+10))),"",INDIRECT("CICLO_EM_EXECUCAO!B"&amp;(ROW()+10))))</f>
        <v/>
      </c>
      <c r="T189" s="273">
        <f>IF($A189="","",IF(ISERROR(INDIRECT("CICLO_EM_EXECUCAO!D"&amp;(ROW()+10))),"",INDIRECT("CICLO_EM_EXECUCAO!D"&amp;(ROW()+10))))</f>
        <v/>
      </c>
      <c r="U189" s="273">
        <f>IF($A189="","",IF(ISERROR(INDIRECT("CICLO_EM_EXECUCAO!C"&amp;(ROW()+10))),"",INDIRECT("CICLO_EM_EXECUCAO!C"&amp;(ROW()+10))))</f>
        <v/>
      </c>
      <c r="V189" s="213">
        <f>IF($A189="","",IF(ISERROR(INDIRECT("CICLO_EM_EXECUCAO!E"&amp;(ROW()+10))),"",INDIRECT("CICLO_EM_EXECUCAO!E"&amp;(ROW()+10))))</f>
        <v/>
      </c>
      <c r="W189" s="213">
        <f>IF($A189="","",IF(ISERROR(INDIRECT("CICLO_EM_EXECUCAO!F"&amp;(ROW()+10))),"",INDIRECT("CICLO_EM_EXECUCAO!F"&amp;(ROW()+10))))</f>
        <v/>
      </c>
      <c r="X189" s="213">
        <f>IF($A189="","",IF(ISERROR(INDIRECT("CICLO_EM_EXECUCAO!G"&amp;(ROW()+10))),"",INDIRECT("CICLO_EM_EXECUCAO!G"&amp;(ROW()+10))))</f>
        <v/>
      </c>
      <c r="Y189">
        <f>IF($A189="","",IF(ISERROR(INDIRECT("CICLO_EM_EXECUCAO!K"&amp;(ROW()+10))),"CICLO_EM_EXECUCAO AUSENTE",INDIRECT("CICLO_EM_EXECUCAO!K"&amp;(ROW()+10))))</f>
        <v/>
      </c>
    </row>
    <row r="190">
      <c r="A190" s="116">
        <f>IF(AND(itens_Remanesc!A189="",itens_Remanesc!A188&lt;&gt;"",COUNTIF(itens_Remanesc!A190:$A$200,"&lt;&gt;")=0),"TOTAL",IF(itens_Remanesc!A189="","",itens_Remanesc!A189))</f>
        <v/>
      </c>
      <c r="B190" s="355">
        <f>IF(OR(historico_VU!A189="",historico_VU!C189=""),"",historico_VU!C189)</f>
        <v/>
      </c>
      <c r="C190" s="118">
        <f>IF(posicao_contratual!A189="","",posicao_contratual!G189)</f>
        <v/>
      </c>
      <c r="D190" s="355">
        <f>IF(A190="TOTAL",ROUND(SUM($D$3:D189),2),IF(OR(A190="",B190="",C190=""),"",ROUND(B190*C190,2)))</f>
        <v/>
      </c>
      <c r="E190" s="356">
        <f>IF(OR(historico_VU!A189="",historico_VU!D189=""),"",historico_VU!D189)</f>
        <v/>
      </c>
      <c r="F190" s="120">
        <f>IF(posicao_contratual!A189="","",posicao_contratual!K189)</f>
        <v/>
      </c>
      <c r="G190" s="356">
        <f>IF(A190="TOTAL",ROUND(SUM($G$3:G189),2),IF(OR(A190="",E190="",F190=""),"",ROUND(E190*F190,2)))</f>
        <v/>
      </c>
      <c r="H190" s="355">
        <f>IF(OR(historico_VU!A189="",historico_VU!E189=""),"",historico_VU!E189)</f>
        <v/>
      </c>
      <c r="I190" s="118">
        <f>IF(posicao_contratual!A189="","",posicao_contratual!O189)</f>
        <v/>
      </c>
      <c r="J190" s="355">
        <f>IF(A190="TOTAL",ROUND(SUM($J$3:J189),2),IF(OR(A190="",H190="",I190=""),"",ROUND(H190*I190,2)))</f>
        <v/>
      </c>
      <c r="K190" s="356">
        <f>IF(OR(historico_VU!A189="",historico_VU!F189=""),"",historico_VU!F189)</f>
        <v/>
      </c>
      <c r="L190" s="120">
        <f>IF(posicao_contratual!A189="","",posicao_contratual!S189)</f>
        <v/>
      </c>
      <c r="M190" s="356">
        <f>IF(A190="TOTAL",ROUND(SUM($M$3:M189),2),IF(OR(A190="",K190="",L190=""),"",ROUND(K190*L190,2)))</f>
        <v/>
      </c>
      <c r="N190" s="355">
        <f>IF(OR(historico_VU!A189="",historico_VU!G189=""),"",historico_VU!G189)</f>
        <v/>
      </c>
      <c r="O190" s="118">
        <f>IF(posicao_contratual!A189="","",posicao_contratual!W189)</f>
        <v/>
      </c>
      <c r="P190" s="355">
        <f>IF(A190="TOTAL",ROUND(SUM($P$3:P189),2),IF(OR(A190="",N190="",O190=""),"",ROUND(N190*O190,2)))</f>
        <v/>
      </c>
      <c r="Q190" s="195">
        <f>IF($A190="","",IF(ISERROR(INDIRECT("CICLO_EM_EXECUCAO!$D$5")),"",INDIRECT("CICLO_EM_EXECUCAO!$D$5")))</f>
        <v/>
      </c>
      <c r="R190">
        <f>IF($A190="","",IF(MEMORIA_RESULTADOS!$W$46="","","C"&amp;MEMORIA_RESULTADOS!$W$46))</f>
        <v/>
      </c>
      <c r="S190" s="273">
        <f>IF($A190="","",IF(ISERROR(INDIRECT("CICLO_EM_EXECUCAO!B"&amp;(ROW()+10))),"",INDIRECT("CICLO_EM_EXECUCAO!B"&amp;(ROW()+10))))</f>
        <v/>
      </c>
      <c r="T190" s="273">
        <f>IF($A190="","",IF(ISERROR(INDIRECT("CICLO_EM_EXECUCAO!D"&amp;(ROW()+10))),"",INDIRECT("CICLO_EM_EXECUCAO!D"&amp;(ROW()+10))))</f>
        <v/>
      </c>
      <c r="U190" s="273">
        <f>IF($A190="","",IF(ISERROR(INDIRECT("CICLO_EM_EXECUCAO!C"&amp;(ROW()+10))),"",INDIRECT("CICLO_EM_EXECUCAO!C"&amp;(ROW()+10))))</f>
        <v/>
      </c>
      <c r="V190" s="213">
        <f>IF($A190="","",IF(ISERROR(INDIRECT("CICLO_EM_EXECUCAO!E"&amp;(ROW()+10))),"",INDIRECT("CICLO_EM_EXECUCAO!E"&amp;(ROW()+10))))</f>
        <v/>
      </c>
      <c r="W190" s="213">
        <f>IF($A190="","",IF(ISERROR(INDIRECT("CICLO_EM_EXECUCAO!F"&amp;(ROW()+10))),"",INDIRECT("CICLO_EM_EXECUCAO!F"&amp;(ROW()+10))))</f>
        <v/>
      </c>
      <c r="X190" s="213">
        <f>IF($A190="","",IF(ISERROR(INDIRECT("CICLO_EM_EXECUCAO!G"&amp;(ROW()+10))),"",INDIRECT("CICLO_EM_EXECUCAO!G"&amp;(ROW()+10))))</f>
        <v/>
      </c>
      <c r="Y190">
        <f>IF($A190="","",IF(ISERROR(INDIRECT("CICLO_EM_EXECUCAO!K"&amp;(ROW()+10))),"CICLO_EM_EXECUCAO AUSENTE",INDIRECT("CICLO_EM_EXECUCAO!K"&amp;(ROW()+10))))</f>
        <v/>
      </c>
    </row>
    <row r="191">
      <c r="A191" s="116">
        <f>IF(AND(itens_Remanesc!A190="",itens_Remanesc!A189&lt;&gt;"",COUNTIF(itens_Remanesc!A191:$A$200,"&lt;&gt;")=0),"TOTAL",IF(itens_Remanesc!A190="","",itens_Remanesc!A190))</f>
        <v/>
      </c>
      <c r="B191" s="355">
        <f>IF(OR(historico_VU!A190="",historico_VU!C190=""),"",historico_VU!C190)</f>
        <v/>
      </c>
      <c r="C191" s="118">
        <f>IF(posicao_contratual!A190="","",posicao_contratual!G190)</f>
        <v/>
      </c>
      <c r="D191" s="355">
        <f>IF(A191="TOTAL",ROUND(SUM($D$3:D190),2),IF(OR(A191="",B191="",C191=""),"",ROUND(B191*C191,2)))</f>
        <v/>
      </c>
      <c r="E191" s="356">
        <f>IF(OR(historico_VU!A190="",historico_VU!D190=""),"",historico_VU!D190)</f>
        <v/>
      </c>
      <c r="F191" s="120">
        <f>IF(posicao_contratual!A190="","",posicao_contratual!K190)</f>
        <v/>
      </c>
      <c r="G191" s="356">
        <f>IF(A191="TOTAL",ROUND(SUM($G$3:G190),2),IF(OR(A191="",E191="",F191=""),"",ROUND(E191*F191,2)))</f>
        <v/>
      </c>
      <c r="H191" s="355">
        <f>IF(OR(historico_VU!A190="",historico_VU!E190=""),"",historico_VU!E190)</f>
        <v/>
      </c>
      <c r="I191" s="118">
        <f>IF(posicao_contratual!A190="","",posicao_contratual!O190)</f>
        <v/>
      </c>
      <c r="J191" s="355">
        <f>IF(A191="TOTAL",ROUND(SUM($J$3:J190),2),IF(OR(A191="",H191="",I191=""),"",ROUND(H191*I191,2)))</f>
        <v/>
      </c>
      <c r="K191" s="356">
        <f>IF(OR(historico_VU!A190="",historico_VU!F190=""),"",historico_VU!F190)</f>
        <v/>
      </c>
      <c r="L191" s="120">
        <f>IF(posicao_contratual!A190="","",posicao_contratual!S190)</f>
        <v/>
      </c>
      <c r="M191" s="356">
        <f>IF(A191="TOTAL",ROUND(SUM($M$3:M190),2),IF(OR(A191="",K191="",L191=""),"",ROUND(K191*L191,2)))</f>
        <v/>
      </c>
      <c r="N191" s="355">
        <f>IF(OR(historico_VU!A190="",historico_VU!G190=""),"",historico_VU!G190)</f>
        <v/>
      </c>
      <c r="O191" s="118">
        <f>IF(posicao_contratual!A190="","",posicao_contratual!W190)</f>
        <v/>
      </c>
      <c r="P191" s="355">
        <f>IF(A191="TOTAL",ROUND(SUM($P$3:P190),2),IF(OR(A191="",N191="",O191=""),"",ROUND(N191*O191,2)))</f>
        <v/>
      </c>
      <c r="Q191" s="195">
        <f>IF($A191="","",IF(ISERROR(INDIRECT("CICLO_EM_EXECUCAO!$D$5")),"",INDIRECT("CICLO_EM_EXECUCAO!$D$5")))</f>
        <v/>
      </c>
      <c r="R191">
        <f>IF($A191="","",IF(MEMORIA_RESULTADOS!$W$46="","","C"&amp;MEMORIA_RESULTADOS!$W$46))</f>
        <v/>
      </c>
      <c r="S191" s="273">
        <f>IF($A191="","",IF(ISERROR(INDIRECT("CICLO_EM_EXECUCAO!B"&amp;(ROW()+10))),"",INDIRECT("CICLO_EM_EXECUCAO!B"&amp;(ROW()+10))))</f>
        <v/>
      </c>
      <c r="T191" s="273">
        <f>IF($A191="","",IF(ISERROR(INDIRECT("CICLO_EM_EXECUCAO!D"&amp;(ROW()+10))),"",INDIRECT("CICLO_EM_EXECUCAO!D"&amp;(ROW()+10))))</f>
        <v/>
      </c>
      <c r="U191" s="273">
        <f>IF($A191="","",IF(ISERROR(INDIRECT("CICLO_EM_EXECUCAO!C"&amp;(ROW()+10))),"",INDIRECT("CICLO_EM_EXECUCAO!C"&amp;(ROW()+10))))</f>
        <v/>
      </c>
      <c r="V191" s="213">
        <f>IF($A191="","",IF(ISERROR(INDIRECT("CICLO_EM_EXECUCAO!E"&amp;(ROW()+10))),"",INDIRECT("CICLO_EM_EXECUCAO!E"&amp;(ROW()+10))))</f>
        <v/>
      </c>
      <c r="W191" s="213">
        <f>IF($A191="","",IF(ISERROR(INDIRECT("CICLO_EM_EXECUCAO!F"&amp;(ROW()+10))),"",INDIRECT("CICLO_EM_EXECUCAO!F"&amp;(ROW()+10))))</f>
        <v/>
      </c>
      <c r="X191" s="213">
        <f>IF($A191="","",IF(ISERROR(INDIRECT("CICLO_EM_EXECUCAO!G"&amp;(ROW()+10))),"",INDIRECT("CICLO_EM_EXECUCAO!G"&amp;(ROW()+10))))</f>
        <v/>
      </c>
      <c r="Y191">
        <f>IF($A191="","",IF(ISERROR(INDIRECT("CICLO_EM_EXECUCAO!K"&amp;(ROW()+10))),"CICLO_EM_EXECUCAO AUSENTE",INDIRECT("CICLO_EM_EXECUCAO!K"&amp;(ROW()+10))))</f>
        <v/>
      </c>
    </row>
    <row r="192">
      <c r="A192" s="116">
        <f>IF(AND(itens_Remanesc!A191="",itens_Remanesc!A190&lt;&gt;"",COUNTIF(itens_Remanesc!A192:$A$200,"&lt;&gt;")=0),"TOTAL",IF(itens_Remanesc!A191="","",itens_Remanesc!A191))</f>
        <v/>
      </c>
      <c r="B192" s="355">
        <f>IF(OR(historico_VU!A191="",historico_VU!C191=""),"",historico_VU!C191)</f>
        <v/>
      </c>
      <c r="C192" s="118">
        <f>IF(posicao_contratual!A191="","",posicao_contratual!G191)</f>
        <v/>
      </c>
      <c r="D192" s="355">
        <f>IF(A192="TOTAL",ROUND(SUM($D$3:D191),2),IF(OR(A192="",B192="",C192=""),"",ROUND(B192*C192,2)))</f>
        <v/>
      </c>
      <c r="E192" s="356">
        <f>IF(OR(historico_VU!A191="",historico_VU!D191=""),"",historico_VU!D191)</f>
        <v/>
      </c>
      <c r="F192" s="120">
        <f>IF(posicao_contratual!A191="","",posicao_contratual!K191)</f>
        <v/>
      </c>
      <c r="G192" s="356">
        <f>IF(A192="TOTAL",ROUND(SUM($G$3:G191),2),IF(OR(A192="",E192="",F192=""),"",ROUND(E192*F192,2)))</f>
        <v/>
      </c>
      <c r="H192" s="355">
        <f>IF(OR(historico_VU!A191="",historico_VU!E191=""),"",historico_VU!E191)</f>
        <v/>
      </c>
      <c r="I192" s="118">
        <f>IF(posicao_contratual!A191="","",posicao_contratual!O191)</f>
        <v/>
      </c>
      <c r="J192" s="355">
        <f>IF(A192="TOTAL",ROUND(SUM($J$3:J191),2),IF(OR(A192="",H192="",I192=""),"",ROUND(H192*I192,2)))</f>
        <v/>
      </c>
      <c r="K192" s="356">
        <f>IF(OR(historico_VU!A191="",historico_VU!F191=""),"",historico_VU!F191)</f>
        <v/>
      </c>
      <c r="L192" s="120">
        <f>IF(posicao_contratual!A191="","",posicao_contratual!S191)</f>
        <v/>
      </c>
      <c r="M192" s="356">
        <f>IF(A192="TOTAL",ROUND(SUM($M$3:M191),2),IF(OR(A192="",K192="",L192=""),"",ROUND(K192*L192,2)))</f>
        <v/>
      </c>
      <c r="N192" s="355">
        <f>IF(OR(historico_VU!A191="",historico_VU!G191=""),"",historico_VU!G191)</f>
        <v/>
      </c>
      <c r="O192" s="118">
        <f>IF(posicao_contratual!A191="","",posicao_contratual!W191)</f>
        <v/>
      </c>
      <c r="P192" s="355">
        <f>IF(A192="TOTAL",ROUND(SUM($P$3:P191),2),IF(OR(A192="",N192="",O192=""),"",ROUND(N192*O192,2)))</f>
        <v/>
      </c>
      <c r="Q192" s="195">
        <f>IF($A192="","",IF(ISERROR(INDIRECT("CICLO_EM_EXECUCAO!$D$5")),"",INDIRECT("CICLO_EM_EXECUCAO!$D$5")))</f>
        <v/>
      </c>
      <c r="R192">
        <f>IF($A192="","",IF(MEMORIA_RESULTADOS!$W$46="","","C"&amp;MEMORIA_RESULTADOS!$W$46))</f>
        <v/>
      </c>
      <c r="S192" s="273">
        <f>IF($A192="","",IF(ISERROR(INDIRECT("CICLO_EM_EXECUCAO!B"&amp;(ROW()+10))),"",INDIRECT("CICLO_EM_EXECUCAO!B"&amp;(ROW()+10))))</f>
        <v/>
      </c>
      <c r="T192" s="273">
        <f>IF($A192="","",IF(ISERROR(INDIRECT("CICLO_EM_EXECUCAO!D"&amp;(ROW()+10))),"",INDIRECT("CICLO_EM_EXECUCAO!D"&amp;(ROW()+10))))</f>
        <v/>
      </c>
      <c r="U192" s="273">
        <f>IF($A192="","",IF(ISERROR(INDIRECT("CICLO_EM_EXECUCAO!C"&amp;(ROW()+10))),"",INDIRECT("CICLO_EM_EXECUCAO!C"&amp;(ROW()+10))))</f>
        <v/>
      </c>
      <c r="V192" s="213">
        <f>IF($A192="","",IF(ISERROR(INDIRECT("CICLO_EM_EXECUCAO!E"&amp;(ROW()+10))),"",INDIRECT("CICLO_EM_EXECUCAO!E"&amp;(ROW()+10))))</f>
        <v/>
      </c>
      <c r="W192" s="213">
        <f>IF($A192="","",IF(ISERROR(INDIRECT("CICLO_EM_EXECUCAO!F"&amp;(ROW()+10))),"",INDIRECT("CICLO_EM_EXECUCAO!F"&amp;(ROW()+10))))</f>
        <v/>
      </c>
      <c r="X192" s="213">
        <f>IF($A192="","",IF(ISERROR(INDIRECT("CICLO_EM_EXECUCAO!G"&amp;(ROW()+10))),"",INDIRECT("CICLO_EM_EXECUCAO!G"&amp;(ROW()+10))))</f>
        <v/>
      </c>
      <c r="Y192">
        <f>IF($A192="","",IF(ISERROR(INDIRECT("CICLO_EM_EXECUCAO!K"&amp;(ROW()+10))),"CICLO_EM_EXECUCAO AUSENTE",INDIRECT("CICLO_EM_EXECUCAO!K"&amp;(ROW()+10))))</f>
        <v/>
      </c>
    </row>
    <row r="193">
      <c r="A193" s="116">
        <f>IF(AND(itens_Remanesc!A192="",itens_Remanesc!A191&lt;&gt;"",COUNTIF(itens_Remanesc!A193:$A$200,"&lt;&gt;")=0),"TOTAL",IF(itens_Remanesc!A192="","",itens_Remanesc!A192))</f>
        <v/>
      </c>
      <c r="B193" s="355">
        <f>IF(OR(historico_VU!A192="",historico_VU!C192=""),"",historico_VU!C192)</f>
        <v/>
      </c>
      <c r="C193" s="118">
        <f>IF(posicao_contratual!A192="","",posicao_contratual!G192)</f>
        <v/>
      </c>
      <c r="D193" s="355">
        <f>IF(A193="TOTAL",ROUND(SUM($D$3:D192),2),IF(OR(A193="",B193="",C193=""),"",ROUND(B193*C193,2)))</f>
        <v/>
      </c>
      <c r="E193" s="356">
        <f>IF(OR(historico_VU!A192="",historico_VU!D192=""),"",historico_VU!D192)</f>
        <v/>
      </c>
      <c r="F193" s="120">
        <f>IF(posicao_contratual!A192="","",posicao_contratual!K192)</f>
        <v/>
      </c>
      <c r="G193" s="356">
        <f>IF(A193="TOTAL",ROUND(SUM($G$3:G192),2),IF(OR(A193="",E193="",F193=""),"",ROUND(E193*F193,2)))</f>
        <v/>
      </c>
      <c r="H193" s="355">
        <f>IF(OR(historico_VU!A192="",historico_VU!E192=""),"",historico_VU!E192)</f>
        <v/>
      </c>
      <c r="I193" s="118">
        <f>IF(posicao_contratual!A192="","",posicao_contratual!O192)</f>
        <v/>
      </c>
      <c r="J193" s="355">
        <f>IF(A193="TOTAL",ROUND(SUM($J$3:J192),2),IF(OR(A193="",H193="",I193=""),"",ROUND(H193*I193,2)))</f>
        <v/>
      </c>
      <c r="K193" s="356">
        <f>IF(OR(historico_VU!A192="",historico_VU!F192=""),"",historico_VU!F192)</f>
        <v/>
      </c>
      <c r="L193" s="120">
        <f>IF(posicao_contratual!A192="","",posicao_contratual!S192)</f>
        <v/>
      </c>
      <c r="M193" s="356">
        <f>IF(A193="TOTAL",ROUND(SUM($M$3:M192),2),IF(OR(A193="",K193="",L193=""),"",ROUND(K193*L193,2)))</f>
        <v/>
      </c>
      <c r="N193" s="355">
        <f>IF(OR(historico_VU!A192="",historico_VU!G192=""),"",historico_VU!G192)</f>
        <v/>
      </c>
      <c r="O193" s="118">
        <f>IF(posicao_contratual!A192="","",posicao_contratual!W192)</f>
        <v/>
      </c>
      <c r="P193" s="355">
        <f>IF(A193="TOTAL",ROUND(SUM($P$3:P192),2),IF(OR(A193="",N193="",O193=""),"",ROUND(N193*O193,2)))</f>
        <v/>
      </c>
      <c r="Q193" s="195">
        <f>IF($A193="","",IF(ISERROR(INDIRECT("CICLO_EM_EXECUCAO!$D$5")),"",INDIRECT("CICLO_EM_EXECUCAO!$D$5")))</f>
        <v/>
      </c>
      <c r="R193">
        <f>IF($A193="","",IF(MEMORIA_RESULTADOS!$W$46="","","C"&amp;MEMORIA_RESULTADOS!$W$46))</f>
        <v/>
      </c>
      <c r="S193" s="273">
        <f>IF($A193="","",IF(ISERROR(INDIRECT("CICLO_EM_EXECUCAO!B"&amp;(ROW()+10))),"",INDIRECT("CICLO_EM_EXECUCAO!B"&amp;(ROW()+10))))</f>
        <v/>
      </c>
      <c r="T193" s="273">
        <f>IF($A193="","",IF(ISERROR(INDIRECT("CICLO_EM_EXECUCAO!D"&amp;(ROW()+10))),"",INDIRECT("CICLO_EM_EXECUCAO!D"&amp;(ROW()+10))))</f>
        <v/>
      </c>
      <c r="U193" s="273">
        <f>IF($A193="","",IF(ISERROR(INDIRECT("CICLO_EM_EXECUCAO!C"&amp;(ROW()+10))),"",INDIRECT("CICLO_EM_EXECUCAO!C"&amp;(ROW()+10))))</f>
        <v/>
      </c>
      <c r="V193" s="213">
        <f>IF($A193="","",IF(ISERROR(INDIRECT("CICLO_EM_EXECUCAO!E"&amp;(ROW()+10))),"",INDIRECT("CICLO_EM_EXECUCAO!E"&amp;(ROW()+10))))</f>
        <v/>
      </c>
      <c r="W193" s="213">
        <f>IF($A193="","",IF(ISERROR(INDIRECT("CICLO_EM_EXECUCAO!F"&amp;(ROW()+10))),"",INDIRECT("CICLO_EM_EXECUCAO!F"&amp;(ROW()+10))))</f>
        <v/>
      </c>
      <c r="X193" s="213">
        <f>IF($A193="","",IF(ISERROR(INDIRECT("CICLO_EM_EXECUCAO!G"&amp;(ROW()+10))),"",INDIRECT("CICLO_EM_EXECUCAO!G"&amp;(ROW()+10))))</f>
        <v/>
      </c>
      <c r="Y193">
        <f>IF($A193="","",IF(ISERROR(INDIRECT("CICLO_EM_EXECUCAO!K"&amp;(ROW()+10))),"CICLO_EM_EXECUCAO AUSENTE",INDIRECT("CICLO_EM_EXECUCAO!K"&amp;(ROW()+10))))</f>
        <v/>
      </c>
    </row>
    <row r="194">
      <c r="A194" s="116">
        <f>IF(AND(itens_Remanesc!A193="",itens_Remanesc!A192&lt;&gt;"",COUNTIF(itens_Remanesc!A194:$A$200,"&lt;&gt;")=0),"TOTAL",IF(itens_Remanesc!A193="","",itens_Remanesc!A193))</f>
        <v/>
      </c>
      <c r="B194" s="355">
        <f>IF(OR(historico_VU!A193="",historico_VU!C193=""),"",historico_VU!C193)</f>
        <v/>
      </c>
      <c r="C194" s="118">
        <f>IF(posicao_contratual!A193="","",posicao_contratual!G193)</f>
        <v/>
      </c>
      <c r="D194" s="355">
        <f>IF(A194="TOTAL",ROUND(SUM($D$3:D193),2),IF(OR(A194="",B194="",C194=""),"",ROUND(B194*C194,2)))</f>
        <v/>
      </c>
      <c r="E194" s="356">
        <f>IF(OR(historico_VU!A193="",historico_VU!D193=""),"",historico_VU!D193)</f>
        <v/>
      </c>
      <c r="F194" s="120">
        <f>IF(posicao_contratual!A193="","",posicao_contratual!K193)</f>
        <v/>
      </c>
      <c r="G194" s="356">
        <f>IF(A194="TOTAL",ROUND(SUM($G$3:G193),2),IF(OR(A194="",E194="",F194=""),"",ROUND(E194*F194,2)))</f>
        <v/>
      </c>
      <c r="H194" s="355">
        <f>IF(OR(historico_VU!A193="",historico_VU!E193=""),"",historico_VU!E193)</f>
        <v/>
      </c>
      <c r="I194" s="118">
        <f>IF(posicao_contratual!A193="","",posicao_contratual!O193)</f>
        <v/>
      </c>
      <c r="J194" s="355">
        <f>IF(A194="TOTAL",ROUND(SUM($J$3:J193),2),IF(OR(A194="",H194="",I194=""),"",ROUND(H194*I194,2)))</f>
        <v/>
      </c>
      <c r="K194" s="356">
        <f>IF(OR(historico_VU!A193="",historico_VU!F193=""),"",historico_VU!F193)</f>
        <v/>
      </c>
      <c r="L194" s="120">
        <f>IF(posicao_contratual!A193="","",posicao_contratual!S193)</f>
        <v/>
      </c>
      <c r="M194" s="356">
        <f>IF(A194="TOTAL",ROUND(SUM($M$3:M193),2),IF(OR(A194="",K194="",L194=""),"",ROUND(K194*L194,2)))</f>
        <v/>
      </c>
      <c r="N194" s="355">
        <f>IF(OR(historico_VU!A193="",historico_VU!G193=""),"",historico_VU!G193)</f>
        <v/>
      </c>
      <c r="O194" s="118">
        <f>IF(posicao_contratual!A193="","",posicao_contratual!W193)</f>
        <v/>
      </c>
      <c r="P194" s="355">
        <f>IF(A194="TOTAL",ROUND(SUM($P$3:P193),2),IF(OR(A194="",N194="",O194=""),"",ROUND(N194*O194,2)))</f>
        <v/>
      </c>
      <c r="Q194" s="195">
        <f>IF($A194="","",IF(ISERROR(INDIRECT("CICLO_EM_EXECUCAO!$D$5")),"",INDIRECT("CICLO_EM_EXECUCAO!$D$5")))</f>
        <v/>
      </c>
      <c r="R194">
        <f>IF($A194="","",IF(MEMORIA_RESULTADOS!$W$46="","","C"&amp;MEMORIA_RESULTADOS!$W$46))</f>
        <v/>
      </c>
      <c r="S194" s="273">
        <f>IF($A194="","",IF(ISERROR(INDIRECT("CICLO_EM_EXECUCAO!B"&amp;(ROW()+10))),"",INDIRECT("CICLO_EM_EXECUCAO!B"&amp;(ROW()+10))))</f>
        <v/>
      </c>
      <c r="T194" s="273">
        <f>IF($A194="","",IF(ISERROR(INDIRECT("CICLO_EM_EXECUCAO!D"&amp;(ROW()+10))),"",INDIRECT("CICLO_EM_EXECUCAO!D"&amp;(ROW()+10))))</f>
        <v/>
      </c>
      <c r="U194" s="273">
        <f>IF($A194="","",IF(ISERROR(INDIRECT("CICLO_EM_EXECUCAO!C"&amp;(ROW()+10))),"",INDIRECT("CICLO_EM_EXECUCAO!C"&amp;(ROW()+10))))</f>
        <v/>
      </c>
      <c r="V194" s="213">
        <f>IF($A194="","",IF(ISERROR(INDIRECT("CICLO_EM_EXECUCAO!E"&amp;(ROW()+10))),"",INDIRECT("CICLO_EM_EXECUCAO!E"&amp;(ROW()+10))))</f>
        <v/>
      </c>
      <c r="W194" s="213">
        <f>IF($A194="","",IF(ISERROR(INDIRECT("CICLO_EM_EXECUCAO!F"&amp;(ROW()+10))),"",INDIRECT("CICLO_EM_EXECUCAO!F"&amp;(ROW()+10))))</f>
        <v/>
      </c>
      <c r="X194" s="213">
        <f>IF($A194="","",IF(ISERROR(INDIRECT("CICLO_EM_EXECUCAO!G"&amp;(ROW()+10))),"",INDIRECT("CICLO_EM_EXECUCAO!G"&amp;(ROW()+10))))</f>
        <v/>
      </c>
      <c r="Y194">
        <f>IF($A194="","",IF(ISERROR(INDIRECT("CICLO_EM_EXECUCAO!K"&amp;(ROW()+10))),"CICLO_EM_EXECUCAO AUSENTE",INDIRECT("CICLO_EM_EXECUCAO!K"&amp;(ROW()+10))))</f>
        <v/>
      </c>
    </row>
    <row r="195">
      <c r="A195" s="116">
        <f>IF(AND(itens_Remanesc!A194="",itens_Remanesc!A193&lt;&gt;"",COUNTIF(itens_Remanesc!A195:$A$200,"&lt;&gt;")=0),"TOTAL",IF(itens_Remanesc!A194="","",itens_Remanesc!A194))</f>
        <v/>
      </c>
      <c r="B195" s="355">
        <f>IF(OR(historico_VU!A194="",historico_VU!C194=""),"",historico_VU!C194)</f>
        <v/>
      </c>
      <c r="C195" s="118">
        <f>IF(posicao_contratual!A194="","",posicao_contratual!G194)</f>
        <v/>
      </c>
      <c r="D195" s="355">
        <f>IF(A195="TOTAL",ROUND(SUM($D$3:D194),2),IF(OR(A195="",B195="",C195=""),"",ROUND(B195*C195,2)))</f>
        <v/>
      </c>
      <c r="E195" s="356">
        <f>IF(OR(historico_VU!A194="",historico_VU!D194=""),"",historico_VU!D194)</f>
        <v/>
      </c>
      <c r="F195" s="120">
        <f>IF(posicao_contratual!A194="","",posicao_contratual!K194)</f>
        <v/>
      </c>
      <c r="G195" s="356">
        <f>IF(A195="TOTAL",ROUND(SUM($G$3:G194),2),IF(OR(A195="",E195="",F195=""),"",ROUND(E195*F195,2)))</f>
        <v/>
      </c>
      <c r="H195" s="355">
        <f>IF(OR(historico_VU!A194="",historico_VU!E194=""),"",historico_VU!E194)</f>
        <v/>
      </c>
      <c r="I195" s="118">
        <f>IF(posicao_contratual!A194="","",posicao_contratual!O194)</f>
        <v/>
      </c>
      <c r="J195" s="355">
        <f>IF(A195="TOTAL",ROUND(SUM($J$3:J194),2),IF(OR(A195="",H195="",I195=""),"",ROUND(H195*I195,2)))</f>
        <v/>
      </c>
      <c r="K195" s="356">
        <f>IF(OR(historico_VU!A194="",historico_VU!F194=""),"",historico_VU!F194)</f>
        <v/>
      </c>
      <c r="L195" s="120">
        <f>IF(posicao_contratual!A194="","",posicao_contratual!S194)</f>
        <v/>
      </c>
      <c r="M195" s="356">
        <f>IF(A195="TOTAL",ROUND(SUM($M$3:M194),2),IF(OR(A195="",K195="",L195=""),"",ROUND(K195*L195,2)))</f>
        <v/>
      </c>
      <c r="N195" s="355">
        <f>IF(OR(historico_VU!A194="",historico_VU!G194=""),"",historico_VU!G194)</f>
        <v/>
      </c>
      <c r="O195" s="118">
        <f>IF(posicao_contratual!A194="","",posicao_contratual!W194)</f>
        <v/>
      </c>
      <c r="P195" s="355">
        <f>IF(A195="TOTAL",ROUND(SUM($P$3:P194),2),IF(OR(A195="",N195="",O195=""),"",ROUND(N195*O195,2)))</f>
        <v/>
      </c>
      <c r="Q195" s="195">
        <f>IF($A195="","",IF(ISERROR(INDIRECT("CICLO_EM_EXECUCAO!$D$5")),"",INDIRECT("CICLO_EM_EXECUCAO!$D$5")))</f>
        <v/>
      </c>
      <c r="R195">
        <f>IF($A195="","",IF(MEMORIA_RESULTADOS!$W$46="","","C"&amp;MEMORIA_RESULTADOS!$W$46))</f>
        <v/>
      </c>
      <c r="S195" s="273">
        <f>IF($A195="","",IF(ISERROR(INDIRECT("CICLO_EM_EXECUCAO!B"&amp;(ROW()+10))),"",INDIRECT("CICLO_EM_EXECUCAO!B"&amp;(ROW()+10))))</f>
        <v/>
      </c>
      <c r="T195" s="273">
        <f>IF($A195="","",IF(ISERROR(INDIRECT("CICLO_EM_EXECUCAO!D"&amp;(ROW()+10))),"",INDIRECT("CICLO_EM_EXECUCAO!D"&amp;(ROW()+10))))</f>
        <v/>
      </c>
      <c r="U195" s="273">
        <f>IF($A195="","",IF(ISERROR(INDIRECT("CICLO_EM_EXECUCAO!C"&amp;(ROW()+10))),"",INDIRECT("CICLO_EM_EXECUCAO!C"&amp;(ROW()+10))))</f>
        <v/>
      </c>
      <c r="V195" s="213">
        <f>IF($A195="","",IF(ISERROR(INDIRECT("CICLO_EM_EXECUCAO!E"&amp;(ROW()+10))),"",INDIRECT("CICLO_EM_EXECUCAO!E"&amp;(ROW()+10))))</f>
        <v/>
      </c>
      <c r="W195" s="213">
        <f>IF($A195="","",IF(ISERROR(INDIRECT("CICLO_EM_EXECUCAO!F"&amp;(ROW()+10))),"",INDIRECT("CICLO_EM_EXECUCAO!F"&amp;(ROW()+10))))</f>
        <v/>
      </c>
      <c r="X195" s="213">
        <f>IF($A195="","",IF(ISERROR(INDIRECT("CICLO_EM_EXECUCAO!G"&amp;(ROW()+10))),"",INDIRECT("CICLO_EM_EXECUCAO!G"&amp;(ROW()+10))))</f>
        <v/>
      </c>
      <c r="Y195">
        <f>IF($A195="","",IF(ISERROR(INDIRECT("CICLO_EM_EXECUCAO!K"&amp;(ROW()+10))),"CICLO_EM_EXECUCAO AUSENTE",INDIRECT("CICLO_EM_EXECUCAO!K"&amp;(ROW()+10))))</f>
        <v/>
      </c>
    </row>
    <row r="196">
      <c r="A196" s="116">
        <f>IF(AND(itens_Remanesc!A195="",itens_Remanesc!A194&lt;&gt;"",COUNTIF(itens_Remanesc!A196:$A$200,"&lt;&gt;")=0),"TOTAL",IF(itens_Remanesc!A195="","",itens_Remanesc!A195))</f>
        <v/>
      </c>
      <c r="B196" s="355">
        <f>IF(OR(historico_VU!A195="",historico_VU!C195=""),"",historico_VU!C195)</f>
        <v/>
      </c>
      <c r="C196" s="118">
        <f>IF(posicao_contratual!A195="","",posicao_contratual!G195)</f>
        <v/>
      </c>
      <c r="D196" s="355">
        <f>IF(A196="TOTAL",ROUND(SUM($D$3:D195),2),IF(OR(A196="",B196="",C196=""),"",ROUND(B196*C196,2)))</f>
        <v/>
      </c>
      <c r="E196" s="356">
        <f>IF(OR(historico_VU!A195="",historico_VU!D195=""),"",historico_VU!D195)</f>
        <v/>
      </c>
      <c r="F196" s="120">
        <f>IF(posicao_contratual!A195="","",posicao_contratual!K195)</f>
        <v/>
      </c>
      <c r="G196" s="356">
        <f>IF(A196="TOTAL",ROUND(SUM($G$3:G195),2),IF(OR(A196="",E196="",F196=""),"",ROUND(E196*F196,2)))</f>
        <v/>
      </c>
      <c r="H196" s="355">
        <f>IF(OR(historico_VU!A195="",historico_VU!E195=""),"",historico_VU!E195)</f>
        <v/>
      </c>
      <c r="I196" s="118">
        <f>IF(posicao_contratual!A195="","",posicao_contratual!O195)</f>
        <v/>
      </c>
      <c r="J196" s="355">
        <f>IF(A196="TOTAL",ROUND(SUM($J$3:J195),2),IF(OR(A196="",H196="",I196=""),"",ROUND(H196*I196,2)))</f>
        <v/>
      </c>
      <c r="K196" s="356">
        <f>IF(OR(historico_VU!A195="",historico_VU!F195=""),"",historico_VU!F195)</f>
        <v/>
      </c>
      <c r="L196" s="120">
        <f>IF(posicao_contratual!A195="","",posicao_contratual!S195)</f>
        <v/>
      </c>
      <c r="M196" s="356">
        <f>IF(A196="TOTAL",ROUND(SUM($M$3:M195),2),IF(OR(A196="",K196="",L196=""),"",ROUND(K196*L196,2)))</f>
        <v/>
      </c>
      <c r="N196" s="355">
        <f>IF(OR(historico_VU!A195="",historico_VU!G195=""),"",historico_VU!G195)</f>
        <v/>
      </c>
      <c r="O196" s="118">
        <f>IF(posicao_contratual!A195="","",posicao_contratual!W195)</f>
        <v/>
      </c>
      <c r="P196" s="355">
        <f>IF(A196="TOTAL",ROUND(SUM($P$3:P195),2),IF(OR(A196="",N196="",O196=""),"",ROUND(N196*O196,2)))</f>
        <v/>
      </c>
      <c r="Q196" s="195">
        <f>IF($A196="","",IF(ISERROR(INDIRECT("CICLO_EM_EXECUCAO!$D$5")),"",INDIRECT("CICLO_EM_EXECUCAO!$D$5")))</f>
        <v/>
      </c>
      <c r="R196">
        <f>IF($A196="","",IF(MEMORIA_RESULTADOS!$W$46="","","C"&amp;MEMORIA_RESULTADOS!$W$46))</f>
        <v/>
      </c>
      <c r="S196" s="273">
        <f>IF($A196="","",IF(ISERROR(INDIRECT("CICLO_EM_EXECUCAO!B"&amp;(ROW()+10))),"",INDIRECT("CICLO_EM_EXECUCAO!B"&amp;(ROW()+10))))</f>
        <v/>
      </c>
      <c r="T196" s="273">
        <f>IF($A196="","",IF(ISERROR(INDIRECT("CICLO_EM_EXECUCAO!D"&amp;(ROW()+10))),"",INDIRECT("CICLO_EM_EXECUCAO!D"&amp;(ROW()+10))))</f>
        <v/>
      </c>
      <c r="U196" s="273">
        <f>IF($A196="","",IF(ISERROR(INDIRECT("CICLO_EM_EXECUCAO!C"&amp;(ROW()+10))),"",INDIRECT("CICLO_EM_EXECUCAO!C"&amp;(ROW()+10))))</f>
        <v/>
      </c>
      <c r="V196" s="213">
        <f>IF($A196="","",IF(ISERROR(INDIRECT("CICLO_EM_EXECUCAO!E"&amp;(ROW()+10))),"",INDIRECT("CICLO_EM_EXECUCAO!E"&amp;(ROW()+10))))</f>
        <v/>
      </c>
      <c r="W196" s="213">
        <f>IF($A196="","",IF(ISERROR(INDIRECT("CICLO_EM_EXECUCAO!F"&amp;(ROW()+10))),"",INDIRECT("CICLO_EM_EXECUCAO!F"&amp;(ROW()+10))))</f>
        <v/>
      </c>
      <c r="X196" s="213">
        <f>IF($A196="","",IF(ISERROR(INDIRECT("CICLO_EM_EXECUCAO!G"&amp;(ROW()+10))),"",INDIRECT("CICLO_EM_EXECUCAO!G"&amp;(ROW()+10))))</f>
        <v/>
      </c>
      <c r="Y196">
        <f>IF($A196="","",IF(ISERROR(INDIRECT("CICLO_EM_EXECUCAO!K"&amp;(ROW()+10))),"CICLO_EM_EXECUCAO AUSENTE",INDIRECT("CICLO_EM_EXECUCAO!K"&amp;(ROW()+10))))</f>
        <v/>
      </c>
    </row>
    <row r="197">
      <c r="A197" s="116">
        <f>IF(AND(itens_Remanesc!A196="",itens_Remanesc!A195&lt;&gt;"",COUNTIF(itens_Remanesc!A197:$A$200,"&lt;&gt;")=0),"TOTAL",IF(itens_Remanesc!A196="","",itens_Remanesc!A196))</f>
        <v/>
      </c>
      <c r="B197" s="355">
        <f>IF(OR(historico_VU!A196="",historico_VU!C196=""),"",historico_VU!C196)</f>
        <v/>
      </c>
      <c r="C197" s="118">
        <f>IF(posicao_contratual!A196="","",posicao_contratual!G196)</f>
        <v/>
      </c>
      <c r="D197" s="355">
        <f>IF(A197="TOTAL",ROUND(SUM($D$3:D196),2),IF(OR(A197="",B197="",C197=""),"",ROUND(B197*C197,2)))</f>
        <v/>
      </c>
      <c r="E197" s="356">
        <f>IF(OR(historico_VU!A196="",historico_VU!D196=""),"",historico_VU!D196)</f>
        <v/>
      </c>
      <c r="F197" s="120">
        <f>IF(posicao_contratual!A196="","",posicao_contratual!K196)</f>
        <v/>
      </c>
      <c r="G197" s="356">
        <f>IF(A197="TOTAL",ROUND(SUM($G$3:G196),2),IF(OR(A197="",E197="",F197=""),"",ROUND(E197*F197,2)))</f>
        <v/>
      </c>
      <c r="H197" s="355">
        <f>IF(OR(historico_VU!A196="",historico_VU!E196=""),"",historico_VU!E196)</f>
        <v/>
      </c>
      <c r="I197" s="118">
        <f>IF(posicao_contratual!A196="","",posicao_contratual!O196)</f>
        <v/>
      </c>
      <c r="J197" s="355">
        <f>IF(A197="TOTAL",ROUND(SUM($J$3:J196),2),IF(OR(A197="",H197="",I197=""),"",ROUND(H197*I197,2)))</f>
        <v/>
      </c>
      <c r="K197" s="356">
        <f>IF(OR(historico_VU!A196="",historico_VU!F196=""),"",historico_VU!F196)</f>
        <v/>
      </c>
      <c r="L197" s="120">
        <f>IF(posicao_contratual!A196="","",posicao_contratual!S196)</f>
        <v/>
      </c>
      <c r="M197" s="356">
        <f>IF(A197="TOTAL",ROUND(SUM($M$3:M196),2),IF(OR(A197="",K197="",L197=""),"",ROUND(K197*L197,2)))</f>
        <v/>
      </c>
      <c r="N197" s="355">
        <f>IF(OR(historico_VU!A196="",historico_VU!G196=""),"",historico_VU!G196)</f>
        <v/>
      </c>
      <c r="O197" s="118">
        <f>IF(posicao_contratual!A196="","",posicao_contratual!W196)</f>
        <v/>
      </c>
      <c r="P197" s="355">
        <f>IF(A197="TOTAL",ROUND(SUM($P$3:P196),2),IF(OR(A197="",N197="",O197=""),"",ROUND(N197*O197,2)))</f>
        <v/>
      </c>
      <c r="Q197" s="195">
        <f>IF($A197="","",IF(ISERROR(INDIRECT("CICLO_EM_EXECUCAO!$D$5")),"",INDIRECT("CICLO_EM_EXECUCAO!$D$5")))</f>
        <v/>
      </c>
      <c r="R197">
        <f>IF($A197="","",IF(MEMORIA_RESULTADOS!$W$46="","","C"&amp;MEMORIA_RESULTADOS!$W$46))</f>
        <v/>
      </c>
      <c r="S197" s="273">
        <f>IF($A197="","",IF(ISERROR(INDIRECT("CICLO_EM_EXECUCAO!B"&amp;(ROW()+10))),"",INDIRECT("CICLO_EM_EXECUCAO!B"&amp;(ROW()+10))))</f>
        <v/>
      </c>
      <c r="T197" s="273">
        <f>IF($A197="","",IF(ISERROR(INDIRECT("CICLO_EM_EXECUCAO!D"&amp;(ROW()+10))),"",INDIRECT("CICLO_EM_EXECUCAO!D"&amp;(ROW()+10))))</f>
        <v/>
      </c>
      <c r="U197" s="273">
        <f>IF($A197="","",IF(ISERROR(INDIRECT("CICLO_EM_EXECUCAO!C"&amp;(ROW()+10))),"",INDIRECT("CICLO_EM_EXECUCAO!C"&amp;(ROW()+10))))</f>
        <v/>
      </c>
      <c r="V197" s="213">
        <f>IF($A197="","",IF(ISERROR(INDIRECT("CICLO_EM_EXECUCAO!E"&amp;(ROW()+10))),"",INDIRECT("CICLO_EM_EXECUCAO!E"&amp;(ROW()+10))))</f>
        <v/>
      </c>
      <c r="W197" s="213">
        <f>IF($A197="","",IF(ISERROR(INDIRECT("CICLO_EM_EXECUCAO!F"&amp;(ROW()+10))),"",INDIRECT("CICLO_EM_EXECUCAO!F"&amp;(ROW()+10))))</f>
        <v/>
      </c>
      <c r="X197" s="213">
        <f>IF($A197="","",IF(ISERROR(INDIRECT("CICLO_EM_EXECUCAO!G"&amp;(ROW()+10))),"",INDIRECT("CICLO_EM_EXECUCAO!G"&amp;(ROW()+10))))</f>
        <v/>
      </c>
      <c r="Y197">
        <f>IF($A197="","",IF(ISERROR(INDIRECT("CICLO_EM_EXECUCAO!K"&amp;(ROW()+10))),"CICLO_EM_EXECUCAO AUSENTE",INDIRECT("CICLO_EM_EXECUCAO!K"&amp;(ROW()+10))))</f>
        <v/>
      </c>
    </row>
    <row r="198">
      <c r="A198" s="116">
        <f>IF(AND(itens_Remanesc!A197="",itens_Remanesc!A196&lt;&gt;"",COUNTIF(itens_Remanesc!A198:$A$200,"&lt;&gt;")=0),"TOTAL",IF(itens_Remanesc!A197="","",itens_Remanesc!A197))</f>
        <v/>
      </c>
      <c r="B198" s="355">
        <f>IF(OR(historico_VU!A197="",historico_VU!C197=""),"",historico_VU!C197)</f>
        <v/>
      </c>
      <c r="C198" s="118">
        <f>IF(posicao_contratual!A197="","",posicao_contratual!G197)</f>
        <v/>
      </c>
      <c r="D198" s="355">
        <f>IF(A198="TOTAL",ROUND(SUM($D$3:D197),2),IF(OR(A198="",B198="",C198=""),"",ROUND(B198*C198,2)))</f>
        <v/>
      </c>
      <c r="E198" s="356">
        <f>IF(OR(historico_VU!A197="",historico_VU!D197=""),"",historico_VU!D197)</f>
        <v/>
      </c>
      <c r="F198" s="120">
        <f>IF(posicao_contratual!A197="","",posicao_contratual!K197)</f>
        <v/>
      </c>
      <c r="G198" s="356">
        <f>IF(A198="TOTAL",ROUND(SUM($G$3:G197),2),IF(OR(A198="",E198="",F198=""),"",ROUND(E198*F198,2)))</f>
        <v/>
      </c>
      <c r="H198" s="355">
        <f>IF(OR(historico_VU!A197="",historico_VU!E197=""),"",historico_VU!E197)</f>
        <v/>
      </c>
      <c r="I198" s="118">
        <f>IF(posicao_contratual!A197="","",posicao_contratual!O197)</f>
        <v/>
      </c>
      <c r="J198" s="355">
        <f>IF(A198="TOTAL",ROUND(SUM($J$3:J197),2),IF(OR(A198="",H198="",I198=""),"",ROUND(H198*I198,2)))</f>
        <v/>
      </c>
      <c r="K198" s="356">
        <f>IF(OR(historico_VU!A197="",historico_VU!F197=""),"",historico_VU!F197)</f>
        <v/>
      </c>
      <c r="L198" s="120">
        <f>IF(posicao_contratual!A197="","",posicao_contratual!S197)</f>
        <v/>
      </c>
      <c r="M198" s="356">
        <f>IF(A198="TOTAL",ROUND(SUM($M$3:M197),2),IF(OR(A198="",K198="",L198=""),"",ROUND(K198*L198,2)))</f>
        <v/>
      </c>
      <c r="N198" s="355">
        <f>IF(OR(historico_VU!A197="",historico_VU!G197=""),"",historico_VU!G197)</f>
        <v/>
      </c>
      <c r="O198" s="118">
        <f>IF(posicao_contratual!A197="","",posicao_contratual!W197)</f>
        <v/>
      </c>
      <c r="P198" s="355">
        <f>IF(A198="TOTAL",ROUND(SUM($P$3:P197),2),IF(OR(A198="",N198="",O198=""),"",ROUND(N198*O198,2)))</f>
        <v/>
      </c>
      <c r="Q198" s="195">
        <f>IF($A198="","",IF(ISERROR(INDIRECT("CICLO_EM_EXECUCAO!$D$5")),"",INDIRECT("CICLO_EM_EXECUCAO!$D$5")))</f>
        <v/>
      </c>
      <c r="R198">
        <f>IF($A198="","",IF(MEMORIA_RESULTADOS!$W$46="","","C"&amp;MEMORIA_RESULTADOS!$W$46))</f>
        <v/>
      </c>
      <c r="S198" s="273">
        <f>IF($A198="","",IF(ISERROR(INDIRECT("CICLO_EM_EXECUCAO!B"&amp;(ROW()+10))),"",INDIRECT("CICLO_EM_EXECUCAO!B"&amp;(ROW()+10))))</f>
        <v/>
      </c>
      <c r="T198" s="273">
        <f>IF($A198="","",IF(ISERROR(INDIRECT("CICLO_EM_EXECUCAO!D"&amp;(ROW()+10))),"",INDIRECT("CICLO_EM_EXECUCAO!D"&amp;(ROW()+10))))</f>
        <v/>
      </c>
      <c r="U198" s="273">
        <f>IF($A198="","",IF(ISERROR(INDIRECT("CICLO_EM_EXECUCAO!C"&amp;(ROW()+10))),"",INDIRECT("CICLO_EM_EXECUCAO!C"&amp;(ROW()+10))))</f>
        <v/>
      </c>
      <c r="V198" s="213">
        <f>IF($A198="","",IF(ISERROR(INDIRECT("CICLO_EM_EXECUCAO!E"&amp;(ROW()+10))),"",INDIRECT("CICLO_EM_EXECUCAO!E"&amp;(ROW()+10))))</f>
        <v/>
      </c>
      <c r="W198" s="213">
        <f>IF($A198="","",IF(ISERROR(INDIRECT("CICLO_EM_EXECUCAO!F"&amp;(ROW()+10))),"",INDIRECT("CICLO_EM_EXECUCAO!F"&amp;(ROW()+10))))</f>
        <v/>
      </c>
      <c r="X198" s="213">
        <f>IF($A198="","",IF(ISERROR(INDIRECT("CICLO_EM_EXECUCAO!G"&amp;(ROW()+10))),"",INDIRECT("CICLO_EM_EXECUCAO!G"&amp;(ROW()+10))))</f>
        <v/>
      </c>
      <c r="Y198">
        <f>IF($A198="","",IF(ISERROR(INDIRECT("CICLO_EM_EXECUCAO!K"&amp;(ROW()+10))),"CICLO_EM_EXECUCAO AUSENTE",INDIRECT("CICLO_EM_EXECUCAO!K"&amp;(ROW()+10))))</f>
        <v/>
      </c>
    </row>
    <row r="199">
      <c r="A199" s="116">
        <f>IF(AND(itens_Remanesc!A198="",itens_Remanesc!A197&lt;&gt;"",COUNTIF(itens_Remanesc!A199:$A$200,"&lt;&gt;")=0),"TOTAL",IF(itens_Remanesc!A198="","",itens_Remanesc!A198))</f>
        <v/>
      </c>
      <c r="B199" s="355">
        <f>IF(OR(historico_VU!A198="",historico_VU!C198=""),"",historico_VU!C198)</f>
        <v/>
      </c>
      <c r="C199" s="118">
        <f>IF(posicao_contratual!A198="","",posicao_contratual!G198)</f>
        <v/>
      </c>
      <c r="D199" s="355">
        <f>IF(A199="TOTAL",ROUND(SUM($D$3:D198),2),IF(OR(A199="",B199="",C199=""),"",ROUND(B199*C199,2)))</f>
        <v/>
      </c>
      <c r="E199" s="356">
        <f>IF(OR(historico_VU!A198="",historico_VU!D198=""),"",historico_VU!D198)</f>
        <v/>
      </c>
      <c r="F199" s="120">
        <f>IF(posicao_contratual!A198="","",posicao_contratual!K198)</f>
        <v/>
      </c>
      <c r="G199" s="356">
        <f>IF(A199="TOTAL",ROUND(SUM($G$3:G198),2),IF(OR(A199="",E199="",F199=""),"",ROUND(E199*F199,2)))</f>
        <v/>
      </c>
      <c r="H199" s="355">
        <f>IF(OR(historico_VU!A198="",historico_VU!E198=""),"",historico_VU!E198)</f>
        <v/>
      </c>
      <c r="I199" s="118">
        <f>IF(posicao_contratual!A198="","",posicao_contratual!O198)</f>
        <v/>
      </c>
      <c r="J199" s="355">
        <f>IF(A199="TOTAL",ROUND(SUM($J$3:J198),2),IF(OR(A199="",H199="",I199=""),"",ROUND(H199*I199,2)))</f>
        <v/>
      </c>
      <c r="K199" s="356">
        <f>IF(OR(historico_VU!A198="",historico_VU!F198=""),"",historico_VU!F198)</f>
        <v/>
      </c>
      <c r="L199" s="120">
        <f>IF(posicao_contratual!A198="","",posicao_contratual!S198)</f>
        <v/>
      </c>
      <c r="M199" s="356">
        <f>IF(A199="TOTAL",ROUND(SUM($M$3:M198),2),IF(OR(A199="",K199="",L199=""),"",ROUND(K199*L199,2)))</f>
        <v/>
      </c>
      <c r="N199" s="355">
        <f>IF(OR(historico_VU!A198="",historico_VU!G198=""),"",historico_VU!G198)</f>
        <v/>
      </c>
      <c r="O199" s="118">
        <f>IF(posicao_contratual!A198="","",posicao_contratual!W198)</f>
        <v/>
      </c>
      <c r="P199" s="355">
        <f>IF(A199="TOTAL",ROUND(SUM($P$3:P198),2),IF(OR(A199="",N199="",O199=""),"",ROUND(N199*O199,2)))</f>
        <v/>
      </c>
      <c r="Q199" s="195">
        <f>IF($A199="","",IF(ISERROR(INDIRECT("CICLO_EM_EXECUCAO!$D$5")),"",INDIRECT("CICLO_EM_EXECUCAO!$D$5")))</f>
        <v/>
      </c>
      <c r="R199">
        <f>IF($A199="","",IF(MEMORIA_RESULTADOS!$W$46="","","C"&amp;MEMORIA_RESULTADOS!$W$46))</f>
        <v/>
      </c>
      <c r="S199" s="273">
        <f>IF($A199="","",IF(ISERROR(INDIRECT("CICLO_EM_EXECUCAO!B"&amp;(ROW()+10))),"",INDIRECT("CICLO_EM_EXECUCAO!B"&amp;(ROW()+10))))</f>
        <v/>
      </c>
      <c r="T199" s="273">
        <f>IF($A199="","",IF(ISERROR(INDIRECT("CICLO_EM_EXECUCAO!D"&amp;(ROW()+10))),"",INDIRECT("CICLO_EM_EXECUCAO!D"&amp;(ROW()+10))))</f>
        <v/>
      </c>
      <c r="U199" s="273">
        <f>IF($A199="","",IF(ISERROR(INDIRECT("CICLO_EM_EXECUCAO!C"&amp;(ROW()+10))),"",INDIRECT("CICLO_EM_EXECUCAO!C"&amp;(ROW()+10))))</f>
        <v/>
      </c>
      <c r="V199" s="213">
        <f>IF($A199="","",IF(ISERROR(INDIRECT("CICLO_EM_EXECUCAO!E"&amp;(ROW()+10))),"",INDIRECT("CICLO_EM_EXECUCAO!E"&amp;(ROW()+10))))</f>
        <v/>
      </c>
      <c r="W199" s="213">
        <f>IF($A199="","",IF(ISERROR(INDIRECT("CICLO_EM_EXECUCAO!F"&amp;(ROW()+10))),"",INDIRECT("CICLO_EM_EXECUCAO!F"&amp;(ROW()+10))))</f>
        <v/>
      </c>
      <c r="X199" s="213">
        <f>IF($A199="","",IF(ISERROR(INDIRECT("CICLO_EM_EXECUCAO!G"&amp;(ROW()+10))),"",INDIRECT("CICLO_EM_EXECUCAO!G"&amp;(ROW()+10))))</f>
        <v/>
      </c>
      <c r="Y199">
        <f>IF($A199="","",IF(ISERROR(INDIRECT("CICLO_EM_EXECUCAO!K"&amp;(ROW()+10))),"CICLO_EM_EXECUCAO AUSENTE",INDIRECT("CICLO_EM_EXECUCAO!K"&amp;(ROW()+10))))</f>
        <v/>
      </c>
    </row>
    <row r="200">
      <c r="A200" s="116">
        <f>IF(AND(itens_Remanesc!A199="",itens_Remanesc!A198&lt;&gt;"",COUNTIF(itens_Remanesc!A200:$A$200,"&lt;&gt;")=0),"TOTAL",IF(itens_Remanesc!A199="","",itens_Remanesc!A199))</f>
        <v/>
      </c>
      <c r="B200" s="355">
        <f>IF(OR(historico_VU!A199="",historico_VU!C199=""),"",historico_VU!C199)</f>
        <v/>
      </c>
      <c r="C200" s="118">
        <f>IF(posicao_contratual!A199="","",posicao_contratual!G199)</f>
        <v/>
      </c>
      <c r="D200" s="355">
        <f>IF(A200="TOTAL",ROUND(SUM($D$3:D199),2),IF(OR(A200="",B200="",C200=""),"",ROUND(B200*C200,2)))</f>
        <v/>
      </c>
      <c r="E200" s="356">
        <f>IF(OR(historico_VU!A199="",historico_VU!D199=""),"",historico_VU!D199)</f>
        <v/>
      </c>
      <c r="F200" s="120">
        <f>IF(posicao_contratual!A199="","",posicao_contratual!K199)</f>
        <v/>
      </c>
      <c r="G200" s="356">
        <f>IF(A200="TOTAL",ROUND(SUM($G$3:G199),2),IF(OR(A200="",E200="",F200=""),"",ROUND(E200*F200,2)))</f>
        <v/>
      </c>
      <c r="H200" s="355">
        <f>IF(OR(historico_VU!A199="",historico_VU!E199=""),"",historico_VU!E199)</f>
        <v/>
      </c>
      <c r="I200" s="118">
        <f>IF(posicao_contratual!A199="","",posicao_contratual!O199)</f>
        <v/>
      </c>
      <c r="J200" s="355">
        <f>IF(A200="TOTAL",ROUND(SUM($J$3:J199),2),IF(OR(A200="",H200="",I200=""),"",ROUND(H200*I200,2)))</f>
        <v/>
      </c>
      <c r="K200" s="356">
        <f>IF(OR(historico_VU!A199="",historico_VU!F199=""),"",historico_VU!F199)</f>
        <v/>
      </c>
      <c r="L200" s="120">
        <f>IF(posicao_contratual!A199="","",posicao_contratual!S199)</f>
        <v/>
      </c>
      <c r="M200" s="356">
        <f>IF(A200="TOTAL",ROUND(SUM($M$3:M199),2),IF(OR(A200="",K200="",L200=""),"",ROUND(K200*L200,2)))</f>
        <v/>
      </c>
      <c r="N200" s="355">
        <f>IF(OR(historico_VU!A199="",historico_VU!G199=""),"",historico_VU!G199)</f>
        <v/>
      </c>
      <c r="O200" s="118">
        <f>IF(posicao_contratual!A199="","",posicao_contratual!W199)</f>
        <v/>
      </c>
      <c r="P200" s="355">
        <f>IF(A200="TOTAL",ROUND(SUM($P$3:P199),2),IF(OR(A200="",N200="",O200=""),"",ROUND(N200*O200,2)))</f>
        <v/>
      </c>
      <c r="Q200" s="195">
        <f>IF($A200="","",IF(ISERROR(INDIRECT("CICLO_EM_EXECUCAO!$D$5")),"",INDIRECT("CICLO_EM_EXECUCAO!$D$5")))</f>
        <v/>
      </c>
      <c r="R200">
        <f>IF($A200="","",IF(MEMORIA_RESULTADOS!$W$46="","","C"&amp;MEMORIA_RESULTADOS!$W$46))</f>
        <v/>
      </c>
      <c r="S200" s="273">
        <f>IF($A200="","",IF(ISERROR(INDIRECT("CICLO_EM_EXECUCAO!B"&amp;(ROW()+10))),"",INDIRECT("CICLO_EM_EXECUCAO!B"&amp;(ROW()+10))))</f>
        <v/>
      </c>
      <c r="T200" s="273">
        <f>IF($A200="","",IF(ISERROR(INDIRECT("CICLO_EM_EXECUCAO!D"&amp;(ROW()+10))),"",INDIRECT("CICLO_EM_EXECUCAO!D"&amp;(ROW()+10))))</f>
        <v/>
      </c>
      <c r="U200" s="273">
        <f>IF($A200="","",IF(ISERROR(INDIRECT("CICLO_EM_EXECUCAO!C"&amp;(ROW()+10))),"",INDIRECT("CICLO_EM_EXECUCAO!C"&amp;(ROW()+10))))</f>
        <v/>
      </c>
      <c r="V200" s="213">
        <f>IF($A200="","",IF(ISERROR(INDIRECT("CICLO_EM_EXECUCAO!E"&amp;(ROW()+10))),"",INDIRECT("CICLO_EM_EXECUCAO!E"&amp;(ROW()+10))))</f>
        <v/>
      </c>
      <c r="W200" s="213">
        <f>IF($A200="","",IF(ISERROR(INDIRECT("CICLO_EM_EXECUCAO!F"&amp;(ROW()+10))),"",INDIRECT("CICLO_EM_EXECUCAO!F"&amp;(ROW()+10))))</f>
        <v/>
      </c>
      <c r="X200" s="213">
        <f>IF($A200="","",IF(ISERROR(INDIRECT("CICLO_EM_EXECUCAO!G"&amp;(ROW()+10))),"",INDIRECT("CICLO_EM_EXECUCAO!G"&amp;(ROW()+10))))</f>
        <v/>
      </c>
      <c r="Y200">
        <f>IF($A200="","",IF(ISERROR(INDIRECT("CICLO_EM_EXECUCAO!K"&amp;(ROW()+10))),"CICLO_EM_EXECUCAO AUSENTE",INDIRECT("CICLO_EM_EXECUCAO!K"&amp;(ROW()+10))))</f>
        <v/>
      </c>
    </row>
    <row r="201">
      <c r="A201" s="116">
        <f>IF(AND(itens_Remanesc!A200="",itens_Remanesc!A199&lt;&gt;"",COUNTIF(itens_Remanesc!A$200:$A201,"&lt;&gt;")=0),"TOTAL",IF(itens_Remanesc!A200="","",itens_Remanesc!A200))</f>
        <v/>
      </c>
      <c r="B201" s="355">
        <f>IF(OR(historico_VU!A200="",historico_VU!C200=""),"",historico_VU!C200)</f>
        <v/>
      </c>
      <c r="C201" s="118">
        <f>IF(posicao_contratual!A200="","",posicao_contratual!G200)</f>
        <v/>
      </c>
      <c r="D201" s="355">
        <f>IF(A201="TOTAL",ROUND(SUM($D$3:D200),2),IF(OR(A201="",B201="",C201=""),"",ROUND(B201*C201,2)))</f>
        <v/>
      </c>
      <c r="E201" s="356">
        <f>IF(OR(historico_VU!A200="",historico_VU!D200=""),"",historico_VU!D200)</f>
        <v/>
      </c>
      <c r="F201" s="120">
        <f>IF(posicao_contratual!A200="","",posicao_contratual!K200)</f>
        <v/>
      </c>
      <c r="G201" s="356">
        <f>IF(A201="TOTAL",ROUND(SUM($G$3:G200),2),IF(OR(A201="",E201="",F201=""),"",ROUND(E201*F201,2)))</f>
        <v/>
      </c>
      <c r="H201" s="355">
        <f>IF(OR(historico_VU!A200="",historico_VU!E200=""),"",historico_VU!E200)</f>
        <v/>
      </c>
      <c r="I201" s="118">
        <f>IF(posicao_contratual!A200="","",posicao_contratual!O200)</f>
        <v/>
      </c>
      <c r="J201" s="355">
        <f>IF(A201="TOTAL",ROUND(SUM($J$3:J200),2),IF(OR(A201="",H201="",I201=""),"",ROUND(H201*I201,2)))</f>
        <v/>
      </c>
      <c r="K201" s="356">
        <f>IF(OR(historico_VU!A200="",historico_VU!F200=""),"",historico_VU!F200)</f>
        <v/>
      </c>
      <c r="L201" s="120">
        <f>IF(posicao_contratual!A200="","",posicao_contratual!S200)</f>
        <v/>
      </c>
      <c r="M201" s="356">
        <f>IF(A201="TOTAL",ROUND(SUM($M$3:M200),2),IF(OR(A201="",K201="",L201=""),"",ROUND(K201*L201,2)))</f>
        <v/>
      </c>
      <c r="N201" s="355">
        <f>IF(OR(historico_VU!A200="",historico_VU!G200=""),"",historico_VU!G200)</f>
        <v/>
      </c>
      <c r="O201" s="118">
        <f>IF(posicao_contratual!A200="","",posicao_contratual!W200)</f>
        <v/>
      </c>
      <c r="P201" s="355">
        <f>IF(A201="TOTAL",ROUND(SUM($P$3:P200),2),IF(OR(A201="",N201="",O201=""),"",ROUND(N201*O201,2)))</f>
        <v/>
      </c>
      <c r="Q201" s="195">
        <f>IF($A201="","",IF(ISERROR(INDIRECT("CICLO_EM_EXECUCAO!$D$5")),"",INDIRECT("CICLO_EM_EXECUCAO!$D$5")))</f>
        <v/>
      </c>
      <c r="R201">
        <f>IF($A201="","",IF(MEMORIA_RESULTADOS!$W$46="","","C"&amp;MEMORIA_RESULTADOS!$W$46))</f>
        <v/>
      </c>
      <c r="S201" s="273">
        <f>IF($A201="","",IF(ISERROR(INDIRECT("CICLO_EM_EXECUCAO!B"&amp;(ROW()+10))),"",INDIRECT("CICLO_EM_EXECUCAO!B"&amp;(ROW()+10))))</f>
        <v/>
      </c>
      <c r="T201" s="273">
        <f>IF($A201="","",IF(ISERROR(INDIRECT("CICLO_EM_EXECUCAO!D"&amp;(ROW()+10))),"",INDIRECT("CICLO_EM_EXECUCAO!D"&amp;(ROW()+10))))</f>
        <v/>
      </c>
      <c r="U201" s="273">
        <f>IF($A201="","",IF(ISERROR(INDIRECT("CICLO_EM_EXECUCAO!C"&amp;(ROW()+10))),"",INDIRECT("CICLO_EM_EXECUCAO!C"&amp;(ROW()+10))))</f>
        <v/>
      </c>
      <c r="V201" s="213">
        <f>IF($A201="","",IF(ISERROR(INDIRECT("CICLO_EM_EXECUCAO!E"&amp;(ROW()+10))),"",INDIRECT("CICLO_EM_EXECUCAO!E"&amp;(ROW()+10))))</f>
        <v/>
      </c>
      <c r="W201" s="213">
        <f>IF($A201="","",IF(ISERROR(INDIRECT("CICLO_EM_EXECUCAO!F"&amp;(ROW()+10))),"",INDIRECT("CICLO_EM_EXECUCAO!F"&amp;(ROW()+10))))</f>
        <v/>
      </c>
      <c r="X201" s="213">
        <f>IF($A201="","",IF(ISERROR(INDIRECT("CICLO_EM_EXECUCAO!G"&amp;(ROW()+10))),"",INDIRECT("CICLO_EM_EXECUCAO!G"&amp;(ROW()+10))))</f>
        <v/>
      </c>
      <c r="Y201">
        <f>IF($A201="","",IF(ISERROR(INDIRECT("CICLO_EM_EXECUCAO!K"&amp;(ROW()+10))),"CICLO_EM_EXECUCAO AUSENTE",INDIRECT("CICLO_EM_EXECUCAO!K"&amp;(ROW()+10))))</f>
        <v/>
      </c>
    </row>
    <row r="202">
      <c r="A202" s="116">
        <f>IF(itens_Remanesc!$A$200&lt;&gt;"","TOTAL","")</f>
        <v/>
      </c>
      <c r="B202" s="355">
        <f>""</f>
        <v/>
      </c>
      <c r="C202" s="118">
        <f>""</f>
        <v/>
      </c>
      <c r="D202" s="355">
        <f>IF(A202="TOTAL",ROUND(SUM($D$3:D201),2),IF(A202="","",ROUND(B202*C202,2)))</f>
        <v/>
      </c>
      <c r="E202" s="356">
        <f>""</f>
        <v/>
      </c>
      <c r="F202" s="120">
        <f>""</f>
        <v/>
      </c>
      <c r="G202" s="356">
        <f>IF(A202="TOTAL",ROUND(SUM($G$3:G201),2),IF(OR(A202="",E202="",F202=""),"",ROUND(E202*F202,2)))</f>
        <v/>
      </c>
      <c r="H202" s="355">
        <f>""</f>
        <v/>
      </c>
      <c r="I202" s="118">
        <f>""</f>
        <v/>
      </c>
      <c r="J202" s="355">
        <f>IF(A202="TOTAL",ROUND(SUM($J$3:J201),2),IF(OR(A202="",H202="",I202=""),"",ROUND(H202*I202,2)))</f>
        <v/>
      </c>
      <c r="K202" s="356">
        <f>""</f>
        <v/>
      </c>
      <c r="L202" s="120">
        <f>""</f>
        <v/>
      </c>
      <c r="M202" s="356">
        <f>IF(A202="TOTAL",ROUND(SUM($M$3:M201),2),IF(OR(A202="",K202="",L202=""),"",ROUND(K202*L202,2)))</f>
        <v/>
      </c>
      <c r="N202" s="355">
        <f>""</f>
        <v/>
      </c>
      <c r="O202" s="118">
        <f>""</f>
        <v/>
      </c>
      <c r="P202" s="355">
        <f>IF(A202="TOTAL",ROUND(SUM($P$3:P201),2),IF(OR(A202="",N202="",O202=""),"",ROUND(N202*O202,2)))</f>
        <v/>
      </c>
      <c r="Q202" s="195">
        <f>IF($A202="","",IF(ISERROR(INDIRECT("CICLO_EM_EXECUCAO!$D$5")),"",INDIRECT("CICLO_EM_EXECUCAO!$D$5")))</f>
        <v/>
      </c>
      <c r="R202">
        <f>IF($A202="","",IF(MEMORIA_RESULTADOS!$W$46="","","C"&amp;MEMORIA_RESULTADOS!$W$46))</f>
        <v/>
      </c>
      <c r="S202" s="273">
        <f>IF($A202="","",IF(ISERROR(INDIRECT("CICLO_EM_EXECUCAO!B"&amp;(ROW()+10))),"",INDIRECT("CICLO_EM_EXECUCAO!B"&amp;(ROW()+10))))</f>
        <v/>
      </c>
      <c r="T202" s="273">
        <f>IF($A202="","",IF(ISERROR(INDIRECT("CICLO_EM_EXECUCAO!D"&amp;(ROW()+10))),"",INDIRECT("CICLO_EM_EXECUCAO!D"&amp;(ROW()+10))))</f>
        <v/>
      </c>
      <c r="U202" s="273">
        <f>IF($A202="","",IF(ISERROR(INDIRECT("CICLO_EM_EXECUCAO!C"&amp;(ROW()+10))),"",INDIRECT("CICLO_EM_EXECUCAO!C"&amp;(ROW()+10))))</f>
        <v/>
      </c>
      <c r="V202" s="213">
        <f>IF($A202="","",IF(ISERROR(INDIRECT("CICLO_EM_EXECUCAO!E"&amp;(ROW()+10))),"",INDIRECT("CICLO_EM_EXECUCAO!E"&amp;(ROW()+10))))</f>
        <v/>
      </c>
      <c r="W202" s="213">
        <f>IF($A202="","",IF(ISERROR(INDIRECT("CICLO_EM_EXECUCAO!F"&amp;(ROW()+10))),"",INDIRECT("CICLO_EM_EXECUCAO!F"&amp;(ROW()+10))))</f>
        <v/>
      </c>
      <c r="X202" s="213">
        <f>IF($A202="","",IF(ISERROR(INDIRECT("CICLO_EM_EXECUCAO!G"&amp;(ROW()+10))),"",INDIRECT("CICLO_EM_EXECUCAO!G"&amp;(ROW()+10))))</f>
        <v/>
      </c>
      <c r="Y202">
        <f>IF($A202="","",IF(ISERROR(INDIRECT("CICLO_EM_EXECUCAO!K"&amp;(ROW()+10))),"CICLO_EM_EXECUCAO AUSENTE",INDIRECT("CICLO_EM_EXECUCAO!K"&amp;(ROW()+10))))</f>
        <v/>
      </c>
    </row>
    <row r="203">
      <c r="A203" s="59" t="n"/>
      <c r="B203" s="59" t="n"/>
      <c r="C203" s="59" t="n"/>
      <c r="D203" s="359" t="n"/>
      <c r="E203" s="59" t="n"/>
      <c r="F203" s="59" t="n"/>
      <c r="G203" s="359" t="n"/>
      <c r="H203" s="59" t="n"/>
      <c r="I203" s="59" t="n"/>
      <c r="J203" s="359" t="n"/>
      <c r="K203" s="59" t="n"/>
      <c r="L203" s="59" t="n"/>
      <c r="M203" s="359" t="n"/>
      <c r="N203" s="59" t="n"/>
      <c r="O203" s="59" t="n"/>
      <c r="P203" s="359" t="n"/>
    </row>
  </sheetData>
  <mergeCells count="7">
    <mergeCell ref="H1:J1"/>
    <mergeCell ref="Q1:Y1"/>
    <mergeCell ref="B1:D1"/>
    <mergeCell ref="N1:P1"/>
    <mergeCell ref="A1:A2"/>
    <mergeCell ref="E1:G1"/>
    <mergeCell ref="K1:M1"/>
  </mergeCells>
  <conditionalFormatting sqref="A3:P202">
    <cfRule type="expression" priority="2" dxfId="21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210"/>
  <sheetViews>
    <sheetView showGridLines="0" workbookViewId="0">
      <pane xSplit="1" ySplit="1" topLeftCell="Q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style="289" min="1" max="1"/>
    <col width="12" customWidth="1" style="289" min="2" max="7"/>
    <col width="16" customWidth="1" style="289" min="8" max="8"/>
    <col width="3" customWidth="1" style="289" min="9" max="9"/>
    <col width="8" customWidth="1" style="289" min="10" max="10"/>
    <col width="14" customWidth="1" style="289" min="11" max="11"/>
    <col width="16" customWidth="1" style="289" min="12" max="12"/>
    <col width="18" customWidth="1" style="289" min="13" max="13"/>
    <col width="23" customWidth="1" style="289" min="14" max="23"/>
  </cols>
  <sheetData>
    <row r="1" ht="32" customHeight="1" s="289">
      <c r="A1" s="279" t="inlineStr">
        <is>
          <t>ITEM</t>
        </is>
      </c>
      <c r="B1" s="55" t="inlineStr">
        <is>
          <t>QTD_C0</t>
        </is>
      </c>
      <c r="C1" s="353" t="inlineStr">
        <is>
          <t>VU_C0</t>
        </is>
      </c>
      <c r="D1" s="360" t="inlineStr">
        <is>
          <t>VU_C1</t>
        </is>
      </c>
      <c r="E1" s="361" t="inlineStr">
        <is>
          <t>VU_C2</t>
        </is>
      </c>
      <c r="F1" s="360" t="inlineStr">
        <is>
          <t>VU_C3</t>
        </is>
      </c>
      <c r="G1" s="361" t="inlineStr">
        <is>
          <t>VU_C4</t>
        </is>
      </c>
      <c r="H1" s="279" t="inlineStr">
        <is>
          <t>VARIACAO_ACUMULADA</t>
        </is>
      </c>
      <c r="I1" s="12" t="n"/>
      <c r="J1" s="42" t="inlineStr">
        <is>
          <t>CICLO</t>
        </is>
      </c>
      <c r="K1" s="42" t="inlineStr">
        <is>
          <t>FATOR_PROPRIO</t>
        </is>
      </c>
      <c r="L1" s="42" t="inlineStr">
        <is>
          <t>FATOR_ACUMULADO</t>
        </is>
      </c>
      <c r="M1" s="12" t="n"/>
      <c r="N1" s="68" t="inlineStr">
        <is>
          <t>QTD_VIGENTE_C0</t>
        </is>
      </c>
      <c r="O1" s="68" t="inlineStr">
        <is>
          <t>QTD_VIGENTE_C1</t>
        </is>
      </c>
      <c r="P1" s="68" t="inlineStr">
        <is>
          <t>QTD_VIGENTE_C2</t>
        </is>
      </c>
      <c r="Q1" s="68" t="inlineStr">
        <is>
          <t>QTD_VIGENTE_C3</t>
        </is>
      </c>
      <c r="R1" s="68" t="inlineStr">
        <is>
          <t>QTD_VIGENTE_C4</t>
        </is>
      </c>
      <c r="S1" s="68" t="inlineStr">
        <is>
          <t>QTD_REM_AJUSTADA_C0</t>
        </is>
      </c>
      <c r="T1" s="68" t="inlineStr">
        <is>
          <t>QTD_REM_AJUSTADA_C1</t>
        </is>
      </c>
      <c r="U1" s="68" t="inlineStr">
        <is>
          <t>QTD_REM_AJUSTADA_C2</t>
        </is>
      </c>
      <c r="V1" s="68" t="inlineStr">
        <is>
          <t>QTD_REM_AJUSTADA_C3</t>
        </is>
      </c>
      <c r="W1" s="68" t="inlineStr">
        <is>
          <t>QTD_REM_AJUSTADA_C4</t>
        </is>
      </c>
    </row>
    <row r="2">
      <c r="A2" s="91">
        <f>IF(itens_Remanesc!A2="","",itens_Remanesc!A2)</f>
        <v/>
      </c>
      <c r="B2" s="90">
        <f>IF(A2="","",IF(posicao_contratual!$Y2="","",IF(posicao_contratual!$Y2&gt;0,"",posicao_contratual!G2)))</f>
        <v/>
      </c>
      <c r="C2" s="335">
        <f>IF(itens_Remanesc!A2="","",IF(posicao_contratual!$Y2="","",IF(posicao_contratual!$Y2&gt;0,"",itens_Remanesc!C2)))</f>
        <v/>
      </c>
      <c r="D2" s="335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335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335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335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>
        <f>IF(OR(A2="",C2="",C2=0,NOT(ISNUMBER($L$6))),"",ROUND($L$6-1,4))</f>
        <v/>
      </c>
      <c r="I2" s="34" t="n"/>
      <c r="J2" s="92" t="inlineStr">
        <is>
          <t>C0</t>
        </is>
      </c>
      <c r="K2" s="94">
        <f>IF(ISNUMBER(parametros!$E$2),parametros!$E$2,"")</f>
        <v/>
      </c>
      <c r="L2" s="341">
        <f>IF(ISNUMBER(parametros!$F$2),parametros!$F$2,"")</f>
        <v/>
      </c>
      <c r="M2" s="34" t="n"/>
      <c r="N2" s="157">
        <f>IF(A2="","",IF(posicao_contratual!$Y2="","",IF(posicao_contratual!$Y2&gt;0,"",posicao_contratual!E2)))</f>
        <v/>
      </c>
      <c r="O2" s="155">
        <f>IF(A2="","",IF(posicao_contratual!$Y2="","",IF(posicao_contratual!$Y2&gt;1,"",posicao_contratual!I2)))</f>
        <v/>
      </c>
      <c r="P2" s="155">
        <f>IF(A2="","",IF(posicao_contratual!$Y2="","",IF(posicao_contratual!$Y2&gt;2,"",posicao_contratual!M2)))</f>
        <v/>
      </c>
      <c r="Q2" s="155">
        <f>IF(A2="","",IF(posicao_contratual!$Y2="","",IF(posicao_contratual!$Y2&gt;3,"",posicao_contratual!Q2)))</f>
        <v/>
      </c>
      <c r="R2" s="155">
        <f>IF(A2="","",IF(posicao_contratual!$Y2="","",IF(posicao_contratual!$Y2&gt;4,"",posicao_contratual!U2)))</f>
        <v/>
      </c>
      <c r="S2" s="176">
        <f>IF(A2="","",posicao_contratual!G2)</f>
        <v/>
      </c>
      <c r="T2" s="176">
        <f>IF(A2="","",posicao_contratual!K2)</f>
        <v/>
      </c>
      <c r="U2" s="176">
        <f>IF(A2="","",posicao_contratual!O2)</f>
        <v/>
      </c>
      <c r="V2" s="176">
        <f>IF(A2="","",posicao_contratual!S2)</f>
        <v/>
      </c>
      <c r="W2" s="176">
        <f>IF(A2="","",posicao_contratual!W2)</f>
        <v/>
      </c>
    </row>
    <row r="3">
      <c r="A3" s="91">
        <f>IF(itens_Remanesc!A3="","",itens_Remanesc!A3)</f>
        <v/>
      </c>
      <c r="B3" s="90">
        <f>IF(A3="","",IF(posicao_contratual!$Y3="","",IF(posicao_contratual!$Y3&gt;0,"",posicao_contratual!G3)))</f>
        <v/>
      </c>
      <c r="C3" s="335">
        <f>IF(itens_Remanesc!A3="","",IF(posicao_contratual!$Y3="","",IF(posicao_contratual!$Y3&gt;0,"",itens_Remanesc!C3)))</f>
        <v/>
      </c>
      <c r="D3" s="335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335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335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335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>
        <f>IF(OR(A3="",C3="",C3=0,NOT(ISNUMBER($L$6))),"",ROUND($L$6-1,4))</f>
        <v/>
      </c>
      <c r="I3" s="14" t="n"/>
      <c r="J3" s="92" t="inlineStr">
        <is>
          <t>C1</t>
        </is>
      </c>
      <c r="K3" s="94">
        <f>IF(ISNUMBER(parametros!$E$3),parametros!$E$3,"")</f>
        <v/>
      </c>
      <c r="L3" s="341">
        <f>IF(ISNUMBER(parametros!$F$3),parametros!$F$3,"")</f>
        <v/>
      </c>
      <c r="M3" s="14" t="n"/>
      <c r="N3" s="155">
        <f>IF(A3="","",IF(posicao_contratual!$Y3="","",IF(posicao_contratual!$Y3&gt;0,"",posicao_contratual!E3)))</f>
        <v/>
      </c>
      <c r="O3" s="155">
        <f>IF(A3="","",IF(posicao_contratual!$Y3="","",IF(posicao_contratual!$Y3&gt;1,"",posicao_contratual!I3)))</f>
        <v/>
      </c>
      <c r="P3" s="155">
        <f>IF(A3="","",IF(posicao_contratual!$Y3="","",IF(posicao_contratual!$Y3&gt;2,"",posicao_contratual!M3)))</f>
        <v/>
      </c>
      <c r="Q3" s="155">
        <f>IF(A3="","",IF(posicao_contratual!$Y3="","",IF(posicao_contratual!$Y3&gt;3,"",posicao_contratual!Q3)))</f>
        <v/>
      </c>
      <c r="R3" s="155">
        <f>IF(A3="","",IF(posicao_contratual!$Y3="","",IF(posicao_contratual!$Y3&gt;4,"",posicao_contratual!U3)))</f>
        <v/>
      </c>
      <c r="S3" s="176">
        <f>IF(A3="","",posicao_contratual!G3)</f>
        <v/>
      </c>
      <c r="T3" s="176">
        <f>IF(A3="","",posicao_contratual!K3)</f>
        <v/>
      </c>
      <c r="U3" s="176">
        <f>IF(A3="","",posicao_contratual!O3)</f>
        <v/>
      </c>
      <c r="V3" s="176">
        <f>IF(A3="","",posicao_contratual!S3)</f>
        <v/>
      </c>
      <c r="W3" s="176">
        <f>IF(A3="","",posicao_contratual!W3)</f>
        <v/>
      </c>
    </row>
    <row r="4">
      <c r="A4" s="91">
        <f>IF(itens_Remanesc!A4="","",itens_Remanesc!A4)</f>
        <v/>
      </c>
      <c r="B4" s="90">
        <f>IF(A4="","",IF(posicao_contratual!$Y4="","",IF(posicao_contratual!$Y4&gt;0,"",posicao_contratual!G4)))</f>
        <v/>
      </c>
      <c r="C4" s="335">
        <f>IF(itens_Remanesc!A4="","",IF(posicao_contratual!$Y4="","",IF(posicao_contratual!$Y4&gt;0,"",itens_Remanesc!C4)))</f>
        <v/>
      </c>
      <c r="D4" s="335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335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335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335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>
        <f>IF(OR(A4="",C4="",C4=0,NOT(ISNUMBER($L$6))),"",ROUND($L$6-1,4))</f>
        <v/>
      </c>
      <c r="I4" s="14" t="n"/>
      <c r="J4" s="92" t="inlineStr">
        <is>
          <t>C2</t>
        </is>
      </c>
      <c r="K4" s="94">
        <f>IF(ISNUMBER(parametros!$E$4),parametros!$E$4,"")</f>
        <v/>
      </c>
      <c r="L4" s="341">
        <f>IF(ISNUMBER(parametros!$F$4),parametros!$F$4,"")</f>
        <v/>
      </c>
      <c r="M4" s="14" t="n"/>
      <c r="N4" s="155">
        <f>IF(A4="","",IF(posicao_contratual!$Y4="","",IF(posicao_contratual!$Y4&gt;0,"",posicao_contratual!E4)))</f>
        <v/>
      </c>
      <c r="O4" s="155">
        <f>IF(A4="","",IF(posicao_contratual!$Y4="","",IF(posicao_contratual!$Y4&gt;1,"",posicao_contratual!I4)))</f>
        <v/>
      </c>
      <c r="P4" s="155">
        <f>IF(A4="","",IF(posicao_contratual!$Y4="","",IF(posicao_contratual!$Y4&gt;2,"",posicao_contratual!M4)))</f>
        <v/>
      </c>
      <c r="Q4" s="155">
        <f>IF(A4="","",IF(posicao_contratual!$Y4="","",IF(posicao_contratual!$Y4&gt;3,"",posicao_contratual!Q4)))</f>
        <v/>
      </c>
      <c r="R4" s="155">
        <f>IF(A4="","",IF(posicao_contratual!$Y4="","",IF(posicao_contratual!$Y4&gt;4,"",posicao_contratual!U4)))</f>
        <v/>
      </c>
      <c r="S4" s="176">
        <f>IF(A4="","",posicao_contratual!G4)</f>
        <v/>
      </c>
      <c r="T4" s="176">
        <f>IF(A4="","",posicao_contratual!K4)</f>
        <v/>
      </c>
      <c r="U4" s="176">
        <f>IF(A4="","",posicao_contratual!O4)</f>
        <v/>
      </c>
      <c r="V4" s="176">
        <f>IF(A4="","",posicao_contratual!S4)</f>
        <v/>
      </c>
      <c r="W4" s="176">
        <f>IF(A4="","",posicao_contratual!W4)</f>
        <v/>
      </c>
    </row>
    <row r="5">
      <c r="A5" s="91">
        <f>IF(itens_Remanesc!A5="","",itens_Remanesc!A5)</f>
        <v/>
      </c>
      <c r="B5" s="90">
        <f>IF(A5="","",IF(posicao_contratual!$Y5="","",IF(posicao_contratual!$Y5&gt;0,"",posicao_contratual!G5)))</f>
        <v/>
      </c>
      <c r="C5" s="335">
        <f>IF(itens_Remanesc!A5="","",IF(posicao_contratual!$Y5="","",IF(posicao_contratual!$Y5&gt;0,"",itens_Remanesc!C5)))</f>
        <v/>
      </c>
      <c r="D5" s="335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335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335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335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>
        <f>IF(OR(A5="",C5="",C5=0,NOT(ISNUMBER($L$6))),"",ROUND($L$6-1,4))</f>
        <v/>
      </c>
      <c r="I5" s="14" t="n"/>
      <c r="J5" s="92" t="inlineStr">
        <is>
          <t>C3</t>
        </is>
      </c>
      <c r="K5" s="94">
        <f>IF(ISNUMBER(parametros!$E$5),parametros!$E$5,"")</f>
        <v/>
      </c>
      <c r="L5" s="341">
        <f>IF(ISNUMBER(parametros!$F$5),parametros!$F$5,"")</f>
        <v/>
      </c>
      <c r="M5" s="14" t="n"/>
      <c r="N5" s="155">
        <f>IF(A5="","",IF(posicao_contratual!$Y5="","",IF(posicao_contratual!$Y5&gt;0,"",posicao_contratual!E5)))</f>
        <v/>
      </c>
      <c r="O5" s="155">
        <f>IF(A5="","",IF(posicao_contratual!$Y5="","",IF(posicao_contratual!$Y5&gt;1,"",posicao_contratual!I5)))</f>
        <v/>
      </c>
      <c r="P5" s="155">
        <f>IF(A5="","",IF(posicao_contratual!$Y5="","",IF(posicao_contratual!$Y5&gt;2,"",posicao_contratual!M5)))</f>
        <v/>
      </c>
      <c r="Q5" s="155">
        <f>IF(A5="","",IF(posicao_contratual!$Y5="","",IF(posicao_contratual!$Y5&gt;3,"",posicao_contratual!Q5)))</f>
        <v/>
      </c>
      <c r="R5" s="155">
        <f>IF(A5="","",IF(posicao_contratual!$Y5="","",IF(posicao_contratual!$Y5&gt;4,"",posicao_contratual!U5)))</f>
        <v/>
      </c>
      <c r="S5" s="176">
        <f>IF(A5="","",posicao_contratual!G5)</f>
        <v/>
      </c>
      <c r="T5" s="176">
        <f>IF(A5="","",posicao_contratual!K5)</f>
        <v/>
      </c>
      <c r="U5" s="176">
        <f>IF(A5="","",posicao_contratual!O5)</f>
        <v/>
      </c>
      <c r="V5" s="176">
        <f>IF(A5="","",posicao_contratual!S5)</f>
        <v/>
      </c>
      <c r="W5" s="176">
        <f>IF(A5="","",posicao_contratual!W5)</f>
        <v/>
      </c>
    </row>
    <row r="6">
      <c r="A6" s="91">
        <f>IF(itens_Remanesc!A6="","",itens_Remanesc!A6)</f>
        <v/>
      </c>
      <c r="B6" s="90">
        <f>IF(A6="","",IF(posicao_contratual!$Y6="","",IF(posicao_contratual!$Y6&gt;0,"",posicao_contratual!G6)))</f>
        <v/>
      </c>
      <c r="C6" s="335">
        <f>IF(itens_Remanesc!A6="","",IF(posicao_contratual!$Y6="","",IF(posicao_contratual!$Y6&gt;0,"",itens_Remanesc!C6)))</f>
        <v/>
      </c>
      <c r="D6" s="335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335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335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335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>
        <f>IF(OR(A6="",C6="",C6=0,NOT(ISNUMBER($L$6))),"",ROUND($L$6-1,4))</f>
        <v/>
      </c>
      <c r="I6" s="14" t="n"/>
      <c r="J6" s="92" t="inlineStr">
        <is>
          <t>C4</t>
        </is>
      </c>
      <c r="K6" s="94">
        <f>IF(ISNUMBER(parametros!$E$6),parametros!$E$6,"")</f>
        <v/>
      </c>
      <c r="L6" s="341">
        <f>IF(ISNUMBER(parametros!$F$6),parametros!$F$6,"")</f>
        <v/>
      </c>
      <c r="M6" s="14" t="n"/>
      <c r="N6" s="155">
        <f>IF(A6="","",IF(posicao_contratual!$Y6="","",IF(posicao_contratual!$Y6&gt;0,"",posicao_contratual!E6)))</f>
        <v/>
      </c>
      <c r="O6" s="155">
        <f>IF(A6="","",IF(posicao_contratual!$Y6="","",IF(posicao_contratual!$Y6&gt;1,"",posicao_contratual!I6)))</f>
        <v/>
      </c>
      <c r="P6" s="155">
        <f>IF(A6="","",IF(posicao_contratual!$Y6="","",IF(posicao_contratual!$Y6&gt;2,"",posicao_contratual!M6)))</f>
        <v/>
      </c>
      <c r="Q6" s="155">
        <f>IF(A6="","",IF(posicao_contratual!$Y6="","",IF(posicao_contratual!$Y6&gt;3,"",posicao_contratual!Q6)))</f>
        <v/>
      </c>
      <c r="R6" s="155">
        <f>IF(A6="","",IF(posicao_contratual!$Y6="","",IF(posicao_contratual!$Y6&gt;4,"",posicao_contratual!U6)))</f>
        <v/>
      </c>
      <c r="S6" s="176">
        <f>IF(A6="","",posicao_contratual!G6)</f>
        <v/>
      </c>
      <c r="T6" s="176">
        <f>IF(A6="","",posicao_contratual!K6)</f>
        <v/>
      </c>
      <c r="U6" s="176">
        <f>IF(A6="","",posicao_contratual!O6)</f>
        <v/>
      </c>
      <c r="V6" s="176">
        <f>IF(A6="","",posicao_contratual!S6)</f>
        <v/>
      </c>
      <c r="W6" s="176">
        <f>IF(A6="","",posicao_contratual!W6)</f>
        <v/>
      </c>
    </row>
    <row r="7">
      <c r="A7" s="91">
        <f>IF(itens_Remanesc!A7="","",itens_Remanesc!A7)</f>
        <v/>
      </c>
      <c r="B7" s="90">
        <f>IF(A7="","",IF(posicao_contratual!$Y7="","",IF(posicao_contratual!$Y7&gt;0,"",posicao_contratual!G7)))</f>
        <v/>
      </c>
      <c r="C7" s="335">
        <f>IF(itens_Remanesc!A7="","",IF(posicao_contratual!$Y7="","",IF(posicao_contratual!$Y7&gt;0,"",itens_Remanesc!C7)))</f>
        <v/>
      </c>
      <c r="D7" s="335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335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335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335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>
        <f>IF(OR(A7="",C7="",C7=0,NOT(ISNUMBER($L$6))),"",ROUND($L$6-1,4))</f>
        <v/>
      </c>
      <c r="I7" s="14" t="n"/>
      <c r="J7" s="14" t="n"/>
      <c r="K7" s="14" t="n"/>
      <c r="L7" s="14" t="n"/>
      <c r="M7" s="14" t="n"/>
      <c r="N7" s="155">
        <f>IF(A7="","",IF(posicao_contratual!$Y7="","",IF(posicao_contratual!$Y7&gt;0,"",posicao_contratual!E7)))</f>
        <v/>
      </c>
      <c r="O7" s="155">
        <f>IF(A7="","",IF(posicao_contratual!$Y7="","",IF(posicao_contratual!$Y7&gt;1,"",posicao_contratual!I7)))</f>
        <v/>
      </c>
      <c r="P7" s="155">
        <f>IF(A7="","",IF(posicao_contratual!$Y7="","",IF(posicao_contratual!$Y7&gt;2,"",posicao_contratual!M7)))</f>
        <v/>
      </c>
      <c r="Q7" s="155">
        <f>IF(A7="","",IF(posicao_contratual!$Y7="","",IF(posicao_contratual!$Y7&gt;3,"",posicao_contratual!Q7)))</f>
        <v/>
      </c>
      <c r="R7" s="155">
        <f>IF(A7="","",IF(posicao_contratual!$Y7="","",IF(posicao_contratual!$Y7&gt;4,"",posicao_contratual!U7)))</f>
        <v/>
      </c>
      <c r="S7" s="176">
        <f>IF(A7="","",posicao_contratual!G7)</f>
        <v/>
      </c>
      <c r="T7" s="176">
        <f>IF(A7="","",posicao_contratual!K7)</f>
        <v/>
      </c>
      <c r="U7" s="176">
        <f>IF(A7="","",posicao_contratual!O7)</f>
        <v/>
      </c>
      <c r="V7" s="176">
        <f>IF(A7="","",posicao_contratual!S7)</f>
        <v/>
      </c>
      <c r="W7" s="176">
        <f>IF(A7="","",posicao_contratual!W7)</f>
        <v/>
      </c>
    </row>
    <row r="8">
      <c r="A8" s="91">
        <f>IF(itens_Remanesc!A8="","",itens_Remanesc!A8)</f>
        <v/>
      </c>
      <c r="B8" s="90">
        <f>IF(A8="","",IF(posicao_contratual!$Y8="","",IF(posicao_contratual!$Y8&gt;0,"",posicao_contratual!G8)))</f>
        <v/>
      </c>
      <c r="C8" s="335">
        <f>IF(itens_Remanesc!A8="","",IF(posicao_contratual!$Y8="","",IF(posicao_contratual!$Y8&gt;0,"",itens_Remanesc!C8)))</f>
        <v/>
      </c>
      <c r="D8" s="335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335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335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335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>
        <f>IF(OR(A8="",C8="",C8=0,NOT(ISNUMBER($L$6))),"",ROUND($L$6-1,4))</f>
        <v/>
      </c>
      <c r="I8" s="14" t="n"/>
      <c r="J8" s="14" t="n"/>
      <c r="K8" s="14" t="n"/>
      <c r="L8" s="14" t="n"/>
      <c r="M8" s="14" t="n"/>
      <c r="N8" s="155">
        <f>IF(A8="","",IF(posicao_contratual!$Y8="","",IF(posicao_contratual!$Y8&gt;0,"",posicao_contratual!E8)))</f>
        <v/>
      </c>
      <c r="O8" s="155">
        <f>IF(A8="","",IF(posicao_contratual!$Y8="","",IF(posicao_contratual!$Y8&gt;1,"",posicao_contratual!I8)))</f>
        <v/>
      </c>
      <c r="P8" s="155">
        <f>IF(A8="","",IF(posicao_contratual!$Y8="","",IF(posicao_contratual!$Y8&gt;2,"",posicao_contratual!M8)))</f>
        <v/>
      </c>
      <c r="Q8" s="155">
        <f>IF(A8="","",IF(posicao_contratual!$Y8="","",IF(posicao_contratual!$Y8&gt;3,"",posicao_contratual!Q8)))</f>
        <v/>
      </c>
      <c r="R8" s="155">
        <f>IF(A8="","",IF(posicao_contratual!$Y8="","",IF(posicao_contratual!$Y8&gt;4,"",posicao_contratual!U8)))</f>
        <v/>
      </c>
      <c r="S8" s="176">
        <f>IF(A8="","",posicao_contratual!G8)</f>
        <v/>
      </c>
      <c r="T8" s="176">
        <f>IF(A8="","",posicao_contratual!K8)</f>
        <v/>
      </c>
      <c r="U8" s="176">
        <f>IF(A8="","",posicao_contratual!O8)</f>
        <v/>
      </c>
      <c r="V8" s="176">
        <f>IF(A8="","",posicao_contratual!S8)</f>
        <v/>
      </c>
      <c r="W8" s="176">
        <f>IF(A8="","",posicao_contratual!W8)</f>
        <v/>
      </c>
    </row>
    <row r="9">
      <c r="A9" s="91">
        <f>IF(itens_Remanesc!A9="","",itens_Remanesc!A9)</f>
        <v/>
      </c>
      <c r="B9" s="90">
        <f>IF(A9="","",IF(posicao_contratual!$Y9="","",IF(posicao_contratual!$Y9&gt;0,"",posicao_contratual!G9)))</f>
        <v/>
      </c>
      <c r="C9" s="335">
        <f>IF(itens_Remanesc!A9="","",IF(posicao_contratual!$Y9="","",IF(posicao_contratual!$Y9&gt;0,"",itens_Remanesc!C9)))</f>
        <v/>
      </c>
      <c r="D9" s="335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335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335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335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>
        <f>IF(OR(A9="",C9="",C9=0,NOT(ISNUMBER($L$6))),"",ROUND($L$6-1,4))</f>
        <v/>
      </c>
      <c r="I9" s="14" t="n"/>
      <c r="J9" s="14" t="n"/>
      <c r="K9" s="14" t="n"/>
      <c r="L9" s="14" t="n"/>
      <c r="M9" s="14" t="n"/>
      <c r="N9" s="155">
        <f>IF(A9="","",IF(posicao_contratual!$Y9="","",IF(posicao_contratual!$Y9&gt;0,"",posicao_contratual!E9)))</f>
        <v/>
      </c>
      <c r="O9" s="155">
        <f>IF(A9="","",IF(posicao_contratual!$Y9="","",IF(posicao_contratual!$Y9&gt;1,"",posicao_contratual!I9)))</f>
        <v/>
      </c>
      <c r="P9" s="155">
        <f>IF(A9="","",IF(posicao_contratual!$Y9="","",IF(posicao_contratual!$Y9&gt;2,"",posicao_contratual!M9)))</f>
        <v/>
      </c>
      <c r="Q9" s="155">
        <f>IF(A9="","",IF(posicao_contratual!$Y9="","",IF(posicao_contratual!$Y9&gt;3,"",posicao_contratual!Q9)))</f>
        <v/>
      </c>
      <c r="R9" s="155">
        <f>IF(A9="","",IF(posicao_contratual!$Y9="","",IF(posicao_contratual!$Y9&gt;4,"",posicao_contratual!U9)))</f>
        <v/>
      </c>
      <c r="S9" s="176">
        <f>IF(A9="","",posicao_contratual!G9)</f>
        <v/>
      </c>
      <c r="T9" s="176">
        <f>IF(A9="","",posicao_contratual!K9)</f>
        <v/>
      </c>
      <c r="U9" s="176">
        <f>IF(A9="","",posicao_contratual!O9)</f>
        <v/>
      </c>
      <c r="V9" s="176">
        <f>IF(A9="","",posicao_contratual!S9)</f>
        <v/>
      </c>
      <c r="W9" s="176">
        <f>IF(A9="","",posicao_contratual!W9)</f>
        <v/>
      </c>
    </row>
    <row r="10">
      <c r="A10" s="91">
        <f>IF(itens_Remanesc!A10="","",itens_Remanesc!A10)</f>
        <v/>
      </c>
      <c r="B10" s="90">
        <f>IF(A10="","",IF(posicao_contratual!$Y10="","",IF(posicao_contratual!$Y10&gt;0,"",posicao_contratual!G10)))</f>
        <v/>
      </c>
      <c r="C10" s="335">
        <f>IF(itens_Remanesc!A10="","",IF(posicao_contratual!$Y10="","",IF(posicao_contratual!$Y10&gt;0,"",itens_Remanesc!C10)))</f>
        <v/>
      </c>
      <c r="D10" s="335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335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335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335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>
        <f>IF(OR(A10="",C10="",C10=0,NOT(ISNUMBER($L$6))),"",ROUND($L$6-1,4))</f>
        <v/>
      </c>
      <c r="I10" s="14" t="n"/>
      <c r="J10" s="14" t="n"/>
      <c r="K10" s="14" t="n"/>
      <c r="L10" s="14" t="n"/>
      <c r="M10" s="14" t="n"/>
      <c r="N10" s="155">
        <f>IF(A10="","",IF(posicao_contratual!$Y10="","",IF(posicao_contratual!$Y10&gt;0,"",posicao_contratual!E10)))</f>
        <v/>
      </c>
      <c r="O10" s="155">
        <f>IF(A10="","",IF(posicao_contratual!$Y10="","",IF(posicao_contratual!$Y10&gt;1,"",posicao_contratual!I10)))</f>
        <v/>
      </c>
      <c r="P10" s="155">
        <f>IF(A10="","",IF(posicao_contratual!$Y10="","",IF(posicao_contratual!$Y10&gt;2,"",posicao_contratual!M10)))</f>
        <v/>
      </c>
      <c r="Q10" s="155">
        <f>IF(A10="","",IF(posicao_contratual!$Y10="","",IF(posicao_contratual!$Y10&gt;3,"",posicao_contratual!Q10)))</f>
        <v/>
      </c>
      <c r="R10" s="155">
        <f>IF(A10="","",IF(posicao_contratual!$Y10="","",IF(posicao_contratual!$Y10&gt;4,"",posicao_contratual!U10)))</f>
        <v/>
      </c>
      <c r="S10" s="176">
        <f>IF(A10="","",posicao_contratual!G10)</f>
        <v/>
      </c>
      <c r="T10" s="176">
        <f>IF(A10="","",posicao_contratual!K10)</f>
        <v/>
      </c>
      <c r="U10" s="176">
        <f>IF(A10="","",posicao_contratual!O10)</f>
        <v/>
      </c>
      <c r="V10" s="176">
        <f>IF(A10="","",posicao_contratual!S10)</f>
        <v/>
      </c>
      <c r="W10" s="176">
        <f>IF(A10="","",posicao_contratual!W10)</f>
        <v/>
      </c>
    </row>
    <row r="11">
      <c r="A11" s="91">
        <f>IF(itens_Remanesc!A11="","",itens_Remanesc!A11)</f>
        <v/>
      </c>
      <c r="B11" s="90">
        <f>IF(A11="","",IF(posicao_contratual!$Y11="","",IF(posicao_contratual!$Y11&gt;0,"",posicao_contratual!G11)))</f>
        <v/>
      </c>
      <c r="C11" s="335">
        <f>IF(itens_Remanesc!A11="","",IF(posicao_contratual!$Y11="","",IF(posicao_contratual!$Y11&gt;0,"",itens_Remanesc!C11)))</f>
        <v/>
      </c>
      <c r="D11" s="335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335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335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335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>
        <f>IF(OR(A11="",C11="",C11=0,NOT(ISNUMBER($L$6))),"",ROUND($L$6-1,4))</f>
        <v/>
      </c>
      <c r="I11" s="14" t="n"/>
      <c r="J11" s="14" t="n"/>
      <c r="K11" s="14" t="n"/>
      <c r="L11" s="14" t="n"/>
      <c r="M11" s="14" t="n"/>
      <c r="N11" s="155">
        <f>IF(A11="","",IF(posicao_contratual!$Y11="","",IF(posicao_contratual!$Y11&gt;0,"",posicao_contratual!E11)))</f>
        <v/>
      </c>
      <c r="O11" s="155">
        <f>IF(A11="","",IF(posicao_contratual!$Y11="","",IF(posicao_contratual!$Y11&gt;1,"",posicao_contratual!I11)))</f>
        <v/>
      </c>
      <c r="P11" s="155">
        <f>IF(A11="","",IF(posicao_contratual!$Y11="","",IF(posicao_contratual!$Y11&gt;2,"",posicao_contratual!M11)))</f>
        <v/>
      </c>
      <c r="Q11" s="155">
        <f>IF(A11="","",IF(posicao_contratual!$Y11="","",IF(posicao_contratual!$Y11&gt;3,"",posicao_contratual!Q11)))</f>
        <v/>
      </c>
      <c r="R11" s="155">
        <f>IF(A11="","",IF(posicao_contratual!$Y11="","",IF(posicao_contratual!$Y11&gt;4,"",posicao_contratual!U11)))</f>
        <v/>
      </c>
      <c r="S11" s="176">
        <f>IF(A11="","",posicao_contratual!G11)</f>
        <v/>
      </c>
      <c r="T11" s="176">
        <f>IF(A11="","",posicao_contratual!K11)</f>
        <v/>
      </c>
      <c r="U11" s="176">
        <f>IF(A11="","",posicao_contratual!O11)</f>
        <v/>
      </c>
      <c r="V11" s="176">
        <f>IF(A11="","",posicao_contratual!S11)</f>
        <v/>
      </c>
      <c r="W11" s="176">
        <f>IF(A11="","",posicao_contratual!W11)</f>
        <v/>
      </c>
    </row>
    <row r="12">
      <c r="A12" s="91">
        <f>IF(itens_Remanesc!A12="","",itens_Remanesc!A12)</f>
        <v/>
      </c>
      <c r="B12" s="90">
        <f>IF(A12="","",IF(posicao_contratual!$Y12="","",IF(posicao_contratual!$Y12&gt;0,"",posicao_contratual!G12)))</f>
        <v/>
      </c>
      <c r="C12" s="335">
        <f>IF(itens_Remanesc!A12="","",IF(posicao_contratual!$Y12="","",IF(posicao_contratual!$Y12&gt;0,"",itens_Remanesc!C12)))</f>
        <v/>
      </c>
      <c r="D12" s="335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335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335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335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>
        <f>IF(OR(A12="",C12="",C12=0,NOT(ISNUMBER($L$6))),"",ROUND($L$6-1,4))</f>
        <v/>
      </c>
      <c r="I12" s="14" t="n"/>
      <c r="J12" s="14" t="n"/>
      <c r="K12" s="14" t="n"/>
      <c r="L12" s="14" t="n"/>
      <c r="M12" s="14" t="n"/>
      <c r="N12" s="155">
        <f>IF(A12="","",IF(posicao_contratual!$Y12="","",IF(posicao_contratual!$Y12&gt;0,"",posicao_contratual!E12)))</f>
        <v/>
      </c>
      <c r="O12" s="155">
        <f>IF(A12="","",IF(posicao_contratual!$Y12="","",IF(posicao_contratual!$Y12&gt;1,"",posicao_contratual!I12)))</f>
        <v/>
      </c>
      <c r="P12" s="155">
        <f>IF(A12="","",IF(posicao_contratual!$Y12="","",IF(posicao_contratual!$Y12&gt;2,"",posicao_contratual!M12)))</f>
        <v/>
      </c>
      <c r="Q12" s="155">
        <f>IF(A12="","",IF(posicao_contratual!$Y12="","",IF(posicao_contratual!$Y12&gt;3,"",posicao_contratual!Q12)))</f>
        <v/>
      </c>
      <c r="R12" s="155">
        <f>IF(A12="","",IF(posicao_contratual!$Y12="","",IF(posicao_contratual!$Y12&gt;4,"",posicao_contratual!U12)))</f>
        <v/>
      </c>
      <c r="S12" s="176">
        <f>IF(A12="","",posicao_contratual!G12)</f>
        <v/>
      </c>
      <c r="T12" s="176">
        <f>IF(A12="","",posicao_contratual!K12)</f>
        <v/>
      </c>
      <c r="U12" s="176">
        <f>IF(A12="","",posicao_contratual!O12)</f>
        <v/>
      </c>
      <c r="V12" s="176">
        <f>IF(A12="","",posicao_contratual!S12)</f>
        <v/>
      </c>
      <c r="W12" s="176">
        <f>IF(A12="","",posicao_contratual!W12)</f>
        <v/>
      </c>
    </row>
    <row r="13">
      <c r="A13" s="91">
        <f>IF(itens_Remanesc!A13="","",itens_Remanesc!A13)</f>
        <v/>
      </c>
      <c r="B13" s="90">
        <f>IF(A13="","",IF(posicao_contratual!$Y13="","",IF(posicao_contratual!$Y13&gt;0,"",posicao_contratual!G13)))</f>
        <v/>
      </c>
      <c r="C13" s="335">
        <f>IF(itens_Remanesc!A13="","",IF(posicao_contratual!$Y13="","",IF(posicao_contratual!$Y13&gt;0,"",itens_Remanesc!C13)))</f>
        <v/>
      </c>
      <c r="D13" s="335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335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335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335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>
        <f>IF(OR(A13="",C13="",C13=0,NOT(ISNUMBER($L$6))),"",ROUND($L$6-1,4))</f>
        <v/>
      </c>
      <c r="I13" s="14" t="n"/>
      <c r="J13" s="14" t="n"/>
      <c r="K13" s="14" t="n"/>
      <c r="L13" s="14" t="n"/>
      <c r="M13" s="14" t="n"/>
      <c r="N13" s="155">
        <f>IF(A13="","",IF(posicao_contratual!$Y13="","",IF(posicao_contratual!$Y13&gt;0,"",posicao_contratual!E13)))</f>
        <v/>
      </c>
      <c r="O13" s="155">
        <f>IF(A13="","",IF(posicao_contratual!$Y13="","",IF(posicao_contratual!$Y13&gt;1,"",posicao_contratual!I13)))</f>
        <v/>
      </c>
      <c r="P13" s="155">
        <f>IF(A13="","",IF(posicao_contratual!$Y13="","",IF(posicao_contratual!$Y13&gt;2,"",posicao_contratual!M13)))</f>
        <v/>
      </c>
      <c r="Q13" s="155">
        <f>IF(A13="","",IF(posicao_contratual!$Y13="","",IF(posicao_contratual!$Y13&gt;3,"",posicao_contratual!Q13)))</f>
        <v/>
      </c>
      <c r="R13" s="155">
        <f>IF(A13="","",IF(posicao_contratual!$Y13="","",IF(posicao_contratual!$Y13&gt;4,"",posicao_contratual!U13)))</f>
        <v/>
      </c>
      <c r="S13" s="176">
        <f>IF(A13="","",posicao_contratual!G13)</f>
        <v/>
      </c>
      <c r="T13" s="176">
        <f>IF(A13="","",posicao_contratual!K13)</f>
        <v/>
      </c>
      <c r="U13" s="176">
        <f>IF(A13="","",posicao_contratual!O13)</f>
        <v/>
      </c>
      <c r="V13" s="176">
        <f>IF(A13="","",posicao_contratual!S13)</f>
        <v/>
      </c>
      <c r="W13" s="176">
        <f>IF(A13="","",posicao_contratual!W13)</f>
        <v/>
      </c>
    </row>
    <row r="14">
      <c r="A14" s="91">
        <f>IF(itens_Remanesc!A14="","",itens_Remanesc!A14)</f>
        <v/>
      </c>
      <c r="B14" s="90">
        <f>IF(A14="","",IF(posicao_contratual!$Y14="","",IF(posicao_contratual!$Y14&gt;0,"",posicao_contratual!G14)))</f>
        <v/>
      </c>
      <c r="C14" s="335">
        <f>IF(itens_Remanesc!A14="","",IF(posicao_contratual!$Y14="","",IF(posicao_contratual!$Y14&gt;0,"",itens_Remanesc!C14)))</f>
        <v/>
      </c>
      <c r="D14" s="335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335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335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335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>
        <f>IF(OR(A14="",C14="",C14=0,NOT(ISNUMBER($L$6))),"",ROUND($L$6-1,4))</f>
        <v/>
      </c>
      <c r="I14" s="14" t="n"/>
      <c r="J14" s="14" t="n"/>
      <c r="K14" s="14" t="n"/>
      <c r="L14" s="14" t="n"/>
      <c r="M14" s="14" t="n"/>
      <c r="N14" s="155">
        <f>IF(A14="","",IF(posicao_contratual!$Y14="","",IF(posicao_contratual!$Y14&gt;0,"",posicao_contratual!E14)))</f>
        <v/>
      </c>
      <c r="O14" s="155">
        <f>IF(A14="","",IF(posicao_contratual!$Y14="","",IF(posicao_contratual!$Y14&gt;1,"",posicao_contratual!I14)))</f>
        <v/>
      </c>
      <c r="P14" s="155">
        <f>IF(A14="","",IF(posicao_contratual!$Y14="","",IF(posicao_contratual!$Y14&gt;2,"",posicao_contratual!M14)))</f>
        <v/>
      </c>
      <c r="Q14" s="155">
        <f>IF(A14="","",IF(posicao_contratual!$Y14="","",IF(posicao_contratual!$Y14&gt;3,"",posicao_contratual!Q14)))</f>
        <v/>
      </c>
      <c r="R14" s="155">
        <f>IF(A14="","",IF(posicao_contratual!$Y14="","",IF(posicao_contratual!$Y14&gt;4,"",posicao_contratual!U14)))</f>
        <v/>
      </c>
      <c r="S14" s="176">
        <f>IF(A14="","",posicao_contratual!G14)</f>
        <v/>
      </c>
      <c r="T14" s="176">
        <f>IF(A14="","",posicao_contratual!K14)</f>
        <v/>
      </c>
      <c r="U14" s="176">
        <f>IF(A14="","",posicao_contratual!O14)</f>
        <v/>
      </c>
      <c r="V14" s="176">
        <f>IF(A14="","",posicao_contratual!S14)</f>
        <v/>
      </c>
      <c r="W14" s="176">
        <f>IF(A14="","",posicao_contratual!W14)</f>
        <v/>
      </c>
    </row>
    <row r="15">
      <c r="A15" s="91">
        <f>IF(itens_Remanesc!A15="","",itens_Remanesc!A15)</f>
        <v/>
      </c>
      <c r="B15" s="90">
        <f>IF(A15="","",IF(posicao_contratual!$Y15="","",IF(posicao_contratual!$Y15&gt;0,"",posicao_contratual!G15)))</f>
        <v/>
      </c>
      <c r="C15" s="335">
        <f>IF(itens_Remanesc!A15="","",IF(posicao_contratual!$Y15="","",IF(posicao_contratual!$Y15&gt;0,"",itens_Remanesc!C15)))</f>
        <v/>
      </c>
      <c r="D15" s="335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335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335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335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>
        <f>IF(OR(A15="",C15="",C15=0,NOT(ISNUMBER($L$6))),"",ROUND($L$6-1,4))</f>
        <v/>
      </c>
      <c r="I15" s="14" t="n"/>
      <c r="J15" s="14" t="n"/>
      <c r="K15" s="14" t="n"/>
      <c r="L15" s="14" t="n"/>
      <c r="M15" s="14" t="n"/>
      <c r="N15" s="155">
        <f>IF(A15="","",IF(posicao_contratual!$Y15="","",IF(posicao_contratual!$Y15&gt;0,"",posicao_contratual!E15)))</f>
        <v/>
      </c>
      <c r="O15" s="155">
        <f>IF(A15="","",IF(posicao_contratual!$Y15="","",IF(posicao_contratual!$Y15&gt;1,"",posicao_contratual!I15)))</f>
        <v/>
      </c>
      <c r="P15" s="155">
        <f>IF(A15="","",IF(posicao_contratual!$Y15="","",IF(posicao_contratual!$Y15&gt;2,"",posicao_contratual!M15)))</f>
        <v/>
      </c>
      <c r="Q15" s="155">
        <f>IF(A15="","",IF(posicao_contratual!$Y15="","",IF(posicao_contratual!$Y15&gt;3,"",posicao_contratual!Q15)))</f>
        <v/>
      </c>
      <c r="R15" s="155">
        <f>IF(A15="","",IF(posicao_contratual!$Y15="","",IF(posicao_contratual!$Y15&gt;4,"",posicao_contratual!U15)))</f>
        <v/>
      </c>
      <c r="S15" s="176">
        <f>IF(A15="","",posicao_contratual!G15)</f>
        <v/>
      </c>
      <c r="T15" s="176">
        <f>IF(A15="","",posicao_contratual!K15)</f>
        <v/>
      </c>
      <c r="U15" s="176">
        <f>IF(A15="","",posicao_contratual!O15)</f>
        <v/>
      </c>
      <c r="V15" s="176">
        <f>IF(A15="","",posicao_contratual!S15)</f>
        <v/>
      </c>
      <c r="W15" s="176">
        <f>IF(A15="","",posicao_contratual!W15)</f>
        <v/>
      </c>
    </row>
    <row r="16">
      <c r="A16" s="91">
        <f>IF(itens_Remanesc!A16="","",itens_Remanesc!A16)</f>
        <v/>
      </c>
      <c r="B16" s="90">
        <f>IF(A16="","",IF(posicao_contratual!$Y16="","",IF(posicao_contratual!$Y16&gt;0,"",posicao_contratual!G16)))</f>
        <v/>
      </c>
      <c r="C16" s="335">
        <f>IF(itens_Remanesc!A16="","",IF(posicao_contratual!$Y16="","",IF(posicao_contratual!$Y16&gt;0,"",itens_Remanesc!C16)))</f>
        <v/>
      </c>
      <c r="D16" s="335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335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335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335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>
        <f>IF(OR(A16="",C16="",C16=0,NOT(ISNUMBER($L$6))),"",ROUND($L$6-1,4))</f>
        <v/>
      </c>
      <c r="I16" s="14" t="n"/>
      <c r="J16" s="14" t="n"/>
      <c r="K16" s="14" t="n"/>
      <c r="L16" s="14" t="n"/>
      <c r="M16" s="14" t="n"/>
      <c r="N16" s="155">
        <f>IF(A16="","",IF(posicao_contratual!$Y16="","",IF(posicao_contratual!$Y16&gt;0,"",posicao_contratual!E16)))</f>
        <v/>
      </c>
      <c r="O16" s="155">
        <f>IF(A16="","",IF(posicao_contratual!$Y16="","",IF(posicao_contratual!$Y16&gt;1,"",posicao_contratual!I16)))</f>
        <v/>
      </c>
      <c r="P16" s="155">
        <f>IF(A16="","",IF(posicao_contratual!$Y16="","",IF(posicao_contratual!$Y16&gt;2,"",posicao_contratual!M16)))</f>
        <v/>
      </c>
      <c r="Q16" s="155">
        <f>IF(A16="","",IF(posicao_contratual!$Y16="","",IF(posicao_contratual!$Y16&gt;3,"",posicao_contratual!Q16)))</f>
        <v/>
      </c>
      <c r="R16" s="155">
        <f>IF(A16="","",IF(posicao_contratual!$Y16="","",IF(posicao_contratual!$Y16&gt;4,"",posicao_contratual!U16)))</f>
        <v/>
      </c>
      <c r="S16" s="176">
        <f>IF(A16="","",posicao_contratual!G16)</f>
        <v/>
      </c>
      <c r="T16" s="176">
        <f>IF(A16="","",posicao_contratual!K16)</f>
        <v/>
      </c>
      <c r="U16" s="176">
        <f>IF(A16="","",posicao_contratual!O16)</f>
        <v/>
      </c>
      <c r="V16" s="176">
        <f>IF(A16="","",posicao_contratual!S16)</f>
        <v/>
      </c>
      <c r="W16" s="176">
        <f>IF(A16="","",posicao_contratual!W16)</f>
        <v/>
      </c>
    </row>
    <row r="17">
      <c r="A17" s="91">
        <f>IF(itens_Remanesc!A17="","",itens_Remanesc!A17)</f>
        <v/>
      </c>
      <c r="B17" s="90">
        <f>IF(A17="","",IF(posicao_contratual!$Y17="","",IF(posicao_contratual!$Y17&gt;0,"",posicao_contratual!G17)))</f>
        <v/>
      </c>
      <c r="C17" s="335">
        <f>IF(itens_Remanesc!A17="","",IF(posicao_contratual!$Y17="","",IF(posicao_contratual!$Y17&gt;0,"",itens_Remanesc!C17)))</f>
        <v/>
      </c>
      <c r="D17" s="335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335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335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335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>
        <f>IF(OR(A17="",C17="",C17=0,NOT(ISNUMBER($L$6))),"",ROUND($L$6-1,4))</f>
        <v/>
      </c>
      <c r="I17" s="14" t="n"/>
      <c r="J17" s="14" t="n"/>
      <c r="K17" s="14" t="n"/>
      <c r="L17" s="14" t="n"/>
      <c r="M17" s="14" t="n"/>
      <c r="N17" s="155">
        <f>IF(A17="","",IF(posicao_contratual!$Y17="","",IF(posicao_contratual!$Y17&gt;0,"",posicao_contratual!E17)))</f>
        <v/>
      </c>
      <c r="O17" s="155">
        <f>IF(A17="","",IF(posicao_contratual!$Y17="","",IF(posicao_contratual!$Y17&gt;1,"",posicao_contratual!I17)))</f>
        <v/>
      </c>
      <c r="P17" s="155">
        <f>IF(A17="","",IF(posicao_contratual!$Y17="","",IF(posicao_contratual!$Y17&gt;2,"",posicao_contratual!M17)))</f>
        <v/>
      </c>
      <c r="Q17" s="155">
        <f>IF(A17="","",IF(posicao_contratual!$Y17="","",IF(posicao_contratual!$Y17&gt;3,"",posicao_contratual!Q17)))</f>
        <v/>
      </c>
      <c r="R17" s="155">
        <f>IF(A17="","",IF(posicao_contratual!$Y17="","",IF(posicao_contratual!$Y17&gt;4,"",posicao_contratual!U17)))</f>
        <v/>
      </c>
      <c r="S17" s="176">
        <f>IF(A17="","",posicao_contratual!G17)</f>
        <v/>
      </c>
      <c r="T17" s="176">
        <f>IF(A17="","",posicao_contratual!K17)</f>
        <v/>
      </c>
      <c r="U17" s="176">
        <f>IF(A17="","",posicao_contratual!O17)</f>
        <v/>
      </c>
      <c r="V17" s="176">
        <f>IF(A17="","",posicao_contratual!S17)</f>
        <v/>
      </c>
      <c r="W17" s="176">
        <f>IF(A17="","",posicao_contratual!W17)</f>
        <v/>
      </c>
    </row>
    <row r="18">
      <c r="A18" s="91">
        <f>IF(itens_Remanesc!A18="","",itens_Remanesc!A18)</f>
        <v/>
      </c>
      <c r="B18" s="90">
        <f>IF(A18="","",IF(posicao_contratual!$Y18="","",IF(posicao_contratual!$Y18&gt;0,"",posicao_contratual!G18)))</f>
        <v/>
      </c>
      <c r="C18" s="335">
        <f>IF(itens_Remanesc!A18="","",IF(posicao_contratual!$Y18="","",IF(posicao_contratual!$Y18&gt;0,"",itens_Remanesc!C18)))</f>
        <v/>
      </c>
      <c r="D18" s="335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335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335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335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>
        <f>IF(OR(A18="",C18="",C18=0,NOT(ISNUMBER($L$6))),"",ROUND($L$6-1,4))</f>
        <v/>
      </c>
      <c r="I18" s="14" t="n"/>
      <c r="J18" s="14" t="n"/>
      <c r="K18" s="14" t="n"/>
      <c r="L18" s="14" t="n"/>
      <c r="M18" s="14" t="n"/>
      <c r="N18" s="155">
        <f>IF(A18="","",IF(posicao_contratual!$Y18="","",IF(posicao_contratual!$Y18&gt;0,"",posicao_contratual!E18)))</f>
        <v/>
      </c>
      <c r="O18" s="155">
        <f>IF(A18="","",IF(posicao_contratual!$Y18="","",IF(posicao_contratual!$Y18&gt;1,"",posicao_contratual!I18)))</f>
        <v/>
      </c>
      <c r="P18" s="155">
        <f>IF(A18="","",IF(posicao_contratual!$Y18="","",IF(posicao_contratual!$Y18&gt;2,"",posicao_contratual!M18)))</f>
        <v/>
      </c>
      <c r="Q18" s="155">
        <f>IF(A18="","",IF(posicao_contratual!$Y18="","",IF(posicao_contratual!$Y18&gt;3,"",posicao_contratual!Q18)))</f>
        <v/>
      </c>
      <c r="R18" s="155">
        <f>IF(A18="","",IF(posicao_contratual!$Y18="","",IF(posicao_contratual!$Y18&gt;4,"",posicao_contratual!U18)))</f>
        <v/>
      </c>
      <c r="S18" s="176">
        <f>IF(A18="","",posicao_contratual!G18)</f>
        <v/>
      </c>
      <c r="T18" s="176">
        <f>IF(A18="","",posicao_contratual!K18)</f>
        <v/>
      </c>
      <c r="U18" s="176">
        <f>IF(A18="","",posicao_contratual!O18)</f>
        <v/>
      </c>
      <c r="V18" s="176">
        <f>IF(A18="","",posicao_contratual!S18)</f>
        <v/>
      </c>
      <c r="W18" s="176">
        <f>IF(A18="","",posicao_contratual!W18)</f>
        <v/>
      </c>
    </row>
    <row r="19">
      <c r="A19" s="91">
        <f>IF(itens_Remanesc!A19="","",itens_Remanesc!A19)</f>
        <v/>
      </c>
      <c r="B19" s="90">
        <f>IF(A19="","",IF(posicao_contratual!$Y19="","",IF(posicao_contratual!$Y19&gt;0,"",posicao_contratual!G19)))</f>
        <v/>
      </c>
      <c r="C19" s="335">
        <f>IF(itens_Remanesc!A19="","",IF(posicao_contratual!$Y19="","",IF(posicao_contratual!$Y19&gt;0,"",itens_Remanesc!C19)))</f>
        <v/>
      </c>
      <c r="D19" s="335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335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335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335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>
        <f>IF(OR(A19="",C19="",C19=0,NOT(ISNUMBER($L$6))),"",ROUND($L$6-1,4))</f>
        <v/>
      </c>
      <c r="I19" s="14" t="n"/>
      <c r="J19" s="14" t="n"/>
      <c r="K19" s="14" t="n"/>
      <c r="L19" s="14" t="n"/>
      <c r="M19" s="14" t="n"/>
      <c r="N19" s="155">
        <f>IF(A19="","",IF(posicao_contratual!$Y19="","",IF(posicao_contratual!$Y19&gt;0,"",posicao_contratual!E19)))</f>
        <v/>
      </c>
      <c r="O19" s="155">
        <f>IF(A19="","",IF(posicao_contratual!$Y19="","",IF(posicao_contratual!$Y19&gt;1,"",posicao_contratual!I19)))</f>
        <v/>
      </c>
      <c r="P19" s="155">
        <f>IF(A19="","",IF(posicao_contratual!$Y19="","",IF(posicao_contratual!$Y19&gt;2,"",posicao_contratual!M19)))</f>
        <v/>
      </c>
      <c r="Q19" s="155">
        <f>IF(A19="","",IF(posicao_contratual!$Y19="","",IF(posicao_contratual!$Y19&gt;3,"",posicao_contratual!Q19)))</f>
        <v/>
      </c>
      <c r="R19" s="155">
        <f>IF(A19="","",IF(posicao_contratual!$Y19="","",IF(posicao_contratual!$Y19&gt;4,"",posicao_contratual!U19)))</f>
        <v/>
      </c>
      <c r="S19" s="176">
        <f>IF(A19="","",posicao_contratual!G19)</f>
        <v/>
      </c>
      <c r="T19" s="176">
        <f>IF(A19="","",posicao_contratual!K19)</f>
        <v/>
      </c>
      <c r="U19" s="176">
        <f>IF(A19="","",posicao_contratual!O19)</f>
        <v/>
      </c>
      <c r="V19" s="176">
        <f>IF(A19="","",posicao_contratual!S19)</f>
        <v/>
      </c>
      <c r="W19" s="176">
        <f>IF(A19="","",posicao_contratual!W19)</f>
        <v/>
      </c>
    </row>
    <row r="20">
      <c r="A20" s="91">
        <f>IF(itens_Remanesc!A20="","",itens_Remanesc!A20)</f>
        <v/>
      </c>
      <c r="B20" s="90">
        <f>IF(A20="","",IF(posicao_contratual!$Y20="","",IF(posicao_contratual!$Y20&gt;0,"",posicao_contratual!G20)))</f>
        <v/>
      </c>
      <c r="C20" s="335">
        <f>IF(itens_Remanesc!A20="","",IF(posicao_contratual!$Y20="","",IF(posicao_contratual!$Y20&gt;0,"",itens_Remanesc!C20)))</f>
        <v/>
      </c>
      <c r="D20" s="335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335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335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335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>
        <f>IF(OR(A20="",C20="",C20=0,NOT(ISNUMBER($L$6))),"",ROUND($L$6-1,4))</f>
        <v/>
      </c>
      <c r="I20" s="14" t="n"/>
      <c r="J20" s="14" t="n"/>
      <c r="K20" s="14" t="n"/>
      <c r="L20" s="14" t="n"/>
      <c r="M20" s="14" t="n"/>
      <c r="N20" s="155">
        <f>IF(A20="","",IF(posicao_contratual!$Y20="","",IF(posicao_contratual!$Y20&gt;0,"",posicao_contratual!E20)))</f>
        <v/>
      </c>
      <c r="O20" s="155">
        <f>IF(A20="","",IF(posicao_contratual!$Y20="","",IF(posicao_contratual!$Y20&gt;1,"",posicao_contratual!I20)))</f>
        <v/>
      </c>
      <c r="P20" s="155">
        <f>IF(A20="","",IF(posicao_contratual!$Y20="","",IF(posicao_contratual!$Y20&gt;2,"",posicao_contratual!M20)))</f>
        <v/>
      </c>
      <c r="Q20" s="155">
        <f>IF(A20="","",IF(posicao_contratual!$Y20="","",IF(posicao_contratual!$Y20&gt;3,"",posicao_contratual!Q20)))</f>
        <v/>
      </c>
      <c r="R20" s="155">
        <f>IF(A20="","",IF(posicao_contratual!$Y20="","",IF(posicao_contratual!$Y20&gt;4,"",posicao_contratual!U20)))</f>
        <v/>
      </c>
      <c r="S20" s="176">
        <f>IF(A20="","",posicao_contratual!G20)</f>
        <v/>
      </c>
      <c r="T20" s="176">
        <f>IF(A20="","",posicao_contratual!K20)</f>
        <v/>
      </c>
      <c r="U20" s="176">
        <f>IF(A20="","",posicao_contratual!O20)</f>
        <v/>
      </c>
      <c r="V20" s="176">
        <f>IF(A20="","",posicao_contratual!S20)</f>
        <v/>
      </c>
      <c r="W20" s="176">
        <f>IF(A20="","",posicao_contratual!W20)</f>
        <v/>
      </c>
    </row>
    <row r="21">
      <c r="A21" s="91">
        <f>IF(itens_Remanesc!A21="","",itens_Remanesc!A21)</f>
        <v/>
      </c>
      <c r="B21" s="90">
        <f>IF(A21="","",IF(posicao_contratual!$Y21="","",IF(posicao_contratual!$Y21&gt;0,"",posicao_contratual!G21)))</f>
        <v/>
      </c>
      <c r="C21" s="335">
        <f>IF(itens_Remanesc!A21="","",IF(posicao_contratual!$Y21="","",IF(posicao_contratual!$Y21&gt;0,"",itens_Remanesc!C21)))</f>
        <v/>
      </c>
      <c r="D21" s="335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335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335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335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>
        <f>IF(OR(A21="",C21="",C21=0,NOT(ISNUMBER($L$6))),"",ROUND($L$6-1,4))</f>
        <v/>
      </c>
      <c r="I21" s="14" t="n"/>
      <c r="J21" s="14" t="n"/>
      <c r="K21" s="14" t="n"/>
      <c r="L21" s="14" t="n"/>
      <c r="M21" s="14" t="n"/>
      <c r="N21" s="155">
        <f>IF(A21="","",IF(posicao_contratual!$Y21="","",IF(posicao_contratual!$Y21&gt;0,"",posicao_contratual!E21)))</f>
        <v/>
      </c>
      <c r="O21" s="155">
        <f>IF(A21="","",IF(posicao_contratual!$Y21="","",IF(posicao_contratual!$Y21&gt;1,"",posicao_contratual!I21)))</f>
        <v/>
      </c>
      <c r="P21" s="155">
        <f>IF(A21="","",IF(posicao_contratual!$Y21="","",IF(posicao_contratual!$Y21&gt;2,"",posicao_contratual!M21)))</f>
        <v/>
      </c>
      <c r="Q21" s="155">
        <f>IF(A21="","",IF(posicao_contratual!$Y21="","",IF(posicao_contratual!$Y21&gt;3,"",posicao_contratual!Q21)))</f>
        <v/>
      </c>
      <c r="R21" s="155">
        <f>IF(A21="","",IF(posicao_contratual!$Y21="","",IF(posicao_contratual!$Y21&gt;4,"",posicao_contratual!U21)))</f>
        <v/>
      </c>
      <c r="S21" s="176">
        <f>IF(A21="","",posicao_contratual!G21)</f>
        <v/>
      </c>
      <c r="T21" s="176">
        <f>IF(A21="","",posicao_contratual!K21)</f>
        <v/>
      </c>
      <c r="U21" s="176">
        <f>IF(A21="","",posicao_contratual!O21)</f>
        <v/>
      </c>
      <c r="V21" s="176">
        <f>IF(A21="","",posicao_contratual!S21)</f>
        <v/>
      </c>
      <c r="W21" s="176">
        <f>IF(A21="","",posicao_contratual!W21)</f>
        <v/>
      </c>
    </row>
    <row r="22">
      <c r="A22" s="91">
        <f>IF(itens_Remanesc!A22="","",itens_Remanesc!A22)</f>
        <v/>
      </c>
      <c r="B22" s="90">
        <f>IF(A22="","",IF(posicao_contratual!$Y22="","",IF(posicao_contratual!$Y22&gt;0,"",posicao_contratual!G22)))</f>
        <v/>
      </c>
      <c r="C22" s="335">
        <f>IF(itens_Remanesc!A22="","",IF(posicao_contratual!$Y22="","",IF(posicao_contratual!$Y22&gt;0,"",itens_Remanesc!C22)))</f>
        <v/>
      </c>
      <c r="D22" s="335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335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335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335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>
        <f>IF(OR(A22="",C22="",C22=0,NOT(ISNUMBER($L$6))),"",ROUND($L$6-1,4))</f>
        <v/>
      </c>
      <c r="I22" s="14" t="n"/>
      <c r="J22" s="14" t="n"/>
      <c r="K22" s="14" t="n"/>
      <c r="L22" s="14" t="n"/>
      <c r="M22" s="14" t="n"/>
      <c r="N22" s="155">
        <f>IF(A22="","",IF(posicao_contratual!$Y22="","",IF(posicao_contratual!$Y22&gt;0,"",posicao_contratual!E22)))</f>
        <v/>
      </c>
      <c r="O22" s="155">
        <f>IF(A22="","",IF(posicao_contratual!$Y22="","",IF(posicao_contratual!$Y22&gt;1,"",posicao_contratual!I22)))</f>
        <v/>
      </c>
      <c r="P22" s="155">
        <f>IF(A22="","",IF(posicao_contratual!$Y22="","",IF(posicao_contratual!$Y22&gt;2,"",posicao_contratual!M22)))</f>
        <v/>
      </c>
      <c r="Q22" s="155">
        <f>IF(A22="","",IF(posicao_contratual!$Y22="","",IF(posicao_contratual!$Y22&gt;3,"",posicao_contratual!Q22)))</f>
        <v/>
      </c>
      <c r="R22" s="155">
        <f>IF(A22="","",IF(posicao_contratual!$Y22="","",IF(posicao_contratual!$Y22&gt;4,"",posicao_contratual!U22)))</f>
        <v/>
      </c>
      <c r="S22" s="176">
        <f>IF(A22="","",posicao_contratual!G22)</f>
        <v/>
      </c>
      <c r="T22" s="176">
        <f>IF(A22="","",posicao_contratual!K22)</f>
        <v/>
      </c>
      <c r="U22" s="176">
        <f>IF(A22="","",posicao_contratual!O22)</f>
        <v/>
      </c>
      <c r="V22" s="176">
        <f>IF(A22="","",posicao_contratual!S22)</f>
        <v/>
      </c>
      <c r="W22" s="176">
        <f>IF(A22="","",posicao_contratual!W22)</f>
        <v/>
      </c>
    </row>
    <row r="23">
      <c r="A23" s="91">
        <f>IF(itens_Remanesc!A23="","",itens_Remanesc!A23)</f>
        <v/>
      </c>
      <c r="B23" s="90">
        <f>IF(A23="","",IF(posicao_contratual!$Y23="","",IF(posicao_contratual!$Y23&gt;0,"",posicao_contratual!G23)))</f>
        <v/>
      </c>
      <c r="C23" s="335">
        <f>IF(itens_Remanesc!A23="","",IF(posicao_contratual!$Y23="","",IF(posicao_contratual!$Y23&gt;0,"",itens_Remanesc!C23)))</f>
        <v/>
      </c>
      <c r="D23" s="335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335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335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335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>
        <f>IF(OR(A23="",C23="",C23=0,NOT(ISNUMBER($L$6))),"",ROUND($L$6-1,4))</f>
        <v/>
      </c>
      <c r="I23" s="14" t="n"/>
      <c r="J23" s="14" t="n"/>
      <c r="K23" s="14" t="n"/>
      <c r="L23" s="14" t="n"/>
      <c r="M23" s="14" t="n"/>
      <c r="N23" s="155">
        <f>IF(A23="","",IF(posicao_contratual!$Y23="","",IF(posicao_contratual!$Y23&gt;0,"",posicao_contratual!E23)))</f>
        <v/>
      </c>
      <c r="O23" s="155">
        <f>IF(A23="","",IF(posicao_contratual!$Y23="","",IF(posicao_contratual!$Y23&gt;1,"",posicao_contratual!I23)))</f>
        <v/>
      </c>
      <c r="P23" s="155">
        <f>IF(A23="","",IF(posicao_contratual!$Y23="","",IF(posicao_contratual!$Y23&gt;2,"",posicao_contratual!M23)))</f>
        <v/>
      </c>
      <c r="Q23" s="155">
        <f>IF(A23="","",IF(posicao_contratual!$Y23="","",IF(posicao_contratual!$Y23&gt;3,"",posicao_contratual!Q23)))</f>
        <v/>
      </c>
      <c r="R23" s="155">
        <f>IF(A23="","",IF(posicao_contratual!$Y23="","",IF(posicao_contratual!$Y23&gt;4,"",posicao_contratual!U23)))</f>
        <v/>
      </c>
      <c r="S23" s="176">
        <f>IF(A23="","",posicao_contratual!G23)</f>
        <v/>
      </c>
      <c r="T23" s="176">
        <f>IF(A23="","",posicao_contratual!K23)</f>
        <v/>
      </c>
      <c r="U23" s="176">
        <f>IF(A23="","",posicao_contratual!O23)</f>
        <v/>
      </c>
      <c r="V23" s="176">
        <f>IF(A23="","",posicao_contratual!S23)</f>
        <v/>
      </c>
      <c r="W23" s="176">
        <f>IF(A23="","",posicao_contratual!W23)</f>
        <v/>
      </c>
    </row>
    <row r="24">
      <c r="A24" s="91">
        <f>IF(itens_Remanesc!A24="","",itens_Remanesc!A24)</f>
        <v/>
      </c>
      <c r="B24" s="90">
        <f>IF(A24="","",IF(posicao_contratual!$Y24="","",IF(posicao_contratual!$Y24&gt;0,"",posicao_contratual!G24)))</f>
        <v/>
      </c>
      <c r="C24" s="335">
        <f>IF(itens_Remanesc!A24="","",IF(posicao_contratual!$Y24="","",IF(posicao_contratual!$Y24&gt;0,"",itens_Remanesc!C24)))</f>
        <v/>
      </c>
      <c r="D24" s="335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335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335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335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>
        <f>IF(OR(A24="",C24="",C24=0,NOT(ISNUMBER($L$6))),"",ROUND($L$6-1,4))</f>
        <v/>
      </c>
      <c r="I24" s="14" t="n"/>
      <c r="J24" s="14" t="n"/>
      <c r="K24" s="14" t="n"/>
      <c r="L24" s="14" t="n"/>
      <c r="M24" s="14" t="n"/>
      <c r="N24" s="155">
        <f>IF(A24="","",IF(posicao_contratual!$Y24="","",IF(posicao_contratual!$Y24&gt;0,"",posicao_contratual!E24)))</f>
        <v/>
      </c>
      <c r="O24" s="155">
        <f>IF(A24="","",IF(posicao_contratual!$Y24="","",IF(posicao_contratual!$Y24&gt;1,"",posicao_contratual!I24)))</f>
        <v/>
      </c>
      <c r="P24" s="155">
        <f>IF(A24="","",IF(posicao_contratual!$Y24="","",IF(posicao_contratual!$Y24&gt;2,"",posicao_contratual!M24)))</f>
        <v/>
      </c>
      <c r="Q24" s="155">
        <f>IF(A24="","",IF(posicao_contratual!$Y24="","",IF(posicao_contratual!$Y24&gt;3,"",posicao_contratual!Q24)))</f>
        <v/>
      </c>
      <c r="R24" s="155">
        <f>IF(A24="","",IF(posicao_contratual!$Y24="","",IF(posicao_contratual!$Y24&gt;4,"",posicao_contratual!U24)))</f>
        <v/>
      </c>
      <c r="S24" s="176">
        <f>IF(A24="","",posicao_contratual!G24)</f>
        <v/>
      </c>
      <c r="T24" s="176">
        <f>IF(A24="","",posicao_contratual!K24)</f>
        <v/>
      </c>
      <c r="U24" s="176">
        <f>IF(A24="","",posicao_contratual!O24)</f>
        <v/>
      </c>
      <c r="V24" s="176">
        <f>IF(A24="","",posicao_contratual!S24)</f>
        <v/>
      </c>
      <c r="W24" s="176">
        <f>IF(A24="","",posicao_contratual!W24)</f>
        <v/>
      </c>
    </row>
    <row r="25">
      <c r="A25" s="91">
        <f>IF(itens_Remanesc!A25="","",itens_Remanesc!A25)</f>
        <v/>
      </c>
      <c r="B25" s="90">
        <f>IF(A25="","",IF(posicao_contratual!$Y25="","",IF(posicao_contratual!$Y25&gt;0,"",posicao_contratual!G25)))</f>
        <v/>
      </c>
      <c r="C25" s="335">
        <f>IF(itens_Remanesc!A25="","",IF(posicao_contratual!$Y25="","",IF(posicao_contratual!$Y25&gt;0,"",itens_Remanesc!C25)))</f>
        <v/>
      </c>
      <c r="D25" s="335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335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335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335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>
        <f>IF(OR(A25="",C25="",C25=0,NOT(ISNUMBER($L$6))),"",ROUND($L$6-1,4))</f>
        <v/>
      </c>
      <c r="I25" s="14" t="n"/>
      <c r="J25" s="14" t="n"/>
      <c r="K25" s="14" t="n"/>
      <c r="L25" s="14" t="n"/>
      <c r="M25" s="14" t="n"/>
      <c r="N25" s="155">
        <f>IF(A25="","",IF(posicao_contratual!$Y25="","",IF(posicao_contratual!$Y25&gt;0,"",posicao_contratual!E25)))</f>
        <v/>
      </c>
      <c r="O25" s="155">
        <f>IF(A25="","",IF(posicao_contratual!$Y25="","",IF(posicao_contratual!$Y25&gt;1,"",posicao_contratual!I25)))</f>
        <v/>
      </c>
      <c r="P25" s="155">
        <f>IF(A25="","",IF(posicao_contratual!$Y25="","",IF(posicao_contratual!$Y25&gt;2,"",posicao_contratual!M25)))</f>
        <v/>
      </c>
      <c r="Q25" s="155">
        <f>IF(A25="","",IF(posicao_contratual!$Y25="","",IF(posicao_contratual!$Y25&gt;3,"",posicao_contratual!Q25)))</f>
        <v/>
      </c>
      <c r="R25" s="155">
        <f>IF(A25="","",IF(posicao_contratual!$Y25="","",IF(posicao_contratual!$Y25&gt;4,"",posicao_contratual!U25)))</f>
        <v/>
      </c>
      <c r="S25" s="176">
        <f>IF(A25="","",posicao_contratual!G25)</f>
        <v/>
      </c>
      <c r="T25" s="176">
        <f>IF(A25="","",posicao_contratual!K25)</f>
        <v/>
      </c>
      <c r="U25" s="176">
        <f>IF(A25="","",posicao_contratual!O25)</f>
        <v/>
      </c>
      <c r="V25" s="176">
        <f>IF(A25="","",posicao_contratual!S25)</f>
        <v/>
      </c>
      <c r="W25" s="176">
        <f>IF(A25="","",posicao_contratual!W25)</f>
        <v/>
      </c>
    </row>
    <row r="26">
      <c r="A26" s="91">
        <f>IF(itens_Remanesc!A26="","",itens_Remanesc!A26)</f>
        <v/>
      </c>
      <c r="B26" s="90">
        <f>IF(A26="","",IF(posicao_contratual!$Y26="","",IF(posicao_contratual!$Y26&gt;0,"",posicao_contratual!G26)))</f>
        <v/>
      </c>
      <c r="C26" s="335">
        <f>IF(itens_Remanesc!A26="","",IF(posicao_contratual!$Y26="","",IF(posicao_contratual!$Y26&gt;0,"",itens_Remanesc!C26)))</f>
        <v/>
      </c>
      <c r="D26" s="335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335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335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335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>
        <f>IF(OR(A26="",C26="",C26=0,NOT(ISNUMBER($L$6))),"",ROUND($L$6-1,4))</f>
        <v/>
      </c>
      <c r="I26" s="14" t="n"/>
      <c r="J26" s="14" t="n"/>
      <c r="K26" s="14" t="n"/>
      <c r="L26" s="14" t="n"/>
      <c r="M26" s="14" t="n"/>
      <c r="N26" s="155">
        <f>IF(A26="","",IF(posicao_contratual!$Y26="","",IF(posicao_contratual!$Y26&gt;0,"",posicao_contratual!E26)))</f>
        <v/>
      </c>
      <c r="O26" s="155">
        <f>IF(A26="","",IF(posicao_contratual!$Y26="","",IF(posicao_contratual!$Y26&gt;1,"",posicao_contratual!I26)))</f>
        <v/>
      </c>
      <c r="P26" s="155">
        <f>IF(A26="","",IF(posicao_contratual!$Y26="","",IF(posicao_contratual!$Y26&gt;2,"",posicao_contratual!M26)))</f>
        <v/>
      </c>
      <c r="Q26" s="155">
        <f>IF(A26="","",IF(posicao_contratual!$Y26="","",IF(posicao_contratual!$Y26&gt;3,"",posicao_contratual!Q26)))</f>
        <v/>
      </c>
      <c r="R26" s="155">
        <f>IF(A26="","",IF(posicao_contratual!$Y26="","",IF(posicao_contratual!$Y26&gt;4,"",posicao_contratual!U26)))</f>
        <v/>
      </c>
      <c r="S26" s="176">
        <f>IF(A26="","",posicao_contratual!G26)</f>
        <v/>
      </c>
      <c r="T26" s="176">
        <f>IF(A26="","",posicao_contratual!K26)</f>
        <v/>
      </c>
      <c r="U26" s="176">
        <f>IF(A26="","",posicao_contratual!O26)</f>
        <v/>
      </c>
      <c r="V26" s="176">
        <f>IF(A26="","",posicao_contratual!S26)</f>
        <v/>
      </c>
      <c r="W26" s="176">
        <f>IF(A26="","",posicao_contratual!W26)</f>
        <v/>
      </c>
    </row>
    <row r="27">
      <c r="A27" s="91">
        <f>IF(itens_Remanesc!A27="","",itens_Remanesc!A27)</f>
        <v/>
      </c>
      <c r="B27" s="90">
        <f>IF(A27="","",IF(posicao_contratual!$Y27="","",IF(posicao_contratual!$Y27&gt;0,"",posicao_contratual!G27)))</f>
        <v/>
      </c>
      <c r="C27" s="335">
        <f>IF(itens_Remanesc!A27="","",IF(posicao_contratual!$Y27="","",IF(posicao_contratual!$Y27&gt;0,"",itens_Remanesc!C27)))</f>
        <v/>
      </c>
      <c r="D27" s="335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335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335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335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>
        <f>IF(OR(A27="",C27="",C27=0,NOT(ISNUMBER($L$6))),"",ROUND($L$6-1,4))</f>
        <v/>
      </c>
      <c r="I27" s="14" t="n"/>
      <c r="J27" s="14" t="n"/>
      <c r="K27" s="14" t="n"/>
      <c r="L27" s="14" t="n"/>
      <c r="M27" s="14" t="n"/>
      <c r="N27" s="155">
        <f>IF(A27="","",IF(posicao_contratual!$Y27="","",IF(posicao_contratual!$Y27&gt;0,"",posicao_contratual!E27)))</f>
        <v/>
      </c>
      <c r="O27" s="155">
        <f>IF(A27="","",IF(posicao_contratual!$Y27="","",IF(posicao_contratual!$Y27&gt;1,"",posicao_contratual!I27)))</f>
        <v/>
      </c>
      <c r="P27" s="155">
        <f>IF(A27="","",IF(posicao_contratual!$Y27="","",IF(posicao_contratual!$Y27&gt;2,"",posicao_contratual!M27)))</f>
        <v/>
      </c>
      <c r="Q27" s="155">
        <f>IF(A27="","",IF(posicao_contratual!$Y27="","",IF(posicao_contratual!$Y27&gt;3,"",posicao_contratual!Q27)))</f>
        <v/>
      </c>
      <c r="R27" s="155">
        <f>IF(A27="","",IF(posicao_contratual!$Y27="","",IF(posicao_contratual!$Y27&gt;4,"",posicao_contratual!U27)))</f>
        <v/>
      </c>
      <c r="S27" s="176">
        <f>IF(A27="","",posicao_contratual!G27)</f>
        <v/>
      </c>
      <c r="T27" s="176">
        <f>IF(A27="","",posicao_contratual!K27)</f>
        <v/>
      </c>
      <c r="U27" s="176">
        <f>IF(A27="","",posicao_contratual!O27)</f>
        <v/>
      </c>
      <c r="V27" s="176">
        <f>IF(A27="","",posicao_contratual!S27)</f>
        <v/>
      </c>
      <c r="W27" s="176">
        <f>IF(A27="","",posicao_contratual!W27)</f>
        <v/>
      </c>
    </row>
    <row r="28">
      <c r="A28" s="91">
        <f>IF(itens_Remanesc!A28="","",itens_Remanesc!A28)</f>
        <v/>
      </c>
      <c r="B28" s="90">
        <f>IF(A28="","",IF(posicao_contratual!$Y28="","",IF(posicao_contratual!$Y28&gt;0,"",posicao_contratual!G28)))</f>
        <v/>
      </c>
      <c r="C28" s="335">
        <f>IF(itens_Remanesc!A28="","",IF(posicao_contratual!$Y28="","",IF(posicao_contratual!$Y28&gt;0,"",itens_Remanesc!C28)))</f>
        <v/>
      </c>
      <c r="D28" s="335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335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335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335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>
        <f>IF(OR(A28="",C28="",C28=0,NOT(ISNUMBER($L$6))),"",ROUND($L$6-1,4))</f>
        <v/>
      </c>
      <c r="I28" s="14" t="n"/>
      <c r="J28" s="14" t="n"/>
      <c r="K28" s="14" t="n"/>
      <c r="L28" s="14" t="n"/>
      <c r="M28" s="14" t="n"/>
      <c r="N28" s="155">
        <f>IF(A28="","",IF(posicao_contratual!$Y28="","",IF(posicao_contratual!$Y28&gt;0,"",posicao_contratual!E28)))</f>
        <v/>
      </c>
      <c r="O28" s="155">
        <f>IF(A28="","",IF(posicao_contratual!$Y28="","",IF(posicao_contratual!$Y28&gt;1,"",posicao_contratual!I28)))</f>
        <v/>
      </c>
      <c r="P28" s="155">
        <f>IF(A28="","",IF(posicao_contratual!$Y28="","",IF(posicao_contratual!$Y28&gt;2,"",posicao_contratual!M28)))</f>
        <v/>
      </c>
      <c r="Q28" s="155">
        <f>IF(A28="","",IF(posicao_contratual!$Y28="","",IF(posicao_contratual!$Y28&gt;3,"",posicao_contratual!Q28)))</f>
        <v/>
      </c>
      <c r="R28" s="155">
        <f>IF(A28="","",IF(posicao_contratual!$Y28="","",IF(posicao_contratual!$Y28&gt;4,"",posicao_contratual!U28)))</f>
        <v/>
      </c>
      <c r="S28" s="176">
        <f>IF(A28="","",posicao_contratual!G28)</f>
        <v/>
      </c>
      <c r="T28" s="176">
        <f>IF(A28="","",posicao_contratual!K28)</f>
        <v/>
      </c>
      <c r="U28" s="176">
        <f>IF(A28="","",posicao_contratual!O28)</f>
        <v/>
      </c>
      <c r="V28" s="176">
        <f>IF(A28="","",posicao_contratual!S28)</f>
        <v/>
      </c>
      <c r="W28" s="176">
        <f>IF(A28="","",posicao_contratual!W28)</f>
        <v/>
      </c>
    </row>
    <row r="29">
      <c r="A29" s="91">
        <f>IF(itens_Remanesc!A29="","",itens_Remanesc!A29)</f>
        <v/>
      </c>
      <c r="B29" s="90">
        <f>IF(A29="","",IF(posicao_contratual!$Y29="","",IF(posicao_contratual!$Y29&gt;0,"",posicao_contratual!G29)))</f>
        <v/>
      </c>
      <c r="C29" s="335">
        <f>IF(itens_Remanesc!A29="","",IF(posicao_contratual!$Y29="","",IF(posicao_contratual!$Y29&gt;0,"",itens_Remanesc!C29)))</f>
        <v/>
      </c>
      <c r="D29" s="335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335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335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335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>
        <f>IF(OR(A29="",C29="",C29=0,NOT(ISNUMBER($L$6))),"",ROUND($L$6-1,4))</f>
        <v/>
      </c>
      <c r="I29" s="14" t="n"/>
      <c r="J29" s="14" t="n"/>
      <c r="K29" s="14" t="n"/>
      <c r="L29" s="14" t="n"/>
      <c r="M29" s="14" t="n"/>
      <c r="N29" s="155">
        <f>IF(A29="","",IF(posicao_contratual!$Y29="","",IF(posicao_contratual!$Y29&gt;0,"",posicao_contratual!E29)))</f>
        <v/>
      </c>
      <c r="O29" s="155">
        <f>IF(A29="","",IF(posicao_contratual!$Y29="","",IF(posicao_contratual!$Y29&gt;1,"",posicao_contratual!I29)))</f>
        <v/>
      </c>
      <c r="P29" s="155">
        <f>IF(A29="","",IF(posicao_contratual!$Y29="","",IF(posicao_contratual!$Y29&gt;2,"",posicao_contratual!M29)))</f>
        <v/>
      </c>
      <c r="Q29" s="155">
        <f>IF(A29="","",IF(posicao_contratual!$Y29="","",IF(posicao_contratual!$Y29&gt;3,"",posicao_contratual!Q29)))</f>
        <v/>
      </c>
      <c r="R29" s="155">
        <f>IF(A29="","",IF(posicao_contratual!$Y29="","",IF(posicao_contratual!$Y29&gt;4,"",posicao_contratual!U29)))</f>
        <v/>
      </c>
      <c r="S29" s="176">
        <f>IF(A29="","",posicao_contratual!G29)</f>
        <v/>
      </c>
      <c r="T29" s="176">
        <f>IF(A29="","",posicao_contratual!K29)</f>
        <v/>
      </c>
      <c r="U29" s="176">
        <f>IF(A29="","",posicao_contratual!O29)</f>
        <v/>
      </c>
      <c r="V29" s="176">
        <f>IF(A29="","",posicao_contratual!S29)</f>
        <v/>
      </c>
      <c r="W29" s="176">
        <f>IF(A29="","",posicao_contratual!W29)</f>
        <v/>
      </c>
    </row>
    <row r="30">
      <c r="A30" s="91">
        <f>IF(itens_Remanesc!A30="","",itens_Remanesc!A30)</f>
        <v/>
      </c>
      <c r="B30" s="90">
        <f>IF(A30="","",IF(posicao_contratual!$Y30="","",IF(posicao_contratual!$Y30&gt;0,"",posicao_contratual!G30)))</f>
        <v/>
      </c>
      <c r="C30" s="335">
        <f>IF(itens_Remanesc!A30="","",IF(posicao_contratual!$Y30="","",IF(posicao_contratual!$Y30&gt;0,"",itens_Remanesc!C30)))</f>
        <v/>
      </c>
      <c r="D30" s="335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335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335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335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>
        <f>IF(OR(A30="",C30="",C30=0,NOT(ISNUMBER($L$6))),"",ROUND($L$6-1,4))</f>
        <v/>
      </c>
      <c r="I30" s="14" t="n"/>
      <c r="J30" s="14" t="n"/>
      <c r="K30" s="14" t="n"/>
      <c r="L30" s="14" t="n"/>
      <c r="M30" s="14" t="n"/>
      <c r="N30" s="155">
        <f>IF(A30="","",IF(posicao_contratual!$Y30="","",IF(posicao_contratual!$Y30&gt;0,"",posicao_contratual!E30)))</f>
        <v/>
      </c>
      <c r="O30" s="155">
        <f>IF(A30="","",IF(posicao_contratual!$Y30="","",IF(posicao_contratual!$Y30&gt;1,"",posicao_contratual!I30)))</f>
        <v/>
      </c>
      <c r="P30" s="155">
        <f>IF(A30="","",IF(posicao_contratual!$Y30="","",IF(posicao_contratual!$Y30&gt;2,"",posicao_contratual!M30)))</f>
        <v/>
      </c>
      <c r="Q30" s="155">
        <f>IF(A30="","",IF(posicao_contratual!$Y30="","",IF(posicao_contratual!$Y30&gt;3,"",posicao_contratual!Q30)))</f>
        <v/>
      </c>
      <c r="R30" s="155">
        <f>IF(A30="","",IF(posicao_contratual!$Y30="","",IF(posicao_contratual!$Y30&gt;4,"",posicao_contratual!U30)))</f>
        <v/>
      </c>
      <c r="S30" s="176">
        <f>IF(A30="","",posicao_contratual!G30)</f>
        <v/>
      </c>
      <c r="T30" s="176">
        <f>IF(A30="","",posicao_contratual!K30)</f>
        <v/>
      </c>
      <c r="U30" s="176">
        <f>IF(A30="","",posicao_contratual!O30)</f>
        <v/>
      </c>
      <c r="V30" s="176">
        <f>IF(A30="","",posicao_contratual!S30)</f>
        <v/>
      </c>
      <c r="W30" s="176">
        <f>IF(A30="","",posicao_contratual!W30)</f>
        <v/>
      </c>
    </row>
    <row r="31">
      <c r="A31" s="91">
        <f>IF(itens_Remanesc!A31="","",itens_Remanesc!A31)</f>
        <v/>
      </c>
      <c r="B31" s="90">
        <f>IF(A31="","",IF(posicao_contratual!$Y31="","",IF(posicao_contratual!$Y31&gt;0,"",posicao_contratual!G31)))</f>
        <v/>
      </c>
      <c r="C31" s="335">
        <f>IF(itens_Remanesc!A31="","",IF(posicao_contratual!$Y31="","",IF(posicao_contratual!$Y31&gt;0,"",itens_Remanesc!C31)))</f>
        <v/>
      </c>
      <c r="D31" s="335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335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335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335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>
        <f>IF(OR(A31="",C31="",C31=0,NOT(ISNUMBER($L$6))),"",ROUND($L$6-1,4))</f>
        <v/>
      </c>
      <c r="I31" s="14" t="n"/>
      <c r="J31" s="14" t="n"/>
      <c r="K31" s="14" t="n"/>
      <c r="L31" s="14" t="n"/>
      <c r="M31" s="14" t="n"/>
      <c r="N31" s="155">
        <f>IF(A31="","",IF(posicao_contratual!$Y31="","",IF(posicao_contratual!$Y31&gt;0,"",posicao_contratual!E31)))</f>
        <v/>
      </c>
      <c r="O31" s="155">
        <f>IF(A31="","",IF(posicao_contratual!$Y31="","",IF(posicao_contratual!$Y31&gt;1,"",posicao_contratual!I31)))</f>
        <v/>
      </c>
      <c r="P31" s="155">
        <f>IF(A31="","",IF(posicao_contratual!$Y31="","",IF(posicao_contratual!$Y31&gt;2,"",posicao_contratual!M31)))</f>
        <v/>
      </c>
      <c r="Q31" s="155">
        <f>IF(A31="","",IF(posicao_contratual!$Y31="","",IF(posicao_contratual!$Y31&gt;3,"",posicao_contratual!Q31)))</f>
        <v/>
      </c>
      <c r="R31" s="155">
        <f>IF(A31="","",IF(posicao_contratual!$Y31="","",IF(posicao_contratual!$Y31&gt;4,"",posicao_contratual!U31)))</f>
        <v/>
      </c>
      <c r="S31" s="176">
        <f>IF(A31="","",posicao_contratual!G31)</f>
        <v/>
      </c>
      <c r="T31" s="176">
        <f>IF(A31="","",posicao_contratual!K31)</f>
        <v/>
      </c>
      <c r="U31" s="176">
        <f>IF(A31="","",posicao_contratual!O31)</f>
        <v/>
      </c>
      <c r="V31" s="176">
        <f>IF(A31="","",posicao_contratual!S31)</f>
        <v/>
      </c>
      <c r="W31" s="176">
        <f>IF(A31="","",posicao_contratual!W31)</f>
        <v/>
      </c>
    </row>
    <row r="32">
      <c r="A32" s="91">
        <f>IF(itens_Remanesc!A32="","",itens_Remanesc!A32)</f>
        <v/>
      </c>
      <c r="B32" s="90">
        <f>IF(A32="","",IF(posicao_contratual!$Y32="","",IF(posicao_contratual!$Y32&gt;0,"",posicao_contratual!G32)))</f>
        <v/>
      </c>
      <c r="C32" s="335">
        <f>IF(itens_Remanesc!A32="","",IF(posicao_contratual!$Y32="","",IF(posicao_contratual!$Y32&gt;0,"",itens_Remanesc!C32)))</f>
        <v/>
      </c>
      <c r="D32" s="335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335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335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335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>
        <f>IF(OR(A32="",C32="",C32=0,NOT(ISNUMBER($L$6))),"",ROUND($L$6-1,4))</f>
        <v/>
      </c>
      <c r="I32" s="14" t="n"/>
      <c r="J32" s="14" t="n"/>
      <c r="K32" s="14" t="n"/>
      <c r="L32" s="14" t="n"/>
      <c r="M32" s="14" t="n"/>
      <c r="N32" s="155">
        <f>IF(A32="","",IF(posicao_contratual!$Y32="","",IF(posicao_contratual!$Y32&gt;0,"",posicao_contratual!E32)))</f>
        <v/>
      </c>
      <c r="O32" s="155">
        <f>IF(A32="","",IF(posicao_contratual!$Y32="","",IF(posicao_contratual!$Y32&gt;1,"",posicao_contratual!I32)))</f>
        <v/>
      </c>
      <c r="P32" s="155">
        <f>IF(A32="","",IF(posicao_contratual!$Y32="","",IF(posicao_contratual!$Y32&gt;2,"",posicao_contratual!M32)))</f>
        <v/>
      </c>
      <c r="Q32" s="155">
        <f>IF(A32="","",IF(posicao_contratual!$Y32="","",IF(posicao_contratual!$Y32&gt;3,"",posicao_contratual!Q32)))</f>
        <v/>
      </c>
      <c r="R32" s="155">
        <f>IF(A32="","",IF(posicao_contratual!$Y32="","",IF(posicao_contratual!$Y32&gt;4,"",posicao_contratual!U32)))</f>
        <v/>
      </c>
      <c r="S32" s="176">
        <f>IF(A32="","",posicao_contratual!G32)</f>
        <v/>
      </c>
      <c r="T32" s="176">
        <f>IF(A32="","",posicao_contratual!K32)</f>
        <v/>
      </c>
      <c r="U32" s="176">
        <f>IF(A32="","",posicao_contratual!O32)</f>
        <v/>
      </c>
      <c r="V32" s="176">
        <f>IF(A32="","",posicao_contratual!S32)</f>
        <v/>
      </c>
      <c r="W32" s="176">
        <f>IF(A32="","",posicao_contratual!W32)</f>
        <v/>
      </c>
    </row>
    <row r="33">
      <c r="A33" s="91">
        <f>IF(itens_Remanesc!A33="","",itens_Remanesc!A33)</f>
        <v/>
      </c>
      <c r="B33" s="90">
        <f>IF(A33="","",IF(posicao_contratual!$Y33="","",IF(posicao_contratual!$Y33&gt;0,"",posicao_contratual!G33)))</f>
        <v/>
      </c>
      <c r="C33" s="335">
        <f>IF(itens_Remanesc!A33="","",IF(posicao_contratual!$Y33="","",IF(posicao_contratual!$Y33&gt;0,"",itens_Remanesc!C33)))</f>
        <v/>
      </c>
      <c r="D33" s="335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335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335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335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>
        <f>IF(OR(A33="",C33="",C33=0,NOT(ISNUMBER($L$6))),"",ROUND($L$6-1,4))</f>
        <v/>
      </c>
      <c r="I33" s="14" t="n"/>
      <c r="J33" s="14" t="n"/>
      <c r="K33" s="14" t="n"/>
      <c r="L33" s="14" t="n"/>
      <c r="M33" s="14" t="n"/>
      <c r="N33" s="155">
        <f>IF(A33="","",IF(posicao_contratual!$Y33="","",IF(posicao_contratual!$Y33&gt;0,"",posicao_contratual!E33)))</f>
        <v/>
      </c>
      <c r="O33" s="155">
        <f>IF(A33="","",IF(posicao_contratual!$Y33="","",IF(posicao_contratual!$Y33&gt;1,"",posicao_contratual!I33)))</f>
        <v/>
      </c>
      <c r="P33" s="155">
        <f>IF(A33="","",IF(posicao_contratual!$Y33="","",IF(posicao_contratual!$Y33&gt;2,"",posicao_contratual!M33)))</f>
        <v/>
      </c>
      <c r="Q33" s="155">
        <f>IF(A33="","",IF(posicao_contratual!$Y33="","",IF(posicao_contratual!$Y33&gt;3,"",posicao_contratual!Q33)))</f>
        <v/>
      </c>
      <c r="R33" s="155">
        <f>IF(A33="","",IF(posicao_contratual!$Y33="","",IF(posicao_contratual!$Y33&gt;4,"",posicao_contratual!U33)))</f>
        <v/>
      </c>
      <c r="S33" s="176">
        <f>IF(A33="","",posicao_contratual!G33)</f>
        <v/>
      </c>
      <c r="T33" s="176">
        <f>IF(A33="","",posicao_contratual!K33)</f>
        <v/>
      </c>
      <c r="U33" s="176">
        <f>IF(A33="","",posicao_contratual!O33)</f>
        <v/>
      </c>
      <c r="V33" s="176">
        <f>IF(A33="","",posicao_contratual!S33)</f>
        <v/>
      </c>
      <c r="W33" s="176">
        <f>IF(A33="","",posicao_contratual!W33)</f>
        <v/>
      </c>
    </row>
    <row r="34">
      <c r="A34" s="91">
        <f>IF(itens_Remanesc!A34="","",itens_Remanesc!A34)</f>
        <v/>
      </c>
      <c r="B34" s="90">
        <f>IF(A34="","",IF(posicao_contratual!$Y34="","",IF(posicao_contratual!$Y34&gt;0,"",posicao_contratual!G34)))</f>
        <v/>
      </c>
      <c r="C34" s="335">
        <f>IF(itens_Remanesc!A34="","",IF(posicao_contratual!$Y34="","",IF(posicao_contratual!$Y34&gt;0,"",itens_Remanesc!C34)))</f>
        <v/>
      </c>
      <c r="D34" s="335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335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335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335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>
        <f>IF(OR(A34="",C34="",C34=0,NOT(ISNUMBER($L$6))),"",ROUND($L$6-1,4))</f>
        <v/>
      </c>
      <c r="I34" s="14" t="n"/>
      <c r="J34" s="14" t="n"/>
      <c r="K34" s="14" t="n"/>
      <c r="L34" s="14" t="n"/>
      <c r="M34" s="14" t="n"/>
      <c r="N34" s="155">
        <f>IF(A34="","",IF(posicao_contratual!$Y34="","",IF(posicao_contratual!$Y34&gt;0,"",posicao_contratual!E34)))</f>
        <v/>
      </c>
      <c r="O34" s="155">
        <f>IF(A34="","",IF(posicao_contratual!$Y34="","",IF(posicao_contratual!$Y34&gt;1,"",posicao_contratual!I34)))</f>
        <v/>
      </c>
      <c r="P34" s="155">
        <f>IF(A34="","",IF(posicao_contratual!$Y34="","",IF(posicao_contratual!$Y34&gt;2,"",posicao_contratual!M34)))</f>
        <v/>
      </c>
      <c r="Q34" s="155">
        <f>IF(A34="","",IF(posicao_contratual!$Y34="","",IF(posicao_contratual!$Y34&gt;3,"",posicao_contratual!Q34)))</f>
        <v/>
      </c>
      <c r="R34" s="155">
        <f>IF(A34="","",IF(posicao_contratual!$Y34="","",IF(posicao_contratual!$Y34&gt;4,"",posicao_contratual!U34)))</f>
        <v/>
      </c>
      <c r="S34" s="176">
        <f>IF(A34="","",posicao_contratual!G34)</f>
        <v/>
      </c>
      <c r="T34" s="176">
        <f>IF(A34="","",posicao_contratual!K34)</f>
        <v/>
      </c>
      <c r="U34" s="176">
        <f>IF(A34="","",posicao_contratual!O34)</f>
        <v/>
      </c>
      <c r="V34" s="176">
        <f>IF(A34="","",posicao_contratual!S34)</f>
        <v/>
      </c>
      <c r="W34" s="176">
        <f>IF(A34="","",posicao_contratual!W34)</f>
        <v/>
      </c>
    </row>
    <row r="35">
      <c r="A35" s="91">
        <f>IF(itens_Remanesc!A35="","",itens_Remanesc!A35)</f>
        <v/>
      </c>
      <c r="B35" s="90">
        <f>IF(A35="","",IF(posicao_contratual!$Y35="","",IF(posicao_contratual!$Y35&gt;0,"",posicao_contratual!G35)))</f>
        <v/>
      </c>
      <c r="C35" s="335">
        <f>IF(itens_Remanesc!A35="","",IF(posicao_contratual!$Y35="","",IF(posicao_contratual!$Y35&gt;0,"",itens_Remanesc!C35)))</f>
        <v/>
      </c>
      <c r="D35" s="335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335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335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335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>
        <f>IF(OR(A35="",C35="",C35=0,NOT(ISNUMBER($L$6))),"",ROUND($L$6-1,4))</f>
        <v/>
      </c>
      <c r="I35" s="14" t="n"/>
      <c r="J35" s="14" t="n"/>
      <c r="K35" s="14" t="n"/>
      <c r="L35" s="14" t="n"/>
      <c r="M35" s="14" t="n"/>
      <c r="N35" s="155">
        <f>IF(A35="","",IF(posicao_contratual!$Y35="","",IF(posicao_contratual!$Y35&gt;0,"",posicao_contratual!E35)))</f>
        <v/>
      </c>
      <c r="O35" s="155">
        <f>IF(A35="","",IF(posicao_contratual!$Y35="","",IF(posicao_contratual!$Y35&gt;1,"",posicao_contratual!I35)))</f>
        <v/>
      </c>
      <c r="P35" s="155">
        <f>IF(A35="","",IF(posicao_contratual!$Y35="","",IF(posicao_contratual!$Y35&gt;2,"",posicao_contratual!M35)))</f>
        <v/>
      </c>
      <c r="Q35" s="155">
        <f>IF(A35="","",IF(posicao_contratual!$Y35="","",IF(posicao_contratual!$Y35&gt;3,"",posicao_contratual!Q35)))</f>
        <v/>
      </c>
      <c r="R35" s="155">
        <f>IF(A35="","",IF(posicao_contratual!$Y35="","",IF(posicao_contratual!$Y35&gt;4,"",posicao_contratual!U35)))</f>
        <v/>
      </c>
      <c r="S35" s="176">
        <f>IF(A35="","",posicao_contratual!G35)</f>
        <v/>
      </c>
      <c r="T35" s="176">
        <f>IF(A35="","",posicao_contratual!K35)</f>
        <v/>
      </c>
      <c r="U35" s="176">
        <f>IF(A35="","",posicao_contratual!O35)</f>
        <v/>
      </c>
      <c r="V35" s="176">
        <f>IF(A35="","",posicao_contratual!S35)</f>
        <v/>
      </c>
      <c r="W35" s="176">
        <f>IF(A35="","",posicao_contratual!W35)</f>
        <v/>
      </c>
    </row>
    <row r="36">
      <c r="A36" s="91">
        <f>IF(itens_Remanesc!A36="","",itens_Remanesc!A36)</f>
        <v/>
      </c>
      <c r="B36" s="90">
        <f>IF(A36="","",IF(posicao_contratual!$Y36="","",IF(posicao_contratual!$Y36&gt;0,"",posicao_contratual!G36)))</f>
        <v/>
      </c>
      <c r="C36" s="335">
        <f>IF(itens_Remanesc!A36="","",IF(posicao_contratual!$Y36="","",IF(posicao_contratual!$Y36&gt;0,"",itens_Remanesc!C36)))</f>
        <v/>
      </c>
      <c r="D36" s="335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335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335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335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>
        <f>IF(OR(A36="",C36="",C36=0,NOT(ISNUMBER($L$6))),"",ROUND($L$6-1,4))</f>
        <v/>
      </c>
      <c r="I36" s="14" t="n"/>
      <c r="J36" s="14" t="n"/>
      <c r="K36" s="14" t="n"/>
      <c r="L36" s="14" t="n"/>
      <c r="M36" s="14" t="n"/>
      <c r="N36" s="155">
        <f>IF(A36="","",IF(posicao_contratual!$Y36="","",IF(posicao_contratual!$Y36&gt;0,"",posicao_contratual!E36)))</f>
        <v/>
      </c>
      <c r="O36" s="155">
        <f>IF(A36="","",IF(posicao_contratual!$Y36="","",IF(posicao_contratual!$Y36&gt;1,"",posicao_contratual!I36)))</f>
        <v/>
      </c>
      <c r="P36" s="155">
        <f>IF(A36="","",IF(posicao_contratual!$Y36="","",IF(posicao_contratual!$Y36&gt;2,"",posicao_contratual!M36)))</f>
        <v/>
      </c>
      <c r="Q36" s="155">
        <f>IF(A36="","",IF(posicao_contratual!$Y36="","",IF(posicao_contratual!$Y36&gt;3,"",posicao_contratual!Q36)))</f>
        <v/>
      </c>
      <c r="R36" s="155">
        <f>IF(A36="","",IF(posicao_contratual!$Y36="","",IF(posicao_contratual!$Y36&gt;4,"",posicao_contratual!U36)))</f>
        <v/>
      </c>
      <c r="S36" s="176">
        <f>IF(A36="","",posicao_contratual!G36)</f>
        <v/>
      </c>
      <c r="T36" s="176">
        <f>IF(A36="","",posicao_contratual!K36)</f>
        <v/>
      </c>
      <c r="U36" s="176">
        <f>IF(A36="","",posicao_contratual!O36)</f>
        <v/>
      </c>
      <c r="V36" s="176">
        <f>IF(A36="","",posicao_contratual!S36)</f>
        <v/>
      </c>
      <c r="W36" s="176">
        <f>IF(A36="","",posicao_contratual!W36)</f>
        <v/>
      </c>
    </row>
    <row r="37">
      <c r="A37" s="91">
        <f>IF(itens_Remanesc!A37="","",itens_Remanesc!A37)</f>
        <v/>
      </c>
      <c r="B37" s="90">
        <f>IF(A37="","",IF(posicao_contratual!$Y37="","",IF(posicao_contratual!$Y37&gt;0,"",posicao_contratual!G37)))</f>
        <v/>
      </c>
      <c r="C37" s="335">
        <f>IF(itens_Remanesc!A37="","",IF(posicao_contratual!$Y37="","",IF(posicao_contratual!$Y37&gt;0,"",itens_Remanesc!C37)))</f>
        <v/>
      </c>
      <c r="D37" s="335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335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335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335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>
        <f>IF(OR(A37="",C37="",C37=0,NOT(ISNUMBER($L$6))),"",ROUND($L$6-1,4))</f>
        <v/>
      </c>
      <c r="I37" s="14" t="n"/>
      <c r="J37" s="14" t="n"/>
      <c r="K37" s="14" t="n"/>
      <c r="L37" s="14" t="n"/>
      <c r="M37" s="14" t="n"/>
      <c r="N37" s="155">
        <f>IF(A37="","",IF(posicao_contratual!$Y37="","",IF(posicao_contratual!$Y37&gt;0,"",posicao_contratual!E37)))</f>
        <v/>
      </c>
      <c r="O37" s="155">
        <f>IF(A37="","",IF(posicao_contratual!$Y37="","",IF(posicao_contratual!$Y37&gt;1,"",posicao_contratual!I37)))</f>
        <v/>
      </c>
      <c r="P37" s="155">
        <f>IF(A37="","",IF(posicao_contratual!$Y37="","",IF(posicao_contratual!$Y37&gt;2,"",posicao_contratual!M37)))</f>
        <v/>
      </c>
      <c r="Q37" s="155">
        <f>IF(A37="","",IF(posicao_contratual!$Y37="","",IF(posicao_contratual!$Y37&gt;3,"",posicao_contratual!Q37)))</f>
        <v/>
      </c>
      <c r="R37" s="155">
        <f>IF(A37="","",IF(posicao_contratual!$Y37="","",IF(posicao_contratual!$Y37&gt;4,"",posicao_contratual!U37)))</f>
        <v/>
      </c>
      <c r="S37" s="176">
        <f>IF(A37="","",posicao_contratual!G37)</f>
        <v/>
      </c>
      <c r="T37" s="176">
        <f>IF(A37="","",posicao_contratual!K37)</f>
        <v/>
      </c>
      <c r="U37" s="176">
        <f>IF(A37="","",posicao_contratual!O37)</f>
        <v/>
      </c>
      <c r="V37" s="176">
        <f>IF(A37="","",posicao_contratual!S37)</f>
        <v/>
      </c>
      <c r="W37" s="176">
        <f>IF(A37="","",posicao_contratual!W37)</f>
        <v/>
      </c>
    </row>
    <row r="38">
      <c r="A38" s="91">
        <f>IF(itens_Remanesc!A38="","",itens_Remanesc!A38)</f>
        <v/>
      </c>
      <c r="B38" s="90">
        <f>IF(A38="","",IF(posicao_contratual!$Y38="","",IF(posicao_contratual!$Y38&gt;0,"",posicao_contratual!G38)))</f>
        <v/>
      </c>
      <c r="C38" s="335">
        <f>IF(itens_Remanesc!A38="","",IF(posicao_contratual!$Y38="","",IF(posicao_contratual!$Y38&gt;0,"",itens_Remanesc!C38)))</f>
        <v/>
      </c>
      <c r="D38" s="335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335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335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335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>
        <f>IF(OR(A38="",C38="",C38=0,NOT(ISNUMBER($L$6))),"",ROUND($L$6-1,4))</f>
        <v/>
      </c>
      <c r="I38" s="14" t="n"/>
      <c r="J38" s="14" t="n"/>
      <c r="K38" s="14" t="n"/>
      <c r="L38" s="14" t="n"/>
      <c r="M38" s="14" t="n"/>
      <c r="N38" s="155">
        <f>IF(A38="","",IF(posicao_contratual!$Y38="","",IF(posicao_contratual!$Y38&gt;0,"",posicao_contratual!E38)))</f>
        <v/>
      </c>
      <c r="O38" s="155">
        <f>IF(A38="","",IF(posicao_contratual!$Y38="","",IF(posicao_contratual!$Y38&gt;1,"",posicao_contratual!I38)))</f>
        <v/>
      </c>
      <c r="P38" s="155">
        <f>IF(A38="","",IF(posicao_contratual!$Y38="","",IF(posicao_contratual!$Y38&gt;2,"",posicao_contratual!M38)))</f>
        <v/>
      </c>
      <c r="Q38" s="155">
        <f>IF(A38="","",IF(posicao_contratual!$Y38="","",IF(posicao_contratual!$Y38&gt;3,"",posicao_contratual!Q38)))</f>
        <v/>
      </c>
      <c r="R38" s="155">
        <f>IF(A38="","",IF(posicao_contratual!$Y38="","",IF(posicao_contratual!$Y38&gt;4,"",posicao_contratual!U38)))</f>
        <v/>
      </c>
      <c r="S38" s="176">
        <f>IF(A38="","",posicao_contratual!G38)</f>
        <v/>
      </c>
      <c r="T38" s="176">
        <f>IF(A38="","",posicao_contratual!K38)</f>
        <v/>
      </c>
      <c r="U38" s="176">
        <f>IF(A38="","",posicao_contratual!O38)</f>
        <v/>
      </c>
      <c r="V38" s="176">
        <f>IF(A38="","",posicao_contratual!S38)</f>
        <v/>
      </c>
      <c r="W38" s="176">
        <f>IF(A38="","",posicao_contratual!W38)</f>
        <v/>
      </c>
    </row>
    <row r="39">
      <c r="A39" s="91">
        <f>IF(itens_Remanesc!A39="","",itens_Remanesc!A39)</f>
        <v/>
      </c>
      <c r="B39" s="90">
        <f>IF(A39="","",IF(posicao_contratual!$Y39="","",IF(posicao_contratual!$Y39&gt;0,"",posicao_contratual!G39)))</f>
        <v/>
      </c>
      <c r="C39" s="335">
        <f>IF(itens_Remanesc!A39="","",IF(posicao_contratual!$Y39="","",IF(posicao_contratual!$Y39&gt;0,"",itens_Remanesc!C39)))</f>
        <v/>
      </c>
      <c r="D39" s="335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335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335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335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>
        <f>IF(OR(A39="",C39="",C39=0,NOT(ISNUMBER($L$6))),"",ROUND($L$6-1,4))</f>
        <v/>
      </c>
      <c r="I39" s="14" t="n"/>
      <c r="J39" s="14" t="n"/>
      <c r="K39" s="14" t="n"/>
      <c r="L39" s="14" t="n"/>
      <c r="M39" s="14" t="n"/>
      <c r="N39" s="155">
        <f>IF(A39="","",IF(posicao_contratual!$Y39="","",IF(posicao_contratual!$Y39&gt;0,"",posicao_contratual!E39)))</f>
        <v/>
      </c>
      <c r="O39" s="155">
        <f>IF(A39="","",IF(posicao_contratual!$Y39="","",IF(posicao_contratual!$Y39&gt;1,"",posicao_contratual!I39)))</f>
        <v/>
      </c>
      <c r="P39" s="155">
        <f>IF(A39="","",IF(posicao_contratual!$Y39="","",IF(posicao_contratual!$Y39&gt;2,"",posicao_contratual!M39)))</f>
        <v/>
      </c>
      <c r="Q39" s="155">
        <f>IF(A39="","",IF(posicao_contratual!$Y39="","",IF(posicao_contratual!$Y39&gt;3,"",posicao_contratual!Q39)))</f>
        <v/>
      </c>
      <c r="R39" s="155">
        <f>IF(A39="","",IF(posicao_contratual!$Y39="","",IF(posicao_contratual!$Y39&gt;4,"",posicao_contratual!U39)))</f>
        <v/>
      </c>
      <c r="S39" s="176">
        <f>IF(A39="","",posicao_contratual!G39)</f>
        <v/>
      </c>
      <c r="T39" s="176">
        <f>IF(A39="","",posicao_contratual!K39)</f>
        <v/>
      </c>
      <c r="U39" s="176">
        <f>IF(A39="","",posicao_contratual!O39)</f>
        <v/>
      </c>
      <c r="V39" s="176">
        <f>IF(A39="","",posicao_contratual!S39)</f>
        <v/>
      </c>
      <c r="W39" s="176">
        <f>IF(A39="","",posicao_contratual!W39)</f>
        <v/>
      </c>
    </row>
    <row r="40">
      <c r="A40" s="91">
        <f>IF(itens_Remanesc!A40="","",itens_Remanesc!A40)</f>
        <v/>
      </c>
      <c r="B40" s="90">
        <f>IF(A40="","",IF(posicao_contratual!$Y40="","",IF(posicao_contratual!$Y40&gt;0,"",posicao_contratual!G40)))</f>
        <v/>
      </c>
      <c r="C40" s="335">
        <f>IF(itens_Remanesc!A40="","",IF(posicao_contratual!$Y40="","",IF(posicao_contratual!$Y40&gt;0,"",itens_Remanesc!C40)))</f>
        <v/>
      </c>
      <c r="D40" s="335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335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335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335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>
        <f>IF(OR(A40="",C40="",C40=0,NOT(ISNUMBER($L$6))),"",ROUND($L$6-1,4))</f>
        <v/>
      </c>
      <c r="I40" s="14" t="n"/>
      <c r="J40" s="14" t="n"/>
      <c r="K40" s="14" t="n"/>
      <c r="L40" s="14" t="n"/>
      <c r="M40" s="14" t="n"/>
      <c r="N40" s="155">
        <f>IF(A40="","",IF(posicao_contratual!$Y40="","",IF(posicao_contratual!$Y40&gt;0,"",posicao_contratual!E40)))</f>
        <v/>
      </c>
      <c r="O40" s="155">
        <f>IF(A40="","",IF(posicao_contratual!$Y40="","",IF(posicao_contratual!$Y40&gt;1,"",posicao_contratual!I40)))</f>
        <v/>
      </c>
      <c r="P40" s="155">
        <f>IF(A40="","",IF(posicao_contratual!$Y40="","",IF(posicao_contratual!$Y40&gt;2,"",posicao_contratual!M40)))</f>
        <v/>
      </c>
      <c r="Q40" s="155">
        <f>IF(A40="","",IF(posicao_contratual!$Y40="","",IF(posicao_contratual!$Y40&gt;3,"",posicao_contratual!Q40)))</f>
        <v/>
      </c>
      <c r="R40" s="155">
        <f>IF(A40="","",IF(posicao_contratual!$Y40="","",IF(posicao_contratual!$Y40&gt;4,"",posicao_contratual!U40)))</f>
        <v/>
      </c>
      <c r="S40" s="176">
        <f>IF(A40="","",posicao_contratual!G40)</f>
        <v/>
      </c>
      <c r="T40" s="176">
        <f>IF(A40="","",posicao_contratual!K40)</f>
        <v/>
      </c>
      <c r="U40" s="176">
        <f>IF(A40="","",posicao_contratual!O40)</f>
        <v/>
      </c>
      <c r="V40" s="176">
        <f>IF(A40="","",posicao_contratual!S40)</f>
        <v/>
      </c>
      <c r="W40" s="176">
        <f>IF(A40="","",posicao_contratual!W40)</f>
        <v/>
      </c>
    </row>
    <row r="41">
      <c r="A41" s="91">
        <f>IF(itens_Remanesc!A41="","",itens_Remanesc!A41)</f>
        <v/>
      </c>
      <c r="B41" s="90">
        <f>IF(A41="","",IF(posicao_contratual!$Y41="","",IF(posicao_contratual!$Y41&gt;0,"",posicao_contratual!G41)))</f>
        <v/>
      </c>
      <c r="C41" s="335">
        <f>IF(itens_Remanesc!A41="","",IF(posicao_contratual!$Y41="","",IF(posicao_contratual!$Y41&gt;0,"",itens_Remanesc!C41)))</f>
        <v/>
      </c>
      <c r="D41" s="335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335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335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335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>
        <f>IF(OR(A41="",C41="",C41=0,NOT(ISNUMBER($L$6))),"",ROUND($L$6-1,4))</f>
        <v/>
      </c>
      <c r="I41" s="14" t="n"/>
      <c r="J41" s="14" t="n"/>
      <c r="K41" s="14" t="n"/>
      <c r="L41" s="14" t="n"/>
      <c r="M41" s="14" t="n"/>
      <c r="N41" s="155">
        <f>IF(A41="","",IF(posicao_contratual!$Y41="","",IF(posicao_contratual!$Y41&gt;0,"",posicao_contratual!E41)))</f>
        <v/>
      </c>
      <c r="O41" s="155">
        <f>IF(A41="","",IF(posicao_contratual!$Y41="","",IF(posicao_contratual!$Y41&gt;1,"",posicao_contratual!I41)))</f>
        <v/>
      </c>
      <c r="P41" s="155">
        <f>IF(A41="","",IF(posicao_contratual!$Y41="","",IF(posicao_contratual!$Y41&gt;2,"",posicao_contratual!M41)))</f>
        <v/>
      </c>
      <c r="Q41" s="155">
        <f>IF(A41="","",IF(posicao_contratual!$Y41="","",IF(posicao_contratual!$Y41&gt;3,"",posicao_contratual!Q41)))</f>
        <v/>
      </c>
      <c r="R41" s="155">
        <f>IF(A41="","",IF(posicao_contratual!$Y41="","",IF(posicao_contratual!$Y41&gt;4,"",posicao_contratual!U41)))</f>
        <v/>
      </c>
      <c r="S41" s="176">
        <f>IF(A41="","",posicao_contratual!G41)</f>
        <v/>
      </c>
      <c r="T41" s="176">
        <f>IF(A41="","",posicao_contratual!K41)</f>
        <v/>
      </c>
      <c r="U41" s="176">
        <f>IF(A41="","",posicao_contratual!O41)</f>
        <v/>
      </c>
      <c r="V41" s="176">
        <f>IF(A41="","",posicao_contratual!S41)</f>
        <v/>
      </c>
      <c r="W41" s="176">
        <f>IF(A41="","",posicao_contratual!W41)</f>
        <v/>
      </c>
    </row>
    <row r="42">
      <c r="A42" s="91">
        <f>IF(itens_Remanesc!A42="","",itens_Remanesc!A42)</f>
        <v/>
      </c>
      <c r="B42" s="90">
        <f>IF(A42="","",IF(posicao_contratual!$Y42="","",IF(posicao_contratual!$Y42&gt;0,"",posicao_contratual!G42)))</f>
        <v/>
      </c>
      <c r="C42" s="335">
        <f>IF(itens_Remanesc!A42="","",IF(posicao_contratual!$Y42="","",IF(posicao_contratual!$Y42&gt;0,"",itens_Remanesc!C42)))</f>
        <v/>
      </c>
      <c r="D42" s="335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335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335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335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>
        <f>IF(OR(A42="",C42="",C42=0,NOT(ISNUMBER($L$6))),"",ROUND($L$6-1,4))</f>
        <v/>
      </c>
      <c r="I42" s="14" t="n"/>
      <c r="J42" s="14" t="n"/>
      <c r="K42" s="14" t="n"/>
      <c r="L42" s="14" t="n"/>
      <c r="M42" s="14" t="n"/>
      <c r="N42" s="155">
        <f>IF(A42="","",IF(posicao_contratual!$Y42="","",IF(posicao_contratual!$Y42&gt;0,"",posicao_contratual!E42)))</f>
        <v/>
      </c>
      <c r="O42" s="155">
        <f>IF(A42="","",IF(posicao_contratual!$Y42="","",IF(posicao_contratual!$Y42&gt;1,"",posicao_contratual!I42)))</f>
        <v/>
      </c>
      <c r="P42" s="155">
        <f>IF(A42="","",IF(posicao_contratual!$Y42="","",IF(posicao_contratual!$Y42&gt;2,"",posicao_contratual!M42)))</f>
        <v/>
      </c>
      <c r="Q42" s="155">
        <f>IF(A42="","",IF(posicao_contratual!$Y42="","",IF(posicao_contratual!$Y42&gt;3,"",posicao_contratual!Q42)))</f>
        <v/>
      </c>
      <c r="R42" s="155">
        <f>IF(A42="","",IF(posicao_contratual!$Y42="","",IF(posicao_contratual!$Y42&gt;4,"",posicao_contratual!U42)))</f>
        <v/>
      </c>
      <c r="S42" s="176">
        <f>IF(A42="","",posicao_contratual!G42)</f>
        <v/>
      </c>
      <c r="T42" s="176">
        <f>IF(A42="","",posicao_contratual!K42)</f>
        <v/>
      </c>
      <c r="U42" s="176">
        <f>IF(A42="","",posicao_contratual!O42)</f>
        <v/>
      </c>
      <c r="V42" s="176">
        <f>IF(A42="","",posicao_contratual!S42)</f>
        <v/>
      </c>
      <c r="W42" s="176">
        <f>IF(A42="","",posicao_contratual!W42)</f>
        <v/>
      </c>
    </row>
    <row r="43">
      <c r="A43" s="91">
        <f>IF(itens_Remanesc!A43="","",itens_Remanesc!A43)</f>
        <v/>
      </c>
      <c r="B43" s="90">
        <f>IF(A43="","",IF(posicao_contratual!$Y43="","",IF(posicao_contratual!$Y43&gt;0,"",posicao_contratual!G43)))</f>
        <v/>
      </c>
      <c r="C43" s="335">
        <f>IF(itens_Remanesc!A43="","",IF(posicao_contratual!$Y43="","",IF(posicao_contratual!$Y43&gt;0,"",itens_Remanesc!C43)))</f>
        <v/>
      </c>
      <c r="D43" s="335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335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335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335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>
        <f>IF(OR(A43="",C43="",C43=0,NOT(ISNUMBER($L$6))),"",ROUND($L$6-1,4))</f>
        <v/>
      </c>
      <c r="I43" s="14" t="n"/>
      <c r="J43" s="14" t="n"/>
      <c r="K43" s="14" t="n"/>
      <c r="L43" s="14" t="n"/>
      <c r="M43" s="14" t="n"/>
      <c r="N43" s="155">
        <f>IF(A43="","",IF(posicao_contratual!$Y43="","",IF(posicao_contratual!$Y43&gt;0,"",posicao_contratual!E43)))</f>
        <v/>
      </c>
      <c r="O43" s="155">
        <f>IF(A43="","",IF(posicao_contratual!$Y43="","",IF(posicao_contratual!$Y43&gt;1,"",posicao_contratual!I43)))</f>
        <v/>
      </c>
      <c r="P43" s="155">
        <f>IF(A43="","",IF(posicao_contratual!$Y43="","",IF(posicao_contratual!$Y43&gt;2,"",posicao_contratual!M43)))</f>
        <v/>
      </c>
      <c r="Q43" s="155">
        <f>IF(A43="","",IF(posicao_contratual!$Y43="","",IF(posicao_contratual!$Y43&gt;3,"",posicao_contratual!Q43)))</f>
        <v/>
      </c>
      <c r="R43" s="155">
        <f>IF(A43="","",IF(posicao_contratual!$Y43="","",IF(posicao_contratual!$Y43&gt;4,"",posicao_contratual!U43)))</f>
        <v/>
      </c>
      <c r="S43" s="176">
        <f>IF(A43="","",posicao_contratual!G43)</f>
        <v/>
      </c>
      <c r="T43" s="176">
        <f>IF(A43="","",posicao_contratual!K43)</f>
        <v/>
      </c>
      <c r="U43" s="176">
        <f>IF(A43="","",posicao_contratual!O43)</f>
        <v/>
      </c>
      <c r="V43" s="176">
        <f>IF(A43="","",posicao_contratual!S43)</f>
        <v/>
      </c>
      <c r="W43" s="176">
        <f>IF(A43="","",posicao_contratual!W43)</f>
        <v/>
      </c>
    </row>
    <row r="44">
      <c r="A44" s="91">
        <f>IF(itens_Remanesc!A44="","",itens_Remanesc!A44)</f>
        <v/>
      </c>
      <c r="B44" s="90">
        <f>IF(A44="","",IF(posicao_contratual!$Y44="","",IF(posicao_contratual!$Y44&gt;0,"",posicao_contratual!G44)))</f>
        <v/>
      </c>
      <c r="C44" s="335">
        <f>IF(itens_Remanesc!A44="","",IF(posicao_contratual!$Y44="","",IF(posicao_contratual!$Y44&gt;0,"",itens_Remanesc!C44)))</f>
        <v/>
      </c>
      <c r="D44" s="335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335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335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335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>
        <f>IF(OR(A44="",C44="",C44=0,NOT(ISNUMBER($L$6))),"",ROUND($L$6-1,4))</f>
        <v/>
      </c>
      <c r="I44" s="14" t="n"/>
      <c r="J44" s="14" t="n"/>
      <c r="K44" s="14" t="n"/>
      <c r="L44" s="14" t="n"/>
      <c r="M44" s="14" t="n"/>
      <c r="N44" s="155">
        <f>IF(A44="","",IF(posicao_contratual!$Y44="","",IF(posicao_contratual!$Y44&gt;0,"",posicao_contratual!E44)))</f>
        <v/>
      </c>
      <c r="O44" s="155">
        <f>IF(A44="","",IF(posicao_contratual!$Y44="","",IF(posicao_contratual!$Y44&gt;1,"",posicao_contratual!I44)))</f>
        <v/>
      </c>
      <c r="P44" s="155">
        <f>IF(A44="","",IF(posicao_contratual!$Y44="","",IF(posicao_contratual!$Y44&gt;2,"",posicao_contratual!M44)))</f>
        <v/>
      </c>
      <c r="Q44" s="155">
        <f>IF(A44="","",IF(posicao_contratual!$Y44="","",IF(posicao_contratual!$Y44&gt;3,"",posicao_contratual!Q44)))</f>
        <v/>
      </c>
      <c r="R44" s="155">
        <f>IF(A44="","",IF(posicao_contratual!$Y44="","",IF(posicao_contratual!$Y44&gt;4,"",posicao_contratual!U44)))</f>
        <v/>
      </c>
      <c r="S44" s="176">
        <f>IF(A44="","",posicao_contratual!G44)</f>
        <v/>
      </c>
      <c r="T44" s="176">
        <f>IF(A44="","",posicao_contratual!K44)</f>
        <v/>
      </c>
      <c r="U44" s="176">
        <f>IF(A44="","",posicao_contratual!O44)</f>
        <v/>
      </c>
      <c r="V44" s="176">
        <f>IF(A44="","",posicao_contratual!S44)</f>
        <v/>
      </c>
      <c r="W44" s="176">
        <f>IF(A44="","",posicao_contratual!W44)</f>
        <v/>
      </c>
    </row>
    <row r="45">
      <c r="A45" s="91">
        <f>IF(itens_Remanesc!A45="","",itens_Remanesc!A45)</f>
        <v/>
      </c>
      <c r="B45" s="90">
        <f>IF(A45="","",IF(posicao_contratual!$Y45="","",IF(posicao_contratual!$Y45&gt;0,"",posicao_contratual!G45)))</f>
        <v/>
      </c>
      <c r="C45" s="335">
        <f>IF(itens_Remanesc!A45="","",IF(posicao_contratual!$Y45="","",IF(posicao_contratual!$Y45&gt;0,"",itens_Remanesc!C45)))</f>
        <v/>
      </c>
      <c r="D45" s="335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335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335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335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>
        <f>IF(OR(A45="",C45="",C45=0,NOT(ISNUMBER($L$6))),"",ROUND($L$6-1,4))</f>
        <v/>
      </c>
      <c r="I45" s="14" t="n"/>
      <c r="J45" s="14" t="n"/>
      <c r="K45" s="14" t="n"/>
      <c r="L45" s="14" t="n"/>
      <c r="M45" s="14" t="n"/>
      <c r="N45" s="155">
        <f>IF(A45="","",IF(posicao_contratual!$Y45="","",IF(posicao_contratual!$Y45&gt;0,"",posicao_contratual!E45)))</f>
        <v/>
      </c>
      <c r="O45" s="155">
        <f>IF(A45="","",IF(posicao_contratual!$Y45="","",IF(posicao_contratual!$Y45&gt;1,"",posicao_contratual!I45)))</f>
        <v/>
      </c>
      <c r="P45" s="155">
        <f>IF(A45="","",IF(posicao_contratual!$Y45="","",IF(posicao_contratual!$Y45&gt;2,"",posicao_contratual!M45)))</f>
        <v/>
      </c>
      <c r="Q45" s="155">
        <f>IF(A45="","",IF(posicao_contratual!$Y45="","",IF(posicao_contratual!$Y45&gt;3,"",posicao_contratual!Q45)))</f>
        <v/>
      </c>
      <c r="R45" s="155">
        <f>IF(A45="","",IF(posicao_contratual!$Y45="","",IF(posicao_contratual!$Y45&gt;4,"",posicao_contratual!U45)))</f>
        <v/>
      </c>
      <c r="S45" s="176">
        <f>IF(A45="","",posicao_contratual!G45)</f>
        <v/>
      </c>
      <c r="T45" s="176">
        <f>IF(A45="","",posicao_contratual!K45)</f>
        <v/>
      </c>
      <c r="U45" s="176">
        <f>IF(A45="","",posicao_contratual!O45)</f>
        <v/>
      </c>
      <c r="V45" s="176">
        <f>IF(A45="","",posicao_contratual!S45)</f>
        <v/>
      </c>
      <c r="W45" s="176">
        <f>IF(A45="","",posicao_contratual!W45)</f>
        <v/>
      </c>
    </row>
    <row r="46">
      <c r="A46" s="91">
        <f>IF(itens_Remanesc!A46="","",itens_Remanesc!A46)</f>
        <v/>
      </c>
      <c r="B46" s="90">
        <f>IF(A46="","",IF(posicao_contratual!$Y46="","",IF(posicao_contratual!$Y46&gt;0,"",posicao_contratual!G46)))</f>
        <v/>
      </c>
      <c r="C46" s="335">
        <f>IF(itens_Remanesc!A46="","",IF(posicao_contratual!$Y46="","",IF(posicao_contratual!$Y46&gt;0,"",itens_Remanesc!C46)))</f>
        <v/>
      </c>
      <c r="D46" s="335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335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335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335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>
        <f>IF(OR(A46="",C46="",C46=0,NOT(ISNUMBER($L$6))),"",ROUND($L$6-1,4))</f>
        <v/>
      </c>
      <c r="I46" s="14" t="n"/>
      <c r="J46" s="14" t="n"/>
      <c r="K46" s="14" t="n"/>
      <c r="L46" s="14" t="n"/>
      <c r="M46" s="14" t="n"/>
      <c r="N46" s="155">
        <f>IF(A46="","",IF(posicao_contratual!$Y46="","",IF(posicao_contratual!$Y46&gt;0,"",posicao_contratual!E46)))</f>
        <v/>
      </c>
      <c r="O46" s="155">
        <f>IF(A46="","",IF(posicao_contratual!$Y46="","",IF(posicao_contratual!$Y46&gt;1,"",posicao_contratual!I46)))</f>
        <v/>
      </c>
      <c r="P46" s="155">
        <f>IF(A46="","",IF(posicao_contratual!$Y46="","",IF(posicao_contratual!$Y46&gt;2,"",posicao_contratual!M46)))</f>
        <v/>
      </c>
      <c r="Q46" s="155">
        <f>IF(A46="","",IF(posicao_contratual!$Y46="","",IF(posicao_contratual!$Y46&gt;3,"",posicao_contratual!Q46)))</f>
        <v/>
      </c>
      <c r="R46" s="155">
        <f>IF(A46="","",IF(posicao_contratual!$Y46="","",IF(posicao_contratual!$Y46&gt;4,"",posicao_contratual!U46)))</f>
        <v/>
      </c>
      <c r="S46" s="176">
        <f>IF(A46="","",posicao_contratual!G46)</f>
        <v/>
      </c>
      <c r="T46" s="176">
        <f>IF(A46="","",posicao_contratual!K46)</f>
        <v/>
      </c>
      <c r="U46" s="176">
        <f>IF(A46="","",posicao_contratual!O46)</f>
        <v/>
      </c>
      <c r="V46" s="176">
        <f>IF(A46="","",posicao_contratual!S46)</f>
        <v/>
      </c>
      <c r="W46" s="176">
        <f>IF(A46="","",posicao_contratual!W46)</f>
        <v/>
      </c>
    </row>
    <row r="47">
      <c r="A47" s="91">
        <f>IF(itens_Remanesc!A47="","",itens_Remanesc!A47)</f>
        <v/>
      </c>
      <c r="B47" s="90">
        <f>IF(A47="","",IF(posicao_contratual!$Y47="","",IF(posicao_contratual!$Y47&gt;0,"",posicao_contratual!G47)))</f>
        <v/>
      </c>
      <c r="C47" s="335">
        <f>IF(itens_Remanesc!A47="","",IF(posicao_contratual!$Y47="","",IF(posicao_contratual!$Y47&gt;0,"",itens_Remanesc!C47)))</f>
        <v/>
      </c>
      <c r="D47" s="335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335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335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335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>
        <f>IF(OR(A47="",C47="",C47=0,NOT(ISNUMBER($L$6))),"",ROUND($L$6-1,4))</f>
        <v/>
      </c>
      <c r="I47" s="14" t="n"/>
      <c r="J47" s="14" t="n"/>
      <c r="K47" s="14" t="n"/>
      <c r="L47" s="14" t="n"/>
      <c r="M47" s="14" t="n"/>
      <c r="N47" s="155">
        <f>IF(A47="","",IF(posicao_contratual!$Y47="","",IF(posicao_contratual!$Y47&gt;0,"",posicao_contratual!E47)))</f>
        <v/>
      </c>
      <c r="O47" s="155">
        <f>IF(A47="","",IF(posicao_contratual!$Y47="","",IF(posicao_contratual!$Y47&gt;1,"",posicao_contratual!I47)))</f>
        <v/>
      </c>
      <c r="P47" s="155">
        <f>IF(A47="","",IF(posicao_contratual!$Y47="","",IF(posicao_contratual!$Y47&gt;2,"",posicao_contratual!M47)))</f>
        <v/>
      </c>
      <c r="Q47" s="155">
        <f>IF(A47="","",IF(posicao_contratual!$Y47="","",IF(posicao_contratual!$Y47&gt;3,"",posicao_contratual!Q47)))</f>
        <v/>
      </c>
      <c r="R47" s="155">
        <f>IF(A47="","",IF(posicao_contratual!$Y47="","",IF(posicao_contratual!$Y47&gt;4,"",posicao_contratual!U47)))</f>
        <v/>
      </c>
      <c r="S47" s="176">
        <f>IF(A47="","",posicao_contratual!G47)</f>
        <v/>
      </c>
      <c r="T47" s="176">
        <f>IF(A47="","",posicao_contratual!K47)</f>
        <v/>
      </c>
      <c r="U47" s="176">
        <f>IF(A47="","",posicao_contratual!O47)</f>
        <v/>
      </c>
      <c r="V47" s="176">
        <f>IF(A47="","",posicao_contratual!S47)</f>
        <v/>
      </c>
      <c r="W47" s="176">
        <f>IF(A47="","",posicao_contratual!W47)</f>
        <v/>
      </c>
    </row>
    <row r="48">
      <c r="A48" s="91">
        <f>IF(itens_Remanesc!A48="","",itens_Remanesc!A48)</f>
        <v/>
      </c>
      <c r="B48" s="90">
        <f>IF(A48="","",IF(posicao_contratual!$Y48="","",IF(posicao_contratual!$Y48&gt;0,"",posicao_contratual!G48)))</f>
        <v/>
      </c>
      <c r="C48" s="335">
        <f>IF(itens_Remanesc!A48="","",IF(posicao_contratual!$Y48="","",IF(posicao_contratual!$Y48&gt;0,"",itens_Remanesc!C48)))</f>
        <v/>
      </c>
      <c r="D48" s="335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335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335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335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>
        <f>IF(OR(A48="",C48="",C48=0,NOT(ISNUMBER($L$6))),"",ROUND($L$6-1,4))</f>
        <v/>
      </c>
      <c r="I48" s="14" t="n"/>
      <c r="J48" s="14" t="n"/>
      <c r="K48" s="14" t="n"/>
      <c r="L48" s="14" t="n"/>
      <c r="M48" s="14" t="n"/>
      <c r="N48" s="155">
        <f>IF(A48="","",IF(posicao_contratual!$Y48="","",IF(posicao_contratual!$Y48&gt;0,"",posicao_contratual!E48)))</f>
        <v/>
      </c>
      <c r="O48" s="155">
        <f>IF(A48="","",IF(posicao_contratual!$Y48="","",IF(posicao_contratual!$Y48&gt;1,"",posicao_contratual!I48)))</f>
        <v/>
      </c>
      <c r="P48" s="155">
        <f>IF(A48="","",IF(posicao_contratual!$Y48="","",IF(posicao_contratual!$Y48&gt;2,"",posicao_contratual!M48)))</f>
        <v/>
      </c>
      <c r="Q48" s="155">
        <f>IF(A48="","",IF(posicao_contratual!$Y48="","",IF(posicao_contratual!$Y48&gt;3,"",posicao_contratual!Q48)))</f>
        <v/>
      </c>
      <c r="R48" s="155">
        <f>IF(A48="","",IF(posicao_contratual!$Y48="","",IF(posicao_contratual!$Y48&gt;4,"",posicao_contratual!U48)))</f>
        <v/>
      </c>
      <c r="S48" s="176">
        <f>IF(A48="","",posicao_contratual!G48)</f>
        <v/>
      </c>
      <c r="T48" s="176">
        <f>IF(A48="","",posicao_contratual!K48)</f>
        <v/>
      </c>
      <c r="U48" s="176">
        <f>IF(A48="","",posicao_contratual!O48)</f>
        <v/>
      </c>
      <c r="V48" s="176">
        <f>IF(A48="","",posicao_contratual!S48)</f>
        <v/>
      </c>
      <c r="W48" s="176">
        <f>IF(A48="","",posicao_contratual!W48)</f>
        <v/>
      </c>
    </row>
    <row r="49">
      <c r="A49" s="91">
        <f>IF(itens_Remanesc!A49="","",itens_Remanesc!A49)</f>
        <v/>
      </c>
      <c r="B49" s="90">
        <f>IF(A49="","",IF(posicao_contratual!$Y49="","",IF(posicao_contratual!$Y49&gt;0,"",posicao_contratual!G49)))</f>
        <v/>
      </c>
      <c r="C49" s="335">
        <f>IF(itens_Remanesc!A49="","",IF(posicao_contratual!$Y49="","",IF(posicao_contratual!$Y49&gt;0,"",itens_Remanesc!C49)))</f>
        <v/>
      </c>
      <c r="D49" s="335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335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335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335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>
        <f>IF(OR(A49="",C49="",C49=0,NOT(ISNUMBER($L$6))),"",ROUND($L$6-1,4))</f>
        <v/>
      </c>
      <c r="I49" s="14" t="n"/>
      <c r="J49" s="14" t="n"/>
      <c r="K49" s="14" t="n"/>
      <c r="L49" s="14" t="n"/>
      <c r="M49" s="14" t="n"/>
      <c r="N49" s="155">
        <f>IF(A49="","",IF(posicao_contratual!$Y49="","",IF(posicao_contratual!$Y49&gt;0,"",posicao_contratual!E49)))</f>
        <v/>
      </c>
      <c r="O49" s="155">
        <f>IF(A49="","",IF(posicao_contratual!$Y49="","",IF(posicao_contratual!$Y49&gt;1,"",posicao_contratual!I49)))</f>
        <v/>
      </c>
      <c r="P49" s="155">
        <f>IF(A49="","",IF(posicao_contratual!$Y49="","",IF(posicao_contratual!$Y49&gt;2,"",posicao_contratual!M49)))</f>
        <v/>
      </c>
      <c r="Q49" s="155">
        <f>IF(A49="","",IF(posicao_contratual!$Y49="","",IF(posicao_contratual!$Y49&gt;3,"",posicao_contratual!Q49)))</f>
        <v/>
      </c>
      <c r="R49" s="155">
        <f>IF(A49="","",IF(posicao_contratual!$Y49="","",IF(posicao_contratual!$Y49&gt;4,"",posicao_contratual!U49)))</f>
        <v/>
      </c>
      <c r="S49" s="176">
        <f>IF(A49="","",posicao_contratual!G49)</f>
        <v/>
      </c>
      <c r="T49" s="176">
        <f>IF(A49="","",posicao_contratual!K49)</f>
        <v/>
      </c>
      <c r="U49" s="176">
        <f>IF(A49="","",posicao_contratual!O49)</f>
        <v/>
      </c>
      <c r="V49" s="176">
        <f>IF(A49="","",posicao_contratual!S49)</f>
        <v/>
      </c>
      <c r="W49" s="176">
        <f>IF(A49="","",posicao_contratual!W49)</f>
        <v/>
      </c>
    </row>
    <row r="50">
      <c r="A50" s="91">
        <f>IF(itens_Remanesc!A50="","",itens_Remanesc!A50)</f>
        <v/>
      </c>
      <c r="B50" s="90">
        <f>IF(A50="","",IF(posicao_contratual!$Y50="","",IF(posicao_contratual!$Y50&gt;0,"",posicao_contratual!G50)))</f>
        <v/>
      </c>
      <c r="C50" s="335">
        <f>IF(itens_Remanesc!A50="","",IF(posicao_contratual!$Y50="","",IF(posicao_contratual!$Y50&gt;0,"",itens_Remanesc!C50)))</f>
        <v/>
      </c>
      <c r="D50" s="335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335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335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335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>
        <f>IF(OR(A50="",C50="",C50=0,NOT(ISNUMBER($L$6))),"",ROUND($L$6-1,4))</f>
        <v/>
      </c>
      <c r="I50" s="14" t="n"/>
      <c r="J50" s="14" t="n"/>
      <c r="K50" s="14" t="n"/>
      <c r="L50" s="14" t="n"/>
      <c r="M50" s="14" t="n"/>
      <c r="N50" s="155">
        <f>IF(A50="","",IF(posicao_contratual!$Y50="","",IF(posicao_contratual!$Y50&gt;0,"",posicao_contratual!E50)))</f>
        <v/>
      </c>
      <c r="O50" s="155">
        <f>IF(A50="","",IF(posicao_contratual!$Y50="","",IF(posicao_contratual!$Y50&gt;1,"",posicao_contratual!I50)))</f>
        <v/>
      </c>
      <c r="P50" s="155">
        <f>IF(A50="","",IF(posicao_contratual!$Y50="","",IF(posicao_contratual!$Y50&gt;2,"",posicao_contratual!M50)))</f>
        <v/>
      </c>
      <c r="Q50" s="155">
        <f>IF(A50="","",IF(posicao_contratual!$Y50="","",IF(posicao_contratual!$Y50&gt;3,"",posicao_contratual!Q50)))</f>
        <v/>
      </c>
      <c r="R50" s="155">
        <f>IF(A50="","",IF(posicao_contratual!$Y50="","",IF(posicao_contratual!$Y50&gt;4,"",posicao_contratual!U50)))</f>
        <v/>
      </c>
      <c r="S50" s="176">
        <f>IF(A50="","",posicao_contratual!G50)</f>
        <v/>
      </c>
      <c r="T50" s="176">
        <f>IF(A50="","",posicao_contratual!K50)</f>
        <v/>
      </c>
      <c r="U50" s="176">
        <f>IF(A50="","",posicao_contratual!O50)</f>
        <v/>
      </c>
      <c r="V50" s="176">
        <f>IF(A50="","",posicao_contratual!S50)</f>
        <v/>
      </c>
      <c r="W50" s="176">
        <f>IF(A50="","",posicao_contratual!W50)</f>
        <v/>
      </c>
    </row>
    <row r="51">
      <c r="A51" s="91">
        <f>IF(itens_Remanesc!A51="","",itens_Remanesc!A51)</f>
        <v/>
      </c>
      <c r="B51" s="90">
        <f>IF(A51="","",IF(posicao_contratual!$Y51="","",IF(posicao_contratual!$Y51&gt;0,"",posicao_contratual!G51)))</f>
        <v/>
      </c>
      <c r="C51" s="335">
        <f>IF(itens_Remanesc!A51="","",IF(posicao_contratual!$Y51="","",IF(posicao_contratual!$Y51&gt;0,"",itens_Remanesc!C51)))</f>
        <v/>
      </c>
      <c r="D51" s="335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335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335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335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>
        <f>IF(OR(A51="",C51="",C51=0,NOT(ISNUMBER($L$6))),"",ROUND($L$6-1,4))</f>
        <v/>
      </c>
      <c r="I51" s="14" t="n"/>
      <c r="J51" s="14" t="n"/>
      <c r="K51" s="14" t="n"/>
      <c r="L51" s="14" t="n"/>
      <c r="M51" s="14" t="n"/>
      <c r="N51" s="155">
        <f>IF(A51="","",IF(posicao_contratual!$Y51="","",IF(posicao_contratual!$Y51&gt;0,"",posicao_contratual!E51)))</f>
        <v/>
      </c>
      <c r="O51" s="155">
        <f>IF(A51="","",IF(posicao_contratual!$Y51="","",IF(posicao_contratual!$Y51&gt;1,"",posicao_contratual!I51)))</f>
        <v/>
      </c>
      <c r="P51" s="155">
        <f>IF(A51="","",IF(posicao_contratual!$Y51="","",IF(posicao_contratual!$Y51&gt;2,"",posicao_contratual!M51)))</f>
        <v/>
      </c>
      <c r="Q51" s="155">
        <f>IF(A51="","",IF(posicao_contratual!$Y51="","",IF(posicao_contratual!$Y51&gt;3,"",posicao_contratual!Q51)))</f>
        <v/>
      </c>
      <c r="R51" s="155">
        <f>IF(A51="","",IF(posicao_contratual!$Y51="","",IF(posicao_contratual!$Y51&gt;4,"",posicao_contratual!U51)))</f>
        <v/>
      </c>
      <c r="S51" s="176">
        <f>IF(A51="","",posicao_contratual!G51)</f>
        <v/>
      </c>
      <c r="T51" s="176">
        <f>IF(A51="","",posicao_contratual!K51)</f>
        <v/>
      </c>
      <c r="U51" s="176">
        <f>IF(A51="","",posicao_contratual!O51)</f>
        <v/>
      </c>
      <c r="V51" s="176">
        <f>IF(A51="","",posicao_contratual!S51)</f>
        <v/>
      </c>
      <c r="W51" s="176">
        <f>IF(A51="","",posicao_contratual!W51)</f>
        <v/>
      </c>
    </row>
    <row r="52">
      <c r="A52" s="91">
        <f>IF(itens_Remanesc!A52="","",itens_Remanesc!A52)</f>
        <v/>
      </c>
      <c r="B52" s="90">
        <f>IF(A52="","",IF(posicao_contratual!$Y52="","",IF(posicao_contratual!$Y52&gt;0,"",posicao_contratual!G52)))</f>
        <v/>
      </c>
      <c r="C52" s="335">
        <f>IF(itens_Remanesc!A52="","",IF(posicao_contratual!$Y52="","",IF(posicao_contratual!$Y52&gt;0,"",itens_Remanesc!C52)))</f>
        <v/>
      </c>
      <c r="D52" s="335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335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335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335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>
        <f>IF(OR(A52="",C52="",C52=0,NOT(ISNUMBER($L$6))),"",ROUND($L$6-1,4))</f>
        <v/>
      </c>
      <c r="I52" s="14" t="n"/>
      <c r="J52" s="14" t="n"/>
      <c r="K52" s="14" t="n"/>
      <c r="L52" s="14" t="n"/>
      <c r="M52" s="14" t="n"/>
      <c r="N52" s="155">
        <f>IF(A52="","",IF(posicao_contratual!$Y52="","",IF(posicao_contratual!$Y52&gt;0,"",posicao_contratual!E52)))</f>
        <v/>
      </c>
      <c r="O52" s="155">
        <f>IF(A52="","",IF(posicao_contratual!$Y52="","",IF(posicao_contratual!$Y52&gt;1,"",posicao_contratual!I52)))</f>
        <v/>
      </c>
      <c r="P52" s="155">
        <f>IF(A52="","",IF(posicao_contratual!$Y52="","",IF(posicao_contratual!$Y52&gt;2,"",posicao_contratual!M52)))</f>
        <v/>
      </c>
      <c r="Q52" s="155">
        <f>IF(A52="","",IF(posicao_contratual!$Y52="","",IF(posicao_contratual!$Y52&gt;3,"",posicao_contratual!Q52)))</f>
        <v/>
      </c>
      <c r="R52" s="155">
        <f>IF(A52="","",IF(posicao_contratual!$Y52="","",IF(posicao_contratual!$Y52&gt;4,"",posicao_contratual!U52)))</f>
        <v/>
      </c>
      <c r="S52" s="176">
        <f>IF(A52="","",posicao_contratual!G52)</f>
        <v/>
      </c>
      <c r="T52" s="176">
        <f>IF(A52="","",posicao_contratual!K52)</f>
        <v/>
      </c>
      <c r="U52" s="176">
        <f>IF(A52="","",posicao_contratual!O52)</f>
        <v/>
      </c>
      <c r="V52" s="176">
        <f>IF(A52="","",posicao_contratual!S52)</f>
        <v/>
      </c>
      <c r="W52" s="176">
        <f>IF(A52="","",posicao_contratual!W52)</f>
        <v/>
      </c>
    </row>
    <row r="53">
      <c r="A53" s="91">
        <f>IF(itens_Remanesc!A53="","",itens_Remanesc!A53)</f>
        <v/>
      </c>
      <c r="B53" s="90">
        <f>IF(A53="","",IF(posicao_contratual!$Y53="","",IF(posicao_contratual!$Y53&gt;0,"",posicao_contratual!G53)))</f>
        <v/>
      </c>
      <c r="C53" s="335">
        <f>IF(itens_Remanesc!A53="","",IF(posicao_contratual!$Y53="","",IF(posicao_contratual!$Y53&gt;0,"",itens_Remanesc!C53)))</f>
        <v/>
      </c>
      <c r="D53" s="335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335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335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335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>
        <f>IF(OR(A53="",C53="",C53=0,NOT(ISNUMBER($L$6))),"",ROUND($L$6-1,4))</f>
        <v/>
      </c>
      <c r="I53" s="14" t="n"/>
      <c r="J53" s="14" t="n"/>
      <c r="K53" s="14" t="n"/>
      <c r="L53" s="14" t="n"/>
      <c r="M53" s="14" t="n"/>
      <c r="N53" s="155">
        <f>IF(A53="","",IF(posicao_contratual!$Y53="","",IF(posicao_contratual!$Y53&gt;0,"",posicao_contratual!E53)))</f>
        <v/>
      </c>
      <c r="O53" s="155">
        <f>IF(A53="","",IF(posicao_contratual!$Y53="","",IF(posicao_contratual!$Y53&gt;1,"",posicao_contratual!I53)))</f>
        <v/>
      </c>
      <c r="P53" s="155">
        <f>IF(A53="","",IF(posicao_contratual!$Y53="","",IF(posicao_contratual!$Y53&gt;2,"",posicao_contratual!M53)))</f>
        <v/>
      </c>
      <c r="Q53" s="155">
        <f>IF(A53="","",IF(posicao_contratual!$Y53="","",IF(posicao_contratual!$Y53&gt;3,"",posicao_contratual!Q53)))</f>
        <v/>
      </c>
      <c r="R53" s="155">
        <f>IF(A53="","",IF(posicao_contratual!$Y53="","",IF(posicao_contratual!$Y53&gt;4,"",posicao_contratual!U53)))</f>
        <v/>
      </c>
      <c r="S53" s="176">
        <f>IF(A53="","",posicao_contratual!G53)</f>
        <v/>
      </c>
      <c r="T53" s="176">
        <f>IF(A53="","",posicao_contratual!K53)</f>
        <v/>
      </c>
      <c r="U53" s="176">
        <f>IF(A53="","",posicao_contratual!O53)</f>
        <v/>
      </c>
      <c r="V53" s="176">
        <f>IF(A53="","",posicao_contratual!S53)</f>
        <v/>
      </c>
      <c r="W53" s="176">
        <f>IF(A53="","",posicao_contratual!W53)</f>
        <v/>
      </c>
    </row>
    <row r="54">
      <c r="A54" s="91">
        <f>IF(itens_Remanesc!A54="","",itens_Remanesc!A54)</f>
        <v/>
      </c>
      <c r="B54" s="90">
        <f>IF(A54="","",IF(posicao_contratual!$Y54="","",IF(posicao_contratual!$Y54&gt;0,"",posicao_contratual!G54)))</f>
        <v/>
      </c>
      <c r="C54" s="335">
        <f>IF(itens_Remanesc!A54="","",IF(posicao_contratual!$Y54="","",IF(posicao_contratual!$Y54&gt;0,"",itens_Remanesc!C54)))</f>
        <v/>
      </c>
      <c r="D54" s="335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335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335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335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>
        <f>IF(OR(A54="",C54="",C54=0,NOT(ISNUMBER($L$6))),"",ROUND($L$6-1,4))</f>
        <v/>
      </c>
      <c r="I54" s="14" t="n"/>
      <c r="J54" s="14" t="n"/>
      <c r="K54" s="14" t="n"/>
      <c r="L54" s="14" t="n"/>
      <c r="M54" s="14" t="n"/>
      <c r="N54" s="155">
        <f>IF(A54="","",IF(posicao_contratual!$Y54="","",IF(posicao_contratual!$Y54&gt;0,"",posicao_contratual!E54)))</f>
        <v/>
      </c>
      <c r="O54" s="155">
        <f>IF(A54="","",IF(posicao_contratual!$Y54="","",IF(posicao_contratual!$Y54&gt;1,"",posicao_contratual!I54)))</f>
        <v/>
      </c>
      <c r="P54" s="155">
        <f>IF(A54="","",IF(posicao_contratual!$Y54="","",IF(posicao_contratual!$Y54&gt;2,"",posicao_contratual!M54)))</f>
        <v/>
      </c>
      <c r="Q54" s="155">
        <f>IF(A54="","",IF(posicao_contratual!$Y54="","",IF(posicao_contratual!$Y54&gt;3,"",posicao_contratual!Q54)))</f>
        <v/>
      </c>
      <c r="R54" s="155">
        <f>IF(A54="","",IF(posicao_contratual!$Y54="","",IF(posicao_contratual!$Y54&gt;4,"",posicao_contratual!U54)))</f>
        <v/>
      </c>
      <c r="S54" s="176">
        <f>IF(A54="","",posicao_contratual!G54)</f>
        <v/>
      </c>
      <c r="T54" s="176">
        <f>IF(A54="","",posicao_contratual!K54)</f>
        <v/>
      </c>
      <c r="U54" s="176">
        <f>IF(A54="","",posicao_contratual!O54)</f>
        <v/>
      </c>
      <c r="V54" s="176">
        <f>IF(A54="","",posicao_contratual!S54)</f>
        <v/>
      </c>
      <c r="W54" s="176">
        <f>IF(A54="","",posicao_contratual!W54)</f>
        <v/>
      </c>
    </row>
    <row r="55">
      <c r="A55" s="91">
        <f>IF(itens_Remanesc!A55="","",itens_Remanesc!A55)</f>
        <v/>
      </c>
      <c r="B55" s="90">
        <f>IF(A55="","",IF(posicao_contratual!$Y55="","",IF(posicao_contratual!$Y55&gt;0,"",posicao_contratual!G55)))</f>
        <v/>
      </c>
      <c r="C55" s="335">
        <f>IF(itens_Remanesc!A55="","",IF(posicao_contratual!$Y55="","",IF(posicao_contratual!$Y55&gt;0,"",itens_Remanesc!C55)))</f>
        <v/>
      </c>
      <c r="D55" s="335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335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335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335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>
        <f>IF(OR(A55="",C55="",C55=0,NOT(ISNUMBER($L$6))),"",ROUND($L$6-1,4))</f>
        <v/>
      </c>
      <c r="I55" s="14" t="n"/>
      <c r="J55" s="14" t="n"/>
      <c r="K55" s="14" t="n"/>
      <c r="L55" s="14" t="n"/>
      <c r="M55" s="14" t="n"/>
      <c r="N55" s="155">
        <f>IF(A55="","",IF(posicao_contratual!$Y55="","",IF(posicao_contratual!$Y55&gt;0,"",posicao_contratual!E55)))</f>
        <v/>
      </c>
      <c r="O55" s="155">
        <f>IF(A55="","",IF(posicao_contratual!$Y55="","",IF(posicao_contratual!$Y55&gt;1,"",posicao_contratual!I55)))</f>
        <v/>
      </c>
      <c r="P55" s="155">
        <f>IF(A55="","",IF(posicao_contratual!$Y55="","",IF(posicao_contratual!$Y55&gt;2,"",posicao_contratual!M55)))</f>
        <v/>
      </c>
      <c r="Q55" s="155">
        <f>IF(A55="","",IF(posicao_contratual!$Y55="","",IF(posicao_contratual!$Y55&gt;3,"",posicao_contratual!Q55)))</f>
        <v/>
      </c>
      <c r="R55" s="155">
        <f>IF(A55="","",IF(posicao_contratual!$Y55="","",IF(posicao_contratual!$Y55&gt;4,"",posicao_contratual!U55)))</f>
        <v/>
      </c>
      <c r="S55" s="176">
        <f>IF(A55="","",posicao_contratual!G55)</f>
        <v/>
      </c>
      <c r="T55" s="176">
        <f>IF(A55="","",posicao_contratual!K55)</f>
        <v/>
      </c>
      <c r="U55" s="176">
        <f>IF(A55="","",posicao_contratual!O55)</f>
        <v/>
      </c>
      <c r="V55" s="176">
        <f>IF(A55="","",posicao_contratual!S55)</f>
        <v/>
      </c>
      <c r="W55" s="176">
        <f>IF(A55="","",posicao_contratual!W55)</f>
        <v/>
      </c>
    </row>
    <row r="56">
      <c r="A56" s="91">
        <f>IF(itens_Remanesc!A56="","",itens_Remanesc!A56)</f>
        <v/>
      </c>
      <c r="B56" s="90">
        <f>IF(A56="","",IF(posicao_contratual!$Y56="","",IF(posicao_contratual!$Y56&gt;0,"",posicao_contratual!G56)))</f>
        <v/>
      </c>
      <c r="C56" s="335">
        <f>IF(itens_Remanesc!A56="","",IF(posicao_contratual!$Y56="","",IF(posicao_contratual!$Y56&gt;0,"",itens_Remanesc!C56)))</f>
        <v/>
      </c>
      <c r="D56" s="335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335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335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335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>
        <f>IF(OR(A56="",C56="",C56=0,NOT(ISNUMBER($L$6))),"",ROUND($L$6-1,4))</f>
        <v/>
      </c>
      <c r="I56" s="14" t="n"/>
      <c r="J56" s="14" t="n"/>
      <c r="K56" s="14" t="n"/>
      <c r="L56" s="14" t="n"/>
      <c r="M56" s="14" t="n"/>
      <c r="N56" s="155">
        <f>IF(A56="","",IF(posicao_contratual!$Y56="","",IF(posicao_contratual!$Y56&gt;0,"",posicao_contratual!E56)))</f>
        <v/>
      </c>
      <c r="O56" s="155">
        <f>IF(A56="","",IF(posicao_contratual!$Y56="","",IF(posicao_contratual!$Y56&gt;1,"",posicao_contratual!I56)))</f>
        <v/>
      </c>
      <c r="P56" s="155">
        <f>IF(A56="","",IF(posicao_contratual!$Y56="","",IF(posicao_contratual!$Y56&gt;2,"",posicao_contratual!M56)))</f>
        <v/>
      </c>
      <c r="Q56" s="155">
        <f>IF(A56="","",IF(posicao_contratual!$Y56="","",IF(posicao_contratual!$Y56&gt;3,"",posicao_contratual!Q56)))</f>
        <v/>
      </c>
      <c r="R56" s="155">
        <f>IF(A56="","",IF(posicao_contratual!$Y56="","",IF(posicao_contratual!$Y56&gt;4,"",posicao_contratual!U56)))</f>
        <v/>
      </c>
      <c r="S56" s="176">
        <f>IF(A56="","",posicao_contratual!G56)</f>
        <v/>
      </c>
      <c r="T56" s="176">
        <f>IF(A56="","",posicao_contratual!K56)</f>
        <v/>
      </c>
      <c r="U56" s="176">
        <f>IF(A56="","",posicao_contratual!O56)</f>
        <v/>
      </c>
      <c r="V56" s="176">
        <f>IF(A56="","",posicao_contratual!S56)</f>
        <v/>
      </c>
      <c r="W56" s="176">
        <f>IF(A56="","",posicao_contratual!W56)</f>
        <v/>
      </c>
    </row>
    <row r="57">
      <c r="A57" s="91">
        <f>IF(itens_Remanesc!A57="","",itens_Remanesc!A57)</f>
        <v/>
      </c>
      <c r="B57" s="90">
        <f>IF(A57="","",IF(posicao_contratual!$Y57="","",IF(posicao_contratual!$Y57&gt;0,"",posicao_contratual!G57)))</f>
        <v/>
      </c>
      <c r="C57" s="335">
        <f>IF(itens_Remanesc!A57="","",IF(posicao_contratual!$Y57="","",IF(posicao_contratual!$Y57&gt;0,"",itens_Remanesc!C57)))</f>
        <v/>
      </c>
      <c r="D57" s="335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335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335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335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>
        <f>IF(OR(A57="",C57="",C57=0,NOT(ISNUMBER($L$6))),"",ROUND($L$6-1,4))</f>
        <v/>
      </c>
      <c r="I57" s="14" t="n"/>
      <c r="J57" s="14" t="n"/>
      <c r="K57" s="14" t="n"/>
      <c r="L57" s="14" t="n"/>
      <c r="M57" s="14" t="n"/>
      <c r="N57" s="155">
        <f>IF(A57="","",IF(posicao_contratual!$Y57="","",IF(posicao_contratual!$Y57&gt;0,"",posicao_contratual!E57)))</f>
        <v/>
      </c>
      <c r="O57" s="155">
        <f>IF(A57="","",IF(posicao_contratual!$Y57="","",IF(posicao_contratual!$Y57&gt;1,"",posicao_contratual!I57)))</f>
        <v/>
      </c>
      <c r="P57" s="155">
        <f>IF(A57="","",IF(posicao_contratual!$Y57="","",IF(posicao_contratual!$Y57&gt;2,"",posicao_contratual!M57)))</f>
        <v/>
      </c>
      <c r="Q57" s="155">
        <f>IF(A57="","",IF(posicao_contratual!$Y57="","",IF(posicao_contratual!$Y57&gt;3,"",posicao_contratual!Q57)))</f>
        <v/>
      </c>
      <c r="R57" s="155">
        <f>IF(A57="","",IF(posicao_contratual!$Y57="","",IF(posicao_contratual!$Y57&gt;4,"",posicao_contratual!U57)))</f>
        <v/>
      </c>
      <c r="S57" s="176">
        <f>IF(A57="","",posicao_contratual!G57)</f>
        <v/>
      </c>
      <c r="T57" s="176">
        <f>IF(A57="","",posicao_contratual!K57)</f>
        <v/>
      </c>
      <c r="U57" s="176">
        <f>IF(A57="","",posicao_contratual!O57)</f>
        <v/>
      </c>
      <c r="V57" s="176">
        <f>IF(A57="","",posicao_contratual!S57)</f>
        <v/>
      </c>
      <c r="W57" s="176">
        <f>IF(A57="","",posicao_contratual!W57)</f>
        <v/>
      </c>
    </row>
    <row r="58">
      <c r="A58" s="91">
        <f>IF(itens_Remanesc!A58="","",itens_Remanesc!A58)</f>
        <v/>
      </c>
      <c r="B58" s="90">
        <f>IF(A58="","",IF(posicao_contratual!$Y58="","",IF(posicao_contratual!$Y58&gt;0,"",posicao_contratual!G58)))</f>
        <v/>
      </c>
      <c r="C58" s="335">
        <f>IF(itens_Remanesc!A58="","",IF(posicao_contratual!$Y58="","",IF(posicao_contratual!$Y58&gt;0,"",itens_Remanesc!C58)))</f>
        <v/>
      </c>
      <c r="D58" s="335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335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335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335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>
        <f>IF(OR(A58="",C58="",C58=0,NOT(ISNUMBER($L$6))),"",ROUND($L$6-1,4))</f>
        <v/>
      </c>
      <c r="I58" s="14" t="n"/>
      <c r="J58" s="14" t="n"/>
      <c r="K58" s="14" t="n"/>
      <c r="L58" s="14" t="n"/>
      <c r="M58" s="14" t="n"/>
      <c r="N58" s="155">
        <f>IF(A58="","",IF(posicao_contratual!$Y58="","",IF(posicao_contratual!$Y58&gt;0,"",posicao_contratual!E58)))</f>
        <v/>
      </c>
      <c r="O58" s="155">
        <f>IF(A58="","",IF(posicao_contratual!$Y58="","",IF(posicao_contratual!$Y58&gt;1,"",posicao_contratual!I58)))</f>
        <v/>
      </c>
      <c r="P58" s="155">
        <f>IF(A58="","",IF(posicao_contratual!$Y58="","",IF(posicao_contratual!$Y58&gt;2,"",posicao_contratual!M58)))</f>
        <v/>
      </c>
      <c r="Q58" s="155">
        <f>IF(A58="","",IF(posicao_contratual!$Y58="","",IF(posicao_contratual!$Y58&gt;3,"",posicao_contratual!Q58)))</f>
        <v/>
      </c>
      <c r="R58" s="155">
        <f>IF(A58="","",IF(posicao_contratual!$Y58="","",IF(posicao_contratual!$Y58&gt;4,"",posicao_contratual!U58)))</f>
        <v/>
      </c>
      <c r="S58" s="176">
        <f>IF(A58="","",posicao_contratual!G58)</f>
        <v/>
      </c>
      <c r="T58" s="176">
        <f>IF(A58="","",posicao_contratual!K58)</f>
        <v/>
      </c>
      <c r="U58" s="176">
        <f>IF(A58="","",posicao_contratual!O58)</f>
        <v/>
      </c>
      <c r="V58" s="176">
        <f>IF(A58="","",posicao_contratual!S58)</f>
        <v/>
      </c>
      <c r="W58" s="176">
        <f>IF(A58="","",posicao_contratual!W58)</f>
        <v/>
      </c>
    </row>
    <row r="59">
      <c r="A59" s="91">
        <f>IF(itens_Remanesc!A59="","",itens_Remanesc!A59)</f>
        <v/>
      </c>
      <c r="B59" s="90">
        <f>IF(A59="","",IF(posicao_contratual!$Y59="","",IF(posicao_contratual!$Y59&gt;0,"",posicao_contratual!G59)))</f>
        <v/>
      </c>
      <c r="C59" s="335">
        <f>IF(itens_Remanesc!A59="","",IF(posicao_contratual!$Y59="","",IF(posicao_contratual!$Y59&gt;0,"",itens_Remanesc!C59)))</f>
        <v/>
      </c>
      <c r="D59" s="335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335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335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335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>
        <f>IF(OR(A59="",C59="",C59=0,NOT(ISNUMBER($L$6))),"",ROUND($L$6-1,4))</f>
        <v/>
      </c>
      <c r="I59" s="14" t="n"/>
      <c r="J59" s="14" t="n"/>
      <c r="K59" s="14" t="n"/>
      <c r="L59" s="14" t="n"/>
      <c r="M59" s="14" t="n"/>
      <c r="N59" s="155">
        <f>IF(A59="","",IF(posicao_contratual!$Y59="","",IF(posicao_contratual!$Y59&gt;0,"",posicao_contratual!E59)))</f>
        <v/>
      </c>
      <c r="O59" s="155">
        <f>IF(A59="","",IF(posicao_contratual!$Y59="","",IF(posicao_contratual!$Y59&gt;1,"",posicao_contratual!I59)))</f>
        <v/>
      </c>
      <c r="P59" s="155">
        <f>IF(A59="","",IF(posicao_contratual!$Y59="","",IF(posicao_contratual!$Y59&gt;2,"",posicao_contratual!M59)))</f>
        <v/>
      </c>
      <c r="Q59" s="155">
        <f>IF(A59="","",IF(posicao_contratual!$Y59="","",IF(posicao_contratual!$Y59&gt;3,"",posicao_contratual!Q59)))</f>
        <v/>
      </c>
      <c r="R59" s="155">
        <f>IF(A59="","",IF(posicao_contratual!$Y59="","",IF(posicao_contratual!$Y59&gt;4,"",posicao_contratual!U59)))</f>
        <v/>
      </c>
      <c r="S59" s="176">
        <f>IF(A59="","",posicao_contratual!G59)</f>
        <v/>
      </c>
      <c r="T59" s="176">
        <f>IF(A59="","",posicao_contratual!K59)</f>
        <v/>
      </c>
      <c r="U59" s="176">
        <f>IF(A59="","",posicao_contratual!O59)</f>
        <v/>
      </c>
      <c r="V59" s="176">
        <f>IF(A59="","",posicao_contratual!S59)</f>
        <v/>
      </c>
      <c r="W59" s="176">
        <f>IF(A59="","",posicao_contratual!W59)</f>
        <v/>
      </c>
    </row>
    <row r="60">
      <c r="A60" s="91">
        <f>IF(itens_Remanesc!A60="","",itens_Remanesc!A60)</f>
        <v/>
      </c>
      <c r="B60" s="90">
        <f>IF(A60="","",IF(posicao_contratual!$Y60="","",IF(posicao_contratual!$Y60&gt;0,"",posicao_contratual!G60)))</f>
        <v/>
      </c>
      <c r="C60" s="335">
        <f>IF(itens_Remanesc!A60="","",IF(posicao_contratual!$Y60="","",IF(posicao_contratual!$Y60&gt;0,"",itens_Remanesc!C60)))</f>
        <v/>
      </c>
      <c r="D60" s="335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335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335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335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>
        <f>IF(OR(A60="",C60="",C60=0,NOT(ISNUMBER($L$6))),"",ROUND($L$6-1,4))</f>
        <v/>
      </c>
      <c r="I60" s="14" t="n"/>
      <c r="J60" s="14" t="n"/>
      <c r="K60" s="14" t="n"/>
      <c r="L60" s="14" t="n"/>
      <c r="M60" s="14" t="n"/>
      <c r="N60" s="155">
        <f>IF(A60="","",IF(posicao_contratual!$Y60="","",IF(posicao_contratual!$Y60&gt;0,"",posicao_contratual!E60)))</f>
        <v/>
      </c>
      <c r="O60" s="155">
        <f>IF(A60="","",IF(posicao_contratual!$Y60="","",IF(posicao_contratual!$Y60&gt;1,"",posicao_contratual!I60)))</f>
        <v/>
      </c>
      <c r="P60" s="155">
        <f>IF(A60="","",IF(posicao_contratual!$Y60="","",IF(posicao_contratual!$Y60&gt;2,"",posicao_contratual!M60)))</f>
        <v/>
      </c>
      <c r="Q60" s="155">
        <f>IF(A60="","",IF(posicao_contratual!$Y60="","",IF(posicao_contratual!$Y60&gt;3,"",posicao_contratual!Q60)))</f>
        <v/>
      </c>
      <c r="R60" s="155">
        <f>IF(A60="","",IF(posicao_contratual!$Y60="","",IF(posicao_contratual!$Y60&gt;4,"",posicao_contratual!U60)))</f>
        <v/>
      </c>
      <c r="S60" s="176">
        <f>IF(A60="","",posicao_contratual!G60)</f>
        <v/>
      </c>
      <c r="T60" s="176">
        <f>IF(A60="","",posicao_contratual!K60)</f>
        <v/>
      </c>
      <c r="U60" s="176">
        <f>IF(A60="","",posicao_contratual!O60)</f>
        <v/>
      </c>
      <c r="V60" s="176">
        <f>IF(A60="","",posicao_contratual!S60)</f>
        <v/>
      </c>
      <c r="W60" s="176">
        <f>IF(A60="","",posicao_contratual!W60)</f>
        <v/>
      </c>
    </row>
    <row r="61">
      <c r="A61" s="91">
        <f>IF(itens_Remanesc!A61="","",itens_Remanesc!A61)</f>
        <v/>
      </c>
      <c r="B61" s="90">
        <f>IF(A61="","",IF(posicao_contratual!$Y61="","",IF(posicao_contratual!$Y61&gt;0,"",posicao_contratual!G61)))</f>
        <v/>
      </c>
      <c r="C61" s="335">
        <f>IF(itens_Remanesc!A61="","",IF(posicao_contratual!$Y61="","",IF(posicao_contratual!$Y61&gt;0,"",itens_Remanesc!C61)))</f>
        <v/>
      </c>
      <c r="D61" s="335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335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335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335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>
        <f>IF(OR(A61="",C61="",C61=0,NOT(ISNUMBER($L$6))),"",ROUND($L$6-1,4))</f>
        <v/>
      </c>
      <c r="I61" s="14" t="n"/>
      <c r="J61" s="14" t="n"/>
      <c r="K61" s="14" t="n"/>
      <c r="L61" s="14" t="n"/>
      <c r="M61" s="14" t="n"/>
      <c r="N61" s="155">
        <f>IF(A61="","",IF(posicao_contratual!$Y61="","",IF(posicao_contratual!$Y61&gt;0,"",posicao_contratual!E61)))</f>
        <v/>
      </c>
      <c r="O61" s="155">
        <f>IF(A61="","",IF(posicao_contratual!$Y61="","",IF(posicao_contratual!$Y61&gt;1,"",posicao_contratual!I61)))</f>
        <v/>
      </c>
      <c r="P61" s="155">
        <f>IF(A61="","",IF(posicao_contratual!$Y61="","",IF(posicao_contratual!$Y61&gt;2,"",posicao_contratual!M61)))</f>
        <v/>
      </c>
      <c r="Q61" s="155">
        <f>IF(A61="","",IF(posicao_contratual!$Y61="","",IF(posicao_contratual!$Y61&gt;3,"",posicao_contratual!Q61)))</f>
        <v/>
      </c>
      <c r="R61" s="155">
        <f>IF(A61="","",IF(posicao_contratual!$Y61="","",IF(posicao_contratual!$Y61&gt;4,"",posicao_contratual!U61)))</f>
        <v/>
      </c>
      <c r="S61" s="176">
        <f>IF(A61="","",posicao_contratual!G61)</f>
        <v/>
      </c>
      <c r="T61" s="176">
        <f>IF(A61="","",posicao_contratual!K61)</f>
        <v/>
      </c>
      <c r="U61" s="176">
        <f>IF(A61="","",posicao_contratual!O61)</f>
        <v/>
      </c>
      <c r="V61" s="176">
        <f>IF(A61="","",posicao_contratual!S61)</f>
        <v/>
      </c>
      <c r="W61" s="176">
        <f>IF(A61="","",posicao_contratual!W61)</f>
        <v/>
      </c>
    </row>
    <row r="62">
      <c r="A62" s="91">
        <f>IF(itens_Remanesc!A62="","",itens_Remanesc!A62)</f>
        <v/>
      </c>
      <c r="B62" s="90">
        <f>IF(A62="","",IF(posicao_contratual!$Y62="","",IF(posicao_contratual!$Y62&gt;0,"",posicao_contratual!G62)))</f>
        <v/>
      </c>
      <c r="C62" s="335">
        <f>IF(itens_Remanesc!A62="","",IF(posicao_contratual!$Y62="","",IF(posicao_contratual!$Y62&gt;0,"",itens_Remanesc!C62)))</f>
        <v/>
      </c>
      <c r="D62" s="335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335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335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335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>
        <f>IF(OR(A62="",C62="",C62=0,NOT(ISNUMBER($L$6))),"",ROUND($L$6-1,4))</f>
        <v/>
      </c>
      <c r="I62" s="14" t="n"/>
      <c r="J62" s="14" t="n"/>
      <c r="K62" s="14" t="n"/>
      <c r="L62" s="14" t="n"/>
      <c r="M62" s="14" t="n"/>
      <c r="N62" s="155">
        <f>IF(A62="","",IF(posicao_contratual!$Y62="","",IF(posicao_contratual!$Y62&gt;0,"",posicao_contratual!E62)))</f>
        <v/>
      </c>
      <c r="O62" s="155">
        <f>IF(A62="","",IF(posicao_contratual!$Y62="","",IF(posicao_contratual!$Y62&gt;1,"",posicao_contratual!I62)))</f>
        <v/>
      </c>
      <c r="P62" s="155">
        <f>IF(A62="","",IF(posicao_contratual!$Y62="","",IF(posicao_contratual!$Y62&gt;2,"",posicao_contratual!M62)))</f>
        <v/>
      </c>
      <c r="Q62" s="155">
        <f>IF(A62="","",IF(posicao_contratual!$Y62="","",IF(posicao_contratual!$Y62&gt;3,"",posicao_contratual!Q62)))</f>
        <v/>
      </c>
      <c r="R62" s="155">
        <f>IF(A62="","",IF(posicao_contratual!$Y62="","",IF(posicao_contratual!$Y62&gt;4,"",posicao_contratual!U62)))</f>
        <v/>
      </c>
      <c r="S62" s="176">
        <f>IF(A62="","",posicao_contratual!G62)</f>
        <v/>
      </c>
      <c r="T62" s="176">
        <f>IF(A62="","",posicao_contratual!K62)</f>
        <v/>
      </c>
      <c r="U62" s="176">
        <f>IF(A62="","",posicao_contratual!O62)</f>
        <v/>
      </c>
      <c r="V62" s="176">
        <f>IF(A62="","",posicao_contratual!S62)</f>
        <v/>
      </c>
      <c r="W62" s="176">
        <f>IF(A62="","",posicao_contratual!W62)</f>
        <v/>
      </c>
    </row>
    <row r="63">
      <c r="A63" s="91">
        <f>IF(itens_Remanesc!A63="","",itens_Remanesc!A63)</f>
        <v/>
      </c>
      <c r="B63" s="90">
        <f>IF(A63="","",IF(posicao_contratual!$Y63="","",IF(posicao_contratual!$Y63&gt;0,"",posicao_contratual!G63)))</f>
        <v/>
      </c>
      <c r="C63" s="335">
        <f>IF(itens_Remanesc!A63="","",IF(posicao_contratual!$Y63="","",IF(posicao_contratual!$Y63&gt;0,"",itens_Remanesc!C63)))</f>
        <v/>
      </c>
      <c r="D63" s="335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335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335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335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>
        <f>IF(OR(A63="",C63="",C63=0,NOT(ISNUMBER($L$6))),"",ROUND($L$6-1,4))</f>
        <v/>
      </c>
      <c r="I63" s="14" t="n"/>
      <c r="J63" s="14" t="n"/>
      <c r="K63" s="14" t="n"/>
      <c r="L63" s="14" t="n"/>
      <c r="M63" s="14" t="n"/>
      <c r="N63" s="155">
        <f>IF(A63="","",IF(posicao_contratual!$Y63="","",IF(posicao_contratual!$Y63&gt;0,"",posicao_contratual!E63)))</f>
        <v/>
      </c>
      <c r="O63" s="155">
        <f>IF(A63="","",IF(posicao_contratual!$Y63="","",IF(posicao_contratual!$Y63&gt;1,"",posicao_contratual!I63)))</f>
        <v/>
      </c>
      <c r="P63" s="155">
        <f>IF(A63="","",IF(posicao_contratual!$Y63="","",IF(posicao_contratual!$Y63&gt;2,"",posicao_contratual!M63)))</f>
        <v/>
      </c>
      <c r="Q63" s="155">
        <f>IF(A63="","",IF(posicao_contratual!$Y63="","",IF(posicao_contratual!$Y63&gt;3,"",posicao_contratual!Q63)))</f>
        <v/>
      </c>
      <c r="R63" s="155">
        <f>IF(A63="","",IF(posicao_contratual!$Y63="","",IF(posicao_contratual!$Y63&gt;4,"",posicao_contratual!U63)))</f>
        <v/>
      </c>
      <c r="S63" s="176">
        <f>IF(A63="","",posicao_contratual!G63)</f>
        <v/>
      </c>
      <c r="T63" s="176">
        <f>IF(A63="","",posicao_contratual!K63)</f>
        <v/>
      </c>
      <c r="U63" s="176">
        <f>IF(A63="","",posicao_contratual!O63)</f>
        <v/>
      </c>
      <c r="V63" s="176">
        <f>IF(A63="","",posicao_contratual!S63)</f>
        <v/>
      </c>
      <c r="W63" s="176">
        <f>IF(A63="","",posicao_contratual!W63)</f>
        <v/>
      </c>
    </row>
    <row r="64">
      <c r="A64" s="91">
        <f>IF(itens_Remanesc!A64="","",itens_Remanesc!A64)</f>
        <v/>
      </c>
      <c r="B64" s="90">
        <f>IF(A64="","",IF(posicao_contratual!$Y64="","",IF(posicao_contratual!$Y64&gt;0,"",posicao_contratual!G64)))</f>
        <v/>
      </c>
      <c r="C64" s="335">
        <f>IF(itens_Remanesc!A64="","",IF(posicao_contratual!$Y64="","",IF(posicao_contratual!$Y64&gt;0,"",itens_Remanesc!C64)))</f>
        <v/>
      </c>
      <c r="D64" s="335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335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335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335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>
        <f>IF(OR(A64="",C64="",C64=0,NOT(ISNUMBER($L$6))),"",ROUND($L$6-1,4))</f>
        <v/>
      </c>
      <c r="I64" s="14" t="n"/>
      <c r="J64" s="14" t="n"/>
      <c r="K64" s="14" t="n"/>
      <c r="L64" s="14" t="n"/>
      <c r="M64" s="14" t="n"/>
      <c r="N64" s="155">
        <f>IF(A64="","",IF(posicao_contratual!$Y64="","",IF(posicao_contratual!$Y64&gt;0,"",posicao_contratual!E64)))</f>
        <v/>
      </c>
      <c r="O64" s="155">
        <f>IF(A64="","",IF(posicao_contratual!$Y64="","",IF(posicao_contratual!$Y64&gt;1,"",posicao_contratual!I64)))</f>
        <v/>
      </c>
      <c r="P64" s="155">
        <f>IF(A64="","",IF(posicao_contratual!$Y64="","",IF(posicao_contratual!$Y64&gt;2,"",posicao_contratual!M64)))</f>
        <v/>
      </c>
      <c r="Q64" s="155">
        <f>IF(A64="","",IF(posicao_contratual!$Y64="","",IF(posicao_contratual!$Y64&gt;3,"",posicao_contratual!Q64)))</f>
        <v/>
      </c>
      <c r="R64" s="155">
        <f>IF(A64="","",IF(posicao_contratual!$Y64="","",IF(posicao_contratual!$Y64&gt;4,"",posicao_contratual!U64)))</f>
        <v/>
      </c>
      <c r="S64" s="176">
        <f>IF(A64="","",posicao_contratual!G64)</f>
        <v/>
      </c>
      <c r="T64" s="176">
        <f>IF(A64="","",posicao_contratual!K64)</f>
        <v/>
      </c>
      <c r="U64" s="176">
        <f>IF(A64="","",posicao_contratual!O64)</f>
        <v/>
      </c>
      <c r="V64" s="176">
        <f>IF(A64="","",posicao_contratual!S64)</f>
        <v/>
      </c>
      <c r="W64" s="176">
        <f>IF(A64="","",posicao_contratual!W64)</f>
        <v/>
      </c>
    </row>
    <row r="65">
      <c r="A65" s="91">
        <f>IF(itens_Remanesc!A65="","",itens_Remanesc!A65)</f>
        <v/>
      </c>
      <c r="B65" s="90">
        <f>IF(A65="","",IF(posicao_contratual!$Y65="","",IF(posicao_contratual!$Y65&gt;0,"",posicao_contratual!G65)))</f>
        <v/>
      </c>
      <c r="C65" s="335">
        <f>IF(itens_Remanesc!A65="","",IF(posicao_contratual!$Y65="","",IF(posicao_contratual!$Y65&gt;0,"",itens_Remanesc!C65)))</f>
        <v/>
      </c>
      <c r="D65" s="335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335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335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335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>
        <f>IF(OR(A65="",C65="",C65=0,NOT(ISNUMBER($L$6))),"",ROUND($L$6-1,4))</f>
        <v/>
      </c>
      <c r="I65" s="14" t="n"/>
      <c r="J65" s="14" t="n"/>
      <c r="K65" s="14" t="n"/>
      <c r="L65" s="14" t="n"/>
      <c r="M65" s="14" t="n"/>
      <c r="N65" s="155">
        <f>IF(A65="","",IF(posicao_contratual!$Y65="","",IF(posicao_contratual!$Y65&gt;0,"",posicao_contratual!E65)))</f>
        <v/>
      </c>
      <c r="O65" s="155">
        <f>IF(A65="","",IF(posicao_contratual!$Y65="","",IF(posicao_contratual!$Y65&gt;1,"",posicao_contratual!I65)))</f>
        <v/>
      </c>
      <c r="P65" s="155">
        <f>IF(A65="","",IF(posicao_contratual!$Y65="","",IF(posicao_contratual!$Y65&gt;2,"",posicao_contratual!M65)))</f>
        <v/>
      </c>
      <c r="Q65" s="155">
        <f>IF(A65="","",IF(posicao_contratual!$Y65="","",IF(posicao_contratual!$Y65&gt;3,"",posicao_contratual!Q65)))</f>
        <v/>
      </c>
      <c r="R65" s="155">
        <f>IF(A65="","",IF(posicao_contratual!$Y65="","",IF(posicao_contratual!$Y65&gt;4,"",posicao_contratual!U65)))</f>
        <v/>
      </c>
      <c r="S65" s="176">
        <f>IF(A65="","",posicao_contratual!G65)</f>
        <v/>
      </c>
      <c r="T65" s="176">
        <f>IF(A65="","",posicao_contratual!K65)</f>
        <v/>
      </c>
      <c r="U65" s="176">
        <f>IF(A65="","",posicao_contratual!O65)</f>
        <v/>
      </c>
      <c r="V65" s="176">
        <f>IF(A65="","",posicao_contratual!S65)</f>
        <v/>
      </c>
      <c r="W65" s="176">
        <f>IF(A65="","",posicao_contratual!W65)</f>
        <v/>
      </c>
    </row>
    <row r="66">
      <c r="A66" s="91">
        <f>IF(itens_Remanesc!A66="","",itens_Remanesc!A66)</f>
        <v/>
      </c>
      <c r="B66" s="90">
        <f>IF(A66="","",IF(posicao_contratual!$Y66="","",IF(posicao_contratual!$Y66&gt;0,"",posicao_contratual!G66)))</f>
        <v/>
      </c>
      <c r="C66" s="335">
        <f>IF(itens_Remanesc!A66="","",IF(posicao_contratual!$Y66="","",IF(posicao_contratual!$Y66&gt;0,"",itens_Remanesc!C66)))</f>
        <v/>
      </c>
      <c r="D66" s="335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335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335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335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>
        <f>IF(OR(A66="",C66="",C66=0,NOT(ISNUMBER($L$6))),"",ROUND($L$6-1,4))</f>
        <v/>
      </c>
      <c r="I66" s="14" t="n"/>
      <c r="J66" s="14" t="n"/>
      <c r="K66" s="14" t="n"/>
      <c r="L66" s="14" t="n"/>
      <c r="M66" s="14" t="n"/>
      <c r="N66" s="155">
        <f>IF(A66="","",IF(posicao_contratual!$Y66="","",IF(posicao_contratual!$Y66&gt;0,"",posicao_contratual!E66)))</f>
        <v/>
      </c>
      <c r="O66" s="155">
        <f>IF(A66="","",IF(posicao_contratual!$Y66="","",IF(posicao_contratual!$Y66&gt;1,"",posicao_contratual!I66)))</f>
        <v/>
      </c>
      <c r="P66" s="155">
        <f>IF(A66="","",IF(posicao_contratual!$Y66="","",IF(posicao_contratual!$Y66&gt;2,"",posicao_contratual!M66)))</f>
        <v/>
      </c>
      <c r="Q66" s="155">
        <f>IF(A66="","",IF(posicao_contratual!$Y66="","",IF(posicao_contratual!$Y66&gt;3,"",posicao_contratual!Q66)))</f>
        <v/>
      </c>
      <c r="R66" s="155">
        <f>IF(A66="","",IF(posicao_contratual!$Y66="","",IF(posicao_contratual!$Y66&gt;4,"",posicao_contratual!U66)))</f>
        <v/>
      </c>
      <c r="S66" s="176">
        <f>IF(A66="","",posicao_contratual!G66)</f>
        <v/>
      </c>
      <c r="T66" s="176">
        <f>IF(A66="","",posicao_contratual!K66)</f>
        <v/>
      </c>
      <c r="U66" s="176">
        <f>IF(A66="","",posicao_contratual!O66)</f>
        <v/>
      </c>
      <c r="V66" s="176">
        <f>IF(A66="","",posicao_contratual!S66)</f>
        <v/>
      </c>
      <c r="W66" s="176">
        <f>IF(A66="","",posicao_contratual!W66)</f>
        <v/>
      </c>
    </row>
    <row r="67">
      <c r="A67" s="91">
        <f>IF(itens_Remanesc!A67="","",itens_Remanesc!A67)</f>
        <v/>
      </c>
      <c r="B67" s="90">
        <f>IF(A67="","",IF(posicao_contratual!$Y67="","",IF(posicao_contratual!$Y67&gt;0,"",posicao_contratual!G67)))</f>
        <v/>
      </c>
      <c r="C67" s="335">
        <f>IF(itens_Remanesc!A67="","",IF(posicao_contratual!$Y67="","",IF(posicao_contratual!$Y67&gt;0,"",itens_Remanesc!C67)))</f>
        <v/>
      </c>
      <c r="D67" s="335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335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335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335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>
        <f>IF(OR(A67="",C67="",C67=0,NOT(ISNUMBER($L$6))),"",ROUND($L$6-1,4))</f>
        <v/>
      </c>
      <c r="I67" s="14" t="n"/>
      <c r="J67" s="14" t="n"/>
      <c r="K67" s="14" t="n"/>
      <c r="L67" s="14" t="n"/>
      <c r="M67" s="14" t="n"/>
      <c r="N67" s="155">
        <f>IF(A67="","",IF(posicao_contratual!$Y67="","",IF(posicao_contratual!$Y67&gt;0,"",posicao_contratual!E67)))</f>
        <v/>
      </c>
      <c r="O67" s="155">
        <f>IF(A67="","",IF(posicao_contratual!$Y67="","",IF(posicao_contratual!$Y67&gt;1,"",posicao_contratual!I67)))</f>
        <v/>
      </c>
      <c r="P67" s="155">
        <f>IF(A67="","",IF(posicao_contratual!$Y67="","",IF(posicao_contratual!$Y67&gt;2,"",posicao_contratual!M67)))</f>
        <v/>
      </c>
      <c r="Q67" s="155">
        <f>IF(A67="","",IF(posicao_contratual!$Y67="","",IF(posicao_contratual!$Y67&gt;3,"",posicao_contratual!Q67)))</f>
        <v/>
      </c>
      <c r="R67" s="155">
        <f>IF(A67="","",IF(posicao_contratual!$Y67="","",IF(posicao_contratual!$Y67&gt;4,"",posicao_contratual!U67)))</f>
        <v/>
      </c>
      <c r="S67" s="176">
        <f>IF(A67="","",posicao_contratual!G67)</f>
        <v/>
      </c>
      <c r="T67" s="176">
        <f>IF(A67="","",posicao_contratual!K67)</f>
        <v/>
      </c>
      <c r="U67" s="176">
        <f>IF(A67="","",posicao_contratual!O67)</f>
        <v/>
      </c>
      <c r="V67" s="176">
        <f>IF(A67="","",posicao_contratual!S67)</f>
        <v/>
      </c>
      <c r="W67" s="176">
        <f>IF(A67="","",posicao_contratual!W67)</f>
        <v/>
      </c>
    </row>
    <row r="68">
      <c r="A68" s="91">
        <f>IF(itens_Remanesc!A68="","",itens_Remanesc!A68)</f>
        <v/>
      </c>
      <c r="B68" s="90">
        <f>IF(A68="","",IF(posicao_contratual!$Y68="","",IF(posicao_contratual!$Y68&gt;0,"",posicao_contratual!G68)))</f>
        <v/>
      </c>
      <c r="C68" s="335">
        <f>IF(itens_Remanesc!A68="","",IF(posicao_contratual!$Y68="","",IF(posicao_contratual!$Y68&gt;0,"",itens_Remanesc!C68)))</f>
        <v/>
      </c>
      <c r="D68" s="335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335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335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335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>
        <f>IF(OR(A68="",C68="",C68=0,NOT(ISNUMBER($L$6))),"",ROUND($L$6-1,4))</f>
        <v/>
      </c>
      <c r="I68" s="14" t="n"/>
      <c r="J68" s="14" t="n"/>
      <c r="K68" s="14" t="n"/>
      <c r="L68" s="14" t="n"/>
      <c r="M68" s="14" t="n"/>
      <c r="N68" s="155">
        <f>IF(A68="","",IF(posicao_contratual!$Y68="","",IF(posicao_contratual!$Y68&gt;0,"",posicao_contratual!E68)))</f>
        <v/>
      </c>
      <c r="O68" s="155">
        <f>IF(A68="","",IF(posicao_contratual!$Y68="","",IF(posicao_contratual!$Y68&gt;1,"",posicao_contratual!I68)))</f>
        <v/>
      </c>
      <c r="P68" s="155">
        <f>IF(A68="","",IF(posicao_contratual!$Y68="","",IF(posicao_contratual!$Y68&gt;2,"",posicao_contratual!M68)))</f>
        <v/>
      </c>
      <c r="Q68" s="155">
        <f>IF(A68="","",IF(posicao_contratual!$Y68="","",IF(posicao_contratual!$Y68&gt;3,"",posicao_contratual!Q68)))</f>
        <v/>
      </c>
      <c r="R68" s="155">
        <f>IF(A68="","",IF(posicao_contratual!$Y68="","",IF(posicao_contratual!$Y68&gt;4,"",posicao_contratual!U68)))</f>
        <v/>
      </c>
      <c r="S68" s="176">
        <f>IF(A68="","",posicao_contratual!G68)</f>
        <v/>
      </c>
      <c r="T68" s="176">
        <f>IF(A68="","",posicao_contratual!K68)</f>
        <v/>
      </c>
      <c r="U68" s="176">
        <f>IF(A68="","",posicao_contratual!O68)</f>
        <v/>
      </c>
      <c r="V68" s="176">
        <f>IF(A68="","",posicao_contratual!S68)</f>
        <v/>
      </c>
      <c r="W68" s="176">
        <f>IF(A68="","",posicao_contratual!W68)</f>
        <v/>
      </c>
    </row>
    <row r="69">
      <c r="A69" s="91">
        <f>IF(itens_Remanesc!A69="","",itens_Remanesc!A69)</f>
        <v/>
      </c>
      <c r="B69" s="90">
        <f>IF(A69="","",IF(posicao_contratual!$Y69="","",IF(posicao_contratual!$Y69&gt;0,"",posicao_contratual!G69)))</f>
        <v/>
      </c>
      <c r="C69" s="335">
        <f>IF(itens_Remanesc!A69="","",IF(posicao_contratual!$Y69="","",IF(posicao_contratual!$Y69&gt;0,"",itens_Remanesc!C69)))</f>
        <v/>
      </c>
      <c r="D69" s="335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335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335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335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>
        <f>IF(OR(A69="",C69="",C69=0,NOT(ISNUMBER($L$6))),"",ROUND($L$6-1,4))</f>
        <v/>
      </c>
      <c r="I69" s="14" t="n"/>
      <c r="J69" s="14" t="n"/>
      <c r="K69" s="14" t="n"/>
      <c r="L69" s="14" t="n"/>
      <c r="M69" s="14" t="n"/>
      <c r="N69" s="155">
        <f>IF(A69="","",IF(posicao_contratual!$Y69="","",IF(posicao_contratual!$Y69&gt;0,"",posicao_contratual!E69)))</f>
        <v/>
      </c>
      <c r="O69" s="155">
        <f>IF(A69="","",IF(posicao_contratual!$Y69="","",IF(posicao_contratual!$Y69&gt;1,"",posicao_contratual!I69)))</f>
        <v/>
      </c>
      <c r="P69" s="155">
        <f>IF(A69="","",IF(posicao_contratual!$Y69="","",IF(posicao_contratual!$Y69&gt;2,"",posicao_contratual!M69)))</f>
        <v/>
      </c>
      <c r="Q69" s="155">
        <f>IF(A69="","",IF(posicao_contratual!$Y69="","",IF(posicao_contratual!$Y69&gt;3,"",posicao_contratual!Q69)))</f>
        <v/>
      </c>
      <c r="R69" s="155">
        <f>IF(A69="","",IF(posicao_contratual!$Y69="","",IF(posicao_contratual!$Y69&gt;4,"",posicao_contratual!U69)))</f>
        <v/>
      </c>
      <c r="S69" s="176">
        <f>IF(A69="","",posicao_contratual!G69)</f>
        <v/>
      </c>
      <c r="T69" s="176">
        <f>IF(A69="","",posicao_contratual!K69)</f>
        <v/>
      </c>
      <c r="U69" s="176">
        <f>IF(A69="","",posicao_contratual!O69)</f>
        <v/>
      </c>
      <c r="V69" s="176">
        <f>IF(A69="","",posicao_contratual!S69)</f>
        <v/>
      </c>
      <c r="W69" s="176">
        <f>IF(A69="","",posicao_contratual!W69)</f>
        <v/>
      </c>
    </row>
    <row r="70">
      <c r="A70" s="91">
        <f>IF(itens_Remanesc!A70="","",itens_Remanesc!A70)</f>
        <v/>
      </c>
      <c r="B70" s="90">
        <f>IF(A70="","",IF(posicao_contratual!$Y70="","",IF(posicao_contratual!$Y70&gt;0,"",posicao_contratual!G70)))</f>
        <v/>
      </c>
      <c r="C70" s="335">
        <f>IF(itens_Remanesc!A70="","",IF(posicao_contratual!$Y70="","",IF(posicao_contratual!$Y70&gt;0,"",itens_Remanesc!C70)))</f>
        <v/>
      </c>
      <c r="D70" s="335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335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335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335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>
        <f>IF(OR(A70="",C70="",C70=0,NOT(ISNUMBER($L$6))),"",ROUND($L$6-1,4))</f>
        <v/>
      </c>
      <c r="I70" s="14" t="n"/>
      <c r="J70" s="14" t="n"/>
      <c r="K70" s="14" t="n"/>
      <c r="L70" s="14" t="n"/>
      <c r="M70" s="14" t="n"/>
      <c r="N70" s="155">
        <f>IF(A70="","",IF(posicao_contratual!$Y70="","",IF(posicao_contratual!$Y70&gt;0,"",posicao_contratual!E70)))</f>
        <v/>
      </c>
      <c r="O70" s="155">
        <f>IF(A70="","",IF(posicao_contratual!$Y70="","",IF(posicao_contratual!$Y70&gt;1,"",posicao_contratual!I70)))</f>
        <v/>
      </c>
      <c r="P70" s="155">
        <f>IF(A70="","",IF(posicao_contratual!$Y70="","",IF(posicao_contratual!$Y70&gt;2,"",posicao_contratual!M70)))</f>
        <v/>
      </c>
      <c r="Q70" s="155">
        <f>IF(A70="","",IF(posicao_contratual!$Y70="","",IF(posicao_contratual!$Y70&gt;3,"",posicao_contratual!Q70)))</f>
        <v/>
      </c>
      <c r="R70" s="155">
        <f>IF(A70="","",IF(posicao_contratual!$Y70="","",IF(posicao_contratual!$Y70&gt;4,"",posicao_contratual!U70)))</f>
        <v/>
      </c>
      <c r="S70" s="176">
        <f>IF(A70="","",posicao_contratual!G70)</f>
        <v/>
      </c>
      <c r="T70" s="176">
        <f>IF(A70="","",posicao_contratual!K70)</f>
        <v/>
      </c>
      <c r="U70" s="176">
        <f>IF(A70="","",posicao_contratual!O70)</f>
        <v/>
      </c>
      <c r="V70" s="176">
        <f>IF(A70="","",posicao_contratual!S70)</f>
        <v/>
      </c>
      <c r="W70" s="176">
        <f>IF(A70="","",posicao_contratual!W70)</f>
        <v/>
      </c>
    </row>
    <row r="71">
      <c r="A71" s="91">
        <f>IF(itens_Remanesc!A71="","",itens_Remanesc!A71)</f>
        <v/>
      </c>
      <c r="B71" s="90">
        <f>IF(A71="","",IF(posicao_contratual!$Y71="","",IF(posicao_contratual!$Y71&gt;0,"",posicao_contratual!G71)))</f>
        <v/>
      </c>
      <c r="C71" s="335">
        <f>IF(itens_Remanesc!A71="","",IF(posicao_contratual!$Y71="","",IF(posicao_contratual!$Y71&gt;0,"",itens_Remanesc!C71)))</f>
        <v/>
      </c>
      <c r="D71" s="335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335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335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335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>
        <f>IF(OR(A71="",C71="",C71=0,NOT(ISNUMBER($L$6))),"",ROUND($L$6-1,4))</f>
        <v/>
      </c>
      <c r="I71" s="14" t="n"/>
      <c r="J71" s="14" t="n"/>
      <c r="K71" s="14" t="n"/>
      <c r="L71" s="14" t="n"/>
      <c r="M71" s="14" t="n"/>
      <c r="N71" s="155">
        <f>IF(A71="","",IF(posicao_contratual!$Y71="","",IF(posicao_contratual!$Y71&gt;0,"",posicao_contratual!E71)))</f>
        <v/>
      </c>
      <c r="O71" s="155">
        <f>IF(A71="","",IF(posicao_contratual!$Y71="","",IF(posicao_contratual!$Y71&gt;1,"",posicao_contratual!I71)))</f>
        <v/>
      </c>
      <c r="P71" s="155">
        <f>IF(A71="","",IF(posicao_contratual!$Y71="","",IF(posicao_contratual!$Y71&gt;2,"",posicao_contratual!M71)))</f>
        <v/>
      </c>
      <c r="Q71" s="155">
        <f>IF(A71="","",IF(posicao_contratual!$Y71="","",IF(posicao_contratual!$Y71&gt;3,"",posicao_contratual!Q71)))</f>
        <v/>
      </c>
      <c r="R71" s="155">
        <f>IF(A71="","",IF(posicao_contratual!$Y71="","",IF(posicao_contratual!$Y71&gt;4,"",posicao_contratual!U71)))</f>
        <v/>
      </c>
      <c r="S71" s="176">
        <f>IF(A71="","",posicao_contratual!G71)</f>
        <v/>
      </c>
      <c r="T71" s="176">
        <f>IF(A71="","",posicao_contratual!K71)</f>
        <v/>
      </c>
      <c r="U71" s="176">
        <f>IF(A71="","",posicao_contratual!O71)</f>
        <v/>
      </c>
      <c r="V71" s="176">
        <f>IF(A71="","",posicao_contratual!S71)</f>
        <v/>
      </c>
      <c r="W71" s="176">
        <f>IF(A71="","",posicao_contratual!W71)</f>
        <v/>
      </c>
    </row>
    <row r="72">
      <c r="A72" s="91">
        <f>IF(itens_Remanesc!A72="","",itens_Remanesc!A72)</f>
        <v/>
      </c>
      <c r="B72" s="90">
        <f>IF(A72="","",IF(posicao_contratual!$Y72="","",IF(posicao_contratual!$Y72&gt;0,"",posicao_contratual!G72)))</f>
        <v/>
      </c>
      <c r="C72" s="335">
        <f>IF(itens_Remanesc!A72="","",IF(posicao_contratual!$Y72="","",IF(posicao_contratual!$Y72&gt;0,"",itens_Remanesc!C72)))</f>
        <v/>
      </c>
      <c r="D72" s="335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335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335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335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>
        <f>IF(OR(A72="",C72="",C72=0,NOT(ISNUMBER($L$6))),"",ROUND($L$6-1,4))</f>
        <v/>
      </c>
      <c r="I72" s="14" t="n"/>
      <c r="J72" s="14" t="n"/>
      <c r="K72" s="14" t="n"/>
      <c r="L72" s="14" t="n"/>
      <c r="M72" s="14" t="n"/>
      <c r="N72" s="155">
        <f>IF(A72="","",IF(posicao_contratual!$Y72="","",IF(posicao_contratual!$Y72&gt;0,"",posicao_contratual!E72)))</f>
        <v/>
      </c>
      <c r="O72" s="155">
        <f>IF(A72="","",IF(posicao_contratual!$Y72="","",IF(posicao_contratual!$Y72&gt;1,"",posicao_contratual!I72)))</f>
        <v/>
      </c>
      <c r="P72" s="155">
        <f>IF(A72="","",IF(posicao_contratual!$Y72="","",IF(posicao_contratual!$Y72&gt;2,"",posicao_contratual!M72)))</f>
        <v/>
      </c>
      <c r="Q72" s="155">
        <f>IF(A72="","",IF(posicao_contratual!$Y72="","",IF(posicao_contratual!$Y72&gt;3,"",posicao_contratual!Q72)))</f>
        <v/>
      </c>
      <c r="R72" s="155">
        <f>IF(A72="","",IF(posicao_contratual!$Y72="","",IF(posicao_contratual!$Y72&gt;4,"",posicao_contratual!U72)))</f>
        <v/>
      </c>
      <c r="S72" s="176">
        <f>IF(A72="","",posicao_contratual!G72)</f>
        <v/>
      </c>
      <c r="T72" s="176">
        <f>IF(A72="","",posicao_contratual!K72)</f>
        <v/>
      </c>
      <c r="U72" s="176">
        <f>IF(A72="","",posicao_contratual!O72)</f>
        <v/>
      </c>
      <c r="V72" s="176">
        <f>IF(A72="","",posicao_contratual!S72)</f>
        <v/>
      </c>
      <c r="W72" s="176">
        <f>IF(A72="","",posicao_contratual!W72)</f>
        <v/>
      </c>
    </row>
    <row r="73">
      <c r="A73" s="91">
        <f>IF(itens_Remanesc!A73="","",itens_Remanesc!A73)</f>
        <v/>
      </c>
      <c r="B73" s="90">
        <f>IF(A73="","",IF(posicao_contratual!$Y73="","",IF(posicao_contratual!$Y73&gt;0,"",posicao_contratual!G73)))</f>
        <v/>
      </c>
      <c r="C73" s="335">
        <f>IF(itens_Remanesc!A73="","",IF(posicao_contratual!$Y73="","",IF(posicao_contratual!$Y73&gt;0,"",itens_Remanesc!C73)))</f>
        <v/>
      </c>
      <c r="D73" s="335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335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335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335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>
        <f>IF(OR(A73="",C73="",C73=0,NOT(ISNUMBER($L$6))),"",ROUND($L$6-1,4))</f>
        <v/>
      </c>
      <c r="I73" s="14" t="n"/>
      <c r="J73" s="14" t="n"/>
      <c r="K73" s="14" t="n"/>
      <c r="L73" s="14" t="n"/>
      <c r="M73" s="14" t="n"/>
      <c r="N73" s="155">
        <f>IF(A73="","",IF(posicao_contratual!$Y73="","",IF(posicao_contratual!$Y73&gt;0,"",posicao_contratual!E73)))</f>
        <v/>
      </c>
      <c r="O73" s="155">
        <f>IF(A73="","",IF(posicao_contratual!$Y73="","",IF(posicao_contratual!$Y73&gt;1,"",posicao_contratual!I73)))</f>
        <v/>
      </c>
      <c r="P73" s="155">
        <f>IF(A73="","",IF(posicao_contratual!$Y73="","",IF(posicao_contratual!$Y73&gt;2,"",posicao_contratual!M73)))</f>
        <v/>
      </c>
      <c r="Q73" s="155">
        <f>IF(A73="","",IF(posicao_contratual!$Y73="","",IF(posicao_contratual!$Y73&gt;3,"",posicao_contratual!Q73)))</f>
        <v/>
      </c>
      <c r="R73" s="155">
        <f>IF(A73="","",IF(posicao_contratual!$Y73="","",IF(posicao_contratual!$Y73&gt;4,"",posicao_contratual!U73)))</f>
        <v/>
      </c>
      <c r="S73" s="176">
        <f>IF(A73="","",posicao_contratual!G73)</f>
        <v/>
      </c>
      <c r="T73" s="176">
        <f>IF(A73="","",posicao_contratual!K73)</f>
        <v/>
      </c>
      <c r="U73" s="176">
        <f>IF(A73="","",posicao_contratual!O73)</f>
        <v/>
      </c>
      <c r="V73" s="176">
        <f>IF(A73="","",posicao_contratual!S73)</f>
        <v/>
      </c>
      <c r="W73" s="176">
        <f>IF(A73="","",posicao_contratual!W73)</f>
        <v/>
      </c>
    </row>
    <row r="74">
      <c r="A74" s="91">
        <f>IF(itens_Remanesc!A74="","",itens_Remanesc!A74)</f>
        <v/>
      </c>
      <c r="B74" s="90">
        <f>IF(A74="","",IF(posicao_contratual!$Y74="","",IF(posicao_contratual!$Y74&gt;0,"",posicao_contratual!G74)))</f>
        <v/>
      </c>
      <c r="C74" s="335">
        <f>IF(itens_Remanesc!A74="","",IF(posicao_contratual!$Y74="","",IF(posicao_contratual!$Y74&gt;0,"",itens_Remanesc!C74)))</f>
        <v/>
      </c>
      <c r="D74" s="335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335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335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335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>
        <f>IF(OR(A74="",C74="",C74=0,NOT(ISNUMBER($L$6))),"",ROUND($L$6-1,4))</f>
        <v/>
      </c>
      <c r="I74" s="14" t="n"/>
      <c r="J74" s="14" t="n"/>
      <c r="K74" s="14" t="n"/>
      <c r="L74" s="14" t="n"/>
      <c r="M74" s="14" t="n"/>
      <c r="N74" s="155">
        <f>IF(A74="","",IF(posicao_contratual!$Y74="","",IF(posicao_contratual!$Y74&gt;0,"",posicao_contratual!E74)))</f>
        <v/>
      </c>
      <c r="O74" s="155">
        <f>IF(A74="","",IF(posicao_contratual!$Y74="","",IF(posicao_contratual!$Y74&gt;1,"",posicao_contratual!I74)))</f>
        <v/>
      </c>
      <c r="P74" s="155">
        <f>IF(A74="","",IF(posicao_contratual!$Y74="","",IF(posicao_contratual!$Y74&gt;2,"",posicao_contratual!M74)))</f>
        <v/>
      </c>
      <c r="Q74" s="155">
        <f>IF(A74="","",IF(posicao_contratual!$Y74="","",IF(posicao_contratual!$Y74&gt;3,"",posicao_contratual!Q74)))</f>
        <v/>
      </c>
      <c r="R74" s="155">
        <f>IF(A74="","",IF(posicao_contratual!$Y74="","",IF(posicao_contratual!$Y74&gt;4,"",posicao_contratual!U74)))</f>
        <v/>
      </c>
      <c r="S74" s="176">
        <f>IF(A74="","",posicao_contratual!G74)</f>
        <v/>
      </c>
      <c r="T74" s="176">
        <f>IF(A74="","",posicao_contratual!K74)</f>
        <v/>
      </c>
      <c r="U74" s="176">
        <f>IF(A74="","",posicao_contratual!O74)</f>
        <v/>
      </c>
      <c r="V74" s="176">
        <f>IF(A74="","",posicao_contratual!S74)</f>
        <v/>
      </c>
      <c r="W74" s="176">
        <f>IF(A74="","",posicao_contratual!W74)</f>
        <v/>
      </c>
    </row>
    <row r="75">
      <c r="A75" s="91">
        <f>IF(itens_Remanesc!A75="","",itens_Remanesc!A75)</f>
        <v/>
      </c>
      <c r="B75" s="90">
        <f>IF(A75="","",IF(posicao_contratual!$Y75="","",IF(posicao_contratual!$Y75&gt;0,"",posicao_contratual!G75)))</f>
        <v/>
      </c>
      <c r="C75" s="335">
        <f>IF(itens_Remanesc!A75="","",IF(posicao_contratual!$Y75="","",IF(posicao_contratual!$Y75&gt;0,"",itens_Remanesc!C75)))</f>
        <v/>
      </c>
      <c r="D75" s="335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335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335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335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>
        <f>IF(OR(A75="",C75="",C75=0,NOT(ISNUMBER($L$6))),"",ROUND($L$6-1,4))</f>
        <v/>
      </c>
      <c r="I75" s="14" t="n"/>
      <c r="J75" s="14" t="n"/>
      <c r="K75" s="14" t="n"/>
      <c r="L75" s="14" t="n"/>
      <c r="M75" s="14" t="n"/>
      <c r="N75" s="155">
        <f>IF(A75="","",IF(posicao_contratual!$Y75="","",IF(posicao_contratual!$Y75&gt;0,"",posicao_contratual!E75)))</f>
        <v/>
      </c>
      <c r="O75" s="155">
        <f>IF(A75="","",IF(posicao_contratual!$Y75="","",IF(posicao_contratual!$Y75&gt;1,"",posicao_contratual!I75)))</f>
        <v/>
      </c>
      <c r="P75" s="155">
        <f>IF(A75="","",IF(posicao_contratual!$Y75="","",IF(posicao_contratual!$Y75&gt;2,"",posicao_contratual!M75)))</f>
        <v/>
      </c>
      <c r="Q75" s="155">
        <f>IF(A75="","",IF(posicao_contratual!$Y75="","",IF(posicao_contratual!$Y75&gt;3,"",posicao_contratual!Q75)))</f>
        <v/>
      </c>
      <c r="R75" s="155">
        <f>IF(A75="","",IF(posicao_contratual!$Y75="","",IF(posicao_contratual!$Y75&gt;4,"",posicao_contratual!U75)))</f>
        <v/>
      </c>
      <c r="S75" s="176">
        <f>IF(A75="","",posicao_contratual!G75)</f>
        <v/>
      </c>
      <c r="T75" s="176">
        <f>IF(A75="","",posicao_contratual!K75)</f>
        <v/>
      </c>
      <c r="U75" s="176">
        <f>IF(A75="","",posicao_contratual!O75)</f>
        <v/>
      </c>
      <c r="V75" s="176">
        <f>IF(A75="","",posicao_contratual!S75)</f>
        <v/>
      </c>
      <c r="W75" s="176">
        <f>IF(A75="","",posicao_contratual!W75)</f>
        <v/>
      </c>
    </row>
    <row r="76">
      <c r="A76" s="91">
        <f>IF(itens_Remanesc!A76="","",itens_Remanesc!A76)</f>
        <v/>
      </c>
      <c r="B76" s="90">
        <f>IF(A76="","",IF(posicao_contratual!$Y76="","",IF(posicao_contratual!$Y76&gt;0,"",posicao_contratual!G76)))</f>
        <v/>
      </c>
      <c r="C76" s="335">
        <f>IF(itens_Remanesc!A76="","",IF(posicao_contratual!$Y76="","",IF(posicao_contratual!$Y76&gt;0,"",itens_Remanesc!C76)))</f>
        <v/>
      </c>
      <c r="D76" s="335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335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335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335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>
        <f>IF(OR(A76="",C76="",C76=0,NOT(ISNUMBER($L$6))),"",ROUND($L$6-1,4))</f>
        <v/>
      </c>
      <c r="I76" s="14" t="n"/>
      <c r="J76" s="14" t="n"/>
      <c r="K76" s="14" t="n"/>
      <c r="L76" s="14" t="n"/>
      <c r="M76" s="14" t="n"/>
      <c r="N76" s="155">
        <f>IF(A76="","",IF(posicao_contratual!$Y76="","",IF(posicao_contratual!$Y76&gt;0,"",posicao_contratual!E76)))</f>
        <v/>
      </c>
      <c r="O76" s="155">
        <f>IF(A76="","",IF(posicao_contratual!$Y76="","",IF(posicao_contratual!$Y76&gt;1,"",posicao_contratual!I76)))</f>
        <v/>
      </c>
      <c r="P76" s="155">
        <f>IF(A76="","",IF(posicao_contratual!$Y76="","",IF(posicao_contratual!$Y76&gt;2,"",posicao_contratual!M76)))</f>
        <v/>
      </c>
      <c r="Q76" s="155">
        <f>IF(A76="","",IF(posicao_contratual!$Y76="","",IF(posicao_contratual!$Y76&gt;3,"",posicao_contratual!Q76)))</f>
        <v/>
      </c>
      <c r="R76" s="155">
        <f>IF(A76="","",IF(posicao_contratual!$Y76="","",IF(posicao_contratual!$Y76&gt;4,"",posicao_contratual!U76)))</f>
        <v/>
      </c>
      <c r="S76" s="176">
        <f>IF(A76="","",posicao_contratual!G76)</f>
        <v/>
      </c>
      <c r="T76" s="176">
        <f>IF(A76="","",posicao_contratual!K76)</f>
        <v/>
      </c>
      <c r="U76" s="176">
        <f>IF(A76="","",posicao_contratual!O76)</f>
        <v/>
      </c>
      <c r="V76" s="176">
        <f>IF(A76="","",posicao_contratual!S76)</f>
        <v/>
      </c>
      <c r="W76" s="176">
        <f>IF(A76="","",posicao_contratual!W76)</f>
        <v/>
      </c>
    </row>
    <row r="77">
      <c r="A77" s="91">
        <f>IF(itens_Remanesc!A77="","",itens_Remanesc!A77)</f>
        <v/>
      </c>
      <c r="B77" s="90">
        <f>IF(A77="","",IF(posicao_contratual!$Y77="","",IF(posicao_contratual!$Y77&gt;0,"",posicao_contratual!G77)))</f>
        <v/>
      </c>
      <c r="C77" s="335">
        <f>IF(itens_Remanesc!A77="","",IF(posicao_contratual!$Y77="","",IF(posicao_contratual!$Y77&gt;0,"",itens_Remanesc!C77)))</f>
        <v/>
      </c>
      <c r="D77" s="335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335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335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335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>
        <f>IF(OR(A77="",C77="",C77=0,NOT(ISNUMBER($L$6))),"",ROUND($L$6-1,4))</f>
        <v/>
      </c>
      <c r="I77" s="14" t="n"/>
      <c r="J77" s="14" t="n"/>
      <c r="K77" s="14" t="n"/>
      <c r="L77" s="14" t="n"/>
      <c r="M77" s="14" t="n"/>
      <c r="N77" s="155">
        <f>IF(A77="","",IF(posicao_contratual!$Y77="","",IF(posicao_contratual!$Y77&gt;0,"",posicao_contratual!E77)))</f>
        <v/>
      </c>
      <c r="O77" s="155">
        <f>IF(A77="","",IF(posicao_contratual!$Y77="","",IF(posicao_contratual!$Y77&gt;1,"",posicao_contratual!I77)))</f>
        <v/>
      </c>
      <c r="P77" s="155">
        <f>IF(A77="","",IF(posicao_contratual!$Y77="","",IF(posicao_contratual!$Y77&gt;2,"",posicao_contratual!M77)))</f>
        <v/>
      </c>
      <c r="Q77" s="155">
        <f>IF(A77="","",IF(posicao_contratual!$Y77="","",IF(posicao_contratual!$Y77&gt;3,"",posicao_contratual!Q77)))</f>
        <v/>
      </c>
      <c r="R77" s="155">
        <f>IF(A77="","",IF(posicao_contratual!$Y77="","",IF(posicao_contratual!$Y77&gt;4,"",posicao_contratual!U77)))</f>
        <v/>
      </c>
      <c r="S77" s="176">
        <f>IF(A77="","",posicao_contratual!G77)</f>
        <v/>
      </c>
      <c r="T77" s="176">
        <f>IF(A77="","",posicao_contratual!K77)</f>
        <v/>
      </c>
      <c r="U77" s="176">
        <f>IF(A77="","",posicao_contratual!O77)</f>
        <v/>
      </c>
      <c r="V77" s="176">
        <f>IF(A77="","",posicao_contratual!S77)</f>
        <v/>
      </c>
      <c r="W77" s="176">
        <f>IF(A77="","",posicao_contratual!W77)</f>
        <v/>
      </c>
    </row>
    <row r="78">
      <c r="A78" s="91">
        <f>IF(itens_Remanesc!A78="","",itens_Remanesc!A78)</f>
        <v/>
      </c>
      <c r="B78" s="90">
        <f>IF(A78="","",IF(posicao_contratual!$Y78="","",IF(posicao_contratual!$Y78&gt;0,"",posicao_contratual!G78)))</f>
        <v/>
      </c>
      <c r="C78" s="335">
        <f>IF(itens_Remanesc!A78="","",IF(posicao_contratual!$Y78="","",IF(posicao_contratual!$Y78&gt;0,"",itens_Remanesc!C78)))</f>
        <v/>
      </c>
      <c r="D78" s="335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335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335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335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>
        <f>IF(OR(A78="",C78="",C78=0,NOT(ISNUMBER($L$6))),"",ROUND($L$6-1,4))</f>
        <v/>
      </c>
      <c r="I78" s="14" t="n"/>
      <c r="J78" s="14" t="n"/>
      <c r="K78" s="14" t="n"/>
      <c r="L78" s="14" t="n"/>
      <c r="M78" s="14" t="n"/>
      <c r="N78" s="155">
        <f>IF(A78="","",IF(posicao_contratual!$Y78="","",IF(posicao_contratual!$Y78&gt;0,"",posicao_contratual!E78)))</f>
        <v/>
      </c>
      <c r="O78" s="155">
        <f>IF(A78="","",IF(posicao_contratual!$Y78="","",IF(posicao_contratual!$Y78&gt;1,"",posicao_contratual!I78)))</f>
        <v/>
      </c>
      <c r="P78" s="155">
        <f>IF(A78="","",IF(posicao_contratual!$Y78="","",IF(posicao_contratual!$Y78&gt;2,"",posicao_contratual!M78)))</f>
        <v/>
      </c>
      <c r="Q78" s="155">
        <f>IF(A78="","",IF(posicao_contratual!$Y78="","",IF(posicao_contratual!$Y78&gt;3,"",posicao_contratual!Q78)))</f>
        <v/>
      </c>
      <c r="R78" s="155">
        <f>IF(A78="","",IF(posicao_contratual!$Y78="","",IF(posicao_contratual!$Y78&gt;4,"",posicao_contratual!U78)))</f>
        <v/>
      </c>
      <c r="S78" s="176">
        <f>IF(A78="","",posicao_contratual!G78)</f>
        <v/>
      </c>
      <c r="T78" s="176">
        <f>IF(A78="","",posicao_contratual!K78)</f>
        <v/>
      </c>
      <c r="U78" s="176">
        <f>IF(A78="","",posicao_contratual!O78)</f>
        <v/>
      </c>
      <c r="V78" s="176">
        <f>IF(A78="","",posicao_contratual!S78)</f>
        <v/>
      </c>
      <c r="W78" s="176">
        <f>IF(A78="","",posicao_contratual!W78)</f>
        <v/>
      </c>
    </row>
    <row r="79">
      <c r="A79" s="91">
        <f>IF(itens_Remanesc!A79="","",itens_Remanesc!A79)</f>
        <v/>
      </c>
      <c r="B79" s="90">
        <f>IF(A79="","",IF(posicao_contratual!$Y79="","",IF(posicao_contratual!$Y79&gt;0,"",posicao_contratual!G79)))</f>
        <v/>
      </c>
      <c r="C79" s="335">
        <f>IF(itens_Remanesc!A79="","",IF(posicao_contratual!$Y79="","",IF(posicao_contratual!$Y79&gt;0,"",itens_Remanesc!C79)))</f>
        <v/>
      </c>
      <c r="D79" s="335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335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335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335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>
        <f>IF(OR(A79="",C79="",C79=0,NOT(ISNUMBER($L$6))),"",ROUND($L$6-1,4))</f>
        <v/>
      </c>
      <c r="I79" s="14" t="n"/>
      <c r="J79" s="14" t="n"/>
      <c r="K79" s="14" t="n"/>
      <c r="L79" s="14" t="n"/>
      <c r="M79" s="14" t="n"/>
      <c r="N79" s="155">
        <f>IF(A79="","",IF(posicao_contratual!$Y79="","",IF(posicao_contratual!$Y79&gt;0,"",posicao_contratual!E79)))</f>
        <v/>
      </c>
      <c r="O79" s="155">
        <f>IF(A79="","",IF(posicao_contratual!$Y79="","",IF(posicao_contratual!$Y79&gt;1,"",posicao_contratual!I79)))</f>
        <v/>
      </c>
      <c r="P79" s="155">
        <f>IF(A79="","",IF(posicao_contratual!$Y79="","",IF(posicao_contratual!$Y79&gt;2,"",posicao_contratual!M79)))</f>
        <v/>
      </c>
      <c r="Q79" s="155">
        <f>IF(A79="","",IF(posicao_contratual!$Y79="","",IF(posicao_contratual!$Y79&gt;3,"",posicao_contratual!Q79)))</f>
        <v/>
      </c>
      <c r="R79" s="155">
        <f>IF(A79="","",IF(posicao_contratual!$Y79="","",IF(posicao_contratual!$Y79&gt;4,"",posicao_contratual!U79)))</f>
        <v/>
      </c>
      <c r="S79" s="176">
        <f>IF(A79="","",posicao_contratual!G79)</f>
        <v/>
      </c>
      <c r="T79" s="176">
        <f>IF(A79="","",posicao_contratual!K79)</f>
        <v/>
      </c>
      <c r="U79" s="176">
        <f>IF(A79="","",posicao_contratual!O79)</f>
        <v/>
      </c>
      <c r="V79" s="176">
        <f>IF(A79="","",posicao_contratual!S79)</f>
        <v/>
      </c>
      <c r="W79" s="176">
        <f>IF(A79="","",posicao_contratual!W79)</f>
        <v/>
      </c>
    </row>
    <row r="80">
      <c r="A80" s="91">
        <f>IF(itens_Remanesc!A80="","",itens_Remanesc!A80)</f>
        <v/>
      </c>
      <c r="B80" s="90">
        <f>IF(A80="","",IF(posicao_contratual!$Y80="","",IF(posicao_contratual!$Y80&gt;0,"",posicao_contratual!G80)))</f>
        <v/>
      </c>
      <c r="C80" s="335">
        <f>IF(itens_Remanesc!A80="","",IF(posicao_contratual!$Y80="","",IF(posicao_contratual!$Y80&gt;0,"",itens_Remanesc!C80)))</f>
        <v/>
      </c>
      <c r="D80" s="335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335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335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335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>
        <f>IF(OR(A80="",C80="",C80=0,NOT(ISNUMBER($L$6))),"",ROUND($L$6-1,4))</f>
        <v/>
      </c>
      <c r="I80" s="14" t="n"/>
      <c r="J80" s="14" t="n"/>
      <c r="K80" s="14" t="n"/>
      <c r="L80" s="14" t="n"/>
      <c r="M80" s="14" t="n"/>
      <c r="N80" s="155">
        <f>IF(A80="","",IF(posicao_contratual!$Y80="","",IF(posicao_contratual!$Y80&gt;0,"",posicao_contratual!E80)))</f>
        <v/>
      </c>
      <c r="O80" s="155">
        <f>IF(A80="","",IF(posicao_contratual!$Y80="","",IF(posicao_contratual!$Y80&gt;1,"",posicao_contratual!I80)))</f>
        <v/>
      </c>
      <c r="P80" s="155">
        <f>IF(A80="","",IF(posicao_contratual!$Y80="","",IF(posicao_contratual!$Y80&gt;2,"",posicao_contratual!M80)))</f>
        <v/>
      </c>
      <c r="Q80" s="155">
        <f>IF(A80="","",IF(posicao_contratual!$Y80="","",IF(posicao_contratual!$Y80&gt;3,"",posicao_contratual!Q80)))</f>
        <v/>
      </c>
      <c r="R80" s="155">
        <f>IF(A80="","",IF(posicao_contratual!$Y80="","",IF(posicao_contratual!$Y80&gt;4,"",posicao_contratual!U80)))</f>
        <v/>
      </c>
      <c r="S80" s="176">
        <f>IF(A80="","",posicao_contratual!G80)</f>
        <v/>
      </c>
      <c r="T80" s="176">
        <f>IF(A80="","",posicao_contratual!K80)</f>
        <v/>
      </c>
      <c r="U80" s="176">
        <f>IF(A80="","",posicao_contratual!O80)</f>
        <v/>
      </c>
      <c r="V80" s="176">
        <f>IF(A80="","",posicao_contratual!S80)</f>
        <v/>
      </c>
      <c r="W80" s="176">
        <f>IF(A80="","",posicao_contratual!W80)</f>
        <v/>
      </c>
    </row>
    <row r="81">
      <c r="A81" s="91">
        <f>IF(itens_Remanesc!A81="","",itens_Remanesc!A81)</f>
        <v/>
      </c>
      <c r="B81" s="90">
        <f>IF(A81="","",IF(posicao_contratual!$Y81="","",IF(posicao_contratual!$Y81&gt;0,"",posicao_contratual!G81)))</f>
        <v/>
      </c>
      <c r="C81" s="335">
        <f>IF(itens_Remanesc!A81="","",IF(posicao_contratual!$Y81="","",IF(posicao_contratual!$Y81&gt;0,"",itens_Remanesc!C81)))</f>
        <v/>
      </c>
      <c r="D81" s="335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335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335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335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>
        <f>IF(OR(A81="",C81="",C81=0,NOT(ISNUMBER($L$6))),"",ROUND($L$6-1,4))</f>
        <v/>
      </c>
      <c r="I81" s="14" t="n"/>
      <c r="J81" s="14" t="n"/>
      <c r="K81" s="14" t="n"/>
      <c r="L81" s="14" t="n"/>
      <c r="M81" s="14" t="n"/>
      <c r="N81" s="155">
        <f>IF(A81="","",IF(posicao_contratual!$Y81="","",IF(posicao_contratual!$Y81&gt;0,"",posicao_contratual!E81)))</f>
        <v/>
      </c>
      <c r="O81" s="155">
        <f>IF(A81="","",IF(posicao_contratual!$Y81="","",IF(posicao_contratual!$Y81&gt;1,"",posicao_contratual!I81)))</f>
        <v/>
      </c>
      <c r="P81" s="155">
        <f>IF(A81="","",IF(posicao_contratual!$Y81="","",IF(posicao_contratual!$Y81&gt;2,"",posicao_contratual!M81)))</f>
        <v/>
      </c>
      <c r="Q81" s="155">
        <f>IF(A81="","",IF(posicao_contratual!$Y81="","",IF(posicao_contratual!$Y81&gt;3,"",posicao_contratual!Q81)))</f>
        <v/>
      </c>
      <c r="R81" s="155">
        <f>IF(A81="","",IF(posicao_contratual!$Y81="","",IF(posicao_contratual!$Y81&gt;4,"",posicao_contratual!U81)))</f>
        <v/>
      </c>
      <c r="S81" s="176">
        <f>IF(A81="","",posicao_contratual!G81)</f>
        <v/>
      </c>
      <c r="T81" s="176">
        <f>IF(A81="","",posicao_contratual!K81)</f>
        <v/>
      </c>
      <c r="U81" s="176">
        <f>IF(A81="","",posicao_contratual!O81)</f>
        <v/>
      </c>
      <c r="V81" s="176">
        <f>IF(A81="","",posicao_contratual!S81)</f>
        <v/>
      </c>
      <c r="W81" s="176">
        <f>IF(A81="","",posicao_contratual!W81)</f>
        <v/>
      </c>
    </row>
    <row r="82">
      <c r="A82" s="91">
        <f>IF(itens_Remanesc!A82="","",itens_Remanesc!A82)</f>
        <v/>
      </c>
      <c r="B82" s="90">
        <f>IF(A82="","",IF(posicao_contratual!$Y82="","",IF(posicao_contratual!$Y82&gt;0,"",posicao_contratual!G82)))</f>
        <v/>
      </c>
      <c r="C82" s="335">
        <f>IF(itens_Remanesc!A82="","",IF(posicao_contratual!$Y82="","",IF(posicao_contratual!$Y82&gt;0,"",itens_Remanesc!C82)))</f>
        <v/>
      </c>
      <c r="D82" s="335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335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335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335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>
        <f>IF(OR(A82="",C82="",C82=0,NOT(ISNUMBER($L$6))),"",ROUND($L$6-1,4))</f>
        <v/>
      </c>
      <c r="I82" s="14" t="n"/>
      <c r="J82" s="14" t="n"/>
      <c r="K82" s="14" t="n"/>
      <c r="L82" s="14" t="n"/>
      <c r="M82" s="14" t="n"/>
      <c r="N82" s="155">
        <f>IF(A82="","",IF(posicao_contratual!$Y82="","",IF(posicao_contratual!$Y82&gt;0,"",posicao_contratual!E82)))</f>
        <v/>
      </c>
      <c r="O82" s="155">
        <f>IF(A82="","",IF(posicao_contratual!$Y82="","",IF(posicao_contratual!$Y82&gt;1,"",posicao_contratual!I82)))</f>
        <v/>
      </c>
      <c r="P82" s="155">
        <f>IF(A82="","",IF(posicao_contratual!$Y82="","",IF(posicao_contratual!$Y82&gt;2,"",posicao_contratual!M82)))</f>
        <v/>
      </c>
      <c r="Q82" s="155">
        <f>IF(A82="","",IF(posicao_contratual!$Y82="","",IF(posicao_contratual!$Y82&gt;3,"",posicao_contratual!Q82)))</f>
        <v/>
      </c>
      <c r="R82" s="155">
        <f>IF(A82="","",IF(posicao_contratual!$Y82="","",IF(posicao_contratual!$Y82&gt;4,"",posicao_contratual!U82)))</f>
        <v/>
      </c>
      <c r="S82" s="176">
        <f>IF(A82="","",posicao_contratual!G82)</f>
        <v/>
      </c>
      <c r="T82" s="176">
        <f>IF(A82="","",posicao_contratual!K82)</f>
        <v/>
      </c>
      <c r="U82" s="176">
        <f>IF(A82="","",posicao_contratual!O82)</f>
        <v/>
      </c>
      <c r="V82" s="176">
        <f>IF(A82="","",posicao_contratual!S82)</f>
        <v/>
      </c>
      <c r="W82" s="176">
        <f>IF(A82="","",posicao_contratual!W82)</f>
        <v/>
      </c>
    </row>
    <row r="83">
      <c r="A83" s="91">
        <f>IF(itens_Remanesc!A83="","",itens_Remanesc!A83)</f>
        <v/>
      </c>
      <c r="B83" s="90">
        <f>IF(A83="","",IF(posicao_contratual!$Y83="","",IF(posicao_contratual!$Y83&gt;0,"",posicao_contratual!G83)))</f>
        <v/>
      </c>
      <c r="C83" s="335">
        <f>IF(itens_Remanesc!A83="","",IF(posicao_contratual!$Y83="","",IF(posicao_contratual!$Y83&gt;0,"",itens_Remanesc!C83)))</f>
        <v/>
      </c>
      <c r="D83" s="335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335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335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335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>
        <f>IF(OR(A83="",C83="",C83=0,NOT(ISNUMBER($L$6))),"",ROUND($L$6-1,4))</f>
        <v/>
      </c>
      <c r="I83" s="14" t="n"/>
      <c r="J83" s="14" t="n"/>
      <c r="K83" s="14" t="n"/>
      <c r="L83" s="14" t="n"/>
      <c r="M83" s="14" t="n"/>
      <c r="N83" s="155">
        <f>IF(A83="","",IF(posicao_contratual!$Y83="","",IF(posicao_contratual!$Y83&gt;0,"",posicao_contratual!E83)))</f>
        <v/>
      </c>
      <c r="O83" s="155">
        <f>IF(A83="","",IF(posicao_contratual!$Y83="","",IF(posicao_contratual!$Y83&gt;1,"",posicao_contratual!I83)))</f>
        <v/>
      </c>
      <c r="P83" s="155">
        <f>IF(A83="","",IF(posicao_contratual!$Y83="","",IF(posicao_contratual!$Y83&gt;2,"",posicao_contratual!M83)))</f>
        <v/>
      </c>
      <c r="Q83" s="155">
        <f>IF(A83="","",IF(posicao_contratual!$Y83="","",IF(posicao_contratual!$Y83&gt;3,"",posicao_contratual!Q83)))</f>
        <v/>
      </c>
      <c r="R83" s="155">
        <f>IF(A83="","",IF(posicao_contratual!$Y83="","",IF(posicao_contratual!$Y83&gt;4,"",posicao_contratual!U83)))</f>
        <v/>
      </c>
      <c r="S83" s="176">
        <f>IF(A83="","",posicao_contratual!G83)</f>
        <v/>
      </c>
      <c r="T83" s="176">
        <f>IF(A83="","",posicao_contratual!K83)</f>
        <v/>
      </c>
      <c r="U83" s="176">
        <f>IF(A83="","",posicao_contratual!O83)</f>
        <v/>
      </c>
      <c r="V83" s="176">
        <f>IF(A83="","",posicao_contratual!S83)</f>
        <v/>
      </c>
      <c r="W83" s="176">
        <f>IF(A83="","",posicao_contratual!W83)</f>
        <v/>
      </c>
    </row>
    <row r="84">
      <c r="A84" s="91">
        <f>IF(itens_Remanesc!A84="","",itens_Remanesc!A84)</f>
        <v/>
      </c>
      <c r="B84" s="90">
        <f>IF(A84="","",IF(posicao_contratual!$Y84="","",IF(posicao_contratual!$Y84&gt;0,"",posicao_contratual!G84)))</f>
        <v/>
      </c>
      <c r="C84" s="335">
        <f>IF(itens_Remanesc!A84="","",IF(posicao_contratual!$Y84="","",IF(posicao_contratual!$Y84&gt;0,"",itens_Remanesc!C84)))</f>
        <v/>
      </c>
      <c r="D84" s="335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335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335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335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>
        <f>IF(OR(A84="",C84="",C84=0,NOT(ISNUMBER($L$6))),"",ROUND($L$6-1,4))</f>
        <v/>
      </c>
      <c r="I84" s="14" t="n"/>
      <c r="J84" s="14" t="n"/>
      <c r="K84" s="14" t="n"/>
      <c r="L84" s="14" t="n"/>
      <c r="M84" s="14" t="n"/>
      <c r="N84" s="155">
        <f>IF(A84="","",IF(posicao_contratual!$Y84="","",IF(posicao_contratual!$Y84&gt;0,"",posicao_contratual!E84)))</f>
        <v/>
      </c>
      <c r="O84" s="155">
        <f>IF(A84="","",IF(posicao_contratual!$Y84="","",IF(posicao_contratual!$Y84&gt;1,"",posicao_contratual!I84)))</f>
        <v/>
      </c>
      <c r="P84" s="155">
        <f>IF(A84="","",IF(posicao_contratual!$Y84="","",IF(posicao_contratual!$Y84&gt;2,"",posicao_contratual!M84)))</f>
        <v/>
      </c>
      <c r="Q84" s="155">
        <f>IF(A84="","",IF(posicao_contratual!$Y84="","",IF(posicao_contratual!$Y84&gt;3,"",posicao_contratual!Q84)))</f>
        <v/>
      </c>
      <c r="R84" s="155">
        <f>IF(A84="","",IF(posicao_contratual!$Y84="","",IF(posicao_contratual!$Y84&gt;4,"",posicao_contratual!U84)))</f>
        <v/>
      </c>
      <c r="S84" s="176">
        <f>IF(A84="","",posicao_contratual!G84)</f>
        <v/>
      </c>
      <c r="T84" s="176">
        <f>IF(A84="","",posicao_contratual!K84)</f>
        <v/>
      </c>
      <c r="U84" s="176">
        <f>IF(A84="","",posicao_contratual!O84)</f>
        <v/>
      </c>
      <c r="V84" s="176">
        <f>IF(A84="","",posicao_contratual!S84)</f>
        <v/>
      </c>
      <c r="W84" s="176">
        <f>IF(A84="","",posicao_contratual!W84)</f>
        <v/>
      </c>
    </row>
    <row r="85">
      <c r="A85" s="91">
        <f>IF(itens_Remanesc!A85="","",itens_Remanesc!A85)</f>
        <v/>
      </c>
      <c r="B85" s="90">
        <f>IF(A85="","",IF(posicao_contratual!$Y85="","",IF(posicao_contratual!$Y85&gt;0,"",posicao_contratual!G85)))</f>
        <v/>
      </c>
      <c r="C85" s="335">
        <f>IF(itens_Remanesc!A85="","",IF(posicao_contratual!$Y85="","",IF(posicao_contratual!$Y85&gt;0,"",itens_Remanesc!C85)))</f>
        <v/>
      </c>
      <c r="D85" s="335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335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335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335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>
        <f>IF(OR(A85="",C85="",C85=0,NOT(ISNUMBER($L$6))),"",ROUND($L$6-1,4))</f>
        <v/>
      </c>
      <c r="I85" s="14" t="n"/>
      <c r="J85" s="14" t="n"/>
      <c r="K85" s="14" t="n"/>
      <c r="L85" s="14" t="n"/>
      <c r="M85" s="14" t="n"/>
      <c r="N85" s="155">
        <f>IF(A85="","",IF(posicao_contratual!$Y85="","",IF(posicao_contratual!$Y85&gt;0,"",posicao_contratual!E85)))</f>
        <v/>
      </c>
      <c r="O85" s="155">
        <f>IF(A85="","",IF(posicao_contratual!$Y85="","",IF(posicao_contratual!$Y85&gt;1,"",posicao_contratual!I85)))</f>
        <v/>
      </c>
      <c r="P85" s="155">
        <f>IF(A85="","",IF(posicao_contratual!$Y85="","",IF(posicao_contratual!$Y85&gt;2,"",posicao_contratual!M85)))</f>
        <v/>
      </c>
      <c r="Q85" s="155">
        <f>IF(A85="","",IF(posicao_contratual!$Y85="","",IF(posicao_contratual!$Y85&gt;3,"",posicao_contratual!Q85)))</f>
        <v/>
      </c>
      <c r="R85" s="155">
        <f>IF(A85="","",IF(posicao_contratual!$Y85="","",IF(posicao_contratual!$Y85&gt;4,"",posicao_contratual!U85)))</f>
        <v/>
      </c>
      <c r="S85" s="176">
        <f>IF(A85="","",posicao_contratual!G85)</f>
        <v/>
      </c>
      <c r="T85" s="176">
        <f>IF(A85="","",posicao_contratual!K85)</f>
        <v/>
      </c>
      <c r="U85" s="176">
        <f>IF(A85="","",posicao_contratual!O85)</f>
        <v/>
      </c>
      <c r="V85" s="176">
        <f>IF(A85="","",posicao_contratual!S85)</f>
        <v/>
      </c>
      <c r="W85" s="176">
        <f>IF(A85="","",posicao_contratual!W85)</f>
        <v/>
      </c>
    </row>
    <row r="86">
      <c r="A86" s="91">
        <f>IF(itens_Remanesc!A86="","",itens_Remanesc!A86)</f>
        <v/>
      </c>
      <c r="B86" s="90">
        <f>IF(A86="","",IF(posicao_contratual!$Y86="","",IF(posicao_contratual!$Y86&gt;0,"",posicao_contratual!G86)))</f>
        <v/>
      </c>
      <c r="C86" s="335">
        <f>IF(itens_Remanesc!A86="","",IF(posicao_contratual!$Y86="","",IF(posicao_contratual!$Y86&gt;0,"",itens_Remanesc!C86)))</f>
        <v/>
      </c>
      <c r="D86" s="335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335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335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335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>
        <f>IF(OR(A86="",C86="",C86=0,NOT(ISNUMBER($L$6))),"",ROUND($L$6-1,4))</f>
        <v/>
      </c>
      <c r="I86" s="14" t="n"/>
      <c r="J86" s="14" t="n"/>
      <c r="K86" s="14" t="n"/>
      <c r="L86" s="14" t="n"/>
      <c r="M86" s="14" t="n"/>
      <c r="N86" s="155">
        <f>IF(A86="","",IF(posicao_contratual!$Y86="","",IF(posicao_contratual!$Y86&gt;0,"",posicao_contratual!E86)))</f>
        <v/>
      </c>
      <c r="O86" s="155">
        <f>IF(A86="","",IF(posicao_contratual!$Y86="","",IF(posicao_contratual!$Y86&gt;1,"",posicao_contratual!I86)))</f>
        <v/>
      </c>
      <c r="P86" s="155">
        <f>IF(A86="","",IF(posicao_contratual!$Y86="","",IF(posicao_contratual!$Y86&gt;2,"",posicao_contratual!M86)))</f>
        <v/>
      </c>
      <c r="Q86" s="155">
        <f>IF(A86="","",IF(posicao_contratual!$Y86="","",IF(posicao_contratual!$Y86&gt;3,"",posicao_contratual!Q86)))</f>
        <v/>
      </c>
      <c r="R86" s="155">
        <f>IF(A86="","",IF(posicao_contratual!$Y86="","",IF(posicao_contratual!$Y86&gt;4,"",posicao_contratual!U86)))</f>
        <v/>
      </c>
      <c r="S86" s="176">
        <f>IF(A86="","",posicao_contratual!G86)</f>
        <v/>
      </c>
      <c r="T86" s="176">
        <f>IF(A86="","",posicao_contratual!K86)</f>
        <v/>
      </c>
      <c r="U86" s="176">
        <f>IF(A86="","",posicao_contratual!O86)</f>
        <v/>
      </c>
      <c r="V86" s="176">
        <f>IF(A86="","",posicao_contratual!S86)</f>
        <v/>
      </c>
      <c r="W86" s="176">
        <f>IF(A86="","",posicao_contratual!W86)</f>
        <v/>
      </c>
    </row>
    <row r="87">
      <c r="A87" s="91">
        <f>IF(itens_Remanesc!A87="","",itens_Remanesc!A87)</f>
        <v/>
      </c>
      <c r="B87" s="90">
        <f>IF(A87="","",IF(posicao_contratual!$Y87="","",IF(posicao_contratual!$Y87&gt;0,"",posicao_contratual!G87)))</f>
        <v/>
      </c>
      <c r="C87" s="335">
        <f>IF(itens_Remanesc!A87="","",IF(posicao_contratual!$Y87="","",IF(posicao_contratual!$Y87&gt;0,"",itens_Remanesc!C87)))</f>
        <v/>
      </c>
      <c r="D87" s="335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335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335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335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>
        <f>IF(OR(A87="",C87="",C87=0,NOT(ISNUMBER($L$6))),"",ROUND($L$6-1,4))</f>
        <v/>
      </c>
      <c r="I87" s="14" t="n"/>
      <c r="J87" s="14" t="n"/>
      <c r="K87" s="14" t="n"/>
      <c r="L87" s="14" t="n"/>
      <c r="M87" s="14" t="n"/>
      <c r="N87" s="155">
        <f>IF(A87="","",IF(posicao_contratual!$Y87="","",IF(posicao_contratual!$Y87&gt;0,"",posicao_contratual!E87)))</f>
        <v/>
      </c>
      <c r="O87" s="155">
        <f>IF(A87="","",IF(posicao_contratual!$Y87="","",IF(posicao_contratual!$Y87&gt;1,"",posicao_contratual!I87)))</f>
        <v/>
      </c>
      <c r="P87" s="155">
        <f>IF(A87="","",IF(posicao_contratual!$Y87="","",IF(posicao_contratual!$Y87&gt;2,"",posicao_contratual!M87)))</f>
        <v/>
      </c>
      <c r="Q87" s="155">
        <f>IF(A87="","",IF(posicao_contratual!$Y87="","",IF(posicao_contratual!$Y87&gt;3,"",posicao_contratual!Q87)))</f>
        <v/>
      </c>
      <c r="R87" s="155">
        <f>IF(A87="","",IF(posicao_contratual!$Y87="","",IF(posicao_contratual!$Y87&gt;4,"",posicao_contratual!U87)))</f>
        <v/>
      </c>
      <c r="S87" s="176">
        <f>IF(A87="","",posicao_contratual!G87)</f>
        <v/>
      </c>
      <c r="T87" s="176">
        <f>IF(A87="","",posicao_contratual!K87)</f>
        <v/>
      </c>
      <c r="U87" s="176">
        <f>IF(A87="","",posicao_contratual!O87)</f>
        <v/>
      </c>
      <c r="V87" s="176">
        <f>IF(A87="","",posicao_contratual!S87)</f>
        <v/>
      </c>
      <c r="W87" s="176">
        <f>IF(A87="","",posicao_contratual!W87)</f>
        <v/>
      </c>
    </row>
    <row r="88">
      <c r="A88" s="91">
        <f>IF(itens_Remanesc!A88="","",itens_Remanesc!A88)</f>
        <v/>
      </c>
      <c r="B88" s="90">
        <f>IF(A88="","",IF(posicao_contratual!$Y88="","",IF(posicao_contratual!$Y88&gt;0,"",posicao_contratual!G88)))</f>
        <v/>
      </c>
      <c r="C88" s="335">
        <f>IF(itens_Remanesc!A88="","",IF(posicao_contratual!$Y88="","",IF(posicao_contratual!$Y88&gt;0,"",itens_Remanesc!C88)))</f>
        <v/>
      </c>
      <c r="D88" s="335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335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335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335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>
        <f>IF(OR(A88="",C88="",C88=0,NOT(ISNUMBER($L$6))),"",ROUND($L$6-1,4))</f>
        <v/>
      </c>
      <c r="I88" s="14" t="n"/>
      <c r="J88" s="14" t="n"/>
      <c r="K88" s="14" t="n"/>
      <c r="L88" s="14" t="n"/>
      <c r="M88" s="14" t="n"/>
      <c r="N88" s="155">
        <f>IF(A88="","",IF(posicao_contratual!$Y88="","",IF(posicao_contratual!$Y88&gt;0,"",posicao_contratual!E88)))</f>
        <v/>
      </c>
      <c r="O88" s="155">
        <f>IF(A88="","",IF(posicao_contratual!$Y88="","",IF(posicao_contratual!$Y88&gt;1,"",posicao_contratual!I88)))</f>
        <v/>
      </c>
      <c r="P88" s="155">
        <f>IF(A88="","",IF(posicao_contratual!$Y88="","",IF(posicao_contratual!$Y88&gt;2,"",posicao_contratual!M88)))</f>
        <v/>
      </c>
      <c r="Q88" s="155">
        <f>IF(A88="","",IF(posicao_contratual!$Y88="","",IF(posicao_contratual!$Y88&gt;3,"",posicao_contratual!Q88)))</f>
        <v/>
      </c>
      <c r="R88" s="155">
        <f>IF(A88="","",IF(posicao_contratual!$Y88="","",IF(posicao_contratual!$Y88&gt;4,"",posicao_contratual!U88)))</f>
        <v/>
      </c>
      <c r="S88" s="176">
        <f>IF(A88="","",posicao_contratual!G88)</f>
        <v/>
      </c>
      <c r="T88" s="176">
        <f>IF(A88="","",posicao_contratual!K88)</f>
        <v/>
      </c>
      <c r="U88" s="176">
        <f>IF(A88="","",posicao_contratual!O88)</f>
        <v/>
      </c>
      <c r="V88" s="176">
        <f>IF(A88="","",posicao_contratual!S88)</f>
        <v/>
      </c>
      <c r="W88" s="176">
        <f>IF(A88="","",posicao_contratual!W88)</f>
        <v/>
      </c>
    </row>
    <row r="89">
      <c r="A89" s="91">
        <f>IF(itens_Remanesc!A89="","",itens_Remanesc!A89)</f>
        <v/>
      </c>
      <c r="B89" s="90">
        <f>IF(A89="","",IF(posicao_contratual!$Y89="","",IF(posicao_contratual!$Y89&gt;0,"",posicao_contratual!G89)))</f>
        <v/>
      </c>
      <c r="C89" s="335">
        <f>IF(itens_Remanesc!A89="","",IF(posicao_contratual!$Y89="","",IF(posicao_contratual!$Y89&gt;0,"",itens_Remanesc!C89)))</f>
        <v/>
      </c>
      <c r="D89" s="335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335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335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335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>
        <f>IF(OR(A89="",C89="",C89=0,NOT(ISNUMBER($L$6))),"",ROUND($L$6-1,4))</f>
        <v/>
      </c>
      <c r="I89" s="14" t="n"/>
      <c r="J89" s="14" t="n"/>
      <c r="K89" s="14" t="n"/>
      <c r="L89" s="14" t="n"/>
      <c r="M89" s="14" t="n"/>
      <c r="N89" s="155">
        <f>IF(A89="","",IF(posicao_contratual!$Y89="","",IF(posicao_contratual!$Y89&gt;0,"",posicao_contratual!E89)))</f>
        <v/>
      </c>
      <c r="O89" s="155">
        <f>IF(A89="","",IF(posicao_contratual!$Y89="","",IF(posicao_contratual!$Y89&gt;1,"",posicao_contratual!I89)))</f>
        <v/>
      </c>
      <c r="P89" s="155">
        <f>IF(A89="","",IF(posicao_contratual!$Y89="","",IF(posicao_contratual!$Y89&gt;2,"",posicao_contratual!M89)))</f>
        <v/>
      </c>
      <c r="Q89" s="155">
        <f>IF(A89="","",IF(posicao_contratual!$Y89="","",IF(posicao_contratual!$Y89&gt;3,"",posicao_contratual!Q89)))</f>
        <v/>
      </c>
      <c r="R89" s="155">
        <f>IF(A89="","",IF(posicao_contratual!$Y89="","",IF(posicao_contratual!$Y89&gt;4,"",posicao_contratual!U89)))</f>
        <v/>
      </c>
      <c r="S89" s="176">
        <f>IF(A89="","",posicao_contratual!G89)</f>
        <v/>
      </c>
      <c r="T89" s="176">
        <f>IF(A89="","",posicao_contratual!K89)</f>
        <v/>
      </c>
      <c r="U89" s="176">
        <f>IF(A89="","",posicao_contratual!O89)</f>
        <v/>
      </c>
      <c r="V89" s="176">
        <f>IF(A89="","",posicao_contratual!S89)</f>
        <v/>
      </c>
      <c r="W89" s="176">
        <f>IF(A89="","",posicao_contratual!W89)</f>
        <v/>
      </c>
    </row>
    <row r="90">
      <c r="A90" s="91">
        <f>IF(itens_Remanesc!A90="","",itens_Remanesc!A90)</f>
        <v/>
      </c>
      <c r="B90" s="90">
        <f>IF(A90="","",IF(posicao_contratual!$Y90="","",IF(posicao_contratual!$Y90&gt;0,"",posicao_contratual!G90)))</f>
        <v/>
      </c>
      <c r="C90" s="335">
        <f>IF(itens_Remanesc!A90="","",IF(posicao_contratual!$Y90="","",IF(posicao_contratual!$Y90&gt;0,"",itens_Remanesc!C90)))</f>
        <v/>
      </c>
      <c r="D90" s="335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335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335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335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>
        <f>IF(OR(A90="",C90="",C90=0,NOT(ISNUMBER($L$6))),"",ROUND($L$6-1,4))</f>
        <v/>
      </c>
      <c r="I90" s="14" t="n"/>
      <c r="J90" s="14" t="n"/>
      <c r="K90" s="14" t="n"/>
      <c r="L90" s="14" t="n"/>
      <c r="M90" s="14" t="n"/>
      <c r="N90" s="155">
        <f>IF(A90="","",IF(posicao_contratual!$Y90="","",IF(posicao_contratual!$Y90&gt;0,"",posicao_contratual!E90)))</f>
        <v/>
      </c>
      <c r="O90" s="155">
        <f>IF(A90="","",IF(posicao_contratual!$Y90="","",IF(posicao_contratual!$Y90&gt;1,"",posicao_contratual!I90)))</f>
        <v/>
      </c>
      <c r="P90" s="155">
        <f>IF(A90="","",IF(posicao_contratual!$Y90="","",IF(posicao_contratual!$Y90&gt;2,"",posicao_contratual!M90)))</f>
        <v/>
      </c>
      <c r="Q90" s="155">
        <f>IF(A90="","",IF(posicao_contratual!$Y90="","",IF(posicao_contratual!$Y90&gt;3,"",posicao_contratual!Q90)))</f>
        <v/>
      </c>
      <c r="R90" s="155">
        <f>IF(A90="","",IF(posicao_contratual!$Y90="","",IF(posicao_contratual!$Y90&gt;4,"",posicao_contratual!U90)))</f>
        <v/>
      </c>
      <c r="S90" s="176">
        <f>IF(A90="","",posicao_contratual!G90)</f>
        <v/>
      </c>
      <c r="T90" s="176">
        <f>IF(A90="","",posicao_contratual!K90)</f>
        <v/>
      </c>
      <c r="U90" s="176">
        <f>IF(A90="","",posicao_contratual!O90)</f>
        <v/>
      </c>
      <c r="V90" s="176">
        <f>IF(A90="","",posicao_contratual!S90)</f>
        <v/>
      </c>
      <c r="W90" s="176">
        <f>IF(A90="","",posicao_contratual!W90)</f>
        <v/>
      </c>
    </row>
    <row r="91">
      <c r="A91" s="91">
        <f>IF(itens_Remanesc!A91="","",itens_Remanesc!A91)</f>
        <v/>
      </c>
      <c r="B91" s="90">
        <f>IF(A91="","",IF(posicao_contratual!$Y91="","",IF(posicao_contratual!$Y91&gt;0,"",posicao_contratual!G91)))</f>
        <v/>
      </c>
      <c r="C91" s="335">
        <f>IF(itens_Remanesc!A91="","",IF(posicao_contratual!$Y91="","",IF(posicao_contratual!$Y91&gt;0,"",itens_Remanesc!C91)))</f>
        <v/>
      </c>
      <c r="D91" s="335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335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335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335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>
        <f>IF(OR(A91="",C91="",C91=0,NOT(ISNUMBER($L$6))),"",ROUND($L$6-1,4))</f>
        <v/>
      </c>
      <c r="I91" s="14" t="n"/>
      <c r="J91" s="14" t="n"/>
      <c r="K91" s="14" t="n"/>
      <c r="L91" s="14" t="n"/>
      <c r="M91" s="14" t="n"/>
      <c r="N91" s="155">
        <f>IF(A91="","",IF(posicao_contratual!$Y91="","",IF(posicao_contratual!$Y91&gt;0,"",posicao_contratual!E91)))</f>
        <v/>
      </c>
      <c r="O91" s="155">
        <f>IF(A91="","",IF(posicao_contratual!$Y91="","",IF(posicao_contratual!$Y91&gt;1,"",posicao_contratual!I91)))</f>
        <v/>
      </c>
      <c r="P91" s="155">
        <f>IF(A91="","",IF(posicao_contratual!$Y91="","",IF(posicao_contratual!$Y91&gt;2,"",posicao_contratual!M91)))</f>
        <v/>
      </c>
      <c r="Q91" s="155">
        <f>IF(A91="","",IF(posicao_contratual!$Y91="","",IF(posicao_contratual!$Y91&gt;3,"",posicao_contratual!Q91)))</f>
        <v/>
      </c>
      <c r="R91" s="155">
        <f>IF(A91="","",IF(posicao_contratual!$Y91="","",IF(posicao_contratual!$Y91&gt;4,"",posicao_contratual!U91)))</f>
        <v/>
      </c>
      <c r="S91" s="176">
        <f>IF(A91="","",posicao_contratual!G91)</f>
        <v/>
      </c>
      <c r="T91" s="176">
        <f>IF(A91="","",posicao_contratual!K91)</f>
        <v/>
      </c>
      <c r="U91" s="176">
        <f>IF(A91="","",posicao_contratual!O91)</f>
        <v/>
      </c>
      <c r="V91" s="176">
        <f>IF(A91="","",posicao_contratual!S91)</f>
        <v/>
      </c>
      <c r="W91" s="176">
        <f>IF(A91="","",posicao_contratual!W91)</f>
        <v/>
      </c>
    </row>
    <row r="92">
      <c r="A92" s="91">
        <f>IF(itens_Remanesc!A92="","",itens_Remanesc!A92)</f>
        <v/>
      </c>
      <c r="B92" s="90">
        <f>IF(A92="","",IF(posicao_contratual!$Y92="","",IF(posicao_contratual!$Y92&gt;0,"",posicao_contratual!G92)))</f>
        <v/>
      </c>
      <c r="C92" s="335">
        <f>IF(itens_Remanesc!A92="","",IF(posicao_contratual!$Y92="","",IF(posicao_contratual!$Y92&gt;0,"",itens_Remanesc!C92)))</f>
        <v/>
      </c>
      <c r="D92" s="335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335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335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335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>
        <f>IF(OR(A92="",C92="",C92=0,NOT(ISNUMBER($L$6))),"",ROUND($L$6-1,4))</f>
        <v/>
      </c>
      <c r="I92" s="14" t="n"/>
      <c r="J92" s="14" t="n"/>
      <c r="K92" s="14" t="n"/>
      <c r="L92" s="14" t="n"/>
      <c r="M92" s="14" t="n"/>
      <c r="N92" s="155">
        <f>IF(A92="","",IF(posicao_contratual!$Y92="","",IF(posicao_contratual!$Y92&gt;0,"",posicao_contratual!E92)))</f>
        <v/>
      </c>
      <c r="O92" s="155">
        <f>IF(A92="","",IF(posicao_contratual!$Y92="","",IF(posicao_contratual!$Y92&gt;1,"",posicao_contratual!I92)))</f>
        <v/>
      </c>
      <c r="P92" s="155">
        <f>IF(A92="","",IF(posicao_contratual!$Y92="","",IF(posicao_contratual!$Y92&gt;2,"",posicao_contratual!M92)))</f>
        <v/>
      </c>
      <c r="Q92" s="155">
        <f>IF(A92="","",IF(posicao_contratual!$Y92="","",IF(posicao_contratual!$Y92&gt;3,"",posicao_contratual!Q92)))</f>
        <v/>
      </c>
      <c r="R92" s="155">
        <f>IF(A92="","",IF(posicao_contratual!$Y92="","",IF(posicao_contratual!$Y92&gt;4,"",posicao_contratual!U92)))</f>
        <v/>
      </c>
      <c r="S92" s="176">
        <f>IF(A92="","",posicao_contratual!G92)</f>
        <v/>
      </c>
      <c r="T92" s="176">
        <f>IF(A92="","",posicao_contratual!K92)</f>
        <v/>
      </c>
      <c r="U92" s="176">
        <f>IF(A92="","",posicao_contratual!O92)</f>
        <v/>
      </c>
      <c r="V92" s="176">
        <f>IF(A92="","",posicao_contratual!S92)</f>
        <v/>
      </c>
      <c r="W92" s="176">
        <f>IF(A92="","",posicao_contratual!W92)</f>
        <v/>
      </c>
    </row>
    <row r="93">
      <c r="A93" s="91">
        <f>IF(itens_Remanesc!A93="","",itens_Remanesc!A93)</f>
        <v/>
      </c>
      <c r="B93" s="90">
        <f>IF(A93="","",IF(posicao_contratual!$Y93="","",IF(posicao_contratual!$Y93&gt;0,"",posicao_contratual!G93)))</f>
        <v/>
      </c>
      <c r="C93" s="335">
        <f>IF(itens_Remanesc!A93="","",IF(posicao_contratual!$Y93="","",IF(posicao_contratual!$Y93&gt;0,"",itens_Remanesc!C93)))</f>
        <v/>
      </c>
      <c r="D93" s="335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335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335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335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>
        <f>IF(OR(A93="",C93="",C93=0,NOT(ISNUMBER($L$6))),"",ROUND($L$6-1,4))</f>
        <v/>
      </c>
      <c r="I93" s="14" t="n"/>
      <c r="J93" s="14" t="n"/>
      <c r="K93" s="14" t="n"/>
      <c r="L93" s="14" t="n"/>
      <c r="M93" s="14" t="n"/>
      <c r="N93" s="155">
        <f>IF(A93="","",IF(posicao_contratual!$Y93="","",IF(posicao_contratual!$Y93&gt;0,"",posicao_contratual!E93)))</f>
        <v/>
      </c>
      <c r="O93" s="155">
        <f>IF(A93="","",IF(posicao_contratual!$Y93="","",IF(posicao_contratual!$Y93&gt;1,"",posicao_contratual!I93)))</f>
        <v/>
      </c>
      <c r="P93" s="155">
        <f>IF(A93="","",IF(posicao_contratual!$Y93="","",IF(posicao_contratual!$Y93&gt;2,"",posicao_contratual!M93)))</f>
        <v/>
      </c>
      <c r="Q93" s="155">
        <f>IF(A93="","",IF(posicao_contratual!$Y93="","",IF(posicao_contratual!$Y93&gt;3,"",posicao_contratual!Q93)))</f>
        <v/>
      </c>
      <c r="R93" s="155">
        <f>IF(A93="","",IF(posicao_contratual!$Y93="","",IF(posicao_contratual!$Y93&gt;4,"",posicao_contratual!U93)))</f>
        <v/>
      </c>
      <c r="S93" s="176">
        <f>IF(A93="","",posicao_contratual!G93)</f>
        <v/>
      </c>
      <c r="T93" s="176">
        <f>IF(A93="","",posicao_contratual!K93)</f>
        <v/>
      </c>
      <c r="U93" s="176">
        <f>IF(A93="","",posicao_contratual!O93)</f>
        <v/>
      </c>
      <c r="V93" s="176">
        <f>IF(A93="","",posicao_contratual!S93)</f>
        <v/>
      </c>
      <c r="W93" s="176">
        <f>IF(A93="","",posicao_contratual!W93)</f>
        <v/>
      </c>
    </row>
    <row r="94">
      <c r="A94" s="91">
        <f>IF(itens_Remanesc!A94="","",itens_Remanesc!A94)</f>
        <v/>
      </c>
      <c r="B94" s="90">
        <f>IF(A94="","",IF(posicao_contratual!$Y94="","",IF(posicao_contratual!$Y94&gt;0,"",posicao_contratual!G94)))</f>
        <v/>
      </c>
      <c r="C94" s="335">
        <f>IF(itens_Remanesc!A94="","",IF(posicao_contratual!$Y94="","",IF(posicao_contratual!$Y94&gt;0,"",itens_Remanesc!C94)))</f>
        <v/>
      </c>
      <c r="D94" s="335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335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335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335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>
        <f>IF(OR(A94="",C94="",C94=0,NOT(ISNUMBER($L$6))),"",ROUND($L$6-1,4))</f>
        <v/>
      </c>
      <c r="I94" s="14" t="n"/>
      <c r="J94" s="14" t="n"/>
      <c r="K94" s="14" t="n"/>
      <c r="L94" s="14" t="n"/>
      <c r="M94" s="14" t="n"/>
      <c r="N94" s="155">
        <f>IF(A94="","",IF(posicao_contratual!$Y94="","",IF(posicao_contratual!$Y94&gt;0,"",posicao_contratual!E94)))</f>
        <v/>
      </c>
      <c r="O94" s="155">
        <f>IF(A94="","",IF(posicao_contratual!$Y94="","",IF(posicao_contratual!$Y94&gt;1,"",posicao_contratual!I94)))</f>
        <v/>
      </c>
      <c r="P94" s="155">
        <f>IF(A94="","",IF(posicao_contratual!$Y94="","",IF(posicao_contratual!$Y94&gt;2,"",posicao_contratual!M94)))</f>
        <v/>
      </c>
      <c r="Q94" s="155">
        <f>IF(A94="","",IF(posicao_contratual!$Y94="","",IF(posicao_contratual!$Y94&gt;3,"",posicao_contratual!Q94)))</f>
        <v/>
      </c>
      <c r="R94" s="155">
        <f>IF(A94="","",IF(posicao_contratual!$Y94="","",IF(posicao_contratual!$Y94&gt;4,"",posicao_contratual!U94)))</f>
        <v/>
      </c>
      <c r="S94" s="176">
        <f>IF(A94="","",posicao_contratual!G94)</f>
        <v/>
      </c>
      <c r="T94" s="176">
        <f>IF(A94="","",posicao_contratual!K94)</f>
        <v/>
      </c>
      <c r="U94" s="176">
        <f>IF(A94="","",posicao_contratual!O94)</f>
        <v/>
      </c>
      <c r="V94" s="176">
        <f>IF(A94="","",posicao_contratual!S94)</f>
        <v/>
      </c>
      <c r="W94" s="176">
        <f>IF(A94="","",posicao_contratual!W94)</f>
        <v/>
      </c>
    </row>
    <row r="95">
      <c r="A95" s="91">
        <f>IF(itens_Remanesc!A95="","",itens_Remanesc!A95)</f>
        <v/>
      </c>
      <c r="B95" s="90">
        <f>IF(A95="","",IF(posicao_contratual!$Y95="","",IF(posicao_contratual!$Y95&gt;0,"",posicao_contratual!G95)))</f>
        <v/>
      </c>
      <c r="C95" s="335">
        <f>IF(itens_Remanesc!A95="","",IF(posicao_contratual!$Y95="","",IF(posicao_contratual!$Y95&gt;0,"",itens_Remanesc!C95)))</f>
        <v/>
      </c>
      <c r="D95" s="335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335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335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335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>
        <f>IF(OR(A95="",C95="",C95=0,NOT(ISNUMBER($L$6))),"",ROUND($L$6-1,4))</f>
        <v/>
      </c>
      <c r="I95" s="14" t="n"/>
      <c r="J95" s="14" t="n"/>
      <c r="K95" s="14" t="n"/>
      <c r="L95" s="14" t="n"/>
      <c r="M95" s="14" t="n"/>
      <c r="N95" s="155">
        <f>IF(A95="","",IF(posicao_contratual!$Y95="","",IF(posicao_contratual!$Y95&gt;0,"",posicao_contratual!E95)))</f>
        <v/>
      </c>
      <c r="O95" s="155">
        <f>IF(A95="","",IF(posicao_contratual!$Y95="","",IF(posicao_contratual!$Y95&gt;1,"",posicao_contratual!I95)))</f>
        <v/>
      </c>
      <c r="P95" s="155">
        <f>IF(A95="","",IF(posicao_contratual!$Y95="","",IF(posicao_contratual!$Y95&gt;2,"",posicao_contratual!M95)))</f>
        <v/>
      </c>
      <c r="Q95" s="155">
        <f>IF(A95="","",IF(posicao_contratual!$Y95="","",IF(posicao_contratual!$Y95&gt;3,"",posicao_contratual!Q95)))</f>
        <v/>
      </c>
      <c r="R95" s="155">
        <f>IF(A95="","",IF(posicao_contratual!$Y95="","",IF(posicao_contratual!$Y95&gt;4,"",posicao_contratual!U95)))</f>
        <v/>
      </c>
      <c r="S95" s="176">
        <f>IF(A95="","",posicao_contratual!G95)</f>
        <v/>
      </c>
      <c r="T95" s="176">
        <f>IF(A95="","",posicao_contratual!K95)</f>
        <v/>
      </c>
      <c r="U95" s="176">
        <f>IF(A95="","",posicao_contratual!O95)</f>
        <v/>
      </c>
      <c r="V95" s="176">
        <f>IF(A95="","",posicao_contratual!S95)</f>
        <v/>
      </c>
      <c r="W95" s="176">
        <f>IF(A95="","",posicao_contratual!W95)</f>
        <v/>
      </c>
    </row>
    <row r="96">
      <c r="A96" s="91">
        <f>IF(itens_Remanesc!A96="","",itens_Remanesc!A96)</f>
        <v/>
      </c>
      <c r="B96" s="90">
        <f>IF(A96="","",IF(posicao_contratual!$Y96="","",IF(posicao_contratual!$Y96&gt;0,"",posicao_contratual!G96)))</f>
        <v/>
      </c>
      <c r="C96" s="335">
        <f>IF(itens_Remanesc!A96="","",IF(posicao_contratual!$Y96="","",IF(posicao_contratual!$Y96&gt;0,"",itens_Remanesc!C96)))</f>
        <v/>
      </c>
      <c r="D96" s="335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335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335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335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>
        <f>IF(OR(A96="",C96="",C96=0,NOT(ISNUMBER($L$6))),"",ROUND($L$6-1,4))</f>
        <v/>
      </c>
      <c r="I96" s="14" t="n"/>
      <c r="J96" s="14" t="n"/>
      <c r="K96" s="14" t="n"/>
      <c r="L96" s="14" t="n"/>
      <c r="M96" s="14" t="n"/>
      <c r="N96" s="155">
        <f>IF(A96="","",IF(posicao_contratual!$Y96="","",IF(posicao_contratual!$Y96&gt;0,"",posicao_contratual!E96)))</f>
        <v/>
      </c>
      <c r="O96" s="155">
        <f>IF(A96="","",IF(posicao_contratual!$Y96="","",IF(posicao_contratual!$Y96&gt;1,"",posicao_contratual!I96)))</f>
        <v/>
      </c>
      <c r="P96" s="155">
        <f>IF(A96="","",IF(posicao_contratual!$Y96="","",IF(posicao_contratual!$Y96&gt;2,"",posicao_contratual!M96)))</f>
        <v/>
      </c>
      <c r="Q96" s="155">
        <f>IF(A96="","",IF(posicao_contratual!$Y96="","",IF(posicao_contratual!$Y96&gt;3,"",posicao_contratual!Q96)))</f>
        <v/>
      </c>
      <c r="R96" s="155">
        <f>IF(A96="","",IF(posicao_contratual!$Y96="","",IF(posicao_contratual!$Y96&gt;4,"",posicao_contratual!U96)))</f>
        <v/>
      </c>
      <c r="S96" s="176">
        <f>IF(A96="","",posicao_contratual!G96)</f>
        <v/>
      </c>
      <c r="T96" s="176">
        <f>IF(A96="","",posicao_contratual!K96)</f>
        <v/>
      </c>
      <c r="U96" s="176">
        <f>IF(A96="","",posicao_contratual!O96)</f>
        <v/>
      </c>
      <c r="V96" s="176">
        <f>IF(A96="","",posicao_contratual!S96)</f>
        <v/>
      </c>
      <c r="W96" s="176">
        <f>IF(A96="","",posicao_contratual!W96)</f>
        <v/>
      </c>
    </row>
    <row r="97">
      <c r="A97" s="91">
        <f>IF(itens_Remanesc!A97="","",itens_Remanesc!A97)</f>
        <v/>
      </c>
      <c r="B97" s="90">
        <f>IF(A97="","",IF(posicao_contratual!$Y97="","",IF(posicao_contratual!$Y97&gt;0,"",posicao_contratual!G97)))</f>
        <v/>
      </c>
      <c r="C97" s="335">
        <f>IF(itens_Remanesc!A97="","",IF(posicao_contratual!$Y97="","",IF(posicao_contratual!$Y97&gt;0,"",itens_Remanesc!C97)))</f>
        <v/>
      </c>
      <c r="D97" s="335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335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335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335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>
        <f>IF(OR(A97="",C97="",C97=0,NOT(ISNUMBER($L$6))),"",ROUND($L$6-1,4))</f>
        <v/>
      </c>
      <c r="I97" s="14" t="n"/>
      <c r="J97" s="14" t="n"/>
      <c r="K97" s="14" t="n"/>
      <c r="L97" s="14" t="n"/>
      <c r="M97" s="14" t="n"/>
      <c r="N97" s="155">
        <f>IF(A97="","",IF(posicao_contratual!$Y97="","",IF(posicao_contratual!$Y97&gt;0,"",posicao_contratual!E97)))</f>
        <v/>
      </c>
      <c r="O97" s="155">
        <f>IF(A97="","",IF(posicao_contratual!$Y97="","",IF(posicao_contratual!$Y97&gt;1,"",posicao_contratual!I97)))</f>
        <v/>
      </c>
      <c r="P97" s="155">
        <f>IF(A97="","",IF(posicao_contratual!$Y97="","",IF(posicao_contratual!$Y97&gt;2,"",posicao_contratual!M97)))</f>
        <v/>
      </c>
      <c r="Q97" s="155">
        <f>IF(A97="","",IF(posicao_contratual!$Y97="","",IF(posicao_contratual!$Y97&gt;3,"",posicao_contratual!Q97)))</f>
        <v/>
      </c>
      <c r="R97" s="155">
        <f>IF(A97="","",IF(posicao_contratual!$Y97="","",IF(posicao_contratual!$Y97&gt;4,"",posicao_contratual!U97)))</f>
        <v/>
      </c>
      <c r="S97" s="176">
        <f>IF(A97="","",posicao_contratual!G97)</f>
        <v/>
      </c>
      <c r="T97" s="176">
        <f>IF(A97="","",posicao_contratual!K97)</f>
        <v/>
      </c>
      <c r="U97" s="176">
        <f>IF(A97="","",posicao_contratual!O97)</f>
        <v/>
      </c>
      <c r="V97" s="176">
        <f>IF(A97="","",posicao_contratual!S97)</f>
        <v/>
      </c>
      <c r="W97" s="176">
        <f>IF(A97="","",posicao_contratual!W97)</f>
        <v/>
      </c>
    </row>
    <row r="98">
      <c r="A98" s="91">
        <f>IF(itens_Remanesc!A98="","",itens_Remanesc!A98)</f>
        <v/>
      </c>
      <c r="B98" s="90">
        <f>IF(A98="","",IF(posicao_contratual!$Y98="","",IF(posicao_contratual!$Y98&gt;0,"",posicao_contratual!G98)))</f>
        <v/>
      </c>
      <c r="C98" s="335">
        <f>IF(itens_Remanesc!A98="","",IF(posicao_contratual!$Y98="","",IF(posicao_contratual!$Y98&gt;0,"",itens_Remanesc!C98)))</f>
        <v/>
      </c>
      <c r="D98" s="335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335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335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335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>
        <f>IF(OR(A98="",C98="",C98=0,NOT(ISNUMBER($L$6))),"",ROUND($L$6-1,4))</f>
        <v/>
      </c>
      <c r="I98" s="14" t="n"/>
      <c r="J98" s="14" t="n"/>
      <c r="K98" s="14" t="n"/>
      <c r="L98" s="14" t="n"/>
      <c r="M98" s="14" t="n"/>
      <c r="N98" s="155">
        <f>IF(A98="","",IF(posicao_contratual!$Y98="","",IF(posicao_contratual!$Y98&gt;0,"",posicao_contratual!E98)))</f>
        <v/>
      </c>
      <c r="O98" s="155">
        <f>IF(A98="","",IF(posicao_contratual!$Y98="","",IF(posicao_contratual!$Y98&gt;1,"",posicao_contratual!I98)))</f>
        <v/>
      </c>
      <c r="P98" s="155">
        <f>IF(A98="","",IF(posicao_contratual!$Y98="","",IF(posicao_contratual!$Y98&gt;2,"",posicao_contratual!M98)))</f>
        <v/>
      </c>
      <c r="Q98" s="155">
        <f>IF(A98="","",IF(posicao_contratual!$Y98="","",IF(posicao_contratual!$Y98&gt;3,"",posicao_contratual!Q98)))</f>
        <v/>
      </c>
      <c r="R98" s="155">
        <f>IF(A98="","",IF(posicao_contratual!$Y98="","",IF(posicao_contratual!$Y98&gt;4,"",posicao_contratual!U98)))</f>
        <v/>
      </c>
      <c r="S98" s="176">
        <f>IF(A98="","",posicao_contratual!G98)</f>
        <v/>
      </c>
      <c r="T98" s="176">
        <f>IF(A98="","",posicao_contratual!K98)</f>
        <v/>
      </c>
      <c r="U98" s="176">
        <f>IF(A98="","",posicao_contratual!O98)</f>
        <v/>
      </c>
      <c r="V98" s="176">
        <f>IF(A98="","",posicao_contratual!S98)</f>
        <v/>
      </c>
      <c r="W98" s="176">
        <f>IF(A98="","",posicao_contratual!W98)</f>
        <v/>
      </c>
    </row>
    <row r="99">
      <c r="A99" s="91">
        <f>IF(itens_Remanesc!A99="","",itens_Remanesc!A99)</f>
        <v/>
      </c>
      <c r="B99" s="90">
        <f>IF(A99="","",IF(posicao_contratual!$Y99="","",IF(posicao_contratual!$Y99&gt;0,"",posicao_contratual!G99)))</f>
        <v/>
      </c>
      <c r="C99" s="335">
        <f>IF(itens_Remanesc!A99="","",IF(posicao_contratual!$Y99="","",IF(posicao_contratual!$Y99&gt;0,"",itens_Remanesc!C99)))</f>
        <v/>
      </c>
      <c r="D99" s="335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335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335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335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>
        <f>IF(OR(A99="",C99="",C99=0,NOT(ISNUMBER($L$6))),"",ROUND($L$6-1,4))</f>
        <v/>
      </c>
      <c r="I99" s="14" t="n"/>
      <c r="J99" s="14" t="n"/>
      <c r="K99" s="14" t="n"/>
      <c r="L99" s="14" t="n"/>
      <c r="M99" s="14" t="n"/>
      <c r="N99" s="155">
        <f>IF(A99="","",IF(posicao_contratual!$Y99="","",IF(posicao_contratual!$Y99&gt;0,"",posicao_contratual!E99)))</f>
        <v/>
      </c>
      <c r="O99" s="155">
        <f>IF(A99="","",IF(posicao_contratual!$Y99="","",IF(posicao_contratual!$Y99&gt;1,"",posicao_contratual!I99)))</f>
        <v/>
      </c>
      <c r="P99" s="155">
        <f>IF(A99="","",IF(posicao_contratual!$Y99="","",IF(posicao_contratual!$Y99&gt;2,"",posicao_contratual!M99)))</f>
        <v/>
      </c>
      <c r="Q99" s="155">
        <f>IF(A99="","",IF(posicao_contratual!$Y99="","",IF(posicao_contratual!$Y99&gt;3,"",posicao_contratual!Q99)))</f>
        <v/>
      </c>
      <c r="R99" s="155">
        <f>IF(A99="","",IF(posicao_contratual!$Y99="","",IF(posicao_contratual!$Y99&gt;4,"",posicao_contratual!U99)))</f>
        <v/>
      </c>
      <c r="S99" s="176">
        <f>IF(A99="","",posicao_contratual!G99)</f>
        <v/>
      </c>
      <c r="T99" s="176">
        <f>IF(A99="","",posicao_contratual!K99)</f>
        <v/>
      </c>
      <c r="U99" s="176">
        <f>IF(A99="","",posicao_contratual!O99)</f>
        <v/>
      </c>
      <c r="V99" s="176">
        <f>IF(A99="","",posicao_contratual!S99)</f>
        <v/>
      </c>
      <c r="W99" s="176">
        <f>IF(A99="","",posicao_contratual!W99)</f>
        <v/>
      </c>
    </row>
    <row r="100">
      <c r="A100" s="91">
        <f>IF(itens_Remanesc!A100="","",itens_Remanesc!A100)</f>
        <v/>
      </c>
      <c r="B100" s="90">
        <f>IF(A100="","",IF(posicao_contratual!$Y100="","",IF(posicao_contratual!$Y100&gt;0,"",posicao_contratual!G100)))</f>
        <v/>
      </c>
      <c r="C100" s="335">
        <f>IF(itens_Remanesc!A100="","",IF(posicao_contratual!$Y100="","",IF(posicao_contratual!$Y100&gt;0,"",itens_Remanesc!C100)))</f>
        <v/>
      </c>
      <c r="D100" s="335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335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335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335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>
        <f>IF(OR(A100="",C100="",C100=0,NOT(ISNUMBER($L$6))),"",ROUND($L$6-1,4))</f>
        <v/>
      </c>
      <c r="I100" s="14" t="n"/>
      <c r="J100" s="14" t="n"/>
      <c r="K100" s="14" t="n"/>
      <c r="L100" s="14" t="n"/>
      <c r="M100" s="14" t="n"/>
      <c r="N100" s="155">
        <f>IF(A100="","",IF(posicao_contratual!$Y100="","",IF(posicao_contratual!$Y100&gt;0,"",posicao_contratual!E100)))</f>
        <v/>
      </c>
      <c r="O100" s="155">
        <f>IF(A100="","",IF(posicao_contratual!$Y100="","",IF(posicao_contratual!$Y100&gt;1,"",posicao_contratual!I100)))</f>
        <v/>
      </c>
      <c r="P100" s="155">
        <f>IF(A100="","",IF(posicao_contratual!$Y100="","",IF(posicao_contratual!$Y100&gt;2,"",posicao_contratual!M100)))</f>
        <v/>
      </c>
      <c r="Q100" s="155">
        <f>IF(A100="","",IF(posicao_contratual!$Y100="","",IF(posicao_contratual!$Y100&gt;3,"",posicao_contratual!Q100)))</f>
        <v/>
      </c>
      <c r="R100" s="155">
        <f>IF(A100="","",IF(posicao_contratual!$Y100="","",IF(posicao_contratual!$Y100&gt;4,"",posicao_contratual!U100)))</f>
        <v/>
      </c>
      <c r="S100" s="176">
        <f>IF(A100="","",posicao_contratual!G100)</f>
        <v/>
      </c>
      <c r="T100" s="176">
        <f>IF(A100="","",posicao_contratual!K100)</f>
        <v/>
      </c>
      <c r="U100" s="176">
        <f>IF(A100="","",posicao_contratual!O100)</f>
        <v/>
      </c>
      <c r="V100" s="176">
        <f>IF(A100="","",posicao_contratual!S100)</f>
        <v/>
      </c>
      <c r="W100" s="176">
        <f>IF(A100="","",posicao_contratual!W100)</f>
        <v/>
      </c>
    </row>
    <row r="101">
      <c r="A101" s="91">
        <f>IF(itens_Remanesc!A101="","",itens_Remanesc!A101)</f>
        <v/>
      </c>
      <c r="B101" s="90">
        <f>IF(A101="","",IF(posicao_contratual!$Y101="","",IF(posicao_contratual!$Y101&gt;0,"",posicao_contratual!G101)))</f>
        <v/>
      </c>
      <c r="C101" s="335">
        <f>IF(itens_Remanesc!A101="","",IF(posicao_contratual!$Y101="","",IF(posicao_contratual!$Y101&gt;0,"",itens_Remanesc!C101)))</f>
        <v/>
      </c>
      <c r="D101" s="335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335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335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335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>
        <f>IF(OR(A101="",C101="",C101=0,NOT(ISNUMBER($L$6))),"",ROUND($L$6-1,4))</f>
        <v/>
      </c>
      <c r="I101" s="13" t="n"/>
      <c r="J101" s="13" t="n"/>
      <c r="K101" s="13" t="n"/>
      <c r="L101" s="13" t="n"/>
      <c r="M101" s="13" t="n"/>
      <c r="N101" s="155">
        <f>IF(A101="","",IF(posicao_contratual!$Y101="","",IF(posicao_contratual!$Y101&gt;0,"",posicao_contratual!E101)))</f>
        <v/>
      </c>
      <c r="O101" s="155">
        <f>IF(A101="","",IF(posicao_contratual!$Y101="","",IF(posicao_contratual!$Y101&gt;1,"",posicao_contratual!I101)))</f>
        <v/>
      </c>
      <c r="P101" s="155">
        <f>IF(A101="","",IF(posicao_contratual!$Y101="","",IF(posicao_contratual!$Y101&gt;2,"",posicao_contratual!M101)))</f>
        <v/>
      </c>
      <c r="Q101" s="155">
        <f>IF(A101="","",IF(posicao_contratual!$Y101="","",IF(posicao_contratual!$Y101&gt;3,"",posicao_contratual!Q101)))</f>
        <v/>
      </c>
      <c r="R101" s="155">
        <f>IF(A101="","",IF(posicao_contratual!$Y101="","",IF(posicao_contratual!$Y101&gt;4,"",posicao_contratual!U101)))</f>
        <v/>
      </c>
      <c r="S101" s="176">
        <f>IF(A101="","",posicao_contratual!G101)</f>
        <v/>
      </c>
      <c r="T101" s="176">
        <f>IF(A101="","",posicao_contratual!K101)</f>
        <v/>
      </c>
      <c r="U101" s="176">
        <f>IF(A101="","",posicao_contratual!O101)</f>
        <v/>
      </c>
      <c r="V101" s="176">
        <f>IF(A101="","",posicao_contratual!S101)</f>
        <v/>
      </c>
      <c r="W101" s="176">
        <f>IF(A101="","",posicao_contratual!W101)</f>
        <v/>
      </c>
    </row>
    <row r="102">
      <c r="A102" s="91">
        <f>IF(itens_Remanesc!A102="","",itens_Remanesc!A102)</f>
        <v/>
      </c>
      <c r="B102" s="90">
        <f>IF(A102="","",IF(posicao_contratual!$Y102="","",IF(posicao_contratual!$Y102&gt;0,"",posicao_contratual!G102)))</f>
        <v/>
      </c>
      <c r="C102" s="335">
        <f>IF(itens_Remanesc!A102="","",IF(posicao_contratual!$Y102="","",IF(posicao_contratual!$Y102&gt;0,"",itens_Remanesc!C102)))</f>
        <v/>
      </c>
      <c r="D102" s="335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335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335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335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>
        <f>IF(OR(A102="",C102="",C102=0,NOT(ISNUMBER($L$6))),"",ROUND($L$6-1,4))</f>
        <v/>
      </c>
      <c r="I102" s="13" t="n"/>
      <c r="J102" s="13" t="n"/>
      <c r="K102" s="13" t="n"/>
      <c r="L102" s="13" t="n"/>
      <c r="M102" s="13" t="n"/>
      <c r="N102" s="155">
        <f>IF(A102="","",IF(posicao_contratual!$Y102="","",IF(posicao_contratual!$Y102&gt;0,"",posicao_contratual!E102)))</f>
        <v/>
      </c>
      <c r="O102" s="155">
        <f>IF(A102="","",IF(posicao_contratual!$Y102="","",IF(posicao_contratual!$Y102&gt;1,"",posicao_contratual!I102)))</f>
        <v/>
      </c>
      <c r="P102" s="155">
        <f>IF(A102="","",IF(posicao_contratual!$Y102="","",IF(posicao_contratual!$Y102&gt;2,"",posicao_contratual!M102)))</f>
        <v/>
      </c>
      <c r="Q102" s="155">
        <f>IF(A102="","",IF(posicao_contratual!$Y102="","",IF(posicao_contratual!$Y102&gt;3,"",posicao_contratual!Q102)))</f>
        <v/>
      </c>
      <c r="R102" s="155">
        <f>IF(A102="","",IF(posicao_contratual!$Y102="","",IF(posicao_contratual!$Y102&gt;4,"",posicao_contratual!U102)))</f>
        <v/>
      </c>
      <c r="S102" s="176">
        <f>IF(A102="","",posicao_contratual!G102)</f>
        <v/>
      </c>
      <c r="T102" s="176">
        <f>IF(A102="","",posicao_contratual!K102)</f>
        <v/>
      </c>
      <c r="U102" s="176">
        <f>IF(A102="","",posicao_contratual!O102)</f>
        <v/>
      </c>
      <c r="V102" s="176">
        <f>IF(A102="","",posicao_contratual!S102)</f>
        <v/>
      </c>
      <c r="W102" s="176">
        <f>IF(A102="","",posicao_contratual!W102)</f>
        <v/>
      </c>
    </row>
    <row r="103">
      <c r="A103" s="91">
        <f>IF(itens_Remanesc!A103="","",itens_Remanesc!A103)</f>
        <v/>
      </c>
      <c r="B103" s="90">
        <f>IF(A103="","",IF(posicao_contratual!$Y103="","",IF(posicao_contratual!$Y103&gt;0,"",posicao_contratual!G103)))</f>
        <v/>
      </c>
      <c r="C103" s="335">
        <f>IF(itens_Remanesc!A103="","",IF(posicao_contratual!$Y103="","",IF(posicao_contratual!$Y103&gt;0,"",itens_Remanesc!C103)))</f>
        <v/>
      </c>
      <c r="D103" s="335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335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335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335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>
        <f>IF(OR(A103="",C103="",C103=0,NOT(ISNUMBER($L$6))),"",ROUND($L$6-1,4))</f>
        <v/>
      </c>
      <c r="I103" s="13" t="n"/>
      <c r="J103" s="13" t="n"/>
      <c r="K103" s="13" t="n"/>
      <c r="L103" s="13" t="n"/>
      <c r="M103" s="13" t="n"/>
      <c r="N103" s="155">
        <f>IF(A103="","",IF(posicao_contratual!$Y103="","",IF(posicao_contratual!$Y103&gt;0,"",posicao_contratual!E103)))</f>
        <v/>
      </c>
      <c r="O103" s="155">
        <f>IF(A103="","",IF(posicao_contratual!$Y103="","",IF(posicao_contratual!$Y103&gt;1,"",posicao_contratual!I103)))</f>
        <v/>
      </c>
      <c r="P103" s="155">
        <f>IF(A103="","",IF(posicao_contratual!$Y103="","",IF(posicao_contratual!$Y103&gt;2,"",posicao_contratual!M103)))</f>
        <v/>
      </c>
      <c r="Q103" s="155">
        <f>IF(A103="","",IF(posicao_contratual!$Y103="","",IF(posicao_contratual!$Y103&gt;3,"",posicao_contratual!Q103)))</f>
        <v/>
      </c>
      <c r="R103" s="155">
        <f>IF(A103="","",IF(posicao_contratual!$Y103="","",IF(posicao_contratual!$Y103&gt;4,"",posicao_contratual!U103)))</f>
        <v/>
      </c>
      <c r="S103" s="176">
        <f>IF(A103="","",posicao_contratual!G103)</f>
        <v/>
      </c>
      <c r="T103" s="176">
        <f>IF(A103="","",posicao_contratual!K103)</f>
        <v/>
      </c>
      <c r="U103" s="176">
        <f>IF(A103="","",posicao_contratual!O103)</f>
        <v/>
      </c>
      <c r="V103" s="176">
        <f>IF(A103="","",posicao_contratual!S103)</f>
        <v/>
      </c>
      <c r="W103" s="176">
        <f>IF(A103="","",posicao_contratual!W103)</f>
        <v/>
      </c>
    </row>
    <row r="104">
      <c r="A104" s="91">
        <f>IF(itens_Remanesc!A104="","",itens_Remanesc!A104)</f>
        <v/>
      </c>
      <c r="B104" s="90">
        <f>IF(A104="","",IF(posicao_contratual!$Y104="","",IF(posicao_contratual!$Y104&gt;0,"",posicao_contratual!G104)))</f>
        <v/>
      </c>
      <c r="C104" s="335">
        <f>IF(itens_Remanesc!A104="","",IF(posicao_contratual!$Y104="","",IF(posicao_contratual!$Y104&gt;0,"",itens_Remanesc!C104)))</f>
        <v/>
      </c>
      <c r="D104" s="335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335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335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335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>
        <f>IF(OR(A104="",C104="",C104=0,NOT(ISNUMBER($L$6))),"",ROUND($L$6-1,4))</f>
        <v/>
      </c>
      <c r="I104" s="13" t="n"/>
      <c r="J104" s="13" t="n"/>
      <c r="K104" s="13" t="n"/>
      <c r="L104" s="13" t="n"/>
      <c r="M104" s="13" t="n"/>
      <c r="N104" s="155">
        <f>IF(A104="","",IF(posicao_contratual!$Y104="","",IF(posicao_contratual!$Y104&gt;0,"",posicao_contratual!E104)))</f>
        <v/>
      </c>
      <c r="O104" s="155">
        <f>IF(A104="","",IF(posicao_contratual!$Y104="","",IF(posicao_contratual!$Y104&gt;1,"",posicao_contratual!I104)))</f>
        <v/>
      </c>
      <c r="P104" s="155">
        <f>IF(A104="","",IF(posicao_contratual!$Y104="","",IF(posicao_contratual!$Y104&gt;2,"",posicao_contratual!M104)))</f>
        <v/>
      </c>
      <c r="Q104" s="155">
        <f>IF(A104="","",IF(posicao_contratual!$Y104="","",IF(posicao_contratual!$Y104&gt;3,"",posicao_contratual!Q104)))</f>
        <v/>
      </c>
      <c r="R104" s="155">
        <f>IF(A104="","",IF(posicao_contratual!$Y104="","",IF(posicao_contratual!$Y104&gt;4,"",posicao_contratual!U104)))</f>
        <v/>
      </c>
      <c r="S104" s="176">
        <f>IF(A104="","",posicao_contratual!G104)</f>
        <v/>
      </c>
      <c r="T104" s="176">
        <f>IF(A104="","",posicao_contratual!K104)</f>
        <v/>
      </c>
      <c r="U104" s="176">
        <f>IF(A104="","",posicao_contratual!O104)</f>
        <v/>
      </c>
      <c r="V104" s="176">
        <f>IF(A104="","",posicao_contratual!S104)</f>
        <v/>
      </c>
      <c r="W104" s="176">
        <f>IF(A104="","",posicao_contratual!W104)</f>
        <v/>
      </c>
    </row>
    <row r="105">
      <c r="A105" s="91">
        <f>IF(itens_Remanesc!A105="","",itens_Remanesc!A105)</f>
        <v/>
      </c>
      <c r="B105" s="90">
        <f>IF(A105="","",IF(posicao_contratual!$Y105="","",IF(posicao_contratual!$Y105&gt;0,"",posicao_contratual!G105)))</f>
        <v/>
      </c>
      <c r="C105" s="335">
        <f>IF(itens_Remanesc!A105="","",IF(posicao_contratual!$Y105="","",IF(posicao_contratual!$Y105&gt;0,"",itens_Remanesc!C105)))</f>
        <v/>
      </c>
      <c r="D105" s="335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335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335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335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>
        <f>IF(OR(A105="",C105="",C105=0,NOT(ISNUMBER($L$6))),"",ROUND($L$6-1,4))</f>
        <v/>
      </c>
      <c r="I105" s="13" t="n"/>
      <c r="J105" s="13" t="n"/>
      <c r="K105" s="13" t="n"/>
      <c r="L105" s="13" t="n"/>
      <c r="M105" s="13" t="n"/>
      <c r="N105" s="155">
        <f>IF(A105="","",IF(posicao_contratual!$Y105="","",IF(posicao_contratual!$Y105&gt;0,"",posicao_contratual!E105)))</f>
        <v/>
      </c>
      <c r="O105" s="155">
        <f>IF(A105="","",IF(posicao_contratual!$Y105="","",IF(posicao_contratual!$Y105&gt;1,"",posicao_contratual!I105)))</f>
        <v/>
      </c>
      <c r="P105" s="155">
        <f>IF(A105="","",IF(posicao_contratual!$Y105="","",IF(posicao_contratual!$Y105&gt;2,"",posicao_contratual!M105)))</f>
        <v/>
      </c>
      <c r="Q105" s="155">
        <f>IF(A105="","",IF(posicao_contratual!$Y105="","",IF(posicao_contratual!$Y105&gt;3,"",posicao_contratual!Q105)))</f>
        <v/>
      </c>
      <c r="R105" s="155">
        <f>IF(A105="","",IF(posicao_contratual!$Y105="","",IF(posicao_contratual!$Y105&gt;4,"",posicao_contratual!U105)))</f>
        <v/>
      </c>
      <c r="S105" s="176">
        <f>IF(A105="","",posicao_contratual!G105)</f>
        <v/>
      </c>
      <c r="T105" s="176">
        <f>IF(A105="","",posicao_contratual!K105)</f>
        <v/>
      </c>
      <c r="U105" s="176">
        <f>IF(A105="","",posicao_contratual!O105)</f>
        <v/>
      </c>
      <c r="V105" s="176">
        <f>IF(A105="","",posicao_contratual!S105)</f>
        <v/>
      </c>
      <c r="W105" s="176">
        <f>IF(A105="","",posicao_contratual!W105)</f>
        <v/>
      </c>
    </row>
    <row r="106">
      <c r="A106" s="91">
        <f>IF(itens_Remanesc!A106="","",itens_Remanesc!A106)</f>
        <v/>
      </c>
      <c r="B106" s="90">
        <f>IF(A106="","",IF(posicao_contratual!$Y106="","",IF(posicao_contratual!$Y106&gt;0,"",posicao_contratual!G106)))</f>
        <v/>
      </c>
      <c r="C106" s="335">
        <f>IF(itens_Remanesc!A106="","",IF(posicao_contratual!$Y106="","",IF(posicao_contratual!$Y106&gt;0,"",itens_Remanesc!C106)))</f>
        <v/>
      </c>
      <c r="D106" s="335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335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335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335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>
        <f>IF(OR(A106="",C106="",C106=0,NOT(ISNUMBER($L$6))),"",ROUND($L$6-1,4))</f>
        <v/>
      </c>
      <c r="I106" s="13" t="n"/>
      <c r="J106" s="13" t="n"/>
      <c r="K106" s="13" t="n"/>
      <c r="L106" s="13" t="n"/>
      <c r="M106" s="13" t="n"/>
      <c r="N106" s="155">
        <f>IF(A106="","",IF(posicao_contratual!$Y106="","",IF(posicao_contratual!$Y106&gt;0,"",posicao_contratual!E106)))</f>
        <v/>
      </c>
      <c r="O106" s="155">
        <f>IF(A106="","",IF(posicao_contratual!$Y106="","",IF(posicao_contratual!$Y106&gt;1,"",posicao_contratual!I106)))</f>
        <v/>
      </c>
      <c r="P106" s="155">
        <f>IF(A106="","",IF(posicao_contratual!$Y106="","",IF(posicao_contratual!$Y106&gt;2,"",posicao_contratual!M106)))</f>
        <v/>
      </c>
      <c r="Q106" s="155">
        <f>IF(A106="","",IF(posicao_contratual!$Y106="","",IF(posicao_contratual!$Y106&gt;3,"",posicao_contratual!Q106)))</f>
        <v/>
      </c>
      <c r="R106" s="155">
        <f>IF(A106="","",IF(posicao_contratual!$Y106="","",IF(posicao_contratual!$Y106&gt;4,"",posicao_contratual!U106)))</f>
        <v/>
      </c>
      <c r="S106" s="176">
        <f>IF(A106="","",posicao_contratual!G106)</f>
        <v/>
      </c>
      <c r="T106" s="176">
        <f>IF(A106="","",posicao_contratual!K106)</f>
        <v/>
      </c>
      <c r="U106" s="176">
        <f>IF(A106="","",posicao_contratual!O106)</f>
        <v/>
      </c>
      <c r="V106" s="176">
        <f>IF(A106="","",posicao_contratual!S106)</f>
        <v/>
      </c>
      <c r="W106" s="176">
        <f>IF(A106="","",posicao_contratual!W106)</f>
        <v/>
      </c>
    </row>
    <row r="107">
      <c r="A107" s="91">
        <f>IF(itens_Remanesc!A107="","",itens_Remanesc!A107)</f>
        <v/>
      </c>
      <c r="B107" s="90">
        <f>IF(A107="","",IF(posicao_contratual!$Y107="","",IF(posicao_contratual!$Y107&gt;0,"",posicao_contratual!G107)))</f>
        <v/>
      </c>
      <c r="C107" s="335">
        <f>IF(itens_Remanesc!A107="","",IF(posicao_contratual!$Y107="","",IF(posicao_contratual!$Y107&gt;0,"",itens_Remanesc!C107)))</f>
        <v/>
      </c>
      <c r="D107" s="335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335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335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335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>
        <f>IF(OR(A107="",C107="",C107=0,NOT(ISNUMBER($L$6))),"",ROUND($L$6-1,4))</f>
        <v/>
      </c>
      <c r="I107" s="13" t="n"/>
      <c r="J107" s="13" t="n"/>
      <c r="K107" s="13" t="n"/>
      <c r="L107" s="13" t="n"/>
      <c r="M107" s="13" t="n"/>
      <c r="N107" s="155">
        <f>IF(A107="","",IF(posicao_contratual!$Y107="","",IF(posicao_contratual!$Y107&gt;0,"",posicao_contratual!E107)))</f>
        <v/>
      </c>
      <c r="O107" s="155">
        <f>IF(A107="","",IF(posicao_contratual!$Y107="","",IF(posicao_contratual!$Y107&gt;1,"",posicao_contratual!I107)))</f>
        <v/>
      </c>
      <c r="P107" s="155">
        <f>IF(A107="","",IF(posicao_contratual!$Y107="","",IF(posicao_contratual!$Y107&gt;2,"",posicao_contratual!M107)))</f>
        <v/>
      </c>
      <c r="Q107" s="155">
        <f>IF(A107="","",IF(posicao_contratual!$Y107="","",IF(posicao_contratual!$Y107&gt;3,"",posicao_contratual!Q107)))</f>
        <v/>
      </c>
      <c r="R107" s="155">
        <f>IF(A107="","",IF(posicao_contratual!$Y107="","",IF(posicao_contratual!$Y107&gt;4,"",posicao_contratual!U107)))</f>
        <v/>
      </c>
      <c r="S107" s="176">
        <f>IF(A107="","",posicao_contratual!G107)</f>
        <v/>
      </c>
      <c r="T107" s="176">
        <f>IF(A107="","",posicao_contratual!K107)</f>
        <v/>
      </c>
      <c r="U107" s="176">
        <f>IF(A107="","",posicao_contratual!O107)</f>
        <v/>
      </c>
      <c r="V107" s="176">
        <f>IF(A107="","",posicao_contratual!S107)</f>
        <v/>
      </c>
      <c r="W107" s="176">
        <f>IF(A107="","",posicao_contratual!W107)</f>
        <v/>
      </c>
    </row>
    <row r="108">
      <c r="A108" s="91">
        <f>IF(itens_Remanesc!A108="","",itens_Remanesc!A108)</f>
        <v/>
      </c>
      <c r="B108" s="90">
        <f>IF(A108="","",IF(posicao_contratual!$Y108="","",IF(posicao_contratual!$Y108&gt;0,"",posicao_contratual!G108)))</f>
        <v/>
      </c>
      <c r="C108" s="335">
        <f>IF(itens_Remanesc!A108="","",IF(posicao_contratual!$Y108="","",IF(posicao_contratual!$Y108&gt;0,"",itens_Remanesc!C108)))</f>
        <v/>
      </c>
      <c r="D108" s="335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335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335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335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>
        <f>IF(OR(A108="",C108="",C108=0,NOT(ISNUMBER($L$6))),"",ROUND($L$6-1,4))</f>
        <v/>
      </c>
      <c r="I108" s="13" t="n"/>
      <c r="J108" s="13" t="n"/>
      <c r="K108" s="13" t="n"/>
      <c r="L108" s="13" t="n"/>
      <c r="M108" s="13" t="n"/>
      <c r="N108" s="155">
        <f>IF(A108="","",IF(posicao_contratual!$Y108="","",IF(posicao_contratual!$Y108&gt;0,"",posicao_contratual!E108)))</f>
        <v/>
      </c>
      <c r="O108" s="155">
        <f>IF(A108="","",IF(posicao_contratual!$Y108="","",IF(posicao_contratual!$Y108&gt;1,"",posicao_contratual!I108)))</f>
        <v/>
      </c>
      <c r="P108" s="155">
        <f>IF(A108="","",IF(posicao_contratual!$Y108="","",IF(posicao_contratual!$Y108&gt;2,"",posicao_contratual!M108)))</f>
        <v/>
      </c>
      <c r="Q108" s="155">
        <f>IF(A108="","",IF(posicao_contratual!$Y108="","",IF(posicao_contratual!$Y108&gt;3,"",posicao_contratual!Q108)))</f>
        <v/>
      </c>
      <c r="R108" s="155">
        <f>IF(A108="","",IF(posicao_contratual!$Y108="","",IF(posicao_contratual!$Y108&gt;4,"",posicao_contratual!U108)))</f>
        <v/>
      </c>
      <c r="S108" s="176">
        <f>IF(A108="","",posicao_contratual!G108)</f>
        <v/>
      </c>
      <c r="T108" s="176">
        <f>IF(A108="","",posicao_contratual!K108)</f>
        <v/>
      </c>
      <c r="U108" s="176">
        <f>IF(A108="","",posicao_contratual!O108)</f>
        <v/>
      </c>
      <c r="V108" s="176">
        <f>IF(A108="","",posicao_contratual!S108)</f>
        <v/>
      </c>
      <c r="W108" s="176">
        <f>IF(A108="","",posicao_contratual!W108)</f>
        <v/>
      </c>
    </row>
    <row r="109">
      <c r="A109" s="91">
        <f>IF(itens_Remanesc!A109="","",itens_Remanesc!A109)</f>
        <v/>
      </c>
      <c r="B109" s="90">
        <f>IF(A109="","",IF(posicao_contratual!$Y109="","",IF(posicao_contratual!$Y109&gt;0,"",posicao_contratual!G109)))</f>
        <v/>
      </c>
      <c r="C109" s="335">
        <f>IF(itens_Remanesc!A109="","",IF(posicao_contratual!$Y109="","",IF(posicao_contratual!$Y109&gt;0,"",itens_Remanesc!C109)))</f>
        <v/>
      </c>
      <c r="D109" s="335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335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335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335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>
        <f>IF(OR(A109="",C109="",C109=0,NOT(ISNUMBER($L$6))),"",ROUND($L$6-1,4))</f>
        <v/>
      </c>
      <c r="I109" s="13" t="n"/>
      <c r="J109" s="13" t="n"/>
      <c r="K109" s="13" t="n"/>
      <c r="L109" s="13" t="n"/>
      <c r="M109" s="13" t="n"/>
      <c r="N109" s="155">
        <f>IF(A109="","",IF(posicao_contratual!$Y109="","",IF(posicao_contratual!$Y109&gt;0,"",posicao_contratual!E109)))</f>
        <v/>
      </c>
      <c r="O109" s="155">
        <f>IF(A109="","",IF(posicao_contratual!$Y109="","",IF(posicao_contratual!$Y109&gt;1,"",posicao_contratual!I109)))</f>
        <v/>
      </c>
      <c r="P109" s="155">
        <f>IF(A109="","",IF(posicao_contratual!$Y109="","",IF(posicao_contratual!$Y109&gt;2,"",posicao_contratual!M109)))</f>
        <v/>
      </c>
      <c r="Q109" s="155">
        <f>IF(A109="","",IF(posicao_contratual!$Y109="","",IF(posicao_contratual!$Y109&gt;3,"",posicao_contratual!Q109)))</f>
        <v/>
      </c>
      <c r="R109" s="155">
        <f>IF(A109="","",IF(posicao_contratual!$Y109="","",IF(posicao_contratual!$Y109&gt;4,"",posicao_contratual!U109)))</f>
        <v/>
      </c>
      <c r="S109" s="176">
        <f>IF(A109="","",posicao_contratual!G109)</f>
        <v/>
      </c>
      <c r="T109" s="176">
        <f>IF(A109="","",posicao_contratual!K109)</f>
        <v/>
      </c>
      <c r="U109" s="176">
        <f>IF(A109="","",posicao_contratual!O109)</f>
        <v/>
      </c>
      <c r="V109" s="176">
        <f>IF(A109="","",posicao_contratual!S109)</f>
        <v/>
      </c>
      <c r="W109" s="176">
        <f>IF(A109="","",posicao_contratual!W109)</f>
        <v/>
      </c>
    </row>
    <row r="110">
      <c r="A110" s="91">
        <f>IF(itens_Remanesc!A110="","",itens_Remanesc!A110)</f>
        <v/>
      </c>
      <c r="B110" s="90">
        <f>IF(A110="","",IF(posicao_contratual!$Y110="","",IF(posicao_contratual!$Y110&gt;0,"",posicao_contratual!G110)))</f>
        <v/>
      </c>
      <c r="C110" s="335">
        <f>IF(itens_Remanesc!A110="","",IF(posicao_contratual!$Y110="","",IF(posicao_contratual!$Y110&gt;0,"",itens_Remanesc!C110)))</f>
        <v/>
      </c>
      <c r="D110" s="335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335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335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335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>
        <f>IF(OR(A110="",C110="",C110=0,NOT(ISNUMBER($L$6))),"",ROUND($L$6-1,4))</f>
        <v/>
      </c>
      <c r="I110" s="13" t="n"/>
      <c r="J110" s="13" t="n"/>
      <c r="K110" s="13" t="n"/>
      <c r="L110" s="13" t="n"/>
      <c r="M110" s="13" t="n"/>
      <c r="N110" s="155">
        <f>IF(A110="","",IF(posicao_contratual!$Y110="","",IF(posicao_contratual!$Y110&gt;0,"",posicao_contratual!E110)))</f>
        <v/>
      </c>
      <c r="O110" s="155">
        <f>IF(A110="","",IF(posicao_contratual!$Y110="","",IF(posicao_contratual!$Y110&gt;1,"",posicao_contratual!I110)))</f>
        <v/>
      </c>
      <c r="P110" s="155">
        <f>IF(A110="","",IF(posicao_contratual!$Y110="","",IF(posicao_contratual!$Y110&gt;2,"",posicao_contratual!M110)))</f>
        <v/>
      </c>
      <c r="Q110" s="155">
        <f>IF(A110="","",IF(posicao_contratual!$Y110="","",IF(posicao_contratual!$Y110&gt;3,"",posicao_contratual!Q110)))</f>
        <v/>
      </c>
      <c r="R110" s="155">
        <f>IF(A110="","",IF(posicao_contratual!$Y110="","",IF(posicao_contratual!$Y110&gt;4,"",posicao_contratual!U110)))</f>
        <v/>
      </c>
      <c r="S110" s="176">
        <f>IF(A110="","",posicao_contratual!G110)</f>
        <v/>
      </c>
      <c r="T110" s="176">
        <f>IF(A110="","",posicao_contratual!K110)</f>
        <v/>
      </c>
      <c r="U110" s="176">
        <f>IF(A110="","",posicao_contratual!O110)</f>
        <v/>
      </c>
      <c r="V110" s="176">
        <f>IF(A110="","",posicao_contratual!S110)</f>
        <v/>
      </c>
      <c r="W110" s="176">
        <f>IF(A110="","",posicao_contratual!W110)</f>
        <v/>
      </c>
    </row>
    <row r="111">
      <c r="A111" s="91">
        <f>IF(itens_Remanesc!A111="","",itens_Remanesc!A111)</f>
        <v/>
      </c>
      <c r="B111" s="90">
        <f>IF(A111="","",IF(posicao_contratual!$Y111="","",IF(posicao_contratual!$Y111&gt;0,"",posicao_contratual!G111)))</f>
        <v/>
      </c>
      <c r="C111" s="335">
        <f>IF(itens_Remanesc!A111="","",IF(posicao_contratual!$Y111="","",IF(posicao_contratual!$Y111&gt;0,"",itens_Remanesc!C111)))</f>
        <v/>
      </c>
      <c r="D111" s="335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335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335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335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>
        <f>IF(OR(A111="",C111="",C111=0,NOT(ISNUMBER($L$6))),"",ROUND($L$6-1,4))</f>
        <v/>
      </c>
      <c r="I111" s="13" t="n"/>
      <c r="J111" s="13" t="n"/>
      <c r="K111" s="13" t="n"/>
      <c r="L111" s="13" t="n"/>
      <c r="M111" s="13" t="n"/>
      <c r="N111" s="155">
        <f>IF(A111="","",IF(posicao_contratual!$Y111="","",IF(posicao_contratual!$Y111&gt;0,"",posicao_contratual!E111)))</f>
        <v/>
      </c>
      <c r="O111" s="155">
        <f>IF(A111="","",IF(posicao_contratual!$Y111="","",IF(posicao_contratual!$Y111&gt;1,"",posicao_contratual!I111)))</f>
        <v/>
      </c>
      <c r="P111" s="155">
        <f>IF(A111="","",IF(posicao_contratual!$Y111="","",IF(posicao_contratual!$Y111&gt;2,"",posicao_contratual!M111)))</f>
        <v/>
      </c>
      <c r="Q111" s="155">
        <f>IF(A111="","",IF(posicao_contratual!$Y111="","",IF(posicao_contratual!$Y111&gt;3,"",posicao_contratual!Q111)))</f>
        <v/>
      </c>
      <c r="R111" s="155">
        <f>IF(A111="","",IF(posicao_contratual!$Y111="","",IF(posicao_contratual!$Y111&gt;4,"",posicao_contratual!U111)))</f>
        <v/>
      </c>
      <c r="S111" s="176">
        <f>IF(A111="","",posicao_contratual!G111)</f>
        <v/>
      </c>
      <c r="T111" s="176">
        <f>IF(A111="","",posicao_contratual!K111)</f>
        <v/>
      </c>
      <c r="U111" s="176">
        <f>IF(A111="","",posicao_contratual!O111)</f>
        <v/>
      </c>
      <c r="V111" s="176">
        <f>IF(A111="","",posicao_contratual!S111)</f>
        <v/>
      </c>
      <c r="W111" s="176">
        <f>IF(A111="","",posicao_contratual!W111)</f>
        <v/>
      </c>
    </row>
    <row r="112">
      <c r="A112" s="91">
        <f>IF(itens_Remanesc!A112="","",itens_Remanesc!A112)</f>
        <v/>
      </c>
      <c r="B112" s="90">
        <f>IF(A112="","",IF(posicao_contratual!$Y112="","",IF(posicao_contratual!$Y112&gt;0,"",posicao_contratual!G112)))</f>
        <v/>
      </c>
      <c r="C112" s="335">
        <f>IF(itens_Remanesc!A112="","",IF(posicao_contratual!$Y112="","",IF(posicao_contratual!$Y112&gt;0,"",itens_Remanesc!C112)))</f>
        <v/>
      </c>
      <c r="D112" s="335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335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335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335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>
        <f>IF(OR(A112="",C112="",C112=0,NOT(ISNUMBER($L$6))),"",ROUND($L$6-1,4))</f>
        <v/>
      </c>
      <c r="I112" s="13" t="n"/>
      <c r="J112" s="13" t="n"/>
      <c r="K112" s="13" t="n"/>
      <c r="L112" s="13" t="n"/>
      <c r="M112" s="13" t="n"/>
      <c r="N112" s="155">
        <f>IF(A112="","",IF(posicao_contratual!$Y112="","",IF(posicao_contratual!$Y112&gt;0,"",posicao_contratual!E112)))</f>
        <v/>
      </c>
      <c r="O112" s="155">
        <f>IF(A112="","",IF(posicao_contratual!$Y112="","",IF(posicao_contratual!$Y112&gt;1,"",posicao_contratual!I112)))</f>
        <v/>
      </c>
      <c r="P112" s="155">
        <f>IF(A112="","",IF(posicao_contratual!$Y112="","",IF(posicao_contratual!$Y112&gt;2,"",posicao_contratual!M112)))</f>
        <v/>
      </c>
      <c r="Q112" s="155">
        <f>IF(A112="","",IF(posicao_contratual!$Y112="","",IF(posicao_contratual!$Y112&gt;3,"",posicao_contratual!Q112)))</f>
        <v/>
      </c>
      <c r="R112" s="155">
        <f>IF(A112="","",IF(posicao_contratual!$Y112="","",IF(posicao_contratual!$Y112&gt;4,"",posicao_contratual!U112)))</f>
        <v/>
      </c>
      <c r="S112" s="176">
        <f>IF(A112="","",posicao_contratual!G112)</f>
        <v/>
      </c>
      <c r="T112" s="176">
        <f>IF(A112="","",posicao_contratual!K112)</f>
        <v/>
      </c>
      <c r="U112" s="176">
        <f>IF(A112="","",posicao_contratual!O112)</f>
        <v/>
      </c>
      <c r="V112" s="176">
        <f>IF(A112="","",posicao_contratual!S112)</f>
        <v/>
      </c>
      <c r="W112" s="176">
        <f>IF(A112="","",posicao_contratual!W112)</f>
        <v/>
      </c>
    </row>
    <row r="113">
      <c r="A113" s="91">
        <f>IF(itens_Remanesc!A113="","",itens_Remanesc!A113)</f>
        <v/>
      </c>
      <c r="B113" s="90">
        <f>IF(A113="","",IF(posicao_contratual!$Y113="","",IF(posicao_contratual!$Y113&gt;0,"",posicao_contratual!G113)))</f>
        <v/>
      </c>
      <c r="C113" s="335">
        <f>IF(itens_Remanesc!A113="","",IF(posicao_contratual!$Y113="","",IF(posicao_contratual!$Y113&gt;0,"",itens_Remanesc!C113)))</f>
        <v/>
      </c>
      <c r="D113" s="335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335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335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335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>
        <f>IF(OR(A113="",C113="",C113=0,NOT(ISNUMBER($L$6))),"",ROUND($L$6-1,4))</f>
        <v/>
      </c>
      <c r="I113" s="13" t="n"/>
      <c r="J113" s="13" t="n"/>
      <c r="K113" s="13" t="n"/>
      <c r="L113" s="13" t="n"/>
      <c r="M113" s="13" t="n"/>
      <c r="N113" s="155">
        <f>IF(A113="","",IF(posicao_contratual!$Y113="","",IF(posicao_contratual!$Y113&gt;0,"",posicao_contratual!E113)))</f>
        <v/>
      </c>
      <c r="O113" s="155">
        <f>IF(A113="","",IF(posicao_contratual!$Y113="","",IF(posicao_contratual!$Y113&gt;1,"",posicao_contratual!I113)))</f>
        <v/>
      </c>
      <c r="P113" s="155">
        <f>IF(A113="","",IF(posicao_contratual!$Y113="","",IF(posicao_contratual!$Y113&gt;2,"",posicao_contratual!M113)))</f>
        <v/>
      </c>
      <c r="Q113" s="155">
        <f>IF(A113="","",IF(posicao_contratual!$Y113="","",IF(posicao_contratual!$Y113&gt;3,"",posicao_contratual!Q113)))</f>
        <v/>
      </c>
      <c r="R113" s="155">
        <f>IF(A113="","",IF(posicao_contratual!$Y113="","",IF(posicao_contratual!$Y113&gt;4,"",posicao_contratual!U113)))</f>
        <v/>
      </c>
      <c r="S113" s="176">
        <f>IF(A113="","",posicao_contratual!G113)</f>
        <v/>
      </c>
      <c r="T113" s="176">
        <f>IF(A113="","",posicao_contratual!K113)</f>
        <v/>
      </c>
      <c r="U113" s="176">
        <f>IF(A113="","",posicao_contratual!O113)</f>
        <v/>
      </c>
      <c r="V113" s="176">
        <f>IF(A113="","",posicao_contratual!S113)</f>
        <v/>
      </c>
      <c r="W113" s="176">
        <f>IF(A113="","",posicao_contratual!W113)</f>
        <v/>
      </c>
    </row>
    <row r="114">
      <c r="A114" s="91">
        <f>IF(itens_Remanesc!A114="","",itens_Remanesc!A114)</f>
        <v/>
      </c>
      <c r="B114" s="90">
        <f>IF(A114="","",IF(posicao_contratual!$Y114="","",IF(posicao_contratual!$Y114&gt;0,"",posicao_contratual!G114)))</f>
        <v/>
      </c>
      <c r="C114" s="335">
        <f>IF(itens_Remanesc!A114="","",IF(posicao_contratual!$Y114="","",IF(posicao_contratual!$Y114&gt;0,"",itens_Remanesc!C114)))</f>
        <v/>
      </c>
      <c r="D114" s="335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335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335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335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>
        <f>IF(OR(A114="",C114="",C114=0,NOT(ISNUMBER($L$6))),"",ROUND($L$6-1,4))</f>
        <v/>
      </c>
      <c r="I114" s="13" t="n"/>
      <c r="J114" s="13" t="n"/>
      <c r="K114" s="13" t="n"/>
      <c r="L114" s="13" t="n"/>
      <c r="M114" s="13" t="n"/>
      <c r="N114" s="155">
        <f>IF(A114="","",IF(posicao_contratual!$Y114="","",IF(posicao_contratual!$Y114&gt;0,"",posicao_contratual!E114)))</f>
        <v/>
      </c>
      <c r="O114" s="155">
        <f>IF(A114="","",IF(posicao_contratual!$Y114="","",IF(posicao_contratual!$Y114&gt;1,"",posicao_contratual!I114)))</f>
        <v/>
      </c>
      <c r="P114" s="155">
        <f>IF(A114="","",IF(posicao_contratual!$Y114="","",IF(posicao_contratual!$Y114&gt;2,"",posicao_contratual!M114)))</f>
        <v/>
      </c>
      <c r="Q114" s="155">
        <f>IF(A114="","",IF(posicao_contratual!$Y114="","",IF(posicao_contratual!$Y114&gt;3,"",posicao_contratual!Q114)))</f>
        <v/>
      </c>
      <c r="R114" s="155">
        <f>IF(A114="","",IF(posicao_contratual!$Y114="","",IF(posicao_contratual!$Y114&gt;4,"",posicao_contratual!U114)))</f>
        <v/>
      </c>
      <c r="S114" s="176">
        <f>IF(A114="","",posicao_contratual!G114)</f>
        <v/>
      </c>
      <c r="T114" s="176">
        <f>IF(A114="","",posicao_contratual!K114)</f>
        <v/>
      </c>
      <c r="U114" s="176">
        <f>IF(A114="","",posicao_contratual!O114)</f>
        <v/>
      </c>
      <c r="V114" s="176">
        <f>IF(A114="","",posicao_contratual!S114)</f>
        <v/>
      </c>
      <c r="W114" s="176">
        <f>IF(A114="","",posicao_contratual!W114)</f>
        <v/>
      </c>
    </row>
    <row r="115">
      <c r="A115" s="91">
        <f>IF(itens_Remanesc!A115="","",itens_Remanesc!A115)</f>
        <v/>
      </c>
      <c r="B115" s="90">
        <f>IF(A115="","",IF(posicao_contratual!$Y115="","",IF(posicao_contratual!$Y115&gt;0,"",posicao_contratual!G115)))</f>
        <v/>
      </c>
      <c r="C115" s="335">
        <f>IF(itens_Remanesc!A115="","",IF(posicao_contratual!$Y115="","",IF(posicao_contratual!$Y115&gt;0,"",itens_Remanesc!C115)))</f>
        <v/>
      </c>
      <c r="D115" s="335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335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335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335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>
        <f>IF(OR(A115="",C115="",C115=0,NOT(ISNUMBER($L$6))),"",ROUND($L$6-1,4))</f>
        <v/>
      </c>
      <c r="I115" s="13" t="n"/>
      <c r="J115" s="13" t="n"/>
      <c r="K115" s="13" t="n"/>
      <c r="L115" s="13" t="n"/>
      <c r="M115" s="13" t="n"/>
      <c r="N115" s="155">
        <f>IF(A115="","",IF(posicao_contratual!$Y115="","",IF(posicao_contratual!$Y115&gt;0,"",posicao_contratual!E115)))</f>
        <v/>
      </c>
      <c r="O115" s="155">
        <f>IF(A115="","",IF(posicao_contratual!$Y115="","",IF(posicao_contratual!$Y115&gt;1,"",posicao_contratual!I115)))</f>
        <v/>
      </c>
      <c r="P115" s="155">
        <f>IF(A115="","",IF(posicao_contratual!$Y115="","",IF(posicao_contratual!$Y115&gt;2,"",posicao_contratual!M115)))</f>
        <v/>
      </c>
      <c r="Q115" s="155">
        <f>IF(A115="","",IF(posicao_contratual!$Y115="","",IF(posicao_contratual!$Y115&gt;3,"",posicao_contratual!Q115)))</f>
        <v/>
      </c>
      <c r="R115" s="155">
        <f>IF(A115="","",IF(posicao_contratual!$Y115="","",IF(posicao_contratual!$Y115&gt;4,"",posicao_contratual!U115)))</f>
        <v/>
      </c>
      <c r="S115" s="176">
        <f>IF(A115="","",posicao_contratual!G115)</f>
        <v/>
      </c>
      <c r="T115" s="176">
        <f>IF(A115="","",posicao_contratual!K115)</f>
        <v/>
      </c>
      <c r="U115" s="176">
        <f>IF(A115="","",posicao_contratual!O115)</f>
        <v/>
      </c>
      <c r="V115" s="176">
        <f>IF(A115="","",posicao_contratual!S115)</f>
        <v/>
      </c>
      <c r="W115" s="176">
        <f>IF(A115="","",posicao_contratual!W115)</f>
        <v/>
      </c>
    </row>
    <row r="116">
      <c r="A116" s="91">
        <f>IF(itens_Remanesc!A116="","",itens_Remanesc!A116)</f>
        <v/>
      </c>
      <c r="B116" s="90">
        <f>IF(A116="","",IF(posicao_contratual!$Y116="","",IF(posicao_contratual!$Y116&gt;0,"",posicao_contratual!G116)))</f>
        <v/>
      </c>
      <c r="C116" s="335">
        <f>IF(itens_Remanesc!A116="","",IF(posicao_contratual!$Y116="","",IF(posicao_contratual!$Y116&gt;0,"",itens_Remanesc!C116)))</f>
        <v/>
      </c>
      <c r="D116" s="335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335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335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335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>
        <f>IF(OR(A116="",C116="",C116=0,NOT(ISNUMBER($L$6))),"",ROUND($L$6-1,4))</f>
        <v/>
      </c>
      <c r="I116" s="13" t="n"/>
      <c r="J116" s="13" t="n"/>
      <c r="K116" s="13" t="n"/>
      <c r="L116" s="13" t="n"/>
      <c r="M116" s="13" t="n"/>
      <c r="N116" s="155">
        <f>IF(A116="","",IF(posicao_contratual!$Y116="","",IF(posicao_contratual!$Y116&gt;0,"",posicao_contratual!E116)))</f>
        <v/>
      </c>
      <c r="O116" s="155">
        <f>IF(A116="","",IF(posicao_contratual!$Y116="","",IF(posicao_contratual!$Y116&gt;1,"",posicao_contratual!I116)))</f>
        <v/>
      </c>
      <c r="P116" s="155">
        <f>IF(A116="","",IF(posicao_contratual!$Y116="","",IF(posicao_contratual!$Y116&gt;2,"",posicao_contratual!M116)))</f>
        <v/>
      </c>
      <c r="Q116" s="155">
        <f>IF(A116="","",IF(posicao_contratual!$Y116="","",IF(posicao_contratual!$Y116&gt;3,"",posicao_contratual!Q116)))</f>
        <v/>
      </c>
      <c r="R116" s="155">
        <f>IF(A116="","",IF(posicao_contratual!$Y116="","",IF(posicao_contratual!$Y116&gt;4,"",posicao_contratual!U116)))</f>
        <v/>
      </c>
      <c r="S116" s="176">
        <f>IF(A116="","",posicao_contratual!G116)</f>
        <v/>
      </c>
      <c r="T116" s="176">
        <f>IF(A116="","",posicao_contratual!K116)</f>
        <v/>
      </c>
      <c r="U116" s="176">
        <f>IF(A116="","",posicao_contratual!O116)</f>
        <v/>
      </c>
      <c r="V116" s="176">
        <f>IF(A116="","",posicao_contratual!S116)</f>
        <v/>
      </c>
      <c r="W116" s="176">
        <f>IF(A116="","",posicao_contratual!W116)</f>
        <v/>
      </c>
    </row>
    <row r="117">
      <c r="A117" s="91">
        <f>IF(itens_Remanesc!A117="","",itens_Remanesc!A117)</f>
        <v/>
      </c>
      <c r="B117" s="90">
        <f>IF(A117="","",IF(posicao_contratual!$Y117="","",IF(posicao_contratual!$Y117&gt;0,"",posicao_contratual!G117)))</f>
        <v/>
      </c>
      <c r="C117" s="335">
        <f>IF(itens_Remanesc!A117="","",IF(posicao_contratual!$Y117="","",IF(posicao_contratual!$Y117&gt;0,"",itens_Remanesc!C117)))</f>
        <v/>
      </c>
      <c r="D117" s="335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335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335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335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>
        <f>IF(OR(A117="",C117="",C117=0,NOT(ISNUMBER($L$6))),"",ROUND($L$6-1,4))</f>
        <v/>
      </c>
      <c r="I117" s="13" t="n"/>
      <c r="J117" s="13" t="n"/>
      <c r="K117" s="13" t="n"/>
      <c r="L117" s="13" t="n"/>
      <c r="M117" s="13" t="n"/>
      <c r="N117" s="155">
        <f>IF(A117="","",IF(posicao_contratual!$Y117="","",IF(posicao_contratual!$Y117&gt;0,"",posicao_contratual!E117)))</f>
        <v/>
      </c>
      <c r="O117" s="155">
        <f>IF(A117="","",IF(posicao_contratual!$Y117="","",IF(posicao_contratual!$Y117&gt;1,"",posicao_contratual!I117)))</f>
        <v/>
      </c>
      <c r="P117" s="155">
        <f>IF(A117="","",IF(posicao_contratual!$Y117="","",IF(posicao_contratual!$Y117&gt;2,"",posicao_contratual!M117)))</f>
        <v/>
      </c>
      <c r="Q117" s="155">
        <f>IF(A117="","",IF(posicao_contratual!$Y117="","",IF(posicao_contratual!$Y117&gt;3,"",posicao_contratual!Q117)))</f>
        <v/>
      </c>
      <c r="R117" s="155">
        <f>IF(A117="","",IF(posicao_contratual!$Y117="","",IF(posicao_contratual!$Y117&gt;4,"",posicao_contratual!U117)))</f>
        <v/>
      </c>
      <c r="S117" s="176">
        <f>IF(A117="","",posicao_contratual!G117)</f>
        <v/>
      </c>
      <c r="T117" s="176">
        <f>IF(A117="","",posicao_contratual!K117)</f>
        <v/>
      </c>
      <c r="U117" s="176">
        <f>IF(A117="","",posicao_contratual!O117)</f>
        <v/>
      </c>
      <c r="V117" s="176">
        <f>IF(A117="","",posicao_contratual!S117)</f>
        <v/>
      </c>
      <c r="W117" s="176">
        <f>IF(A117="","",posicao_contratual!W117)</f>
        <v/>
      </c>
    </row>
    <row r="118">
      <c r="A118" s="91">
        <f>IF(itens_Remanesc!A118="","",itens_Remanesc!A118)</f>
        <v/>
      </c>
      <c r="B118" s="90">
        <f>IF(A118="","",IF(posicao_contratual!$Y118="","",IF(posicao_contratual!$Y118&gt;0,"",posicao_contratual!G118)))</f>
        <v/>
      </c>
      <c r="C118" s="335">
        <f>IF(itens_Remanesc!A118="","",IF(posicao_contratual!$Y118="","",IF(posicao_contratual!$Y118&gt;0,"",itens_Remanesc!C118)))</f>
        <v/>
      </c>
      <c r="D118" s="335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335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335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335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>
        <f>IF(OR(A118="",C118="",C118=0,NOT(ISNUMBER($L$6))),"",ROUND($L$6-1,4))</f>
        <v/>
      </c>
      <c r="I118" s="13" t="n"/>
      <c r="J118" s="13" t="n"/>
      <c r="K118" s="13" t="n"/>
      <c r="L118" s="13" t="n"/>
      <c r="M118" s="13" t="n"/>
      <c r="N118" s="155">
        <f>IF(A118="","",IF(posicao_contratual!$Y118="","",IF(posicao_contratual!$Y118&gt;0,"",posicao_contratual!E118)))</f>
        <v/>
      </c>
      <c r="O118" s="155">
        <f>IF(A118="","",IF(posicao_contratual!$Y118="","",IF(posicao_contratual!$Y118&gt;1,"",posicao_contratual!I118)))</f>
        <v/>
      </c>
      <c r="P118" s="155">
        <f>IF(A118="","",IF(posicao_contratual!$Y118="","",IF(posicao_contratual!$Y118&gt;2,"",posicao_contratual!M118)))</f>
        <v/>
      </c>
      <c r="Q118" s="155">
        <f>IF(A118="","",IF(posicao_contratual!$Y118="","",IF(posicao_contratual!$Y118&gt;3,"",posicao_contratual!Q118)))</f>
        <v/>
      </c>
      <c r="R118" s="155">
        <f>IF(A118="","",IF(posicao_contratual!$Y118="","",IF(posicao_contratual!$Y118&gt;4,"",posicao_contratual!U118)))</f>
        <v/>
      </c>
      <c r="S118" s="176">
        <f>IF(A118="","",posicao_contratual!G118)</f>
        <v/>
      </c>
      <c r="T118" s="176">
        <f>IF(A118="","",posicao_contratual!K118)</f>
        <v/>
      </c>
      <c r="U118" s="176">
        <f>IF(A118="","",posicao_contratual!O118)</f>
        <v/>
      </c>
      <c r="V118" s="176">
        <f>IF(A118="","",posicao_contratual!S118)</f>
        <v/>
      </c>
      <c r="W118" s="176">
        <f>IF(A118="","",posicao_contratual!W118)</f>
        <v/>
      </c>
    </row>
    <row r="119">
      <c r="A119" s="91">
        <f>IF(itens_Remanesc!A119="","",itens_Remanesc!A119)</f>
        <v/>
      </c>
      <c r="B119" s="90">
        <f>IF(A119="","",IF(posicao_contratual!$Y119="","",IF(posicao_contratual!$Y119&gt;0,"",posicao_contratual!G119)))</f>
        <v/>
      </c>
      <c r="C119" s="335">
        <f>IF(itens_Remanesc!A119="","",IF(posicao_contratual!$Y119="","",IF(posicao_contratual!$Y119&gt;0,"",itens_Remanesc!C119)))</f>
        <v/>
      </c>
      <c r="D119" s="335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335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335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335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>
        <f>IF(OR(A119="",C119="",C119=0,NOT(ISNUMBER($L$6))),"",ROUND($L$6-1,4))</f>
        <v/>
      </c>
      <c r="I119" s="13" t="n"/>
      <c r="J119" s="13" t="n"/>
      <c r="K119" s="13" t="n"/>
      <c r="L119" s="13" t="n"/>
      <c r="M119" s="13" t="n"/>
      <c r="N119" s="155">
        <f>IF(A119="","",IF(posicao_contratual!$Y119="","",IF(posicao_contratual!$Y119&gt;0,"",posicao_contratual!E119)))</f>
        <v/>
      </c>
      <c r="O119" s="155">
        <f>IF(A119="","",IF(posicao_contratual!$Y119="","",IF(posicao_contratual!$Y119&gt;1,"",posicao_contratual!I119)))</f>
        <v/>
      </c>
      <c r="P119" s="155">
        <f>IF(A119="","",IF(posicao_contratual!$Y119="","",IF(posicao_contratual!$Y119&gt;2,"",posicao_contratual!M119)))</f>
        <v/>
      </c>
      <c r="Q119" s="155">
        <f>IF(A119="","",IF(posicao_contratual!$Y119="","",IF(posicao_contratual!$Y119&gt;3,"",posicao_contratual!Q119)))</f>
        <v/>
      </c>
      <c r="R119" s="155">
        <f>IF(A119="","",IF(posicao_contratual!$Y119="","",IF(posicao_contratual!$Y119&gt;4,"",posicao_contratual!U119)))</f>
        <v/>
      </c>
      <c r="S119" s="176">
        <f>IF(A119="","",posicao_contratual!G119)</f>
        <v/>
      </c>
      <c r="T119" s="176">
        <f>IF(A119="","",posicao_contratual!K119)</f>
        <v/>
      </c>
      <c r="U119" s="176">
        <f>IF(A119="","",posicao_contratual!O119)</f>
        <v/>
      </c>
      <c r="V119" s="176">
        <f>IF(A119="","",posicao_contratual!S119)</f>
        <v/>
      </c>
      <c r="W119" s="176">
        <f>IF(A119="","",posicao_contratual!W119)</f>
        <v/>
      </c>
    </row>
    <row r="120">
      <c r="A120" s="91">
        <f>IF(itens_Remanesc!A120="","",itens_Remanesc!A120)</f>
        <v/>
      </c>
      <c r="B120" s="90">
        <f>IF(A120="","",IF(posicao_contratual!$Y120="","",IF(posicao_contratual!$Y120&gt;0,"",posicao_contratual!G120)))</f>
        <v/>
      </c>
      <c r="C120" s="335">
        <f>IF(itens_Remanesc!A120="","",IF(posicao_contratual!$Y120="","",IF(posicao_contratual!$Y120&gt;0,"",itens_Remanesc!C120)))</f>
        <v/>
      </c>
      <c r="D120" s="335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335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335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335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>
        <f>IF(OR(A120="",C120="",C120=0,NOT(ISNUMBER($L$6))),"",ROUND($L$6-1,4))</f>
        <v/>
      </c>
      <c r="I120" s="13" t="n"/>
      <c r="J120" s="13" t="n"/>
      <c r="K120" s="13" t="n"/>
      <c r="L120" s="13" t="n"/>
      <c r="M120" s="13" t="n"/>
      <c r="N120" s="155">
        <f>IF(A120="","",IF(posicao_contratual!$Y120="","",IF(posicao_contratual!$Y120&gt;0,"",posicao_contratual!E120)))</f>
        <v/>
      </c>
      <c r="O120" s="155">
        <f>IF(A120="","",IF(posicao_contratual!$Y120="","",IF(posicao_contratual!$Y120&gt;1,"",posicao_contratual!I120)))</f>
        <v/>
      </c>
      <c r="P120" s="155">
        <f>IF(A120="","",IF(posicao_contratual!$Y120="","",IF(posicao_contratual!$Y120&gt;2,"",posicao_contratual!M120)))</f>
        <v/>
      </c>
      <c r="Q120" s="155">
        <f>IF(A120="","",IF(posicao_contratual!$Y120="","",IF(posicao_contratual!$Y120&gt;3,"",posicao_contratual!Q120)))</f>
        <v/>
      </c>
      <c r="R120" s="155">
        <f>IF(A120="","",IF(posicao_contratual!$Y120="","",IF(posicao_contratual!$Y120&gt;4,"",posicao_contratual!U120)))</f>
        <v/>
      </c>
      <c r="S120" s="176">
        <f>IF(A120="","",posicao_contratual!G120)</f>
        <v/>
      </c>
      <c r="T120" s="176">
        <f>IF(A120="","",posicao_contratual!K120)</f>
        <v/>
      </c>
      <c r="U120" s="176">
        <f>IF(A120="","",posicao_contratual!O120)</f>
        <v/>
      </c>
      <c r="V120" s="176">
        <f>IF(A120="","",posicao_contratual!S120)</f>
        <v/>
      </c>
      <c r="W120" s="176">
        <f>IF(A120="","",posicao_contratual!W120)</f>
        <v/>
      </c>
    </row>
    <row r="121">
      <c r="A121" s="91">
        <f>IF(itens_Remanesc!A121="","",itens_Remanesc!A121)</f>
        <v/>
      </c>
      <c r="B121" s="90">
        <f>IF(A121="","",IF(posicao_contratual!$Y121="","",IF(posicao_contratual!$Y121&gt;0,"",posicao_contratual!G121)))</f>
        <v/>
      </c>
      <c r="C121" s="335">
        <f>IF(itens_Remanesc!A121="","",IF(posicao_contratual!$Y121="","",IF(posicao_contratual!$Y121&gt;0,"",itens_Remanesc!C121)))</f>
        <v/>
      </c>
      <c r="D121" s="335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335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335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335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>
        <f>IF(OR(A121="",C121="",C121=0,NOT(ISNUMBER($L$6))),"",ROUND($L$6-1,4))</f>
        <v/>
      </c>
      <c r="I121" s="13" t="n"/>
      <c r="J121" s="13" t="n"/>
      <c r="K121" s="13" t="n"/>
      <c r="L121" s="13" t="n"/>
      <c r="M121" s="13" t="n"/>
      <c r="N121" s="155">
        <f>IF(A121="","",IF(posicao_contratual!$Y121="","",IF(posicao_contratual!$Y121&gt;0,"",posicao_contratual!E121)))</f>
        <v/>
      </c>
      <c r="O121" s="155">
        <f>IF(A121="","",IF(posicao_contratual!$Y121="","",IF(posicao_contratual!$Y121&gt;1,"",posicao_contratual!I121)))</f>
        <v/>
      </c>
      <c r="P121" s="155">
        <f>IF(A121="","",IF(posicao_contratual!$Y121="","",IF(posicao_contratual!$Y121&gt;2,"",posicao_contratual!M121)))</f>
        <v/>
      </c>
      <c r="Q121" s="155">
        <f>IF(A121="","",IF(posicao_contratual!$Y121="","",IF(posicao_contratual!$Y121&gt;3,"",posicao_contratual!Q121)))</f>
        <v/>
      </c>
      <c r="R121" s="155">
        <f>IF(A121="","",IF(posicao_contratual!$Y121="","",IF(posicao_contratual!$Y121&gt;4,"",posicao_contratual!U121)))</f>
        <v/>
      </c>
      <c r="S121" s="176">
        <f>IF(A121="","",posicao_contratual!G121)</f>
        <v/>
      </c>
      <c r="T121" s="176">
        <f>IF(A121="","",posicao_contratual!K121)</f>
        <v/>
      </c>
      <c r="U121" s="176">
        <f>IF(A121="","",posicao_contratual!O121)</f>
        <v/>
      </c>
      <c r="V121" s="176">
        <f>IF(A121="","",posicao_contratual!S121)</f>
        <v/>
      </c>
      <c r="W121" s="176">
        <f>IF(A121="","",posicao_contratual!W121)</f>
        <v/>
      </c>
    </row>
    <row r="122">
      <c r="A122" s="91">
        <f>IF(itens_Remanesc!A122="","",itens_Remanesc!A122)</f>
        <v/>
      </c>
      <c r="B122" s="90">
        <f>IF(A122="","",IF(posicao_contratual!$Y122="","",IF(posicao_contratual!$Y122&gt;0,"",posicao_contratual!G122)))</f>
        <v/>
      </c>
      <c r="C122" s="335">
        <f>IF(itens_Remanesc!A122="","",IF(posicao_contratual!$Y122="","",IF(posicao_contratual!$Y122&gt;0,"",itens_Remanesc!C122)))</f>
        <v/>
      </c>
      <c r="D122" s="335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335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335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335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>
        <f>IF(OR(A122="",C122="",C122=0,NOT(ISNUMBER($L$6))),"",ROUND($L$6-1,4))</f>
        <v/>
      </c>
      <c r="I122" s="13" t="n"/>
      <c r="J122" s="13" t="n"/>
      <c r="K122" s="13" t="n"/>
      <c r="L122" s="13" t="n"/>
      <c r="M122" s="13" t="n"/>
      <c r="N122" s="155">
        <f>IF(A122="","",IF(posicao_contratual!$Y122="","",IF(posicao_contratual!$Y122&gt;0,"",posicao_contratual!E122)))</f>
        <v/>
      </c>
      <c r="O122" s="155">
        <f>IF(A122="","",IF(posicao_contratual!$Y122="","",IF(posicao_contratual!$Y122&gt;1,"",posicao_contratual!I122)))</f>
        <v/>
      </c>
      <c r="P122" s="155">
        <f>IF(A122="","",IF(posicao_contratual!$Y122="","",IF(posicao_contratual!$Y122&gt;2,"",posicao_contratual!M122)))</f>
        <v/>
      </c>
      <c r="Q122" s="155">
        <f>IF(A122="","",IF(posicao_contratual!$Y122="","",IF(posicao_contratual!$Y122&gt;3,"",posicao_contratual!Q122)))</f>
        <v/>
      </c>
      <c r="R122" s="155">
        <f>IF(A122="","",IF(posicao_contratual!$Y122="","",IF(posicao_contratual!$Y122&gt;4,"",posicao_contratual!U122)))</f>
        <v/>
      </c>
      <c r="S122" s="176">
        <f>IF(A122="","",posicao_contratual!G122)</f>
        <v/>
      </c>
      <c r="T122" s="176">
        <f>IF(A122="","",posicao_contratual!K122)</f>
        <v/>
      </c>
      <c r="U122" s="176">
        <f>IF(A122="","",posicao_contratual!O122)</f>
        <v/>
      </c>
      <c r="V122" s="176">
        <f>IF(A122="","",posicao_contratual!S122)</f>
        <v/>
      </c>
      <c r="W122" s="176">
        <f>IF(A122="","",posicao_contratual!W122)</f>
        <v/>
      </c>
    </row>
    <row r="123">
      <c r="A123" s="91">
        <f>IF(itens_Remanesc!A123="","",itens_Remanesc!A123)</f>
        <v/>
      </c>
      <c r="B123" s="90">
        <f>IF(A123="","",IF(posicao_contratual!$Y123="","",IF(posicao_contratual!$Y123&gt;0,"",posicao_contratual!G123)))</f>
        <v/>
      </c>
      <c r="C123" s="335">
        <f>IF(itens_Remanesc!A123="","",IF(posicao_contratual!$Y123="","",IF(posicao_contratual!$Y123&gt;0,"",itens_Remanesc!C123)))</f>
        <v/>
      </c>
      <c r="D123" s="335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335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335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335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>
        <f>IF(OR(A123="",C123="",C123=0,NOT(ISNUMBER($L$6))),"",ROUND($L$6-1,4))</f>
        <v/>
      </c>
      <c r="I123" s="13" t="n"/>
      <c r="J123" s="13" t="n"/>
      <c r="K123" s="13" t="n"/>
      <c r="L123" s="13" t="n"/>
      <c r="M123" s="13" t="n"/>
      <c r="N123" s="155">
        <f>IF(A123="","",IF(posicao_contratual!$Y123="","",IF(posicao_contratual!$Y123&gt;0,"",posicao_contratual!E123)))</f>
        <v/>
      </c>
      <c r="O123" s="155">
        <f>IF(A123="","",IF(posicao_contratual!$Y123="","",IF(posicao_contratual!$Y123&gt;1,"",posicao_contratual!I123)))</f>
        <v/>
      </c>
      <c r="P123" s="155">
        <f>IF(A123="","",IF(posicao_contratual!$Y123="","",IF(posicao_contratual!$Y123&gt;2,"",posicao_contratual!M123)))</f>
        <v/>
      </c>
      <c r="Q123" s="155">
        <f>IF(A123="","",IF(posicao_contratual!$Y123="","",IF(posicao_contratual!$Y123&gt;3,"",posicao_contratual!Q123)))</f>
        <v/>
      </c>
      <c r="R123" s="155">
        <f>IF(A123="","",IF(posicao_contratual!$Y123="","",IF(posicao_contratual!$Y123&gt;4,"",posicao_contratual!U123)))</f>
        <v/>
      </c>
      <c r="S123" s="176">
        <f>IF(A123="","",posicao_contratual!G123)</f>
        <v/>
      </c>
      <c r="T123" s="176">
        <f>IF(A123="","",posicao_contratual!K123)</f>
        <v/>
      </c>
      <c r="U123" s="176">
        <f>IF(A123="","",posicao_contratual!O123)</f>
        <v/>
      </c>
      <c r="V123" s="176">
        <f>IF(A123="","",posicao_contratual!S123)</f>
        <v/>
      </c>
      <c r="W123" s="176">
        <f>IF(A123="","",posicao_contratual!W123)</f>
        <v/>
      </c>
    </row>
    <row r="124">
      <c r="A124" s="91">
        <f>IF(itens_Remanesc!A124="","",itens_Remanesc!A124)</f>
        <v/>
      </c>
      <c r="B124" s="90">
        <f>IF(A124="","",IF(posicao_contratual!$Y124="","",IF(posicao_contratual!$Y124&gt;0,"",posicao_contratual!G124)))</f>
        <v/>
      </c>
      <c r="C124" s="335">
        <f>IF(itens_Remanesc!A124="","",IF(posicao_contratual!$Y124="","",IF(posicao_contratual!$Y124&gt;0,"",itens_Remanesc!C124)))</f>
        <v/>
      </c>
      <c r="D124" s="335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335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335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335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>
        <f>IF(OR(A124="",C124="",C124=0,NOT(ISNUMBER($L$6))),"",ROUND($L$6-1,4))</f>
        <v/>
      </c>
      <c r="I124" s="13" t="n"/>
      <c r="J124" s="13" t="n"/>
      <c r="K124" s="13" t="n"/>
      <c r="L124" s="13" t="n"/>
      <c r="M124" s="13" t="n"/>
      <c r="N124" s="155">
        <f>IF(A124="","",IF(posicao_contratual!$Y124="","",IF(posicao_contratual!$Y124&gt;0,"",posicao_contratual!E124)))</f>
        <v/>
      </c>
      <c r="O124" s="155">
        <f>IF(A124="","",IF(posicao_contratual!$Y124="","",IF(posicao_contratual!$Y124&gt;1,"",posicao_contratual!I124)))</f>
        <v/>
      </c>
      <c r="P124" s="155">
        <f>IF(A124="","",IF(posicao_contratual!$Y124="","",IF(posicao_contratual!$Y124&gt;2,"",posicao_contratual!M124)))</f>
        <v/>
      </c>
      <c r="Q124" s="155">
        <f>IF(A124="","",IF(posicao_contratual!$Y124="","",IF(posicao_contratual!$Y124&gt;3,"",posicao_contratual!Q124)))</f>
        <v/>
      </c>
      <c r="R124" s="155">
        <f>IF(A124="","",IF(posicao_contratual!$Y124="","",IF(posicao_contratual!$Y124&gt;4,"",posicao_contratual!U124)))</f>
        <v/>
      </c>
      <c r="S124" s="176">
        <f>IF(A124="","",posicao_contratual!G124)</f>
        <v/>
      </c>
      <c r="T124" s="176">
        <f>IF(A124="","",posicao_contratual!K124)</f>
        <v/>
      </c>
      <c r="U124" s="176">
        <f>IF(A124="","",posicao_contratual!O124)</f>
        <v/>
      </c>
      <c r="V124" s="176">
        <f>IF(A124="","",posicao_contratual!S124)</f>
        <v/>
      </c>
      <c r="W124" s="176">
        <f>IF(A124="","",posicao_contratual!W124)</f>
        <v/>
      </c>
    </row>
    <row r="125">
      <c r="A125" s="91">
        <f>IF(itens_Remanesc!A125="","",itens_Remanesc!A125)</f>
        <v/>
      </c>
      <c r="B125" s="90">
        <f>IF(A125="","",IF(posicao_contratual!$Y125="","",IF(posicao_contratual!$Y125&gt;0,"",posicao_contratual!G125)))</f>
        <v/>
      </c>
      <c r="C125" s="335">
        <f>IF(itens_Remanesc!A125="","",IF(posicao_contratual!$Y125="","",IF(posicao_contratual!$Y125&gt;0,"",itens_Remanesc!C125)))</f>
        <v/>
      </c>
      <c r="D125" s="335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335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335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335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>
        <f>IF(OR(A125="",C125="",C125=0,NOT(ISNUMBER($L$6))),"",ROUND($L$6-1,4))</f>
        <v/>
      </c>
      <c r="I125" s="13" t="n"/>
      <c r="J125" s="13" t="n"/>
      <c r="K125" s="13" t="n"/>
      <c r="L125" s="13" t="n"/>
      <c r="M125" s="13" t="n"/>
      <c r="N125" s="155">
        <f>IF(A125="","",IF(posicao_contratual!$Y125="","",IF(posicao_contratual!$Y125&gt;0,"",posicao_contratual!E125)))</f>
        <v/>
      </c>
      <c r="O125" s="155">
        <f>IF(A125="","",IF(posicao_contratual!$Y125="","",IF(posicao_contratual!$Y125&gt;1,"",posicao_contratual!I125)))</f>
        <v/>
      </c>
      <c r="P125" s="155">
        <f>IF(A125="","",IF(posicao_contratual!$Y125="","",IF(posicao_contratual!$Y125&gt;2,"",posicao_contratual!M125)))</f>
        <v/>
      </c>
      <c r="Q125" s="155">
        <f>IF(A125="","",IF(posicao_contratual!$Y125="","",IF(posicao_contratual!$Y125&gt;3,"",posicao_contratual!Q125)))</f>
        <v/>
      </c>
      <c r="R125" s="155">
        <f>IF(A125="","",IF(posicao_contratual!$Y125="","",IF(posicao_contratual!$Y125&gt;4,"",posicao_contratual!U125)))</f>
        <v/>
      </c>
      <c r="S125" s="176">
        <f>IF(A125="","",posicao_contratual!G125)</f>
        <v/>
      </c>
      <c r="T125" s="176">
        <f>IF(A125="","",posicao_contratual!K125)</f>
        <v/>
      </c>
      <c r="U125" s="176">
        <f>IF(A125="","",posicao_contratual!O125)</f>
        <v/>
      </c>
      <c r="V125" s="176">
        <f>IF(A125="","",posicao_contratual!S125)</f>
        <v/>
      </c>
      <c r="W125" s="176">
        <f>IF(A125="","",posicao_contratual!W125)</f>
        <v/>
      </c>
    </row>
    <row r="126">
      <c r="A126" s="91">
        <f>IF(itens_Remanesc!A126="","",itens_Remanesc!A126)</f>
        <v/>
      </c>
      <c r="B126" s="90">
        <f>IF(A126="","",IF(posicao_contratual!$Y126="","",IF(posicao_contratual!$Y126&gt;0,"",posicao_contratual!G126)))</f>
        <v/>
      </c>
      <c r="C126" s="335">
        <f>IF(itens_Remanesc!A126="","",IF(posicao_contratual!$Y126="","",IF(posicao_contratual!$Y126&gt;0,"",itens_Remanesc!C126)))</f>
        <v/>
      </c>
      <c r="D126" s="335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335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335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335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>
        <f>IF(OR(A126="",C126="",C126=0,NOT(ISNUMBER($L$6))),"",ROUND($L$6-1,4))</f>
        <v/>
      </c>
      <c r="I126" s="13" t="n"/>
      <c r="J126" s="13" t="n"/>
      <c r="K126" s="13" t="n"/>
      <c r="L126" s="13" t="n"/>
      <c r="M126" s="13" t="n"/>
      <c r="N126" s="155">
        <f>IF(A126="","",IF(posicao_contratual!$Y126="","",IF(posicao_contratual!$Y126&gt;0,"",posicao_contratual!E126)))</f>
        <v/>
      </c>
      <c r="O126" s="155">
        <f>IF(A126="","",IF(posicao_contratual!$Y126="","",IF(posicao_contratual!$Y126&gt;1,"",posicao_contratual!I126)))</f>
        <v/>
      </c>
      <c r="P126" s="155">
        <f>IF(A126="","",IF(posicao_contratual!$Y126="","",IF(posicao_contratual!$Y126&gt;2,"",posicao_contratual!M126)))</f>
        <v/>
      </c>
      <c r="Q126" s="155">
        <f>IF(A126="","",IF(posicao_contratual!$Y126="","",IF(posicao_contratual!$Y126&gt;3,"",posicao_contratual!Q126)))</f>
        <v/>
      </c>
      <c r="R126" s="155">
        <f>IF(A126="","",IF(posicao_contratual!$Y126="","",IF(posicao_contratual!$Y126&gt;4,"",posicao_contratual!U126)))</f>
        <v/>
      </c>
      <c r="S126" s="176">
        <f>IF(A126="","",posicao_contratual!G126)</f>
        <v/>
      </c>
      <c r="T126" s="176">
        <f>IF(A126="","",posicao_contratual!K126)</f>
        <v/>
      </c>
      <c r="U126" s="176">
        <f>IF(A126="","",posicao_contratual!O126)</f>
        <v/>
      </c>
      <c r="V126" s="176">
        <f>IF(A126="","",posicao_contratual!S126)</f>
        <v/>
      </c>
      <c r="W126" s="176">
        <f>IF(A126="","",posicao_contratual!W126)</f>
        <v/>
      </c>
    </row>
    <row r="127">
      <c r="A127" s="91">
        <f>IF(itens_Remanesc!A127="","",itens_Remanesc!A127)</f>
        <v/>
      </c>
      <c r="B127" s="90">
        <f>IF(A127="","",IF(posicao_contratual!$Y127="","",IF(posicao_contratual!$Y127&gt;0,"",posicao_contratual!G127)))</f>
        <v/>
      </c>
      <c r="C127" s="335">
        <f>IF(itens_Remanesc!A127="","",IF(posicao_contratual!$Y127="","",IF(posicao_contratual!$Y127&gt;0,"",itens_Remanesc!C127)))</f>
        <v/>
      </c>
      <c r="D127" s="335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335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335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335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>
        <f>IF(OR(A127="",C127="",C127=0,NOT(ISNUMBER($L$6))),"",ROUND($L$6-1,4))</f>
        <v/>
      </c>
      <c r="I127" s="13" t="n"/>
      <c r="J127" s="13" t="n"/>
      <c r="K127" s="13" t="n"/>
      <c r="L127" s="13" t="n"/>
      <c r="M127" s="13" t="n"/>
      <c r="N127" s="155">
        <f>IF(A127="","",IF(posicao_contratual!$Y127="","",IF(posicao_contratual!$Y127&gt;0,"",posicao_contratual!E127)))</f>
        <v/>
      </c>
      <c r="O127" s="155">
        <f>IF(A127="","",IF(posicao_contratual!$Y127="","",IF(posicao_contratual!$Y127&gt;1,"",posicao_contratual!I127)))</f>
        <v/>
      </c>
      <c r="P127" s="155">
        <f>IF(A127="","",IF(posicao_contratual!$Y127="","",IF(posicao_contratual!$Y127&gt;2,"",posicao_contratual!M127)))</f>
        <v/>
      </c>
      <c r="Q127" s="155">
        <f>IF(A127="","",IF(posicao_contratual!$Y127="","",IF(posicao_contratual!$Y127&gt;3,"",posicao_contratual!Q127)))</f>
        <v/>
      </c>
      <c r="R127" s="155">
        <f>IF(A127="","",IF(posicao_contratual!$Y127="","",IF(posicao_contratual!$Y127&gt;4,"",posicao_contratual!U127)))</f>
        <v/>
      </c>
      <c r="S127" s="176">
        <f>IF(A127="","",posicao_contratual!G127)</f>
        <v/>
      </c>
      <c r="T127" s="176">
        <f>IF(A127="","",posicao_contratual!K127)</f>
        <v/>
      </c>
      <c r="U127" s="176">
        <f>IF(A127="","",posicao_contratual!O127)</f>
        <v/>
      </c>
      <c r="V127" s="176">
        <f>IF(A127="","",posicao_contratual!S127)</f>
        <v/>
      </c>
      <c r="W127" s="176">
        <f>IF(A127="","",posicao_contratual!W127)</f>
        <v/>
      </c>
    </row>
    <row r="128">
      <c r="A128" s="91">
        <f>IF(itens_Remanesc!A128="","",itens_Remanesc!A128)</f>
        <v/>
      </c>
      <c r="B128" s="90">
        <f>IF(A128="","",IF(posicao_contratual!$Y128="","",IF(posicao_contratual!$Y128&gt;0,"",posicao_contratual!G128)))</f>
        <v/>
      </c>
      <c r="C128" s="335">
        <f>IF(itens_Remanesc!A128="","",IF(posicao_contratual!$Y128="","",IF(posicao_contratual!$Y128&gt;0,"",itens_Remanesc!C128)))</f>
        <v/>
      </c>
      <c r="D128" s="335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335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335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335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>
        <f>IF(OR(A128="",C128="",C128=0,NOT(ISNUMBER($L$6))),"",ROUND($L$6-1,4))</f>
        <v/>
      </c>
      <c r="I128" s="13" t="n"/>
      <c r="J128" s="13" t="n"/>
      <c r="K128" s="13" t="n"/>
      <c r="L128" s="13" t="n"/>
      <c r="M128" s="13" t="n"/>
      <c r="N128" s="155">
        <f>IF(A128="","",IF(posicao_contratual!$Y128="","",IF(posicao_contratual!$Y128&gt;0,"",posicao_contratual!E128)))</f>
        <v/>
      </c>
      <c r="O128" s="155">
        <f>IF(A128="","",IF(posicao_contratual!$Y128="","",IF(posicao_contratual!$Y128&gt;1,"",posicao_contratual!I128)))</f>
        <v/>
      </c>
      <c r="P128" s="155">
        <f>IF(A128="","",IF(posicao_contratual!$Y128="","",IF(posicao_contratual!$Y128&gt;2,"",posicao_contratual!M128)))</f>
        <v/>
      </c>
      <c r="Q128" s="155">
        <f>IF(A128="","",IF(posicao_contratual!$Y128="","",IF(posicao_contratual!$Y128&gt;3,"",posicao_contratual!Q128)))</f>
        <v/>
      </c>
      <c r="R128" s="155">
        <f>IF(A128="","",IF(posicao_contratual!$Y128="","",IF(posicao_contratual!$Y128&gt;4,"",posicao_contratual!U128)))</f>
        <v/>
      </c>
      <c r="S128" s="176">
        <f>IF(A128="","",posicao_contratual!G128)</f>
        <v/>
      </c>
      <c r="T128" s="176">
        <f>IF(A128="","",posicao_contratual!K128)</f>
        <v/>
      </c>
      <c r="U128" s="176">
        <f>IF(A128="","",posicao_contratual!O128)</f>
        <v/>
      </c>
      <c r="V128" s="176">
        <f>IF(A128="","",posicao_contratual!S128)</f>
        <v/>
      </c>
      <c r="W128" s="176">
        <f>IF(A128="","",posicao_contratual!W128)</f>
        <v/>
      </c>
    </row>
    <row r="129">
      <c r="A129" s="91">
        <f>IF(itens_Remanesc!A129="","",itens_Remanesc!A129)</f>
        <v/>
      </c>
      <c r="B129" s="90">
        <f>IF(A129="","",IF(posicao_contratual!$Y129="","",IF(posicao_contratual!$Y129&gt;0,"",posicao_contratual!G129)))</f>
        <v/>
      </c>
      <c r="C129" s="335">
        <f>IF(itens_Remanesc!A129="","",IF(posicao_contratual!$Y129="","",IF(posicao_contratual!$Y129&gt;0,"",itens_Remanesc!C129)))</f>
        <v/>
      </c>
      <c r="D129" s="335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335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335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335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>
        <f>IF(OR(A129="",C129="",C129=0,NOT(ISNUMBER($L$6))),"",ROUND($L$6-1,4))</f>
        <v/>
      </c>
      <c r="I129" s="13" t="n"/>
      <c r="J129" s="13" t="n"/>
      <c r="K129" s="13" t="n"/>
      <c r="L129" s="13" t="n"/>
      <c r="M129" s="13" t="n"/>
      <c r="N129" s="155">
        <f>IF(A129="","",IF(posicao_contratual!$Y129="","",IF(posicao_contratual!$Y129&gt;0,"",posicao_contratual!E129)))</f>
        <v/>
      </c>
      <c r="O129" s="155">
        <f>IF(A129="","",IF(posicao_contratual!$Y129="","",IF(posicao_contratual!$Y129&gt;1,"",posicao_contratual!I129)))</f>
        <v/>
      </c>
      <c r="P129" s="155">
        <f>IF(A129="","",IF(posicao_contratual!$Y129="","",IF(posicao_contratual!$Y129&gt;2,"",posicao_contratual!M129)))</f>
        <v/>
      </c>
      <c r="Q129" s="155">
        <f>IF(A129="","",IF(posicao_contratual!$Y129="","",IF(posicao_contratual!$Y129&gt;3,"",posicao_contratual!Q129)))</f>
        <v/>
      </c>
      <c r="R129" s="155">
        <f>IF(A129="","",IF(posicao_contratual!$Y129="","",IF(posicao_contratual!$Y129&gt;4,"",posicao_contratual!U129)))</f>
        <v/>
      </c>
      <c r="S129" s="176">
        <f>IF(A129="","",posicao_contratual!G129)</f>
        <v/>
      </c>
      <c r="T129" s="176">
        <f>IF(A129="","",posicao_contratual!K129)</f>
        <v/>
      </c>
      <c r="U129" s="176">
        <f>IF(A129="","",posicao_contratual!O129)</f>
        <v/>
      </c>
      <c r="V129" s="176">
        <f>IF(A129="","",posicao_contratual!S129)</f>
        <v/>
      </c>
      <c r="W129" s="176">
        <f>IF(A129="","",posicao_contratual!W129)</f>
        <v/>
      </c>
    </row>
    <row r="130">
      <c r="A130" s="91">
        <f>IF(itens_Remanesc!A130="","",itens_Remanesc!A130)</f>
        <v/>
      </c>
      <c r="B130" s="90">
        <f>IF(A130="","",IF(posicao_contratual!$Y130="","",IF(posicao_contratual!$Y130&gt;0,"",posicao_contratual!G130)))</f>
        <v/>
      </c>
      <c r="C130" s="335">
        <f>IF(itens_Remanesc!A130="","",IF(posicao_contratual!$Y130="","",IF(posicao_contratual!$Y130&gt;0,"",itens_Remanesc!C130)))</f>
        <v/>
      </c>
      <c r="D130" s="335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335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335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335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>
        <f>IF(OR(A130="",C130="",C130=0,NOT(ISNUMBER($L$6))),"",ROUND($L$6-1,4))</f>
        <v/>
      </c>
      <c r="I130" s="13" t="n"/>
      <c r="J130" s="13" t="n"/>
      <c r="K130" s="13" t="n"/>
      <c r="L130" s="13" t="n"/>
      <c r="M130" s="13" t="n"/>
      <c r="N130" s="155">
        <f>IF(A130="","",IF(posicao_contratual!$Y130="","",IF(posicao_contratual!$Y130&gt;0,"",posicao_contratual!E130)))</f>
        <v/>
      </c>
      <c r="O130" s="155">
        <f>IF(A130="","",IF(posicao_contratual!$Y130="","",IF(posicao_contratual!$Y130&gt;1,"",posicao_contratual!I130)))</f>
        <v/>
      </c>
      <c r="P130" s="155">
        <f>IF(A130="","",IF(posicao_contratual!$Y130="","",IF(posicao_contratual!$Y130&gt;2,"",posicao_contratual!M130)))</f>
        <v/>
      </c>
      <c r="Q130" s="155">
        <f>IF(A130="","",IF(posicao_contratual!$Y130="","",IF(posicao_contratual!$Y130&gt;3,"",posicao_contratual!Q130)))</f>
        <v/>
      </c>
      <c r="R130" s="155">
        <f>IF(A130="","",IF(posicao_contratual!$Y130="","",IF(posicao_contratual!$Y130&gt;4,"",posicao_contratual!U130)))</f>
        <v/>
      </c>
      <c r="S130" s="176">
        <f>IF(A130="","",posicao_contratual!G130)</f>
        <v/>
      </c>
      <c r="T130" s="176">
        <f>IF(A130="","",posicao_contratual!K130)</f>
        <v/>
      </c>
      <c r="U130" s="176">
        <f>IF(A130="","",posicao_contratual!O130)</f>
        <v/>
      </c>
      <c r="V130" s="176">
        <f>IF(A130="","",posicao_contratual!S130)</f>
        <v/>
      </c>
      <c r="W130" s="176">
        <f>IF(A130="","",posicao_contratual!W130)</f>
        <v/>
      </c>
    </row>
    <row r="131">
      <c r="A131" s="91">
        <f>IF(itens_Remanesc!A131="","",itens_Remanesc!A131)</f>
        <v/>
      </c>
      <c r="B131" s="90">
        <f>IF(A131="","",IF(posicao_contratual!$Y131="","",IF(posicao_contratual!$Y131&gt;0,"",posicao_contratual!G131)))</f>
        <v/>
      </c>
      <c r="C131" s="335">
        <f>IF(itens_Remanesc!A131="","",IF(posicao_contratual!$Y131="","",IF(posicao_contratual!$Y131&gt;0,"",itens_Remanesc!C131)))</f>
        <v/>
      </c>
      <c r="D131" s="335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335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335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335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>
        <f>IF(OR(A131="",C131="",C131=0,NOT(ISNUMBER($L$6))),"",ROUND($L$6-1,4))</f>
        <v/>
      </c>
      <c r="I131" s="13" t="n"/>
      <c r="J131" s="13" t="n"/>
      <c r="K131" s="13" t="n"/>
      <c r="L131" s="13" t="n"/>
      <c r="M131" s="13" t="n"/>
      <c r="N131" s="155">
        <f>IF(A131="","",IF(posicao_contratual!$Y131="","",IF(posicao_contratual!$Y131&gt;0,"",posicao_contratual!E131)))</f>
        <v/>
      </c>
      <c r="O131" s="155">
        <f>IF(A131="","",IF(posicao_contratual!$Y131="","",IF(posicao_contratual!$Y131&gt;1,"",posicao_contratual!I131)))</f>
        <v/>
      </c>
      <c r="P131" s="155">
        <f>IF(A131="","",IF(posicao_contratual!$Y131="","",IF(posicao_contratual!$Y131&gt;2,"",posicao_contratual!M131)))</f>
        <v/>
      </c>
      <c r="Q131" s="155">
        <f>IF(A131="","",IF(posicao_contratual!$Y131="","",IF(posicao_contratual!$Y131&gt;3,"",posicao_contratual!Q131)))</f>
        <v/>
      </c>
      <c r="R131" s="155">
        <f>IF(A131="","",IF(posicao_contratual!$Y131="","",IF(posicao_contratual!$Y131&gt;4,"",posicao_contratual!U131)))</f>
        <v/>
      </c>
      <c r="S131" s="176">
        <f>IF(A131="","",posicao_contratual!G131)</f>
        <v/>
      </c>
      <c r="T131" s="176">
        <f>IF(A131="","",posicao_contratual!K131)</f>
        <v/>
      </c>
      <c r="U131" s="176">
        <f>IF(A131="","",posicao_contratual!O131)</f>
        <v/>
      </c>
      <c r="V131" s="176">
        <f>IF(A131="","",posicao_contratual!S131)</f>
        <v/>
      </c>
      <c r="W131" s="176">
        <f>IF(A131="","",posicao_contratual!W131)</f>
        <v/>
      </c>
    </row>
    <row r="132">
      <c r="A132" s="91">
        <f>IF(itens_Remanesc!A132="","",itens_Remanesc!A132)</f>
        <v/>
      </c>
      <c r="B132" s="90">
        <f>IF(A132="","",IF(posicao_contratual!$Y132="","",IF(posicao_contratual!$Y132&gt;0,"",posicao_contratual!G132)))</f>
        <v/>
      </c>
      <c r="C132" s="335">
        <f>IF(itens_Remanesc!A132="","",IF(posicao_contratual!$Y132="","",IF(posicao_contratual!$Y132&gt;0,"",itens_Remanesc!C132)))</f>
        <v/>
      </c>
      <c r="D132" s="335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335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335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335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>
        <f>IF(OR(A132="",C132="",C132=0,NOT(ISNUMBER($L$6))),"",ROUND($L$6-1,4))</f>
        <v/>
      </c>
      <c r="I132" s="13" t="n"/>
      <c r="J132" s="13" t="n"/>
      <c r="K132" s="13" t="n"/>
      <c r="L132" s="13" t="n"/>
      <c r="M132" s="13" t="n"/>
      <c r="N132" s="155">
        <f>IF(A132="","",IF(posicao_contratual!$Y132="","",IF(posicao_contratual!$Y132&gt;0,"",posicao_contratual!E132)))</f>
        <v/>
      </c>
      <c r="O132" s="155">
        <f>IF(A132="","",IF(posicao_contratual!$Y132="","",IF(posicao_contratual!$Y132&gt;1,"",posicao_contratual!I132)))</f>
        <v/>
      </c>
      <c r="P132" s="155">
        <f>IF(A132="","",IF(posicao_contratual!$Y132="","",IF(posicao_contratual!$Y132&gt;2,"",posicao_contratual!M132)))</f>
        <v/>
      </c>
      <c r="Q132" s="155">
        <f>IF(A132="","",IF(posicao_contratual!$Y132="","",IF(posicao_contratual!$Y132&gt;3,"",posicao_contratual!Q132)))</f>
        <v/>
      </c>
      <c r="R132" s="155">
        <f>IF(A132="","",IF(posicao_contratual!$Y132="","",IF(posicao_contratual!$Y132&gt;4,"",posicao_contratual!U132)))</f>
        <v/>
      </c>
      <c r="S132" s="176">
        <f>IF(A132="","",posicao_contratual!G132)</f>
        <v/>
      </c>
      <c r="T132" s="176">
        <f>IF(A132="","",posicao_contratual!K132)</f>
        <v/>
      </c>
      <c r="U132" s="176">
        <f>IF(A132="","",posicao_contratual!O132)</f>
        <v/>
      </c>
      <c r="V132" s="176">
        <f>IF(A132="","",posicao_contratual!S132)</f>
        <v/>
      </c>
      <c r="W132" s="176">
        <f>IF(A132="","",posicao_contratual!W132)</f>
        <v/>
      </c>
    </row>
    <row r="133">
      <c r="A133" s="91">
        <f>IF(itens_Remanesc!A133="","",itens_Remanesc!A133)</f>
        <v/>
      </c>
      <c r="B133" s="90">
        <f>IF(A133="","",IF(posicao_contratual!$Y133="","",IF(posicao_contratual!$Y133&gt;0,"",posicao_contratual!G133)))</f>
        <v/>
      </c>
      <c r="C133" s="335">
        <f>IF(itens_Remanesc!A133="","",IF(posicao_contratual!$Y133="","",IF(posicao_contratual!$Y133&gt;0,"",itens_Remanesc!C133)))</f>
        <v/>
      </c>
      <c r="D133" s="335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335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335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335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>
        <f>IF(OR(A133="",C133="",C133=0,NOT(ISNUMBER($L$6))),"",ROUND($L$6-1,4))</f>
        <v/>
      </c>
      <c r="I133" s="13" t="n"/>
      <c r="J133" s="13" t="n"/>
      <c r="K133" s="13" t="n"/>
      <c r="L133" s="13" t="n"/>
      <c r="M133" s="13" t="n"/>
      <c r="N133" s="155">
        <f>IF(A133="","",IF(posicao_contratual!$Y133="","",IF(posicao_contratual!$Y133&gt;0,"",posicao_contratual!E133)))</f>
        <v/>
      </c>
      <c r="O133" s="155">
        <f>IF(A133="","",IF(posicao_contratual!$Y133="","",IF(posicao_contratual!$Y133&gt;1,"",posicao_contratual!I133)))</f>
        <v/>
      </c>
      <c r="P133" s="155">
        <f>IF(A133="","",IF(posicao_contratual!$Y133="","",IF(posicao_contratual!$Y133&gt;2,"",posicao_contratual!M133)))</f>
        <v/>
      </c>
      <c r="Q133" s="155">
        <f>IF(A133="","",IF(posicao_contratual!$Y133="","",IF(posicao_contratual!$Y133&gt;3,"",posicao_contratual!Q133)))</f>
        <v/>
      </c>
      <c r="R133" s="155">
        <f>IF(A133="","",IF(posicao_contratual!$Y133="","",IF(posicao_contratual!$Y133&gt;4,"",posicao_contratual!U133)))</f>
        <v/>
      </c>
      <c r="S133" s="176">
        <f>IF(A133="","",posicao_contratual!G133)</f>
        <v/>
      </c>
      <c r="T133" s="176">
        <f>IF(A133="","",posicao_contratual!K133)</f>
        <v/>
      </c>
      <c r="U133" s="176">
        <f>IF(A133="","",posicao_contratual!O133)</f>
        <v/>
      </c>
      <c r="V133" s="176">
        <f>IF(A133="","",posicao_contratual!S133)</f>
        <v/>
      </c>
      <c r="W133" s="176">
        <f>IF(A133="","",posicao_contratual!W133)</f>
        <v/>
      </c>
    </row>
    <row r="134">
      <c r="A134" s="91">
        <f>IF(itens_Remanesc!A134="","",itens_Remanesc!A134)</f>
        <v/>
      </c>
      <c r="B134" s="90">
        <f>IF(A134="","",IF(posicao_contratual!$Y134="","",IF(posicao_contratual!$Y134&gt;0,"",posicao_contratual!G134)))</f>
        <v/>
      </c>
      <c r="C134" s="335">
        <f>IF(itens_Remanesc!A134="","",IF(posicao_contratual!$Y134="","",IF(posicao_contratual!$Y134&gt;0,"",itens_Remanesc!C134)))</f>
        <v/>
      </c>
      <c r="D134" s="335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335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335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335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>
        <f>IF(OR(A134="",C134="",C134=0,NOT(ISNUMBER($L$6))),"",ROUND($L$6-1,4))</f>
        <v/>
      </c>
      <c r="I134" s="13" t="n"/>
      <c r="J134" s="13" t="n"/>
      <c r="K134" s="13" t="n"/>
      <c r="L134" s="13" t="n"/>
      <c r="M134" s="13" t="n"/>
      <c r="N134" s="155">
        <f>IF(A134="","",IF(posicao_contratual!$Y134="","",IF(posicao_contratual!$Y134&gt;0,"",posicao_contratual!E134)))</f>
        <v/>
      </c>
      <c r="O134" s="155">
        <f>IF(A134="","",IF(posicao_contratual!$Y134="","",IF(posicao_contratual!$Y134&gt;1,"",posicao_contratual!I134)))</f>
        <v/>
      </c>
      <c r="P134" s="155">
        <f>IF(A134="","",IF(posicao_contratual!$Y134="","",IF(posicao_contratual!$Y134&gt;2,"",posicao_contratual!M134)))</f>
        <v/>
      </c>
      <c r="Q134" s="155">
        <f>IF(A134="","",IF(posicao_contratual!$Y134="","",IF(posicao_contratual!$Y134&gt;3,"",posicao_contratual!Q134)))</f>
        <v/>
      </c>
      <c r="R134" s="155">
        <f>IF(A134="","",IF(posicao_contratual!$Y134="","",IF(posicao_contratual!$Y134&gt;4,"",posicao_contratual!U134)))</f>
        <v/>
      </c>
      <c r="S134" s="176">
        <f>IF(A134="","",posicao_contratual!G134)</f>
        <v/>
      </c>
      <c r="T134" s="176">
        <f>IF(A134="","",posicao_contratual!K134)</f>
        <v/>
      </c>
      <c r="U134" s="176">
        <f>IF(A134="","",posicao_contratual!O134)</f>
        <v/>
      </c>
      <c r="V134" s="176">
        <f>IF(A134="","",posicao_contratual!S134)</f>
        <v/>
      </c>
      <c r="W134" s="176">
        <f>IF(A134="","",posicao_contratual!W134)</f>
        <v/>
      </c>
    </row>
    <row r="135">
      <c r="A135" s="91">
        <f>IF(itens_Remanesc!A135="","",itens_Remanesc!A135)</f>
        <v/>
      </c>
      <c r="B135" s="90">
        <f>IF(A135="","",IF(posicao_contratual!$Y135="","",IF(posicao_contratual!$Y135&gt;0,"",posicao_contratual!G135)))</f>
        <v/>
      </c>
      <c r="C135" s="335">
        <f>IF(itens_Remanesc!A135="","",IF(posicao_contratual!$Y135="","",IF(posicao_contratual!$Y135&gt;0,"",itens_Remanesc!C135)))</f>
        <v/>
      </c>
      <c r="D135" s="335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335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335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335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>
        <f>IF(OR(A135="",C135="",C135=0,NOT(ISNUMBER($L$6))),"",ROUND($L$6-1,4))</f>
        <v/>
      </c>
      <c r="I135" s="13" t="n"/>
      <c r="J135" s="13" t="n"/>
      <c r="K135" s="13" t="n"/>
      <c r="L135" s="13" t="n"/>
      <c r="M135" s="13" t="n"/>
      <c r="N135" s="155">
        <f>IF(A135="","",IF(posicao_contratual!$Y135="","",IF(posicao_contratual!$Y135&gt;0,"",posicao_contratual!E135)))</f>
        <v/>
      </c>
      <c r="O135" s="155">
        <f>IF(A135="","",IF(posicao_contratual!$Y135="","",IF(posicao_contratual!$Y135&gt;1,"",posicao_contratual!I135)))</f>
        <v/>
      </c>
      <c r="P135" s="155">
        <f>IF(A135="","",IF(posicao_contratual!$Y135="","",IF(posicao_contratual!$Y135&gt;2,"",posicao_contratual!M135)))</f>
        <v/>
      </c>
      <c r="Q135" s="155">
        <f>IF(A135="","",IF(posicao_contratual!$Y135="","",IF(posicao_contratual!$Y135&gt;3,"",posicao_contratual!Q135)))</f>
        <v/>
      </c>
      <c r="R135" s="155">
        <f>IF(A135="","",IF(posicao_contratual!$Y135="","",IF(posicao_contratual!$Y135&gt;4,"",posicao_contratual!U135)))</f>
        <v/>
      </c>
      <c r="S135" s="176">
        <f>IF(A135="","",posicao_contratual!G135)</f>
        <v/>
      </c>
      <c r="T135" s="176">
        <f>IF(A135="","",posicao_contratual!K135)</f>
        <v/>
      </c>
      <c r="U135" s="176">
        <f>IF(A135="","",posicao_contratual!O135)</f>
        <v/>
      </c>
      <c r="V135" s="176">
        <f>IF(A135="","",posicao_contratual!S135)</f>
        <v/>
      </c>
      <c r="W135" s="176">
        <f>IF(A135="","",posicao_contratual!W135)</f>
        <v/>
      </c>
    </row>
    <row r="136">
      <c r="A136" s="91">
        <f>IF(itens_Remanesc!A136="","",itens_Remanesc!A136)</f>
        <v/>
      </c>
      <c r="B136" s="90">
        <f>IF(A136="","",IF(posicao_contratual!$Y136="","",IF(posicao_contratual!$Y136&gt;0,"",posicao_contratual!G136)))</f>
        <v/>
      </c>
      <c r="C136" s="335">
        <f>IF(itens_Remanesc!A136="","",IF(posicao_contratual!$Y136="","",IF(posicao_contratual!$Y136&gt;0,"",itens_Remanesc!C136)))</f>
        <v/>
      </c>
      <c r="D136" s="335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335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335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335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>
        <f>IF(OR(A136="",C136="",C136=0,NOT(ISNUMBER($L$6))),"",ROUND($L$6-1,4))</f>
        <v/>
      </c>
      <c r="I136" s="13" t="n"/>
      <c r="J136" s="13" t="n"/>
      <c r="K136" s="13" t="n"/>
      <c r="L136" s="13" t="n"/>
      <c r="M136" s="13" t="n"/>
      <c r="N136" s="155">
        <f>IF(A136="","",IF(posicao_contratual!$Y136="","",IF(posicao_contratual!$Y136&gt;0,"",posicao_contratual!E136)))</f>
        <v/>
      </c>
      <c r="O136" s="155">
        <f>IF(A136="","",IF(posicao_contratual!$Y136="","",IF(posicao_contratual!$Y136&gt;1,"",posicao_contratual!I136)))</f>
        <v/>
      </c>
      <c r="P136" s="155">
        <f>IF(A136="","",IF(posicao_contratual!$Y136="","",IF(posicao_contratual!$Y136&gt;2,"",posicao_contratual!M136)))</f>
        <v/>
      </c>
      <c r="Q136" s="155">
        <f>IF(A136="","",IF(posicao_contratual!$Y136="","",IF(posicao_contratual!$Y136&gt;3,"",posicao_contratual!Q136)))</f>
        <v/>
      </c>
      <c r="R136" s="155">
        <f>IF(A136="","",IF(posicao_contratual!$Y136="","",IF(posicao_contratual!$Y136&gt;4,"",posicao_contratual!U136)))</f>
        <v/>
      </c>
      <c r="S136" s="176">
        <f>IF(A136="","",posicao_contratual!G136)</f>
        <v/>
      </c>
      <c r="T136" s="176">
        <f>IF(A136="","",posicao_contratual!K136)</f>
        <v/>
      </c>
      <c r="U136" s="176">
        <f>IF(A136="","",posicao_contratual!O136)</f>
        <v/>
      </c>
      <c r="V136" s="176">
        <f>IF(A136="","",posicao_contratual!S136)</f>
        <v/>
      </c>
      <c r="W136" s="176">
        <f>IF(A136="","",posicao_contratual!W136)</f>
        <v/>
      </c>
    </row>
    <row r="137">
      <c r="A137" s="91">
        <f>IF(itens_Remanesc!A137="","",itens_Remanesc!A137)</f>
        <v/>
      </c>
      <c r="B137" s="90">
        <f>IF(A137="","",IF(posicao_contratual!$Y137="","",IF(posicao_contratual!$Y137&gt;0,"",posicao_contratual!G137)))</f>
        <v/>
      </c>
      <c r="C137" s="335">
        <f>IF(itens_Remanesc!A137="","",IF(posicao_contratual!$Y137="","",IF(posicao_contratual!$Y137&gt;0,"",itens_Remanesc!C137)))</f>
        <v/>
      </c>
      <c r="D137" s="335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335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335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335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>
        <f>IF(OR(A137="",C137="",C137=0,NOT(ISNUMBER($L$6))),"",ROUND($L$6-1,4))</f>
        <v/>
      </c>
      <c r="I137" s="13" t="n"/>
      <c r="J137" s="13" t="n"/>
      <c r="K137" s="13" t="n"/>
      <c r="L137" s="13" t="n"/>
      <c r="M137" s="13" t="n"/>
      <c r="N137" s="155">
        <f>IF(A137="","",IF(posicao_contratual!$Y137="","",IF(posicao_contratual!$Y137&gt;0,"",posicao_contratual!E137)))</f>
        <v/>
      </c>
      <c r="O137" s="155">
        <f>IF(A137="","",IF(posicao_contratual!$Y137="","",IF(posicao_contratual!$Y137&gt;1,"",posicao_contratual!I137)))</f>
        <v/>
      </c>
      <c r="P137" s="155">
        <f>IF(A137="","",IF(posicao_contratual!$Y137="","",IF(posicao_contratual!$Y137&gt;2,"",posicao_contratual!M137)))</f>
        <v/>
      </c>
      <c r="Q137" s="155">
        <f>IF(A137="","",IF(posicao_contratual!$Y137="","",IF(posicao_contratual!$Y137&gt;3,"",posicao_contratual!Q137)))</f>
        <v/>
      </c>
      <c r="R137" s="155">
        <f>IF(A137="","",IF(posicao_contratual!$Y137="","",IF(posicao_contratual!$Y137&gt;4,"",posicao_contratual!U137)))</f>
        <v/>
      </c>
      <c r="S137" s="176">
        <f>IF(A137="","",posicao_contratual!G137)</f>
        <v/>
      </c>
      <c r="T137" s="176">
        <f>IF(A137="","",posicao_contratual!K137)</f>
        <v/>
      </c>
      <c r="U137" s="176">
        <f>IF(A137="","",posicao_contratual!O137)</f>
        <v/>
      </c>
      <c r="V137" s="176">
        <f>IF(A137="","",posicao_contratual!S137)</f>
        <v/>
      </c>
      <c r="W137" s="176">
        <f>IF(A137="","",posicao_contratual!W137)</f>
        <v/>
      </c>
    </row>
    <row r="138">
      <c r="A138" s="91">
        <f>IF(itens_Remanesc!A138="","",itens_Remanesc!A138)</f>
        <v/>
      </c>
      <c r="B138" s="90">
        <f>IF(A138="","",IF(posicao_contratual!$Y138="","",IF(posicao_contratual!$Y138&gt;0,"",posicao_contratual!G138)))</f>
        <v/>
      </c>
      <c r="C138" s="335">
        <f>IF(itens_Remanesc!A138="","",IF(posicao_contratual!$Y138="","",IF(posicao_contratual!$Y138&gt;0,"",itens_Remanesc!C138)))</f>
        <v/>
      </c>
      <c r="D138" s="335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335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335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335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>
        <f>IF(OR(A138="",C138="",C138=0,NOT(ISNUMBER($L$6))),"",ROUND($L$6-1,4))</f>
        <v/>
      </c>
      <c r="I138" s="13" t="n"/>
      <c r="J138" s="13" t="n"/>
      <c r="K138" s="13" t="n"/>
      <c r="L138" s="13" t="n"/>
      <c r="M138" s="13" t="n"/>
      <c r="N138" s="155">
        <f>IF(A138="","",IF(posicao_contratual!$Y138="","",IF(posicao_contratual!$Y138&gt;0,"",posicao_contratual!E138)))</f>
        <v/>
      </c>
      <c r="O138" s="155">
        <f>IF(A138="","",IF(posicao_contratual!$Y138="","",IF(posicao_contratual!$Y138&gt;1,"",posicao_contratual!I138)))</f>
        <v/>
      </c>
      <c r="P138" s="155">
        <f>IF(A138="","",IF(posicao_contratual!$Y138="","",IF(posicao_contratual!$Y138&gt;2,"",posicao_contratual!M138)))</f>
        <v/>
      </c>
      <c r="Q138" s="155">
        <f>IF(A138="","",IF(posicao_contratual!$Y138="","",IF(posicao_contratual!$Y138&gt;3,"",posicao_contratual!Q138)))</f>
        <v/>
      </c>
      <c r="R138" s="155">
        <f>IF(A138="","",IF(posicao_contratual!$Y138="","",IF(posicao_contratual!$Y138&gt;4,"",posicao_contratual!U138)))</f>
        <v/>
      </c>
      <c r="S138" s="176">
        <f>IF(A138="","",posicao_contratual!G138)</f>
        <v/>
      </c>
      <c r="T138" s="176">
        <f>IF(A138="","",posicao_contratual!K138)</f>
        <v/>
      </c>
      <c r="U138" s="176">
        <f>IF(A138="","",posicao_contratual!O138)</f>
        <v/>
      </c>
      <c r="V138" s="176">
        <f>IF(A138="","",posicao_contratual!S138)</f>
        <v/>
      </c>
      <c r="W138" s="176">
        <f>IF(A138="","",posicao_contratual!W138)</f>
        <v/>
      </c>
    </row>
    <row r="139">
      <c r="A139" s="91">
        <f>IF(itens_Remanesc!A139="","",itens_Remanesc!A139)</f>
        <v/>
      </c>
      <c r="B139" s="90">
        <f>IF(A139="","",IF(posicao_contratual!$Y139="","",IF(posicao_contratual!$Y139&gt;0,"",posicao_contratual!G139)))</f>
        <v/>
      </c>
      <c r="C139" s="335">
        <f>IF(itens_Remanesc!A139="","",IF(posicao_contratual!$Y139="","",IF(posicao_contratual!$Y139&gt;0,"",itens_Remanesc!C139)))</f>
        <v/>
      </c>
      <c r="D139" s="335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335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335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335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>
        <f>IF(OR(A139="",C139="",C139=0,NOT(ISNUMBER($L$6))),"",ROUND($L$6-1,4))</f>
        <v/>
      </c>
      <c r="I139" s="13" t="n"/>
      <c r="J139" s="13" t="n"/>
      <c r="K139" s="13" t="n"/>
      <c r="L139" s="13" t="n"/>
      <c r="M139" s="13" t="n"/>
      <c r="N139" s="155">
        <f>IF(A139="","",IF(posicao_contratual!$Y139="","",IF(posicao_contratual!$Y139&gt;0,"",posicao_contratual!E139)))</f>
        <v/>
      </c>
      <c r="O139" s="155">
        <f>IF(A139="","",IF(posicao_contratual!$Y139="","",IF(posicao_contratual!$Y139&gt;1,"",posicao_contratual!I139)))</f>
        <v/>
      </c>
      <c r="P139" s="155">
        <f>IF(A139="","",IF(posicao_contratual!$Y139="","",IF(posicao_contratual!$Y139&gt;2,"",posicao_contratual!M139)))</f>
        <v/>
      </c>
      <c r="Q139" s="155">
        <f>IF(A139="","",IF(posicao_contratual!$Y139="","",IF(posicao_contratual!$Y139&gt;3,"",posicao_contratual!Q139)))</f>
        <v/>
      </c>
      <c r="R139" s="155">
        <f>IF(A139="","",IF(posicao_contratual!$Y139="","",IF(posicao_contratual!$Y139&gt;4,"",posicao_contratual!U139)))</f>
        <v/>
      </c>
      <c r="S139" s="176">
        <f>IF(A139="","",posicao_contratual!G139)</f>
        <v/>
      </c>
      <c r="T139" s="176">
        <f>IF(A139="","",posicao_contratual!K139)</f>
        <v/>
      </c>
      <c r="U139" s="176">
        <f>IF(A139="","",posicao_contratual!O139)</f>
        <v/>
      </c>
      <c r="V139" s="176">
        <f>IF(A139="","",posicao_contratual!S139)</f>
        <v/>
      </c>
      <c r="W139" s="176">
        <f>IF(A139="","",posicao_contratual!W139)</f>
        <v/>
      </c>
    </row>
    <row r="140">
      <c r="A140" s="91">
        <f>IF(itens_Remanesc!A140="","",itens_Remanesc!A140)</f>
        <v/>
      </c>
      <c r="B140" s="90">
        <f>IF(A140="","",IF(posicao_contratual!$Y140="","",IF(posicao_contratual!$Y140&gt;0,"",posicao_contratual!G140)))</f>
        <v/>
      </c>
      <c r="C140" s="335">
        <f>IF(itens_Remanesc!A140="","",IF(posicao_contratual!$Y140="","",IF(posicao_contratual!$Y140&gt;0,"",itens_Remanesc!C140)))</f>
        <v/>
      </c>
      <c r="D140" s="335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335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335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335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>
        <f>IF(OR(A140="",C140="",C140=0,NOT(ISNUMBER($L$6))),"",ROUND($L$6-1,4))</f>
        <v/>
      </c>
      <c r="I140" s="13" t="n"/>
      <c r="J140" s="13" t="n"/>
      <c r="K140" s="13" t="n"/>
      <c r="L140" s="13" t="n"/>
      <c r="M140" s="13" t="n"/>
      <c r="N140" s="155">
        <f>IF(A140="","",IF(posicao_contratual!$Y140="","",IF(posicao_contratual!$Y140&gt;0,"",posicao_contratual!E140)))</f>
        <v/>
      </c>
      <c r="O140" s="155">
        <f>IF(A140="","",IF(posicao_contratual!$Y140="","",IF(posicao_contratual!$Y140&gt;1,"",posicao_contratual!I140)))</f>
        <v/>
      </c>
      <c r="P140" s="155">
        <f>IF(A140="","",IF(posicao_contratual!$Y140="","",IF(posicao_contratual!$Y140&gt;2,"",posicao_contratual!M140)))</f>
        <v/>
      </c>
      <c r="Q140" s="155">
        <f>IF(A140="","",IF(posicao_contratual!$Y140="","",IF(posicao_contratual!$Y140&gt;3,"",posicao_contratual!Q140)))</f>
        <v/>
      </c>
      <c r="R140" s="155">
        <f>IF(A140="","",IF(posicao_contratual!$Y140="","",IF(posicao_contratual!$Y140&gt;4,"",posicao_contratual!U140)))</f>
        <v/>
      </c>
      <c r="S140" s="176">
        <f>IF(A140="","",posicao_contratual!G140)</f>
        <v/>
      </c>
      <c r="T140" s="176">
        <f>IF(A140="","",posicao_contratual!K140)</f>
        <v/>
      </c>
      <c r="U140" s="176">
        <f>IF(A140="","",posicao_contratual!O140)</f>
        <v/>
      </c>
      <c r="V140" s="176">
        <f>IF(A140="","",posicao_contratual!S140)</f>
        <v/>
      </c>
      <c r="W140" s="176">
        <f>IF(A140="","",posicao_contratual!W140)</f>
        <v/>
      </c>
    </row>
    <row r="141">
      <c r="A141" s="91">
        <f>IF(itens_Remanesc!A141="","",itens_Remanesc!A141)</f>
        <v/>
      </c>
      <c r="B141" s="90">
        <f>IF(A141="","",IF(posicao_contratual!$Y141="","",IF(posicao_contratual!$Y141&gt;0,"",posicao_contratual!G141)))</f>
        <v/>
      </c>
      <c r="C141" s="335">
        <f>IF(itens_Remanesc!A141="","",IF(posicao_contratual!$Y141="","",IF(posicao_contratual!$Y141&gt;0,"",itens_Remanesc!C141)))</f>
        <v/>
      </c>
      <c r="D141" s="335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335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335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335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>
        <f>IF(OR(A141="",C141="",C141=0,NOT(ISNUMBER($L$6))),"",ROUND($L$6-1,4))</f>
        <v/>
      </c>
      <c r="I141" s="13" t="n"/>
      <c r="J141" s="13" t="n"/>
      <c r="K141" s="13" t="n"/>
      <c r="L141" s="13" t="n"/>
      <c r="M141" s="13" t="n"/>
      <c r="N141" s="155">
        <f>IF(A141="","",IF(posicao_contratual!$Y141="","",IF(posicao_contratual!$Y141&gt;0,"",posicao_contratual!E141)))</f>
        <v/>
      </c>
      <c r="O141" s="155">
        <f>IF(A141="","",IF(posicao_contratual!$Y141="","",IF(posicao_contratual!$Y141&gt;1,"",posicao_contratual!I141)))</f>
        <v/>
      </c>
      <c r="P141" s="155">
        <f>IF(A141="","",IF(posicao_contratual!$Y141="","",IF(posicao_contratual!$Y141&gt;2,"",posicao_contratual!M141)))</f>
        <v/>
      </c>
      <c r="Q141" s="155">
        <f>IF(A141="","",IF(posicao_contratual!$Y141="","",IF(posicao_contratual!$Y141&gt;3,"",posicao_contratual!Q141)))</f>
        <v/>
      </c>
      <c r="R141" s="155">
        <f>IF(A141="","",IF(posicao_contratual!$Y141="","",IF(posicao_contratual!$Y141&gt;4,"",posicao_contratual!U141)))</f>
        <v/>
      </c>
      <c r="S141" s="176">
        <f>IF(A141="","",posicao_contratual!G141)</f>
        <v/>
      </c>
      <c r="T141" s="176">
        <f>IF(A141="","",posicao_contratual!K141)</f>
        <v/>
      </c>
      <c r="U141" s="176">
        <f>IF(A141="","",posicao_contratual!O141)</f>
        <v/>
      </c>
      <c r="V141" s="176">
        <f>IF(A141="","",posicao_contratual!S141)</f>
        <v/>
      </c>
      <c r="W141" s="176">
        <f>IF(A141="","",posicao_contratual!W141)</f>
        <v/>
      </c>
    </row>
    <row r="142">
      <c r="A142" s="91">
        <f>IF(itens_Remanesc!A142="","",itens_Remanesc!A142)</f>
        <v/>
      </c>
      <c r="B142" s="90">
        <f>IF(A142="","",IF(posicao_contratual!$Y142="","",IF(posicao_contratual!$Y142&gt;0,"",posicao_contratual!G142)))</f>
        <v/>
      </c>
      <c r="C142" s="335">
        <f>IF(itens_Remanesc!A142="","",IF(posicao_contratual!$Y142="","",IF(posicao_contratual!$Y142&gt;0,"",itens_Remanesc!C142)))</f>
        <v/>
      </c>
      <c r="D142" s="335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335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335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335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>
        <f>IF(OR(A142="",C142="",C142=0,NOT(ISNUMBER($L$6))),"",ROUND($L$6-1,4))</f>
        <v/>
      </c>
      <c r="I142" s="13" t="n"/>
      <c r="J142" s="13" t="n"/>
      <c r="K142" s="13" t="n"/>
      <c r="L142" s="13" t="n"/>
      <c r="M142" s="13" t="n"/>
      <c r="N142" s="155">
        <f>IF(A142="","",IF(posicao_contratual!$Y142="","",IF(posicao_contratual!$Y142&gt;0,"",posicao_contratual!E142)))</f>
        <v/>
      </c>
      <c r="O142" s="155">
        <f>IF(A142="","",IF(posicao_contratual!$Y142="","",IF(posicao_contratual!$Y142&gt;1,"",posicao_contratual!I142)))</f>
        <v/>
      </c>
      <c r="P142" s="155">
        <f>IF(A142="","",IF(posicao_contratual!$Y142="","",IF(posicao_contratual!$Y142&gt;2,"",posicao_contratual!M142)))</f>
        <v/>
      </c>
      <c r="Q142" s="155">
        <f>IF(A142="","",IF(posicao_contratual!$Y142="","",IF(posicao_contratual!$Y142&gt;3,"",posicao_contratual!Q142)))</f>
        <v/>
      </c>
      <c r="R142" s="155">
        <f>IF(A142="","",IF(posicao_contratual!$Y142="","",IF(posicao_contratual!$Y142&gt;4,"",posicao_contratual!U142)))</f>
        <v/>
      </c>
      <c r="S142" s="176">
        <f>IF(A142="","",posicao_contratual!G142)</f>
        <v/>
      </c>
      <c r="T142" s="176">
        <f>IF(A142="","",posicao_contratual!K142)</f>
        <v/>
      </c>
      <c r="U142" s="176">
        <f>IF(A142="","",posicao_contratual!O142)</f>
        <v/>
      </c>
      <c r="V142" s="176">
        <f>IF(A142="","",posicao_contratual!S142)</f>
        <v/>
      </c>
      <c r="W142" s="176">
        <f>IF(A142="","",posicao_contratual!W142)</f>
        <v/>
      </c>
    </row>
    <row r="143">
      <c r="A143" s="91">
        <f>IF(itens_Remanesc!A143="","",itens_Remanesc!A143)</f>
        <v/>
      </c>
      <c r="B143" s="90">
        <f>IF(A143="","",IF(posicao_contratual!$Y143="","",IF(posicao_contratual!$Y143&gt;0,"",posicao_contratual!G143)))</f>
        <v/>
      </c>
      <c r="C143" s="335">
        <f>IF(itens_Remanesc!A143="","",IF(posicao_contratual!$Y143="","",IF(posicao_contratual!$Y143&gt;0,"",itens_Remanesc!C143)))</f>
        <v/>
      </c>
      <c r="D143" s="335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335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335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335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>
        <f>IF(OR(A143="",C143="",C143=0,NOT(ISNUMBER($L$6))),"",ROUND($L$6-1,4))</f>
        <v/>
      </c>
      <c r="I143" s="13" t="n"/>
      <c r="J143" s="13" t="n"/>
      <c r="K143" s="13" t="n"/>
      <c r="L143" s="13" t="n"/>
      <c r="M143" s="13" t="n"/>
      <c r="N143" s="155">
        <f>IF(A143="","",IF(posicao_contratual!$Y143="","",IF(posicao_contratual!$Y143&gt;0,"",posicao_contratual!E143)))</f>
        <v/>
      </c>
      <c r="O143" s="155">
        <f>IF(A143="","",IF(posicao_contratual!$Y143="","",IF(posicao_contratual!$Y143&gt;1,"",posicao_contratual!I143)))</f>
        <v/>
      </c>
      <c r="P143" s="155">
        <f>IF(A143="","",IF(posicao_contratual!$Y143="","",IF(posicao_contratual!$Y143&gt;2,"",posicao_contratual!M143)))</f>
        <v/>
      </c>
      <c r="Q143" s="155">
        <f>IF(A143="","",IF(posicao_contratual!$Y143="","",IF(posicao_contratual!$Y143&gt;3,"",posicao_contratual!Q143)))</f>
        <v/>
      </c>
      <c r="R143" s="155">
        <f>IF(A143="","",IF(posicao_contratual!$Y143="","",IF(posicao_contratual!$Y143&gt;4,"",posicao_contratual!U143)))</f>
        <v/>
      </c>
      <c r="S143" s="176">
        <f>IF(A143="","",posicao_contratual!G143)</f>
        <v/>
      </c>
      <c r="T143" s="176">
        <f>IF(A143="","",posicao_contratual!K143)</f>
        <v/>
      </c>
      <c r="U143" s="176">
        <f>IF(A143="","",posicao_contratual!O143)</f>
        <v/>
      </c>
      <c r="V143" s="176">
        <f>IF(A143="","",posicao_contratual!S143)</f>
        <v/>
      </c>
      <c r="W143" s="176">
        <f>IF(A143="","",posicao_contratual!W143)</f>
        <v/>
      </c>
    </row>
    <row r="144">
      <c r="A144" s="91">
        <f>IF(itens_Remanesc!A144="","",itens_Remanesc!A144)</f>
        <v/>
      </c>
      <c r="B144" s="90">
        <f>IF(A144="","",IF(posicao_contratual!$Y144="","",IF(posicao_contratual!$Y144&gt;0,"",posicao_contratual!G144)))</f>
        <v/>
      </c>
      <c r="C144" s="335">
        <f>IF(itens_Remanesc!A144="","",IF(posicao_contratual!$Y144="","",IF(posicao_contratual!$Y144&gt;0,"",itens_Remanesc!C144)))</f>
        <v/>
      </c>
      <c r="D144" s="335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335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335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335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>
        <f>IF(OR(A144="",C144="",C144=0,NOT(ISNUMBER($L$6))),"",ROUND($L$6-1,4))</f>
        <v/>
      </c>
      <c r="I144" s="13" t="n"/>
      <c r="J144" s="13" t="n"/>
      <c r="K144" s="13" t="n"/>
      <c r="L144" s="13" t="n"/>
      <c r="M144" s="13" t="n"/>
      <c r="N144" s="155">
        <f>IF(A144="","",IF(posicao_contratual!$Y144="","",IF(posicao_contratual!$Y144&gt;0,"",posicao_contratual!E144)))</f>
        <v/>
      </c>
      <c r="O144" s="155">
        <f>IF(A144="","",IF(posicao_contratual!$Y144="","",IF(posicao_contratual!$Y144&gt;1,"",posicao_contratual!I144)))</f>
        <v/>
      </c>
      <c r="P144" s="155">
        <f>IF(A144="","",IF(posicao_contratual!$Y144="","",IF(posicao_contratual!$Y144&gt;2,"",posicao_contratual!M144)))</f>
        <v/>
      </c>
      <c r="Q144" s="155">
        <f>IF(A144="","",IF(posicao_contratual!$Y144="","",IF(posicao_contratual!$Y144&gt;3,"",posicao_contratual!Q144)))</f>
        <v/>
      </c>
      <c r="R144" s="155">
        <f>IF(A144="","",IF(posicao_contratual!$Y144="","",IF(posicao_contratual!$Y144&gt;4,"",posicao_contratual!U144)))</f>
        <v/>
      </c>
      <c r="S144" s="176">
        <f>IF(A144="","",posicao_contratual!G144)</f>
        <v/>
      </c>
      <c r="T144" s="176">
        <f>IF(A144="","",posicao_contratual!K144)</f>
        <v/>
      </c>
      <c r="U144" s="176">
        <f>IF(A144="","",posicao_contratual!O144)</f>
        <v/>
      </c>
      <c r="V144" s="176">
        <f>IF(A144="","",posicao_contratual!S144)</f>
        <v/>
      </c>
      <c r="W144" s="176">
        <f>IF(A144="","",posicao_contratual!W144)</f>
        <v/>
      </c>
    </row>
    <row r="145">
      <c r="A145" s="91">
        <f>IF(itens_Remanesc!A145="","",itens_Remanesc!A145)</f>
        <v/>
      </c>
      <c r="B145" s="90">
        <f>IF(A145="","",IF(posicao_contratual!$Y145="","",IF(posicao_contratual!$Y145&gt;0,"",posicao_contratual!G145)))</f>
        <v/>
      </c>
      <c r="C145" s="335">
        <f>IF(itens_Remanesc!A145="","",IF(posicao_contratual!$Y145="","",IF(posicao_contratual!$Y145&gt;0,"",itens_Remanesc!C145)))</f>
        <v/>
      </c>
      <c r="D145" s="335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335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335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335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>
        <f>IF(OR(A145="",C145="",C145=0,NOT(ISNUMBER($L$6))),"",ROUND($L$6-1,4))</f>
        <v/>
      </c>
      <c r="I145" s="13" t="n"/>
      <c r="J145" s="13" t="n"/>
      <c r="K145" s="13" t="n"/>
      <c r="L145" s="13" t="n"/>
      <c r="M145" s="13" t="n"/>
      <c r="N145" s="155">
        <f>IF(A145="","",IF(posicao_contratual!$Y145="","",IF(posicao_contratual!$Y145&gt;0,"",posicao_contratual!E145)))</f>
        <v/>
      </c>
      <c r="O145" s="155">
        <f>IF(A145="","",IF(posicao_contratual!$Y145="","",IF(posicao_contratual!$Y145&gt;1,"",posicao_contratual!I145)))</f>
        <v/>
      </c>
      <c r="P145" s="155">
        <f>IF(A145="","",IF(posicao_contratual!$Y145="","",IF(posicao_contratual!$Y145&gt;2,"",posicao_contratual!M145)))</f>
        <v/>
      </c>
      <c r="Q145" s="155">
        <f>IF(A145="","",IF(posicao_contratual!$Y145="","",IF(posicao_contratual!$Y145&gt;3,"",posicao_contratual!Q145)))</f>
        <v/>
      </c>
      <c r="R145" s="155">
        <f>IF(A145="","",IF(posicao_contratual!$Y145="","",IF(posicao_contratual!$Y145&gt;4,"",posicao_contratual!U145)))</f>
        <v/>
      </c>
      <c r="S145" s="176">
        <f>IF(A145="","",posicao_contratual!G145)</f>
        <v/>
      </c>
      <c r="T145" s="176">
        <f>IF(A145="","",posicao_contratual!K145)</f>
        <v/>
      </c>
      <c r="U145" s="176">
        <f>IF(A145="","",posicao_contratual!O145)</f>
        <v/>
      </c>
      <c r="V145" s="176">
        <f>IF(A145="","",posicao_contratual!S145)</f>
        <v/>
      </c>
      <c r="W145" s="176">
        <f>IF(A145="","",posicao_contratual!W145)</f>
        <v/>
      </c>
    </row>
    <row r="146">
      <c r="A146" s="91">
        <f>IF(itens_Remanesc!A146="","",itens_Remanesc!A146)</f>
        <v/>
      </c>
      <c r="B146" s="90">
        <f>IF(A146="","",IF(posicao_contratual!$Y146="","",IF(posicao_contratual!$Y146&gt;0,"",posicao_contratual!G146)))</f>
        <v/>
      </c>
      <c r="C146" s="335">
        <f>IF(itens_Remanesc!A146="","",IF(posicao_contratual!$Y146="","",IF(posicao_contratual!$Y146&gt;0,"",itens_Remanesc!C146)))</f>
        <v/>
      </c>
      <c r="D146" s="335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335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335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335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>
        <f>IF(OR(A146="",C146="",C146=0,NOT(ISNUMBER($L$6))),"",ROUND($L$6-1,4))</f>
        <v/>
      </c>
      <c r="I146" s="13" t="n"/>
      <c r="J146" s="13" t="n"/>
      <c r="K146" s="13" t="n"/>
      <c r="L146" s="13" t="n"/>
      <c r="M146" s="13" t="n"/>
      <c r="N146" s="155">
        <f>IF(A146="","",IF(posicao_contratual!$Y146="","",IF(posicao_contratual!$Y146&gt;0,"",posicao_contratual!E146)))</f>
        <v/>
      </c>
      <c r="O146" s="155">
        <f>IF(A146="","",IF(posicao_contratual!$Y146="","",IF(posicao_contratual!$Y146&gt;1,"",posicao_contratual!I146)))</f>
        <v/>
      </c>
      <c r="P146" s="155">
        <f>IF(A146="","",IF(posicao_contratual!$Y146="","",IF(posicao_contratual!$Y146&gt;2,"",posicao_contratual!M146)))</f>
        <v/>
      </c>
      <c r="Q146" s="155">
        <f>IF(A146="","",IF(posicao_contratual!$Y146="","",IF(posicao_contratual!$Y146&gt;3,"",posicao_contratual!Q146)))</f>
        <v/>
      </c>
      <c r="R146" s="155">
        <f>IF(A146="","",IF(posicao_contratual!$Y146="","",IF(posicao_contratual!$Y146&gt;4,"",posicao_contratual!U146)))</f>
        <v/>
      </c>
      <c r="S146" s="176">
        <f>IF(A146="","",posicao_contratual!G146)</f>
        <v/>
      </c>
      <c r="T146" s="176">
        <f>IF(A146="","",posicao_contratual!K146)</f>
        <v/>
      </c>
      <c r="U146" s="176">
        <f>IF(A146="","",posicao_contratual!O146)</f>
        <v/>
      </c>
      <c r="V146" s="176">
        <f>IF(A146="","",posicao_contratual!S146)</f>
        <v/>
      </c>
      <c r="W146" s="176">
        <f>IF(A146="","",posicao_contratual!W146)</f>
        <v/>
      </c>
    </row>
    <row r="147">
      <c r="A147" s="91">
        <f>IF(itens_Remanesc!A147="","",itens_Remanesc!A147)</f>
        <v/>
      </c>
      <c r="B147" s="90">
        <f>IF(A147="","",IF(posicao_contratual!$Y147="","",IF(posicao_contratual!$Y147&gt;0,"",posicao_contratual!G147)))</f>
        <v/>
      </c>
      <c r="C147" s="335">
        <f>IF(itens_Remanesc!A147="","",IF(posicao_contratual!$Y147="","",IF(posicao_contratual!$Y147&gt;0,"",itens_Remanesc!C147)))</f>
        <v/>
      </c>
      <c r="D147" s="335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335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335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335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>
        <f>IF(OR(A147="",C147="",C147=0,NOT(ISNUMBER($L$6))),"",ROUND($L$6-1,4))</f>
        <v/>
      </c>
      <c r="I147" s="13" t="n"/>
      <c r="J147" s="13" t="n"/>
      <c r="K147" s="13" t="n"/>
      <c r="L147" s="13" t="n"/>
      <c r="M147" s="13" t="n"/>
      <c r="N147" s="155">
        <f>IF(A147="","",IF(posicao_contratual!$Y147="","",IF(posicao_contratual!$Y147&gt;0,"",posicao_contratual!E147)))</f>
        <v/>
      </c>
      <c r="O147" s="155">
        <f>IF(A147="","",IF(posicao_contratual!$Y147="","",IF(posicao_contratual!$Y147&gt;1,"",posicao_contratual!I147)))</f>
        <v/>
      </c>
      <c r="P147" s="155">
        <f>IF(A147="","",IF(posicao_contratual!$Y147="","",IF(posicao_contratual!$Y147&gt;2,"",posicao_contratual!M147)))</f>
        <v/>
      </c>
      <c r="Q147" s="155">
        <f>IF(A147="","",IF(posicao_contratual!$Y147="","",IF(posicao_contratual!$Y147&gt;3,"",posicao_contratual!Q147)))</f>
        <v/>
      </c>
      <c r="R147" s="155">
        <f>IF(A147="","",IF(posicao_contratual!$Y147="","",IF(posicao_contratual!$Y147&gt;4,"",posicao_contratual!U147)))</f>
        <v/>
      </c>
      <c r="S147" s="176">
        <f>IF(A147="","",posicao_contratual!G147)</f>
        <v/>
      </c>
      <c r="T147" s="176">
        <f>IF(A147="","",posicao_contratual!K147)</f>
        <v/>
      </c>
      <c r="U147" s="176">
        <f>IF(A147="","",posicao_contratual!O147)</f>
        <v/>
      </c>
      <c r="V147" s="176">
        <f>IF(A147="","",posicao_contratual!S147)</f>
        <v/>
      </c>
      <c r="W147" s="176">
        <f>IF(A147="","",posicao_contratual!W147)</f>
        <v/>
      </c>
    </row>
    <row r="148">
      <c r="A148" s="91">
        <f>IF(itens_Remanesc!A148="","",itens_Remanesc!A148)</f>
        <v/>
      </c>
      <c r="B148" s="90">
        <f>IF(A148="","",IF(posicao_contratual!$Y148="","",IF(posicao_contratual!$Y148&gt;0,"",posicao_contratual!G148)))</f>
        <v/>
      </c>
      <c r="C148" s="335">
        <f>IF(itens_Remanesc!A148="","",IF(posicao_contratual!$Y148="","",IF(posicao_contratual!$Y148&gt;0,"",itens_Remanesc!C148)))</f>
        <v/>
      </c>
      <c r="D148" s="335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335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335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335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>
        <f>IF(OR(A148="",C148="",C148=0,NOT(ISNUMBER($L$6))),"",ROUND($L$6-1,4))</f>
        <v/>
      </c>
      <c r="I148" s="13" t="n"/>
      <c r="J148" s="13" t="n"/>
      <c r="K148" s="13" t="n"/>
      <c r="L148" s="13" t="n"/>
      <c r="M148" s="13" t="n"/>
      <c r="N148" s="155">
        <f>IF(A148="","",IF(posicao_contratual!$Y148="","",IF(posicao_contratual!$Y148&gt;0,"",posicao_contratual!E148)))</f>
        <v/>
      </c>
      <c r="O148" s="155">
        <f>IF(A148="","",IF(posicao_contratual!$Y148="","",IF(posicao_contratual!$Y148&gt;1,"",posicao_contratual!I148)))</f>
        <v/>
      </c>
      <c r="P148" s="155">
        <f>IF(A148="","",IF(posicao_contratual!$Y148="","",IF(posicao_contratual!$Y148&gt;2,"",posicao_contratual!M148)))</f>
        <v/>
      </c>
      <c r="Q148" s="155">
        <f>IF(A148="","",IF(posicao_contratual!$Y148="","",IF(posicao_contratual!$Y148&gt;3,"",posicao_contratual!Q148)))</f>
        <v/>
      </c>
      <c r="R148" s="155">
        <f>IF(A148="","",IF(posicao_contratual!$Y148="","",IF(posicao_contratual!$Y148&gt;4,"",posicao_contratual!U148)))</f>
        <v/>
      </c>
      <c r="S148" s="176">
        <f>IF(A148="","",posicao_contratual!G148)</f>
        <v/>
      </c>
      <c r="T148" s="176">
        <f>IF(A148="","",posicao_contratual!K148)</f>
        <v/>
      </c>
      <c r="U148" s="176">
        <f>IF(A148="","",posicao_contratual!O148)</f>
        <v/>
      </c>
      <c r="V148" s="176">
        <f>IF(A148="","",posicao_contratual!S148)</f>
        <v/>
      </c>
      <c r="W148" s="176">
        <f>IF(A148="","",posicao_contratual!W148)</f>
        <v/>
      </c>
    </row>
    <row r="149">
      <c r="A149" s="91">
        <f>IF(itens_Remanesc!A149="","",itens_Remanesc!A149)</f>
        <v/>
      </c>
      <c r="B149" s="90">
        <f>IF(A149="","",IF(posicao_contratual!$Y149="","",IF(posicao_contratual!$Y149&gt;0,"",posicao_contratual!G149)))</f>
        <v/>
      </c>
      <c r="C149" s="335">
        <f>IF(itens_Remanesc!A149="","",IF(posicao_contratual!$Y149="","",IF(posicao_contratual!$Y149&gt;0,"",itens_Remanesc!C149)))</f>
        <v/>
      </c>
      <c r="D149" s="335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335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335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335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>
        <f>IF(OR(A149="",C149="",C149=0,NOT(ISNUMBER($L$6))),"",ROUND($L$6-1,4))</f>
        <v/>
      </c>
      <c r="I149" s="13" t="n"/>
      <c r="J149" s="13" t="n"/>
      <c r="K149" s="13" t="n"/>
      <c r="L149" s="13" t="n"/>
      <c r="M149" s="13" t="n"/>
      <c r="N149" s="155">
        <f>IF(A149="","",IF(posicao_contratual!$Y149="","",IF(posicao_contratual!$Y149&gt;0,"",posicao_contratual!E149)))</f>
        <v/>
      </c>
      <c r="O149" s="155">
        <f>IF(A149="","",IF(posicao_contratual!$Y149="","",IF(posicao_contratual!$Y149&gt;1,"",posicao_contratual!I149)))</f>
        <v/>
      </c>
      <c r="P149" s="155">
        <f>IF(A149="","",IF(posicao_contratual!$Y149="","",IF(posicao_contratual!$Y149&gt;2,"",posicao_contratual!M149)))</f>
        <v/>
      </c>
      <c r="Q149" s="155">
        <f>IF(A149="","",IF(posicao_contratual!$Y149="","",IF(posicao_contratual!$Y149&gt;3,"",posicao_contratual!Q149)))</f>
        <v/>
      </c>
      <c r="R149" s="155">
        <f>IF(A149="","",IF(posicao_contratual!$Y149="","",IF(posicao_contratual!$Y149&gt;4,"",posicao_contratual!U149)))</f>
        <v/>
      </c>
      <c r="S149" s="176">
        <f>IF(A149="","",posicao_contratual!G149)</f>
        <v/>
      </c>
      <c r="T149" s="176">
        <f>IF(A149="","",posicao_contratual!K149)</f>
        <v/>
      </c>
      <c r="U149" s="176">
        <f>IF(A149="","",posicao_contratual!O149)</f>
        <v/>
      </c>
      <c r="V149" s="176">
        <f>IF(A149="","",posicao_contratual!S149)</f>
        <v/>
      </c>
      <c r="W149" s="176">
        <f>IF(A149="","",posicao_contratual!W149)</f>
        <v/>
      </c>
    </row>
    <row r="150">
      <c r="A150" s="91">
        <f>IF(itens_Remanesc!A150="","",itens_Remanesc!A150)</f>
        <v/>
      </c>
      <c r="B150" s="90">
        <f>IF(A150="","",IF(posicao_contratual!$Y150="","",IF(posicao_contratual!$Y150&gt;0,"",posicao_contratual!G150)))</f>
        <v/>
      </c>
      <c r="C150" s="335">
        <f>IF(itens_Remanesc!A150="","",IF(posicao_contratual!$Y150="","",IF(posicao_contratual!$Y150&gt;0,"",itens_Remanesc!C150)))</f>
        <v/>
      </c>
      <c r="D150" s="335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335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335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335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>
        <f>IF(OR(A150="",C150="",C150=0,NOT(ISNUMBER($L$6))),"",ROUND($L$6-1,4))</f>
        <v/>
      </c>
      <c r="I150" s="13" t="n"/>
      <c r="J150" s="13" t="n"/>
      <c r="K150" s="13" t="n"/>
      <c r="L150" s="13" t="n"/>
      <c r="M150" s="13" t="n"/>
      <c r="N150" s="155">
        <f>IF(A150="","",IF(posicao_contratual!$Y150="","",IF(posicao_contratual!$Y150&gt;0,"",posicao_contratual!E150)))</f>
        <v/>
      </c>
      <c r="O150" s="155">
        <f>IF(A150="","",IF(posicao_contratual!$Y150="","",IF(posicao_contratual!$Y150&gt;1,"",posicao_contratual!I150)))</f>
        <v/>
      </c>
      <c r="P150" s="155">
        <f>IF(A150="","",IF(posicao_contratual!$Y150="","",IF(posicao_contratual!$Y150&gt;2,"",posicao_contratual!M150)))</f>
        <v/>
      </c>
      <c r="Q150" s="155">
        <f>IF(A150="","",IF(posicao_contratual!$Y150="","",IF(posicao_contratual!$Y150&gt;3,"",posicao_contratual!Q150)))</f>
        <v/>
      </c>
      <c r="R150" s="155">
        <f>IF(A150="","",IF(posicao_contratual!$Y150="","",IF(posicao_contratual!$Y150&gt;4,"",posicao_contratual!U150)))</f>
        <v/>
      </c>
      <c r="S150" s="176">
        <f>IF(A150="","",posicao_contratual!G150)</f>
        <v/>
      </c>
      <c r="T150" s="176">
        <f>IF(A150="","",posicao_contratual!K150)</f>
        <v/>
      </c>
      <c r="U150" s="176">
        <f>IF(A150="","",posicao_contratual!O150)</f>
        <v/>
      </c>
      <c r="V150" s="176">
        <f>IF(A150="","",posicao_contratual!S150)</f>
        <v/>
      </c>
      <c r="W150" s="176">
        <f>IF(A150="","",posicao_contratual!W150)</f>
        <v/>
      </c>
    </row>
    <row r="151">
      <c r="A151" s="91">
        <f>IF(itens_Remanesc!A151="","",itens_Remanesc!A151)</f>
        <v/>
      </c>
      <c r="B151" s="90">
        <f>IF(A151="","",IF(posicao_contratual!$Y151="","",IF(posicao_contratual!$Y151&gt;0,"",posicao_contratual!G151)))</f>
        <v/>
      </c>
      <c r="C151" s="335">
        <f>IF(itens_Remanesc!A151="","",IF(posicao_contratual!$Y151="","",IF(posicao_contratual!$Y151&gt;0,"",itens_Remanesc!C151)))</f>
        <v/>
      </c>
      <c r="D151" s="335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335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335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335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>
        <f>IF(OR(A151="",C151="",C151=0,NOT(ISNUMBER($L$6))),"",ROUND($L$6-1,4))</f>
        <v/>
      </c>
      <c r="I151" s="13" t="n"/>
      <c r="J151" s="13" t="n"/>
      <c r="K151" s="13" t="n"/>
      <c r="L151" s="13" t="n"/>
      <c r="M151" s="13" t="n"/>
      <c r="N151" s="155">
        <f>IF(A151="","",IF(posicao_contratual!$Y151="","",IF(posicao_contratual!$Y151&gt;0,"",posicao_contratual!E151)))</f>
        <v/>
      </c>
      <c r="O151" s="155">
        <f>IF(A151="","",IF(posicao_contratual!$Y151="","",IF(posicao_contratual!$Y151&gt;1,"",posicao_contratual!I151)))</f>
        <v/>
      </c>
      <c r="P151" s="155">
        <f>IF(A151="","",IF(posicao_contratual!$Y151="","",IF(posicao_contratual!$Y151&gt;2,"",posicao_contratual!M151)))</f>
        <v/>
      </c>
      <c r="Q151" s="155">
        <f>IF(A151="","",IF(posicao_contratual!$Y151="","",IF(posicao_contratual!$Y151&gt;3,"",posicao_contratual!Q151)))</f>
        <v/>
      </c>
      <c r="R151" s="155">
        <f>IF(A151="","",IF(posicao_contratual!$Y151="","",IF(posicao_contratual!$Y151&gt;4,"",posicao_contratual!U151)))</f>
        <v/>
      </c>
      <c r="S151" s="176">
        <f>IF(A151="","",posicao_contratual!G151)</f>
        <v/>
      </c>
      <c r="T151" s="176">
        <f>IF(A151="","",posicao_contratual!K151)</f>
        <v/>
      </c>
      <c r="U151" s="176">
        <f>IF(A151="","",posicao_contratual!O151)</f>
        <v/>
      </c>
      <c r="V151" s="176">
        <f>IF(A151="","",posicao_contratual!S151)</f>
        <v/>
      </c>
      <c r="W151" s="176">
        <f>IF(A151="","",posicao_contratual!W151)</f>
        <v/>
      </c>
    </row>
    <row r="152">
      <c r="A152" s="91">
        <f>IF(itens_Remanesc!A152="","",itens_Remanesc!A152)</f>
        <v/>
      </c>
      <c r="B152" s="90">
        <f>IF(A152="","",IF(posicao_contratual!$Y152="","",IF(posicao_contratual!$Y152&gt;0,"",posicao_contratual!G152)))</f>
        <v/>
      </c>
      <c r="C152" s="335">
        <f>IF(itens_Remanesc!A152="","",IF(posicao_contratual!$Y152="","",IF(posicao_contratual!$Y152&gt;0,"",itens_Remanesc!C152)))</f>
        <v/>
      </c>
      <c r="D152" s="335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335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335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335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>
        <f>IF(OR(A152="",C152="",C152=0,NOT(ISNUMBER($L$6))),"",ROUND($L$6-1,4))</f>
        <v/>
      </c>
      <c r="I152" s="13" t="n"/>
      <c r="J152" s="13" t="n"/>
      <c r="K152" s="13" t="n"/>
      <c r="L152" s="13" t="n"/>
      <c r="M152" s="13" t="n"/>
      <c r="N152" s="155">
        <f>IF(A152="","",IF(posicao_contratual!$Y152="","",IF(posicao_contratual!$Y152&gt;0,"",posicao_contratual!E152)))</f>
        <v/>
      </c>
      <c r="O152" s="155">
        <f>IF(A152="","",IF(posicao_contratual!$Y152="","",IF(posicao_contratual!$Y152&gt;1,"",posicao_contratual!I152)))</f>
        <v/>
      </c>
      <c r="P152" s="155">
        <f>IF(A152="","",IF(posicao_contratual!$Y152="","",IF(posicao_contratual!$Y152&gt;2,"",posicao_contratual!M152)))</f>
        <v/>
      </c>
      <c r="Q152" s="155">
        <f>IF(A152="","",IF(posicao_contratual!$Y152="","",IF(posicao_contratual!$Y152&gt;3,"",posicao_contratual!Q152)))</f>
        <v/>
      </c>
      <c r="R152" s="155">
        <f>IF(A152="","",IF(posicao_contratual!$Y152="","",IF(posicao_contratual!$Y152&gt;4,"",posicao_contratual!U152)))</f>
        <v/>
      </c>
      <c r="S152" s="176">
        <f>IF(A152="","",posicao_contratual!G152)</f>
        <v/>
      </c>
      <c r="T152" s="176">
        <f>IF(A152="","",posicao_contratual!K152)</f>
        <v/>
      </c>
      <c r="U152" s="176">
        <f>IF(A152="","",posicao_contratual!O152)</f>
        <v/>
      </c>
      <c r="V152" s="176">
        <f>IF(A152="","",posicao_contratual!S152)</f>
        <v/>
      </c>
      <c r="W152" s="176">
        <f>IF(A152="","",posicao_contratual!W152)</f>
        <v/>
      </c>
    </row>
    <row r="153">
      <c r="A153" s="91">
        <f>IF(itens_Remanesc!A153="","",itens_Remanesc!A153)</f>
        <v/>
      </c>
      <c r="B153" s="90">
        <f>IF(A153="","",IF(posicao_contratual!$Y153="","",IF(posicao_contratual!$Y153&gt;0,"",posicao_contratual!G153)))</f>
        <v/>
      </c>
      <c r="C153" s="335">
        <f>IF(itens_Remanesc!A153="","",IF(posicao_contratual!$Y153="","",IF(posicao_contratual!$Y153&gt;0,"",itens_Remanesc!C153)))</f>
        <v/>
      </c>
      <c r="D153" s="335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335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335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335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>
        <f>IF(OR(A153="",C153="",C153=0,NOT(ISNUMBER($L$6))),"",ROUND($L$6-1,4))</f>
        <v/>
      </c>
      <c r="I153" s="13" t="n"/>
      <c r="J153" s="13" t="n"/>
      <c r="K153" s="13" t="n"/>
      <c r="L153" s="13" t="n"/>
      <c r="M153" s="13" t="n"/>
      <c r="N153" s="155">
        <f>IF(A153="","",IF(posicao_contratual!$Y153="","",IF(posicao_contratual!$Y153&gt;0,"",posicao_contratual!E153)))</f>
        <v/>
      </c>
      <c r="O153" s="155">
        <f>IF(A153="","",IF(posicao_contratual!$Y153="","",IF(posicao_contratual!$Y153&gt;1,"",posicao_contratual!I153)))</f>
        <v/>
      </c>
      <c r="P153" s="155">
        <f>IF(A153="","",IF(posicao_contratual!$Y153="","",IF(posicao_contratual!$Y153&gt;2,"",posicao_contratual!M153)))</f>
        <v/>
      </c>
      <c r="Q153" s="155">
        <f>IF(A153="","",IF(posicao_contratual!$Y153="","",IF(posicao_contratual!$Y153&gt;3,"",posicao_contratual!Q153)))</f>
        <v/>
      </c>
      <c r="R153" s="155">
        <f>IF(A153="","",IF(posicao_contratual!$Y153="","",IF(posicao_contratual!$Y153&gt;4,"",posicao_contratual!U153)))</f>
        <v/>
      </c>
      <c r="S153" s="176">
        <f>IF(A153="","",posicao_contratual!G153)</f>
        <v/>
      </c>
      <c r="T153" s="176">
        <f>IF(A153="","",posicao_contratual!K153)</f>
        <v/>
      </c>
      <c r="U153" s="176">
        <f>IF(A153="","",posicao_contratual!O153)</f>
        <v/>
      </c>
      <c r="V153" s="176">
        <f>IF(A153="","",posicao_contratual!S153)</f>
        <v/>
      </c>
      <c r="W153" s="176">
        <f>IF(A153="","",posicao_contratual!W153)</f>
        <v/>
      </c>
    </row>
    <row r="154">
      <c r="A154" s="91">
        <f>IF(itens_Remanesc!A154="","",itens_Remanesc!A154)</f>
        <v/>
      </c>
      <c r="B154" s="90">
        <f>IF(A154="","",IF(posicao_contratual!$Y154="","",IF(posicao_contratual!$Y154&gt;0,"",posicao_contratual!G154)))</f>
        <v/>
      </c>
      <c r="C154" s="335">
        <f>IF(itens_Remanesc!A154="","",IF(posicao_contratual!$Y154="","",IF(posicao_contratual!$Y154&gt;0,"",itens_Remanesc!C154)))</f>
        <v/>
      </c>
      <c r="D154" s="335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335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335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335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>
        <f>IF(OR(A154="",C154="",C154=0,NOT(ISNUMBER($L$6))),"",ROUND($L$6-1,4))</f>
        <v/>
      </c>
      <c r="I154" s="13" t="n"/>
      <c r="J154" s="13" t="n"/>
      <c r="K154" s="13" t="n"/>
      <c r="L154" s="13" t="n"/>
      <c r="M154" s="13" t="n"/>
      <c r="N154" s="155">
        <f>IF(A154="","",IF(posicao_contratual!$Y154="","",IF(posicao_contratual!$Y154&gt;0,"",posicao_contratual!E154)))</f>
        <v/>
      </c>
      <c r="O154" s="155">
        <f>IF(A154="","",IF(posicao_contratual!$Y154="","",IF(posicao_contratual!$Y154&gt;1,"",posicao_contratual!I154)))</f>
        <v/>
      </c>
      <c r="P154" s="155">
        <f>IF(A154="","",IF(posicao_contratual!$Y154="","",IF(posicao_contratual!$Y154&gt;2,"",posicao_contratual!M154)))</f>
        <v/>
      </c>
      <c r="Q154" s="155">
        <f>IF(A154="","",IF(posicao_contratual!$Y154="","",IF(posicao_contratual!$Y154&gt;3,"",posicao_contratual!Q154)))</f>
        <v/>
      </c>
      <c r="R154" s="155">
        <f>IF(A154="","",IF(posicao_contratual!$Y154="","",IF(posicao_contratual!$Y154&gt;4,"",posicao_contratual!U154)))</f>
        <v/>
      </c>
      <c r="S154" s="176">
        <f>IF(A154="","",posicao_contratual!G154)</f>
        <v/>
      </c>
      <c r="T154" s="176">
        <f>IF(A154="","",posicao_contratual!K154)</f>
        <v/>
      </c>
      <c r="U154" s="176">
        <f>IF(A154="","",posicao_contratual!O154)</f>
        <v/>
      </c>
      <c r="V154" s="176">
        <f>IF(A154="","",posicao_contratual!S154)</f>
        <v/>
      </c>
      <c r="W154" s="176">
        <f>IF(A154="","",posicao_contratual!W154)</f>
        <v/>
      </c>
    </row>
    <row r="155">
      <c r="A155" s="91">
        <f>IF(itens_Remanesc!A155="","",itens_Remanesc!A155)</f>
        <v/>
      </c>
      <c r="B155" s="90">
        <f>IF(A155="","",IF(posicao_contratual!$Y155="","",IF(posicao_contratual!$Y155&gt;0,"",posicao_contratual!G155)))</f>
        <v/>
      </c>
      <c r="C155" s="335">
        <f>IF(itens_Remanesc!A155="","",IF(posicao_contratual!$Y155="","",IF(posicao_contratual!$Y155&gt;0,"",itens_Remanesc!C155)))</f>
        <v/>
      </c>
      <c r="D155" s="335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335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335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335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>
        <f>IF(OR(A155="",C155="",C155=0,NOT(ISNUMBER($L$6))),"",ROUND($L$6-1,4))</f>
        <v/>
      </c>
      <c r="I155" s="13" t="n"/>
      <c r="J155" s="13" t="n"/>
      <c r="K155" s="13" t="n"/>
      <c r="L155" s="13" t="n"/>
      <c r="M155" s="13" t="n"/>
      <c r="N155" s="155">
        <f>IF(A155="","",IF(posicao_contratual!$Y155="","",IF(posicao_contratual!$Y155&gt;0,"",posicao_contratual!E155)))</f>
        <v/>
      </c>
      <c r="O155" s="155">
        <f>IF(A155="","",IF(posicao_contratual!$Y155="","",IF(posicao_contratual!$Y155&gt;1,"",posicao_contratual!I155)))</f>
        <v/>
      </c>
      <c r="P155" s="155">
        <f>IF(A155="","",IF(posicao_contratual!$Y155="","",IF(posicao_contratual!$Y155&gt;2,"",posicao_contratual!M155)))</f>
        <v/>
      </c>
      <c r="Q155" s="155">
        <f>IF(A155="","",IF(posicao_contratual!$Y155="","",IF(posicao_contratual!$Y155&gt;3,"",posicao_contratual!Q155)))</f>
        <v/>
      </c>
      <c r="R155" s="155">
        <f>IF(A155="","",IF(posicao_contratual!$Y155="","",IF(posicao_contratual!$Y155&gt;4,"",posicao_contratual!U155)))</f>
        <v/>
      </c>
      <c r="S155" s="176">
        <f>IF(A155="","",posicao_contratual!G155)</f>
        <v/>
      </c>
      <c r="T155" s="176">
        <f>IF(A155="","",posicao_contratual!K155)</f>
        <v/>
      </c>
      <c r="U155" s="176">
        <f>IF(A155="","",posicao_contratual!O155)</f>
        <v/>
      </c>
      <c r="V155" s="176">
        <f>IF(A155="","",posicao_contratual!S155)</f>
        <v/>
      </c>
      <c r="W155" s="176">
        <f>IF(A155="","",posicao_contratual!W155)</f>
        <v/>
      </c>
    </row>
    <row r="156">
      <c r="A156" s="91">
        <f>IF(itens_Remanesc!A156="","",itens_Remanesc!A156)</f>
        <v/>
      </c>
      <c r="B156" s="90">
        <f>IF(A156="","",IF(posicao_contratual!$Y156="","",IF(posicao_contratual!$Y156&gt;0,"",posicao_contratual!G156)))</f>
        <v/>
      </c>
      <c r="C156" s="335">
        <f>IF(itens_Remanesc!A156="","",IF(posicao_contratual!$Y156="","",IF(posicao_contratual!$Y156&gt;0,"",itens_Remanesc!C156)))</f>
        <v/>
      </c>
      <c r="D156" s="335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335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335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335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>
        <f>IF(OR(A156="",C156="",C156=0,NOT(ISNUMBER($L$6))),"",ROUND($L$6-1,4))</f>
        <v/>
      </c>
      <c r="I156" s="13" t="n"/>
      <c r="J156" s="13" t="n"/>
      <c r="K156" s="13" t="n"/>
      <c r="L156" s="13" t="n"/>
      <c r="M156" s="13" t="n"/>
      <c r="N156" s="155">
        <f>IF(A156="","",IF(posicao_contratual!$Y156="","",IF(posicao_contratual!$Y156&gt;0,"",posicao_contratual!E156)))</f>
        <v/>
      </c>
      <c r="O156" s="155">
        <f>IF(A156="","",IF(posicao_contratual!$Y156="","",IF(posicao_contratual!$Y156&gt;1,"",posicao_contratual!I156)))</f>
        <v/>
      </c>
      <c r="P156" s="155">
        <f>IF(A156="","",IF(posicao_contratual!$Y156="","",IF(posicao_contratual!$Y156&gt;2,"",posicao_contratual!M156)))</f>
        <v/>
      </c>
      <c r="Q156" s="155">
        <f>IF(A156="","",IF(posicao_contratual!$Y156="","",IF(posicao_contratual!$Y156&gt;3,"",posicao_contratual!Q156)))</f>
        <v/>
      </c>
      <c r="R156" s="155">
        <f>IF(A156="","",IF(posicao_contratual!$Y156="","",IF(posicao_contratual!$Y156&gt;4,"",posicao_contratual!U156)))</f>
        <v/>
      </c>
      <c r="S156" s="176">
        <f>IF(A156="","",posicao_contratual!G156)</f>
        <v/>
      </c>
      <c r="T156" s="176">
        <f>IF(A156="","",posicao_contratual!K156)</f>
        <v/>
      </c>
      <c r="U156" s="176">
        <f>IF(A156="","",posicao_contratual!O156)</f>
        <v/>
      </c>
      <c r="V156" s="176">
        <f>IF(A156="","",posicao_contratual!S156)</f>
        <v/>
      </c>
      <c r="W156" s="176">
        <f>IF(A156="","",posicao_contratual!W156)</f>
        <v/>
      </c>
    </row>
    <row r="157">
      <c r="A157" s="91">
        <f>IF(itens_Remanesc!A157="","",itens_Remanesc!A157)</f>
        <v/>
      </c>
      <c r="B157" s="90">
        <f>IF(A157="","",IF(posicao_contratual!$Y157="","",IF(posicao_contratual!$Y157&gt;0,"",posicao_contratual!G157)))</f>
        <v/>
      </c>
      <c r="C157" s="335">
        <f>IF(itens_Remanesc!A157="","",IF(posicao_contratual!$Y157="","",IF(posicao_contratual!$Y157&gt;0,"",itens_Remanesc!C157)))</f>
        <v/>
      </c>
      <c r="D157" s="335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335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335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335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>
        <f>IF(OR(A157="",C157="",C157=0,NOT(ISNUMBER($L$6))),"",ROUND($L$6-1,4))</f>
        <v/>
      </c>
      <c r="I157" s="13" t="n"/>
      <c r="J157" s="13" t="n"/>
      <c r="K157" s="13" t="n"/>
      <c r="L157" s="13" t="n"/>
      <c r="M157" s="13" t="n"/>
      <c r="N157" s="155">
        <f>IF(A157="","",IF(posicao_contratual!$Y157="","",IF(posicao_contratual!$Y157&gt;0,"",posicao_contratual!E157)))</f>
        <v/>
      </c>
      <c r="O157" s="155">
        <f>IF(A157="","",IF(posicao_contratual!$Y157="","",IF(posicao_contratual!$Y157&gt;1,"",posicao_contratual!I157)))</f>
        <v/>
      </c>
      <c r="P157" s="155">
        <f>IF(A157="","",IF(posicao_contratual!$Y157="","",IF(posicao_contratual!$Y157&gt;2,"",posicao_contratual!M157)))</f>
        <v/>
      </c>
      <c r="Q157" s="155">
        <f>IF(A157="","",IF(posicao_contratual!$Y157="","",IF(posicao_contratual!$Y157&gt;3,"",posicao_contratual!Q157)))</f>
        <v/>
      </c>
      <c r="R157" s="155">
        <f>IF(A157="","",IF(posicao_contratual!$Y157="","",IF(posicao_contratual!$Y157&gt;4,"",posicao_contratual!U157)))</f>
        <v/>
      </c>
      <c r="S157" s="176">
        <f>IF(A157="","",posicao_contratual!G157)</f>
        <v/>
      </c>
      <c r="T157" s="176">
        <f>IF(A157="","",posicao_contratual!K157)</f>
        <v/>
      </c>
      <c r="U157" s="176">
        <f>IF(A157="","",posicao_contratual!O157)</f>
        <v/>
      </c>
      <c r="V157" s="176">
        <f>IF(A157="","",posicao_contratual!S157)</f>
        <v/>
      </c>
      <c r="W157" s="176">
        <f>IF(A157="","",posicao_contratual!W157)</f>
        <v/>
      </c>
    </row>
    <row r="158">
      <c r="A158" s="91">
        <f>IF(itens_Remanesc!A158="","",itens_Remanesc!A158)</f>
        <v/>
      </c>
      <c r="B158" s="90">
        <f>IF(A158="","",IF(posicao_contratual!$Y158="","",IF(posicao_contratual!$Y158&gt;0,"",posicao_contratual!G158)))</f>
        <v/>
      </c>
      <c r="C158" s="335">
        <f>IF(itens_Remanesc!A158="","",IF(posicao_contratual!$Y158="","",IF(posicao_contratual!$Y158&gt;0,"",itens_Remanesc!C158)))</f>
        <v/>
      </c>
      <c r="D158" s="335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335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335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335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>
        <f>IF(OR(A158="",C158="",C158=0,NOT(ISNUMBER($L$6))),"",ROUND($L$6-1,4))</f>
        <v/>
      </c>
      <c r="I158" s="13" t="n"/>
      <c r="J158" s="13" t="n"/>
      <c r="K158" s="13" t="n"/>
      <c r="L158" s="13" t="n"/>
      <c r="M158" s="13" t="n"/>
      <c r="N158" s="155">
        <f>IF(A158="","",IF(posicao_contratual!$Y158="","",IF(posicao_contratual!$Y158&gt;0,"",posicao_contratual!E158)))</f>
        <v/>
      </c>
      <c r="O158" s="155">
        <f>IF(A158="","",IF(posicao_contratual!$Y158="","",IF(posicao_contratual!$Y158&gt;1,"",posicao_contratual!I158)))</f>
        <v/>
      </c>
      <c r="P158" s="155">
        <f>IF(A158="","",IF(posicao_contratual!$Y158="","",IF(posicao_contratual!$Y158&gt;2,"",posicao_contratual!M158)))</f>
        <v/>
      </c>
      <c r="Q158" s="155">
        <f>IF(A158="","",IF(posicao_contratual!$Y158="","",IF(posicao_contratual!$Y158&gt;3,"",posicao_contratual!Q158)))</f>
        <v/>
      </c>
      <c r="R158" s="155">
        <f>IF(A158="","",IF(posicao_contratual!$Y158="","",IF(posicao_contratual!$Y158&gt;4,"",posicao_contratual!U158)))</f>
        <v/>
      </c>
      <c r="S158" s="176">
        <f>IF(A158="","",posicao_contratual!G158)</f>
        <v/>
      </c>
      <c r="T158" s="176">
        <f>IF(A158="","",posicao_contratual!K158)</f>
        <v/>
      </c>
      <c r="U158" s="176">
        <f>IF(A158="","",posicao_contratual!O158)</f>
        <v/>
      </c>
      <c r="V158" s="176">
        <f>IF(A158="","",posicao_contratual!S158)</f>
        <v/>
      </c>
      <c r="W158" s="176">
        <f>IF(A158="","",posicao_contratual!W158)</f>
        <v/>
      </c>
    </row>
    <row r="159">
      <c r="A159" s="91">
        <f>IF(itens_Remanesc!A159="","",itens_Remanesc!A159)</f>
        <v/>
      </c>
      <c r="B159" s="90">
        <f>IF(A159="","",IF(posicao_contratual!$Y159="","",IF(posicao_contratual!$Y159&gt;0,"",posicao_contratual!G159)))</f>
        <v/>
      </c>
      <c r="C159" s="335">
        <f>IF(itens_Remanesc!A159="","",IF(posicao_contratual!$Y159="","",IF(posicao_contratual!$Y159&gt;0,"",itens_Remanesc!C159)))</f>
        <v/>
      </c>
      <c r="D159" s="335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335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335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335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>
        <f>IF(OR(A159="",C159="",C159=0,NOT(ISNUMBER($L$6))),"",ROUND($L$6-1,4))</f>
        <v/>
      </c>
      <c r="I159" s="13" t="n"/>
      <c r="J159" s="13" t="n"/>
      <c r="K159" s="13" t="n"/>
      <c r="L159" s="13" t="n"/>
      <c r="M159" s="13" t="n"/>
      <c r="N159" s="155">
        <f>IF(A159="","",IF(posicao_contratual!$Y159="","",IF(posicao_contratual!$Y159&gt;0,"",posicao_contratual!E159)))</f>
        <v/>
      </c>
      <c r="O159" s="155">
        <f>IF(A159="","",IF(posicao_contratual!$Y159="","",IF(posicao_contratual!$Y159&gt;1,"",posicao_contratual!I159)))</f>
        <v/>
      </c>
      <c r="P159" s="155">
        <f>IF(A159="","",IF(posicao_contratual!$Y159="","",IF(posicao_contratual!$Y159&gt;2,"",posicao_contratual!M159)))</f>
        <v/>
      </c>
      <c r="Q159" s="155">
        <f>IF(A159="","",IF(posicao_contratual!$Y159="","",IF(posicao_contratual!$Y159&gt;3,"",posicao_contratual!Q159)))</f>
        <v/>
      </c>
      <c r="R159" s="155">
        <f>IF(A159="","",IF(posicao_contratual!$Y159="","",IF(posicao_contratual!$Y159&gt;4,"",posicao_contratual!U159)))</f>
        <v/>
      </c>
      <c r="S159" s="176">
        <f>IF(A159="","",posicao_contratual!G159)</f>
        <v/>
      </c>
      <c r="T159" s="176">
        <f>IF(A159="","",posicao_contratual!K159)</f>
        <v/>
      </c>
      <c r="U159" s="176">
        <f>IF(A159="","",posicao_contratual!O159)</f>
        <v/>
      </c>
      <c r="V159" s="176">
        <f>IF(A159="","",posicao_contratual!S159)</f>
        <v/>
      </c>
      <c r="W159" s="176">
        <f>IF(A159="","",posicao_contratual!W159)</f>
        <v/>
      </c>
    </row>
    <row r="160">
      <c r="A160" s="91">
        <f>IF(itens_Remanesc!A160="","",itens_Remanesc!A160)</f>
        <v/>
      </c>
      <c r="B160" s="90">
        <f>IF(A160="","",IF(posicao_contratual!$Y160="","",IF(posicao_contratual!$Y160&gt;0,"",posicao_contratual!G160)))</f>
        <v/>
      </c>
      <c r="C160" s="335">
        <f>IF(itens_Remanesc!A160="","",IF(posicao_contratual!$Y160="","",IF(posicao_contratual!$Y160&gt;0,"",itens_Remanesc!C160)))</f>
        <v/>
      </c>
      <c r="D160" s="335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335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335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335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>
        <f>IF(OR(A160="",C160="",C160=0,NOT(ISNUMBER($L$6))),"",ROUND($L$6-1,4))</f>
        <v/>
      </c>
      <c r="I160" s="13" t="n"/>
      <c r="J160" s="13" t="n"/>
      <c r="K160" s="13" t="n"/>
      <c r="L160" s="13" t="n"/>
      <c r="M160" s="13" t="n"/>
      <c r="N160" s="155">
        <f>IF(A160="","",IF(posicao_contratual!$Y160="","",IF(posicao_contratual!$Y160&gt;0,"",posicao_contratual!E160)))</f>
        <v/>
      </c>
      <c r="O160" s="155">
        <f>IF(A160="","",IF(posicao_contratual!$Y160="","",IF(posicao_contratual!$Y160&gt;1,"",posicao_contratual!I160)))</f>
        <v/>
      </c>
      <c r="P160" s="155">
        <f>IF(A160="","",IF(posicao_contratual!$Y160="","",IF(posicao_contratual!$Y160&gt;2,"",posicao_contratual!M160)))</f>
        <v/>
      </c>
      <c r="Q160" s="155">
        <f>IF(A160="","",IF(posicao_contratual!$Y160="","",IF(posicao_contratual!$Y160&gt;3,"",posicao_contratual!Q160)))</f>
        <v/>
      </c>
      <c r="R160" s="155">
        <f>IF(A160="","",IF(posicao_contratual!$Y160="","",IF(posicao_contratual!$Y160&gt;4,"",posicao_contratual!U160)))</f>
        <v/>
      </c>
      <c r="S160" s="176">
        <f>IF(A160="","",posicao_contratual!G160)</f>
        <v/>
      </c>
      <c r="T160" s="176">
        <f>IF(A160="","",posicao_contratual!K160)</f>
        <v/>
      </c>
      <c r="U160" s="176">
        <f>IF(A160="","",posicao_contratual!O160)</f>
        <v/>
      </c>
      <c r="V160" s="176">
        <f>IF(A160="","",posicao_contratual!S160)</f>
        <v/>
      </c>
      <c r="W160" s="176">
        <f>IF(A160="","",posicao_contratual!W160)</f>
        <v/>
      </c>
    </row>
    <row r="161">
      <c r="A161" s="91">
        <f>IF(itens_Remanesc!A161="","",itens_Remanesc!A161)</f>
        <v/>
      </c>
      <c r="B161" s="90">
        <f>IF(A161="","",IF(posicao_contratual!$Y161="","",IF(posicao_contratual!$Y161&gt;0,"",posicao_contratual!G161)))</f>
        <v/>
      </c>
      <c r="C161" s="335">
        <f>IF(itens_Remanesc!A161="","",IF(posicao_contratual!$Y161="","",IF(posicao_contratual!$Y161&gt;0,"",itens_Remanesc!C161)))</f>
        <v/>
      </c>
      <c r="D161" s="335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335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335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335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>
        <f>IF(OR(A161="",C161="",C161=0,NOT(ISNUMBER($L$6))),"",ROUND($L$6-1,4))</f>
        <v/>
      </c>
      <c r="I161" s="13" t="n"/>
      <c r="J161" s="13" t="n"/>
      <c r="K161" s="13" t="n"/>
      <c r="L161" s="13" t="n"/>
      <c r="M161" s="13" t="n"/>
      <c r="N161" s="155">
        <f>IF(A161="","",IF(posicao_contratual!$Y161="","",IF(posicao_contratual!$Y161&gt;0,"",posicao_contratual!E161)))</f>
        <v/>
      </c>
      <c r="O161" s="155">
        <f>IF(A161="","",IF(posicao_contratual!$Y161="","",IF(posicao_contratual!$Y161&gt;1,"",posicao_contratual!I161)))</f>
        <v/>
      </c>
      <c r="P161" s="155">
        <f>IF(A161="","",IF(posicao_contratual!$Y161="","",IF(posicao_contratual!$Y161&gt;2,"",posicao_contratual!M161)))</f>
        <v/>
      </c>
      <c r="Q161" s="155">
        <f>IF(A161="","",IF(posicao_contratual!$Y161="","",IF(posicao_contratual!$Y161&gt;3,"",posicao_contratual!Q161)))</f>
        <v/>
      </c>
      <c r="R161" s="155">
        <f>IF(A161="","",IF(posicao_contratual!$Y161="","",IF(posicao_contratual!$Y161&gt;4,"",posicao_contratual!U161)))</f>
        <v/>
      </c>
      <c r="S161" s="176">
        <f>IF(A161="","",posicao_contratual!G161)</f>
        <v/>
      </c>
      <c r="T161" s="176">
        <f>IF(A161="","",posicao_contratual!K161)</f>
        <v/>
      </c>
      <c r="U161" s="176">
        <f>IF(A161="","",posicao_contratual!O161)</f>
        <v/>
      </c>
      <c r="V161" s="176">
        <f>IF(A161="","",posicao_contratual!S161)</f>
        <v/>
      </c>
      <c r="W161" s="176">
        <f>IF(A161="","",posicao_contratual!W161)</f>
        <v/>
      </c>
    </row>
    <row r="162">
      <c r="A162" s="91">
        <f>IF(itens_Remanesc!A162="","",itens_Remanesc!A162)</f>
        <v/>
      </c>
      <c r="B162" s="90">
        <f>IF(A162="","",IF(posicao_contratual!$Y162="","",IF(posicao_contratual!$Y162&gt;0,"",posicao_contratual!G162)))</f>
        <v/>
      </c>
      <c r="C162" s="335">
        <f>IF(itens_Remanesc!A162="","",IF(posicao_contratual!$Y162="","",IF(posicao_contratual!$Y162&gt;0,"",itens_Remanesc!C162)))</f>
        <v/>
      </c>
      <c r="D162" s="335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335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335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335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>
        <f>IF(OR(A162="",C162="",C162=0,NOT(ISNUMBER($L$6))),"",ROUND($L$6-1,4))</f>
        <v/>
      </c>
      <c r="I162" s="13" t="n"/>
      <c r="J162" s="13" t="n"/>
      <c r="K162" s="13" t="n"/>
      <c r="L162" s="13" t="n"/>
      <c r="M162" s="13" t="n"/>
      <c r="N162" s="155">
        <f>IF(A162="","",IF(posicao_contratual!$Y162="","",IF(posicao_contratual!$Y162&gt;0,"",posicao_contratual!E162)))</f>
        <v/>
      </c>
      <c r="O162" s="155">
        <f>IF(A162="","",IF(posicao_contratual!$Y162="","",IF(posicao_contratual!$Y162&gt;1,"",posicao_contratual!I162)))</f>
        <v/>
      </c>
      <c r="P162" s="155">
        <f>IF(A162="","",IF(posicao_contratual!$Y162="","",IF(posicao_contratual!$Y162&gt;2,"",posicao_contratual!M162)))</f>
        <v/>
      </c>
      <c r="Q162" s="155">
        <f>IF(A162="","",IF(posicao_contratual!$Y162="","",IF(posicao_contratual!$Y162&gt;3,"",posicao_contratual!Q162)))</f>
        <v/>
      </c>
      <c r="R162" s="155">
        <f>IF(A162="","",IF(posicao_contratual!$Y162="","",IF(posicao_contratual!$Y162&gt;4,"",posicao_contratual!U162)))</f>
        <v/>
      </c>
      <c r="S162" s="176">
        <f>IF(A162="","",posicao_contratual!G162)</f>
        <v/>
      </c>
      <c r="T162" s="176">
        <f>IF(A162="","",posicao_contratual!K162)</f>
        <v/>
      </c>
      <c r="U162" s="176">
        <f>IF(A162="","",posicao_contratual!O162)</f>
        <v/>
      </c>
      <c r="V162" s="176">
        <f>IF(A162="","",posicao_contratual!S162)</f>
        <v/>
      </c>
      <c r="W162" s="176">
        <f>IF(A162="","",posicao_contratual!W162)</f>
        <v/>
      </c>
    </row>
    <row r="163">
      <c r="A163" s="91">
        <f>IF(itens_Remanesc!A163="","",itens_Remanesc!A163)</f>
        <v/>
      </c>
      <c r="B163" s="90">
        <f>IF(A163="","",IF(posicao_contratual!$Y163="","",IF(posicao_contratual!$Y163&gt;0,"",posicao_contratual!G163)))</f>
        <v/>
      </c>
      <c r="C163" s="335">
        <f>IF(itens_Remanesc!A163="","",IF(posicao_contratual!$Y163="","",IF(posicao_contratual!$Y163&gt;0,"",itens_Remanesc!C163)))</f>
        <v/>
      </c>
      <c r="D163" s="335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335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335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335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>
        <f>IF(OR(A163="",C163="",C163=0,NOT(ISNUMBER($L$6))),"",ROUND($L$6-1,4))</f>
        <v/>
      </c>
      <c r="I163" s="13" t="n"/>
      <c r="J163" s="13" t="n"/>
      <c r="K163" s="13" t="n"/>
      <c r="L163" s="13" t="n"/>
      <c r="M163" s="13" t="n"/>
      <c r="N163" s="155">
        <f>IF(A163="","",IF(posicao_contratual!$Y163="","",IF(posicao_contratual!$Y163&gt;0,"",posicao_contratual!E163)))</f>
        <v/>
      </c>
      <c r="O163" s="155">
        <f>IF(A163="","",IF(posicao_contratual!$Y163="","",IF(posicao_contratual!$Y163&gt;1,"",posicao_contratual!I163)))</f>
        <v/>
      </c>
      <c r="P163" s="155">
        <f>IF(A163="","",IF(posicao_contratual!$Y163="","",IF(posicao_contratual!$Y163&gt;2,"",posicao_contratual!M163)))</f>
        <v/>
      </c>
      <c r="Q163" s="155">
        <f>IF(A163="","",IF(posicao_contratual!$Y163="","",IF(posicao_contratual!$Y163&gt;3,"",posicao_contratual!Q163)))</f>
        <v/>
      </c>
      <c r="R163" s="155">
        <f>IF(A163="","",IF(posicao_contratual!$Y163="","",IF(posicao_contratual!$Y163&gt;4,"",posicao_contratual!U163)))</f>
        <v/>
      </c>
      <c r="S163" s="176">
        <f>IF(A163="","",posicao_contratual!G163)</f>
        <v/>
      </c>
      <c r="T163" s="176">
        <f>IF(A163="","",posicao_contratual!K163)</f>
        <v/>
      </c>
      <c r="U163" s="176">
        <f>IF(A163="","",posicao_contratual!O163)</f>
        <v/>
      </c>
      <c r="V163" s="176">
        <f>IF(A163="","",posicao_contratual!S163)</f>
        <v/>
      </c>
      <c r="W163" s="176">
        <f>IF(A163="","",posicao_contratual!W163)</f>
        <v/>
      </c>
    </row>
    <row r="164">
      <c r="A164" s="91">
        <f>IF(itens_Remanesc!A164="","",itens_Remanesc!A164)</f>
        <v/>
      </c>
      <c r="B164" s="90">
        <f>IF(A164="","",IF(posicao_contratual!$Y164="","",IF(posicao_contratual!$Y164&gt;0,"",posicao_contratual!G164)))</f>
        <v/>
      </c>
      <c r="C164" s="335">
        <f>IF(itens_Remanesc!A164="","",IF(posicao_contratual!$Y164="","",IF(posicao_contratual!$Y164&gt;0,"",itens_Remanesc!C164)))</f>
        <v/>
      </c>
      <c r="D164" s="335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335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335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335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>
        <f>IF(OR(A164="",C164="",C164=0,NOT(ISNUMBER($L$6))),"",ROUND($L$6-1,4))</f>
        <v/>
      </c>
      <c r="I164" s="13" t="n"/>
      <c r="J164" s="13" t="n"/>
      <c r="K164" s="13" t="n"/>
      <c r="L164" s="13" t="n"/>
      <c r="M164" s="13" t="n"/>
      <c r="N164" s="155">
        <f>IF(A164="","",IF(posicao_contratual!$Y164="","",IF(posicao_contratual!$Y164&gt;0,"",posicao_contratual!E164)))</f>
        <v/>
      </c>
      <c r="O164" s="155">
        <f>IF(A164="","",IF(posicao_contratual!$Y164="","",IF(posicao_contratual!$Y164&gt;1,"",posicao_contratual!I164)))</f>
        <v/>
      </c>
      <c r="P164" s="155">
        <f>IF(A164="","",IF(posicao_contratual!$Y164="","",IF(posicao_contratual!$Y164&gt;2,"",posicao_contratual!M164)))</f>
        <v/>
      </c>
      <c r="Q164" s="155">
        <f>IF(A164="","",IF(posicao_contratual!$Y164="","",IF(posicao_contratual!$Y164&gt;3,"",posicao_contratual!Q164)))</f>
        <v/>
      </c>
      <c r="R164" s="155">
        <f>IF(A164="","",IF(posicao_contratual!$Y164="","",IF(posicao_contratual!$Y164&gt;4,"",posicao_contratual!U164)))</f>
        <v/>
      </c>
      <c r="S164" s="176">
        <f>IF(A164="","",posicao_contratual!G164)</f>
        <v/>
      </c>
      <c r="T164" s="176">
        <f>IF(A164="","",posicao_contratual!K164)</f>
        <v/>
      </c>
      <c r="U164" s="176">
        <f>IF(A164="","",posicao_contratual!O164)</f>
        <v/>
      </c>
      <c r="V164" s="176">
        <f>IF(A164="","",posicao_contratual!S164)</f>
        <v/>
      </c>
      <c r="W164" s="176">
        <f>IF(A164="","",posicao_contratual!W164)</f>
        <v/>
      </c>
    </row>
    <row r="165">
      <c r="A165" s="91">
        <f>IF(itens_Remanesc!A165="","",itens_Remanesc!A165)</f>
        <v/>
      </c>
      <c r="B165" s="90">
        <f>IF(A165="","",IF(posicao_contratual!$Y165="","",IF(posicao_contratual!$Y165&gt;0,"",posicao_contratual!G165)))</f>
        <v/>
      </c>
      <c r="C165" s="335">
        <f>IF(itens_Remanesc!A165="","",IF(posicao_contratual!$Y165="","",IF(posicao_contratual!$Y165&gt;0,"",itens_Remanesc!C165)))</f>
        <v/>
      </c>
      <c r="D165" s="335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335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335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335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>
        <f>IF(OR(A165="",C165="",C165=0,NOT(ISNUMBER($L$6))),"",ROUND($L$6-1,4))</f>
        <v/>
      </c>
      <c r="I165" s="13" t="n"/>
      <c r="J165" s="13" t="n"/>
      <c r="K165" s="13" t="n"/>
      <c r="L165" s="13" t="n"/>
      <c r="M165" s="13" t="n"/>
      <c r="N165" s="155">
        <f>IF(A165="","",IF(posicao_contratual!$Y165="","",IF(posicao_contratual!$Y165&gt;0,"",posicao_contratual!E165)))</f>
        <v/>
      </c>
      <c r="O165" s="155">
        <f>IF(A165="","",IF(posicao_contratual!$Y165="","",IF(posicao_contratual!$Y165&gt;1,"",posicao_contratual!I165)))</f>
        <v/>
      </c>
      <c r="P165" s="155">
        <f>IF(A165="","",IF(posicao_contratual!$Y165="","",IF(posicao_contratual!$Y165&gt;2,"",posicao_contratual!M165)))</f>
        <v/>
      </c>
      <c r="Q165" s="155">
        <f>IF(A165="","",IF(posicao_contratual!$Y165="","",IF(posicao_contratual!$Y165&gt;3,"",posicao_contratual!Q165)))</f>
        <v/>
      </c>
      <c r="R165" s="155">
        <f>IF(A165="","",IF(posicao_contratual!$Y165="","",IF(posicao_contratual!$Y165&gt;4,"",posicao_contratual!U165)))</f>
        <v/>
      </c>
      <c r="S165" s="176">
        <f>IF(A165="","",posicao_contratual!G165)</f>
        <v/>
      </c>
      <c r="T165" s="176">
        <f>IF(A165="","",posicao_contratual!K165)</f>
        <v/>
      </c>
      <c r="U165" s="176">
        <f>IF(A165="","",posicao_contratual!O165)</f>
        <v/>
      </c>
      <c r="V165" s="176">
        <f>IF(A165="","",posicao_contratual!S165)</f>
        <v/>
      </c>
      <c r="W165" s="176">
        <f>IF(A165="","",posicao_contratual!W165)</f>
        <v/>
      </c>
    </row>
    <row r="166">
      <c r="A166" s="91">
        <f>IF(itens_Remanesc!A166="","",itens_Remanesc!A166)</f>
        <v/>
      </c>
      <c r="B166" s="90">
        <f>IF(A166="","",IF(posicao_contratual!$Y166="","",IF(posicao_contratual!$Y166&gt;0,"",posicao_contratual!G166)))</f>
        <v/>
      </c>
      <c r="C166" s="335">
        <f>IF(itens_Remanesc!A166="","",IF(posicao_contratual!$Y166="","",IF(posicao_contratual!$Y166&gt;0,"",itens_Remanesc!C166)))</f>
        <v/>
      </c>
      <c r="D166" s="335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335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335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335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>
        <f>IF(OR(A166="",C166="",C166=0,NOT(ISNUMBER($L$6))),"",ROUND($L$6-1,4))</f>
        <v/>
      </c>
      <c r="I166" s="13" t="n"/>
      <c r="J166" s="13" t="n"/>
      <c r="K166" s="13" t="n"/>
      <c r="L166" s="13" t="n"/>
      <c r="M166" s="13" t="n"/>
      <c r="N166" s="155">
        <f>IF(A166="","",IF(posicao_contratual!$Y166="","",IF(posicao_contratual!$Y166&gt;0,"",posicao_contratual!E166)))</f>
        <v/>
      </c>
      <c r="O166" s="155">
        <f>IF(A166="","",IF(posicao_contratual!$Y166="","",IF(posicao_contratual!$Y166&gt;1,"",posicao_contratual!I166)))</f>
        <v/>
      </c>
      <c r="P166" s="155">
        <f>IF(A166="","",IF(posicao_contratual!$Y166="","",IF(posicao_contratual!$Y166&gt;2,"",posicao_contratual!M166)))</f>
        <v/>
      </c>
      <c r="Q166" s="155">
        <f>IF(A166="","",IF(posicao_contratual!$Y166="","",IF(posicao_contratual!$Y166&gt;3,"",posicao_contratual!Q166)))</f>
        <v/>
      </c>
      <c r="R166" s="155">
        <f>IF(A166="","",IF(posicao_contratual!$Y166="","",IF(posicao_contratual!$Y166&gt;4,"",posicao_contratual!U166)))</f>
        <v/>
      </c>
      <c r="S166" s="176">
        <f>IF(A166="","",posicao_contratual!G166)</f>
        <v/>
      </c>
      <c r="T166" s="176">
        <f>IF(A166="","",posicao_contratual!K166)</f>
        <v/>
      </c>
      <c r="U166" s="176">
        <f>IF(A166="","",posicao_contratual!O166)</f>
        <v/>
      </c>
      <c r="V166" s="176">
        <f>IF(A166="","",posicao_contratual!S166)</f>
        <v/>
      </c>
      <c r="W166" s="176">
        <f>IF(A166="","",posicao_contratual!W166)</f>
        <v/>
      </c>
    </row>
    <row r="167">
      <c r="A167" s="91">
        <f>IF(itens_Remanesc!A167="","",itens_Remanesc!A167)</f>
        <v/>
      </c>
      <c r="B167" s="90">
        <f>IF(A167="","",IF(posicao_contratual!$Y167="","",IF(posicao_contratual!$Y167&gt;0,"",posicao_contratual!G167)))</f>
        <v/>
      </c>
      <c r="C167" s="335">
        <f>IF(itens_Remanesc!A167="","",IF(posicao_contratual!$Y167="","",IF(posicao_contratual!$Y167&gt;0,"",itens_Remanesc!C167)))</f>
        <v/>
      </c>
      <c r="D167" s="335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335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335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335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>
        <f>IF(OR(A167="",C167="",C167=0,NOT(ISNUMBER($L$6))),"",ROUND($L$6-1,4))</f>
        <v/>
      </c>
      <c r="I167" s="13" t="n"/>
      <c r="J167" s="13" t="n"/>
      <c r="K167" s="13" t="n"/>
      <c r="L167" s="13" t="n"/>
      <c r="M167" s="13" t="n"/>
      <c r="N167" s="155">
        <f>IF(A167="","",IF(posicao_contratual!$Y167="","",IF(posicao_contratual!$Y167&gt;0,"",posicao_contratual!E167)))</f>
        <v/>
      </c>
      <c r="O167" s="155">
        <f>IF(A167="","",IF(posicao_contratual!$Y167="","",IF(posicao_contratual!$Y167&gt;1,"",posicao_contratual!I167)))</f>
        <v/>
      </c>
      <c r="P167" s="155">
        <f>IF(A167="","",IF(posicao_contratual!$Y167="","",IF(posicao_contratual!$Y167&gt;2,"",posicao_contratual!M167)))</f>
        <v/>
      </c>
      <c r="Q167" s="155">
        <f>IF(A167="","",IF(posicao_contratual!$Y167="","",IF(posicao_contratual!$Y167&gt;3,"",posicao_contratual!Q167)))</f>
        <v/>
      </c>
      <c r="R167" s="155">
        <f>IF(A167="","",IF(posicao_contratual!$Y167="","",IF(posicao_contratual!$Y167&gt;4,"",posicao_contratual!U167)))</f>
        <v/>
      </c>
      <c r="S167" s="176">
        <f>IF(A167="","",posicao_contratual!G167)</f>
        <v/>
      </c>
      <c r="T167" s="176">
        <f>IF(A167="","",posicao_contratual!K167)</f>
        <v/>
      </c>
      <c r="U167" s="176">
        <f>IF(A167="","",posicao_contratual!O167)</f>
        <v/>
      </c>
      <c r="V167" s="176">
        <f>IF(A167="","",posicao_contratual!S167)</f>
        <v/>
      </c>
      <c r="W167" s="176">
        <f>IF(A167="","",posicao_contratual!W167)</f>
        <v/>
      </c>
    </row>
    <row r="168">
      <c r="A168" s="91">
        <f>IF(itens_Remanesc!A168="","",itens_Remanesc!A168)</f>
        <v/>
      </c>
      <c r="B168" s="90">
        <f>IF(A168="","",IF(posicao_contratual!$Y168="","",IF(posicao_contratual!$Y168&gt;0,"",posicao_contratual!G168)))</f>
        <v/>
      </c>
      <c r="C168" s="335">
        <f>IF(itens_Remanesc!A168="","",IF(posicao_contratual!$Y168="","",IF(posicao_contratual!$Y168&gt;0,"",itens_Remanesc!C168)))</f>
        <v/>
      </c>
      <c r="D168" s="335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335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335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335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>
        <f>IF(OR(A168="",C168="",C168=0,NOT(ISNUMBER($L$6))),"",ROUND($L$6-1,4))</f>
        <v/>
      </c>
      <c r="I168" s="13" t="n"/>
      <c r="J168" s="13" t="n"/>
      <c r="K168" s="13" t="n"/>
      <c r="L168" s="13" t="n"/>
      <c r="M168" s="13" t="n"/>
      <c r="N168" s="155">
        <f>IF(A168="","",IF(posicao_contratual!$Y168="","",IF(posicao_contratual!$Y168&gt;0,"",posicao_contratual!E168)))</f>
        <v/>
      </c>
      <c r="O168" s="155">
        <f>IF(A168="","",IF(posicao_contratual!$Y168="","",IF(posicao_contratual!$Y168&gt;1,"",posicao_contratual!I168)))</f>
        <v/>
      </c>
      <c r="P168" s="155">
        <f>IF(A168="","",IF(posicao_contratual!$Y168="","",IF(posicao_contratual!$Y168&gt;2,"",posicao_contratual!M168)))</f>
        <v/>
      </c>
      <c r="Q168" s="155">
        <f>IF(A168="","",IF(posicao_contratual!$Y168="","",IF(posicao_contratual!$Y168&gt;3,"",posicao_contratual!Q168)))</f>
        <v/>
      </c>
      <c r="R168" s="155">
        <f>IF(A168="","",IF(posicao_contratual!$Y168="","",IF(posicao_contratual!$Y168&gt;4,"",posicao_contratual!U168)))</f>
        <v/>
      </c>
      <c r="S168" s="176">
        <f>IF(A168="","",posicao_contratual!G168)</f>
        <v/>
      </c>
      <c r="T168" s="176">
        <f>IF(A168="","",posicao_contratual!K168)</f>
        <v/>
      </c>
      <c r="U168" s="176">
        <f>IF(A168="","",posicao_contratual!O168)</f>
        <v/>
      </c>
      <c r="V168" s="176">
        <f>IF(A168="","",posicao_contratual!S168)</f>
        <v/>
      </c>
      <c r="W168" s="176">
        <f>IF(A168="","",posicao_contratual!W168)</f>
        <v/>
      </c>
    </row>
    <row r="169">
      <c r="A169" s="91">
        <f>IF(itens_Remanesc!A169="","",itens_Remanesc!A169)</f>
        <v/>
      </c>
      <c r="B169" s="90">
        <f>IF(A169="","",IF(posicao_contratual!$Y169="","",IF(posicao_contratual!$Y169&gt;0,"",posicao_contratual!G169)))</f>
        <v/>
      </c>
      <c r="C169" s="335">
        <f>IF(itens_Remanesc!A169="","",IF(posicao_contratual!$Y169="","",IF(posicao_contratual!$Y169&gt;0,"",itens_Remanesc!C169)))</f>
        <v/>
      </c>
      <c r="D169" s="335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335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335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335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>
        <f>IF(OR(A169="",C169="",C169=0,NOT(ISNUMBER($L$6))),"",ROUND($L$6-1,4))</f>
        <v/>
      </c>
      <c r="I169" s="13" t="n"/>
      <c r="J169" s="13" t="n"/>
      <c r="K169" s="13" t="n"/>
      <c r="L169" s="13" t="n"/>
      <c r="M169" s="13" t="n"/>
      <c r="N169" s="155">
        <f>IF(A169="","",IF(posicao_contratual!$Y169="","",IF(posicao_contratual!$Y169&gt;0,"",posicao_contratual!E169)))</f>
        <v/>
      </c>
      <c r="O169" s="155">
        <f>IF(A169="","",IF(posicao_contratual!$Y169="","",IF(posicao_contratual!$Y169&gt;1,"",posicao_contratual!I169)))</f>
        <v/>
      </c>
      <c r="P169" s="155">
        <f>IF(A169="","",IF(posicao_contratual!$Y169="","",IF(posicao_contratual!$Y169&gt;2,"",posicao_contratual!M169)))</f>
        <v/>
      </c>
      <c r="Q169" s="155">
        <f>IF(A169="","",IF(posicao_contratual!$Y169="","",IF(posicao_contratual!$Y169&gt;3,"",posicao_contratual!Q169)))</f>
        <v/>
      </c>
      <c r="R169" s="155">
        <f>IF(A169="","",IF(posicao_contratual!$Y169="","",IF(posicao_contratual!$Y169&gt;4,"",posicao_contratual!U169)))</f>
        <v/>
      </c>
      <c r="S169" s="176">
        <f>IF(A169="","",posicao_contratual!G169)</f>
        <v/>
      </c>
      <c r="T169" s="176">
        <f>IF(A169="","",posicao_contratual!K169)</f>
        <v/>
      </c>
      <c r="U169" s="176">
        <f>IF(A169="","",posicao_contratual!O169)</f>
        <v/>
      </c>
      <c r="V169" s="176">
        <f>IF(A169="","",posicao_contratual!S169)</f>
        <v/>
      </c>
      <c r="W169" s="176">
        <f>IF(A169="","",posicao_contratual!W169)</f>
        <v/>
      </c>
    </row>
    <row r="170">
      <c r="A170" s="91">
        <f>IF(itens_Remanesc!A170="","",itens_Remanesc!A170)</f>
        <v/>
      </c>
      <c r="B170" s="90">
        <f>IF(A170="","",IF(posicao_contratual!$Y170="","",IF(posicao_contratual!$Y170&gt;0,"",posicao_contratual!G170)))</f>
        <v/>
      </c>
      <c r="C170" s="335">
        <f>IF(itens_Remanesc!A170="","",IF(posicao_contratual!$Y170="","",IF(posicao_contratual!$Y170&gt;0,"",itens_Remanesc!C170)))</f>
        <v/>
      </c>
      <c r="D170" s="335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335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335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335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>
        <f>IF(OR(A170="",C170="",C170=0,NOT(ISNUMBER($L$6))),"",ROUND($L$6-1,4))</f>
        <v/>
      </c>
      <c r="I170" s="13" t="n"/>
      <c r="J170" s="13" t="n"/>
      <c r="K170" s="13" t="n"/>
      <c r="L170" s="13" t="n"/>
      <c r="M170" s="13" t="n"/>
      <c r="N170" s="155">
        <f>IF(A170="","",IF(posicao_contratual!$Y170="","",IF(posicao_contratual!$Y170&gt;0,"",posicao_contratual!E170)))</f>
        <v/>
      </c>
      <c r="O170" s="155">
        <f>IF(A170="","",IF(posicao_contratual!$Y170="","",IF(posicao_contratual!$Y170&gt;1,"",posicao_contratual!I170)))</f>
        <v/>
      </c>
      <c r="P170" s="155">
        <f>IF(A170="","",IF(posicao_contratual!$Y170="","",IF(posicao_contratual!$Y170&gt;2,"",posicao_contratual!M170)))</f>
        <v/>
      </c>
      <c r="Q170" s="155">
        <f>IF(A170="","",IF(posicao_contratual!$Y170="","",IF(posicao_contratual!$Y170&gt;3,"",posicao_contratual!Q170)))</f>
        <v/>
      </c>
      <c r="R170" s="155">
        <f>IF(A170="","",IF(posicao_contratual!$Y170="","",IF(posicao_contratual!$Y170&gt;4,"",posicao_contratual!U170)))</f>
        <v/>
      </c>
      <c r="S170" s="176">
        <f>IF(A170="","",posicao_contratual!G170)</f>
        <v/>
      </c>
      <c r="T170" s="176">
        <f>IF(A170="","",posicao_contratual!K170)</f>
        <v/>
      </c>
      <c r="U170" s="176">
        <f>IF(A170="","",posicao_contratual!O170)</f>
        <v/>
      </c>
      <c r="V170" s="176">
        <f>IF(A170="","",posicao_contratual!S170)</f>
        <v/>
      </c>
      <c r="W170" s="176">
        <f>IF(A170="","",posicao_contratual!W170)</f>
        <v/>
      </c>
    </row>
    <row r="171">
      <c r="A171" s="91">
        <f>IF(itens_Remanesc!A171="","",itens_Remanesc!A171)</f>
        <v/>
      </c>
      <c r="B171" s="90">
        <f>IF(A171="","",IF(posicao_contratual!$Y171="","",IF(posicao_contratual!$Y171&gt;0,"",posicao_contratual!G171)))</f>
        <v/>
      </c>
      <c r="C171" s="335">
        <f>IF(itens_Remanesc!A171="","",IF(posicao_contratual!$Y171="","",IF(posicao_contratual!$Y171&gt;0,"",itens_Remanesc!C171)))</f>
        <v/>
      </c>
      <c r="D171" s="335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335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335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335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>
        <f>IF(OR(A171="",C171="",C171=0,NOT(ISNUMBER($L$6))),"",ROUND($L$6-1,4))</f>
        <v/>
      </c>
      <c r="I171" s="13" t="n"/>
      <c r="J171" s="13" t="n"/>
      <c r="K171" s="13" t="n"/>
      <c r="L171" s="13" t="n"/>
      <c r="M171" s="13" t="n"/>
      <c r="N171" s="155">
        <f>IF(A171="","",IF(posicao_contratual!$Y171="","",IF(posicao_contratual!$Y171&gt;0,"",posicao_contratual!E171)))</f>
        <v/>
      </c>
      <c r="O171" s="155">
        <f>IF(A171="","",IF(posicao_contratual!$Y171="","",IF(posicao_contratual!$Y171&gt;1,"",posicao_contratual!I171)))</f>
        <v/>
      </c>
      <c r="P171" s="155">
        <f>IF(A171="","",IF(posicao_contratual!$Y171="","",IF(posicao_contratual!$Y171&gt;2,"",posicao_contratual!M171)))</f>
        <v/>
      </c>
      <c r="Q171" s="155">
        <f>IF(A171="","",IF(posicao_contratual!$Y171="","",IF(posicao_contratual!$Y171&gt;3,"",posicao_contratual!Q171)))</f>
        <v/>
      </c>
      <c r="R171" s="155">
        <f>IF(A171="","",IF(posicao_contratual!$Y171="","",IF(posicao_contratual!$Y171&gt;4,"",posicao_contratual!U171)))</f>
        <v/>
      </c>
      <c r="S171" s="176">
        <f>IF(A171="","",posicao_contratual!G171)</f>
        <v/>
      </c>
      <c r="T171" s="176">
        <f>IF(A171="","",posicao_contratual!K171)</f>
        <v/>
      </c>
      <c r="U171" s="176">
        <f>IF(A171="","",posicao_contratual!O171)</f>
        <v/>
      </c>
      <c r="V171" s="176">
        <f>IF(A171="","",posicao_contratual!S171)</f>
        <v/>
      </c>
      <c r="W171" s="176">
        <f>IF(A171="","",posicao_contratual!W171)</f>
        <v/>
      </c>
    </row>
    <row r="172">
      <c r="A172" s="91">
        <f>IF(itens_Remanesc!A172="","",itens_Remanesc!A172)</f>
        <v/>
      </c>
      <c r="B172" s="90">
        <f>IF(A172="","",IF(posicao_contratual!$Y172="","",IF(posicao_contratual!$Y172&gt;0,"",posicao_contratual!G172)))</f>
        <v/>
      </c>
      <c r="C172" s="335">
        <f>IF(itens_Remanesc!A172="","",IF(posicao_contratual!$Y172="","",IF(posicao_contratual!$Y172&gt;0,"",itens_Remanesc!C172)))</f>
        <v/>
      </c>
      <c r="D172" s="335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335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335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335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>
        <f>IF(OR(A172="",C172="",C172=0,NOT(ISNUMBER($L$6))),"",ROUND($L$6-1,4))</f>
        <v/>
      </c>
      <c r="I172" s="13" t="n"/>
      <c r="J172" s="13" t="n"/>
      <c r="K172" s="13" t="n"/>
      <c r="L172" s="13" t="n"/>
      <c r="M172" s="13" t="n"/>
      <c r="N172" s="155">
        <f>IF(A172="","",IF(posicao_contratual!$Y172="","",IF(posicao_contratual!$Y172&gt;0,"",posicao_contratual!E172)))</f>
        <v/>
      </c>
      <c r="O172" s="155">
        <f>IF(A172="","",IF(posicao_contratual!$Y172="","",IF(posicao_contratual!$Y172&gt;1,"",posicao_contratual!I172)))</f>
        <v/>
      </c>
      <c r="P172" s="155">
        <f>IF(A172="","",IF(posicao_contratual!$Y172="","",IF(posicao_contratual!$Y172&gt;2,"",posicao_contratual!M172)))</f>
        <v/>
      </c>
      <c r="Q172" s="155">
        <f>IF(A172="","",IF(posicao_contratual!$Y172="","",IF(posicao_contratual!$Y172&gt;3,"",posicao_contratual!Q172)))</f>
        <v/>
      </c>
      <c r="R172" s="155">
        <f>IF(A172="","",IF(posicao_contratual!$Y172="","",IF(posicao_contratual!$Y172&gt;4,"",posicao_contratual!U172)))</f>
        <v/>
      </c>
      <c r="S172" s="176">
        <f>IF(A172="","",posicao_contratual!G172)</f>
        <v/>
      </c>
      <c r="T172" s="176">
        <f>IF(A172="","",posicao_contratual!K172)</f>
        <v/>
      </c>
      <c r="U172" s="176">
        <f>IF(A172="","",posicao_contratual!O172)</f>
        <v/>
      </c>
      <c r="V172" s="176">
        <f>IF(A172="","",posicao_contratual!S172)</f>
        <v/>
      </c>
      <c r="W172" s="176">
        <f>IF(A172="","",posicao_contratual!W172)</f>
        <v/>
      </c>
    </row>
    <row r="173">
      <c r="A173" s="91">
        <f>IF(itens_Remanesc!A173="","",itens_Remanesc!A173)</f>
        <v/>
      </c>
      <c r="B173" s="90">
        <f>IF(A173="","",IF(posicao_contratual!$Y173="","",IF(posicao_contratual!$Y173&gt;0,"",posicao_contratual!G173)))</f>
        <v/>
      </c>
      <c r="C173" s="335">
        <f>IF(itens_Remanesc!A173="","",IF(posicao_contratual!$Y173="","",IF(posicao_contratual!$Y173&gt;0,"",itens_Remanesc!C173)))</f>
        <v/>
      </c>
      <c r="D173" s="335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335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335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335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>
        <f>IF(OR(A173="",C173="",C173=0,NOT(ISNUMBER($L$6))),"",ROUND($L$6-1,4))</f>
        <v/>
      </c>
      <c r="I173" s="13" t="n"/>
      <c r="J173" s="13" t="n"/>
      <c r="K173" s="13" t="n"/>
      <c r="L173" s="13" t="n"/>
      <c r="M173" s="13" t="n"/>
      <c r="N173" s="155">
        <f>IF(A173="","",IF(posicao_contratual!$Y173="","",IF(posicao_contratual!$Y173&gt;0,"",posicao_contratual!E173)))</f>
        <v/>
      </c>
      <c r="O173" s="155">
        <f>IF(A173="","",IF(posicao_contratual!$Y173="","",IF(posicao_contratual!$Y173&gt;1,"",posicao_contratual!I173)))</f>
        <v/>
      </c>
      <c r="P173" s="155">
        <f>IF(A173="","",IF(posicao_contratual!$Y173="","",IF(posicao_contratual!$Y173&gt;2,"",posicao_contratual!M173)))</f>
        <v/>
      </c>
      <c r="Q173" s="155">
        <f>IF(A173="","",IF(posicao_contratual!$Y173="","",IF(posicao_contratual!$Y173&gt;3,"",posicao_contratual!Q173)))</f>
        <v/>
      </c>
      <c r="R173" s="155">
        <f>IF(A173="","",IF(posicao_contratual!$Y173="","",IF(posicao_contratual!$Y173&gt;4,"",posicao_contratual!U173)))</f>
        <v/>
      </c>
      <c r="S173" s="176">
        <f>IF(A173="","",posicao_contratual!G173)</f>
        <v/>
      </c>
      <c r="T173" s="176">
        <f>IF(A173="","",posicao_contratual!K173)</f>
        <v/>
      </c>
      <c r="U173" s="176">
        <f>IF(A173="","",posicao_contratual!O173)</f>
        <v/>
      </c>
      <c r="V173" s="176">
        <f>IF(A173="","",posicao_contratual!S173)</f>
        <v/>
      </c>
      <c r="W173" s="176">
        <f>IF(A173="","",posicao_contratual!W173)</f>
        <v/>
      </c>
    </row>
    <row r="174">
      <c r="A174" s="91">
        <f>IF(itens_Remanesc!A174="","",itens_Remanesc!A174)</f>
        <v/>
      </c>
      <c r="B174" s="90">
        <f>IF(A174="","",IF(posicao_contratual!$Y174="","",IF(posicao_contratual!$Y174&gt;0,"",posicao_contratual!G174)))</f>
        <v/>
      </c>
      <c r="C174" s="335">
        <f>IF(itens_Remanesc!A174="","",IF(posicao_contratual!$Y174="","",IF(posicao_contratual!$Y174&gt;0,"",itens_Remanesc!C174)))</f>
        <v/>
      </c>
      <c r="D174" s="335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335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335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335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>
        <f>IF(OR(A174="",C174="",C174=0,NOT(ISNUMBER($L$6))),"",ROUND($L$6-1,4))</f>
        <v/>
      </c>
      <c r="I174" s="13" t="n"/>
      <c r="J174" s="13" t="n"/>
      <c r="K174" s="13" t="n"/>
      <c r="L174" s="13" t="n"/>
      <c r="M174" s="13" t="n"/>
      <c r="N174" s="155">
        <f>IF(A174="","",IF(posicao_contratual!$Y174="","",IF(posicao_contratual!$Y174&gt;0,"",posicao_contratual!E174)))</f>
        <v/>
      </c>
      <c r="O174" s="155">
        <f>IF(A174="","",IF(posicao_contratual!$Y174="","",IF(posicao_contratual!$Y174&gt;1,"",posicao_contratual!I174)))</f>
        <v/>
      </c>
      <c r="P174" s="155">
        <f>IF(A174="","",IF(posicao_contratual!$Y174="","",IF(posicao_contratual!$Y174&gt;2,"",posicao_contratual!M174)))</f>
        <v/>
      </c>
      <c r="Q174" s="155">
        <f>IF(A174="","",IF(posicao_contratual!$Y174="","",IF(posicao_contratual!$Y174&gt;3,"",posicao_contratual!Q174)))</f>
        <v/>
      </c>
      <c r="R174" s="155">
        <f>IF(A174="","",IF(posicao_contratual!$Y174="","",IF(posicao_contratual!$Y174&gt;4,"",posicao_contratual!U174)))</f>
        <v/>
      </c>
      <c r="S174" s="176">
        <f>IF(A174="","",posicao_contratual!G174)</f>
        <v/>
      </c>
      <c r="T174" s="176">
        <f>IF(A174="","",posicao_contratual!K174)</f>
        <v/>
      </c>
      <c r="U174" s="176">
        <f>IF(A174="","",posicao_contratual!O174)</f>
        <v/>
      </c>
      <c r="V174" s="176">
        <f>IF(A174="","",posicao_contratual!S174)</f>
        <v/>
      </c>
      <c r="W174" s="176">
        <f>IF(A174="","",posicao_contratual!W174)</f>
        <v/>
      </c>
    </row>
    <row r="175">
      <c r="A175" s="91">
        <f>IF(itens_Remanesc!A175="","",itens_Remanesc!A175)</f>
        <v/>
      </c>
      <c r="B175" s="90">
        <f>IF(A175="","",IF(posicao_contratual!$Y175="","",IF(posicao_contratual!$Y175&gt;0,"",posicao_contratual!G175)))</f>
        <v/>
      </c>
      <c r="C175" s="335">
        <f>IF(itens_Remanesc!A175="","",IF(posicao_contratual!$Y175="","",IF(posicao_contratual!$Y175&gt;0,"",itens_Remanesc!C175)))</f>
        <v/>
      </c>
      <c r="D175" s="335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335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335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335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>
        <f>IF(OR(A175="",C175="",C175=0,NOT(ISNUMBER($L$6))),"",ROUND($L$6-1,4))</f>
        <v/>
      </c>
      <c r="I175" s="13" t="n"/>
      <c r="J175" s="13" t="n"/>
      <c r="K175" s="13" t="n"/>
      <c r="L175" s="13" t="n"/>
      <c r="M175" s="13" t="n"/>
      <c r="N175" s="155">
        <f>IF(A175="","",IF(posicao_contratual!$Y175="","",IF(posicao_contratual!$Y175&gt;0,"",posicao_contratual!E175)))</f>
        <v/>
      </c>
      <c r="O175" s="155">
        <f>IF(A175="","",IF(posicao_contratual!$Y175="","",IF(posicao_contratual!$Y175&gt;1,"",posicao_contratual!I175)))</f>
        <v/>
      </c>
      <c r="P175" s="155">
        <f>IF(A175="","",IF(posicao_contratual!$Y175="","",IF(posicao_contratual!$Y175&gt;2,"",posicao_contratual!M175)))</f>
        <v/>
      </c>
      <c r="Q175" s="155">
        <f>IF(A175="","",IF(posicao_contratual!$Y175="","",IF(posicao_contratual!$Y175&gt;3,"",posicao_contratual!Q175)))</f>
        <v/>
      </c>
      <c r="R175" s="155">
        <f>IF(A175="","",IF(posicao_contratual!$Y175="","",IF(posicao_contratual!$Y175&gt;4,"",posicao_contratual!U175)))</f>
        <v/>
      </c>
      <c r="S175" s="176">
        <f>IF(A175="","",posicao_contratual!G175)</f>
        <v/>
      </c>
      <c r="T175" s="176">
        <f>IF(A175="","",posicao_contratual!K175)</f>
        <v/>
      </c>
      <c r="U175" s="176">
        <f>IF(A175="","",posicao_contratual!O175)</f>
        <v/>
      </c>
      <c r="V175" s="176">
        <f>IF(A175="","",posicao_contratual!S175)</f>
        <v/>
      </c>
      <c r="W175" s="176">
        <f>IF(A175="","",posicao_contratual!W175)</f>
        <v/>
      </c>
    </row>
    <row r="176">
      <c r="A176" s="91">
        <f>IF(itens_Remanesc!A176="","",itens_Remanesc!A176)</f>
        <v/>
      </c>
      <c r="B176" s="90">
        <f>IF(A176="","",IF(posicao_contratual!$Y176="","",IF(posicao_contratual!$Y176&gt;0,"",posicao_contratual!G176)))</f>
        <v/>
      </c>
      <c r="C176" s="335">
        <f>IF(itens_Remanesc!A176="","",IF(posicao_contratual!$Y176="","",IF(posicao_contratual!$Y176&gt;0,"",itens_Remanesc!C176)))</f>
        <v/>
      </c>
      <c r="D176" s="335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335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335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335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>
        <f>IF(OR(A176="",C176="",C176=0,NOT(ISNUMBER($L$6))),"",ROUND($L$6-1,4))</f>
        <v/>
      </c>
      <c r="I176" s="13" t="n"/>
      <c r="J176" s="13" t="n"/>
      <c r="K176" s="13" t="n"/>
      <c r="L176" s="13" t="n"/>
      <c r="M176" s="13" t="n"/>
      <c r="N176" s="155">
        <f>IF(A176="","",IF(posicao_contratual!$Y176="","",IF(posicao_contratual!$Y176&gt;0,"",posicao_contratual!E176)))</f>
        <v/>
      </c>
      <c r="O176" s="155">
        <f>IF(A176="","",IF(posicao_contratual!$Y176="","",IF(posicao_contratual!$Y176&gt;1,"",posicao_contratual!I176)))</f>
        <v/>
      </c>
      <c r="P176" s="155">
        <f>IF(A176="","",IF(posicao_contratual!$Y176="","",IF(posicao_contratual!$Y176&gt;2,"",posicao_contratual!M176)))</f>
        <v/>
      </c>
      <c r="Q176" s="155">
        <f>IF(A176="","",IF(posicao_contratual!$Y176="","",IF(posicao_contratual!$Y176&gt;3,"",posicao_contratual!Q176)))</f>
        <v/>
      </c>
      <c r="R176" s="155">
        <f>IF(A176="","",IF(posicao_contratual!$Y176="","",IF(posicao_contratual!$Y176&gt;4,"",posicao_contratual!U176)))</f>
        <v/>
      </c>
      <c r="S176" s="176">
        <f>IF(A176="","",posicao_contratual!G176)</f>
        <v/>
      </c>
      <c r="T176" s="176">
        <f>IF(A176="","",posicao_contratual!K176)</f>
        <v/>
      </c>
      <c r="U176" s="176">
        <f>IF(A176="","",posicao_contratual!O176)</f>
        <v/>
      </c>
      <c r="V176" s="176">
        <f>IF(A176="","",posicao_contratual!S176)</f>
        <v/>
      </c>
      <c r="W176" s="176">
        <f>IF(A176="","",posicao_contratual!W176)</f>
        <v/>
      </c>
    </row>
    <row r="177">
      <c r="A177" s="91">
        <f>IF(itens_Remanesc!A177="","",itens_Remanesc!A177)</f>
        <v/>
      </c>
      <c r="B177" s="90">
        <f>IF(A177="","",IF(posicao_contratual!$Y177="","",IF(posicao_contratual!$Y177&gt;0,"",posicao_contratual!G177)))</f>
        <v/>
      </c>
      <c r="C177" s="335">
        <f>IF(itens_Remanesc!A177="","",IF(posicao_contratual!$Y177="","",IF(posicao_contratual!$Y177&gt;0,"",itens_Remanesc!C177)))</f>
        <v/>
      </c>
      <c r="D177" s="335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335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335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335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>
        <f>IF(OR(A177="",C177="",C177=0,NOT(ISNUMBER($L$6))),"",ROUND($L$6-1,4))</f>
        <v/>
      </c>
      <c r="I177" s="13" t="n"/>
      <c r="J177" s="13" t="n"/>
      <c r="K177" s="13" t="n"/>
      <c r="L177" s="13" t="n"/>
      <c r="M177" s="13" t="n"/>
      <c r="N177" s="155">
        <f>IF(A177="","",IF(posicao_contratual!$Y177="","",IF(posicao_contratual!$Y177&gt;0,"",posicao_contratual!E177)))</f>
        <v/>
      </c>
      <c r="O177" s="155">
        <f>IF(A177="","",IF(posicao_contratual!$Y177="","",IF(posicao_contratual!$Y177&gt;1,"",posicao_contratual!I177)))</f>
        <v/>
      </c>
      <c r="P177" s="155">
        <f>IF(A177="","",IF(posicao_contratual!$Y177="","",IF(posicao_contratual!$Y177&gt;2,"",posicao_contratual!M177)))</f>
        <v/>
      </c>
      <c r="Q177" s="155">
        <f>IF(A177="","",IF(posicao_contratual!$Y177="","",IF(posicao_contratual!$Y177&gt;3,"",posicao_contratual!Q177)))</f>
        <v/>
      </c>
      <c r="R177" s="155">
        <f>IF(A177="","",IF(posicao_contratual!$Y177="","",IF(posicao_contratual!$Y177&gt;4,"",posicao_contratual!U177)))</f>
        <v/>
      </c>
      <c r="S177" s="176">
        <f>IF(A177="","",posicao_contratual!G177)</f>
        <v/>
      </c>
      <c r="T177" s="176">
        <f>IF(A177="","",posicao_contratual!K177)</f>
        <v/>
      </c>
      <c r="U177" s="176">
        <f>IF(A177="","",posicao_contratual!O177)</f>
        <v/>
      </c>
      <c r="V177" s="176">
        <f>IF(A177="","",posicao_contratual!S177)</f>
        <v/>
      </c>
      <c r="W177" s="176">
        <f>IF(A177="","",posicao_contratual!W177)</f>
        <v/>
      </c>
    </row>
    <row r="178">
      <c r="A178" s="91">
        <f>IF(itens_Remanesc!A178="","",itens_Remanesc!A178)</f>
        <v/>
      </c>
      <c r="B178" s="90">
        <f>IF(A178="","",IF(posicao_contratual!$Y178="","",IF(posicao_contratual!$Y178&gt;0,"",posicao_contratual!G178)))</f>
        <v/>
      </c>
      <c r="C178" s="335">
        <f>IF(itens_Remanesc!A178="","",IF(posicao_contratual!$Y178="","",IF(posicao_contratual!$Y178&gt;0,"",itens_Remanesc!C178)))</f>
        <v/>
      </c>
      <c r="D178" s="335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335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335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335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>
        <f>IF(OR(A178="",C178="",C178=0,NOT(ISNUMBER($L$6))),"",ROUND($L$6-1,4))</f>
        <v/>
      </c>
      <c r="I178" s="13" t="n"/>
      <c r="J178" s="13" t="n"/>
      <c r="K178" s="13" t="n"/>
      <c r="L178" s="13" t="n"/>
      <c r="M178" s="13" t="n"/>
      <c r="N178" s="155">
        <f>IF(A178="","",IF(posicao_contratual!$Y178="","",IF(posicao_contratual!$Y178&gt;0,"",posicao_contratual!E178)))</f>
        <v/>
      </c>
      <c r="O178" s="155">
        <f>IF(A178="","",IF(posicao_contratual!$Y178="","",IF(posicao_contratual!$Y178&gt;1,"",posicao_contratual!I178)))</f>
        <v/>
      </c>
      <c r="P178" s="155">
        <f>IF(A178="","",IF(posicao_contratual!$Y178="","",IF(posicao_contratual!$Y178&gt;2,"",posicao_contratual!M178)))</f>
        <v/>
      </c>
      <c r="Q178" s="155">
        <f>IF(A178="","",IF(posicao_contratual!$Y178="","",IF(posicao_contratual!$Y178&gt;3,"",posicao_contratual!Q178)))</f>
        <v/>
      </c>
      <c r="R178" s="155">
        <f>IF(A178="","",IF(posicao_contratual!$Y178="","",IF(posicao_contratual!$Y178&gt;4,"",posicao_contratual!U178)))</f>
        <v/>
      </c>
      <c r="S178" s="176">
        <f>IF(A178="","",posicao_contratual!G178)</f>
        <v/>
      </c>
      <c r="T178" s="176">
        <f>IF(A178="","",posicao_contratual!K178)</f>
        <v/>
      </c>
      <c r="U178" s="176">
        <f>IF(A178="","",posicao_contratual!O178)</f>
        <v/>
      </c>
      <c r="V178" s="176">
        <f>IF(A178="","",posicao_contratual!S178)</f>
        <v/>
      </c>
      <c r="W178" s="176">
        <f>IF(A178="","",posicao_contratual!W178)</f>
        <v/>
      </c>
    </row>
    <row r="179">
      <c r="A179" s="91">
        <f>IF(itens_Remanesc!A179="","",itens_Remanesc!A179)</f>
        <v/>
      </c>
      <c r="B179" s="90">
        <f>IF(A179="","",IF(posicao_contratual!$Y179="","",IF(posicao_contratual!$Y179&gt;0,"",posicao_contratual!G179)))</f>
        <v/>
      </c>
      <c r="C179" s="335">
        <f>IF(itens_Remanesc!A179="","",IF(posicao_contratual!$Y179="","",IF(posicao_contratual!$Y179&gt;0,"",itens_Remanesc!C179)))</f>
        <v/>
      </c>
      <c r="D179" s="335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335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335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335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>
        <f>IF(OR(A179="",C179="",C179=0,NOT(ISNUMBER($L$6))),"",ROUND($L$6-1,4))</f>
        <v/>
      </c>
      <c r="I179" s="13" t="n"/>
      <c r="J179" s="13" t="n"/>
      <c r="K179" s="13" t="n"/>
      <c r="L179" s="13" t="n"/>
      <c r="M179" s="13" t="n"/>
      <c r="N179" s="155">
        <f>IF(A179="","",IF(posicao_contratual!$Y179="","",IF(posicao_contratual!$Y179&gt;0,"",posicao_contratual!E179)))</f>
        <v/>
      </c>
      <c r="O179" s="155">
        <f>IF(A179="","",IF(posicao_contratual!$Y179="","",IF(posicao_contratual!$Y179&gt;1,"",posicao_contratual!I179)))</f>
        <v/>
      </c>
      <c r="P179" s="155">
        <f>IF(A179="","",IF(posicao_contratual!$Y179="","",IF(posicao_contratual!$Y179&gt;2,"",posicao_contratual!M179)))</f>
        <v/>
      </c>
      <c r="Q179" s="155">
        <f>IF(A179="","",IF(posicao_contratual!$Y179="","",IF(posicao_contratual!$Y179&gt;3,"",posicao_contratual!Q179)))</f>
        <v/>
      </c>
      <c r="R179" s="155">
        <f>IF(A179="","",IF(posicao_contratual!$Y179="","",IF(posicao_contratual!$Y179&gt;4,"",posicao_contratual!U179)))</f>
        <v/>
      </c>
      <c r="S179" s="176">
        <f>IF(A179="","",posicao_contratual!G179)</f>
        <v/>
      </c>
      <c r="T179" s="176">
        <f>IF(A179="","",posicao_contratual!K179)</f>
        <v/>
      </c>
      <c r="U179" s="176">
        <f>IF(A179="","",posicao_contratual!O179)</f>
        <v/>
      </c>
      <c r="V179" s="176">
        <f>IF(A179="","",posicao_contratual!S179)</f>
        <v/>
      </c>
      <c r="W179" s="176">
        <f>IF(A179="","",posicao_contratual!W179)</f>
        <v/>
      </c>
    </row>
    <row r="180">
      <c r="A180" s="91">
        <f>IF(itens_Remanesc!A180="","",itens_Remanesc!A180)</f>
        <v/>
      </c>
      <c r="B180" s="90">
        <f>IF(A180="","",IF(posicao_contratual!$Y180="","",IF(posicao_contratual!$Y180&gt;0,"",posicao_contratual!G180)))</f>
        <v/>
      </c>
      <c r="C180" s="335">
        <f>IF(itens_Remanesc!A180="","",IF(posicao_contratual!$Y180="","",IF(posicao_contratual!$Y180&gt;0,"",itens_Remanesc!C180)))</f>
        <v/>
      </c>
      <c r="D180" s="335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335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335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335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>
        <f>IF(OR(A180="",C180="",C180=0,NOT(ISNUMBER($L$6))),"",ROUND($L$6-1,4))</f>
        <v/>
      </c>
      <c r="I180" s="13" t="n"/>
      <c r="J180" s="13" t="n"/>
      <c r="K180" s="13" t="n"/>
      <c r="L180" s="13" t="n"/>
      <c r="M180" s="13" t="n"/>
      <c r="N180" s="155">
        <f>IF(A180="","",IF(posicao_contratual!$Y180="","",IF(posicao_contratual!$Y180&gt;0,"",posicao_contratual!E180)))</f>
        <v/>
      </c>
      <c r="O180" s="155">
        <f>IF(A180="","",IF(posicao_contratual!$Y180="","",IF(posicao_contratual!$Y180&gt;1,"",posicao_contratual!I180)))</f>
        <v/>
      </c>
      <c r="P180" s="155">
        <f>IF(A180="","",IF(posicao_contratual!$Y180="","",IF(posicao_contratual!$Y180&gt;2,"",posicao_contratual!M180)))</f>
        <v/>
      </c>
      <c r="Q180" s="155">
        <f>IF(A180="","",IF(posicao_contratual!$Y180="","",IF(posicao_contratual!$Y180&gt;3,"",posicao_contratual!Q180)))</f>
        <v/>
      </c>
      <c r="R180" s="155">
        <f>IF(A180="","",IF(posicao_contratual!$Y180="","",IF(posicao_contratual!$Y180&gt;4,"",posicao_contratual!U180)))</f>
        <v/>
      </c>
      <c r="S180" s="176">
        <f>IF(A180="","",posicao_contratual!G180)</f>
        <v/>
      </c>
      <c r="T180" s="176">
        <f>IF(A180="","",posicao_contratual!K180)</f>
        <v/>
      </c>
      <c r="U180" s="176">
        <f>IF(A180="","",posicao_contratual!O180)</f>
        <v/>
      </c>
      <c r="V180" s="176">
        <f>IF(A180="","",posicao_contratual!S180)</f>
        <v/>
      </c>
      <c r="W180" s="176">
        <f>IF(A180="","",posicao_contratual!W180)</f>
        <v/>
      </c>
    </row>
    <row r="181">
      <c r="A181" s="91">
        <f>IF(itens_Remanesc!A181="","",itens_Remanesc!A181)</f>
        <v/>
      </c>
      <c r="B181" s="90">
        <f>IF(A181="","",IF(posicao_contratual!$Y181="","",IF(posicao_contratual!$Y181&gt;0,"",posicao_contratual!G181)))</f>
        <v/>
      </c>
      <c r="C181" s="335">
        <f>IF(itens_Remanesc!A181="","",IF(posicao_contratual!$Y181="","",IF(posicao_contratual!$Y181&gt;0,"",itens_Remanesc!C181)))</f>
        <v/>
      </c>
      <c r="D181" s="335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335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335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335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>
        <f>IF(OR(A181="",C181="",C181=0,NOT(ISNUMBER($L$6))),"",ROUND($L$6-1,4))</f>
        <v/>
      </c>
      <c r="I181" s="13" t="n"/>
      <c r="J181" s="13" t="n"/>
      <c r="K181" s="13" t="n"/>
      <c r="L181" s="13" t="n"/>
      <c r="M181" s="13" t="n"/>
      <c r="N181" s="155">
        <f>IF(A181="","",IF(posicao_contratual!$Y181="","",IF(posicao_contratual!$Y181&gt;0,"",posicao_contratual!E181)))</f>
        <v/>
      </c>
      <c r="O181" s="155">
        <f>IF(A181="","",IF(posicao_contratual!$Y181="","",IF(posicao_contratual!$Y181&gt;1,"",posicao_contratual!I181)))</f>
        <v/>
      </c>
      <c r="P181" s="155">
        <f>IF(A181="","",IF(posicao_contratual!$Y181="","",IF(posicao_contratual!$Y181&gt;2,"",posicao_contratual!M181)))</f>
        <v/>
      </c>
      <c r="Q181" s="155">
        <f>IF(A181="","",IF(posicao_contratual!$Y181="","",IF(posicao_contratual!$Y181&gt;3,"",posicao_contratual!Q181)))</f>
        <v/>
      </c>
      <c r="R181" s="155">
        <f>IF(A181="","",IF(posicao_contratual!$Y181="","",IF(posicao_contratual!$Y181&gt;4,"",posicao_contratual!U181)))</f>
        <v/>
      </c>
      <c r="S181" s="176">
        <f>IF(A181="","",posicao_contratual!G181)</f>
        <v/>
      </c>
      <c r="T181" s="176">
        <f>IF(A181="","",posicao_contratual!K181)</f>
        <v/>
      </c>
      <c r="U181" s="176">
        <f>IF(A181="","",posicao_contratual!O181)</f>
        <v/>
      </c>
      <c r="V181" s="176">
        <f>IF(A181="","",posicao_contratual!S181)</f>
        <v/>
      </c>
      <c r="W181" s="176">
        <f>IF(A181="","",posicao_contratual!W181)</f>
        <v/>
      </c>
    </row>
    <row r="182">
      <c r="A182" s="91">
        <f>IF(itens_Remanesc!A182="","",itens_Remanesc!A182)</f>
        <v/>
      </c>
      <c r="B182" s="90">
        <f>IF(A182="","",IF(posicao_contratual!$Y182="","",IF(posicao_contratual!$Y182&gt;0,"",posicao_contratual!G182)))</f>
        <v/>
      </c>
      <c r="C182" s="335">
        <f>IF(itens_Remanesc!A182="","",IF(posicao_contratual!$Y182="","",IF(posicao_contratual!$Y182&gt;0,"",itens_Remanesc!C182)))</f>
        <v/>
      </c>
      <c r="D182" s="335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335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335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335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>
        <f>IF(OR(A182="",C182="",C182=0,NOT(ISNUMBER($L$6))),"",ROUND($L$6-1,4))</f>
        <v/>
      </c>
      <c r="I182" s="13" t="n"/>
      <c r="J182" s="13" t="n"/>
      <c r="K182" s="13" t="n"/>
      <c r="L182" s="13" t="n"/>
      <c r="M182" s="13" t="n"/>
      <c r="N182" s="155">
        <f>IF(A182="","",IF(posicao_contratual!$Y182="","",IF(posicao_contratual!$Y182&gt;0,"",posicao_contratual!E182)))</f>
        <v/>
      </c>
      <c r="O182" s="155">
        <f>IF(A182="","",IF(posicao_contratual!$Y182="","",IF(posicao_contratual!$Y182&gt;1,"",posicao_contratual!I182)))</f>
        <v/>
      </c>
      <c r="P182" s="155">
        <f>IF(A182="","",IF(posicao_contratual!$Y182="","",IF(posicao_contratual!$Y182&gt;2,"",posicao_contratual!M182)))</f>
        <v/>
      </c>
      <c r="Q182" s="155">
        <f>IF(A182="","",IF(posicao_contratual!$Y182="","",IF(posicao_contratual!$Y182&gt;3,"",posicao_contratual!Q182)))</f>
        <v/>
      </c>
      <c r="R182" s="155">
        <f>IF(A182="","",IF(posicao_contratual!$Y182="","",IF(posicao_contratual!$Y182&gt;4,"",posicao_contratual!U182)))</f>
        <v/>
      </c>
      <c r="S182" s="176">
        <f>IF(A182="","",posicao_contratual!G182)</f>
        <v/>
      </c>
      <c r="T182" s="176">
        <f>IF(A182="","",posicao_contratual!K182)</f>
        <v/>
      </c>
      <c r="U182" s="176">
        <f>IF(A182="","",posicao_contratual!O182)</f>
        <v/>
      </c>
      <c r="V182" s="176">
        <f>IF(A182="","",posicao_contratual!S182)</f>
        <v/>
      </c>
      <c r="W182" s="176">
        <f>IF(A182="","",posicao_contratual!W182)</f>
        <v/>
      </c>
    </row>
    <row r="183">
      <c r="A183" s="91">
        <f>IF(itens_Remanesc!A183="","",itens_Remanesc!A183)</f>
        <v/>
      </c>
      <c r="B183" s="90">
        <f>IF(A183="","",IF(posicao_contratual!$Y183="","",IF(posicao_contratual!$Y183&gt;0,"",posicao_contratual!G183)))</f>
        <v/>
      </c>
      <c r="C183" s="335">
        <f>IF(itens_Remanesc!A183="","",IF(posicao_contratual!$Y183="","",IF(posicao_contratual!$Y183&gt;0,"",itens_Remanesc!C183)))</f>
        <v/>
      </c>
      <c r="D183" s="335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335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335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335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>
        <f>IF(OR(A183="",C183="",C183=0,NOT(ISNUMBER($L$6))),"",ROUND($L$6-1,4))</f>
        <v/>
      </c>
      <c r="I183" s="13" t="n"/>
      <c r="J183" s="13" t="n"/>
      <c r="K183" s="13" t="n"/>
      <c r="L183" s="13" t="n"/>
      <c r="M183" s="13" t="n"/>
      <c r="N183" s="155">
        <f>IF(A183="","",IF(posicao_contratual!$Y183="","",IF(posicao_contratual!$Y183&gt;0,"",posicao_contratual!E183)))</f>
        <v/>
      </c>
      <c r="O183" s="155">
        <f>IF(A183="","",IF(posicao_contratual!$Y183="","",IF(posicao_contratual!$Y183&gt;1,"",posicao_contratual!I183)))</f>
        <v/>
      </c>
      <c r="P183" s="155">
        <f>IF(A183="","",IF(posicao_contratual!$Y183="","",IF(posicao_contratual!$Y183&gt;2,"",posicao_contratual!M183)))</f>
        <v/>
      </c>
      <c r="Q183" s="155">
        <f>IF(A183="","",IF(posicao_contratual!$Y183="","",IF(posicao_contratual!$Y183&gt;3,"",posicao_contratual!Q183)))</f>
        <v/>
      </c>
      <c r="R183" s="155">
        <f>IF(A183="","",IF(posicao_contratual!$Y183="","",IF(posicao_contratual!$Y183&gt;4,"",posicao_contratual!U183)))</f>
        <v/>
      </c>
      <c r="S183" s="176">
        <f>IF(A183="","",posicao_contratual!G183)</f>
        <v/>
      </c>
      <c r="T183" s="176">
        <f>IF(A183="","",posicao_contratual!K183)</f>
        <v/>
      </c>
      <c r="U183" s="176">
        <f>IF(A183="","",posicao_contratual!O183)</f>
        <v/>
      </c>
      <c r="V183" s="176">
        <f>IF(A183="","",posicao_contratual!S183)</f>
        <v/>
      </c>
      <c r="W183" s="176">
        <f>IF(A183="","",posicao_contratual!W183)</f>
        <v/>
      </c>
    </row>
    <row r="184">
      <c r="A184" s="91">
        <f>IF(itens_Remanesc!A184="","",itens_Remanesc!A184)</f>
        <v/>
      </c>
      <c r="B184" s="90">
        <f>IF(A184="","",IF(posicao_contratual!$Y184="","",IF(posicao_contratual!$Y184&gt;0,"",posicao_contratual!G184)))</f>
        <v/>
      </c>
      <c r="C184" s="335">
        <f>IF(itens_Remanesc!A184="","",IF(posicao_contratual!$Y184="","",IF(posicao_contratual!$Y184&gt;0,"",itens_Remanesc!C184)))</f>
        <v/>
      </c>
      <c r="D184" s="335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335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335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335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>
        <f>IF(OR(A184="",C184="",C184=0,NOT(ISNUMBER($L$6))),"",ROUND($L$6-1,4))</f>
        <v/>
      </c>
      <c r="I184" s="13" t="n"/>
      <c r="J184" s="13" t="n"/>
      <c r="K184" s="13" t="n"/>
      <c r="L184" s="13" t="n"/>
      <c r="M184" s="13" t="n"/>
      <c r="N184" s="155">
        <f>IF(A184="","",IF(posicao_contratual!$Y184="","",IF(posicao_contratual!$Y184&gt;0,"",posicao_contratual!E184)))</f>
        <v/>
      </c>
      <c r="O184" s="155">
        <f>IF(A184="","",IF(posicao_contratual!$Y184="","",IF(posicao_contratual!$Y184&gt;1,"",posicao_contratual!I184)))</f>
        <v/>
      </c>
      <c r="P184" s="155">
        <f>IF(A184="","",IF(posicao_contratual!$Y184="","",IF(posicao_contratual!$Y184&gt;2,"",posicao_contratual!M184)))</f>
        <v/>
      </c>
      <c r="Q184" s="155">
        <f>IF(A184="","",IF(posicao_contratual!$Y184="","",IF(posicao_contratual!$Y184&gt;3,"",posicao_contratual!Q184)))</f>
        <v/>
      </c>
      <c r="R184" s="155">
        <f>IF(A184="","",IF(posicao_contratual!$Y184="","",IF(posicao_contratual!$Y184&gt;4,"",posicao_contratual!U184)))</f>
        <v/>
      </c>
      <c r="S184" s="176">
        <f>IF(A184="","",posicao_contratual!G184)</f>
        <v/>
      </c>
      <c r="T184" s="176">
        <f>IF(A184="","",posicao_contratual!K184)</f>
        <v/>
      </c>
      <c r="U184" s="176">
        <f>IF(A184="","",posicao_contratual!O184)</f>
        <v/>
      </c>
      <c r="V184" s="176">
        <f>IF(A184="","",posicao_contratual!S184)</f>
        <v/>
      </c>
      <c r="W184" s="176">
        <f>IF(A184="","",posicao_contratual!W184)</f>
        <v/>
      </c>
    </row>
    <row r="185">
      <c r="A185" s="91">
        <f>IF(itens_Remanesc!A185="","",itens_Remanesc!A185)</f>
        <v/>
      </c>
      <c r="B185" s="90">
        <f>IF(A185="","",IF(posicao_contratual!$Y185="","",IF(posicao_contratual!$Y185&gt;0,"",posicao_contratual!G185)))</f>
        <v/>
      </c>
      <c r="C185" s="335">
        <f>IF(itens_Remanesc!A185="","",IF(posicao_contratual!$Y185="","",IF(posicao_contratual!$Y185&gt;0,"",itens_Remanesc!C185)))</f>
        <v/>
      </c>
      <c r="D185" s="335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335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335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335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>
        <f>IF(OR(A185="",C185="",C185=0,NOT(ISNUMBER($L$6))),"",ROUND($L$6-1,4))</f>
        <v/>
      </c>
      <c r="I185" s="13" t="n"/>
      <c r="J185" s="13" t="n"/>
      <c r="K185" s="13" t="n"/>
      <c r="L185" s="13" t="n"/>
      <c r="M185" s="13" t="n"/>
      <c r="N185" s="155">
        <f>IF(A185="","",IF(posicao_contratual!$Y185="","",IF(posicao_contratual!$Y185&gt;0,"",posicao_contratual!E185)))</f>
        <v/>
      </c>
      <c r="O185" s="155">
        <f>IF(A185="","",IF(posicao_contratual!$Y185="","",IF(posicao_contratual!$Y185&gt;1,"",posicao_contratual!I185)))</f>
        <v/>
      </c>
      <c r="P185" s="155">
        <f>IF(A185="","",IF(posicao_contratual!$Y185="","",IF(posicao_contratual!$Y185&gt;2,"",posicao_contratual!M185)))</f>
        <v/>
      </c>
      <c r="Q185" s="155">
        <f>IF(A185="","",IF(posicao_contratual!$Y185="","",IF(posicao_contratual!$Y185&gt;3,"",posicao_contratual!Q185)))</f>
        <v/>
      </c>
      <c r="R185" s="155">
        <f>IF(A185="","",IF(posicao_contratual!$Y185="","",IF(posicao_contratual!$Y185&gt;4,"",posicao_contratual!U185)))</f>
        <v/>
      </c>
      <c r="S185" s="176">
        <f>IF(A185="","",posicao_contratual!G185)</f>
        <v/>
      </c>
      <c r="T185" s="176">
        <f>IF(A185="","",posicao_contratual!K185)</f>
        <v/>
      </c>
      <c r="U185" s="176">
        <f>IF(A185="","",posicao_contratual!O185)</f>
        <v/>
      </c>
      <c r="V185" s="176">
        <f>IF(A185="","",posicao_contratual!S185)</f>
        <v/>
      </c>
      <c r="W185" s="176">
        <f>IF(A185="","",posicao_contratual!W185)</f>
        <v/>
      </c>
    </row>
    <row r="186">
      <c r="A186" s="91">
        <f>IF(itens_Remanesc!A186="","",itens_Remanesc!A186)</f>
        <v/>
      </c>
      <c r="B186" s="90">
        <f>IF(A186="","",IF(posicao_contratual!$Y186="","",IF(posicao_contratual!$Y186&gt;0,"",posicao_contratual!G186)))</f>
        <v/>
      </c>
      <c r="C186" s="335">
        <f>IF(itens_Remanesc!A186="","",IF(posicao_contratual!$Y186="","",IF(posicao_contratual!$Y186&gt;0,"",itens_Remanesc!C186)))</f>
        <v/>
      </c>
      <c r="D186" s="335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335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335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335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>
        <f>IF(OR(A186="",C186="",C186=0,NOT(ISNUMBER($L$6))),"",ROUND($L$6-1,4))</f>
        <v/>
      </c>
      <c r="I186" s="13" t="n"/>
      <c r="J186" s="13" t="n"/>
      <c r="K186" s="13" t="n"/>
      <c r="L186" s="13" t="n"/>
      <c r="M186" s="13" t="n"/>
      <c r="N186" s="155">
        <f>IF(A186="","",IF(posicao_contratual!$Y186="","",IF(posicao_contratual!$Y186&gt;0,"",posicao_contratual!E186)))</f>
        <v/>
      </c>
      <c r="O186" s="155">
        <f>IF(A186="","",IF(posicao_contratual!$Y186="","",IF(posicao_contratual!$Y186&gt;1,"",posicao_contratual!I186)))</f>
        <v/>
      </c>
      <c r="P186" s="155">
        <f>IF(A186="","",IF(posicao_contratual!$Y186="","",IF(posicao_contratual!$Y186&gt;2,"",posicao_contratual!M186)))</f>
        <v/>
      </c>
      <c r="Q186" s="155">
        <f>IF(A186="","",IF(posicao_contratual!$Y186="","",IF(posicao_contratual!$Y186&gt;3,"",posicao_contratual!Q186)))</f>
        <v/>
      </c>
      <c r="R186" s="155">
        <f>IF(A186="","",IF(posicao_contratual!$Y186="","",IF(posicao_contratual!$Y186&gt;4,"",posicao_contratual!U186)))</f>
        <v/>
      </c>
      <c r="S186" s="176">
        <f>IF(A186="","",posicao_contratual!G186)</f>
        <v/>
      </c>
      <c r="T186" s="176">
        <f>IF(A186="","",posicao_contratual!K186)</f>
        <v/>
      </c>
      <c r="U186" s="176">
        <f>IF(A186="","",posicao_contratual!O186)</f>
        <v/>
      </c>
      <c r="V186" s="176">
        <f>IF(A186="","",posicao_contratual!S186)</f>
        <v/>
      </c>
      <c r="W186" s="176">
        <f>IF(A186="","",posicao_contratual!W186)</f>
        <v/>
      </c>
    </row>
    <row r="187">
      <c r="A187" s="91">
        <f>IF(itens_Remanesc!A187="","",itens_Remanesc!A187)</f>
        <v/>
      </c>
      <c r="B187" s="90">
        <f>IF(A187="","",IF(posicao_contratual!$Y187="","",IF(posicao_contratual!$Y187&gt;0,"",posicao_contratual!G187)))</f>
        <v/>
      </c>
      <c r="C187" s="335">
        <f>IF(itens_Remanesc!A187="","",IF(posicao_contratual!$Y187="","",IF(posicao_contratual!$Y187&gt;0,"",itens_Remanesc!C187)))</f>
        <v/>
      </c>
      <c r="D187" s="335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335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335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335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>
        <f>IF(OR(A187="",C187="",C187=0,NOT(ISNUMBER($L$6))),"",ROUND($L$6-1,4))</f>
        <v/>
      </c>
      <c r="I187" s="13" t="n"/>
      <c r="J187" s="13" t="n"/>
      <c r="K187" s="13" t="n"/>
      <c r="L187" s="13" t="n"/>
      <c r="M187" s="13" t="n"/>
      <c r="N187" s="155">
        <f>IF(A187="","",IF(posicao_contratual!$Y187="","",IF(posicao_contratual!$Y187&gt;0,"",posicao_contratual!E187)))</f>
        <v/>
      </c>
      <c r="O187" s="155">
        <f>IF(A187="","",IF(posicao_contratual!$Y187="","",IF(posicao_contratual!$Y187&gt;1,"",posicao_contratual!I187)))</f>
        <v/>
      </c>
      <c r="P187" s="155">
        <f>IF(A187="","",IF(posicao_contratual!$Y187="","",IF(posicao_contratual!$Y187&gt;2,"",posicao_contratual!M187)))</f>
        <v/>
      </c>
      <c r="Q187" s="155">
        <f>IF(A187="","",IF(posicao_contratual!$Y187="","",IF(posicao_contratual!$Y187&gt;3,"",posicao_contratual!Q187)))</f>
        <v/>
      </c>
      <c r="R187" s="155">
        <f>IF(A187="","",IF(posicao_contratual!$Y187="","",IF(posicao_contratual!$Y187&gt;4,"",posicao_contratual!U187)))</f>
        <v/>
      </c>
      <c r="S187" s="176">
        <f>IF(A187="","",posicao_contratual!G187)</f>
        <v/>
      </c>
      <c r="T187" s="176">
        <f>IF(A187="","",posicao_contratual!K187)</f>
        <v/>
      </c>
      <c r="U187" s="176">
        <f>IF(A187="","",posicao_contratual!O187)</f>
        <v/>
      </c>
      <c r="V187" s="176">
        <f>IF(A187="","",posicao_contratual!S187)</f>
        <v/>
      </c>
      <c r="W187" s="176">
        <f>IF(A187="","",posicao_contratual!W187)</f>
        <v/>
      </c>
    </row>
    <row r="188">
      <c r="A188" s="91">
        <f>IF(itens_Remanesc!A188="","",itens_Remanesc!A188)</f>
        <v/>
      </c>
      <c r="B188" s="90">
        <f>IF(A188="","",IF(posicao_contratual!$Y188="","",IF(posicao_contratual!$Y188&gt;0,"",posicao_contratual!G188)))</f>
        <v/>
      </c>
      <c r="C188" s="335">
        <f>IF(itens_Remanesc!A188="","",IF(posicao_contratual!$Y188="","",IF(posicao_contratual!$Y188&gt;0,"",itens_Remanesc!C188)))</f>
        <v/>
      </c>
      <c r="D188" s="335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335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335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335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>
        <f>IF(OR(A188="",C188="",C188=0,NOT(ISNUMBER($L$6))),"",ROUND($L$6-1,4))</f>
        <v/>
      </c>
      <c r="I188" s="13" t="n"/>
      <c r="J188" s="13" t="n"/>
      <c r="K188" s="13" t="n"/>
      <c r="L188" s="13" t="n"/>
      <c r="M188" s="13" t="n"/>
      <c r="N188" s="155">
        <f>IF(A188="","",IF(posicao_contratual!$Y188="","",IF(posicao_contratual!$Y188&gt;0,"",posicao_contratual!E188)))</f>
        <v/>
      </c>
      <c r="O188" s="155">
        <f>IF(A188="","",IF(posicao_contratual!$Y188="","",IF(posicao_contratual!$Y188&gt;1,"",posicao_contratual!I188)))</f>
        <v/>
      </c>
      <c r="P188" s="155">
        <f>IF(A188="","",IF(posicao_contratual!$Y188="","",IF(posicao_contratual!$Y188&gt;2,"",posicao_contratual!M188)))</f>
        <v/>
      </c>
      <c r="Q188" s="155">
        <f>IF(A188="","",IF(posicao_contratual!$Y188="","",IF(posicao_contratual!$Y188&gt;3,"",posicao_contratual!Q188)))</f>
        <v/>
      </c>
      <c r="R188" s="155">
        <f>IF(A188="","",IF(posicao_contratual!$Y188="","",IF(posicao_contratual!$Y188&gt;4,"",posicao_contratual!U188)))</f>
        <v/>
      </c>
      <c r="S188" s="176">
        <f>IF(A188="","",posicao_contratual!G188)</f>
        <v/>
      </c>
      <c r="T188" s="176">
        <f>IF(A188="","",posicao_contratual!K188)</f>
        <v/>
      </c>
      <c r="U188" s="176">
        <f>IF(A188="","",posicao_contratual!O188)</f>
        <v/>
      </c>
      <c r="V188" s="176">
        <f>IF(A188="","",posicao_contratual!S188)</f>
        <v/>
      </c>
      <c r="W188" s="176">
        <f>IF(A188="","",posicao_contratual!W188)</f>
        <v/>
      </c>
    </row>
    <row r="189">
      <c r="A189" s="91">
        <f>IF(itens_Remanesc!A189="","",itens_Remanesc!A189)</f>
        <v/>
      </c>
      <c r="B189" s="90">
        <f>IF(A189="","",IF(posicao_contratual!$Y189="","",IF(posicao_contratual!$Y189&gt;0,"",posicao_contratual!G189)))</f>
        <v/>
      </c>
      <c r="C189" s="335">
        <f>IF(itens_Remanesc!A189="","",IF(posicao_contratual!$Y189="","",IF(posicao_contratual!$Y189&gt;0,"",itens_Remanesc!C189)))</f>
        <v/>
      </c>
      <c r="D189" s="335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335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335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335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>
        <f>IF(OR(A189="",C189="",C189=0,NOT(ISNUMBER($L$6))),"",ROUND($L$6-1,4))</f>
        <v/>
      </c>
      <c r="I189" s="13" t="n"/>
      <c r="J189" s="13" t="n"/>
      <c r="K189" s="13" t="n"/>
      <c r="L189" s="13" t="n"/>
      <c r="M189" s="13" t="n"/>
      <c r="N189" s="155">
        <f>IF(A189="","",IF(posicao_contratual!$Y189="","",IF(posicao_contratual!$Y189&gt;0,"",posicao_contratual!E189)))</f>
        <v/>
      </c>
      <c r="O189" s="155">
        <f>IF(A189="","",IF(posicao_contratual!$Y189="","",IF(posicao_contratual!$Y189&gt;1,"",posicao_contratual!I189)))</f>
        <v/>
      </c>
      <c r="P189" s="155">
        <f>IF(A189="","",IF(posicao_contratual!$Y189="","",IF(posicao_contratual!$Y189&gt;2,"",posicao_contratual!M189)))</f>
        <v/>
      </c>
      <c r="Q189" s="155">
        <f>IF(A189="","",IF(posicao_contratual!$Y189="","",IF(posicao_contratual!$Y189&gt;3,"",posicao_contratual!Q189)))</f>
        <v/>
      </c>
      <c r="R189" s="155">
        <f>IF(A189="","",IF(posicao_contratual!$Y189="","",IF(posicao_contratual!$Y189&gt;4,"",posicao_contratual!U189)))</f>
        <v/>
      </c>
      <c r="S189" s="176">
        <f>IF(A189="","",posicao_contratual!G189)</f>
        <v/>
      </c>
      <c r="T189" s="176">
        <f>IF(A189="","",posicao_contratual!K189)</f>
        <v/>
      </c>
      <c r="U189" s="176">
        <f>IF(A189="","",posicao_contratual!O189)</f>
        <v/>
      </c>
      <c r="V189" s="176">
        <f>IF(A189="","",posicao_contratual!S189)</f>
        <v/>
      </c>
      <c r="W189" s="176">
        <f>IF(A189="","",posicao_contratual!W189)</f>
        <v/>
      </c>
    </row>
    <row r="190">
      <c r="A190" s="91">
        <f>IF(itens_Remanesc!A190="","",itens_Remanesc!A190)</f>
        <v/>
      </c>
      <c r="B190" s="90">
        <f>IF(A190="","",IF(posicao_contratual!$Y190="","",IF(posicao_contratual!$Y190&gt;0,"",posicao_contratual!G190)))</f>
        <v/>
      </c>
      <c r="C190" s="335">
        <f>IF(itens_Remanesc!A190="","",IF(posicao_contratual!$Y190="","",IF(posicao_contratual!$Y190&gt;0,"",itens_Remanesc!C190)))</f>
        <v/>
      </c>
      <c r="D190" s="335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335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335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335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>
        <f>IF(OR(A190="",C190="",C190=0,NOT(ISNUMBER($L$6))),"",ROUND($L$6-1,4))</f>
        <v/>
      </c>
      <c r="I190" s="13" t="n"/>
      <c r="J190" s="13" t="n"/>
      <c r="K190" s="13" t="n"/>
      <c r="L190" s="13" t="n"/>
      <c r="M190" s="13" t="n"/>
      <c r="N190" s="155">
        <f>IF(A190="","",IF(posicao_contratual!$Y190="","",IF(posicao_contratual!$Y190&gt;0,"",posicao_contratual!E190)))</f>
        <v/>
      </c>
      <c r="O190" s="155">
        <f>IF(A190="","",IF(posicao_contratual!$Y190="","",IF(posicao_contratual!$Y190&gt;1,"",posicao_contratual!I190)))</f>
        <v/>
      </c>
      <c r="P190" s="155">
        <f>IF(A190="","",IF(posicao_contratual!$Y190="","",IF(posicao_contratual!$Y190&gt;2,"",posicao_contratual!M190)))</f>
        <v/>
      </c>
      <c r="Q190" s="155">
        <f>IF(A190="","",IF(posicao_contratual!$Y190="","",IF(posicao_contratual!$Y190&gt;3,"",posicao_contratual!Q190)))</f>
        <v/>
      </c>
      <c r="R190" s="155">
        <f>IF(A190="","",IF(posicao_contratual!$Y190="","",IF(posicao_contratual!$Y190&gt;4,"",posicao_contratual!U190)))</f>
        <v/>
      </c>
      <c r="S190" s="176">
        <f>IF(A190="","",posicao_contratual!G190)</f>
        <v/>
      </c>
      <c r="T190" s="176">
        <f>IF(A190="","",posicao_contratual!K190)</f>
        <v/>
      </c>
      <c r="U190" s="176">
        <f>IF(A190="","",posicao_contratual!O190)</f>
        <v/>
      </c>
      <c r="V190" s="176">
        <f>IF(A190="","",posicao_contratual!S190)</f>
        <v/>
      </c>
      <c r="W190" s="176">
        <f>IF(A190="","",posicao_contratual!W190)</f>
        <v/>
      </c>
    </row>
    <row r="191">
      <c r="A191" s="91">
        <f>IF(itens_Remanesc!A191="","",itens_Remanesc!A191)</f>
        <v/>
      </c>
      <c r="B191" s="90">
        <f>IF(A191="","",IF(posicao_contratual!$Y191="","",IF(posicao_contratual!$Y191&gt;0,"",posicao_contratual!G191)))</f>
        <v/>
      </c>
      <c r="C191" s="335">
        <f>IF(itens_Remanesc!A191="","",IF(posicao_contratual!$Y191="","",IF(posicao_contratual!$Y191&gt;0,"",itens_Remanesc!C191)))</f>
        <v/>
      </c>
      <c r="D191" s="335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335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335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335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>
        <f>IF(OR(A191="",C191="",C191=0,NOT(ISNUMBER($L$6))),"",ROUND($L$6-1,4))</f>
        <v/>
      </c>
      <c r="I191" s="13" t="n"/>
      <c r="J191" s="13" t="n"/>
      <c r="K191" s="13" t="n"/>
      <c r="L191" s="13" t="n"/>
      <c r="M191" s="13" t="n"/>
      <c r="N191" s="155">
        <f>IF(A191="","",IF(posicao_contratual!$Y191="","",IF(posicao_contratual!$Y191&gt;0,"",posicao_contratual!E191)))</f>
        <v/>
      </c>
      <c r="O191" s="155">
        <f>IF(A191="","",IF(posicao_contratual!$Y191="","",IF(posicao_contratual!$Y191&gt;1,"",posicao_contratual!I191)))</f>
        <v/>
      </c>
      <c r="P191" s="155">
        <f>IF(A191="","",IF(posicao_contratual!$Y191="","",IF(posicao_contratual!$Y191&gt;2,"",posicao_contratual!M191)))</f>
        <v/>
      </c>
      <c r="Q191" s="155">
        <f>IF(A191="","",IF(posicao_contratual!$Y191="","",IF(posicao_contratual!$Y191&gt;3,"",posicao_contratual!Q191)))</f>
        <v/>
      </c>
      <c r="R191" s="155">
        <f>IF(A191="","",IF(posicao_contratual!$Y191="","",IF(posicao_contratual!$Y191&gt;4,"",posicao_contratual!U191)))</f>
        <v/>
      </c>
      <c r="S191" s="176">
        <f>IF(A191="","",posicao_contratual!G191)</f>
        <v/>
      </c>
      <c r="T191" s="176">
        <f>IF(A191="","",posicao_contratual!K191)</f>
        <v/>
      </c>
      <c r="U191" s="176">
        <f>IF(A191="","",posicao_contratual!O191)</f>
        <v/>
      </c>
      <c r="V191" s="176">
        <f>IF(A191="","",posicao_contratual!S191)</f>
        <v/>
      </c>
      <c r="W191" s="176">
        <f>IF(A191="","",posicao_contratual!W191)</f>
        <v/>
      </c>
    </row>
    <row r="192">
      <c r="A192" s="91">
        <f>IF(itens_Remanesc!A192="","",itens_Remanesc!A192)</f>
        <v/>
      </c>
      <c r="B192" s="90">
        <f>IF(A192="","",IF(posicao_contratual!$Y192="","",IF(posicao_contratual!$Y192&gt;0,"",posicao_contratual!G192)))</f>
        <v/>
      </c>
      <c r="C192" s="335">
        <f>IF(itens_Remanesc!A192="","",IF(posicao_contratual!$Y192="","",IF(posicao_contratual!$Y192&gt;0,"",itens_Remanesc!C192)))</f>
        <v/>
      </c>
      <c r="D192" s="335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335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335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335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>
        <f>IF(OR(A192="",C192="",C192=0,NOT(ISNUMBER($L$6))),"",ROUND($L$6-1,4))</f>
        <v/>
      </c>
      <c r="I192" s="13" t="n"/>
      <c r="J192" s="13" t="n"/>
      <c r="K192" s="13" t="n"/>
      <c r="L192" s="13" t="n"/>
      <c r="M192" s="13" t="n"/>
      <c r="N192" s="155">
        <f>IF(A192="","",IF(posicao_contratual!$Y192="","",IF(posicao_contratual!$Y192&gt;0,"",posicao_contratual!E192)))</f>
        <v/>
      </c>
      <c r="O192" s="155">
        <f>IF(A192="","",IF(posicao_contratual!$Y192="","",IF(posicao_contratual!$Y192&gt;1,"",posicao_contratual!I192)))</f>
        <v/>
      </c>
      <c r="P192" s="155">
        <f>IF(A192="","",IF(posicao_contratual!$Y192="","",IF(posicao_contratual!$Y192&gt;2,"",posicao_contratual!M192)))</f>
        <v/>
      </c>
      <c r="Q192" s="155">
        <f>IF(A192="","",IF(posicao_contratual!$Y192="","",IF(posicao_contratual!$Y192&gt;3,"",posicao_contratual!Q192)))</f>
        <v/>
      </c>
      <c r="R192" s="155">
        <f>IF(A192="","",IF(posicao_contratual!$Y192="","",IF(posicao_contratual!$Y192&gt;4,"",posicao_contratual!U192)))</f>
        <v/>
      </c>
      <c r="S192" s="176">
        <f>IF(A192="","",posicao_contratual!G192)</f>
        <v/>
      </c>
      <c r="T192" s="176">
        <f>IF(A192="","",posicao_contratual!K192)</f>
        <v/>
      </c>
      <c r="U192" s="176">
        <f>IF(A192="","",posicao_contratual!O192)</f>
        <v/>
      </c>
      <c r="V192" s="176">
        <f>IF(A192="","",posicao_contratual!S192)</f>
        <v/>
      </c>
      <c r="W192" s="176">
        <f>IF(A192="","",posicao_contratual!W192)</f>
        <v/>
      </c>
    </row>
    <row r="193">
      <c r="A193" s="91">
        <f>IF(itens_Remanesc!A193="","",itens_Remanesc!A193)</f>
        <v/>
      </c>
      <c r="B193" s="90">
        <f>IF(A193="","",IF(posicao_contratual!$Y193="","",IF(posicao_contratual!$Y193&gt;0,"",posicao_contratual!G193)))</f>
        <v/>
      </c>
      <c r="C193" s="335">
        <f>IF(itens_Remanesc!A193="","",IF(posicao_contratual!$Y193="","",IF(posicao_contratual!$Y193&gt;0,"",itens_Remanesc!C193)))</f>
        <v/>
      </c>
      <c r="D193" s="335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335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335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335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>
        <f>IF(OR(A193="",C193="",C193=0,NOT(ISNUMBER($L$6))),"",ROUND($L$6-1,4))</f>
        <v/>
      </c>
      <c r="I193" s="13" t="n"/>
      <c r="J193" s="13" t="n"/>
      <c r="K193" s="13" t="n"/>
      <c r="L193" s="13" t="n"/>
      <c r="M193" s="13" t="n"/>
      <c r="N193" s="155">
        <f>IF(A193="","",IF(posicao_contratual!$Y193="","",IF(posicao_contratual!$Y193&gt;0,"",posicao_contratual!E193)))</f>
        <v/>
      </c>
      <c r="O193" s="155">
        <f>IF(A193="","",IF(posicao_contratual!$Y193="","",IF(posicao_contratual!$Y193&gt;1,"",posicao_contratual!I193)))</f>
        <v/>
      </c>
      <c r="P193" s="155">
        <f>IF(A193="","",IF(posicao_contratual!$Y193="","",IF(posicao_contratual!$Y193&gt;2,"",posicao_contratual!M193)))</f>
        <v/>
      </c>
      <c r="Q193" s="155">
        <f>IF(A193="","",IF(posicao_contratual!$Y193="","",IF(posicao_contratual!$Y193&gt;3,"",posicao_contratual!Q193)))</f>
        <v/>
      </c>
      <c r="R193" s="155">
        <f>IF(A193="","",IF(posicao_contratual!$Y193="","",IF(posicao_contratual!$Y193&gt;4,"",posicao_contratual!U193)))</f>
        <v/>
      </c>
      <c r="S193" s="176">
        <f>IF(A193="","",posicao_contratual!G193)</f>
        <v/>
      </c>
      <c r="T193" s="176">
        <f>IF(A193="","",posicao_contratual!K193)</f>
        <v/>
      </c>
      <c r="U193" s="176">
        <f>IF(A193="","",posicao_contratual!O193)</f>
        <v/>
      </c>
      <c r="V193" s="176">
        <f>IF(A193="","",posicao_contratual!S193)</f>
        <v/>
      </c>
      <c r="W193" s="176">
        <f>IF(A193="","",posicao_contratual!W193)</f>
        <v/>
      </c>
    </row>
    <row r="194">
      <c r="A194" s="91">
        <f>IF(itens_Remanesc!A194="","",itens_Remanesc!A194)</f>
        <v/>
      </c>
      <c r="B194" s="90">
        <f>IF(A194="","",IF(posicao_contratual!$Y194="","",IF(posicao_contratual!$Y194&gt;0,"",posicao_contratual!G194)))</f>
        <v/>
      </c>
      <c r="C194" s="335">
        <f>IF(itens_Remanesc!A194="","",IF(posicao_contratual!$Y194="","",IF(posicao_contratual!$Y194&gt;0,"",itens_Remanesc!C194)))</f>
        <v/>
      </c>
      <c r="D194" s="335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335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335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335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>
        <f>IF(OR(A194="",C194="",C194=0,NOT(ISNUMBER($L$6))),"",ROUND($L$6-1,4))</f>
        <v/>
      </c>
      <c r="I194" s="13" t="n"/>
      <c r="J194" s="13" t="n"/>
      <c r="K194" s="13" t="n"/>
      <c r="L194" s="13" t="n"/>
      <c r="M194" s="13" t="n"/>
      <c r="N194" s="155">
        <f>IF(A194="","",IF(posicao_contratual!$Y194="","",IF(posicao_contratual!$Y194&gt;0,"",posicao_contratual!E194)))</f>
        <v/>
      </c>
      <c r="O194" s="155">
        <f>IF(A194="","",IF(posicao_contratual!$Y194="","",IF(posicao_contratual!$Y194&gt;1,"",posicao_contratual!I194)))</f>
        <v/>
      </c>
      <c r="P194" s="155">
        <f>IF(A194="","",IF(posicao_contratual!$Y194="","",IF(posicao_contratual!$Y194&gt;2,"",posicao_contratual!M194)))</f>
        <v/>
      </c>
      <c r="Q194" s="155">
        <f>IF(A194="","",IF(posicao_contratual!$Y194="","",IF(posicao_contratual!$Y194&gt;3,"",posicao_contratual!Q194)))</f>
        <v/>
      </c>
      <c r="R194" s="155">
        <f>IF(A194="","",IF(posicao_contratual!$Y194="","",IF(posicao_contratual!$Y194&gt;4,"",posicao_contratual!U194)))</f>
        <v/>
      </c>
      <c r="S194" s="176">
        <f>IF(A194="","",posicao_contratual!G194)</f>
        <v/>
      </c>
      <c r="T194" s="176">
        <f>IF(A194="","",posicao_contratual!K194)</f>
        <v/>
      </c>
      <c r="U194" s="176">
        <f>IF(A194="","",posicao_contratual!O194)</f>
        <v/>
      </c>
      <c r="V194" s="176">
        <f>IF(A194="","",posicao_contratual!S194)</f>
        <v/>
      </c>
      <c r="W194" s="176">
        <f>IF(A194="","",posicao_contratual!W194)</f>
        <v/>
      </c>
    </row>
    <row r="195">
      <c r="A195" s="91">
        <f>IF(itens_Remanesc!A195="","",itens_Remanesc!A195)</f>
        <v/>
      </c>
      <c r="B195" s="90">
        <f>IF(A195="","",IF(posicao_contratual!$Y195="","",IF(posicao_contratual!$Y195&gt;0,"",posicao_contratual!G195)))</f>
        <v/>
      </c>
      <c r="C195" s="335">
        <f>IF(itens_Remanesc!A195="","",IF(posicao_contratual!$Y195="","",IF(posicao_contratual!$Y195&gt;0,"",itens_Remanesc!C195)))</f>
        <v/>
      </c>
      <c r="D195" s="335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335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335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335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>
        <f>IF(OR(A195="",C195="",C195=0,NOT(ISNUMBER($L$6))),"",ROUND($L$6-1,4))</f>
        <v/>
      </c>
      <c r="I195" s="13" t="n"/>
      <c r="J195" s="13" t="n"/>
      <c r="K195" s="13" t="n"/>
      <c r="L195" s="13" t="n"/>
      <c r="M195" s="13" t="n"/>
      <c r="N195" s="155">
        <f>IF(A195="","",IF(posicao_contratual!$Y195="","",IF(posicao_contratual!$Y195&gt;0,"",posicao_contratual!E195)))</f>
        <v/>
      </c>
      <c r="O195" s="155">
        <f>IF(A195="","",IF(posicao_contratual!$Y195="","",IF(posicao_contratual!$Y195&gt;1,"",posicao_contratual!I195)))</f>
        <v/>
      </c>
      <c r="P195" s="155">
        <f>IF(A195="","",IF(posicao_contratual!$Y195="","",IF(posicao_contratual!$Y195&gt;2,"",posicao_contratual!M195)))</f>
        <v/>
      </c>
      <c r="Q195" s="155">
        <f>IF(A195="","",IF(posicao_contratual!$Y195="","",IF(posicao_contratual!$Y195&gt;3,"",posicao_contratual!Q195)))</f>
        <v/>
      </c>
      <c r="R195" s="155">
        <f>IF(A195="","",IF(posicao_contratual!$Y195="","",IF(posicao_contratual!$Y195&gt;4,"",posicao_contratual!U195)))</f>
        <v/>
      </c>
      <c r="S195" s="176">
        <f>IF(A195="","",posicao_contratual!G195)</f>
        <v/>
      </c>
      <c r="T195" s="176">
        <f>IF(A195="","",posicao_contratual!K195)</f>
        <v/>
      </c>
      <c r="U195" s="176">
        <f>IF(A195="","",posicao_contratual!O195)</f>
        <v/>
      </c>
      <c r="V195" s="176">
        <f>IF(A195="","",posicao_contratual!S195)</f>
        <v/>
      </c>
      <c r="W195" s="176">
        <f>IF(A195="","",posicao_contratual!W195)</f>
        <v/>
      </c>
    </row>
    <row r="196">
      <c r="A196" s="91">
        <f>IF(itens_Remanesc!A196="","",itens_Remanesc!A196)</f>
        <v/>
      </c>
      <c r="B196" s="90">
        <f>IF(A196="","",IF(posicao_contratual!$Y196="","",IF(posicao_contratual!$Y196&gt;0,"",posicao_contratual!G196)))</f>
        <v/>
      </c>
      <c r="C196" s="335">
        <f>IF(itens_Remanesc!A196="","",IF(posicao_contratual!$Y196="","",IF(posicao_contratual!$Y196&gt;0,"",itens_Remanesc!C196)))</f>
        <v/>
      </c>
      <c r="D196" s="335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335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335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335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>
        <f>IF(OR(A196="",C196="",C196=0,NOT(ISNUMBER($L$6))),"",ROUND($L$6-1,4))</f>
        <v/>
      </c>
      <c r="I196" s="13" t="n"/>
      <c r="J196" s="13" t="n"/>
      <c r="K196" s="13" t="n"/>
      <c r="L196" s="13" t="n"/>
      <c r="M196" s="13" t="n"/>
      <c r="N196" s="155">
        <f>IF(A196="","",IF(posicao_contratual!$Y196="","",IF(posicao_contratual!$Y196&gt;0,"",posicao_contratual!E196)))</f>
        <v/>
      </c>
      <c r="O196" s="155">
        <f>IF(A196="","",IF(posicao_contratual!$Y196="","",IF(posicao_contratual!$Y196&gt;1,"",posicao_contratual!I196)))</f>
        <v/>
      </c>
      <c r="P196" s="155">
        <f>IF(A196="","",IF(posicao_contratual!$Y196="","",IF(posicao_contratual!$Y196&gt;2,"",posicao_contratual!M196)))</f>
        <v/>
      </c>
      <c r="Q196" s="155">
        <f>IF(A196="","",IF(posicao_contratual!$Y196="","",IF(posicao_contratual!$Y196&gt;3,"",posicao_contratual!Q196)))</f>
        <v/>
      </c>
      <c r="R196" s="155">
        <f>IF(A196="","",IF(posicao_contratual!$Y196="","",IF(posicao_contratual!$Y196&gt;4,"",posicao_contratual!U196)))</f>
        <v/>
      </c>
      <c r="S196" s="176">
        <f>IF(A196="","",posicao_contratual!G196)</f>
        <v/>
      </c>
      <c r="T196" s="176">
        <f>IF(A196="","",posicao_contratual!K196)</f>
        <v/>
      </c>
      <c r="U196" s="176">
        <f>IF(A196="","",posicao_contratual!O196)</f>
        <v/>
      </c>
      <c r="V196" s="176">
        <f>IF(A196="","",posicao_contratual!S196)</f>
        <v/>
      </c>
      <c r="W196" s="176">
        <f>IF(A196="","",posicao_contratual!W196)</f>
        <v/>
      </c>
    </row>
    <row r="197">
      <c r="A197" s="91">
        <f>IF(itens_Remanesc!A197="","",itens_Remanesc!A197)</f>
        <v/>
      </c>
      <c r="B197" s="90">
        <f>IF(A197="","",IF(posicao_contratual!$Y197="","",IF(posicao_contratual!$Y197&gt;0,"",posicao_contratual!G197)))</f>
        <v/>
      </c>
      <c r="C197" s="335">
        <f>IF(itens_Remanesc!A197="","",IF(posicao_contratual!$Y197="","",IF(posicao_contratual!$Y197&gt;0,"",itens_Remanesc!C197)))</f>
        <v/>
      </c>
      <c r="D197" s="335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335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335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335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>
        <f>IF(OR(A197="",C197="",C197=0,NOT(ISNUMBER($L$6))),"",ROUND($L$6-1,4))</f>
        <v/>
      </c>
      <c r="I197" s="13" t="n"/>
      <c r="J197" s="13" t="n"/>
      <c r="K197" s="13" t="n"/>
      <c r="L197" s="13" t="n"/>
      <c r="M197" s="13" t="n"/>
      <c r="N197" s="155">
        <f>IF(A197="","",IF(posicao_contratual!$Y197="","",IF(posicao_contratual!$Y197&gt;0,"",posicao_contratual!E197)))</f>
        <v/>
      </c>
      <c r="O197" s="155">
        <f>IF(A197="","",IF(posicao_contratual!$Y197="","",IF(posicao_contratual!$Y197&gt;1,"",posicao_contratual!I197)))</f>
        <v/>
      </c>
      <c r="P197" s="155">
        <f>IF(A197="","",IF(posicao_contratual!$Y197="","",IF(posicao_contratual!$Y197&gt;2,"",posicao_contratual!M197)))</f>
        <v/>
      </c>
      <c r="Q197" s="155">
        <f>IF(A197="","",IF(posicao_contratual!$Y197="","",IF(posicao_contratual!$Y197&gt;3,"",posicao_contratual!Q197)))</f>
        <v/>
      </c>
      <c r="R197" s="155">
        <f>IF(A197="","",IF(posicao_contratual!$Y197="","",IF(posicao_contratual!$Y197&gt;4,"",posicao_contratual!U197)))</f>
        <v/>
      </c>
      <c r="S197" s="176">
        <f>IF(A197="","",posicao_contratual!G197)</f>
        <v/>
      </c>
      <c r="T197" s="176">
        <f>IF(A197="","",posicao_contratual!K197)</f>
        <v/>
      </c>
      <c r="U197" s="176">
        <f>IF(A197="","",posicao_contratual!O197)</f>
        <v/>
      </c>
      <c r="V197" s="176">
        <f>IF(A197="","",posicao_contratual!S197)</f>
        <v/>
      </c>
      <c r="W197" s="176">
        <f>IF(A197="","",posicao_contratual!W197)</f>
        <v/>
      </c>
    </row>
    <row r="198">
      <c r="A198" s="91">
        <f>IF(itens_Remanesc!A198="","",itens_Remanesc!A198)</f>
        <v/>
      </c>
      <c r="B198" s="90">
        <f>IF(A198="","",IF(posicao_contratual!$Y198="","",IF(posicao_contratual!$Y198&gt;0,"",posicao_contratual!G198)))</f>
        <v/>
      </c>
      <c r="C198" s="335">
        <f>IF(itens_Remanesc!A198="","",IF(posicao_contratual!$Y198="","",IF(posicao_contratual!$Y198&gt;0,"",itens_Remanesc!C198)))</f>
        <v/>
      </c>
      <c r="D198" s="335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335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335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335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>
        <f>IF(OR(A198="",C198="",C198=0,NOT(ISNUMBER($L$6))),"",ROUND($L$6-1,4))</f>
        <v/>
      </c>
      <c r="I198" s="13" t="n"/>
      <c r="J198" s="13" t="n"/>
      <c r="K198" s="13" t="n"/>
      <c r="L198" s="13" t="n"/>
      <c r="M198" s="13" t="n"/>
      <c r="N198" s="155">
        <f>IF(A198="","",IF(posicao_contratual!$Y198="","",IF(posicao_contratual!$Y198&gt;0,"",posicao_contratual!E198)))</f>
        <v/>
      </c>
      <c r="O198" s="155">
        <f>IF(A198="","",IF(posicao_contratual!$Y198="","",IF(posicao_contratual!$Y198&gt;1,"",posicao_contratual!I198)))</f>
        <v/>
      </c>
      <c r="P198" s="155">
        <f>IF(A198="","",IF(posicao_contratual!$Y198="","",IF(posicao_contratual!$Y198&gt;2,"",posicao_contratual!M198)))</f>
        <v/>
      </c>
      <c r="Q198" s="155">
        <f>IF(A198="","",IF(posicao_contratual!$Y198="","",IF(posicao_contratual!$Y198&gt;3,"",posicao_contratual!Q198)))</f>
        <v/>
      </c>
      <c r="R198" s="155">
        <f>IF(A198="","",IF(posicao_contratual!$Y198="","",IF(posicao_contratual!$Y198&gt;4,"",posicao_contratual!U198)))</f>
        <v/>
      </c>
      <c r="S198" s="176">
        <f>IF(A198="","",posicao_contratual!G198)</f>
        <v/>
      </c>
      <c r="T198" s="176">
        <f>IF(A198="","",posicao_contratual!K198)</f>
        <v/>
      </c>
      <c r="U198" s="176">
        <f>IF(A198="","",posicao_contratual!O198)</f>
        <v/>
      </c>
      <c r="V198" s="176">
        <f>IF(A198="","",posicao_contratual!S198)</f>
        <v/>
      </c>
      <c r="W198" s="176">
        <f>IF(A198="","",posicao_contratual!W198)</f>
        <v/>
      </c>
    </row>
    <row r="199">
      <c r="A199" s="91">
        <f>IF(itens_Remanesc!A199="","",itens_Remanesc!A199)</f>
        <v/>
      </c>
      <c r="B199" s="90">
        <f>IF(A199="","",IF(posicao_contratual!$Y199="","",IF(posicao_contratual!$Y199&gt;0,"",posicao_contratual!G199)))</f>
        <v/>
      </c>
      <c r="C199" s="335">
        <f>IF(itens_Remanesc!A199="","",IF(posicao_contratual!$Y199="","",IF(posicao_contratual!$Y199&gt;0,"",itens_Remanesc!C199)))</f>
        <v/>
      </c>
      <c r="D199" s="335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335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335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335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>
        <f>IF(OR(A199="",C199="",C199=0,NOT(ISNUMBER($L$6))),"",ROUND($L$6-1,4))</f>
        <v/>
      </c>
      <c r="I199" s="13" t="n"/>
      <c r="J199" s="13" t="n"/>
      <c r="K199" s="13" t="n"/>
      <c r="L199" s="13" t="n"/>
      <c r="M199" s="13" t="n"/>
      <c r="N199" s="155">
        <f>IF(A199="","",IF(posicao_contratual!$Y199="","",IF(posicao_contratual!$Y199&gt;0,"",posicao_contratual!E199)))</f>
        <v/>
      </c>
      <c r="O199" s="155">
        <f>IF(A199="","",IF(posicao_contratual!$Y199="","",IF(posicao_contratual!$Y199&gt;1,"",posicao_contratual!I199)))</f>
        <v/>
      </c>
      <c r="P199" s="155">
        <f>IF(A199="","",IF(posicao_contratual!$Y199="","",IF(posicao_contratual!$Y199&gt;2,"",posicao_contratual!M199)))</f>
        <v/>
      </c>
      <c r="Q199" s="155">
        <f>IF(A199="","",IF(posicao_contratual!$Y199="","",IF(posicao_contratual!$Y199&gt;3,"",posicao_contratual!Q199)))</f>
        <v/>
      </c>
      <c r="R199" s="155">
        <f>IF(A199="","",IF(posicao_contratual!$Y199="","",IF(posicao_contratual!$Y199&gt;4,"",posicao_contratual!U199)))</f>
        <v/>
      </c>
      <c r="S199" s="176">
        <f>IF(A199="","",posicao_contratual!G199)</f>
        <v/>
      </c>
      <c r="T199" s="176">
        <f>IF(A199="","",posicao_contratual!K199)</f>
        <v/>
      </c>
      <c r="U199" s="176">
        <f>IF(A199="","",posicao_contratual!O199)</f>
        <v/>
      </c>
      <c r="V199" s="176">
        <f>IF(A199="","",posicao_contratual!S199)</f>
        <v/>
      </c>
      <c r="W199" s="176">
        <f>IF(A199="","",posicao_contratual!W199)</f>
        <v/>
      </c>
    </row>
    <row r="200">
      <c r="A200" s="91">
        <f>IF(itens_Remanesc!A200="","",itens_Remanesc!A200)</f>
        <v/>
      </c>
      <c r="B200" s="90">
        <f>IF(A200="","",IF(posicao_contratual!$Y200="","",IF(posicao_contratual!$Y200&gt;0,"",posicao_contratual!G200)))</f>
        <v/>
      </c>
      <c r="C200" s="335">
        <f>IF(itens_Remanesc!A200="","",IF(posicao_contratual!$Y200="","",IF(posicao_contratual!$Y200&gt;0,"",itens_Remanesc!C200)))</f>
        <v/>
      </c>
      <c r="D200" s="335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335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335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335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>
        <f>IF(OR(A200="",C200="",C200=0,NOT(ISNUMBER($L$6))),"",ROUND($L$6-1,4))</f>
        <v/>
      </c>
      <c r="I200" s="13" t="n"/>
      <c r="J200" s="13" t="n"/>
      <c r="K200" s="13" t="n"/>
      <c r="L200" s="13" t="n"/>
      <c r="M200" s="13" t="n"/>
      <c r="N200" s="155">
        <f>IF(A200="","",IF(posicao_contratual!$Y200="","",IF(posicao_contratual!$Y200&gt;0,"",posicao_contratual!E200)))</f>
        <v/>
      </c>
      <c r="O200" s="155">
        <f>IF(A200="","",IF(posicao_contratual!$Y200="","",IF(posicao_contratual!$Y200&gt;1,"",posicao_contratual!I200)))</f>
        <v/>
      </c>
      <c r="P200" s="155">
        <f>IF(A200="","",IF(posicao_contratual!$Y200="","",IF(posicao_contratual!$Y200&gt;2,"",posicao_contratual!M200)))</f>
        <v/>
      </c>
      <c r="Q200" s="155">
        <f>IF(A200="","",IF(posicao_contratual!$Y200="","",IF(posicao_contratual!$Y200&gt;3,"",posicao_contratual!Q200)))</f>
        <v/>
      </c>
      <c r="R200" s="155">
        <f>IF(A200="","",IF(posicao_contratual!$Y200="","",IF(posicao_contratual!$Y200&gt;4,"",posicao_contratual!U200)))</f>
        <v/>
      </c>
      <c r="S200" s="176">
        <f>IF(A200="","",posicao_contratual!G200)</f>
        <v/>
      </c>
      <c r="T200" s="176">
        <f>IF(A200="","",posicao_contratual!K200)</f>
        <v/>
      </c>
      <c r="U200" s="176">
        <f>IF(A200="","",posicao_contratual!O200)</f>
        <v/>
      </c>
      <c r="V200" s="176">
        <f>IF(A200="","",posicao_contratual!S200)</f>
        <v/>
      </c>
      <c r="W200" s="176">
        <f>IF(A200="","",posicao_contratual!W200)</f>
        <v/>
      </c>
    </row>
    <row r="201">
      <c r="A201" s="13" t="n"/>
      <c r="B201" s="35" t="n"/>
      <c r="C201" s="362" t="n"/>
      <c r="D201" s="362" t="n"/>
      <c r="E201" s="362" t="n"/>
      <c r="F201" s="362" t="n"/>
      <c r="G201" s="362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S201" s="219" t="n"/>
      <c r="T201" s="219" t="n"/>
      <c r="U201" s="219" t="n"/>
      <c r="V201" s="219" t="n"/>
      <c r="W201" s="219" t="n"/>
    </row>
    <row r="202">
      <c r="A202" s="13" t="n"/>
      <c r="B202" s="35" t="n"/>
      <c r="C202" s="362" t="n"/>
      <c r="D202" s="362" t="n"/>
      <c r="E202" s="362" t="n"/>
      <c r="F202" s="362" t="n"/>
      <c r="G202" s="362" t="n"/>
      <c r="H202" s="13" t="n"/>
      <c r="I202" s="13" t="n"/>
      <c r="J202" s="13" t="n"/>
      <c r="K202" s="13" t="n"/>
      <c r="L202" s="13" t="n"/>
      <c r="M202" s="13" t="n"/>
      <c r="N202" s="13" t="n"/>
      <c r="O202" s="13" t="n"/>
    </row>
    <row r="203">
      <c r="A203" s="13" t="n"/>
      <c r="B203" s="35" t="n"/>
      <c r="C203" s="362" t="n"/>
      <c r="D203" s="362" t="n"/>
      <c r="E203" s="362" t="n"/>
      <c r="F203" s="362" t="n"/>
      <c r="G203" s="362" t="n"/>
      <c r="H203" s="13" t="n"/>
      <c r="I203" s="13" t="n"/>
      <c r="J203" s="13" t="n"/>
      <c r="K203" s="13" t="n"/>
      <c r="L203" s="13" t="n"/>
      <c r="M203" s="13" t="n"/>
      <c r="N203" s="13" t="n"/>
      <c r="O203" s="13" t="n"/>
    </row>
    <row r="204">
      <c r="A204" s="13" t="n"/>
      <c r="B204" s="35" t="n"/>
      <c r="C204" s="362" t="n"/>
      <c r="D204" s="362" t="n"/>
      <c r="E204" s="362" t="n"/>
      <c r="F204" s="362" t="n"/>
      <c r="G204" s="362" t="n"/>
      <c r="H204" s="13" t="n"/>
      <c r="I204" s="13" t="n"/>
      <c r="J204" s="13" t="n"/>
      <c r="K204" s="13" t="n"/>
      <c r="L204" s="13" t="n"/>
      <c r="M204" s="13" t="n"/>
      <c r="N204" s="13" t="n"/>
      <c r="O204" s="13" t="n"/>
    </row>
    <row r="205">
      <c r="A205" s="13" t="n"/>
      <c r="B205" s="35" t="n"/>
      <c r="C205" s="362" t="n"/>
      <c r="D205" s="362" t="n"/>
      <c r="E205" s="362" t="n"/>
      <c r="F205" s="362" t="n"/>
      <c r="G205" s="362" t="n"/>
      <c r="H205" s="13" t="n"/>
      <c r="I205" s="13" t="n"/>
      <c r="J205" s="13" t="n"/>
      <c r="K205" s="13" t="n"/>
      <c r="L205" s="13" t="n"/>
      <c r="M205" s="13" t="n"/>
      <c r="N205" s="13" t="n"/>
      <c r="O205" s="13" t="n"/>
    </row>
    <row r="206">
      <c r="A206" s="13" t="n"/>
      <c r="B206" s="35" t="n"/>
      <c r="C206" s="362" t="n"/>
      <c r="D206" s="362" t="n"/>
      <c r="E206" s="362" t="n"/>
      <c r="F206" s="362" t="n"/>
      <c r="G206" s="362" t="n"/>
      <c r="H206" s="13" t="n"/>
      <c r="I206" s="13" t="n"/>
      <c r="J206" s="13" t="n"/>
      <c r="K206" s="13" t="n"/>
      <c r="L206" s="13" t="n"/>
      <c r="M206" s="13" t="n"/>
      <c r="N206" s="13" t="n"/>
      <c r="O206" s="13" t="n"/>
    </row>
    <row r="207">
      <c r="A207" s="13" t="n"/>
      <c r="B207" s="35" t="n"/>
      <c r="C207" s="362" t="n"/>
      <c r="D207" s="362" t="n"/>
      <c r="E207" s="362" t="n"/>
      <c r="F207" s="362" t="n"/>
      <c r="G207" s="362" t="n"/>
      <c r="H207" s="13" t="n"/>
      <c r="I207" s="13" t="n"/>
      <c r="J207" s="13" t="n"/>
      <c r="K207" s="13" t="n"/>
      <c r="L207" s="13" t="n"/>
      <c r="M207" s="13" t="n"/>
      <c r="N207" s="13" t="n"/>
      <c r="O207" s="13" t="n"/>
    </row>
    <row r="208">
      <c r="A208" s="13" t="n"/>
      <c r="B208" s="35" t="n"/>
      <c r="C208" s="362" t="n"/>
      <c r="D208" s="362" t="n"/>
      <c r="E208" s="362" t="n"/>
      <c r="F208" s="362" t="n"/>
      <c r="G208" s="362" t="n"/>
      <c r="H208" s="13" t="n"/>
      <c r="I208" s="13" t="n"/>
      <c r="J208" s="13" t="n"/>
      <c r="K208" s="13" t="n"/>
      <c r="L208" s="13" t="n"/>
      <c r="M208" s="13" t="n"/>
      <c r="N208" s="13" t="n"/>
      <c r="O208" s="13" t="n"/>
    </row>
    <row r="209">
      <c r="A209" s="13" t="n"/>
      <c r="B209" s="35" t="n"/>
      <c r="C209" s="362" t="n"/>
      <c r="D209" s="362" t="n"/>
      <c r="E209" s="362" t="n"/>
      <c r="F209" s="362" t="n"/>
      <c r="G209" s="362" t="n"/>
      <c r="H209" s="13" t="n"/>
      <c r="I209" s="13" t="n"/>
      <c r="J209" s="13" t="n"/>
      <c r="K209" s="13" t="n"/>
      <c r="L209" s="13" t="n"/>
      <c r="M209" s="13" t="n"/>
      <c r="N209" s="13" t="n"/>
      <c r="O209" s="13" t="n"/>
    </row>
    <row r="210">
      <c r="A210" s="13" t="n"/>
      <c r="B210" s="35" t="n"/>
      <c r="C210" s="362" t="n"/>
      <c r="D210" s="362" t="n"/>
      <c r="E210" s="362" t="n"/>
      <c r="F210" s="362" t="n"/>
      <c r="G210" s="362" t="n"/>
      <c r="H210" s="13" t="n"/>
      <c r="I210" s="13" t="n"/>
      <c r="J210" s="13" t="n"/>
      <c r="K210" s="13" t="n"/>
      <c r="L210" s="13" t="n"/>
      <c r="M210" s="13" t="n"/>
      <c r="N210" s="13" t="n"/>
      <c r="O210" s="1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30" sqref="A30"/>
    </sheetView>
  </sheetViews>
  <sheetFormatPr baseColWidth="8" defaultRowHeight="14.5"/>
  <cols>
    <col width="46.6328125" customWidth="1" style="289" min="1" max="1"/>
    <col width="26.6328125" customWidth="1" style="289" min="2" max="2"/>
    <col width="52.6328125" customWidth="1" style="289" min="3" max="3"/>
  </cols>
  <sheetData>
    <row r="1">
      <c r="A1" s="5" t="inlineStr">
        <is>
          <t>COBERTURA TEMPORAL - POSICAO FISICA NO CICLO EM EXECUCAO  |  diagnostico GCC/automatico; NAO altera o VTA (B23/B25/B26)</t>
        </is>
      </c>
      <c r="B1" s="5" t="n"/>
      <c r="C1" s="5" t="n"/>
    </row>
    <row r="2">
      <c r="A2" s="6" t="inlineStr">
        <is>
          <t>Metodo de apuracao (CONTROLE!B1)</t>
        </is>
      </c>
      <c r="B2" s="10">
        <f>IF(OR(CONTROLE!$B$1="SELECIONE AQUI",CONTROLE!$B$1=""),"SELECIONE O METODO EM CONTROLE!B1",CONTROLE!$B$1)</f>
        <v/>
      </c>
    </row>
    <row r="3">
      <c r="A3" s="5" t="inlineStr">
        <is>
          <t>BLOCO A - MARCOS</t>
        </is>
      </c>
      <c r="B3" s="5" t="n"/>
      <c r="C3" s="5" t="n"/>
    </row>
    <row r="4">
      <c r="A4" s="6" t="inlineStr">
        <is>
          <t>Data da analise (GCC, opcional)</t>
        </is>
      </c>
      <c r="B4" s="194" t="n"/>
    </row>
    <row r="5">
      <c r="A5" s="6" t="inlineStr">
        <is>
          <t>Ciclo atual (em execucao)</t>
        </is>
      </c>
      <c r="B5" s="10">
        <f>IF(CONTROLE!$B$2="","",CONTROLE!$B$2)</f>
        <v/>
      </c>
    </row>
    <row r="6">
      <c r="A6" s="6" t="inlineStr">
        <is>
          <t>Inicio do ciclo atual</t>
        </is>
      </c>
      <c r="B6" s="208">
        <f>IF($B$5="C4",parametros!$C$6,IF($B$5="C3",parametros!$C$5,IF($B$5="C2",parametros!$C$4,IF($B$5="C1",parametros!$C$3,IF($B$5="C0",parametros!$C$2,"")))))</f>
        <v/>
      </c>
    </row>
    <row r="7">
      <c r="A7" s="6" t="inlineStr">
        <is>
          <t>Data da fotografia fisica do corte (abertura)</t>
        </is>
      </c>
      <c r="B7" s="208">
        <f>posicao_referencia!$I$6</f>
        <v/>
      </c>
    </row>
    <row r="8" ht="43.5" customHeight="1" s="289">
      <c r="A8" s="6" t="inlineStr">
        <is>
          <t>COBERTURA FISICA ATUAL CONFIRMADA ATE</t>
        </is>
      </c>
      <c r="B8" s="208">
        <f>IF(ISERROR(INDIRECT("CICLO_EM_EXECUCAO!A9")),"",IF(INDIRECT("CICLO_EM_EXECUCAO!A9")="","",INDIRECT("CICLO_EM_EXECUCAO!D5")))</f>
        <v/>
      </c>
      <c r="C8" s="230" t="inlineStr">
        <is>
          <t>Automatico: apresenta a data informada em CICLO_EM_EXECUCAO quando a posicao itemizada estiver completa e valida. Caso contrario, permanece vazio.</t>
        </is>
      </c>
    </row>
    <row r="10">
      <c r="A10" s="5" t="inlineStr">
        <is>
          <t>BLOCO B - ULTIMA EVIDENCIA x COBERTURA CONFIRMADA</t>
        </is>
      </c>
      <c r="B10" s="5" t="n"/>
      <c r="C10" s="5" t="n"/>
    </row>
    <row r="11">
      <c r="A11" s="6" t="inlineStr">
        <is>
          <t>Posicao fisica conhecida ate</t>
        </is>
      </c>
      <c r="B11" s="208">
        <f>posicao_referencia!$I$5</f>
        <v/>
      </c>
    </row>
    <row r="12">
      <c r="A12" s="6" t="inlineStr">
        <is>
          <t>Ultima evidencia Financeiro (nao e completo ate)</t>
        </is>
      </c>
      <c r="B12" s="208">
        <f>IFERROR(LOOKUP(2,1/(ISNUMBER(financeiro!$A$2:$A$200)*ISNUMBER(financeiro!$C$2:$C$200)),financeiro!$A$2:$A$200),"")</f>
        <v/>
      </c>
    </row>
    <row r="13">
      <c r="A13" s="6" t="inlineStr">
        <is>
          <t>Financeiro confirmado completo ate (GCC, opcional)</t>
        </is>
      </c>
      <c r="B13" s="194" t="n"/>
    </row>
    <row r="14">
      <c r="A14" s="6" t="inlineStr">
        <is>
          <t>Ultima evidencia PC (nao e completo ate)</t>
        </is>
      </c>
      <c r="B14" s="208">
        <f>IF(COUNT(itens_PC!$B$2:$B$5001)=0,"",MAX(itens_PC!$B$2:$B$5001))</f>
        <v/>
      </c>
    </row>
    <row r="15">
      <c r="A15" s="6" t="inlineStr">
        <is>
          <t>PC confirmado completo ate (GCC, opcional)</t>
        </is>
      </c>
      <c r="B15" s="194" t="n"/>
    </row>
    <row r="16">
      <c r="A16" s="6" t="inlineStr">
        <is>
          <t>Inicio da projecao temporal</t>
        </is>
      </c>
      <c r="B16" s="210">
        <f>IF(MAX($B$11,$B$13,$B$15)=0,"",MAX($B$11,$B$13,$B$15)+1)</f>
        <v/>
      </c>
    </row>
    <row r="18">
      <c r="A18" s="5" t="inlineStr">
        <is>
          <t>BLOCO C - DECISAO</t>
        </is>
      </c>
      <c r="B18" s="5" t="n"/>
      <c r="C18" s="5" t="n"/>
    </row>
    <row r="19">
      <c r="A19" s="6" t="inlineStr">
        <is>
          <t>Modo temporal</t>
        </is>
      </c>
      <c r="B19" s="10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/>
      </c>
    </row>
    <row r="20">
      <c r="A20" s="6" t="inlineStr">
        <is>
          <t>Fonte temporal principal</t>
        </is>
      </c>
      <c r="B20" s="10">
        <f>IF($B$12&lt;&gt;"","Financeiro",IF($B$14&lt;&gt;"","PC",""))</f>
        <v/>
      </c>
    </row>
    <row r="21">
      <c r="A21" s="6" t="inlineStr">
        <is>
          <t>Posicao observada (data)</t>
        </is>
      </c>
      <c r="B21" s="208">
        <f>posicao_referencia!$I$5</f>
        <v/>
      </c>
    </row>
    <row r="22">
      <c r="A22" s="6" t="inlineStr">
        <is>
          <t>Posicao observada (origem)</t>
        </is>
      </c>
      <c r="B22" s="10">
        <f>posicao_referencia!$I$8</f>
        <v/>
      </c>
    </row>
    <row r="23">
      <c r="A23" s="6" t="inlineStr">
        <is>
          <t>Posicao projetada</t>
        </is>
      </c>
      <c r="B23" s="209">
        <f>IF($B$16="","NAO PROJETADO (posicao observada mantida)","ESTIMATIVA a partir de "&amp;(RIGHT("0"&amp;DAY($B$16),2)&amp;"/"&amp;RIGHT("0"&amp;MONTH($B$16),2)&amp;"/"&amp;YEAR($B$16))&amp;" - nao observada, nao cria retroativo a pagar")</f>
        <v/>
      </c>
    </row>
    <row r="25">
      <c r="A25" s="286" t="inlineStr">
        <is>
          <t>LEGENDA - QUEM PREENCHE O QUE</t>
        </is>
      </c>
    </row>
    <row r="26">
      <c r="A26" s="194" t="inlineStr">
        <is>
          <t>FISCAL</t>
        </is>
      </c>
      <c r="B26" s="283" t="inlineStr">
        <is>
          <t>Amarelo: itens_Remanesc, posicao_referencia (QTD_REM_ATUAL) e CONTROLE!B3.</t>
        </is>
      </c>
    </row>
    <row r="27">
      <c r="A27" s="194" t="inlineStr">
        <is>
          <t>GCC</t>
        </is>
      </c>
      <c r="B27" s="283" t="inlineStr">
        <is>
          <t>Amarelo: Data da analise (B4) e as confirmacoes de cobertura completa (B13/B15).</t>
        </is>
      </c>
    </row>
    <row r="28">
      <c r="A28" s="10" t="inlineStr">
        <is>
          <t>AUTOMATICO</t>
        </is>
      </c>
      <c r="B28" s="285" t="inlineStr">
        <is>
          <t>Derivado de CONTROLE/parametros/posicao_referencia/financeiro/itens_PC (MAX = ultima evidencia).</t>
        </is>
      </c>
    </row>
    <row r="29">
      <c r="A29" s="209" t="inlineStr">
        <is>
          <t>PROJECAO</t>
        </is>
      </c>
      <c r="B29" s="285" t="inlineStr">
        <is>
          <t>Laranja claro: estimativa (nunca fato observado; so a partir da cobertura confirmada/fisica).</t>
        </is>
      </c>
    </row>
  </sheetData>
  <mergeCells count="5">
    <mergeCell ref="A25:C25"/>
    <mergeCell ref="B29:C29"/>
    <mergeCell ref="B28:C28"/>
    <mergeCell ref="B26:C26"/>
    <mergeCell ref="B27:C27"/>
  </mergeCells>
  <dataValidations count="3">
    <dataValidation sqref="B4" showDropDown="0" showInputMessage="1" showErrorMessage="1" allowBlank="1" error="Informe uma data valida (dd/mm/aaaa)." promptTitle="Data da analise (GCC, opcional)" prompt="Data de referencia da analise. Opcional; se vazia, nao ha diagnostico de projecao. NAO altera a posicao observada." type="date">
      <formula1>32874</formula1>
      <formula2>109574</formula2>
    </dataValidation>
    <dataValidation sqref="B13" showDropDown="0" showInputMessage="1" showErrorMessage="1" allowBlank="1" error="Informe uma data valida (dd/mm/aaaa)." promptTitle="Financeiro confirmado (GCC)" prompt="Data ate a qual a cobertura FINANCEIRA e CONFIRMADA completa (GCC). Vazio = cobertura completa NAO confirmada; usa-se so a ultima evidencia." type="date">
      <formula1>32874</formula1>
      <formula2>109574</formula2>
    </dataValidation>
    <dataValidation sqref="B15" showDropDown="0" showInputMessage="1" showErrorMessage="1" allowBlank="1" error="Informe uma data valida (dd/mm/aaaa)." promptTitle="PC confirmado (GCC)" prompt="Data ate a qual a cobertura de PCs e CONFIRMADA completa (GCC). PC nao admite inferencia automatica: vazio = completude NAO confirmada." type="date">
      <formula1>32874</formula1>
      <formula2>109574</formula2>
    </dataValidation>
  </dataValidations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0"/>
    <pageSetUpPr/>
  </sheetPr>
  <dimension ref="A1:AB282"/>
  <sheetViews>
    <sheetView showGridLines="0" workbookViewId="0">
      <selection activeCell="A267" sqref="A267"/>
    </sheetView>
  </sheetViews>
  <sheetFormatPr baseColWidth="8" defaultRowHeight="14.5" outlineLevelRow="1"/>
  <cols>
    <col width="30" customWidth="1" style="289" min="1" max="1"/>
    <col width="18" customWidth="1" style="289" min="2" max="2"/>
    <col width="23" customWidth="1" style="289" min="3" max="3"/>
    <col width="22" customWidth="1" style="289" min="4" max="5"/>
    <col width="30" customWidth="1" style="289" min="6" max="6"/>
    <col hidden="1" width="24" customWidth="1" style="289" min="7" max="7"/>
    <col hidden="1" width="20" customWidth="1" style="289" min="8" max="8"/>
    <col hidden="1" width="16" customWidth="1" style="289" min="9" max="9"/>
    <col hidden="1" width="30" customWidth="1" style="289" min="10" max="10"/>
    <col hidden="1" width="17" customWidth="1" style="289" min="11" max="14"/>
    <col hidden="1" width="18" customWidth="1" style="289" min="15" max="15"/>
    <col width="18" customWidth="1" style="289" min="16" max="17"/>
    <col hidden="1" style="289" min="19" max="20"/>
    <col hidden="1" style="289" min="24" max="25"/>
  </cols>
  <sheetData>
    <row r="1" ht="28" customHeight="1" s="289">
      <c r="A1" s="288" t="inlineStr">
        <is>
          <t>RESULTADOS CONSOLIDADOS — REAJUSTE CONTRATUAL</t>
        </is>
      </c>
      <c r="K1" s="62" t="n"/>
      <c r="L1" s="62" t="n"/>
      <c r="M1" s="62" t="n"/>
      <c r="N1" s="62" t="n"/>
      <c r="O1" s="62" t="n"/>
      <c r="P1" s="62" t="n"/>
      <c r="Q1" s="62" t="n"/>
      <c r="X1" t="inlineStr">
        <is>
          <t>VTA-PC aux: C0 fisico por item ((QREM_C0-QREM_C1)*VU_C0)</t>
        </is>
      </c>
      <c r="Y1" t="inlineStr">
        <is>
          <t>VTA-PC aux: remanescente por item (ROUND(VU_vig,2)*QREM_vig)</t>
        </is>
      </c>
      <c r="AB1" t="inlineStr">
        <is>
          <t>aux: remanescente por item na abertura selecionada (W46)</t>
        </is>
      </c>
    </row>
    <row r="2" ht="34" customHeight="1" s="289">
      <c r="A2" s="296" t="inlineStr">
        <is>
          <t>Regra essencial: resultado incompleto ou manual é preferível a uma conclusão sem base. Nenhuma fonte substitui outra silenciosamente e nenhum método de retroativo é somado a outro.</t>
        </is>
      </c>
      <c r="K2" s="62" t="n"/>
      <c r="L2" s="62" t="n"/>
      <c r="M2" s="62" t="n"/>
      <c r="N2" s="62" t="n"/>
      <c r="O2" s="62" t="n"/>
      <c r="P2" s="62" t="n"/>
      <c r="Q2" s="62" t="n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/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/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/>
      </c>
    </row>
    <row r="3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2" t="n"/>
      <c r="O3" s="62" t="n"/>
      <c r="P3" s="62" t="n"/>
      <c r="Q3" s="62" t="n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/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/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/>
      </c>
    </row>
    <row r="4" ht="24" customHeight="1" s="289">
      <c r="A4" s="125" t="inlineStr">
        <is>
          <t>Método oficial do retroativo</t>
        </is>
      </c>
      <c r="B4" s="202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/>
      </c>
      <c r="C4" s="125" t="inlineStr">
        <is>
          <t>Tolerância</t>
        </is>
      </c>
      <c r="D4" s="126" t="n">
        <v>0.005</v>
      </c>
      <c r="E4" s="125" t="inlineStr">
        <is>
          <t>Ciclo vigente</t>
        </is>
      </c>
      <c r="F4" s="302">
        <f>UPPER(CONTROLE!B2)</f>
        <v/>
      </c>
      <c r="G4" s="125" t="inlineStr">
        <is>
          <t>Origem do remanescente</t>
        </is>
      </c>
      <c r="H4" s="302">
        <f>IF($B$4="Itens","Itens",IF($B$4="PCs","PCs","Informado"))</f>
        <v/>
      </c>
      <c r="I4" s="125" t="inlineStr">
        <is>
          <t>Status geral</t>
        </is>
      </c>
      <c r="J4" s="302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62" t="n"/>
      <c r="L4" s="62" t="n"/>
      <c r="M4" s="62" t="n"/>
      <c r="N4" s="62" t="n"/>
      <c r="O4" s="62" t="n"/>
      <c r="P4" s="62" t="n"/>
      <c r="Q4" s="62" t="n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/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/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/>
      </c>
    </row>
    <row r="5" ht="24" customHeight="1" s="289">
      <c r="A5" s="125" t="inlineStr">
        <is>
          <t>Retroativo manual oficial</t>
        </is>
      </c>
      <c r="B5" s="363">
        <f>IF(AND(RESULTADOS!$G$43="Sim",RESULTADOS!$C$43&lt;&gt;""),RESULTADOS!$C$43,"")</f>
        <v/>
      </c>
      <c r="C5" s="125" t="inlineStr">
        <is>
          <t>Justificativa do retroativo manual</t>
        </is>
      </c>
      <c r="D5" s="297">
        <f>IF(AND(RESULTADOS!$G$43="Sim",RESULTADOS!$D$43&lt;&gt;""),RESULTADOS!$D$43,"")</f>
        <v/>
      </c>
      <c r="E5" s="298" t="n"/>
      <c r="F5" s="298" t="n"/>
      <c r="G5" s="298" t="n"/>
      <c r="H5" s="298" t="n"/>
      <c r="I5" s="298" t="n"/>
      <c r="J5" s="299" t="n"/>
      <c r="K5" s="62" t="n"/>
      <c r="L5" s="62" t="n"/>
      <c r="M5" s="62" t="n"/>
      <c r="N5" s="62" t="n"/>
      <c r="O5" s="62" t="n"/>
      <c r="P5" s="62" t="n"/>
      <c r="Q5" s="62" t="n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/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/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/>
      </c>
    </row>
    <row r="6" ht="34" customHeight="1" s="289">
      <c r="A6" s="294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62" t="n"/>
      <c r="L6" s="62" t="n"/>
      <c r="M6" s="62" t="n"/>
      <c r="N6" s="62" t="n"/>
      <c r="O6" s="62" t="n"/>
      <c r="P6" s="62" t="n"/>
      <c r="Q6" s="62" t="n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/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/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/>
      </c>
    </row>
    <row r="7">
      <c r="A7" s="62" t="n"/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  <c r="Q7" s="62" t="n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/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/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/>
      </c>
    </row>
    <row r="8" ht="24" customHeight="1" s="289">
      <c r="A8" s="293" t="inlineStr">
        <is>
          <t>EIXO 1 — VALOR RETROATIVO | um método oficial; os demais são conferência</t>
        </is>
      </c>
      <c r="K8" s="62" t="n"/>
      <c r="L8" s="62" t="n"/>
      <c r="M8" s="62" t="n"/>
      <c r="N8" s="62" t="n"/>
      <c r="O8" s="62" t="n"/>
      <c r="P8" s="62" t="n"/>
      <c r="Q8" s="62" t="n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/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/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/>
      </c>
    </row>
    <row r="9">
      <c r="A9" s="128" t="inlineStr">
        <is>
          <t>Ciclo</t>
        </is>
      </c>
      <c r="B9" s="128" t="inlineStr">
        <is>
          <t>Financeiro pago</t>
        </is>
      </c>
      <c r="C9" s="128" t="inlineStr">
        <is>
          <t>PCs pagos</t>
        </is>
      </c>
      <c r="D9" s="128" t="inlineStr">
        <is>
          <t>Itens consumidos</t>
        </is>
      </c>
      <c r="E9" s="128" t="inlineStr">
        <is>
          <t>Método selecionado</t>
        </is>
      </c>
      <c r="F9" s="128" t="inlineStr">
        <is>
          <t>Situação do ciclo</t>
        </is>
      </c>
      <c r="G9" s="62" t="n"/>
      <c r="H9" s="62" t="n"/>
      <c r="I9" s="62" t="n"/>
      <c r="J9" s="62" t="n"/>
      <c r="K9" s="62" t="n"/>
      <c r="L9" s="62" t="n"/>
      <c r="M9" s="62" t="n"/>
      <c r="N9" s="62" t="n"/>
      <c r="O9" s="62" t="n"/>
      <c r="P9" s="62" t="n"/>
      <c r="Q9" s="62" t="n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/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/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/>
      </c>
    </row>
    <row r="10">
      <c r="A10" s="129" t="inlineStr">
        <is>
          <t>C0</t>
        </is>
      </c>
      <c r="B10" s="364">
        <f>IF(COUNTIFS(financeiro!$B$2:$B$73,"c0",financeiro!$C$2:$C$73,"&gt;0",financeiro!$G$2:$G$73,"Sim")=0,"",ROUND(SUMIFS(financeiro!$F$2:$F$73,financeiro!$B$2:$B$73,"c0",financeiro!$G$2:$G$73,"Sim"),2))</f>
        <v/>
      </c>
      <c r="C10" s="364">
        <f>IF(COUNTIFS(itens_PC!$C$2:$C$5001,"C0",itens_PC!$D$2:$D$5001,"&gt;0")=0,"",ROUND(SUMIFS(itens_PC!$H$2:$H$5001,itens_PC!$C$2:$C$5001,"C0",itens_PC!$G$2:$G$5001,"Sim"),2))</f>
        <v/>
      </c>
      <c r="D10" s="364">
        <f>IF(COUNTIFS(itens_Consumidos!$E$2:$E$200,"&gt;0")=0,"",0)</f>
        <v/>
      </c>
      <c r="E10" s="364">
        <f>IF($B$4="Financeiro",B10,IF($B$4="PCs",C10,D10))</f>
        <v/>
      </c>
      <c r="F10" s="131">
        <f>IF(COUNT(B10:D10)=0,"SEM BASE",IF(E10="","FONTE OFICIAL AUSENTE","CONFERIR"))</f>
        <v/>
      </c>
      <c r="G10" s="62" t="n"/>
      <c r="H10" s="62" t="n"/>
      <c r="I10" s="62" t="n"/>
      <c r="J10" s="62" t="n"/>
      <c r="K10" s="62" t="n"/>
      <c r="L10" s="62" t="n"/>
      <c r="M10" s="62" t="n"/>
      <c r="N10" s="62" t="n"/>
      <c r="O10" s="62" t="n"/>
      <c r="P10" s="62" t="n"/>
      <c r="Q10" s="62" t="n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/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/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/>
      </c>
    </row>
    <row r="11">
      <c r="A11" s="129" t="inlineStr">
        <is>
          <t>C1</t>
        </is>
      </c>
      <c r="B11" s="364">
        <f>IF(COUNTIFS(financeiro!$B$2:$B$73,"c1",financeiro!$C$2:$C$73,"&gt;0",financeiro!$G$2:$G$73,"Sim")=0,"",ROUND(SUMIFS(financeiro!$F$2:$F$73,financeiro!$B$2:$B$73,"c1",financeiro!$G$2:$G$73,"Sim"),2))</f>
        <v/>
      </c>
      <c r="C11" s="364">
        <f>IF(COUNTIFS(itens_PC!$C$2:$C$5001,"C1",itens_PC!$D$2:$D$5001,"&gt;0")=0,"",ROUND(SUMIFS(itens_PC!$H$2:$H$5001,itens_PC!$C$2:$C$5001,"C1",itens_PC!$G$2:$G$5001,"Sim"),2))</f>
        <v/>
      </c>
      <c r="D11" s="364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364">
        <f>IF($B$4="Financeiro",B11,IF($B$4="PCs",C11,D11))</f>
        <v/>
      </c>
      <c r="F11" s="131">
        <f>IF(COUNT(B11:D11)=0,"SEM BASE",IF(E11="","FONTE OFICIAL AUSENTE","CONFERIR"))</f>
        <v/>
      </c>
      <c r="G11" s="62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2" t="n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/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/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/>
      </c>
    </row>
    <row r="12">
      <c r="A12" s="129" t="inlineStr">
        <is>
          <t>C2</t>
        </is>
      </c>
      <c r="B12" s="364">
        <f>IF(COUNTIFS(financeiro!$B$2:$B$73,"c2",financeiro!$C$2:$C$73,"&gt;0",financeiro!$G$2:$G$73,"Sim")=0,"",ROUND(SUMIFS(financeiro!$F$2:$F$73,financeiro!$B$2:$B$73,"c2",financeiro!$G$2:$G$73,"Sim"),2))</f>
        <v/>
      </c>
      <c r="C12" s="364">
        <f>IF(COUNTIFS(itens_PC!$C$2:$C$5001,"C2",itens_PC!$D$2:$D$5001,"&gt;0")=0,"",ROUND(SUMIFS(itens_PC!$H$2:$H$5001,itens_PC!$C$2:$C$5001,"C2",itens_PC!$G$2:$G$5001,"Sim"),2))</f>
        <v/>
      </c>
      <c r="D12" s="364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364">
        <f>IF($B$4="Financeiro",B12,IF($B$4="PCs",C12,D12))</f>
        <v/>
      </c>
      <c r="F12" s="131">
        <f>IF(COUNT(B12:D12)=0,"SEM BASE",IF(E12="","FONTE OFICIAL AUSENTE","CONFERIR"))</f>
        <v/>
      </c>
      <c r="G12" s="62" t="n"/>
      <c r="H12" s="62" t="n"/>
      <c r="I12" s="62" t="n"/>
      <c r="J12" s="62" t="n"/>
      <c r="K12" s="62" t="n"/>
      <c r="L12" s="62" t="n"/>
      <c r="M12" s="62" t="n"/>
      <c r="N12" s="62" t="n"/>
      <c r="O12" s="62" t="n"/>
      <c r="P12" s="62" t="n"/>
      <c r="Q12" s="62" t="n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/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/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/>
      </c>
    </row>
    <row r="13">
      <c r="A13" s="129" t="inlineStr">
        <is>
          <t>C3</t>
        </is>
      </c>
      <c r="B13" s="364">
        <f>IF(COUNTIFS(financeiro!$B$2:$B$73,"c3",financeiro!$C$2:$C$73,"&gt;0",financeiro!$G$2:$G$73,"Sim")=0,"",ROUND(SUMIFS(financeiro!$F$2:$F$73,financeiro!$B$2:$B$73,"c3",financeiro!$G$2:$G$73,"Sim"),2))</f>
        <v/>
      </c>
      <c r="C13" s="364">
        <f>IF(COUNTIFS(itens_PC!$C$2:$C$5001,"C3",itens_PC!$D$2:$D$5001,"&gt;0")=0,"",ROUND(SUMIFS(itens_PC!$H$2:$H$5001,itens_PC!$C$2:$C$5001,"C3",itens_PC!$G$2:$G$5001,"Sim"),2))</f>
        <v/>
      </c>
      <c r="D13" s="364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364">
        <f>IF($B$4="Financeiro",B13,IF($B$4="PCs",C13,D13))</f>
        <v/>
      </c>
      <c r="F13" s="131">
        <f>IF(COUNT(B13:D13)=0,"SEM BASE",IF(E13="","FONTE OFICIAL AUSENTE","CONFERIR"))</f>
        <v/>
      </c>
      <c r="G13" s="62" t="n"/>
      <c r="H13" s="62" t="n"/>
      <c r="I13" s="62" t="n"/>
      <c r="J13" s="62" t="n"/>
      <c r="K13" s="62" t="n"/>
      <c r="L13" s="62" t="n"/>
      <c r="M13" s="62" t="n"/>
      <c r="N13" s="62" t="n"/>
      <c r="O13" s="62" t="n"/>
      <c r="P13" s="62" t="n"/>
      <c r="Q13" s="62" t="n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/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/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/>
      </c>
    </row>
    <row r="14">
      <c r="A14" s="129" t="inlineStr">
        <is>
          <t>C4</t>
        </is>
      </c>
      <c r="B14" s="364">
        <f>IF(COUNTIFS(financeiro!$B$2:$B$73,"c4",financeiro!$C$2:$C$73,"&gt;0",financeiro!$G$2:$G$73,"Sim")=0,"",ROUND(SUMIFS(financeiro!$F$2:$F$73,financeiro!$B$2:$B$73,"c4",financeiro!$G$2:$G$73,"Sim"),2))</f>
        <v/>
      </c>
      <c r="C14" s="364">
        <f>IF(COUNTIFS(itens_PC!$C$2:$C$5001,"C4",itens_PC!$D$2:$D$5001,"&gt;0")=0,"",ROUND(SUMIFS(itens_PC!$H$2:$H$5001,itens_PC!$C$2:$C$5001,"C4",itens_PC!$G$2:$G$5001,"Sim"),2))</f>
        <v/>
      </c>
      <c r="D14" s="364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364">
        <f>IF($B$4="Financeiro",B14,IF($B$4="PCs",C14,D14))</f>
        <v/>
      </c>
      <c r="F14" s="131">
        <f>IF(COUNT(B14:D14)=0,"SEM BASE",IF(E14="","FONTE OFICIAL AUSENTE","CONFERIR"))</f>
        <v/>
      </c>
      <c r="G14" s="62" t="n"/>
      <c r="H14" s="62" t="n"/>
      <c r="I14" s="62" t="n"/>
      <c r="J14" s="62" t="n"/>
      <c r="K14" s="62" t="n"/>
      <c r="L14" s="62" t="n"/>
      <c r="M14" s="62" t="n"/>
      <c r="N14" s="62" t="n"/>
      <c r="O14" s="62" t="n"/>
      <c r="P14" s="62" t="n"/>
      <c r="Q14" s="62" t="n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/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/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/>
      </c>
    </row>
    <row r="15">
      <c r="A15" s="132" t="inlineStr">
        <is>
          <t>TOTAL</t>
        </is>
      </c>
      <c r="B15" s="365">
        <f>IF(COUNT(B10:B14)=0,"",ROUND(SUM(B10:B14),2))</f>
        <v/>
      </c>
      <c r="C15" s="365">
        <f>IF(COUNT(C10:C14)=0,"",ROUND(SUM(C10:C14),2))</f>
        <v/>
      </c>
      <c r="D15" s="365">
        <f>IF(COUNT(D10:D14)=0,"",ROUND(SUM(D10:D14),2))</f>
        <v/>
      </c>
      <c r="E15" s="365">
        <f>IF($B$4="Financeiro",B15,IF($B$4="PCs",C15,D15))</f>
        <v/>
      </c>
      <c r="F15" s="134">
        <f>IF(E15="","SEM TOTAL OFICIAL","CONFERIR")</f>
        <v/>
      </c>
      <c r="G15" s="62" t="n"/>
      <c r="H15" s="62" t="n"/>
      <c r="I15" s="62" t="n"/>
      <c r="J15" s="62" t="n"/>
      <c r="K15" s="62" t="n"/>
      <c r="L15" s="62" t="n"/>
      <c r="M15" s="62" t="n"/>
      <c r="N15" s="62" t="n"/>
      <c r="O15" s="62" t="n"/>
      <c r="P15" s="62" t="n"/>
      <c r="Q15" s="62" t="n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/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/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/>
      </c>
    </row>
    <row r="16" ht="26" customHeight="1" s="289">
      <c r="A16" s="302" t="inlineStr">
        <is>
          <t>RETROATIVO OFICIAL</t>
        </is>
      </c>
      <c r="B16" s="366">
        <f>IF(ISNUMBER($B$5),$B$5,E15)</f>
        <v/>
      </c>
      <c r="C16" s="302" t="inlineStr">
        <is>
          <t>Origem</t>
        </is>
      </c>
      <c r="D16" s="302">
        <f>IF(ISNUMBER($B$5),"MANUAL",$B$4)</f>
        <v/>
      </c>
      <c r="E16" s="302" t="inlineStr">
        <is>
          <t>Status</t>
        </is>
      </c>
      <c r="F16" s="302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62" t="n"/>
      <c r="H16" s="62" t="n"/>
      <c r="I16" s="62" t="n"/>
      <c r="J16" s="62" t="n"/>
      <c r="K16" s="62" t="n"/>
      <c r="L16" s="62" t="n"/>
      <c r="M16" s="62" t="n"/>
      <c r="N16" s="62" t="n"/>
      <c r="O16" s="62" t="n"/>
      <c r="P16" s="62" t="n"/>
      <c r="Q16" s="62" t="n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/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/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/>
      </c>
    </row>
    <row r="17" ht="24" customHeight="1" s="289">
      <c r="A17" s="295" t="inlineStr">
        <is>
          <t>EIXO 2 - VU REAJUSTADO: evolucao cronologica item a item disponivel na memoria detalhada abaixo.</t>
        </is>
      </c>
      <c r="K17" s="62" t="n"/>
      <c r="L17" s="62" t="n"/>
      <c r="M17" s="62" t="n"/>
      <c r="N17" s="62" t="n"/>
      <c r="O17" s="62" t="n"/>
      <c r="P17" s="62" t="n"/>
      <c r="Q17" s="62" t="n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/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/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62" t="n"/>
      <c r="O18" s="62" t="n"/>
      <c r="P18" s="62" t="n"/>
      <c r="Q18" s="62" t="n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/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/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/>
      </c>
    </row>
    <row r="19" ht="24" customHeight="1" s="289">
      <c r="A19" s="293" t="inlineStr">
        <is>
          <t>EIXO 3 — VTA | composição automática somente quando a base é segura</t>
        </is>
      </c>
      <c r="K19" s="62" t="n"/>
      <c r="L19" s="62" t="n"/>
      <c r="M19" s="62" t="n"/>
      <c r="N19" s="62" t="n"/>
      <c r="O19" s="62" t="n"/>
      <c r="P19" s="62" t="n"/>
      <c r="Q19" s="62" t="n"/>
      <c r="S19" t="inlineStr">
        <is>
          <t>VTA-PC (metodo PC) - auxiliar (espelha o motor Python)</t>
        </is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/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/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/>
      </c>
    </row>
    <row r="20">
      <c r="A20" s="125" t="inlineStr">
        <is>
          <t>Valor original do contrato</t>
        </is>
      </c>
      <c r="B20" s="367">
        <f>IF(COUNTIF(itens_Remanesc!$A$2:$A$200,"&lt;&gt;")=0,"",ROUND(SUMIF(itens_Remanesc!$A$2:$A$200,"&lt;&gt;",itens_Remanesc!$D$2:$D$200),2))</f>
        <v/>
      </c>
      <c r="C20" s="63" t="n"/>
      <c r="D20" s="63" t="n"/>
      <c r="E20" s="63" t="n"/>
      <c r="F20" s="63" t="n"/>
      <c r="G20" s="63" t="n"/>
      <c r="H20" s="63" t="n"/>
      <c r="I20" s="63" t="n"/>
      <c r="J20" s="63" t="n"/>
      <c r="K20" s="62" t="n"/>
      <c r="L20" s="62" t="n"/>
      <c r="M20" s="62" t="n"/>
      <c r="N20" s="62" t="n"/>
      <c r="O20" s="62" t="n"/>
      <c r="P20" s="62" t="n"/>
      <c r="Q20" s="62" t="n"/>
      <c r="S20" t="inlineStr">
        <is>
          <t>Ciclo vigente (numero)</t>
        </is>
      </c>
      <c r="T20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/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/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/>
      </c>
    </row>
    <row r="21">
      <c r="A21" s="125" t="inlineStr">
        <is>
          <t>Retroativo oficial</t>
        </is>
      </c>
      <c r="B21" s="367">
        <f>IF(B16="","",B16)</f>
        <v/>
      </c>
      <c r="C21" s="63" t="n"/>
      <c r="D21" s="63" t="n"/>
      <c r="E21" s="63" t="n"/>
      <c r="F21" s="63" t="n"/>
      <c r="G21" s="63" t="n"/>
      <c r="H21" s="63" t="n"/>
      <c r="I21" s="63" t="n"/>
      <c r="J21" s="63" t="n"/>
      <c r="K21" s="62" t="n"/>
      <c r="L21" s="62" t="n"/>
      <c r="M21" s="62" t="n"/>
      <c r="N21" s="62" t="n"/>
      <c r="O21" s="62" t="n"/>
      <c r="P21" s="62" t="n"/>
      <c r="Q21" s="62" t="n"/>
      <c r="S21" t="inlineStr">
        <is>
          <t>C0 executado (PC C0 ou movimentacao fisica x VU_C0)</t>
        </is>
      </c>
      <c r="T21" s="213">
        <f>IF(itens_PC!$P$2&gt;0,itens_PC!$P$2,SUM($X$2:$X$201))</f>
        <v/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/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/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/>
      </c>
    </row>
    <row r="22">
      <c r="A22" s="125" t="inlineStr">
        <is>
          <t>Ajuste do remanescente</t>
        </is>
      </c>
      <c r="B22" s="367">
        <f>IF(OR(C35="",D35=""),"",ROUND(D35-C35,2))</f>
        <v/>
      </c>
      <c r="C22" s="63" t="n"/>
      <c r="D22" s="63" t="n"/>
      <c r="E22" s="63" t="n"/>
      <c r="F22" s="63" t="n"/>
      <c r="G22" s="63" t="n"/>
      <c r="H22" s="63" t="n"/>
      <c r="I22" s="63" t="n"/>
      <c r="J22" s="63" t="n"/>
      <c r="K22" s="62" t="n"/>
      <c r="L22" s="62" t="n"/>
      <c r="M22" s="62" t="n"/>
      <c r="N22" s="62" t="n"/>
      <c r="O22" s="62" t="n"/>
      <c r="P22" s="62" t="n"/>
      <c r="Q22" s="62" t="n"/>
      <c r="S22" t="inlineStr">
        <is>
          <t>Execucao PC (ciclos 1..vigente-1, VALOR_ATUALIZADO)</t>
        </is>
      </c>
      <c r="T22" s="213">
        <f>SUMPRODUCT((ROW(itens_PC!$P$2:$P$6)-2&gt;=1)*(ROW(itens_PC!$P$2:$P$6)-2&lt;$T$20)*itens_PC!$P$2:$P$6)</f>
        <v/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/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/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/>
      </c>
    </row>
    <row r="23">
      <c r="A23" s="125" t="inlineStr">
        <is>
          <t>VTA calculado</t>
        </is>
      </c>
      <c r="B23" s="367">
        <f>IF(OR(B20="",B21="",B22=""),"",ROUND(B20+B21+B22,2))</f>
        <v/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2" t="n"/>
      <c r="L23" s="62" t="n"/>
      <c r="M23" s="62" t="n"/>
      <c r="N23" s="62" t="n"/>
      <c r="O23" s="62" t="n"/>
      <c r="P23" s="62" t="n"/>
      <c r="Q23" s="62" t="n"/>
      <c r="S23" t="inlineStr">
        <is>
          <t>Remanescente fisico atualizado (item a item, ciclo vigente)</t>
        </is>
      </c>
      <c r="T23" s="213">
        <f>SUM($Y$2:$Y$201)</f>
        <v/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/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/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/>
      </c>
    </row>
    <row r="24">
      <c r="A24" s="125" t="inlineStr">
        <is>
          <t>Ajuste manual (+/-)</t>
        </is>
      </c>
      <c r="B24" s="363">
        <f>IF(AND(RESULTADOS!$G$44="Sim",RESULTADOS!$C$44&lt;&gt;""),RESULTADOS!$C$44,"")</f>
        <v/>
      </c>
      <c r="C24" s="125" t="inlineStr">
        <is>
          <t>Justificativa do ajuste</t>
        </is>
      </c>
      <c r="D24" s="297">
        <f>IF(AND(RESULTADOS!$G$44="Sim",RESULTADOS!$D$44&lt;&gt;""),RESULTADOS!$D$44,"")</f>
        <v/>
      </c>
      <c r="E24" s="298" t="n"/>
      <c r="F24" s="298" t="n"/>
      <c r="G24" s="298" t="n"/>
      <c r="H24" s="298" t="n"/>
      <c r="I24" s="298" t="n"/>
      <c r="J24" s="299" t="n"/>
      <c r="K24" s="62" t="n"/>
      <c r="L24" s="62" t="n"/>
      <c r="M24" s="62" t="n"/>
      <c r="N24" s="62" t="n"/>
      <c r="O24" s="62" t="n"/>
      <c r="P24" s="62" t="n"/>
      <c r="Q24" s="62" t="n"/>
      <c r="S24" t="inlineStr">
        <is>
          <t>Base itemizada presente?</t>
        </is>
      </c>
      <c r="T24">
        <f>IF(COUNTIF(posicao_contratual!$A$2:$A$201,"&lt;&gt;")=0,0,1)</f>
        <v/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/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/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/>
      </c>
    </row>
    <row r="25" ht="26" customHeight="1" s="289">
      <c r="A25" s="125" t="inlineStr">
        <is>
          <t>VTA manual oficial</t>
        </is>
      </c>
      <c r="B25" s="363">
        <f>IF(AND(RESULTADOS!$G$45="Sim",RESULTADOS!$C$45&lt;&gt;""),RESULTADOS!$C$45,"")</f>
        <v/>
      </c>
      <c r="C25" s="125" t="inlineStr">
        <is>
          <t>Justificativa do VTA manual</t>
        </is>
      </c>
      <c r="D25" s="297">
        <f>IF(AND(RESULTADOS!$G$45="Sim",RESULTADOS!$D$45&lt;&gt;""),RESULTADOS!$D$45,"")</f>
        <v/>
      </c>
      <c r="E25" s="298" t="n"/>
      <c r="F25" s="298" t="n"/>
      <c r="G25" s="298" t="n"/>
      <c r="H25" s="298" t="n"/>
      <c r="I25" s="298" t="n"/>
      <c r="J25" s="299" t="n"/>
      <c r="K25" s="62" t="n"/>
      <c r="L25" s="62" t="n"/>
      <c r="M25" s="62" t="n"/>
      <c r="N25" s="62" t="n"/>
      <c r="O25" s="62" t="n"/>
      <c r="P25" s="62" t="n"/>
      <c r="Q25" s="62" t="n"/>
      <c r="S25" t="inlineStr">
        <is>
          <t>VTA-PC (metodo aplicado)</t>
        </is>
      </c>
      <c r="T25" s="213">
        <f>IF(OR($T$24=0,$T$20="",$T$26&gt;0,AND(NOT(itens_PC!$P$2&gt;0),$T$27&gt;0)),"CALCULO MANUAL REQUERIDO",ROUND($T$21+$T$22+$T$23,2))</f>
        <v/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/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/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/>
      </c>
    </row>
    <row r="26">
      <c r="A26" s="125" t="inlineStr">
        <is>
          <t>VTA FINAL</t>
        </is>
      </c>
      <c r="B26" s="368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inlineStr">
        <is>
          <t>Status</t>
        </is>
      </c>
      <c r="D26" s="63" t="n"/>
      <c r="E26" s="302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/>
      </c>
      <c r="F26" s="298" t="n"/>
      <c r="G26" s="298" t="n"/>
      <c r="H26" s="298" t="n"/>
      <c r="I26" s="298" t="n"/>
      <c r="J26" s="299" t="n"/>
      <c r="K26" s="62" t="n"/>
      <c r="L26" s="62" t="n"/>
      <c r="M26" s="62" t="n"/>
      <c r="N26" s="62" t="n"/>
      <c r="O26" s="62" t="n"/>
      <c r="P26" s="62" t="n"/>
      <c r="Q26" s="62" t="n"/>
      <c r="S26" t="inlineStr">
        <is>
          <t>Itens sem remanescente do ciclo vigente</t>
        </is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/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/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/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/>
      </c>
    </row>
    <row r="27" ht="34" customHeight="1" s="289">
      <c r="A27" s="296" t="inlineStr">
        <is>
          <t>Aditivos marcados como considerados não são somados automaticamente ao VTA: sem confirmação de que a base contratual já os incorpora, a planilha exige cálculo manual para impedir dupla contagem.</t>
        </is>
      </c>
      <c r="K27" s="62" t="n"/>
      <c r="L27" s="62" t="n"/>
      <c r="M27" s="62" t="n"/>
      <c r="N27" s="62" t="n"/>
      <c r="O27" s="62" t="n"/>
      <c r="P27" s="62" t="n"/>
      <c r="Q27" s="62" t="n"/>
      <c r="S27" t="inlineStr">
        <is>
          <t>Itens sem base p/ C0 fisico (X)</t>
        </is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/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/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/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/>
      </c>
    </row>
    <row r="28">
      <c r="A28" s="227" t="inlineStr">
        <is>
          <t>COMPARACAO DE REFERENCIA - VTA pelo metodo aplicado</t>
        </is>
      </c>
      <c r="B28" s="226">
        <f>$B$26</f>
        <v/>
      </c>
      <c r="C28" s="227" t="inlineStr">
        <is>
          <t>Valor meramente comparativo. Nao utilizar como VTA, retroativo ou base de pagamento.</t>
        </is>
      </c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2" t="n"/>
      <c r="S28" t="inlineStr">
        <is>
          <t>PCs sem efeito financeiro (qtd)</t>
        </is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/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/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/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/>
      </c>
    </row>
    <row r="29">
      <c r="A29" s="227" t="inlineStr">
        <is>
          <t>COMPARACAO DE REFERENCIA - Contrato original integralmente reajustado</t>
        </is>
      </c>
      <c r="B29" s="226">
        <f>comparativo_VTA!$B$208</f>
        <v/>
      </c>
      <c r="C29" s="62" t="n"/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62" t="n"/>
      <c r="S29" t="inlineStr">
        <is>
          <t>PCs sem efeito financeiro (valor-base)</t>
        </is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/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/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/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/>
      </c>
    </row>
    <row r="30" ht="24" customHeight="1" s="289">
      <c r="A30" s="293" t="inlineStr">
        <is>
          <t>EIXO 4 — QUANTIDADE E VALOR REMANESCENTE | sem e com reajuste</t>
        </is>
      </c>
      <c r="K30" s="62" t="n"/>
      <c r="L30" s="62" t="n"/>
      <c r="M30" s="62" t="n"/>
      <c r="N30" s="62" t="n"/>
      <c r="O30" s="62" t="n"/>
      <c r="P30" s="62" t="n"/>
      <c r="Q30" s="62" t="n"/>
      <c r="S30" t="inlineStr">
        <is>
          <t>PCs sem efeito financeiro (dif. nao reconhecida)</t>
        </is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/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/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/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/>
      </c>
    </row>
    <row r="31">
      <c r="A31" s="128" t="inlineStr">
        <is>
          <t>Fonte</t>
        </is>
      </c>
      <c r="B31" s="128" t="inlineStr">
        <is>
          <t>Quantidade</t>
        </is>
      </c>
      <c r="C31" s="128" t="inlineStr">
        <is>
          <t>Valor sem reajuste</t>
        </is>
      </c>
      <c r="D31" s="128" t="inlineStr">
        <is>
          <t>Valor com reajuste</t>
        </is>
      </c>
      <c r="E31" s="128" t="inlineStr">
        <is>
          <t>Ajuste</t>
        </is>
      </c>
      <c r="F31" s="128" t="inlineStr">
        <is>
          <t>Status / origem</t>
        </is>
      </c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62" t="n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/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/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/>
      </c>
    </row>
    <row r="32">
      <c r="A32" s="134" t="inlineStr">
        <is>
          <t>Informado em itens_Remanesc</t>
        </is>
      </c>
      <c r="B32" s="138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369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369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369">
        <f>IF(OR(C32="",D32=""),"",ROUND(D32-C32,2))</f>
        <v/>
      </c>
      <c r="F32" s="140">
        <f>IF(B32="","SEM BASE",IF($H$44&gt;0,"COM ERROS — NÃO CONFIÁVEL","PREENCHIDO"))</f>
        <v/>
      </c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62" t="n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/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/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/>
      </c>
    </row>
    <row r="33">
      <c r="A33" s="134" t="inlineStr">
        <is>
          <t>Derivado de itens_Consumidos</t>
        </is>
      </c>
      <c r="B33" s="138">
        <f>IF(COUNTIF(itens_Consumidos!$A$2:$A$200,"&lt;&gt;")=0,"",ROUND(SUMPRODUCT((N(itens_Consumidos!$B$2:$B$200)-N(itens_Consumidos!$O$2:$O$200)&gt;0)*(N(itens_Consumidos!$B$2:$B$200)-N(itens_Consumidos!$O$2:$O$200))),2))</f>
        <v/>
      </c>
      <c r="C33" s="369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369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369">
        <f>IF(OR(C33="",D33=""),"",ROUND(D33-C33,2))</f>
        <v/>
      </c>
      <c r="F33" s="140">
        <f>IF(B33="","SEM BASE",IF($F$44&gt;0,"COM ERROS — NÃO CONFIÁVEL","DERIVADO"))</f>
        <v/>
      </c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/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/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/>
      </c>
    </row>
    <row r="34" ht="26" customHeight="1" s="289">
      <c r="A34" s="134" t="inlineStr">
        <is>
          <t>Físico por PC</t>
        </is>
      </c>
      <c r="B34" s="66" t="n"/>
      <c r="C34" s="370" t="n"/>
      <c r="D34" s="370" t="n"/>
      <c r="E34" s="370" t="n"/>
      <c r="F34" s="140" t="inlineStr">
        <is>
          <t>NÃO DISPONÍVEL — SEM INFERÊNCIA</t>
        </is>
      </c>
      <c r="G34" s="62" t="n"/>
      <c r="H34" s="62" t="n"/>
      <c r="I34" s="62" t="n"/>
      <c r="J34" s="62" t="n"/>
      <c r="K34" s="62" t="n"/>
      <c r="L34" s="62" t="n"/>
      <c r="M34" s="62" t="n"/>
      <c r="N34" s="62" t="n"/>
      <c r="O34" s="62" t="n"/>
      <c r="P34" s="62" t="n"/>
      <c r="Q34" s="62" t="n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/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/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/>
      </c>
    </row>
    <row r="35">
      <c r="A35" s="134" t="inlineStr">
        <is>
          <t>OFICIAL (conforme CONTROLE)</t>
        </is>
      </c>
      <c r="B35" s="138">
        <f>IF(OR($B$4="Financeiro",$B$4="PCs"),B32,IF($B$4="Itens",B33,""))</f>
        <v/>
      </c>
      <c r="C35" s="369">
        <f>IF(OR($B$4="Financeiro",$B$4="PCs"),C32,IF($B$4="Itens",C33,""))</f>
        <v/>
      </c>
      <c r="D35" s="369">
        <f>IF($B$4="PCs",$T$23,IF($B$4="Financeiro",D32,IF($B$4="Itens",D33,"")))</f>
        <v/>
      </c>
      <c r="E35" s="369">
        <f>IF(OR(C35="",D35=""),"",ROUND(D35-C35,2))</f>
        <v/>
      </c>
      <c r="F35" s="140">
        <f>IF($B$4="Itens","ITENS",IF(OR($B$4="Financeiro",$B$4="PCs"),"INFORMADO",""))</f>
        <v/>
      </c>
      <c r="G35" s="62" t="n"/>
      <c r="H35" s="62" t="n"/>
      <c r="I35" s="62" t="n"/>
      <c r="J35" s="62" t="n"/>
      <c r="K35" s="62" t="n"/>
      <c r="L35" s="62" t="n"/>
      <c r="M35" s="62" t="n"/>
      <c r="N35" s="62" t="n"/>
      <c r="O35" s="62" t="n"/>
      <c r="P35" s="62" t="n"/>
      <c r="Q35" s="62" t="n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/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/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/>
      </c>
    </row>
    <row r="36">
      <c r="A36" s="134" t="inlineStr">
        <is>
          <t>STATUS DO REMANESCENTE</t>
        </is>
      </c>
      <c r="B36" s="290" t="n"/>
      <c r="C36" s="291" t="n"/>
      <c r="D36" s="291" t="n"/>
      <c r="E36" s="292" t="n"/>
      <c r="F36" s="141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/>
      </c>
      <c r="G36" s="62" t="n"/>
      <c r="H36" s="62" t="n"/>
      <c r="I36" s="62" t="n"/>
      <c r="J36" s="62" t="n"/>
      <c r="K36" s="62" t="n"/>
      <c r="L36" s="62" t="n"/>
      <c r="M36" s="62" t="n"/>
      <c r="N36" s="62" t="n"/>
      <c r="O36" s="62" t="n"/>
      <c r="P36" s="62" t="n"/>
      <c r="Q36" s="62" t="n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/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/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/>
      </c>
    </row>
    <row r="37">
      <c r="A37" s="62" t="n"/>
      <c r="B37" s="62" t="n"/>
      <c r="C37" s="62" t="n"/>
      <c r="D37" s="62" t="n"/>
      <c r="E37" s="62" t="n"/>
      <c r="F37" s="62" t="n"/>
      <c r="G37" s="62" t="n"/>
      <c r="H37" s="62" t="n"/>
      <c r="I37" s="62" t="n"/>
      <c r="J37" s="62" t="n"/>
      <c r="K37" s="62" t="n"/>
      <c r="L37" s="62" t="n"/>
      <c r="M37" s="62" t="n"/>
      <c r="N37" s="62" t="n"/>
      <c r="O37" s="62" t="n"/>
      <c r="P37" s="62" t="n"/>
      <c r="Q37" s="62" t="n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/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/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/>
      </c>
    </row>
    <row r="38">
      <c r="A38" s="62" t="n"/>
      <c r="B38" s="62" t="n"/>
      <c r="C38" s="62" t="n"/>
      <c r="D38" s="62" t="n"/>
      <c r="E38" s="62" t="n"/>
      <c r="F38" s="62" t="n"/>
      <c r="G38" s="62" t="n"/>
      <c r="H38" s="62" t="n"/>
      <c r="I38" s="62" t="n"/>
      <c r="J38" s="62" t="n"/>
      <c r="K38" s="62" t="n"/>
      <c r="L38" s="62" t="n"/>
      <c r="M38" s="62" t="n"/>
      <c r="N38" s="62" t="n"/>
      <c r="O38" s="62" t="n"/>
      <c r="P38" s="62" t="n"/>
      <c r="Q38" s="62" t="n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/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/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/>
      </c>
    </row>
    <row r="39">
      <c r="A39" s="62" t="n"/>
      <c r="B39" s="62" t="n"/>
      <c r="C39" s="62" t="n"/>
      <c r="D39" s="62" t="n"/>
      <c r="E39" s="62" t="n"/>
      <c r="F39" s="62" t="n"/>
      <c r="G39" s="62" t="n"/>
      <c r="H39" s="62" t="n"/>
      <c r="I39" s="62" t="n"/>
      <c r="J39" s="62" t="n"/>
      <c r="K39" s="62" t="n"/>
      <c r="L39" s="62" t="n"/>
      <c r="M39" s="62" t="n"/>
      <c r="N39" s="62" t="n"/>
      <c r="O39" s="62" t="n"/>
      <c r="P39" s="62" t="n"/>
      <c r="Q39" s="62" t="n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/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/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/>
      </c>
    </row>
    <row r="40" ht="24" customHeight="1" s="289">
      <c r="A40" s="293" t="inlineStr">
        <is>
          <t>APOIO AO CÁLCULO MANUAL | dados mínimos, sem criar resultado</t>
        </is>
      </c>
      <c r="K40" s="62" t="n"/>
      <c r="L40" s="62" t="n"/>
      <c r="M40" s="62" t="n"/>
      <c r="N40" s="62" t="n"/>
      <c r="O40" s="62" t="n"/>
      <c r="P40" s="62" t="n"/>
      <c r="Q40" s="62" t="n"/>
      <c r="V40" s="267" t="inlineStr">
        <is>
          <t>APOIO — DECOMPOSICOES DO VTA (3 REFERENCIAS)</t>
        </is>
      </c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/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/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/>
      </c>
    </row>
    <row r="41">
      <c r="A41" s="134" t="inlineStr">
        <is>
          <t>Retro Financeiro</t>
        </is>
      </c>
      <c r="B41" s="369">
        <f>IF(B15="","",B15)</f>
        <v/>
      </c>
      <c r="C41" s="371" t="inlineStr">
        <is>
          <t>Retro PCs</t>
        </is>
      </c>
      <c r="D41" s="369">
        <f>IF(C15="","",C15)</f>
        <v/>
      </c>
      <c r="E41" s="371" t="inlineStr">
        <is>
          <t>Retro Itens</t>
        </is>
      </c>
      <c r="F41" s="369">
        <f>IF(D15="","",D15)</f>
        <v/>
      </c>
      <c r="G41" s="371" t="inlineStr">
        <is>
          <t>Retro oficial</t>
        </is>
      </c>
      <c r="H41" s="369">
        <f>IF(B16="","",B16)</f>
        <v/>
      </c>
      <c r="I41" s="134" t="inlineStr">
        <is>
          <t>Status</t>
        </is>
      </c>
      <c r="J41" s="143">
        <f>F16</f>
        <v/>
      </c>
      <c r="K41" s="62" t="n"/>
      <c r="L41" s="62" t="n"/>
      <c r="M41" s="62" t="n"/>
      <c r="N41" s="62" t="n"/>
      <c r="O41" s="62" t="n"/>
      <c r="P41" s="62" t="n"/>
      <c r="Q41" s="62" t="n"/>
      <c r="V41" s="268" t="inlineStr">
        <is>
          <t>Abertura C0 completa?</t>
        </is>
      </c>
      <c r="W41">
        <f>IF(COUNTIF(posicao_contratual!$A$2:$A$201,"&lt;&gt;")=0,0,IF(SUMPRODUCT((posicao_contratual!$A$2:$A$201&lt;&gt;"")*(posicao_contratual!$Y$2:$Y$201&lt;=0)*(1-ISNUMBER(posicao_contratual!$G$2:$G$201)))&gt;0,0,1))</f>
        <v/>
      </c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/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/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/>
      </c>
    </row>
    <row r="42">
      <c r="A42" s="134" t="inlineStr">
        <is>
          <t>Fator cheio do ciclo</t>
        </is>
      </c>
      <c r="B42" s="144">
        <f>IF($F$4="C0",parametros!$F$2,IF($F$4="C1",parametros!$F$3,IF($F$4="C2",parametros!$F$4,IF($F$4="C3",parametros!$F$5,parametros!$F$6))))</f>
        <v/>
      </c>
      <c r="C42" s="145" t="inlineStr">
        <is>
          <t>Fator da apuração</t>
        </is>
      </c>
      <c r="D42" s="144">
        <f>IF($F$4="C0",parametros!$D$11,IF($F$4="C1",parametros!$D$12,IF($F$4="C2",parametros!$D$13,IF($F$4="C3",parametros!$D$14,parametros!$D$15))))</f>
        <v/>
      </c>
      <c r="E42" s="145" t="inlineStr">
        <is>
          <t>Base praticada</t>
        </is>
      </c>
      <c r="F42" s="144">
        <f>IF(OR(NOT(ISNUMBER(B42)),NOT(ISNUMBER(D42)),D42=0),"",B42/D42)</f>
        <v/>
      </c>
      <c r="G42" s="145" t="inlineStr">
        <is>
          <t>Delta de fator</t>
        </is>
      </c>
      <c r="H42" s="144">
        <f>IF(OR(NOT(ISNUMBER(B42)),NOT(ISNUMBER(F42))),"",B42-F42)</f>
        <v/>
      </c>
      <c r="I42" s="64" t="n"/>
      <c r="J42" s="64" t="n"/>
      <c r="K42" s="62" t="n"/>
      <c r="L42" s="62" t="n"/>
      <c r="M42" s="62" t="n"/>
      <c r="N42" s="62" t="n"/>
      <c r="O42" s="62" t="n"/>
      <c r="P42" s="62" t="n"/>
      <c r="Q42" s="62" t="n"/>
      <c r="V42" s="268" t="inlineStr">
        <is>
          <t>Abertura C1 completa?</t>
        </is>
      </c>
      <c r="W42">
        <f>IF(COUNTIF(posicao_contratual!$A$2:$A$201,"&lt;&gt;")=0,0,IF(SUMPRODUCT((posicao_contratual!$A$2:$A$201&lt;&gt;"")*(posicao_contratual!$Y$2:$Y$201&lt;=1)*(1-ISNUMBER(posicao_contratual!$K$2:$K$201)))&gt;0,0,1))</f>
        <v/>
      </c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/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/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/>
      </c>
    </row>
    <row r="43">
      <c r="A43" s="64" t="n"/>
      <c r="B43" s="64" t="n"/>
      <c r="C43" s="64" t="n"/>
      <c r="D43" s="64" t="n"/>
      <c r="E43" s="64" t="n"/>
      <c r="F43" s="64" t="n"/>
      <c r="G43" s="64" t="n"/>
      <c r="H43" s="64" t="n"/>
      <c r="I43" s="64" t="n"/>
      <c r="J43" s="64" t="n"/>
      <c r="K43" s="62" t="n"/>
      <c r="L43" s="62" t="n"/>
      <c r="M43" s="62" t="n"/>
      <c r="N43" s="62" t="n"/>
      <c r="O43" s="62" t="n"/>
      <c r="P43" s="62" t="n"/>
      <c r="Q43" s="62" t="n"/>
      <c r="V43" s="268" t="inlineStr">
        <is>
          <t>Abertura C2 completa?</t>
        </is>
      </c>
      <c r="W43">
        <f>IF(COUNTIF(posicao_contratual!$A$2:$A$201,"&lt;&gt;")=0,0,IF(SUMPRODUCT((posicao_contratual!$A$2:$A$201&lt;&gt;"")*(posicao_contratual!$Y$2:$Y$201&lt;=2)*(1-ISNUMBER(posicao_contratual!$O$2:$O$201)))&gt;0,0,1))</f>
        <v/>
      </c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/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/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/>
      </c>
    </row>
    <row r="44" ht="26" customHeight="1" s="289">
      <c r="A44" s="134" t="inlineStr">
        <is>
          <t>Linhas incompletas — Financeiro</t>
        </is>
      </c>
      <c r="B44" s="143">
        <f>SUMPRODUCT(--(financeiro!$C$2:$C$73&lt;&gt;""),--(((financeiro!$B$2:$B$73="")+(financeiro!$G$2:$G$73=""))&gt;0))</f>
        <v/>
      </c>
      <c r="C44" s="134" t="inlineStr">
        <is>
          <t>Erros — PCs</t>
        </is>
      </c>
      <c r="D44" s="143">
        <f>SUMPRODUCT(--(((itens_PC!$B$2:$B$5001&lt;&gt;"")+(itens_PC!$D$2:$D$5001&lt;&gt;"")+(itens_PC!$G$2:$G$5001&lt;&gt;""))&gt;0),--(itens_PC!$K$2:$K$5001&lt;&gt;"OK"))</f>
        <v/>
      </c>
      <c r="E44" s="134" t="inlineStr">
        <is>
          <t>Erros — Itens</t>
        </is>
      </c>
      <c r="F44" s="143">
        <f>COUNTIFS(itens_Consumidos!$A$2:$A$200,"&lt;&gt;",itens_Consumidos!$Q$2:$Q$200,"&lt;&gt;OK")+COUNTIFS(itens_Consumidos!$A$2:$A$200,"&lt;&gt;",itens_Consumidos!$C$2:$C$200,"")</f>
        <v/>
      </c>
      <c r="G44" s="134" t="inlineStr">
        <is>
          <t>Erros — Remanescente</t>
        </is>
      </c>
      <c r="H44" s="143">
        <f>COUNTIFS(itens_Remanesc!$A$2:$A$200,"&lt;&gt;",itens_Remanesc!$U$2:$U$200,"&lt;&gt;OK")+COUNTIFS(itens_Remanesc!$A$2:$A$200,"&lt;&gt;",itens_Remanesc!$V$2:$V$200,"&lt;&gt;OK")</f>
        <v/>
      </c>
      <c r="I44" s="134" t="inlineStr">
        <is>
          <t>Itens-base incompletos</t>
        </is>
      </c>
      <c r="J44" s="143">
        <f>COUNTIFS(itens_Remanesc!$A$2:$A$200,"&lt;&gt;",itens_Remanesc!$B$2:$B$200,"")+COUNTIFS(itens_Remanesc!$A$2:$A$200,"&lt;&gt;",itens_Remanesc!$C$2:$C$200,"")</f>
        <v/>
      </c>
      <c r="K44" s="62" t="n"/>
      <c r="L44" s="62" t="n"/>
      <c r="M44" s="62" t="n"/>
      <c r="N44" s="62" t="n"/>
      <c r="O44" s="62" t="n"/>
      <c r="P44" s="62" t="n"/>
      <c r="Q44" s="62" t="n"/>
      <c r="V44" s="268" t="inlineStr">
        <is>
          <t>Abertura C3 completa?</t>
        </is>
      </c>
      <c r="W44">
        <f>IF(COUNTIF(posicao_contratual!$A$2:$A$201,"&lt;&gt;")=0,0,IF(SUMPRODUCT((posicao_contratual!$A$2:$A$201&lt;&gt;"")*(posicao_contratual!$Y$2:$Y$201&lt;=3)*(1-ISNUMBER(posicao_contratual!$S$2:$S$201)))&gt;0,0,1))</f>
        <v/>
      </c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/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/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/>
      </c>
    </row>
    <row r="45" ht="26" customHeight="1" s="289">
      <c r="A45" s="134" t="inlineStr">
        <is>
          <t>Aditivos marcados como considerados</t>
        </is>
      </c>
      <c r="B45" s="143">
        <f>COUNTIF(aditivos!$K$2:$K$200,"Sim")</f>
        <v/>
      </c>
      <c r="C45" s="134" t="inlineStr">
        <is>
          <t>Delta potencial de PCs não pagos</t>
        </is>
      </c>
      <c r="D45" s="369">
        <f>ROUND(SUM(itens_PC!$J$2:$J$5001),2)</f>
        <v/>
      </c>
      <c r="E45" s="64" t="n"/>
      <c r="F45" s="64" t="n"/>
      <c r="G45" s="64" t="n"/>
      <c r="H45" s="64" t="n"/>
      <c r="I45" s="64" t="n"/>
      <c r="J45" s="64" t="n"/>
      <c r="K45" s="62" t="n"/>
      <c r="L45" s="62" t="n"/>
      <c r="M45" s="62" t="n"/>
      <c r="N45" s="62" t="n"/>
      <c r="O45" s="62" t="n"/>
      <c r="P45" s="62" t="n"/>
      <c r="Q45" s="62" t="n"/>
      <c r="V45" s="268" t="inlineStr">
        <is>
          <t>Abertura C4 completa?</t>
        </is>
      </c>
      <c r="W45">
        <f>IF(COUNTIF(posicao_contratual!$A$2:$A$201,"&lt;&gt;")=0,0,IF(SUMPRODUCT((posicao_contratual!$A$2:$A$201&lt;&gt;"")*(posicao_contratual!$Y$2:$Y$201&lt;=4)*(1-ISNUMBER(posicao_contratual!$W$2:$W$201)))&gt;0,0,1))</f>
        <v/>
      </c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/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/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/>
      </c>
    </row>
    <row r="46">
      <c r="A46" s="62" t="n"/>
      <c r="B46" s="62" t="n"/>
      <c r="C46" s="62" t="n"/>
      <c r="D46" s="62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  <c r="O46" s="62" t="n"/>
      <c r="P46" s="62" t="n"/>
      <c r="Q46" s="62" t="n"/>
      <c r="V46" s="268" t="inlineStr">
        <is>
          <t>Ciclo da ultima abertura completa (num)</t>
        </is>
      </c>
      <c r="W46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/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/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/>
      </c>
    </row>
    <row r="47">
      <c r="A47" s="62" t="n"/>
      <c r="B47" s="62" t="n"/>
      <c r="C47" s="62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  <c r="O47" s="62" t="n"/>
      <c r="P47" s="62" t="n"/>
      <c r="Q47" s="62" t="n"/>
      <c r="V47" s="268" t="inlineStr">
        <is>
          <t>Motivo de nao adocao das aberturas posteriores</t>
        </is>
      </c>
      <c r="W47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/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/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/>
      </c>
    </row>
    <row r="48" ht="34" customHeight="1" s="289">
      <c r="A48" s="294" t="n"/>
      <c r="K48" s="62" t="n"/>
      <c r="L48" s="62" t="n"/>
      <c r="M48" s="62" t="n"/>
      <c r="N48" s="62" t="n"/>
      <c r="O48" s="62" t="n"/>
      <c r="P48" s="62" t="n"/>
      <c r="Q48" s="62" t="n"/>
      <c r="V48" s="268" t="inlineStr">
        <is>
          <t>FORMA 2 — VTA ultima abertura disponivel</t>
        </is>
      </c>
      <c r="W48" s="213">
        <f>IF($W$46="","",ROUND($T$21+SUMPRODUCT((ROW(itens_PC!$P$2:$P$6)-2&gt;=1)*(ROW(itens_PC!$P$2:$P$6)-2&lt;$W$46)*itens_PC!$P$2:$P$6)+SUM($AB$2:$AB$201),2))</f>
        <v/>
      </c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/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/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/>
      </c>
    </row>
    <row r="49" ht="34" customHeight="1" s="289">
      <c r="A49" s="294" t="n"/>
      <c r="K49" s="62" t="n"/>
      <c r="L49" s="62" t="n"/>
      <c r="M49" s="62" t="n"/>
      <c r="N49" s="62" t="n"/>
      <c r="O49" s="62" t="n"/>
      <c r="P49" s="62" t="n"/>
      <c r="Q49" s="62" t="n"/>
      <c r="V49" s="268" t="inlineStr">
        <is>
          <t>CICLO_EM_EXECUCAO disponivel/utilizado?</t>
        </is>
      </c>
      <c r="W49">
        <f>IF(ISERROR(INDIRECT("CICLO_EM_EXECUCAO!A9")),0,IF(INDIRECT("CICLO_EM_EXECUCAO!A9")="",0,1))</f>
        <v/>
      </c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/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/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/>
      </c>
    </row>
    <row r="50">
      <c r="A50" s="62" t="n"/>
      <c r="B50" s="62" t="n"/>
      <c r="C50" s="62" t="n"/>
      <c r="D50" s="62" t="n"/>
      <c r="E50" s="62" t="n"/>
      <c r="F50" s="62" t="n"/>
      <c r="G50" s="62" t="n"/>
      <c r="H50" s="62" t="n"/>
      <c r="I50" s="62" t="n"/>
      <c r="J50" s="62" t="n"/>
      <c r="K50" s="62" t="n"/>
      <c r="L50" s="62" t="n"/>
      <c r="M50" s="62" t="n"/>
      <c r="N50" s="62" t="n"/>
      <c r="O50" s="62" t="n"/>
      <c r="P50" s="62" t="n"/>
      <c r="Q50" s="62" t="n"/>
      <c r="V50" s="268" t="inlineStr">
        <is>
          <t>FORMA 1 — VTA posicao atual</t>
        </is>
      </c>
      <c r="W50" s="213">
        <f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/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/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/>
      </c>
    </row>
    <row r="51">
      <c r="A51" s="62" t="n"/>
      <c r="B51" s="62" t="n"/>
      <c r="C51" s="62" t="n"/>
      <c r="D51" s="62" t="n"/>
      <c r="E51" s="62" t="n"/>
      <c r="F51" s="62" t="n"/>
      <c r="G51" s="62" t="n"/>
      <c r="H51" s="62" t="n"/>
      <c r="I51" s="62" t="n"/>
      <c r="J51" s="62" t="n"/>
      <c r="K51" s="62" t="n"/>
      <c r="L51" s="62" t="n"/>
      <c r="M51" s="62" t="n"/>
      <c r="N51" s="62" t="n"/>
      <c r="O51" s="62" t="n"/>
      <c r="P51" s="62" t="n"/>
      <c r="Q51" s="62" t="n"/>
      <c r="V51" s="268" t="inlineStr">
        <is>
          <t>Reconciliacao (Posicao atual − Ultima abertura)</t>
        </is>
      </c>
      <c r="W51" s="213">
        <f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/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/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/>
      </c>
    </row>
    <row r="52">
      <c r="A52" s="300" t="inlineStr">
        <is>
          <t>EIXO 2 — EVOLUÇÃO DO VU POR ITEM | somente valores unitários</t>
        </is>
      </c>
      <c r="B52" s="301" t="n"/>
      <c r="C52" s="301" t="n"/>
      <c r="D52" s="301" t="n"/>
      <c r="E52" s="301" t="n"/>
      <c r="F52" s="301" t="n"/>
      <c r="G52" s="301" t="n"/>
      <c r="H52" s="301" t="n"/>
      <c r="I52" s="62" t="n"/>
      <c r="J52" s="300" t="inlineStr">
        <is>
          <t>MEMÓRIA DO REMANESCENTE POR ITEM</t>
        </is>
      </c>
      <c r="K52" s="301" t="n"/>
      <c r="L52" s="301" t="n"/>
      <c r="M52" s="301" t="n"/>
      <c r="N52" s="301" t="n"/>
      <c r="O52" s="301" t="n"/>
      <c r="P52" s="301" t="n"/>
      <c r="Q52" s="301" t="n"/>
      <c r="V52" s="268" t="inlineStr">
        <is>
          <t>Status reconciliacao</t>
        </is>
      </c>
      <c r="W52">
        <f>IF($W$50="","POSICAO ATUAL NAO INFORMADA",IF($W$48="","ULTIMA ABERTURA INDISPONIVEL",IF(ABS($W$51)&lt;=$D$4,"RECONCILIADO","REVISE — DECOMPOSICOES DO VTA NAO RECONCILIADAS")))</f>
        <v/>
      </c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/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/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/>
      </c>
    </row>
    <row r="53" collapsed="1" s="289">
      <c r="A53" s="146" t="inlineStr">
        <is>
          <t>ITEM</t>
        </is>
      </c>
      <c r="B53" s="146" t="inlineStr">
        <is>
          <t>QTD BASE</t>
        </is>
      </c>
      <c r="C53" s="146" t="inlineStr">
        <is>
          <t>VU C0</t>
        </is>
      </c>
      <c r="D53" s="146" t="inlineStr">
        <is>
          <t>VU C1</t>
        </is>
      </c>
      <c r="E53" s="146" t="inlineStr">
        <is>
          <t>VU C2</t>
        </is>
      </c>
      <c r="F53" s="146" t="inlineStr">
        <is>
          <t>VU C3</t>
        </is>
      </c>
      <c r="G53" s="146" t="inlineStr">
        <is>
          <t>VU C4</t>
        </is>
      </c>
      <c r="H53" s="146" t="inlineStr">
        <is>
          <t>VARIAÇÃO ACUMULADA</t>
        </is>
      </c>
      <c r="I53" s="62" t="n"/>
      <c r="J53" s="146" t="inlineStr">
        <is>
          <t>ITEM</t>
        </is>
      </c>
      <c r="K53" s="146" t="inlineStr">
        <is>
          <t>QTD INFORMADA</t>
        </is>
      </c>
      <c r="L53" s="146" t="inlineStr">
        <is>
          <t>QTD DERIVADA</t>
        </is>
      </c>
      <c r="M53" s="146" t="inlineStr">
        <is>
          <t>VU ORIGINAL</t>
        </is>
      </c>
      <c r="N53" s="146" t="inlineStr">
        <is>
          <t>VU VIGENTE</t>
        </is>
      </c>
      <c r="O53" s="146" t="inlineStr">
        <is>
          <t>VALOR SEM</t>
        </is>
      </c>
      <c r="P53" s="146" t="inlineStr">
        <is>
          <t>VALOR COM</t>
        </is>
      </c>
      <c r="Q53" s="146" t="inlineStr">
        <is>
          <t>STATUS</t>
        </is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/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/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/>
      </c>
    </row>
    <row r="54" hidden="1" outlineLevel="1" s="289">
      <c r="A54" s="147">
        <f>IF(historico_VU!A2="","",historico_VU!A2)</f>
        <v/>
      </c>
      <c r="B54" s="148">
        <f>IF(A54="","",historico_VU!B2)</f>
        <v/>
      </c>
      <c r="C54" s="149">
        <f>IF(A54="","",historico_VU!C2)</f>
        <v/>
      </c>
      <c r="D54" s="149">
        <f>IF(A54="","",historico_VU!D2)</f>
        <v/>
      </c>
      <c r="E54" s="149">
        <f>IF(A54="","",historico_VU!E2)</f>
        <v/>
      </c>
      <c r="F54" s="149">
        <f>IF(A54="","",historico_VU!F2)</f>
        <v/>
      </c>
      <c r="G54" s="149">
        <f>IF(A54="","",historico_VU!G2)</f>
        <v/>
      </c>
      <c r="H54" s="150">
        <f>IF(A54="","",historico_VU!H2)</f>
        <v/>
      </c>
      <c r="I54" s="62" t="n"/>
      <c r="J54" s="147">
        <f>IF(itens_Remanesc!A2="","",itens_Remanesc!A2)</f>
        <v/>
      </c>
      <c r="K54" s="148">
        <f>IF(J54="","",IF($F$4="C0",itens_Remanesc!B2,IF($F$4="C1",itens_Remanesc!E2,IF($F$4="C2",itens_Remanesc!G2,IF($F$4="C3",itens_Remanesc!I2,itens_Remanesc!K2)))))</f>
        <v/>
      </c>
      <c r="L54" s="148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372">
        <f>IF(J54="","",itens_Remanesc!C2)</f>
        <v/>
      </c>
      <c r="N54" s="372">
        <f>IF(J54="","",IF($F$4="C0",historico_VU!C2,IF($F$4="C1",historico_VU!D2,IF($F$4="C2",historico_VU!E2,IF($F$4="C3",historico_VU!F2,historico_VU!G2)))))</f>
        <v/>
      </c>
      <c r="O54" s="372">
        <f>IF(J54="","",IF(OR($B$4="Financeiro",$B$4="PCs"),IF(OR(K54="",M54=""),"",ROUND(K54*M54,2)),IF($B$4="Itens",IF(OR(L54="",M54=""),"",ROUND(L54*M54,2)),"")))</f>
        <v/>
      </c>
      <c r="P54" s="372">
        <f>IF(J54="","",IF(OR($B$4="Financeiro",$B$4="PCs"),IF(OR(K54="",N54=""),"",ROUND(K54*N54,2)),IF($B$4="Itens",IF(OR(L54="",N54=""),"",ROUND(L54*N54,2)),"")))</f>
        <v/>
      </c>
      <c r="Q54" s="152">
        <f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/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/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/>
      </c>
    </row>
    <row r="55" hidden="1" outlineLevel="1" s="289">
      <c r="A55" s="147">
        <f>IF(historico_VU!A3="","",historico_VU!A3)</f>
        <v/>
      </c>
      <c r="B55" s="148">
        <f>IF(A55="","",historico_VU!B3)</f>
        <v/>
      </c>
      <c r="C55" s="149">
        <f>IF(A55="","",historico_VU!C3)</f>
        <v/>
      </c>
      <c r="D55" s="149">
        <f>IF(A55="","",historico_VU!D3)</f>
        <v/>
      </c>
      <c r="E55" s="149">
        <f>IF(A55="","",historico_VU!E3)</f>
        <v/>
      </c>
      <c r="F55" s="149">
        <f>IF(A55="","",historico_VU!F3)</f>
        <v/>
      </c>
      <c r="G55" s="149">
        <f>IF(A55="","",historico_VU!G3)</f>
        <v/>
      </c>
      <c r="H55" s="150">
        <f>IF(A55="","",historico_VU!H3)</f>
        <v/>
      </c>
      <c r="I55" s="62" t="n"/>
      <c r="J55" s="147">
        <f>IF(itens_Remanesc!A3="","",itens_Remanesc!A3)</f>
        <v/>
      </c>
      <c r="K55" s="148">
        <f>IF(J55="","",IF($F$4="C0",itens_Remanesc!B3,IF($F$4="C1",itens_Remanesc!E3,IF($F$4="C2",itens_Remanesc!G3,IF($F$4="C3",itens_Remanesc!I3,itens_Remanesc!K3)))))</f>
        <v/>
      </c>
      <c r="L55" s="148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372">
        <f>IF(J55="","",itens_Remanesc!C3)</f>
        <v/>
      </c>
      <c r="N55" s="372">
        <f>IF(J55="","",IF($F$4="C0",historico_VU!C3,IF($F$4="C1",historico_VU!D3,IF($F$4="C2",historico_VU!E3,IF($F$4="C3",historico_VU!F3,historico_VU!G3)))))</f>
        <v/>
      </c>
      <c r="O55" s="372">
        <f>IF(J55="","",IF(OR($B$4="Financeiro",$B$4="PCs"),IF(OR(K55="",M55=""),"",ROUND(K55*M55,2)),IF($B$4="Itens",IF(OR(L55="",M55=""),"",ROUND(L55*M55,2)),"")))</f>
        <v/>
      </c>
      <c r="P55" s="372">
        <f>IF(J55="","",IF(OR($B$4="Financeiro",$B$4="PCs"),IF(OR(K55="",N55=""),"",ROUND(K55*N55,2)),IF($B$4="Itens",IF(OR(L55="",N55=""),"",ROUND(L55*N55,2)),"")))</f>
        <v/>
      </c>
      <c r="Q55" s="152">
        <f>IF(J55="","",IF(OR(M55="",AND(OR($B$4="Financeiro",$B$4="PCs"),K55=""),AND($B$4="Itens",L55="")),"INCOMPLETO",IF(AND(ISNUMBER(K55),ISNUMBER(L55),ABS(K55-L55)/MAX(ABS(IF(OR($B$4="Financeiro",$B$4="PCs"),K55,L55)),1)&gt;$D$4),"DIVERGENTE","OK")))</f>
        <v/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/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/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/>
      </c>
    </row>
    <row r="56" hidden="1" outlineLevel="1" s="289">
      <c r="A56" s="147">
        <f>IF(historico_VU!A4="","",historico_VU!A4)</f>
        <v/>
      </c>
      <c r="B56" s="148">
        <f>IF(A56="","",historico_VU!B4)</f>
        <v/>
      </c>
      <c r="C56" s="149">
        <f>IF(A56="","",historico_VU!C4)</f>
        <v/>
      </c>
      <c r="D56" s="149">
        <f>IF(A56="","",historico_VU!D4)</f>
        <v/>
      </c>
      <c r="E56" s="149">
        <f>IF(A56="","",historico_VU!E4)</f>
        <v/>
      </c>
      <c r="F56" s="149">
        <f>IF(A56="","",historico_VU!F4)</f>
        <v/>
      </c>
      <c r="G56" s="149">
        <f>IF(A56="","",historico_VU!G4)</f>
        <v/>
      </c>
      <c r="H56" s="150">
        <f>IF(A56="","",historico_VU!H4)</f>
        <v/>
      </c>
      <c r="I56" s="62" t="n"/>
      <c r="J56" s="147">
        <f>IF(itens_Remanesc!A4="","",itens_Remanesc!A4)</f>
        <v/>
      </c>
      <c r="K56" s="148">
        <f>IF(J56="","",IF($F$4="C0",itens_Remanesc!B4,IF($F$4="C1",itens_Remanesc!E4,IF($F$4="C2",itens_Remanesc!G4,IF($F$4="C3",itens_Remanesc!I4,itens_Remanesc!K4)))))</f>
        <v/>
      </c>
      <c r="L56" s="148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372">
        <f>IF(J56="","",itens_Remanesc!C4)</f>
        <v/>
      </c>
      <c r="N56" s="372">
        <f>IF(J56="","",IF($F$4="C0",historico_VU!C4,IF($F$4="C1",historico_VU!D4,IF($F$4="C2",historico_VU!E4,IF($F$4="C3",historico_VU!F4,historico_VU!G4)))))</f>
        <v/>
      </c>
      <c r="O56" s="372">
        <f>IF(J56="","",IF(OR($B$4="Financeiro",$B$4="PCs"),IF(OR(K56="",M56=""),"",ROUND(K56*M56,2)),IF($B$4="Itens",IF(OR(L56="",M56=""),"",ROUND(L56*M56,2)),"")))</f>
        <v/>
      </c>
      <c r="P56" s="372">
        <f>IF(J56="","",IF(OR($B$4="Financeiro",$B$4="PCs"),IF(OR(K56="",N56=""),"",ROUND(K56*N56,2)),IF($B$4="Itens",IF(OR(L56="",N56=""),"",ROUND(L56*N56,2)),"")))</f>
        <v/>
      </c>
      <c r="Q56" s="152">
        <f>IF(J56="","",IF(OR(M56="",AND(OR($B$4="Financeiro",$B$4="PCs"),K56=""),AND($B$4="Itens",L56="")),"INCOMPLETO",IF(AND(ISNUMBER(K56),ISNUMBER(L56),ABS(K56-L56)/MAX(ABS(IF(OR($B$4="Financeiro",$B$4="PCs"),K56,L56)),1)&gt;$D$4),"DIVERGENTE","OK")))</f>
        <v/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/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/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/>
      </c>
    </row>
    <row r="57" hidden="1" outlineLevel="1" s="289">
      <c r="A57" s="147">
        <f>IF(historico_VU!A5="","",historico_VU!A5)</f>
        <v/>
      </c>
      <c r="B57" s="148">
        <f>IF(A57="","",historico_VU!B5)</f>
        <v/>
      </c>
      <c r="C57" s="149">
        <f>IF(A57="","",historico_VU!C5)</f>
        <v/>
      </c>
      <c r="D57" s="149">
        <f>IF(A57="","",historico_VU!D5)</f>
        <v/>
      </c>
      <c r="E57" s="149">
        <f>IF(A57="","",historico_VU!E5)</f>
        <v/>
      </c>
      <c r="F57" s="149">
        <f>IF(A57="","",historico_VU!F5)</f>
        <v/>
      </c>
      <c r="G57" s="149">
        <f>IF(A57="","",historico_VU!G5)</f>
        <v/>
      </c>
      <c r="H57" s="150">
        <f>IF(A57="","",historico_VU!H5)</f>
        <v/>
      </c>
      <c r="I57" s="62" t="n"/>
      <c r="J57" s="147">
        <f>IF(itens_Remanesc!A5="","",itens_Remanesc!A5)</f>
        <v/>
      </c>
      <c r="K57" s="148">
        <f>IF(J57="","",IF($F$4="C0",itens_Remanesc!B5,IF($F$4="C1",itens_Remanesc!E5,IF($F$4="C2",itens_Remanesc!G5,IF($F$4="C3",itens_Remanesc!I5,itens_Remanesc!K5)))))</f>
        <v/>
      </c>
      <c r="L57" s="148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372">
        <f>IF(J57="","",itens_Remanesc!C5)</f>
        <v/>
      </c>
      <c r="N57" s="372">
        <f>IF(J57="","",IF($F$4="C0",historico_VU!C5,IF($F$4="C1",historico_VU!D5,IF($F$4="C2",historico_VU!E5,IF($F$4="C3",historico_VU!F5,historico_VU!G5)))))</f>
        <v/>
      </c>
      <c r="O57" s="372">
        <f>IF(J57="","",IF(OR($B$4="Financeiro",$B$4="PCs"),IF(OR(K57="",M57=""),"",ROUND(K57*M57,2)),IF($B$4="Itens",IF(OR(L57="",M57=""),"",ROUND(L57*M57,2)),"")))</f>
        <v/>
      </c>
      <c r="P57" s="372">
        <f>IF(J57="","",IF(OR($B$4="Financeiro",$B$4="PCs"),IF(OR(K57="",N57=""),"",ROUND(K57*N57,2)),IF($B$4="Itens",IF(OR(L57="",N57=""),"",ROUND(L57*N57,2)),"")))</f>
        <v/>
      </c>
      <c r="Q57" s="152">
        <f>IF(J57="","",IF(OR(M57="",AND(OR($B$4="Financeiro",$B$4="PCs"),K57=""),AND($B$4="Itens",L57="")),"INCOMPLETO",IF(AND(ISNUMBER(K57),ISNUMBER(L57),ABS(K57-L57)/MAX(ABS(IF(OR($B$4="Financeiro",$B$4="PCs"),K57,L57)),1)&gt;$D$4),"DIVERGENTE","OK")))</f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/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/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/>
      </c>
    </row>
    <row r="58" hidden="1" outlineLevel="1" s="289">
      <c r="A58" s="147">
        <f>IF(historico_VU!A6="","",historico_VU!A6)</f>
        <v/>
      </c>
      <c r="B58" s="148">
        <f>IF(A58="","",historico_VU!B6)</f>
        <v/>
      </c>
      <c r="C58" s="149">
        <f>IF(A58="","",historico_VU!C6)</f>
        <v/>
      </c>
      <c r="D58" s="149">
        <f>IF(A58="","",historico_VU!D6)</f>
        <v/>
      </c>
      <c r="E58" s="149">
        <f>IF(A58="","",historico_VU!E6)</f>
        <v/>
      </c>
      <c r="F58" s="149">
        <f>IF(A58="","",historico_VU!F6)</f>
        <v/>
      </c>
      <c r="G58" s="149">
        <f>IF(A58="","",historico_VU!G6)</f>
        <v/>
      </c>
      <c r="H58" s="150">
        <f>IF(A58="","",historico_VU!H6)</f>
        <v/>
      </c>
      <c r="I58" s="62" t="n"/>
      <c r="J58" s="147">
        <f>IF(itens_Remanesc!A6="","",itens_Remanesc!A6)</f>
        <v/>
      </c>
      <c r="K58" s="148">
        <f>IF(J58="","",IF($F$4="C0",itens_Remanesc!B6,IF($F$4="C1",itens_Remanesc!E6,IF($F$4="C2",itens_Remanesc!G6,IF($F$4="C3",itens_Remanesc!I6,itens_Remanesc!K6)))))</f>
        <v/>
      </c>
      <c r="L58" s="148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372">
        <f>IF(J58="","",itens_Remanesc!C6)</f>
        <v/>
      </c>
      <c r="N58" s="372">
        <f>IF(J58="","",IF($F$4="C0",historico_VU!C6,IF($F$4="C1",historico_VU!D6,IF($F$4="C2",historico_VU!E6,IF($F$4="C3",historico_VU!F6,historico_VU!G6)))))</f>
        <v/>
      </c>
      <c r="O58" s="372">
        <f>IF(J58="","",IF(OR($B$4="Financeiro",$B$4="PCs"),IF(OR(K58="",M58=""),"",ROUND(K58*M58,2)),IF($B$4="Itens",IF(OR(L58="",M58=""),"",ROUND(L58*M58,2)),"")))</f>
        <v/>
      </c>
      <c r="P58" s="372">
        <f>IF(J58="","",IF(OR($B$4="Financeiro",$B$4="PCs"),IF(OR(K58="",N58=""),"",ROUND(K58*N58,2)),IF($B$4="Itens",IF(OR(L58="",N58=""),"",ROUND(L58*N58,2)),"")))</f>
        <v/>
      </c>
      <c r="Q58" s="152">
        <f>IF(J58="","",IF(OR(M58="",AND(OR($B$4="Financeiro",$B$4="PCs"),K58=""),AND($B$4="Itens",L58="")),"INCOMPLETO",IF(AND(ISNUMBER(K58),ISNUMBER(L58),ABS(K58-L58)/MAX(ABS(IF(OR($B$4="Financeiro",$B$4="PCs"),K58,L58)),1)&gt;$D$4),"DIVERGENTE","OK")))</f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/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/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/>
      </c>
    </row>
    <row r="59" hidden="1" outlineLevel="1" s="289">
      <c r="A59" s="147">
        <f>IF(historico_VU!A7="","",historico_VU!A7)</f>
        <v/>
      </c>
      <c r="B59" s="148">
        <f>IF(A59="","",historico_VU!B7)</f>
        <v/>
      </c>
      <c r="C59" s="149">
        <f>IF(A59="","",historico_VU!C7)</f>
        <v/>
      </c>
      <c r="D59" s="149">
        <f>IF(A59="","",historico_VU!D7)</f>
        <v/>
      </c>
      <c r="E59" s="149">
        <f>IF(A59="","",historico_VU!E7)</f>
        <v/>
      </c>
      <c r="F59" s="149">
        <f>IF(A59="","",historico_VU!F7)</f>
        <v/>
      </c>
      <c r="G59" s="149">
        <f>IF(A59="","",historico_VU!G7)</f>
        <v/>
      </c>
      <c r="H59" s="150">
        <f>IF(A59="","",historico_VU!H7)</f>
        <v/>
      </c>
      <c r="I59" s="62" t="n"/>
      <c r="J59" s="147">
        <f>IF(itens_Remanesc!A7="","",itens_Remanesc!A7)</f>
        <v/>
      </c>
      <c r="K59" s="148">
        <f>IF(J59="","",IF($F$4="C0",itens_Remanesc!B7,IF($F$4="C1",itens_Remanesc!E7,IF($F$4="C2",itens_Remanesc!G7,IF($F$4="C3",itens_Remanesc!I7,itens_Remanesc!K7)))))</f>
        <v/>
      </c>
      <c r="L59" s="148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372">
        <f>IF(J59="","",itens_Remanesc!C7)</f>
        <v/>
      </c>
      <c r="N59" s="372">
        <f>IF(J59="","",IF($F$4="C0",historico_VU!C7,IF($F$4="C1",historico_VU!D7,IF($F$4="C2",historico_VU!E7,IF($F$4="C3",historico_VU!F7,historico_VU!G7)))))</f>
        <v/>
      </c>
      <c r="O59" s="372">
        <f>IF(J59="","",IF(OR($B$4="Financeiro",$B$4="PCs"),IF(OR(K59="",M59=""),"",ROUND(K59*M59,2)),IF($B$4="Itens",IF(OR(L59="",M59=""),"",ROUND(L59*M59,2)),"")))</f>
        <v/>
      </c>
      <c r="P59" s="372">
        <f>IF(J59="","",IF(OR($B$4="Financeiro",$B$4="PCs"),IF(OR(K59="",N59=""),"",ROUND(K59*N59,2)),IF($B$4="Itens",IF(OR(L59="",N59=""),"",ROUND(L59*N59,2)),"")))</f>
        <v/>
      </c>
      <c r="Q59" s="152">
        <f>IF(J59="","",IF(OR(M59="",AND(OR($B$4="Financeiro",$B$4="PCs"),K59=""),AND($B$4="Itens",L59="")),"INCOMPLETO",IF(AND(ISNUMBER(K59),ISNUMBER(L59),ABS(K59-L59)/MAX(ABS(IF(OR($B$4="Financeiro",$B$4="PCs"),K59,L59)),1)&gt;$D$4),"DIVERGENTE","OK")))</f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/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/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/>
      </c>
    </row>
    <row r="60" hidden="1" outlineLevel="1" s="289">
      <c r="A60" s="147">
        <f>IF(historico_VU!A8="","",historico_VU!A8)</f>
        <v/>
      </c>
      <c r="B60" s="148">
        <f>IF(A60="","",historico_VU!B8)</f>
        <v/>
      </c>
      <c r="C60" s="149">
        <f>IF(A60="","",historico_VU!C8)</f>
        <v/>
      </c>
      <c r="D60" s="149">
        <f>IF(A60="","",historico_VU!D8)</f>
        <v/>
      </c>
      <c r="E60" s="149">
        <f>IF(A60="","",historico_VU!E8)</f>
        <v/>
      </c>
      <c r="F60" s="149">
        <f>IF(A60="","",historico_VU!F8)</f>
        <v/>
      </c>
      <c r="G60" s="149">
        <f>IF(A60="","",historico_VU!G8)</f>
        <v/>
      </c>
      <c r="H60" s="150">
        <f>IF(A60="","",historico_VU!H8)</f>
        <v/>
      </c>
      <c r="I60" s="62" t="n"/>
      <c r="J60" s="147">
        <f>IF(itens_Remanesc!A8="","",itens_Remanesc!A8)</f>
        <v/>
      </c>
      <c r="K60" s="148">
        <f>IF(J60="","",IF($F$4="C0",itens_Remanesc!B8,IF($F$4="C1",itens_Remanesc!E8,IF($F$4="C2",itens_Remanesc!G8,IF($F$4="C3",itens_Remanesc!I8,itens_Remanesc!K8)))))</f>
        <v/>
      </c>
      <c r="L60" s="148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372">
        <f>IF(J60="","",itens_Remanesc!C8)</f>
        <v/>
      </c>
      <c r="N60" s="372">
        <f>IF(J60="","",IF($F$4="C0",historico_VU!C8,IF($F$4="C1",historico_VU!D8,IF($F$4="C2",historico_VU!E8,IF($F$4="C3",historico_VU!F8,historico_VU!G8)))))</f>
        <v/>
      </c>
      <c r="O60" s="372">
        <f>IF(J60="","",IF(OR($B$4="Financeiro",$B$4="PCs"),IF(OR(K60="",M60=""),"",ROUND(K60*M60,2)),IF($B$4="Itens",IF(OR(L60="",M60=""),"",ROUND(L60*M60,2)),"")))</f>
        <v/>
      </c>
      <c r="P60" s="372">
        <f>IF(J60="","",IF(OR($B$4="Financeiro",$B$4="PCs"),IF(OR(K60="",N60=""),"",ROUND(K60*N60,2)),IF($B$4="Itens",IF(OR(L60="",N60=""),"",ROUND(L60*N60,2)),"")))</f>
        <v/>
      </c>
      <c r="Q60" s="152">
        <f>IF(J60="","",IF(OR(M60="",AND(OR($B$4="Financeiro",$B$4="PCs"),K60=""),AND($B$4="Itens",L60="")),"INCOMPLETO",IF(AND(ISNUMBER(K60),ISNUMBER(L60),ABS(K60-L60)/MAX(ABS(IF(OR($B$4="Financeiro",$B$4="PCs"),K60,L60)),1)&gt;$D$4),"DIVERGENTE","OK")))</f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/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/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/>
      </c>
    </row>
    <row r="61" hidden="1" outlineLevel="1" s="289">
      <c r="A61" s="147">
        <f>IF(historico_VU!A9="","",historico_VU!A9)</f>
        <v/>
      </c>
      <c r="B61" s="148">
        <f>IF(A61="","",historico_VU!B9)</f>
        <v/>
      </c>
      <c r="C61" s="149">
        <f>IF(A61="","",historico_VU!C9)</f>
        <v/>
      </c>
      <c r="D61" s="149">
        <f>IF(A61="","",historico_VU!D9)</f>
        <v/>
      </c>
      <c r="E61" s="149">
        <f>IF(A61="","",historico_VU!E9)</f>
        <v/>
      </c>
      <c r="F61" s="149">
        <f>IF(A61="","",historico_VU!F9)</f>
        <v/>
      </c>
      <c r="G61" s="149">
        <f>IF(A61="","",historico_VU!G9)</f>
        <v/>
      </c>
      <c r="H61" s="150">
        <f>IF(A61="","",historico_VU!H9)</f>
        <v/>
      </c>
      <c r="I61" s="62" t="n"/>
      <c r="J61" s="147">
        <f>IF(itens_Remanesc!A9="","",itens_Remanesc!A9)</f>
        <v/>
      </c>
      <c r="K61" s="148">
        <f>IF(J61="","",IF($F$4="C0",itens_Remanesc!B9,IF($F$4="C1",itens_Remanesc!E9,IF($F$4="C2",itens_Remanesc!G9,IF($F$4="C3",itens_Remanesc!I9,itens_Remanesc!K9)))))</f>
        <v/>
      </c>
      <c r="L61" s="148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372">
        <f>IF(J61="","",itens_Remanesc!C9)</f>
        <v/>
      </c>
      <c r="N61" s="372">
        <f>IF(J61="","",IF($F$4="C0",historico_VU!C9,IF($F$4="C1",historico_VU!D9,IF($F$4="C2",historico_VU!E9,IF($F$4="C3",historico_VU!F9,historico_VU!G9)))))</f>
        <v/>
      </c>
      <c r="O61" s="372">
        <f>IF(J61="","",IF(OR($B$4="Financeiro",$B$4="PCs"),IF(OR(K61="",M61=""),"",ROUND(K61*M61,2)),IF($B$4="Itens",IF(OR(L61="",M61=""),"",ROUND(L61*M61,2)),"")))</f>
        <v/>
      </c>
      <c r="P61" s="372">
        <f>IF(J61="","",IF(OR($B$4="Financeiro",$B$4="PCs"),IF(OR(K61="",N61=""),"",ROUND(K61*N61,2)),IF($B$4="Itens",IF(OR(L61="",N61=""),"",ROUND(L61*N61,2)),"")))</f>
        <v/>
      </c>
      <c r="Q61" s="152">
        <f>IF(J61="","",IF(OR(M61="",AND(OR($B$4="Financeiro",$B$4="PCs"),K61=""),AND($B$4="Itens",L61="")),"INCOMPLETO",IF(AND(ISNUMBER(K61),ISNUMBER(L61),ABS(K61-L61)/MAX(ABS(IF(OR($B$4="Financeiro",$B$4="PCs"),K61,L61)),1)&gt;$D$4),"DIVERGENTE","OK")))</f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/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/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/>
      </c>
    </row>
    <row r="62" hidden="1" outlineLevel="1" ht="24" customHeight="1" s="289">
      <c r="A62" s="147">
        <f>IF(historico_VU!A10="","",historico_VU!A10)</f>
        <v/>
      </c>
      <c r="B62" s="148">
        <f>IF(A62="","",historico_VU!B10)</f>
        <v/>
      </c>
      <c r="C62" s="149">
        <f>IF(A62="","",historico_VU!C10)</f>
        <v/>
      </c>
      <c r="D62" s="149">
        <f>IF(A62="","",historico_VU!D10)</f>
        <v/>
      </c>
      <c r="E62" s="149">
        <f>IF(A62="","",historico_VU!E10)</f>
        <v/>
      </c>
      <c r="F62" s="149">
        <f>IF(A62="","",historico_VU!F10)</f>
        <v/>
      </c>
      <c r="G62" s="149">
        <f>IF(A62="","",historico_VU!G10)</f>
        <v/>
      </c>
      <c r="H62" s="150">
        <f>IF(A62="","",historico_VU!H10)</f>
        <v/>
      </c>
      <c r="I62" s="62" t="n"/>
      <c r="J62" s="147">
        <f>IF(itens_Remanesc!A10="","",itens_Remanesc!A10)</f>
        <v/>
      </c>
      <c r="K62" s="148">
        <f>IF(J62="","",IF($F$4="C0",itens_Remanesc!B10,IF($F$4="C1",itens_Remanesc!E10,IF($F$4="C2",itens_Remanesc!G10,IF($F$4="C3",itens_Remanesc!I10,itens_Remanesc!K10)))))</f>
        <v/>
      </c>
      <c r="L62" s="148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372">
        <f>IF(J62="","",itens_Remanesc!C10)</f>
        <v/>
      </c>
      <c r="N62" s="372">
        <f>IF(J62="","",IF($F$4="C0",historico_VU!C10,IF($F$4="C1",historico_VU!D10,IF($F$4="C2",historico_VU!E10,IF($F$4="C3",historico_VU!F10,historico_VU!G10)))))</f>
        <v/>
      </c>
      <c r="O62" s="372">
        <f>IF(J62="","",IF(OR($B$4="Financeiro",$B$4="PCs"),IF(OR(K62="",M62=""),"",ROUND(K62*M62,2)),IF($B$4="Itens",IF(OR(L62="",M62=""),"",ROUND(L62*M62,2)),"")))</f>
        <v/>
      </c>
      <c r="P62" s="372">
        <f>IF(J62="","",IF(OR($B$4="Financeiro",$B$4="PCs"),IF(OR(K62="",N62=""),"",ROUND(K62*N62,2)),IF($B$4="Itens",IF(OR(L62="",N62=""),"",ROUND(L62*N62,2)),"")))</f>
        <v/>
      </c>
      <c r="Q62" s="152">
        <f>IF(J62="","",IF(OR(M62="",AND(OR($B$4="Financeiro",$B$4="PCs"),K62=""),AND($B$4="Itens",L62="")),"INCOMPLETO",IF(AND(ISNUMBER(K62),ISNUMBER(L62),ABS(K62-L62)/MAX(ABS(IF(OR($B$4="Financeiro",$B$4="PCs"),K62,L62)),1)&gt;$D$4),"DIVERGENTE","OK")))</f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/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/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/>
      </c>
    </row>
    <row r="63" hidden="1" outlineLevel="1" ht="24" customHeight="1" s="289">
      <c r="A63" s="147">
        <f>IF(historico_VU!A11="","",historico_VU!A11)</f>
        <v/>
      </c>
      <c r="B63" s="148">
        <f>IF(A63="","",historico_VU!B11)</f>
        <v/>
      </c>
      <c r="C63" s="149">
        <f>IF(A63="","",historico_VU!C11)</f>
        <v/>
      </c>
      <c r="D63" s="149">
        <f>IF(A63="","",historico_VU!D11)</f>
        <v/>
      </c>
      <c r="E63" s="149">
        <f>IF(A63="","",historico_VU!E11)</f>
        <v/>
      </c>
      <c r="F63" s="149">
        <f>IF(A63="","",historico_VU!F11)</f>
        <v/>
      </c>
      <c r="G63" s="149">
        <f>IF(A63="","",historico_VU!G11)</f>
        <v/>
      </c>
      <c r="H63" s="150">
        <f>IF(A63="","",historico_VU!H11)</f>
        <v/>
      </c>
      <c r="I63" s="62" t="n"/>
      <c r="J63" s="147">
        <f>IF(itens_Remanesc!A11="","",itens_Remanesc!A11)</f>
        <v/>
      </c>
      <c r="K63" s="148">
        <f>IF(J63="","",IF($F$4="C0",itens_Remanesc!B11,IF($F$4="C1",itens_Remanesc!E11,IF($F$4="C2",itens_Remanesc!G11,IF($F$4="C3",itens_Remanesc!I11,itens_Remanesc!K11)))))</f>
        <v/>
      </c>
      <c r="L63" s="148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372">
        <f>IF(J63="","",itens_Remanesc!C11)</f>
        <v/>
      </c>
      <c r="N63" s="372">
        <f>IF(J63="","",IF($F$4="C0",historico_VU!C11,IF($F$4="C1",historico_VU!D11,IF($F$4="C2",historico_VU!E11,IF($F$4="C3",historico_VU!F11,historico_VU!G11)))))</f>
        <v/>
      </c>
      <c r="O63" s="372">
        <f>IF(J63="","",IF(OR($B$4="Financeiro",$B$4="PCs"),IF(OR(K63="",M63=""),"",ROUND(K63*M63,2)),IF($B$4="Itens",IF(OR(L63="",M63=""),"",ROUND(L63*M63,2)),"")))</f>
        <v/>
      </c>
      <c r="P63" s="372">
        <f>IF(J63="","",IF(OR($B$4="Financeiro",$B$4="PCs"),IF(OR(K63="",N63=""),"",ROUND(K63*N63,2)),IF($B$4="Itens",IF(OR(L63="",N63=""),"",ROUND(L63*N63,2)),"")))</f>
        <v/>
      </c>
      <c r="Q63" s="152">
        <f>IF(J63="","",IF(OR(M63="",AND(OR($B$4="Financeiro",$B$4="PCs"),K63=""),AND($B$4="Itens",L63="")),"INCOMPLETO",IF(AND(ISNUMBER(K63),ISNUMBER(L63),ABS(K63-L63)/MAX(ABS(IF(OR($B$4="Financeiro",$B$4="PCs"),K63,L63)),1)&gt;$D$4),"DIVERGENTE","OK")))</f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/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/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/>
      </c>
    </row>
    <row r="64" hidden="1" outlineLevel="1" s="289">
      <c r="A64" s="147">
        <f>IF(historico_VU!A12="","",historico_VU!A12)</f>
        <v/>
      </c>
      <c r="B64" s="148">
        <f>IF(A64="","",historico_VU!B12)</f>
        <v/>
      </c>
      <c r="C64" s="149">
        <f>IF(A64="","",historico_VU!C12)</f>
        <v/>
      </c>
      <c r="D64" s="149">
        <f>IF(A64="","",historico_VU!D12)</f>
        <v/>
      </c>
      <c r="E64" s="149">
        <f>IF(A64="","",historico_VU!E12)</f>
        <v/>
      </c>
      <c r="F64" s="149">
        <f>IF(A64="","",historico_VU!F12)</f>
        <v/>
      </c>
      <c r="G64" s="149">
        <f>IF(A64="","",historico_VU!G12)</f>
        <v/>
      </c>
      <c r="H64" s="150">
        <f>IF(A64="","",historico_VU!H12)</f>
        <v/>
      </c>
      <c r="I64" s="62" t="n"/>
      <c r="J64" s="147">
        <f>IF(itens_Remanesc!A12="","",itens_Remanesc!A12)</f>
        <v/>
      </c>
      <c r="K64" s="148">
        <f>IF(J64="","",IF($F$4="C0",itens_Remanesc!B12,IF($F$4="C1",itens_Remanesc!E12,IF($F$4="C2",itens_Remanesc!G12,IF($F$4="C3",itens_Remanesc!I12,itens_Remanesc!K12)))))</f>
        <v/>
      </c>
      <c r="L64" s="148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372">
        <f>IF(J64="","",itens_Remanesc!C12)</f>
        <v/>
      </c>
      <c r="N64" s="372">
        <f>IF(J64="","",IF($F$4="C0",historico_VU!C12,IF($F$4="C1",historico_VU!D12,IF($F$4="C2",historico_VU!E12,IF($F$4="C3",historico_VU!F12,historico_VU!G12)))))</f>
        <v/>
      </c>
      <c r="O64" s="372">
        <f>IF(J64="","",IF(OR($B$4="Financeiro",$B$4="PCs"),IF(OR(K64="",M64=""),"",ROUND(K64*M64,2)),IF($B$4="Itens",IF(OR(L64="",M64=""),"",ROUND(L64*M64,2)),"")))</f>
        <v/>
      </c>
      <c r="P64" s="372">
        <f>IF(J64="","",IF(OR($B$4="Financeiro",$B$4="PCs"),IF(OR(K64="",N64=""),"",ROUND(K64*N64,2)),IF($B$4="Itens",IF(OR(L64="",N64=""),"",ROUND(L64*N64,2)),"")))</f>
        <v/>
      </c>
      <c r="Q64" s="152">
        <f>IF(J64="","",IF(OR(M64="",AND(OR($B$4="Financeiro",$B$4="PCs"),K64=""),AND($B$4="Itens",L64="")),"INCOMPLETO",IF(AND(ISNUMBER(K64),ISNUMBER(L64),ABS(K64-L64)/MAX(ABS(IF(OR($B$4="Financeiro",$B$4="PCs"),K64,L64)),1)&gt;$D$4),"DIVERGENTE","OK")))</f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/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/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/>
      </c>
    </row>
    <row r="65" hidden="1" outlineLevel="1" s="289">
      <c r="A65" s="147">
        <f>IF(historico_VU!A13="","",historico_VU!A13)</f>
        <v/>
      </c>
      <c r="B65" s="148">
        <f>IF(A65="","",historico_VU!B13)</f>
        <v/>
      </c>
      <c r="C65" s="149">
        <f>IF(A65="","",historico_VU!C13)</f>
        <v/>
      </c>
      <c r="D65" s="149">
        <f>IF(A65="","",historico_VU!D13)</f>
        <v/>
      </c>
      <c r="E65" s="149">
        <f>IF(A65="","",historico_VU!E13)</f>
        <v/>
      </c>
      <c r="F65" s="149">
        <f>IF(A65="","",historico_VU!F13)</f>
        <v/>
      </c>
      <c r="G65" s="149">
        <f>IF(A65="","",historico_VU!G13)</f>
        <v/>
      </c>
      <c r="H65" s="150">
        <f>IF(A65="","",historico_VU!H13)</f>
        <v/>
      </c>
      <c r="I65" s="62" t="n"/>
      <c r="J65" s="147">
        <f>IF(itens_Remanesc!A13="","",itens_Remanesc!A13)</f>
        <v/>
      </c>
      <c r="K65" s="148">
        <f>IF(J65="","",IF($F$4="C0",itens_Remanesc!B13,IF($F$4="C1",itens_Remanesc!E13,IF($F$4="C2",itens_Remanesc!G13,IF($F$4="C3",itens_Remanesc!I13,itens_Remanesc!K13)))))</f>
        <v/>
      </c>
      <c r="L65" s="148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372">
        <f>IF(J65="","",itens_Remanesc!C13)</f>
        <v/>
      </c>
      <c r="N65" s="372">
        <f>IF(J65="","",IF($F$4="C0",historico_VU!C13,IF($F$4="C1",historico_VU!D13,IF($F$4="C2",historico_VU!E13,IF($F$4="C3",historico_VU!F13,historico_VU!G13)))))</f>
        <v/>
      </c>
      <c r="O65" s="372">
        <f>IF(J65="","",IF(OR($B$4="Financeiro",$B$4="PCs"),IF(OR(K65="",M65=""),"",ROUND(K65*M65,2)),IF($B$4="Itens",IF(OR(L65="",M65=""),"",ROUND(L65*M65,2)),"")))</f>
        <v/>
      </c>
      <c r="P65" s="372">
        <f>IF(J65="","",IF(OR($B$4="Financeiro",$B$4="PCs"),IF(OR(K65="",N65=""),"",ROUND(K65*N65,2)),IF($B$4="Itens",IF(OR(L65="",N65=""),"",ROUND(L65*N65,2)),"")))</f>
        <v/>
      </c>
      <c r="Q65" s="152">
        <f>IF(J65="","",IF(OR(M65="",AND(OR($B$4="Financeiro",$B$4="PCs"),K65=""),AND($B$4="Itens",L65="")),"INCOMPLETO",IF(AND(ISNUMBER(K65),ISNUMBER(L65),ABS(K65-L65)/MAX(ABS(IF(OR($B$4="Financeiro",$B$4="PCs"),K65,L65)),1)&gt;$D$4),"DIVERGENTE","OK")))</f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/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/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/>
      </c>
    </row>
    <row r="66" hidden="1" outlineLevel="1" s="289">
      <c r="A66" s="147">
        <f>IF(historico_VU!A14="","",historico_VU!A14)</f>
        <v/>
      </c>
      <c r="B66" s="148">
        <f>IF(A66="","",historico_VU!B14)</f>
        <v/>
      </c>
      <c r="C66" s="149">
        <f>IF(A66="","",historico_VU!C14)</f>
        <v/>
      </c>
      <c r="D66" s="149">
        <f>IF(A66="","",historico_VU!D14)</f>
        <v/>
      </c>
      <c r="E66" s="149">
        <f>IF(A66="","",historico_VU!E14)</f>
        <v/>
      </c>
      <c r="F66" s="149">
        <f>IF(A66="","",historico_VU!F14)</f>
        <v/>
      </c>
      <c r="G66" s="149">
        <f>IF(A66="","",historico_VU!G14)</f>
        <v/>
      </c>
      <c r="H66" s="150">
        <f>IF(A66="","",historico_VU!H14)</f>
        <v/>
      </c>
      <c r="I66" s="62" t="n"/>
      <c r="J66" s="147">
        <f>IF(itens_Remanesc!A14="","",itens_Remanesc!A14)</f>
        <v/>
      </c>
      <c r="K66" s="148">
        <f>IF(J66="","",IF($F$4="C0",itens_Remanesc!B14,IF($F$4="C1",itens_Remanesc!E14,IF($F$4="C2",itens_Remanesc!G14,IF($F$4="C3",itens_Remanesc!I14,itens_Remanesc!K14)))))</f>
        <v/>
      </c>
      <c r="L66" s="148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372">
        <f>IF(J66="","",itens_Remanesc!C14)</f>
        <v/>
      </c>
      <c r="N66" s="372">
        <f>IF(J66="","",IF($F$4="C0",historico_VU!C14,IF($F$4="C1",historico_VU!D14,IF($F$4="C2",historico_VU!E14,IF($F$4="C3",historico_VU!F14,historico_VU!G14)))))</f>
        <v/>
      </c>
      <c r="O66" s="372">
        <f>IF(J66="","",IF(OR($B$4="Financeiro",$B$4="PCs"),IF(OR(K66="",M66=""),"",ROUND(K66*M66,2)),IF($B$4="Itens",IF(OR(L66="",M66=""),"",ROUND(L66*M66,2)),"")))</f>
        <v/>
      </c>
      <c r="P66" s="372">
        <f>IF(J66="","",IF(OR($B$4="Financeiro",$B$4="PCs"),IF(OR(K66="",N66=""),"",ROUND(K66*N66,2)),IF($B$4="Itens",IF(OR(L66="",N66=""),"",ROUND(L66*N66,2)),"")))</f>
        <v/>
      </c>
      <c r="Q66" s="152">
        <f>IF(J66="","",IF(OR(M66="",AND(OR($B$4="Financeiro",$B$4="PCs"),K66=""),AND($B$4="Itens",L66="")),"INCOMPLETO",IF(AND(ISNUMBER(K66),ISNUMBER(L66),ABS(K66-L66)/MAX(ABS(IF(OR($B$4="Financeiro",$B$4="PCs"),K66,L66)),1)&gt;$D$4),"DIVERGENTE","OK")))</f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/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/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/>
      </c>
    </row>
    <row r="67" hidden="1" outlineLevel="1" s="289">
      <c r="A67" s="147">
        <f>IF(historico_VU!A15="","",historico_VU!A15)</f>
        <v/>
      </c>
      <c r="B67" s="148">
        <f>IF(A67="","",historico_VU!B15)</f>
        <v/>
      </c>
      <c r="C67" s="149">
        <f>IF(A67="","",historico_VU!C15)</f>
        <v/>
      </c>
      <c r="D67" s="149">
        <f>IF(A67="","",historico_VU!D15)</f>
        <v/>
      </c>
      <c r="E67" s="149">
        <f>IF(A67="","",historico_VU!E15)</f>
        <v/>
      </c>
      <c r="F67" s="149">
        <f>IF(A67="","",historico_VU!F15)</f>
        <v/>
      </c>
      <c r="G67" s="149">
        <f>IF(A67="","",historico_VU!G15)</f>
        <v/>
      </c>
      <c r="H67" s="150">
        <f>IF(A67="","",historico_VU!H15)</f>
        <v/>
      </c>
      <c r="I67" s="62" t="n"/>
      <c r="J67" s="147">
        <f>IF(itens_Remanesc!A15="","",itens_Remanesc!A15)</f>
        <v/>
      </c>
      <c r="K67" s="148">
        <f>IF(J67="","",IF($F$4="C0",itens_Remanesc!B15,IF($F$4="C1",itens_Remanesc!E15,IF($F$4="C2",itens_Remanesc!G15,IF($F$4="C3",itens_Remanesc!I15,itens_Remanesc!K15)))))</f>
        <v/>
      </c>
      <c r="L67" s="148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372">
        <f>IF(J67="","",itens_Remanesc!C15)</f>
        <v/>
      </c>
      <c r="N67" s="372">
        <f>IF(J67="","",IF($F$4="C0",historico_VU!C15,IF($F$4="C1",historico_VU!D15,IF($F$4="C2",historico_VU!E15,IF($F$4="C3",historico_VU!F15,historico_VU!G15)))))</f>
        <v/>
      </c>
      <c r="O67" s="372">
        <f>IF(J67="","",IF(OR($B$4="Financeiro",$B$4="PCs"),IF(OR(K67="",M67=""),"",ROUND(K67*M67,2)),IF($B$4="Itens",IF(OR(L67="",M67=""),"",ROUND(L67*M67,2)),"")))</f>
        <v/>
      </c>
      <c r="P67" s="372">
        <f>IF(J67="","",IF(OR($B$4="Financeiro",$B$4="PCs"),IF(OR(K67="",N67=""),"",ROUND(K67*N67,2)),IF($B$4="Itens",IF(OR(L67="",N67=""),"",ROUND(L67*N67,2)),"")))</f>
        <v/>
      </c>
      <c r="Q67" s="152">
        <f>IF(J67="","",IF(OR(M67="",AND(OR($B$4="Financeiro",$B$4="PCs"),K67=""),AND($B$4="Itens",L67="")),"INCOMPLETO",IF(AND(ISNUMBER(K67),ISNUMBER(L67),ABS(K67-L67)/MAX(ABS(IF(OR($B$4="Financeiro",$B$4="PCs"),K67,L67)),1)&gt;$D$4),"DIVERGENTE","OK")))</f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/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/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/>
      </c>
    </row>
    <row r="68" hidden="1" outlineLevel="1" s="289">
      <c r="A68" s="147">
        <f>IF(historico_VU!A16="","",historico_VU!A16)</f>
        <v/>
      </c>
      <c r="B68" s="148">
        <f>IF(A68="","",historico_VU!B16)</f>
        <v/>
      </c>
      <c r="C68" s="149">
        <f>IF(A68="","",historico_VU!C16)</f>
        <v/>
      </c>
      <c r="D68" s="149">
        <f>IF(A68="","",historico_VU!D16)</f>
        <v/>
      </c>
      <c r="E68" s="149">
        <f>IF(A68="","",historico_VU!E16)</f>
        <v/>
      </c>
      <c r="F68" s="149">
        <f>IF(A68="","",historico_VU!F16)</f>
        <v/>
      </c>
      <c r="G68" s="149">
        <f>IF(A68="","",historico_VU!G16)</f>
        <v/>
      </c>
      <c r="H68" s="150">
        <f>IF(A68="","",historico_VU!H16)</f>
        <v/>
      </c>
      <c r="I68" s="62" t="n"/>
      <c r="J68" s="147">
        <f>IF(itens_Remanesc!A16="","",itens_Remanesc!A16)</f>
        <v/>
      </c>
      <c r="K68" s="148">
        <f>IF(J68="","",IF($F$4="C0",itens_Remanesc!B16,IF($F$4="C1",itens_Remanesc!E16,IF($F$4="C2",itens_Remanesc!G16,IF($F$4="C3",itens_Remanesc!I16,itens_Remanesc!K16)))))</f>
        <v/>
      </c>
      <c r="L68" s="148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372">
        <f>IF(J68="","",itens_Remanesc!C16)</f>
        <v/>
      </c>
      <c r="N68" s="372">
        <f>IF(J68="","",IF($F$4="C0",historico_VU!C16,IF($F$4="C1",historico_VU!D16,IF($F$4="C2",historico_VU!E16,IF($F$4="C3",historico_VU!F16,historico_VU!G16)))))</f>
        <v/>
      </c>
      <c r="O68" s="372">
        <f>IF(J68="","",IF(OR($B$4="Financeiro",$B$4="PCs"),IF(OR(K68="",M68=""),"",ROUND(K68*M68,2)),IF($B$4="Itens",IF(OR(L68="",M68=""),"",ROUND(L68*M68,2)),"")))</f>
        <v/>
      </c>
      <c r="P68" s="372">
        <f>IF(J68="","",IF(OR($B$4="Financeiro",$B$4="PCs"),IF(OR(K68="",N68=""),"",ROUND(K68*N68,2)),IF($B$4="Itens",IF(OR(L68="",N68=""),"",ROUND(L68*N68,2)),"")))</f>
        <v/>
      </c>
      <c r="Q68" s="152">
        <f>IF(J68="","",IF(OR(M68="",AND(OR($B$4="Financeiro",$B$4="PCs"),K68=""),AND($B$4="Itens",L68="")),"INCOMPLETO",IF(AND(ISNUMBER(K68),ISNUMBER(L68),ABS(K68-L68)/MAX(ABS(IF(OR($B$4="Financeiro",$B$4="PCs"),K68,L68)),1)&gt;$D$4),"DIVERGENTE","OK")))</f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/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/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/>
      </c>
    </row>
    <row r="69" hidden="1" outlineLevel="1" s="289">
      <c r="A69" s="147">
        <f>IF(historico_VU!A17="","",historico_VU!A17)</f>
        <v/>
      </c>
      <c r="B69" s="148">
        <f>IF(A69="","",historico_VU!B17)</f>
        <v/>
      </c>
      <c r="C69" s="149">
        <f>IF(A69="","",historico_VU!C17)</f>
        <v/>
      </c>
      <c r="D69" s="149">
        <f>IF(A69="","",historico_VU!D17)</f>
        <v/>
      </c>
      <c r="E69" s="149">
        <f>IF(A69="","",historico_VU!E17)</f>
        <v/>
      </c>
      <c r="F69" s="149">
        <f>IF(A69="","",historico_VU!F17)</f>
        <v/>
      </c>
      <c r="G69" s="149">
        <f>IF(A69="","",historico_VU!G17)</f>
        <v/>
      </c>
      <c r="H69" s="150">
        <f>IF(A69="","",historico_VU!H17)</f>
        <v/>
      </c>
      <c r="I69" s="62" t="n"/>
      <c r="J69" s="147">
        <f>IF(itens_Remanesc!A17="","",itens_Remanesc!A17)</f>
        <v/>
      </c>
      <c r="K69" s="148">
        <f>IF(J69="","",IF($F$4="C0",itens_Remanesc!B17,IF($F$4="C1",itens_Remanesc!E17,IF($F$4="C2",itens_Remanesc!G17,IF($F$4="C3",itens_Remanesc!I17,itens_Remanesc!K17)))))</f>
        <v/>
      </c>
      <c r="L69" s="148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372">
        <f>IF(J69="","",itens_Remanesc!C17)</f>
        <v/>
      </c>
      <c r="N69" s="372">
        <f>IF(J69="","",IF($F$4="C0",historico_VU!C17,IF($F$4="C1",historico_VU!D17,IF($F$4="C2",historico_VU!E17,IF($F$4="C3",historico_VU!F17,historico_VU!G17)))))</f>
        <v/>
      </c>
      <c r="O69" s="372">
        <f>IF(J69="","",IF(OR($B$4="Financeiro",$B$4="PCs"),IF(OR(K69="",M69=""),"",ROUND(K69*M69,2)),IF($B$4="Itens",IF(OR(L69="",M69=""),"",ROUND(L69*M69,2)),"")))</f>
        <v/>
      </c>
      <c r="P69" s="372">
        <f>IF(J69="","",IF(OR($B$4="Financeiro",$B$4="PCs"),IF(OR(K69="",N69=""),"",ROUND(K69*N69,2)),IF($B$4="Itens",IF(OR(L69="",N69=""),"",ROUND(L69*N69,2)),"")))</f>
        <v/>
      </c>
      <c r="Q69" s="152">
        <f>IF(J69="","",IF(OR(M69="",AND(OR($B$4="Financeiro",$B$4="PCs"),K69=""),AND($B$4="Itens",L69="")),"INCOMPLETO",IF(AND(ISNUMBER(K69),ISNUMBER(L69),ABS(K69-L69)/MAX(ABS(IF(OR($B$4="Financeiro",$B$4="PCs"),K69,L69)),1)&gt;$D$4),"DIVERGENTE","OK")))</f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/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/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/>
      </c>
    </row>
    <row r="70" hidden="1" outlineLevel="1" s="289">
      <c r="A70" s="147">
        <f>IF(historico_VU!A18="","",historico_VU!A18)</f>
        <v/>
      </c>
      <c r="B70" s="148">
        <f>IF(A70="","",historico_VU!B18)</f>
        <v/>
      </c>
      <c r="C70" s="149">
        <f>IF(A70="","",historico_VU!C18)</f>
        <v/>
      </c>
      <c r="D70" s="149">
        <f>IF(A70="","",historico_VU!D18)</f>
        <v/>
      </c>
      <c r="E70" s="149">
        <f>IF(A70="","",historico_VU!E18)</f>
        <v/>
      </c>
      <c r="F70" s="149">
        <f>IF(A70="","",historico_VU!F18)</f>
        <v/>
      </c>
      <c r="G70" s="149">
        <f>IF(A70="","",historico_VU!G18)</f>
        <v/>
      </c>
      <c r="H70" s="150">
        <f>IF(A70="","",historico_VU!H18)</f>
        <v/>
      </c>
      <c r="I70" s="62" t="n"/>
      <c r="J70" s="147">
        <f>IF(itens_Remanesc!A18="","",itens_Remanesc!A18)</f>
        <v/>
      </c>
      <c r="K70" s="148">
        <f>IF(J70="","",IF($F$4="C0",itens_Remanesc!B18,IF($F$4="C1",itens_Remanesc!E18,IF($F$4="C2",itens_Remanesc!G18,IF($F$4="C3",itens_Remanesc!I18,itens_Remanesc!K18)))))</f>
        <v/>
      </c>
      <c r="L70" s="148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372">
        <f>IF(J70="","",itens_Remanesc!C18)</f>
        <v/>
      </c>
      <c r="N70" s="372">
        <f>IF(J70="","",IF($F$4="C0",historico_VU!C18,IF($F$4="C1",historico_VU!D18,IF($F$4="C2",historico_VU!E18,IF($F$4="C3",historico_VU!F18,historico_VU!G18)))))</f>
        <v/>
      </c>
      <c r="O70" s="372">
        <f>IF(J70="","",IF(OR($B$4="Financeiro",$B$4="PCs"),IF(OR(K70="",M70=""),"",ROUND(K70*M70,2)),IF($B$4="Itens",IF(OR(L70="",M70=""),"",ROUND(L70*M70,2)),"")))</f>
        <v/>
      </c>
      <c r="P70" s="372">
        <f>IF(J70="","",IF(OR($B$4="Financeiro",$B$4="PCs"),IF(OR(K70="",N70=""),"",ROUND(K70*N70,2)),IF($B$4="Itens",IF(OR(L70="",N70=""),"",ROUND(L70*N70,2)),"")))</f>
        <v/>
      </c>
      <c r="Q70" s="152">
        <f>IF(J70="","",IF(OR(M70="",AND(OR($B$4="Financeiro",$B$4="PCs"),K70=""),AND($B$4="Itens",L70="")),"INCOMPLETO",IF(AND(ISNUMBER(K70),ISNUMBER(L70),ABS(K70-L70)/MAX(ABS(IF(OR($B$4="Financeiro",$B$4="PCs"),K70,L70)),1)&gt;$D$4),"DIVERGENTE","OK")))</f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/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/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/>
      </c>
    </row>
    <row r="71" hidden="1" outlineLevel="1" s="289">
      <c r="A71" s="147">
        <f>IF(historico_VU!A19="","",historico_VU!A19)</f>
        <v/>
      </c>
      <c r="B71" s="148">
        <f>IF(A71="","",historico_VU!B19)</f>
        <v/>
      </c>
      <c r="C71" s="149">
        <f>IF(A71="","",historico_VU!C19)</f>
        <v/>
      </c>
      <c r="D71" s="149">
        <f>IF(A71="","",historico_VU!D19)</f>
        <v/>
      </c>
      <c r="E71" s="149">
        <f>IF(A71="","",historico_VU!E19)</f>
        <v/>
      </c>
      <c r="F71" s="149">
        <f>IF(A71="","",historico_VU!F19)</f>
        <v/>
      </c>
      <c r="G71" s="149">
        <f>IF(A71="","",historico_VU!G19)</f>
        <v/>
      </c>
      <c r="H71" s="150">
        <f>IF(A71="","",historico_VU!H19)</f>
        <v/>
      </c>
      <c r="I71" s="62" t="n"/>
      <c r="J71" s="147">
        <f>IF(itens_Remanesc!A19="","",itens_Remanesc!A19)</f>
        <v/>
      </c>
      <c r="K71" s="148">
        <f>IF(J71="","",IF($F$4="C0",itens_Remanesc!B19,IF($F$4="C1",itens_Remanesc!E19,IF($F$4="C2",itens_Remanesc!G19,IF($F$4="C3",itens_Remanesc!I19,itens_Remanesc!K19)))))</f>
        <v/>
      </c>
      <c r="L71" s="148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372">
        <f>IF(J71="","",itens_Remanesc!C19)</f>
        <v/>
      </c>
      <c r="N71" s="372">
        <f>IF(J71="","",IF($F$4="C0",historico_VU!C19,IF($F$4="C1",historico_VU!D19,IF($F$4="C2",historico_VU!E19,IF($F$4="C3",historico_VU!F19,historico_VU!G19)))))</f>
        <v/>
      </c>
      <c r="O71" s="372">
        <f>IF(J71="","",IF(OR($B$4="Financeiro",$B$4="PCs"),IF(OR(K71="",M71=""),"",ROUND(K71*M71,2)),IF($B$4="Itens",IF(OR(L71="",M71=""),"",ROUND(L71*M71,2)),"")))</f>
        <v/>
      </c>
      <c r="P71" s="372">
        <f>IF(J71="","",IF(OR($B$4="Financeiro",$B$4="PCs"),IF(OR(K71="",N71=""),"",ROUND(K71*N71,2)),IF($B$4="Itens",IF(OR(L71="",N71=""),"",ROUND(L71*N71,2)),"")))</f>
        <v/>
      </c>
      <c r="Q71" s="152">
        <f>IF(J71="","",IF(OR(M71="",AND(OR($B$4="Financeiro",$B$4="PCs"),K71=""),AND($B$4="Itens",L71="")),"INCOMPLETO",IF(AND(ISNUMBER(K71),ISNUMBER(L71),ABS(K71-L71)/MAX(ABS(IF(OR($B$4="Financeiro",$B$4="PCs"),K71,L71)),1)&gt;$D$4),"DIVERGENTE","OK")))</f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/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/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/>
      </c>
    </row>
    <row r="72" hidden="1" outlineLevel="1" s="289">
      <c r="A72" s="147">
        <f>IF(historico_VU!A20="","",historico_VU!A20)</f>
        <v/>
      </c>
      <c r="B72" s="148">
        <f>IF(A72="","",historico_VU!B20)</f>
        <v/>
      </c>
      <c r="C72" s="149">
        <f>IF(A72="","",historico_VU!C20)</f>
        <v/>
      </c>
      <c r="D72" s="149">
        <f>IF(A72="","",historico_VU!D20)</f>
        <v/>
      </c>
      <c r="E72" s="149">
        <f>IF(A72="","",historico_VU!E20)</f>
        <v/>
      </c>
      <c r="F72" s="149">
        <f>IF(A72="","",historico_VU!F20)</f>
        <v/>
      </c>
      <c r="G72" s="149">
        <f>IF(A72="","",historico_VU!G20)</f>
        <v/>
      </c>
      <c r="H72" s="150">
        <f>IF(A72="","",historico_VU!H20)</f>
        <v/>
      </c>
      <c r="I72" s="62" t="n"/>
      <c r="J72" s="147">
        <f>IF(itens_Remanesc!A20="","",itens_Remanesc!A20)</f>
        <v/>
      </c>
      <c r="K72" s="148">
        <f>IF(J72="","",IF($F$4="C0",itens_Remanesc!B20,IF($F$4="C1",itens_Remanesc!E20,IF($F$4="C2",itens_Remanesc!G20,IF($F$4="C3",itens_Remanesc!I20,itens_Remanesc!K20)))))</f>
        <v/>
      </c>
      <c r="L72" s="148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372">
        <f>IF(J72="","",itens_Remanesc!C20)</f>
        <v/>
      </c>
      <c r="N72" s="372">
        <f>IF(J72="","",IF($F$4="C0",historico_VU!C20,IF($F$4="C1",historico_VU!D20,IF($F$4="C2",historico_VU!E20,IF($F$4="C3",historico_VU!F20,historico_VU!G20)))))</f>
        <v/>
      </c>
      <c r="O72" s="372">
        <f>IF(J72="","",IF(OR($B$4="Financeiro",$B$4="PCs"),IF(OR(K72="",M72=""),"",ROUND(K72*M72,2)),IF($B$4="Itens",IF(OR(L72="",M72=""),"",ROUND(L72*M72,2)),"")))</f>
        <v/>
      </c>
      <c r="P72" s="372">
        <f>IF(J72="","",IF(OR($B$4="Financeiro",$B$4="PCs"),IF(OR(K72="",N72=""),"",ROUND(K72*N72,2)),IF($B$4="Itens",IF(OR(L72="",N72=""),"",ROUND(L72*N72,2)),"")))</f>
        <v/>
      </c>
      <c r="Q72" s="152">
        <f>IF(J72="","",IF(OR(M72="",AND(OR($B$4="Financeiro",$B$4="PCs"),K72=""),AND($B$4="Itens",L72="")),"INCOMPLETO",IF(AND(ISNUMBER(K72),ISNUMBER(L72),ABS(K72-L72)/MAX(ABS(IF(OR($B$4="Financeiro",$B$4="PCs"),K72,L72)),1)&gt;$D$4),"DIVERGENTE","OK")))</f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/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/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/>
      </c>
    </row>
    <row r="73" hidden="1" outlineLevel="1" s="289">
      <c r="A73" s="147">
        <f>IF(historico_VU!A21="","",historico_VU!A21)</f>
        <v/>
      </c>
      <c r="B73" s="148">
        <f>IF(A73="","",historico_VU!B21)</f>
        <v/>
      </c>
      <c r="C73" s="149">
        <f>IF(A73="","",historico_VU!C21)</f>
        <v/>
      </c>
      <c r="D73" s="149">
        <f>IF(A73="","",historico_VU!D21)</f>
        <v/>
      </c>
      <c r="E73" s="149">
        <f>IF(A73="","",historico_VU!E21)</f>
        <v/>
      </c>
      <c r="F73" s="149">
        <f>IF(A73="","",historico_VU!F21)</f>
        <v/>
      </c>
      <c r="G73" s="149">
        <f>IF(A73="","",historico_VU!G21)</f>
        <v/>
      </c>
      <c r="H73" s="150">
        <f>IF(A73="","",historico_VU!H21)</f>
        <v/>
      </c>
      <c r="I73" s="62" t="n"/>
      <c r="J73" s="147">
        <f>IF(itens_Remanesc!A21="","",itens_Remanesc!A21)</f>
        <v/>
      </c>
      <c r="K73" s="148">
        <f>IF(J73="","",IF($F$4="C0",itens_Remanesc!B21,IF($F$4="C1",itens_Remanesc!E21,IF($F$4="C2",itens_Remanesc!G21,IF($F$4="C3",itens_Remanesc!I21,itens_Remanesc!K21)))))</f>
        <v/>
      </c>
      <c r="L73" s="148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372">
        <f>IF(J73="","",itens_Remanesc!C21)</f>
        <v/>
      </c>
      <c r="N73" s="372">
        <f>IF(J73="","",IF($F$4="C0",historico_VU!C21,IF($F$4="C1",historico_VU!D21,IF($F$4="C2",historico_VU!E21,IF($F$4="C3",historico_VU!F21,historico_VU!G21)))))</f>
        <v/>
      </c>
      <c r="O73" s="372">
        <f>IF(J73="","",IF(OR($B$4="Financeiro",$B$4="PCs"),IF(OR(K73="",M73=""),"",ROUND(K73*M73,2)),IF($B$4="Itens",IF(OR(L73="",M73=""),"",ROUND(L73*M73,2)),"")))</f>
        <v/>
      </c>
      <c r="P73" s="372">
        <f>IF(J73="","",IF(OR($B$4="Financeiro",$B$4="PCs"),IF(OR(K73="",N73=""),"",ROUND(K73*N73,2)),IF($B$4="Itens",IF(OR(L73="",N73=""),"",ROUND(L73*N73,2)),"")))</f>
        <v/>
      </c>
      <c r="Q73" s="152">
        <f>IF(J73="","",IF(OR(M73="",AND(OR($B$4="Financeiro",$B$4="PCs"),K73=""),AND($B$4="Itens",L73="")),"INCOMPLETO",IF(AND(ISNUMBER(K73),ISNUMBER(L73),ABS(K73-L73)/MAX(ABS(IF(OR($B$4="Financeiro",$B$4="PCs"),K73,L73)),1)&gt;$D$4),"DIVERGENTE","OK")))</f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/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/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/>
      </c>
    </row>
    <row r="74" hidden="1" outlineLevel="1" s="289">
      <c r="A74" s="147">
        <f>IF(historico_VU!A22="","",historico_VU!A22)</f>
        <v/>
      </c>
      <c r="B74" s="148">
        <f>IF(A74="","",historico_VU!B22)</f>
        <v/>
      </c>
      <c r="C74" s="149">
        <f>IF(A74="","",historico_VU!C22)</f>
        <v/>
      </c>
      <c r="D74" s="149">
        <f>IF(A74="","",historico_VU!D22)</f>
        <v/>
      </c>
      <c r="E74" s="149">
        <f>IF(A74="","",historico_VU!E22)</f>
        <v/>
      </c>
      <c r="F74" s="149">
        <f>IF(A74="","",historico_VU!F22)</f>
        <v/>
      </c>
      <c r="G74" s="149">
        <f>IF(A74="","",historico_VU!G22)</f>
        <v/>
      </c>
      <c r="H74" s="150">
        <f>IF(A74="","",historico_VU!H22)</f>
        <v/>
      </c>
      <c r="I74" s="62" t="n"/>
      <c r="J74" s="147">
        <f>IF(itens_Remanesc!A22="","",itens_Remanesc!A22)</f>
        <v/>
      </c>
      <c r="K74" s="148">
        <f>IF(J74="","",IF($F$4="C0",itens_Remanesc!B22,IF($F$4="C1",itens_Remanesc!E22,IF($F$4="C2",itens_Remanesc!G22,IF($F$4="C3",itens_Remanesc!I22,itens_Remanesc!K22)))))</f>
        <v/>
      </c>
      <c r="L74" s="148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372">
        <f>IF(J74="","",itens_Remanesc!C22)</f>
        <v/>
      </c>
      <c r="N74" s="372">
        <f>IF(J74="","",IF($F$4="C0",historico_VU!C22,IF($F$4="C1",historico_VU!D22,IF($F$4="C2",historico_VU!E22,IF($F$4="C3",historico_VU!F22,historico_VU!G22)))))</f>
        <v/>
      </c>
      <c r="O74" s="372">
        <f>IF(J74="","",IF(OR($B$4="Financeiro",$B$4="PCs"),IF(OR(K74="",M74=""),"",ROUND(K74*M74,2)),IF($B$4="Itens",IF(OR(L74="",M74=""),"",ROUND(L74*M74,2)),"")))</f>
        <v/>
      </c>
      <c r="P74" s="372">
        <f>IF(J74="","",IF(OR($B$4="Financeiro",$B$4="PCs"),IF(OR(K74="",N74=""),"",ROUND(K74*N74,2)),IF($B$4="Itens",IF(OR(L74="",N74=""),"",ROUND(L74*N74,2)),"")))</f>
        <v/>
      </c>
      <c r="Q74" s="152">
        <f>IF(J74="","",IF(OR(M74="",AND(OR($B$4="Financeiro",$B$4="PCs"),K74=""),AND($B$4="Itens",L74="")),"INCOMPLETO",IF(AND(ISNUMBER(K74),ISNUMBER(L74),ABS(K74-L74)/MAX(ABS(IF(OR($B$4="Financeiro",$B$4="PCs"),K74,L74)),1)&gt;$D$4),"DIVERGENTE","OK")))</f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/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/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/>
      </c>
    </row>
    <row r="75" hidden="1" outlineLevel="1" s="289">
      <c r="A75" s="147">
        <f>IF(historico_VU!A23="","",historico_VU!A23)</f>
        <v/>
      </c>
      <c r="B75" s="148">
        <f>IF(A75="","",historico_VU!B23)</f>
        <v/>
      </c>
      <c r="C75" s="149">
        <f>IF(A75="","",historico_VU!C23)</f>
        <v/>
      </c>
      <c r="D75" s="149">
        <f>IF(A75="","",historico_VU!D23)</f>
        <v/>
      </c>
      <c r="E75" s="149">
        <f>IF(A75="","",historico_VU!E23)</f>
        <v/>
      </c>
      <c r="F75" s="149">
        <f>IF(A75="","",historico_VU!F23)</f>
        <v/>
      </c>
      <c r="G75" s="149">
        <f>IF(A75="","",historico_VU!G23)</f>
        <v/>
      </c>
      <c r="H75" s="150">
        <f>IF(A75="","",historico_VU!H23)</f>
        <v/>
      </c>
      <c r="I75" s="62" t="n"/>
      <c r="J75" s="147">
        <f>IF(itens_Remanesc!A23="","",itens_Remanesc!A23)</f>
        <v/>
      </c>
      <c r="K75" s="148">
        <f>IF(J75="","",IF($F$4="C0",itens_Remanesc!B23,IF($F$4="C1",itens_Remanesc!E23,IF($F$4="C2",itens_Remanesc!G23,IF($F$4="C3",itens_Remanesc!I23,itens_Remanesc!K23)))))</f>
        <v/>
      </c>
      <c r="L75" s="148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372">
        <f>IF(J75="","",itens_Remanesc!C23)</f>
        <v/>
      </c>
      <c r="N75" s="372">
        <f>IF(J75="","",IF($F$4="C0",historico_VU!C23,IF($F$4="C1",historico_VU!D23,IF($F$4="C2",historico_VU!E23,IF($F$4="C3",historico_VU!F23,historico_VU!G23)))))</f>
        <v/>
      </c>
      <c r="O75" s="372">
        <f>IF(J75="","",IF(OR($B$4="Financeiro",$B$4="PCs"),IF(OR(K75="",M75=""),"",ROUND(K75*M75,2)),IF($B$4="Itens",IF(OR(L75="",M75=""),"",ROUND(L75*M75,2)),"")))</f>
        <v/>
      </c>
      <c r="P75" s="372">
        <f>IF(J75="","",IF(OR($B$4="Financeiro",$B$4="PCs"),IF(OR(K75="",N75=""),"",ROUND(K75*N75,2)),IF($B$4="Itens",IF(OR(L75="",N75=""),"",ROUND(L75*N75,2)),"")))</f>
        <v/>
      </c>
      <c r="Q75" s="152">
        <f>IF(J75="","",IF(OR(M75="",AND(OR($B$4="Financeiro",$B$4="PCs"),K75=""),AND($B$4="Itens",L75="")),"INCOMPLETO",IF(AND(ISNUMBER(K75),ISNUMBER(L75),ABS(K75-L75)/MAX(ABS(IF(OR($B$4="Financeiro",$B$4="PCs"),K75,L75)),1)&gt;$D$4),"DIVERGENTE","OK")))</f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/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/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/>
      </c>
    </row>
    <row r="76" hidden="1" outlineLevel="1" s="289">
      <c r="A76" s="147">
        <f>IF(historico_VU!A24="","",historico_VU!A24)</f>
        <v/>
      </c>
      <c r="B76" s="148">
        <f>IF(A76="","",historico_VU!B24)</f>
        <v/>
      </c>
      <c r="C76" s="149">
        <f>IF(A76="","",historico_VU!C24)</f>
        <v/>
      </c>
      <c r="D76" s="149">
        <f>IF(A76="","",historico_VU!D24)</f>
        <v/>
      </c>
      <c r="E76" s="149">
        <f>IF(A76="","",historico_VU!E24)</f>
        <v/>
      </c>
      <c r="F76" s="149">
        <f>IF(A76="","",historico_VU!F24)</f>
        <v/>
      </c>
      <c r="G76" s="149">
        <f>IF(A76="","",historico_VU!G24)</f>
        <v/>
      </c>
      <c r="H76" s="150">
        <f>IF(A76="","",historico_VU!H24)</f>
        <v/>
      </c>
      <c r="I76" s="62" t="n"/>
      <c r="J76" s="147">
        <f>IF(itens_Remanesc!A24="","",itens_Remanesc!A24)</f>
        <v/>
      </c>
      <c r="K76" s="148">
        <f>IF(J76="","",IF($F$4="C0",itens_Remanesc!B24,IF($F$4="C1",itens_Remanesc!E24,IF($F$4="C2",itens_Remanesc!G24,IF($F$4="C3",itens_Remanesc!I24,itens_Remanesc!K24)))))</f>
        <v/>
      </c>
      <c r="L76" s="148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372">
        <f>IF(J76="","",itens_Remanesc!C24)</f>
        <v/>
      </c>
      <c r="N76" s="372">
        <f>IF(J76="","",IF($F$4="C0",historico_VU!C24,IF($F$4="C1",historico_VU!D24,IF($F$4="C2",historico_VU!E24,IF($F$4="C3",historico_VU!F24,historico_VU!G24)))))</f>
        <v/>
      </c>
      <c r="O76" s="372">
        <f>IF(J76="","",IF(OR($B$4="Financeiro",$B$4="PCs"),IF(OR(K76="",M76=""),"",ROUND(K76*M76,2)),IF($B$4="Itens",IF(OR(L76="",M76=""),"",ROUND(L76*M76,2)),"")))</f>
        <v/>
      </c>
      <c r="P76" s="372">
        <f>IF(J76="","",IF(OR($B$4="Financeiro",$B$4="PCs"),IF(OR(K76="",N76=""),"",ROUND(K76*N76,2)),IF($B$4="Itens",IF(OR(L76="",N76=""),"",ROUND(L76*N76,2)),"")))</f>
        <v/>
      </c>
      <c r="Q76" s="152">
        <f>IF(J76="","",IF(OR(M76="",AND(OR($B$4="Financeiro",$B$4="PCs"),K76=""),AND($B$4="Itens",L76="")),"INCOMPLETO",IF(AND(ISNUMBER(K76),ISNUMBER(L76),ABS(K76-L76)/MAX(ABS(IF(OR($B$4="Financeiro",$B$4="PCs"),K76,L76)),1)&gt;$D$4),"DIVERGENTE","OK")))</f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/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/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/>
      </c>
    </row>
    <row r="77" hidden="1" outlineLevel="1" s="289">
      <c r="A77" s="147">
        <f>IF(historico_VU!A25="","",historico_VU!A25)</f>
        <v/>
      </c>
      <c r="B77" s="148">
        <f>IF(A77="","",historico_VU!B25)</f>
        <v/>
      </c>
      <c r="C77" s="149">
        <f>IF(A77="","",historico_VU!C25)</f>
        <v/>
      </c>
      <c r="D77" s="149">
        <f>IF(A77="","",historico_VU!D25)</f>
        <v/>
      </c>
      <c r="E77" s="149">
        <f>IF(A77="","",historico_VU!E25)</f>
        <v/>
      </c>
      <c r="F77" s="149">
        <f>IF(A77="","",historico_VU!F25)</f>
        <v/>
      </c>
      <c r="G77" s="149">
        <f>IF(A77="","",historico_VU!G25)</f>
        <v/>
      </c>
      <c r="H77" s="150">
        <f>IF(A77="","",historico_VU!H25)</f>
        <v/>
      </c>
      <c r="I77" s="62" t="n"/>
      <c r="J77" s="147">
        <f>IF(itens_Remanesc!A25="","",itens_Remanesc!A25)</f>
        <v/>
      </c>
      <c r="K77" s="148">
        <f>IF(J77="","",IF($F$4="C0",itens_Remanesc!B25,IF($F$4="C1",itens_Remanesc!E25,IF($F$4="C2",itens_Remanesc!G25,IF($F$4="C3",itens_Remanesc!I25,itens_Remanesc!K25)))))</f>
        <v/>
      </c>
      <c r="L77" s="148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372">
        <f>IF(J77="","",itens_Remanesc!C25)</f>
        <v/>
      </c>
      <c r="N77" s="372">
        <f>IF(J77="","",IF($F$4="C0",historico_VU!C25,IF($F$4="C1",historico_VU!D25,IF($F$4="C2",historico_VU!E25,IF($F$4="C3",historico_VU!F25,historico_VU!G25)))))</f>
        <v/>
      </c>
      <c r="O77" s="372">
        <f>IF(J77="","",IF(OR($B$4="Financeiro",$B$4="PCs"),IF(OR(K77="",M77=""),"",ROUND(K77*M77,2)),IF($B$4="Itens",IF(OR(L77="",M77=""),"",ROUND(L77*M77,2)),"")))</f>
        <v/>
      </c>
      <c r="P77" s="372">
        <f>IF(J77="","",IF(OR($B$4="Financeiro",$B$4="PCs"),IF(OR(K77="",N77=""),"",ROUND(K77*N77,2)),IF($B$4="Itens",IF(OR(L77="",N77=""),"",ROUND(L77*N77,2)),"")))</f>
        <v/>
      </c>
      <c r="Q77" s="152">
        <f>IF(J77="","",IF(OR(M77="",AND(OR($B$4="Financeiro",$B$4="PCs"),K77=""),AND($B$4="Itens",L77="")),"INCOMPLETO",IF(AND(ISNUMBER(K77),ISNUMBER(L77),ABS(K77-L77)/MAX(ABS(IF(OR($B$4="Financeiro",$B$4="PCs"),K77,L77)),1)&gt;$D$4),"DIVERGENTE","OK")))</f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/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/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/>
      </c>
    </row>
    <row r="78" hidden="1" outlineLevel="1" s="289">
      <c r="A78" s="147">
        <f>IF(historico_VU!A26="","",historico_VU!A26)</f>
        <v/>
      </c>
      <c r="B78" s="148">
        <f>IF(A78="","",historico_VU!B26)</f>
        <v/>
      </c>
      <c r="C78" s="149">
        <f>IF(A78="","",historico_VU!C26)</f>
        <v/>
      </c>
      <c r="D78" s="149">
        <f>IF(A78="","",historico_VU!D26)</f>
        <v/>
      </c>
      <c r="E78" s="149">
        <f>IF(A78="","",historico_VU!E26)</f>
        <v/>
      </c>
      <c r="F78" s="149">
        <f>IF(A78="","",historico_VU!F26)</f>
        <v/>
      </c>
      <c r="G78" s="149">
        <f>IF(A78="","",historico_VU!G26)</f>
        <v/>
      </c>
      <c r="H78" s="150">
        <f>IF(A78="","",historico_VU!H26)</f>
        <v/>
      </c>
      <c r="I78" s="62" t="n"/>
      <c r="J78" s="147">
        <f>IF(itens_Remanesc!A26="","",itens_Remanesc!A26)</f>
        <v/>
      </c>
      <c r="K78" s="148">
        <f>IF(J78="","",IF($F$4="C0",itens_Remanesc!B26,IF($F$4="C1",itens_Remanesc!E26,IF($F$4="C2",itens_Remanesc!G26,IF($F$4="C3",itens_Remanesc!I26,itens_Remanesc!K26)))))</f>
        <v/>
      </c>
      <c r="L78" s="148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372">
        <f>IF(J78="","",itens_Remanesc!C26)</f>
        <v/>
      </c>
      <c r="N78" s="372">
        <f>IF(J78="","",IF($F$4="C0",historico_VU!C26,IF($F$4="C1",historico_VU!D26,IF($F$4="C2",historico_VU!E26,IF($F$4="C3",historico_VU!F26,historico_VU!G26)))))</f>
        <v/>
      </c>
      <c r="O78" s="372">
        <f>IF(J78="","",IF(OR($B$4="Financeiro",$B$4="PCs"),IF(OR(K78="",M78=""),"",ROUND(K78*M78,2)),IF($B$4="Itens",IF(OR(L78="",M78=""),"",ROUND(L78*M78,2)),"")))</f>
        <v/>
      </c>
      <c r="P78" s="372">
        <f>IF(J78="","",IF(OR($B$4="Financeiro",$B$4="PCs"),IF(OR(K78="",N78=""),"",ROUND(K78*N78,2)),IF($B$4="Itens",IF(OR(L78="",N78=""),"",ROUND(L78*N78,2)),"")))</f>
        <v/>
      </c>
      <c r="Q78" s="152">
        <f>IF(J78="","",IF(OR(M78="",AND(OR($B$4="Financeiro",$B$4="PCs"),K78=""),AND($B$4="Itens",L78="")),"INCOMPLETO",IF(AND(ISNUMBER(K78),ISNUMBER(L78),ABS(K78-L78)/MAX(ABS(IF(OR($B$4="Financeiro",$B$4="PCs"),K78,L78)),1)&gt;$D$4),"DIVERGENTE","OK")))</f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/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/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/>
      </c>
    </row>
    <row r="79" hidden="1" outlineLevel="1" s="289">
      <c r="A79" s="147">
        <f>IF(historico_VU!A27="","",historico_VU!A27)</f>
        <v/>
      </c>
      <c r="B79" s="148">
        <f>IF(A79="","",historico_VU!B27)</f>
        <v/>
      </c>
      <c r="C79" s="149">
        <f>IF(A79="","",historico_VU!C27)</f>
        <v/>
      </c>
      <c r="D79" s="149">
        <f>IF(A79="","",historico_VU!D27)</f>
        <v/>
      </c>
      <c r="E79" s="149">
        <f>IF(A79="","",historico_VU!E27)</f>
        <v/>
      </c>
      <c r="F79" s="149">
        <f>IF(A79="","",historico_VU!F27)</f>
        <v/>
      </c>
      <c r="G79" s="149">
        <f>IF(A79="","",historico_VU!G27)</f>
        <v/>
      </c>
      <c r="H79" s="150">
        <f>IF(A79="","",historico_VU!H27)</f>
        <v/>
      </c>
      <c r="I79" s="62" t="n"/>
      <c r="J79" s="147">
        <f>IF(itens_Remanesc!A27="","",itens_Remanesc!A27)</f>
        <v/>
      </c>
      <c r="K79" s="148">
        <f>IF(J79="","",IF($F$4="C0",itens_Remanesc!B27,IF($F$4="C1",itens_Remanesc!E27,IF($F$4="C2",itens_Remanesc!G27,IF($F$4="C3",itens_Remanesc!I27,itens_Remanesc!K27)))))</f>
        <v/>
      </c>
      <c r="L79" s="148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372">
        <f>IF(J79="","",itens_Remanesc!C27)</f>
        <v/>
      </c>
      <c r="N79" s="372">
        <f>IF(J79="","",IF($F$4="C0",historico_VU!C27,IF($F$4="C1",historico_VU!D27,IF($F$4="C2",historico_VU!E27,IF($F$4="C3",historico_VU!F27,historico_VU!G27)))))</f>
        <v/>
      </c>
      <c r="O79" s="372">
        <f>IF(J79="","",IF(OR($B$4="Financeiro",$B$4="PCs"),IF(OR(K79="",M79=""),"",ROUND(K79*M79,2)),IF($B$4="Itens",IF(OR(L79="",M79=""),"",ROUND(L79*M79,2)),"")))</f>
        <v/>
      </c>
      <c r="P79" s="372">
        <f>IF(J79="","",IF(OR($B$4="Financeiro",$B$4="PCs"),IF(OR(K79="",N79=""),"",ROUND(K79*N79,2)),IF($B$4="Itens",IF(OR(L79="",N79=""),"",ROUND(L79*N79,2)),"")))</f>
        <v/>
      </c>
      <c r="Q79" s="152">
        <f>IF(J79="","",IF(OR(M79="",AND(OR($B$4="Financeiro",$B$4="PCs"),K79=""),AND($B$4="Itens",L79="")),"INCOMPLETO",IF(AND(ISNUMBER(K79),ISNUMBER(L79),ABS(K79-L79)/MAX(ABS(IF(OR($B$4="Financeiro",$B$4="PCs"),K79,L79)),1)&gt;$D$4),"DIVERGENTE","OK")))</f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/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/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/>
      </c>
    </row>
    <row r="80" hidden="1" outlineLevel="1" s="289">
      <c r="A80" s="147">
        <f>IF(historico_VU!A28="","",historico_VU!A28)</f>
        <v/>
      </c>
      <c r="B80" s="148">
        <f>IF(A80="","",historico_VU!B28)</f>
        <v/>
      </c>
      <c r="C80" s="149">
        <f>IF(A80="","",historico_VU!C28)</f>
        <v/>
      </c>
      <c r="D80" s="149">
        <f>IF(A80="","",historico_VU!D28)</f>
        <v/>
      </c>
      <c r="E80" s="149">
        <f>IF(A80="","",historico_VU!E28)</f>
        <v/>
      </c>
      <c r="F80" s="149">
        <f>IF(A80="","",historico_VU!F28)</f>
        <v/>
      </c>
      <c r="G80" s="149">
        <f>IF(A80="","",historico_VU!G28)</f>
        <v/>
      </c>
      <c r="H80" s="150">
        <f>IF(A80="","",historico_VU!H28)</f>
        <v/>
      </c>
      <c r="I80" s="62" t="n"/>
      <c r="J80" s="147">
        <f>IF(itens_Remanesc!A28="","",itens_Remanesc!A28)</f>
        <v/>
      </c>
      <c r="K80" s="148">
        <f>IF(J80="","",IF($F$4="C0",itens_Remanesc!B28,IF($F$4="C1",itens_Remanesc!E28,IF($F$4="C2",itens_Remanesc!G28,IF($F$4="C3",itens_Remanesc!I28,itens_Remanesc!K28)))))</f>
        <v/>
      </c>
      <c r="L80" s="148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372">
        <f>IF(J80="","",itens_Remanesc!C28)</f>
        <v/>
      </c>
      <c r="N80" s="372">
        <f>IF(J80="","",IF($F$4="C0",historico_VU!C28,IF($F$4="C1",historico_VU!D28,IF($F$4="C2",historico_VU!E28,IF($F$4="C3",historico_VU!F28,historico_VU!G28)))))</f>
        <v/>
      </c>
      <c r="O80" s="372">
        <f>IF(J80="","",IF(OR($B$4="Financeiro",$B$4="PCs"),IF(OR(K80="",M80=""),"",ROUND(K80*M80,2)),IF($B$4="Itens",IF(OR(L80="",M80=""),"",ROUND(L80*M80,2)),"")))</f>
        <v/>
      </c>
      <c r="P80" s="372">
        <f>IF(J80="","",IF(OR($B$4="Financeiro",$B$4="PCs"),IF(OR(K80="",N80=""),"",ROUND(K80*N80,2)),IF($B$4="Itens",IF(OR(L80="",N80=""),"",ROUND(L80*N80,2)),"")))</f>
        <v/>
      </c>
      <c r="Q80" s="152">
        <f>IF(J80="","",IF(OR(M80="",AND(OR($B$4="Financeiro",$B$4="PCs"),K80=""),AND($B$4="Itens",L80="")),"INCOMPLETO",IF(AND(ISNUMBER(K80),ISNUMBER(L80),ABS(K80-L80)/MAX(ABS(IF(OR($B$4="Financeiro",$B$4="PCs"),K80,L80)),1)&gt;$D$4),"DIVERGENTE","OK")))</f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/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/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/>
      </c>
    </row>
    <row r="81" hidden="1" outlineLevel="1" s="289">
      <c r="A81" s="147">
        <f>IF(historico_VU!A29="","",historico_VU!A29)</f>
        <v/>
      </c>
      <c r="B81" s="148">
        <f>IF(A81="","",historico_VU!B29)</f>
        <v/>
      </c>
      <c r="C81" s="149">
        <f>IF(A81="","",historico_VU!C29)</f>
        <v/>
      </c>
      <c r="D81" s="149">
        <f>IF(A81="","",historico_VU!D29)</f>
        <v/>
      </c>
      <c r="E81" s="149">
        <f>IF(A81="","",historico_VU!E29)</f>
        <v/>
      </c>
      <c r="F81" s="149">
        <f>IF(A81="","",historico_VU!F29)</f>
        <v/>
      </c>
      <c r="G81" s="149">
        <f>IF(A81="","",historico_VU!G29)</f>
        <v/>
      </c>
      <c r="H81" s="150">
        <f>IF(A81="","",historico_VU!H29)</f>
        <v/>
      </c>
      <c r="I81" s="62" t="n"/>
      <c r="J81" s="147">
        <f>IF(itens_Remanesc!A29="","",itens_Remanesc!A29)</f>
        <v/>
      </c>
      <c r="K81" s="148">
        <f>IF(J81="","",IF($F$4="C0",itens_Remanesc!B29,IF($F$4="C1",itens_Remanesc!E29,IF($F$4="C2",itens_Remanesc!G29,IF($F$4="C3",itens_Remanesc!I29,itens_Remanesc!K29)))))</f>
        <v/>
      </c>
      <c r="L81" s="148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372">
        <f>IF(J81="","",itens_Remanesc!C29)</f>
        <v/>
      </c>
      <c r="N81" s="372">
        <f>IF(J81="","",IF($F$4="C0",historico_VU!C29,IF($F$4="C1",historico_VU!D29,IF($F$4="C2",historico_VU!E29,IF($F$4="C3",historico_VU!F29,historico_VU!G29)))))</f>
        <v/>
      </c>
      <c r="O81" s="372">
        <f>IF(J81="","",IF(OR($B$4="Financeiro",$B$4="PCs"),IF(OR(K81="",M81=""),"",ROUND(K81*M81,2)),IF($B$4="Itens",IF(OR(L81="",M81=""),"",ROUND(L81*M81,2)),"")))</f>
        <v/>
      </c>
      <c r="P81" s="372">
        <f>IF(J81="","",IF(OR($B$4="Financeiro",$B$4="PCs"),IF(OR(K81="",N81=""),"",ROUND(K81*N81,2)),IF($B$4="Itens",IF(OR(L81="",N81=""),"",ROUND(L81*N81,2)),"")))</f>
        <v/>
      </c>
      <c r="Q81" s="152">
        <f>IF(J81="","",IF(OR(M81="",AND(OR($B$4="Financeiro",$B$4="PCs"),K81=""),AND($B$4="Itens",L81="")),"INCOMPLETO",IF(AND(ISNUMBER(K81),ISNUMBER(L81),ABS(K81-L81)/MAX(ABS(IF(OR($B$4="Financeiro",$B$4="PCs"),K81,L81)),1)&gt;$D$4),"DIVERGENTE","OK")))</f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/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/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/>
      </c>
    </row>
    <row r="82" hidden="1" outlineLevel="1" s="289">
      <c r="A82" s="147">
        <f>IF(historico_VU!A30="","",historico_VU!A30)</f>
        <v/>
      </c>
      <c r="B82" s="148">
        <f>IF(A82="","",historico_VU!B30)</f>
        <v/>
      </c>
      <c r="C82" s="149">
        <f>IF(A82="","",historico_VU!C30)</f>
        <v/>
      </c>
      <c r="D82" s="149">
        <f>IF(A82="","",historico_VU!D30)</f>
        <v/>
      </c>
      <c r="E82" s="149">
        <f>IF(A82="","",historico_VU!E30)</f>
        <v/>
      </c>
      <c r="F82" s="149">
        <f>IF(A82="","",historico_VU!F30)</f>
        <v/>
      </c>
      <c r="G82" s="149">
        <f>IF(A82="","",historico_VU!G30)</f>
        <v/>
      </c>
      <c r="H82" s="150">
        <f>IF(A82="","",historico_VU!H30)</f>
        <v/>
      </c>
      <c r="I82" s="62" t="n"/>
      <c r="J82" s="147">
        <f>IF(itens_Remanesc!A30="","",itens_Remanesc!A30)</f>
        <v/>
      </c>
      <c r="K82" s="148">
        <f>IF(J82="","",IF($F$4="C0",itens_Remanesc!B30,IF($F$4="C1",itens_Remanesc!E30,IF($F$4="C2",itens_Remanesc!G30,IF($F$4="C3",itens_Remanesc!I30,itens_Remanesc!K30)))))</f>
        <v/>
      </c>
      <c r="L82" s="148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372">
        <f>IF(J82="","",itens_Remanesc!C30)</f>
        <v/>
      </c>
      <c r="N82" s="372">
        <f>IF(J82="","",IF($F$4="C0",historico_VU!C30,IF($F$4="C1",historico_VU!D30,IF($F$4="C2",historico_VU!E30,IF($F$4="C3",historico_VU!F30,historico_VU!G30)))))</f>
        <v/>
      </c>
      <c r="O82" s="372">
        <f>IF(J82="","",IF(OR($B$4="Financeiro",$B$4="PCs"),IF(OR(K82="",M82=""),"",ROUND(K82*M82,2)),IF($B$4="Itens",IF(OR(L82="",M82=""),"",ROUND(L82*M82,2)),"")))</f>
        <v/>
      </c>
      <c r="P82" s="372">
        <f>IF(J82="","",IF(OR($B$4="Financeiro",$B$4="PCs"),IF(OR(K82="",N82=""),"",ROUND(K82*N82,2)),IF($B$4="Itens",IF(OR(L82="",N82=""),"",ROUND(L82*N82,2)),"")))</f>
        <v/>
      </c>
      <c r="Q82" s="152">
        <f>IF(J82="","",IF(OR(M82="",AND(OR($B$4="Financeiro",$B$4="PCs"),K82=""),AND($B$4="Itens",L82="")),"INCOMPLETO",IF(AND(ISNUMBER(K82),ISNUMBER(L82),ABS(K82-L82)/MAX(ABS(IF(OR($B$4="Financeiro",$B$4="PCs"),K82,L82)),1)&gt;$D$4),"DIVERGENTE","OK")))</f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/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/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/>
      </c>
    </row>
    <row r="83" hidden="1" outlineLevel="1" s="289">
      <c r="A83" s="147">
        <f>IF(historico_VU!A31="","",historico_VU!A31)</f>
        <v/>
      </c>
      <c r="B83" s="148">
        <f>IF(A83="","",historico_VU!B31)</f>
        <v/>
      </c>
      <c r="C83" s="149">
        <f>IF(A83="","",historico_VU!C31)</f>
        <v/>
      </c>
      <c r="D83" s="149">
        <f>IF(A83="","",historico_VU!D31)</f>
        <v/>
      </c>
      <c r="E83" s="149">
        <f>IF(A83="","",historico_VU!E31)</f>
        <v/>
      </c>
      <c r="F83" s="149">
        <f>IF(A83="","",historico_VU!F31)</f>
        <v/>
      </c>
      <c r="G83" s="149">
        <f>IF(A83="","",historico_VU!G31)</f>
        <v/>
      </c>
      <c r="H83" s="150">
        <f>IF(A83="","",historico_VU!H31)</f>
        <v/>
      </c>
      <c r="I83" s="62" t="n"/>
      <c r="J83" s="147">
        <f>IF(itens_Remanesc!A31="","",itens_Remanesc!A31)</f>
        <v/>
      </c>
      <c r="K83" s="148">
        <f>IF(J83="","",IF($F$4="C0",itens_Remanesc!B31,IF($F$4="C1",itens_Remanesc!E31,IF($F$4="C2",itens_Remanesc!G31,IF($F$4="C3",itens_Remanesc!I31,itens_Remanesc!K31)))))</f>
        <v/>
      </c>
      <c r="L83" s="148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372">
        <f>IF(J83="","",itens_Remanesc!C31)</f>
        <v/>
      </c>
      <c r="N83" s="372">
        <f>IF(J83="","",IF($F$4="C0",historico_VU!C31,IF($F$4="C1",historico_VU!D31,IF($F$4="C2",historico_VU!E31,IF($F$4="C3",historico_VU!F31,historico_VU!G31)))))</f>
        <v/>
      </c>
      <c r="O83" s="372">
        <f>IF(J83="","",IF(OR($B$4="Financeiro",$B$4="PCs"),IF(OR(K83="",M83=""),"",ROUND(K83*M83,2)),IF($B$4="Itens",IF(OR(L83="",M83=""),"",ROUND(L83*M83,2)),"")))</f>
        <v/>
      </c>
      <c r="P83" s="372">
        <f>IF(J83="","",IF(OR($B$4="Financeiro",$B$4="PCs"),IF(OR(K83="",N83=""),"",ROUND(K83*N83,2)),IF($B$4="Itens",IF(OR(L83="",N83=""),"",ROUND(L83*N83,2)),"")))</f>
        <v/>
      </c>
      <c r="Q83" s="152">
        <f>IF(J83="","",IF(OR(M83="",AND(OR($B$4="Financeiro",$B$4="PCs"),K83=""),AND($B$4="Itens",L83="")),"INCOMPLETO",IF(AND(ISNUMBER(K83),ISNUMBER(L83),ABS(K83-L83)/MAX(ABS(IF(OR($B$4="Financeiro",$B$4="PCs"),K83,L83)),1)&gt;$D$4),"DIVERGENTE","OK")))</f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/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/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/>
      </c>
    </row>
    <row r="84" hidden="1" outlineLevel="1" s="289">
      <c r="A84" s="147">
        <f>IF(historico_VU!A32="","",historico_VU!A32)</f>
        <v/>
      </c>
      <c r="B84" s="148">
        <f>IF(A84="","",historico_VU!B32)</f>
        <v/>
      </c>
      <c r="C84" s="149">
        <f>IF(A84="","",historico_VU!C32)</f>
        <v/>
      </c>
      <c r="D84" s="149">
        <f>IF(A84="","",historico_VU!D32)</f>
        <v/>
      </c>
      <c r="E84" s="149">
        <f>IF(A84="","",historico_VU!E32)</f>
        <v/>
      </c>
      <c r="F84" s="149">
        <f>IF(A84="","",historico_VU!F32)</f>
        <v/>
      </c>
      <c r="G84" s="149">
        <f>IF(A84="","",historico_VU!G32)</f>
        <v/>
      </c>
      <c r="H84" s="150">
        <f>IF(A84="","",historico_VU!H32)</f>
        <v/>
      </c>
      <c r="I84" s="62" t="n"/>
      <c r="J84" s="147">
        <f>IF(itens_Remanesc!A32="","",itens_Remanesc!A32)</f>
        <v/>
      </c>
      <c r="K84" s="148">
        <f>IF(J84="","",IF($F$4="C0",itens_Remanesc!B32,IF($F$4="C1",itens_Remanesc!E32,IF($F$4="C2",itens_Remanesc!G32,IF($F$4="C3",itens_Remanesc!I32,itens_Remanesc!K32)))))</f>
        <v/>
      </c>
      <c r="L84" s="148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372">
        <f>IF(J84="","",itens_Remanesc!C32)</f>
        <v/>
      </c>
      <c r="N84" s="372">
        <f>IF(J84="","",IF($F$4="C0",historico_VU!C32,IF($F$4="C1",historico_VU!D32,IF($F$4="C2",historico_VU!E32,IF($F$4="C3",historico_VU!F32,historico_VU!G32)))))</f>
        <v/>
      </c>
      <c r="O84" s="372">
        <f>IF(J84="","",IF(OR($B$4="Financeiro",$B$4="PCs"),IF(OR(K84="",M84=""),"",ROUND(K84*M84,2)),IF($B$4="Itens",IF(OR(L84="",M84=""),"",ROUND(L84*M84,2)),"")))</f>
        <v/>
      </c>
      <c r="P84" s="372">
        <f>IF(J84="","",IF(OR($B$4="Financeiro",$B$4="PCs"),IF(OR(K84="",N84=""),"",ROUND(K84*N84,2)),IF($B$4="Itens",IF(OR(L84="",N84=""),"",ROUND(L84*N84,2)),"")))</f>
        <v/>
      </c>
      <c r="Q84" s="152">
        <f>IF(J84="","",IF(OR(M84="",AND(OR($B$4="Financeiro",$B$4="PCs"),K84=""),AND($B$4="Itens",L84="")),"INCOMPLETO",IF(AND(ISNUMBER(K84),ISNUMBER(L84),ABS(K84-L84)/MAX(ABS(IF(OR($B$4="Financeiro",$B$4="PCs"),K84,L84)),1)&gt;$D$4),"DIVERGENTE","OK")))</f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/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/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/>
      </c>
    </row>
    <row r="85" hidden="1" outlineLevel="1" s="289">
      <c r="A85" s="147">
        <f>IF(historico_VU!A33="","",historico_VU!A33)</f>
        <v/>
      </c>
      <c r="B85" s="148">
        <f>IF(A85="","",historico_VU!B33)</f>
        <v/>
      </c>
      <c r="C85" s="149">
        <f>IF(A85="","",historico_VU!C33)</f>
        <v/>
      </c>
      <c r="D85" s="149">
        <f>IF(A85="","",historico_VU!D33)</f>
        <v/>
      </c>
      <c r="E85" s="149">
        <f>IF(A85="","",historico_VU!E33)</f>
        <v/>
      </c>
      <c r="F85" s="149">
        <f>IF(A85="","",historico_VU!F33)</f>
        <v/>
      </c>
      <c r="G85" s="149">
        <f>IF(A85="","",historico_VU!G33)</f>
        <v/>
      </c>
      <c r="H85" s="150">
        <f>IF(A85="","",historico_VU!H33)</f>
        <v/>
      </c>
      <c r="I85" s="62" t="n"/>
      <c r="J85" s="147">
        <f>IF(itens_Remanesc!A33="","",itens_Remanesc!A33)</f>
        <v/>
      </c>
      <c r="K85" s="148">
        <f>IF(J85="","",IF($F$4="C0",itens_Remanesc!B33,IF($F$4="C1",itens_Remanesc!E33,IF($F$4="C2",itens_Remanesc!G33,IF($F$4="C3",itens_Remanesc!I33,itens_Remanesc!K33)))))</f>
        <v/>
      </c>
      <c r="L85" s="148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372">
        <f>IF(J85="","",itens_Remanesc!C33)</f>
        <v/>
      </c>
      <c r="N85" s="372">
        <f>IF(J85="","",IF($F$4="C0",historico_VU!C33,IF($F$4="C1",historico_VU!D33,IF($F$4="C2",historico_VU!E33,IF($F$4="C3",historico_VU!F33,historico_VU!G33)))))</f>
        <v/>
      </c>
      <c r="O85" s="372">
        <f>IF(J85="","",IF(OR($B$4="Financeiro",$B$4="PCs"),IF(OR(K85="",M85=""),"",ROUND(K85*M85,2)),IF($B$4="Itens",IF(OR(L85="",M85=""),"",ROUND(L85*M85,2)),"")))</f>
        <v/>
      </c>
      <c r="P85" s="372">
        <f>IF(J85="","",IF(OR($B$4="Financeiro",$B$4="PCs"),IF(OR(K85="",N85=""),"",ROUND(K85*N85,2)),IF($B$4="Itens",IF(OR(L85="",N85=""),"",ROUND(L85*N85,2)),"")))</f>
        <v/>
      </c>
      <c r="Q85" s="152">
        <f>IF(J85="","",IF(OR(M85="",AND(OR($B$4="Financeiro",$B$4="PCs"),K85=""),AND($B$4="Itens",L85="")),"INCOMPLETO",IF(AND(ISNUMBER(K85),ISNUMBER(L85),ABS(K85-L85)/MAX(ABS(IF(OR($B$4="Financeiro",$B$4="PCs"),K85,L85)),1)&gt;$D$4),"DIVERGENTE","OK")))</f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/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/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/>
      </c>
    </row>
    <row r="86" hidden="1" outlineLevel="1" s="289">
      <c r="A86" s="147">
        <f>IF(historico_VU!A34="","",historico_VU!A34)</f>
        <v/>
      </c>
      <c r="B86" s="148">
        <f>IF(A86="","",historico_VU!B34)</f>
        <v/>
      </c>
      <c r="C86" s="149">
        <f>IF(A86="","",historico_VU!C34)</f>
        <v/>
      </c>
      <c r="D86" s="149">
        <f>IF(A86="","",historico_VU!D34)</f>
        <v/>
      </c>
      <c r="E86" s="149">
        <f>IF(A86="","",historico_VU!E34)</f>
        <v/>
      </c>
      <c r="F86" s="149">
        <f>IF(A86="","",historico_VU!F34)</f>
        <v/>
      </c>
      <c r="G86" s="149">
        <f>IF(A86="","",historico_VU!G34)</f>
        <v/>
      </c>
      <c r="H86" s="150">
        <f>IF(A86="","",historico_VU!H34)</f>
        <v/>
      </c>
      <c r="I86" s="62" t="n"/>
      <c r="J86" s="147">
        <f>IF(itens_Remanesc!A34="","",itens_Remanesc!A34)</f>
        <v/>
      </c>
      <c r="K86" s="148">
        <f>IF(J86="","",IF($F$4="C0",itens_Remanesc!B34,IF($F$4="C1",itens_Remanesc!E34,IF($F$4="C2",itens_Remanesc!G34,IF($F$4="C3",itens_Remanesc!I34,itens_Remanesc!K34)))))</f>
        <v/>
      </c>
      <c r="L86" s="148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372">
        <f>IF(J86="","",itens_Remanesc!C34)</f>
        <v/>
      </c>
      <c r="N86" s="372">
        <f>IF(J86="","",IF($F$4="C0",historico_VU!C34,IF($F$4="C1",historico_VU!D34,IF($F$4="C2",historico_VU!E34,IF($F$4="C3",historico_VU!F34,historico_VU!G34)))))</f>
        <v/>
      </c>
      <c r="O86" s="372">
        <f>IF(J86="","",IF(OR($B$4="Financeiro",$B$4="PCs"),IF(OR(K86="",M86=""),"",ROUND(K86*M86,2)),IF($B$4="Itens",IF(OR(L86="",M86=""),"",ROUND(L86*M86,2)),"")))</f>
        <v/>
      </c>
      <c r="P86" s="372">
        <f>IF(J86="","",IF(OR($B$4="Financeiro",$B$4="PCs"),IF(OR(K86="",N86=""),"",ROUND(K86*N86,2)),IF($B$4="Itens",IF(OR(L86="",N86=""),"",ROUND(L86*N86,2)),"")))</f>
        <v/>
      </c>
      <c r="Q86" s="152">
        <f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/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/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/>
      </c>
    </row>
    <row r="87" hidden="1" outlineLevel="1" s="289">
      <c r="A87" s="147">
        <f>IF(historico_VU!A35="","",historico_VU!A35)</f>
        <v/>
      </c>
      <c r="B87" s="148">
        <f>IF(A87="","",historico_VU!B35)</f>
        <v/>
      </c>
      <c r="C87" s="149">
        <f>IF(A87="","",historico_VU!C35)</f>
        <v/>
      </c>
      <c r="D87" s="149">
        <f>IF(A87="","",historico_VU!D35)</f>
        <v/>
      </c>
      <c r="E87" s="149">
        <f>IF(A87="","",historico_VU!E35)</f>
        <v/>
      </c>
      <c r="F87" s="149">
        <f>IF(A87="","",historico_VU!F35)</f>
        <v/>
      </c>
      <c r="G87" s="149">
        <f>IF(A87="","",historico_VU!G35)</f>
        <v/>
      </c>
      <c r="H87" s="150">
        <f>IF(A87="","",historico_VU!H35)</f>
        <v/>
      </c>
      <c r="I87" s="62" t="n"/>
      <c r="J87" s="147">
        <f>IF(itens_Remanesc!A35="","",itens_Remanesc!A35)</f>
        <v/>
      </c>
      <c r="K87" s="148">
        <f>IF(J87="","",IF($F$4="C0",itens_Remanesc!B35,IF($F$4="C1",itens_Remanesc!E35,IF($F$4="C2",itens_Remanesc!G35,IF($F$4="C3",itens_Remanesc!I35,itens_Remanesc!K35)))))</f>
        <v/>
      </c>
      <c r="L87" s="148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372">
        <f>IF(J87="","",itens_Remanesc!C35)</f>
        <v/>
      </c>
      <c r="N87" s="372">
        <f>IF(J87="","",IF($F$4="C0",historico_VU!C35,IF($F$4="C1",historico_VU!D35,IF($F$4="C2",historico_VU!E35,IF($F$4="C3",historico_VU!F35,historico_VU!G35)))))</f>
        <v/>
      </c>
      <c r="O87" s="372">
        <f>IF(J87="","",IF(OR($B$4="Financeiro",$B$4="PCs"),IF(OR(K87="",M87=""),"",ROUND(K87*M87,2)),IF($B$4="Itens",IF(OR(L87="",M87=""),"",ROUND(L87*M87,2)),"")))</f>
        <v/>
      </c>
      <c r="P87" s="372">
        <f>IF(J87="","",IF(OR($B$4="Financeiro",$B$4="PCs"),IF(OR(K87="",N87=""),"",ROUND(K87*N87,2)),IF($B$4="Itens",IF(OR(L87="",N87=""),"",ROUND(L87*N87,2)),"")))</f>
        <v/>
      </c>
      <c r="Q87" s="152">
        <f>IF(J87="","",IF(OR(M87="",AND(OR($B$4="Financeiro",$B$4="PCs"),K87=""),AND($B$4="Itens",L87="")),"INCOMPLETO",IF(AND(ISNUMBER(K87),ISNUMBER(L87),ABS(K87-L87)/MAX(ABS(IF(OR($B$4="Financeiro",$B$4="PCs"),K87,L87)),1)&gt;$D$4),"DIVERGENTE","OK")))</f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/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/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/>
      </c>
    </row>
    <row r="88" hidden="1" outlineLevel="1" s="289">
      <c r="A88" s="147">
        <f>IF(historico_VU!A36="","",historico_VU!A36)</f>
        <v/>
      </c>
      <c r="B88" s="148">
        <f>IF(A88="","",historico_VU!B36)</f>
        <v/>
      </c>
      <c r="C88" s="149">
        <f>IF(A88="","",historico_VU!C36)</f>
        <v/>
      </c>
      <c r="D88" s="149">
        <f>IF(A88="","",historico_VU!D36)</f>
        <v/>
      </c>
      <c r="E88" s="149">
        <f>IF(A88="","",historico_VU!E36)</f>
        <v/>
      </c>
      <c r="F88" s="149">
        <f>IF(A88="","",historico_VU!F36)</f>
        <v/>
      </c>
      <c r="G88" s="149">
        <f>IF(A88="","",historico_VU!G36)</f>
        <v/>
      </c>
      <c r="H88" s="150">
        <f>IF(A88="","",historico_VU!H36)</f>
        <v/>
      </c>
      <c r="I88" s="62" t="n"/>
      <c r="J88" s="147">
        <f>IF(itens_Remanesc!A36="","",itens_Remanesc!A36)</f>
        <v/>
      </c>
      <c r="K88" s="148">
        <f>IF(J88="","",IF($F$4="C0",itens_Remanesc!B36,IF($F$4="C1",itens_Remanesc!E36,IF($F$4="C2",itens_Remanesc!G36,IF($F$4="C3",itens_Remanesc!I36,itens_Remanesc!K36)))))</f>
        <v/>
      </c>
      <c r="L88" s="148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372">
        <f>IF(J88="","",itens_Remanesc!C36)</f>
        <v/>
      </c>
      <c r="N88" s="372">
        <f>IF(J88="","",IF($F$4="C0",historico_VU!C36,IF($F$4="C1",historico_VU!D36,IF($F$4="C2",historico_VU!E36,IF($F$4="C3",historico_VU!F36,historico_VU!G36)))))</f>
        <v/>
      </c>
      <c r="O88" s="372">
        <f>IF(J88="","",IF(OR($B$4="Financeiro",$B$4="PCs"),IF(OR(K88="",M88=""),"",ROUND(K88*M88,2)),IF($B$4="Itens",IF(OR(L88="",M88=""),"",ROUND(L88*M88,2)),"")))</f>
        <v/>
      </c>
      <c r="P88" s="372">
        <f>IF(J88="","",IF(OR($B$4="Financeiro",$B$4="PCs"),IF(OR(K88="",N88=""),"",ROUND(K88*N88,2)),IF($B$4="Itens",IF(OR(L88="",N88=""),"",ROUND(L88*N88,2)),"")))</f>
        <v/>
      </c>
      <c r="Q88" s="152">
        <f>IF(J88="","",IF(OR(M88="",AND(OR($B$4="Financeiro",$B$4="PCs"),K88=""),AND($B$4="Itens",L88="")),"INCOMPLETO",IF(AND(ISNUMBER(K88),ISNUMBER(L88),ABS(K88-L88)/MAX(ABS(IF(OR($B$4="Financeiro",$B$4="PCs"),K88,L88)),1)&gt;$D$4),"DIVERGENTE","OK")))</f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/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/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/>
      </c>
    </row>
    <row r="89" hidden="1" outlineLevel="1" s="289">
      <c r="A89" s="147">
        <f>IF(historico_VU!A37="","",historico_VU!A37)</f>
        <v/>
      </c>
      <c r="B89" s="148">
        <f>IF(A89="","",historico_VU!B37)</f>
        <v/>
      </c>
      <c r="C89" s="149">
        <f>IF(A89="","",historico_VU!C37)</f>
        <v/>
      </c>
      <c r="D89" s="149">
        <f>IF(A89="","",historico_VU!D37)</f>
        <v/>
      </c>
      <c r="E89" s="149">
        <f>IF(A89="","",historico_VU!E37)</f>
        <v/>
      </c>
      <c r="F89" s="149">
        <f>IF(A89="","",historico_VU!F37)</f>
        <v/>
      </c>
      <c r="G89" s="149">
        <f>IF(A89="","",historico_VU!G37)</f>
        <v/>
      </c>
      <c r="H89" s="150">
        <f>IF(A89="","",historico_VU!H37)</f>
        <v/>
      </c>
      <c r="I89" s="62" t="n"/>
      <c r="J89" s="147">
        <f>IF(itens_Remanesc!A37="","",itens_Remanesc!A37)</f>
        <v/>
      </c>
      <c r="K89" s="148">
        <f>IF(J89="","",IF($F$4="C0",itens_Remanesc!B37,IF($F$4="C1",itens_Remanesc!E37,IF($F$4="C2",itens_Remanesc!G37,IF($F$4="C3",itens_Remanesc!I37,itens_Remanesc!K37)))))</f>
        <v/>
      </c>
      <c r="L89" s="148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372">
        <f>IF(J89="","",itens_Remanesc!C37)</f>
        <v/>
      </c>
      <c r="N89" s="372">
        <f>IF(J89="","",IF($F$4="C0",historico_VU!C37,IF($F$4="C1",historico_VU!D37,IF($F$4="C2",historico_VU!E37,IF($F$4="C3",historico_VU!F37,historico_VU!G37)))))</f>
        <v/>
      </c>
      <c r="O89" s="372">
        <f>IF(J89="","",IF(OR($B$4="Financeiro",$B$4="PCs"),IF(OR(K89="",M89=""),"",ROUND(K89*M89,2)),IF($B$4="Itens",IF(OR(L89="",M89=""),"",ROUND(L89*M89,2)),"")))</f>
        <v/>
      </c>
      <c r="P89" s="372">
        <f>IF(J89="","",IF(OR($B$4="Financeiro",$B$4="PCs"),IF(OR(K89="",N89=""),"",ROUND(K89*N89,2)),IF($B$4="Itens",IF(OR(L89="",N89=""),"",ROUND(L89*N89,2)),"")))</f>
        <v/>
      </c>
      <c r="Q89" s="152">
        <f>IF(J89="","",IF(OR(M89="",AND(OR($B$4="Financeiro",$B$4="PCs"),K89=""),AND($B$4="Itens",L89="")),"INCOMPLETO",IF(AND(ISNUMBER(K89),ISNUMBER(L89),ABS(K89-L89)/MAX(ABS(IF(OR($B$4="Financeiro",$B$4="PCs"),K89,L89)),1)&gt;$D$4),"DIVERGENTE","OK")))</f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/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/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/>
      </c>
    </row>
    <row r="90" hidden="1" outlineLevel="1" s="289">
      <c r="A90" s="147">
        <f>IF(historico_VU!A38="","",historico_VU!A38)</f>
        <v/>
      </c>
      <c r="B90" s="148">
        <f>IF(A90="","",historico_VU!B38)</f>
        <v/>
      </c>
      <c r="C90" s="149">
        <f>IF(A90="","",historico_VU!C38)</f>
        <v/>
      </c>
      <c r="D90" s="149">
        <f>IF(A90="","",historico_VU!D38)</f>
        <v/>
      </c>
      <c r="E90" s="149">
        <f>IF(A90="","",historico_VU!E38)</f>
        <v/>
      </c>
      <c r="F90" s="149">
        <f>IF(A90="","",historico_VU!F38)</f>
        <v/>
      </c>
      <c r="G90" s="149">
        <f>IF(A90="","",historico_VU!G38)</f>
        <v/>
      </c>
      <c r="H90" s="150">
        <f>IF(A90="","",historico_VU!H38)</f>
        <v/>
      </c>
      <c r="I90" s="62" t="n"/>
      <c r="J90" s="147">
        <f>IF(itens_Remanesc!A38="","",itens_Remanesc!A38)</f>
        <v/>
      </c>
      <c r="K90" s="148">
        <f>IF(J90="","",IF($F$4="C0",itens_Remanesc!B38,IF($F$4="C1",itens_Remanesc!E38,IF($F$4="C2",itens_Remanesc!G38,IF($F$4="C3",itens_Remanesc!I38,itens_Remanesc!K38)))))</f>
        <v/>
      </c>
      <c r="L90" s="148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372">
        <f>IF(J90="","",itens_Remanesc!C38)</f>
        <v/>
      </c>
      <c r="N90" s="372">
        <f>IF(J90="","",IF($F$4="C0",historico_VU!C38,IF($F$4="C1",historico_VU!D38,IF($F$4="C2",historico_VU!E38,IF($F$4="C3",historico_VU!F38,historico_VU!G38)))))</f>
        <v/>
      </c>
      <c r="O90" s="372">
        <f>IF(J90="","",IF(OR($B$4="Financeiro",$B$4="PCs"),IF(OR(K90="",M90=""),"",ROUND(K90*M90,2)),IF($B$4="Itens",IF(OR(L90="",M90=""),"",ROUND(L90*M90,2)),"")))</f>
        <v/>
      </c>
      <c r="P90" s="372">
        <f>IF(J90="","",IF(OR($B$4="Financeiro",$B$4="PCs"),IF(OR(K90="",N90=""),"",ROUND(K90*N90,2)),IF($B$4="Itens",IF(OR(L90="",N90=""),"",ROUND(L90*N90,2)),"")))</f>
        <v/>
      </c>
      <c r="Q90" s="152">
        <f>IF(J90="","",IF(OR(M90="",AND(OR($B$4="Financeiro",$B$4="PCs"),K90=""),AND($B$4="Itens",L90="")),"INCOMPLETO",IF(AND(ISNUMBER(K90),ISNUMBER(L90),ABS(K90-L90)/MAX(ABS(IF(OR($B$4="Financeiro",$B$4="PCs"),K90,L90)),1)&gt;$D$4),"DIVERGENTE","OK")))</f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/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/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/>
      </c>
    </row>
    <row r="91" hidden="1" outlineLevel="1" s="289">
      <c r="A91" s="147">
        <f>IF(historico_VU!A39="","",historico_VU!A39)</f>
        <v/>
      </c>
      <c r="B91" s="148">
        <f>IF(A91="","",historico_VU!B39)</f>
        <v/>
      </c>
      <c r="C91" s="149">
        <f>IF(A91="","",historico_VU!C39)</f>
        <v/>
      </c>
      <c r="D91" s="149">
        <f>IF(A91="","",historico_VU!D39)</f>
        <v/>
      </c>
      <c r="E91" s="149">
        <f>IF(A91="","",historico_VU!E39)</f>
        <v/>
      </c>
      <c r="F91" s="149">
        <f>IF(A91="","",historico_VU!F39)</f>
        <v/>
      </c>
      <c r="G91" s="149">
        <f>IF(A91="","",historico_VU!G39)</f>
        <v/>
      </c>
      <c r="H91" s="150">
        <f>IF(A91="","",historico_VU!H39)</f>
        <v/>
      </c>
      <c r="I91" s="62" t="n"/>
      <c r="J91" s="147">
        <f>IF(itens_Remanesc!A39="","",itens_Remanesc!A39)</f>
        <v/>
      </c>
      <c r="K91" s="148">
        <f>IF(J91="","",IF($F$4="C0",itens_Remanesc!B39,IF($F$4="C1",itens_Remanesc!E39,IF($F$4="C2",itens_Remanesc!G39,IF($F$4="C3",itens_Remanesc!I39,itens_Remanesc!K39)))))</f>
        <v/>
      </c>
      <c r="L91" s="148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372">
        <f>IF(J91="","",itens_Remanesc!C39)</f>
        <v/>
      </c>
      <c r="N91" s="372">
        <f>IF(J91="","",IF($F$4="C0",historico_VU!C39,IF($F$4="C1",historico_VU!D39,IF($F$4="C2",historico_VU!E39,IF($F$4="C3",historico_VU!F39,historico_VU!G39)))))</f>
        <v/>
      </c>
      <c r="O91" s="372">
        <f>IF(J91="","",IF(OR($B$4="Financeiro",$B$4="PCs"),IF(OR(K91="",M91=""),"",ROUND(K91*M91,2)),IF($B$4="Itens",IF(OR(L91="",M91=""),"",ROUND(L91*M91,2)),"")))</f>
        <v/>
      </c>
      <c r="P91" s="372">
        <f>IF(J91="","",IF(OR($B$4="Financeiro",$B$4="PCs"),IF(OR(K91="",N91=""),"",ROUND(K91*N91,2)),IF($B$4="Itens",IF(OR(L91="",N91=""),"",ROUND(L91*N91,2)),"")))</f>
        <v/>
      </c>
      <c r="Q91" s="152">
        <f>IF(J91="","",IF(OR(M91="",AND(OR($B$4="Financeiro",$B$4="PCs"),K91=""),AND($B$4="Itens",L91="")),"INCOMPLETO",IF(AND(ISNUMBER(K91),ISNUMBER(L91),ABS(K91-L91)/MAX(ABS(IF(OR($B$4="Financeiro",$B$4="PCs"),K91,L91)),1)&gt;$D$4),"DIVERGENTE","OK")))</f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/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/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/>
      </c>
    </row>
    <row r="92" hidden="1" outlineLevel="1" s="289">
      <c r="A92" s="147">
        <f>IF(historico_VU!A40="","",historico_VU!A40)</f>
        <v/>
      </c>
      <c r="B92" s="148">
        <f>IF(A92="","",historico_VU!B40)</f>
        <v/>
      </c>
      <c r="C92" s="149">
        <f>IF(A92="","",historico_VU!C40)</f>
        <v/>
      </c>
      <c r="D92" s="149">
        <f>IF(A92="","",historico_VU!D40)</f>
        <v/>
      </c>
      <c r="E92" s="149">
        <f>IF(A92="","",historico_VU!E40)</f>
        <v/>
      </c>
      <c r="F92" s="149">
        <f>IF(A92="","",historico_VU!F40)</f>
        <v/>
      </c>
      <c r="G92" s="149">
        <f>IF(A92="","",historico_VU!G40)</f>
        <v/>
      </c>
      <c r="H92" s="150">
        <f>IF(A92="","",historico_VU!H40)</f>
        <v/>
      </c>
      <c r="I92" s="62" t="n"/>
      <c r="J92" s="147">
        <f>IF(itens_Remanesc!A40="","",itens_Remanesc!A40)</f>
        <v/>
      </c>
      <c r="K92" s="148">
        <f>IF(J92="","",IF($F$4="C0",itens_Remanesc!B40,IF($F$4="C1",itens_Remanesc!E40,IF($F$4="C2",itens_Remanesc!G40,IF($F$4="C3",itens_Remanesc!I40,itens_Remanesc!K40)))))</f>
        <v/>
      </c>
      <c r="L92" s="148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372">
        <f>IF(J92="","",itens_Remanesc!C40)</f>
        <v/>
      </c>
      <c r="N92" s="372">
        <f>IF(J92="","",IF($F$4="C0",historico_VU!C40,IF($F$4="C1",historico_VU!D40,IF($F$4="C2",historico_VU!E40,IF($F$4="C3",historico_VU!F40,historico_VU!G40)))))</f>
        <v/>
      </c>
      <c r="O92" s="372">
        <f>IF(J92="","",IF(OR($B$4="Financeiro",$B$4="PCs"),IF(OR(K92="",M92=""),"",ROUND(K92*M92,2)),IF($B$4="Itens",IF(OR(L92="",M92=""),"",ROUND(L92*M92,2)),"")))</f>
        <v/>
      </c>
      <c r="P92" s="372">
        <f>IF(J92="","",IF(OR($B$4="Financeiro",$B$4="PCs"),IF(OR(K92="",N92=""),"",ROUND(K92*N92,2)),IF($B$4="Itens",IF(OR(L92="",N92=""),"",ROUND(L92*N92,2)),"")))</f>
        <v/>
      </c>
      <c r="Q92" s="152">
        <f>IF(J92="","",IF(OR(M92="",AND(OR($B$4="Financeiro",$B$4="PCs"),K92=""),AND($B$4="Itens",L92="")),"INCOMPLETO",IF(AND(ISNUMBER(K92),ISNUMBER(L92),ABS(K92-L92)/MAX(ABS(IF(OR($B$4="Financeiro",$B$4="PCs"),K92,L92)),1)&gt;$D$4),"DIVERGENTE","OK")))</f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/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/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/>
      </c>
    </row>
    <row r="93" hidden="1" outlineLevel="1" s="289">
      <c r="A93" s="147">
        <f>IF(historico_VU!A41="","",historico_VU!A41)</f>
        <v/>
      </c>
      <c r="B93" s="148">
        <f>IF(A93="","",historico_VU!B41)</f>
        <v/>
      </c>
      <c r="C93" s="149">
        <f>IF(A93="","",historico_VU!C41)</f>
        <v/>
      </c>
      <c r="D93" s="149">
        <f>IF(A93="","",historico_VU!D41)</f>
        <v/>
      </c>
      <c r="E93" s="149">
        <f>IF(A93="","",historico_VU!E41)</f>
        <v/>
      </c>
      <c r="F93" s="149">
        <f>IF(A93="","",historico_VU!F41)</f>
        <v/>
      </c>
      <c r="G93" s="149">
        <f>IF(A93="","",historico_VU!G41)</f>
        <v/>
      </c>
      <c r="H93" s="150">
        <f>IF(A93="","",historico_VU!H41)</f>
        <v/>
      </c>
      <c r="I93" s="62" t="n"/>
      <c r="J93" s="147">
        <f>IF(itens_Remanesc!A41="","",itens_Remanesc!A41)</f>
        <v/>
      </c>
      <c r="K93" s="148">
        <f>IF(J93="","",IF($F$4="C0",itens_Remanesc!B41,IF($F$4="C1",itens_Remanesc!E41,IF($F$4="C2",itens_Remanesc!G41,IF($F$4="C3",itens_Remanesc!I41,itens_Remanesc!K41)))))</f>
        <v/>
      </c>
      <c r="L93" s="148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372">
        <f>IF(J93="","",itens_Remanesc!C41)</f>
        <v/>
      </c>
      <c r="N93" s="372">
        <f>IF(J93="","",IF($F$4="C0",historico_VU!C41,IF($F$4="C1",historico_VU!D41,IF($F$4="C2",historico_VU!E41,IF($F$4="C3",historico_VU!F41,historico_VU!G41)))))</f>
        <v/>
      </c>
      <c r="O93" s="372">
        <f>IF(J93="","",IF(OR($B$4="Financeiro",$B$4="PCs"),IF(OR(K93="",M93=""),"",ROUND(K93*M93,2)),IF($B$4="Itens",IF(OR(L93="",M93=""),"",ROUND(L93*M93,2)),"")))</f>
        <v/>
      </c>
      <c r="P93" s="372">
        <f>IF(J93="","",IF(OR($B$4="Financeiro",$B$4="PCs"),IF(OR(K93="",N93=""),"",ROUND(K93*N93,2)),IF($B$4="Itens",IF(OR(L93="",N93=""),"",ROUND(L93*N93,2)),"")))</f>
        <v/>
      </c>
      <c r="Q93" s="152">
        <f>IF(J93="","",IF(OR(M93="",AND(OR($B$4="Financeiro",$B$4="PCs"),K93=""),AND($B$4="Itens",L93="")),"INCOMPLETO",IF(AND(ISNUMBER(K93),ISNUMBER(L93),ABS(K93-L93)/MAX(ABS(IF(OR($B$4="Financeiro",$B$4="PCs"),K93,L93)),1)&gt;$D$4),"DIVERGENTE","OK")))</f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/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/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/>
      </c>
    </row>
    <row r="94" hidden="1" outlineLevel="1" s="289">
      <c r="A94" s="147">
        <f>IF(historico_VU!A42="","",historico_VU!A42)</f>
        <v/>
      </c>
      <c r="B94" s="148">
        <f>IF(A94="","",historico_VU!B42)</f>
        <v/>
      </c>
      <c r="C94" s="149">
        <f>IF(A94="","",historico_VU!C42)</f>
        <v/>
      </c>
      <c r="D94" s="149">
        <f>IF(A94="","",historico_VU!D42)</f>
        <v/>
      </c>
      <c r="E94" s="149">
        <f>IF(A94="","",historico_VU!E42)</f>
        <v/>
      </c>
      <c r="F94" s="149">
        <f>IF(A94="","",historico_VU!F42)</f>
        <v/>
      </c>
      <c r="G94" s="149">
        <f>IF(A94="","",historico_VU!G42)</f>
        <v/>
      </c>
      <c r="H94" s="150">
        <f>IF(A94="","",historico_VU!H42)</f>
        <v/>
      </c>
      <c r="I94" s="62" t="n"/>
      <c r="J94" s="147">
        <f>IF(itens_Remanesc!A42="","",itens_Remanesc!A42)</f>
        <v/>
      </c>
      <c r="K94" s="148">
        <f>IF(J94="","",IF($F$4="C0",itens_Remanesc!B42,IF($F$4="C1",itens_Remanesc!E42,IF($F$4="C2",itens_Remanesc!G42,IF($F$4="C3",itens_Remanesc!I42,itens_Remanesc!K42)))))</f>
        <v/>
      </c>
      <c r="L94" s="148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372">
        <f>IF(J94="","",itens_Remanesc!C42)</f>
        <v/>
      </c>
      <c r="N94" s="372">
        <f>IF(J94="","",IF($F$4="C0",historico_VU!C42,IF($F$4="C1",historico_VU!D42,IF($F$4="C2",historico_VU!E42,IF($F$4="C3",historico_VU!F42,historico_VU!G42)))))</f>
        <v/>
      </c>
      <c r="O94" s="372">
        <f>IF(J94="","",IF(OR($B$4="Financeiro",$B$4="PCs"),IF(OR(K94="",M94=""),"",ROUND(K94*M94,2)),IF($B$4="Itens",IF(OR(L94="",M94=""),"",ROUND(L94*M94,2)),"")))</f>
        <v/>
      </c>
      <c r="P94" s="372">
        <f>IF(J94="","",IF(OR($B$4="Financeiro",$B$4="PCs"),IF(OR(K94="",N94=""),"",ROUND(K94*N94,2)),IF($B$4="Itens",IF(OR(L94="",N94=""),"",ROUND(L94*N94,2)),"")))</f>
        <v/>
      </c>
      <c r="Q94" s="152">
        <f>IF(J94="","",IF(OR(M94="",AND(OR($B$4="Financeiro",$B$4="PCs"),K94=""),AND($B$4="Itens",L94="")),"INCOMPLETO",IF(AND(ISNUMBER(K94),ISNUMBER(L94),ABS(K94-L94)/MAX(ABS(IF(OR($B$4="Financeiro",$B$4="PCs"),K94,L94)),1)&gt;$D$4),"DIVERGENTE","OK")))</f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/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/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/>
      </c>
    </row>
    <row r="95" hidden="1" outlineLevel="1" s="289">
      <c r="A95" s="147">
        <f>IF(historico_VU!A43="","",historico_VU!A43)</f>
        <v/>
      </c>
      <c r="B95" s="148">
        <f>IF(A95="","",historico_VU!B43)</f>
        <v/>
      </c>
      <c r="C95" s="149">
        <f>IF(A95="","",historico_VU!C43)</f>
        <v/>
      </c>
      <c r="D95" s="149">
        <f>IF(A95="","",historico_VU!D43)</f>
        <v/>
      </c>
      <c r="E95" s="149">
        <f>IF(A95="","",historico_VU!E43)</f>
        <v/>
      </c>
      <c r="F95" s="149">
        <f>IF(A95="","",historico_VU!F43)</f>
        <v/>
      </c>
      <c r="G95" s="149">
        <f>IF(A95="","",historico_VU!G43)</f>
        <v/>
      </c>
      <c r="H95" s="150">
        <f>IF(A95="","",historico_VU!H43)</f>
        <v/>
      </c>
      <c r="I95" s="62" t="n"/>
      <c r="J95" s="147">
        <f>IF(itens_Remanesc!A43="","",itens_Remanesc!A43)</f>
        <v/>
      </c>
      <c r="K95" s="148">
        <f>IF(J95="","",IF($F$4="C0",itens_Remanesc!B43,IF($F$4="C1",itens_Remanesc!E43,IF($F$4="C2",itens_Remanesc!G43,IF($F$4="C3",itens_Remanesc!I43,itens_Remanesc!K43)))))</f>
        <v/>
      </c>
      <c r="L95" s="148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372">
        <f>IF(J95="","",itens_Remanesc!C43)</f>
        <v/>
      </c>
      <c r="N95" s="372">
        <f>IF(J95="","",IF($F$4="C0",historico_VU!C43,IF($F$4="C1",historico_VU!D43,IF($F$4="C2",historico_VU!E43,IF($F$4="C3",historico_VU!F43,historico_VU!G43)))))</f>
        <v/>
      </c>
      <c r="O95" s="372">
        <f>IF(J95="","",IF(OR($B$4="Financeiro",$B$4="PCs"),IF(OR(K95="",M95=""),"",ROUND(K95*M95,2)),IF($B$4="Itens",IF(OR(L95="",M95=""),"",ROUND(L95*M95,2)),"")))</f>
        <v/>
      </c>
      <c r="P95" s="372">
        <f>IF(J95="","",IF(OR($B$4="Financeiro",$B$4="PCs"),IF(OR(K95="",N95=""),"",ROUND(K95*N95,2)),IF($B$4="Itens",IF(OR(L95="",N95=""),"",ROUND(L95*N95,2)),"")))</f>
        <v/>
      </c>
      <c r="Q95" s="152">
        <f>IF(J95="","",IF(OR(M95="",AND(OR($B$4="Financeiro",$B$4="PCs"),K95=""),AND($B$4="Itens",L95="")),"INCOMPLETO",IF(AND(ISNUMBER(K95),ISNUMBER(L95),ABS(K95-L95)/MAX(ABS(IF(OR($B$4="Financeiro",$B$4="PCs"),K95,L95)),1)&gt;$D$4),"DIVERGENTE","OK")))</f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/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/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/>
      </c>
    </row>
    <row r="96" hidden="1" outlineLevel="1" s="289">
      <c r="A96" s="147">
        <f>IF(historico_VU!A44="","",historico_VU!A44)</f>
        <v/>
      </c>
      <c r="B96" s="148">
        <f>IF(A96="","",historico_VU!B44)</f>
        <v/>
      </c>
      <c r="C96" s="149">
        <f>IF(A96="","",historico_VU!C44)</f>
        <v/>
      </c>
      <c r="D96" s="149">
        <f>IF(A96="","",historico_VU!D44)</f>
        <v/>
      </c>
      <c r="E96" s="149">
        <f>IF(A96="","",historico_VU!E44)</f>
        <v/>
      </c>
      <c r="F96" s="149">
        <f>IF(A96="","",historico_VU!F44)</f>
        <v/>
      </c>
      <c r="G96" s="149">
        <f>IF(A96="","",historico_VU!G44)</f>
        <v/>
      </c>
      <c r="H96" s="150">
        <f>IF(A96="","",historico_VU!H44)</f>
        <v/>
      </c>
      <c r="I96" s="62" t="n"/>
      <c r="J96" s="147">
        <f>IF(itens_Remanesc!A44="","",itens_Remanesc!A44)</f>
        <v/>
      </c>
      <c r="K96" s="148">
        <f>IF(J96="","",IF($F$4="C0",itens_Remanesc!B44,IF($F$4="C1",itens_Remanesc!E44,IF($F$4="C2",itens_Remanesc!G44,IF($F$4="C3",itens_Remanesc!I44,itens_Remanesc!K44)))))</f>
        <v/>
      </c>
      <c r="L96" s="148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372">
        <f>IF(J96="","",itens_Remanesc!C44)</f>
        <v/>
      </c>
      <c r="N96" s="372">
        <f>IF(J96="","",IF($F$4="C0",historico_VU!C44,IF($F$4="C1",historico_VU!D44,IF($F$4="C2",historico_VU!E44,IF($F$4="C3",historico_VU!F44,historico_VU!G44)))))</f>
        <v/>
      </c>
      <c r="O96" s="372">
        <f>IF(J96="","",IF(OR($B$4="Financeiro",$B$4="PCs"),IF(OR(K96="",M96=""),"",ROUND(K96*M96,2)),IF($B$4="Itens",IF(OR(L96="",M96=""),"",ROUND(L96*M96,2)),"")))</f>
        <v/>
      </c>
      <c r="P96" s="372">
        <f>IF(J96="","",IF(OR($B$4="Financeiro",$B$4="PCs"),IF(OR(K96="",N96=""),"",ROUND(K96*N96,2)),IF($B$4="Itens",IF(OR(L96="",N96=""),"",ROUND(L96*N96,2)),"")))</f>
        <v/>
      </c>
      <c r="Q96" s="152">
        <f>IF(J96="","",IF(OR(M96="",AND(OR($B$4="Financeiro",$B$4="PCs"),K96=""),AND($B$4="Itens",L96="")),"INCOMPLETO",IF(AND(ISNUMBER(K96),ISNUMBER(L96),ABS(K96-L96)/MAX(ABS(IF(OR($B$4="Financeiro",$B$4="PCs"),K96,L96)),1)&gt;$D$4),"DIVERGENTE","OK")))</f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/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/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/>
      </c>
    </row>
    <row r="97" hidden="1" outlineLevel="1" s="289">
      <c r="A97" s="147">
        <f>IF(historico_VU!A45="","",historico_VU!A45)</f>
        <v/>
      </c>
      <c r="B97" s="148">
        <f>IF(A97="","",historico_VU!B45)</f>
        <v/>
      </c>
      <c r="C97" s="149">
        <f>IF(A97="","",historico_VU!C45)</f>
        <v/>
      </c>
      <c r="D97" s="149">
        <f>IF(A97="","",historico_VU!D45)</f>
        <v/>
      </c>
      <c r="E97" s="149">
        <f>IF(A97="","",historico_VU!E45)</f>
        <v/>
      </c>
      <c r="F97" s="149">
        <f>IF(A97="","",historico_VU!F45)</f>
        <v/>
      </c>
      <c r="G97" s="149">
        <f>IF(A97="","",historico_VU!G45)</f>
        <v/>
      </c>
      <c r="H97" s="150">
        <f>IF(A97="","",historico_VU!H45)</f>
        <v/>
      </c>
      <c r="I97" s="62" t="n"/>
      <c r="J97" s="147">
        <f>IF(itens_Remanesc!A45="","",itens_Remanesc!A45)</f>
        <v/>
      </c>
      <c r="K97" s="148">
        <f>IF(J97="","",IF($F$4="C0",itens_Remanesc!B45,IF($F$4="C1",itens_Remanesc!E45,IF($F$4="C2",itens_Remanesc!G45,IF($F$4="C3",itens_Remanesc!I45,itens_Remanesc!K45)))))</f>
        <v/>
      </c>
      <c r="L97" s="148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372">
        <f>IF(J97="","",itens_Remanesc!C45)</f>
        <v/>
      </c>
      <c r="N97" s="372">
        <f>IF(J97="","",IF($F$4="C0",historico_VU!C45,IF($F$4="C1",historico_VU!D45,IF($F$4="C2",historico_VU!E45,IF($F$4="C3",historico_VU!F45,historico_VU!G45)))))</f>
        <v/>
      </c>
      <c r="O97" s="372">
        <f>IF(J97="","",IF(OR($B$4="Financeiro",$B$4="PCs"),IF(OR(K97="",M97=""),"",ROUND(K97*M97,2)),IF($B$4="Itens",IF(OR(L97="",M97=""),"",ROUND(L97*M97,2)),"")))</f>
        <v/>
      </c>
      <c r="P97" s="372">
        <f>IF(J97="","",IF(OR($B$4="Financeiro",$B$4="PCs"),IF(OR(K97="",N97=""),"",ROUND(K97*N97,2)),IF($B$4="Itens",IF(OR(L97="",N97=""),"",ROUND(L97*N97,2)),"")))</f>
        <v/>
      </c>
      <c r="Q97" s="152">
        <f>IF(J97="","",IF(OR(M97="",AND(OR($B$4="Financeiro",$B$4="PCs"),K97=""),AND($B$4="Itens",L97="")),"INCOMPLETO",IF(AND(ISNUMBER(K97),ISNUMBER(L97),ABS(K97-L97)/MAX(ABS(IF(OR($B$4="Financeiro",$B$4="PCs"),K97,L97)),1)&gt;$D$4),"DIVERGENTE","OK")))</f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/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/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/>
      </c>
    </row>
    <row r="98" hidden="1" outlineLevel="1" s="289">
      <c r="A98" s="147">
        <f>IF(historico_VU!A46="","",historico_VU!A46)</f>
        <v/>
      </c>
      <c r="B98" s="148">
        <f>IF(A98="","",historico_VU!B46)</f>
        <v/>
      </c>
      <c r="C98" s="149">
        <f>IF(A98="","",historico_VU!C46)</f>
        <v/>
      </c>
      <c r="D98" s="149">
        <f>IF(A98="","",historico_VU!D46)</f>
        <v/>
      </c>
      <c r="E98" s="149">
        <f>IF(A98="","",historico_VU!E46)</f>
        <v/>
      </c>
      <c r="F98" s="149">
        <f>IF(A98="","",historico_VU!F46)</f>
        <v/>
      </c>
      <c r="G98" s="149">
        <f>IF(A98="","",historico_VU!G46)</f>
        <v/>
      </c>
      <c r="H98" s="150">
        <f>IF(A98="","",historico_VU!H46)</f>
        <v/>
      </c>
      <c r="I98" s="62" t="n"/>
      <c r="J98" s="147">
        <f>IF(itens_Remanesc!A46="","",itens_Remanesc!A46)</f>
        <v/>
      </c>
      <c r="K98" s="148">
        <f>IF(J98="","",IF($F$4="C0",itens_Remanesc!B46,IF($F$4="C1",itens_Remanesc!E46,IF($F$4="C2",itens_Remanesc!G46,IF($F$4="C3",itens_Remanesc!I46,itens_Remanesc!K46)))))</f>
        <v/>
      </c>
      <c r="L98" s="148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372">
        <f>IF(J98="","",itens_Remanesc!C46)</f>
        <v/>
      </c>
      <c r="N98" s="372">
        <f>IF(J98="","",IF($F$4="C0",historico_VU!C46,IF($F$4="C1",historico_VU!D46,IF($F$4="C2",historico_VU!E46,IF($F$4="C3",historico_VU!F46,historico_VU!G46)))))</f>
        <v/>
      </c>
      <c r="O98" s="372">
        <f>IF(J98="","",IF(OR($B$4="Financeiro",$B$4="PCs"),IF(OR(K98="",M98=""),"",ROUND(K98*M98,2)),IF($B$4="Itens",IF(OR(L98="",M98=""),"",ROUND(L98*M98,2)),"")))</f>
        <v/>
      </c>
      <c r="P98" s="372">
        <f>IF(J98="","",IF(OR($B$4="Financeiro",$B$4="PCs"),IF(OR(K98="",N98=""),"",ROUND(K98*N98,2)),IF($B$4="Itens",IF(OR(L98="",N98=""),"",ROUND(L98*N98,2)),"")))</f>
        <v/>
      </c>
      <c r="Q98" s="152">
        <f>IF(J98="","",IF(OR(M98="",AND(OR($B$4="Financeiro",$B$4="PCs"),K98=""),AND($B$4="Itens",L98="")),"INCOMPLETO",IF(AND(ISNUMBER(K98),ISNUMBER(L98),ABS(K98-L98)/MAX(ABS(IF(OR($B$4="Financeiro",$B$4="PCs"),K98,L98)),1)&gt;$D$4),"DIVERGENTE","OK")))</f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/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/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/>
      </c>
    </row>
    <row r="99" hidden="1" outlineLevel="1" s="289">
      <c r="A99" s="147">
        <f>IF(historico_VU!A47="","",historico_VU!A47)</f>
        <v/>
      </c>
      <c r="B99" s="148">
        <f>IF(A99="","",historico_VU!B47)</f>
        <v/>
      </c>
      <c r="C99" s="149">
        <f>IF(A99="","",historico_VU!C47)</f>
        <v/>
      </c>
      <c r="D99" s="149">
        <f>IF(A99="","",historico_VU!D47)</f>
        <v/>
      </c>
      <c r="E99" s="149">
        <f>IF(A99="","",historico_VU!E47)</f>
        <v/>
      </c>
      <c r="F99" s="149">
        <f>IF(A99="","",historico_VU!F47)</f>
        <v/>
      </c>
      <c r="G99" s="149">
        <f>IF(A99="","",historico_VU!G47)</f>
        <v/>
      </c>
      <c r="H99" s="150">
        <f>IF(A99="","",historico_VU!H47)</f>
        <v/>
      </c>
      <c r="I99" s="62" t="n"/>
      <c r="J99" s="147">
        <f>IF(itens_Remanesc!A47="","",itens_Remanesc!A47)</f>
        <v/>
      </c>
      <c r="K99" s="148">
        <f>IF(J99="","",IF($F$4="C0",itens_Remanesc!B47,IF($F$4="C1",itens_Remanesc!E47,IF($F$4="C2",itens_Remanesc!G47,IF($F$4="C3",itens_Remanesc!I47,itens_Remanesc!K47)))))</f>
        <v/>
      </c>
      <c r="L99" s="148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372">
        <f>IF(J99="","",itens_Remanesc!C47)</f>
        <v/>
      </c>
      <c r="N99" s="372">
        <f>IF(J99="","",IF($F$4="C0",historico_VU!C47,IF($F$4="C1",historico_VU!D47,IF($F$4="C2",historico_VU!E47,IF($F$4="C3",historico_VU!F47,historico_VU!G47)))))</f>
        <v/>
      </c>
      <c r="O99" s="372">
        <f>IF(J99="","",IF(OR($B$4="Financeiro",$B$4="PCs"),IF(OR(K99="",M99=""),"",ROUND(K99*M99,2)),IF($B$4="Itens",IF(OR(L99="",M99=""),"",ROUND(L99*M99,2)),"")))</f>
        <v/>
      </c>
      <c r="P99" s="372">
        <f>IF(J99="","",IF(OR($B$4="Financeiro",$B$4="PCs"),IF(OR(K99="",N99=""),"",ROUND(K99*N99,2)),IF($B$4="Itens",IF(OR(L99="",N99=""),"",ROUND(L99*N99,2)),"")))</f>
        <v/>
      </c>
      <c r="Q99" s="152">
        <f>IF(J99="","",IF(OR(M99="",AND(OR($B$4="Financeiro",$B$4="PCs"),K99=""),AND($B$4="Itens",L99="")),"INCOMPLETO",IF(AND(ISNUMBER(K99),ISNUMBER(L99),ABS(K99-L99)/MAX(ABS(IF(OR($B$4="Financeiro",$B$4="PCs"),K99,L99)),1)&gt;$D$4),"DIVERGENTE","OK")))</f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/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/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/>
      </c>
    </row>
    <row r="100" hidden="1" outlineLevel="1" s="289">
      <c r="A100" s="147">
        <f>IF(historico_VU!A48="","",historico_VU!A48)</f>
        <v/>
      </c>
      <c r="B100" s="148">
        <f>IF(A100="","",historico_VU!B48)</f>
        <v/>
      </c>
      <c r="C100" s="149">
        <f>IF(A100="","",historico_VU!C48)</f>
        <v/>
      </c>
      <c r="D100" s="149">
        <f>IF(A100="","",historico_VU!D48)</f>
        <v/>
      </c>
      <c r="E100" s="149">
        <f>IF(A100="","",historico_VU!E48)</f>
        <v/>
      </c>
      <c r="F100" s="149">
        <f>IF(A100="","",historico_VU!F48)</f>
        <v/>
      </c>
      <c r="G100" s="149">
        <f>IF(A100="","",historico_VU!G48)</f>
        <v/>
      </c>
      <c r="H100" s="150">
        <f>IF(A100="","",historico_VU!H48)</f>
        <v/>
      </c>
      <c r="I100" s="62" t="n"/>
      <c r="J100" s="147">
        <f>IF(itens_Remanesc!A48="","",itens_Remanesc!A48)</f>
        <v/>
      </c>
      <c r="K100" s="148">
        <f>IF(J100="","",IF($F$4="C0",itens_Remanesc!B48,IF($F$4="C1",itens_Remanesc!E48,IF($F$4="C2",itens_Remanesc!G48,IF($F$4="C3",itens_Remanesc!I48,itens_Remanesc!K48)))))</f>
        <v/>
      </c>
      <c r="L100" s="148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372">
        <f>IF(J100="","",itens_Remanesc!C48)</f>
        <v/>
      </c>
      <c r="N100" s="372">
        <f>IF(J100="","",IF($F$4="C0",historico_VU!C48,IF($F$4="C1",historico_VU!D48,IF($F$4="C2",historico_VU!E48,IF($F$4="C3",historico_VU!F48,historico_VU!G48)))))</f>
        <v/>
      </c>
      <c r="O100" s="372">
        <f>IF(J100="","",IF(OR($B$4="Financeiro",$B$4="PCs"),IF(OR(K100="",M100=""),"",ROUND(K100*M100,2)),IF($B$4="Itens",IF(OR(L100="",M100=""),"",ROUND(L100*M100,2)),"")))</f>
        <v/>
      </c>
      <c r="P100" s="372">
        <f>IF(J100="","",IF(OR($B$4="Financeiro",$B$4="PCs"),IF(OR(K100="",N100=""),"",ROUND(K100*N100,2)),IF($B$4="Itens",IF(OR(L100="",N100=""),"",ROUND(L100*N100,2)),"")))</f>
        <v/>
      </c>
      <c r="Q100" s="152">
        <f>IF(J100="","",IF(OR(M100="",AND(OR($B$4="Financeiro",$B$4="PCs"),K100=""),AND($B$4="Itens",L100="")),"INCOMPLETO",IF(AND(ISNUMBER(K100),ISNUMBER(L100),ABS(K100-L100)/MAX(ABS(IF(OR($B$4="Financeiro",$B$4="PCs"),K100,L100)),1)&gt;$D$4),"DIVERGENTE","OK")))</f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/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/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/>
      </c>
    </row>
    <row r="101" hidden="1" outlineLevel="1" s="289">
      <c r="A101" s="147">
        <f>IF(historico_VU!A49="","",historico_VU!A49)</f>
        <v/>
      </c>
      <c r="B101" s="148">
        <f>IF(A101="","",historico_VU!B49)</f>
        <v/>
      </c>
      <c r="C101" s="149">
        <f>IF(A101="","",historico_VU!C49)</f>
        <v/>
      </c>
      <c r="D101" s="149">
        <f>IF(A101="","",historico_VU!D49)</f>
        <v/>
      </c>
      <c r="E101" s="149">
        <f>IF(A101="","",historico_VU!E49)</f>
        <v/>
      </c>
      <c r="F101" s="149">
        <f>IF(A101="","",historico_VU!F49)</f>
        <v/>
      </c>
      <c r="G101" s="149">
        <f>IF(A101="","",historico_VU!G49)</f>
        <v/>
      </c>
      <c r="H101" s="150">
        <f>IF(A101="","",historico_VU!H49)</f>
        <v/>
      </c>
      <c r="I101" s="62" t="n"/>
      <c r="J101" s="147">
        <f>IF(itens_Remanesc!A49="","",itens_Remanesc!A49)</f>
        <v/>
      </c>
      <c r="K101" s="148">
        <f>IF(J101="","",IF($F$4="C0",itens_Remanesc!B49,IF($F$4="C1",itens_Remanesc!E49,IF($F$4="C2",itens_Remanesc!G49,IF($F$4="C3",itens_Remanesc!I49,itens_Remanesc!K49)))))</f>
        <v/>
      </c>
      <c r="L101" s="148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372">
        <f>IF(J101="","",itens_Remanesc!C49)</f>
        <v/>
      </c>
      <c r="N101" s="372">
        <f>IF(J101="","",IF($F$4="C0",historico_VU!C49,IF($F$4="C1",historico_VU!D49,IF($F$4="C2",historico_VU!E49,IF($F$4="C3",historico_VU!F49,historico_VU!G49)))))</f>
        <v/>
      </c>
      <c r="O101" s="372">
        <f>IF(J101="","",IF(OR($B$4="Financeiro",$B$4="PCs"),IF(OR(K101="",M101=""),"",ROUND(K101*M101,2)),IF($B$4="Itens",IF(OR(L101="",M101=""),"",ROUND(L101*M101,2)),"")))</f>
        <v/>
      </c>
      <c r="P101" s="372">
        <f>IF(J101="","",IF(OR($B$4="Financeiro",$B$4="PCs"),IF(OR(K101="",N101=""),"",ROUND(K101*N101,2)),IF($B$4="Itens",IF(OR(L101="",N101=""),"",ROUND(L101*N101,2)),"")))</f>
        <v/>
      </c>
      <c r="Q101" s="152">
        <f>IF(J101="","",IF(OR(M101="",AND(OR($B$4="Financeiro",$B$4="PCs"),K101=""),AND($B$4="Itens",L101="")),"INCOMPLETO",IF(AND(ISNUMBER(K101),ISNUMBER(L101),ABS(K101-L101)/MAX(ABS(IF(OR($B$4="Financeiro",$B$4="PCs"),K101,L101)),1)&gt;$D$4),"DIVERGENTE","OK")))</f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/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/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/>
      </c>
    </row>
    <row r="102" hidden="1" outlineLevel="1" s="289">
      <c r="A102" s="147">
        <f>IF(historico_VU!A50="","",historico_VU!A50)</f>
        <v/>
      </c>
      <c r="B102" s="148">
        <f>IF(A102="","",historico_VU!B50)</f>
        <v/>
      </c>
      <c r="C102" s="149">
        <f>IF(A102="","",historico_VU!C50)</f>
        <v/>
      </c>
      <c r="D102" s="149">
        <f>IF(A102="","",historico_VU!D50)</f>
        <v/>
      </c>
      <c r="E102" s="149">
        <f>IF(A102="","",historico_VU!E50)</f>
        <v/>
      </c>
      <c r="F102" s="149">
        <f>IF(A102="","",historico_VU!F50)</f>
        <v/>
      </c>
      <c r="G102" s="149">
        <f>IF(A102="","",historico_VU!G50)</f>
        <v/>
      </c>
      <c r="H102" s="150">
        <f>IF(A102="","",historico_VU!H50)</f>
        <v/>
      </c>
      <c r="I102" s="62" t="n"/>
      <c r="J102" s="147">
        <f>IF(itens_Remanesc!A50="","",itens_Remanesc!A50)</f>
        <v/>
      </c>
      <c r="K102" s="148">
        <f>IF(J102="","",IF($F$4="C0",itens_Remanesc!B50,IF($F$4="C1",itens_Remanesc!E50,IF($F$4="C2",itens_Remanesc!G50,IF($F$4="C3",itens_Remanesc!I50,itens_Remanesc!K50)))))</f>
        <v/>
      </c>
      <c r="L102" s="148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372">
        <f>IF(J102="","",itens_Remanesc!C50)</f>
        <v/>
      </c>
      <c r="N102" s="372">
        <f>IF(J102="","",IF($F$4="C0",historico_VU!C50,IF($F$4="C1",historico_VU!D50,IF($F$4="C2",historico_VU!E50,IF($F$4="C3",historico_VU!F50,historico_VU!G50)))))</f>
        <v/>
      </c>
      <c r="O102" s="372">
        <f>IF(J102="","",IF(OR($B$4="Financeiro",$B$4="PCs"),IF(OR(K102="",M102=""),"",ROUND(K102*M102,2)),IF($B$4="Itens",IF(OR(L102="",M102=""),"",ROUND(L102*M102,2)),"")))</f>
        <v/>
      </c>
      <c r="P102" s="372">
        <f>IF(J102="","",IF(OR($B$4="Financeiro",$B$4="PCs"),IF(OR(K102="",N102=""),"",ROUND(K102*N102,2)),IF($B$4="Itens",IF(OR(L102="",N102=""),"",ROUND(L102*N102,2)),"")))</f>
        <v/>
      </c>
      <c r="Q102" s="152">
        <f>IF(J102="","",IF(OR(M102="",AND(OR($B$4="Financeiro",$B$4="PCs"),K102=""),AND($B$4="Itens",L102="")),"INCOMPLETO",IF(AND(ISNUMBER(K102),ISNUMBER(L102),ABS(K102-L102)/MAX(ABS(IF(OR($B$4="Financeiro",$B$4="PCs"),K102,L102)),1)&gt;$D$4),"DIVERGENTE","OK")))</f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/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/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/>
      </c>
    </row>
    <row r="103" hidden="1" outlineLevel="1" s="289">
      <c r="A103" s="147">
        <f>IF(historico_VU!A51="","",historico_VU!A51)</f>
        <v/>
      </c>
      <c r="B103" s="148">
        <f>IF(A103="","",historico_VU!B51)</f>
        <v/>
      </c>
      <c r="C103" s="149">
        <f>IF(A103="","",historico_VU!C51)</f>
        <v/>
      </c>
      <c r="D103" s="149">
        <f>IF(A103="","",historico_VU!D51)</f>
        <v/>
      </c>
      <c r="E103" s="149">
        <f>IF(A103="","",historico_VU!E51)</f>
        <v/>
      </c>
      <c r="F103" s="149">
        <f>IF(A103="","",historico_VU!F51)</f>
        <v/>
      </c>
      <c r="G103" s="149">
        <f>IF(A103="","",historico_VU!G51)</f>
        <v/>
      </c>
      <c r="H103" s="150">
        <f>IF(A103="","",historico_VU!H51)</f>
        <v/>
      </c>
      <c r="I103" s="62" t="n"/>
      <c r="J103" s="147">
        <f>IF(itens_Remanesc!A51="","",itens_Remanesc!A51)</f>
        <v/>
      </c>
      <c r="K103" s="148">
        <f>IF(J103="","",IF($F$4="C0",itens_Remanesc!B51,IF($F$4="C1",itens_Remanesc!E51,IF($F$4="C2",itens_Remanesc!G51,IF($F$4="C3",itens_Remanesc!I51,itens_Remanesc!K51)))))</f>
        <v/>
      </c>
      <c r="L103" s="148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372">
        <f>IF(J103="","",itens_Remanesc!C51)</f>
        <v/>
      </c>
      <c r="N103" s="372">
        <f>IF(J103="","",IF($F$4="C0",historico_VU!C51,IF($F$4="C1",historico_VU!D51,IF($F$4="C2",historico_VU!E51,IF($F$4="C3",historico_VU!F51,historico_VU!G51)))))</f>
        <v/>
      </c>
      <c r="O103" s="372">
        <f>IF(J103="","",IF(OR($B$4="Financeiro",$B$4="PCs"),IF(OR(K103="",M103=""),"",ROUND(K103*M103,2)),IF($B$4="Itens",IF(OR(L103="",M103=""),"",ROUND(L103*M103,2)),"")))</f>
        <v/>
      </c>
      <c r="P103" s="372">
        <f>IF(J103="","",IF(OR($B$4="Financeiro",$B$4="PCs"),IF(OR(K103="",N103=""),"",ROUND(K103*N103,2)),IF($B$4="Itens",IF(OR(L103="",N103=""),"",ROUND(L103*N103,2)),"")))</f>
        <v/>
      </c>
      <c r="Q103" s="152">
        <f>IF(J103="","",IF(OR(M103="",AND(OR($B$4="Financeiro",$B$4="PCs"),K103=""),AND($B$4="Itens",L103="")),"INCOMPLETO",IF(AND(ISNUMBER(K103),ISNUMBER(L103),ABS(K103-L103)/MAX(ABS(IF(OR($B$4="Financeiro",$B$4="PCs"),K103,L103)),1)&gt;$D$4),"DIVERGENTE","OK")))</f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/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/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/>
      </c>
    </row>
    <row r="104" hidden="1" outlineLevel="1" s="289">
      <c r="A104" s="147">
        <f>IF(historico_VU!A52="","",historico_VU!A52)</f>
        <v/>
      </c>
      <c r="B104" s="148">
        <f>IF(A104="","",historico_VU!B52)</f>
        <v/>
      </c>
      <c r="C104" s="149">
        <f>IF(A104="","",historico_VU!C52)</f>
        <v/>
      </c>
      <c r="D104" s="149">
        <f>IF(A104="","",historico_VU!D52)</f>
        <v/>
      </c>
      <c r="E104" s="149">
        <f>IF(A104="","",historico_VU!E52)</f>
        <v/>
      </c>
      <c r="F104" s="149">
        <f>IF(A104="","",historico_VU!F52)</f>
        <v/>
      </c>
      <c r="G104" s="149">
        <f>IF(A104="","",historico_VU!G52)</f>
        <v/>
      </c>
      <c r="H104" s="150">
        <f>IF(A104="","",historico_VU!H52)</f>
        <v/>
      </c>
      <c r="I104" s="62" t="n"/>
      <c r="J104" s="147">
        <f>IF(itens_Remanesc!A52="","",itens_Remanesc!A52)</f>
        <v/>
      </c>
      <c r="K104" s="148">
        <f>IF(J104="","",IF($F$4="C0",itens_Remanesc!B52,IF($F$4="C1",itens_Remanesc!E52,IF($F$4="C2",itens_Remanesc!G52,IF($F$4="C3",itens_Remanesc!I52,itens_Remanesc!K52)))))</f>
        <v/>
      </c>
      <c r="L104" s="148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372">
        <f>IF(J104="","",itens_Remanesc!C52)</f>
        <v/>
      </c>
      <c r="N104" s="372">
        <f>IF(J104="","",IF($F$4="C0",historico_VU!C52,IF($F$4="C1",historico_VU!D52,IF($F$4="C2",historico_VU!E52,IF($F$4="C3",historico_VU!F52,historico_VU!G52)))))</f>
        <v/>
      </c>
      <c r="O104" s="372">
        <f>IF(J104="","",IF(OR($B$4="Financeiro",$B$4="PCs"),IF(OR(K104="",M104=""),"",ROUND(K104*M104,2)),IF($B$4="Itens",IF(OR(L104="",M104=""),"",ROUND(L104*M104,2)),"")))</f>
        <v/>
      </c>
      <c r="P104" s="372">
        <f>IF(J104="","",IF(OR($B$4="Financeiro",$B$4="PCs"),IF(OR(K104="",N104=""),"",ROUND(K104*N104,2)),IF($B$4="Itens",IF(OR(L104="",N104=""),"",ROUND(L104*N104,2)),"")))</f>
        <v/>
      </c>
      <c r="Q104" s="152">
        <f>IF(J104="","",IF(OR(M104="",AND(OR($B$4="Financeiro",$B$4="PCs"),K104=""),AND($B$4="Itens",L104="")),"INCOMPLETO",IF(AND(ISNUMBER(K104),ISNUMBER(L104),ABS(K104-L104)/MAX(ABS(IF(OR($B$4="Financeiro",$B$4="PCs"),K104,L104)),1)&gt;$D$4),"DIVERGENTE","OK")))</f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/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/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/>
      </c>
    </row>
    <row r="105" hidden="1" outlineLevel="1" s="289">
      <c r="A105" s="147">
        <f>IF(historico_VU!A53="","",historico_VU!A53)</f>
        <v/>
      </c>
      <c r="B105" s="148">
        <f>IF(A105="","",historico_VU!B53)</f>
        <v/>
      </c>
      <c r="C105" s="149">
        <f>IF(A105="","",historico_VU!C53)</f>
        <v/>
      </c>
      <c r="D105" s="149">
        <f>IF(A105="","",historico_VU!D53)</f>
        <v/>
      </c>
      <c r="E105" s="149">
        <f>IF(A105="","",historico_VU!E53)</f>
        <v/>
      </c>
      <c r="F105" s="149">
        <f>IF(A105="","",historico_VU!F53)</f>
        <v/>
      </c>
      <c r="G105" s="149">
        <f>IF(A105="","",historico_VU!G53)</f>
        <v/>
      </c>
      <c r="H105" s="150">
        <f>IF(A105="","",historico_VU!H53)</f>
        <v/>
      </c>
      <c r="I105" s="62" t="n"/>
      <c r="J105" s="147">
        <f>IF(itens_Remanesc!A53="","",itens_Remanesc!A53)</f>
        <v/>
      </c>
      <c r="K105" s="148">
        <f>IF(J105="","",IF($F$4="C0",itens_Remanesc!B53,IF($F$4="C1",itens_Remanesc!E53,IF($F$4="C2",itens_Remanesc!G53,IF($F$4="C3",itens_Remanesc!I53,itens_Remanesc!K53)))))</f>
        <v/>
      </c>
      <c r="L105" s="148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372">
        <f>IF(J105="","",itens_Remanesc!C53)</f>
        <v/>
      </c>
      <c r="N105" s="372">
        <f>IF(J105="","",IF($F$4="C0",historico_VU!C53,IF($F$4="C1",historico_VU!D53,IF($F$4="C2",historico_VU!E53,IF($F$4="C3",historico_VU!F53,historico_VU!G53)))))</f>
        <v/>
      </c>
      <c r="O105" s="372">
        <f>IF(J105="","",IF(OR($B$4="Financeiro",$B$4="PCs"),IF(OR(K105="",M105=""),"",ROUND(K105*M105,2)),IF($B$4="Itens",IF(OR(L105="",M105=""),"",ROUND(L105*M105,2)),"")))</f>
        <v/>
      </c>
      <c r="P105" s="372">
        <f>IF(J105="","",IF(OR($B$4="Financeiro",$B$4="PCs"),IF(OR(K105="",N105=""),"",ROUND(K105*N105,2)),IF($B$4="Itens",IF(OR(L105="",N105=""),"",ROUND(L105*N105,2)),"")))</f>
        <v/>
      </c>
      <c r="Q105" s="152">
        <f>IF(J105="","",IF(OR(M105="",AND(OR($B$4="Financeiro",$B$4="PCs"),K105=""),AND($B$4="Itens",L105="")),"INCOMPLETO",IF(AND(ISNUMBER(K105),ISNUMBER(L105),ABS(K105-L105)/MAX(ABS(IF(OR($B$4="Financeiro",$B$4="PCs"),K105,L105)),1)&gt;$D$4),"DIVERGENTE","OK")))</f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/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/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/>
      </c>
    </row>
    <row r="106" hidden="1" outlineLevel="1" s="289">
      <c r="A106" s="147">
        <f>IF(historico_VU!A54="","",historico_VU!A54)</f>
        <v/>
      </c>
      <c r="B106" s="148">
        <f>IF(A106="","",historico_VU!B54)</f>
        <v/>
      </c>
      <c r="C106" s="149">
        <f>IF(A106="","",historico_VU!C54)</f>
        <v/>
      </c>
      <c r="D106" s="149">
        <f>IF(A106="","",historico_VU!D54)</f>
        <v/>
      </c>
      <c r="E106" s="149">
        <f>IF(A106="","",historico_VU!E54)</f>
        <v/>
      </c>
      <c r="F106" s="149">
        <f>IF(A106="","",historico_VU!F54)</f>
        <v/>
      </c>
      <c r="G106" s="149">
        <f>IF(A106="","",historico_VU!G54)</f>
        <v/>
      </c>
      <c r="H106" s="150">
        <f>IF(A106="","",historico_VU!H54)</f>
        <v/>
      </c>
      <c r="I106" s="62" t="n"/>
      <c r="J106" s="147">
        <f>IF(itens_Remanesc!A54="","",itens_Remanesc!A54)</f>
        <v/>
      </c>
      <c r="K106" s="148">
        <f>IF(J106="","",IF($F$4="C0",itens_Remanesc!B54,IF($F$4="C1",itens_Remanesc!E54,IF($F$4="C2",itens_Remanesc!G54,IF($F$4="C3",itens_Remanesc!I54,itens_Remanesc!K54)))))</f>
        <v/>
      </c>
      <c r="L106" s="148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372">
        <f>IF(J106="","",itens_Remanesc!C54)</f>
        <v/>
      </c>
      <c r="N106" s="372">
        <f>IF(J106="","",IF($F$4="C0",historico_VU!C54,IF($F$4="C1",historico_VU!D54,IF($F$4="C2",historico_VU!E54,IF($F$4="C3",historico_VU!F54,historico_VU!G54)))))</f>
        <v/>
      </c>
      <c r="O106" s="372">
        <f>IF(J106="","",IF(OR($B$4="Financeiro",$B$4="PCs"),IF(OR(K106="",M106=""),"",ROUND(K106*M106,2)),IF($B$4="Itens",IF(OR(L106="",M106=""),"",ROUND(L106*M106,2)),"")))</f>
        <v/>
      </c>
      <c r="P106" s="372">
        <f>IF(J106="","",IF(OR($B$4="Financeiro",$B$4="PCs"),IF(OR(K106="",N106=""),"",ROUND(K106*N106,2)),IF($B$4="Itens",IF(OR(L106="",N106=""),"",ROUND(L106*N106,2)),"")))</f>
        <v/>
      </c>
      <c r="Q106" s="152">
        <f>IF(J106="","",IF(OR(M106="",AND(OR($B$4="Financeiro",$B$4="PCs"),K106=""),AND($B$4="Itens",L106="")),"INCOMPLETO",IF(AND(ISNUMBER(K106),ISNUMBER(L106),ABS(K106-L106)/MAX(ABS(IF(OR($B$4="Financeiro",$B$4="PCs"),K106,L106)),1)&gt;$D$4),"DIVERGENTE","OK")))</f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/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/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/>
      </c>
    </row>
    <row r="107" hidden="1" outlineLevel="1" s="289">
      <c r="A107" s="147">
        <f>IF(historico_VU!A55="","",historico_VU!A55)</f>
        <v/>
      </c>
      <c r="B107" s="148">
        <f>IF(A107="","",historico_VU!B55)</f>
        <v/>
      </c>
      <c r="C107" s="149">
        <f>IF(A107="","",historico_VU!C55)</f>
        <v/>
      </c>
      <c r="D107" s="149">
        <f>IF(A107="","",historico_VU!D55)</f>
        <v/>
      </c>
      <c r="E107" s="149">
        <f>IF(A107="","",historico_VU!E55)</f>
        <v/>
      </c>
      <c r="F107" s="149">
        <f>IF(A107="","",historico_VU!F55)</f>
        <v/>
      </c>
      <c r="G107" s="149">
        <f>IF(A107="","",historico_VU!G55)</f>
        <v/>
      </c>
      <c r="H107" s="150">
        <f>IF(A107="","",historico_VU!H55)</f>
        <v/>
      </c>
      <c r="I107" s="62" t="n"/>
      <c r="J107" s="147">
        <f>IF(itens_Remanesc!A55="","",itens_Remanesc!A55)</f>
        <v/>
      </c>
      <c r="K107" s="148">
        <f>IF(J107="","",IF($F$4="C0",itens_Remanesc!B55,IF($F$4="C1",itens_Remanesc!E55,IF($F$4="C2",itens_Remanesc!G55,IF($F$4="C3",itens_Remanesc!I55,itens_Remanesc!K55)))))</f>
        <v/>
      </c>
      <c r="L107" s="148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372">
        <f>IF(J107="","",itens_Remanesc!C55)</f>
        <v/>
      </c>
      <c r="N107" s="372">
        <f>IF(J107="","",IF($F$4="C0",historico_VU!C55,IF($F$4="C1",historico_VU!D55,IF($F$4="C2",historico_VU!E55,IF($F$4="C3",historico_VU!F55,historico_VU!G55)))))</f>
        <v/>
      </c>
      <c r="O107" s="372">
        <f>IF(J107="","",IF(OR($B$4="Financeiro",$B$4="PCs"),IF(OR(K107="",M107=""),"",ROUND(K107*M107,2)),IF($B$4="Itens",IF(OR(L107="",M107=""),"",ROUND(L107*M107,2)),"")))</f>
        <v/>
      </c>
      <c r="P107" s="372">
        <f>IF(J107="","",IF(OR($B$4="Financeiro",$B$4="PCs"),IF(OR(K107="",N107=""),"",ROUND(K107*N107,2)),IF($B$4="Itens",IF(OR(L107="",N107=""),"",ROUND(L107*N107,2)),"")))</f>
        <v/>
      </c>
      <c r="Q107" s="152">
        <f>IF(J107="","",IF(OR(M107="",AND(OR($B$4="Financeiro",$B$4="PCs"),K107=""),AND($B$4="Itens",L107="")),"INCOMPLETO",IF(AND(ISNUMBER(K107),ISNUMBER(L107),ABS(K107-L107)/MAX(ABS(IF(OR($B$4="Financeiro",$B$4="PCs"),K107,L107)),1)&gt;$D$4),"DIVERGENTE","OK")))</f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/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/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/>
      </c>
    </row>
    <row r="108" hidden="1" outlineLevel="1" s="289">
      <c r="A108" s="147">
        <f>IF(historico_VU!A56="","",historico_VU!A56)</f>
        <v/>
      </c>
      <c r="B108" s="148">
        <f>IF(A108="","",historico_VU!B56)</f>
        <v/>
      </c>
      <c r="C108" s="149">
        <f>IF(A108="","",historico_VU!C56)</f>
        <v/>
      </c>
      <c r="D108" s="149">
        <f>IF(A108="","",historico_VU!D56)</f>
        <v/>
      </c>
      <c r="E108" s="149">
        <f>IF(A108="","",historico_VU!E56)</f>
        <v/>
      </c>
      <c r="F108" s="149">
        <f>IF(A108="","",historico_VU!F56)</f>
        <v/>
      </c>
      <c r="G108" s="149">
        <f>IF(A108="","",historico_VU!G56)</f>
        <v/>
      </c>
      <c r="H108" s="150">
        <f>IF(A108="","",historico_VU!H56)</f>
        <v/>
      </c>
      <c r="I108" s="62" t="n"/>
      <c r="J108" s="147">
        <f>IF(itens_Remanesc!A56="","",itens_Remanesc!A56)</f>
        <v/>
      </c>
      <c r="K108" s="148">
        <f>IF(J108="","",IF($F$4="C0",itens_Remanesc!B56,IF($F$4="C1",itens_Remanesc!E56,IF($F$4="C2",itens_Remanesc!G56,IF($F$4="C3",itens_Remanesc!I56,itens_Remanesc!K56)))))</f>
        <v/>
      </c>
      <c r="L108" s="148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372">
        <f>IF(J108="","",itens_Remanesc!C56)</f>
        <v/>
      </c>
      <c r="N108" s="372">
        <f>IF(J108="","",IF($F$4="C0",historico_VU!C56,IF($F$4="C1",historico_VU!D56,IF($F$4="C2",historico_VU!E56,IF($F$4="C3",historico_VU!F56,historico_VU!G56)))))</f>
        <v/>
      </c>
      <c r="O108" s="372">
        <f>IF(J108="","",IF(OR($B$4="Financeiro",$B$4="PCs"),IF(OR(K108="",M108=""),"",ROUND(K108*M108,2)),IF($B$4="Itens",IF(OR(L108="",M108=""),"",ROUND(L108*M108,2)),"")))</f>
        <v/>
      </c>
      <c r="P108" s="372">
        <f>IF(J108="","",IF(OR($B$4="Financeiro",$B$4="PCs"),IF(OR(K108="",N108=""),"",ROUND(K108*N108,2)),IF($B$4="Itens",IF(OR(L108="",N108=""),"",ROUND(L108*N108,2)),"")))</f>
        <v/>
      </c>
      <c r="Q108" s="152">
        <f>IF(J108="","",IF(OR(M108="",AND(OR($B$4="Financeiro",$B$4="PCs"),K108=""),AND($B$4="Itens",L108="")),"INCOMPLETO",IF(AND(ISNUMBER(K108),ISNUMBER(L108),ABS(K108-L108)/MAX(ABS(IF(OR($B$4="Financeiro",$B$4="PCs"),K108,L108)),1)&gt;$D$4),"DIVERGENTE","OK")))</f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/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/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/>
      </c>
    </row>
    <row r="109" hidden="1" outlineLevel="1" s="289">
      <c r="A109" s="147">
        <f>IF(historico_VU!A57="","",historico_VU!A57)</f>
        <v/>
      </c>
      <c r="B109" s="148">
        <f>IF(A109="","",historico_VU!B57)</f>
        <v/>
      </c>
      <c r="C109" s="149">
        <f>IF(A109="","",historico_VU!C57)</f>
        <v/>
      </c>
      <c r="D109" s="149">
        <f>IF(A109="","",historico_VU!D57)</f>
        <v/>
      </c>
      <c r="E109" s="149">
        <f>IF(A109="","",historico_VU!E57)</f>
        <v/>
      </c>
      <c r="F109" s="149">
        <f>IF(A109="","",historico_VU!F57)</f>
        <v/>
      </c>
      <c r="G109" s="149">
        <f>IF(A109="","",historico_VU!G57)</f>
        <v/>
      </c>
      <c r="H109" s="150">
        <f>IF(A109="","",historico_VU!H57)</f>
        <v/>
      </c>
      <c r="I109" s="62" t="n"/>
      <c r="J109" s="147">
        <f>IF(itens_Remanesc!A57="","",itens_Remanesc!A57)</f>
        <v/>
      </c>
      <c r="K109" s="148">
        <f>IF(J109="","",IF($F$4="C0",itens_Remanesc!B57,IF($F$4="C1",itens_Remanesc!E57,IF($F$4="C2",itens_Remanesc!G57,IF($F$4="C3",itens_Remanesc!I57,itens_Remanesc!K57)))))</f>
        <v/>
      </c>
      <c r="L109" s="148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372">
        <f>IF(J109="","",itens_Remanesc!C57)</f>
        <v/>
      </c>
      <c r="N109" s="372">
        <f>IF(J109="","",IF($F$4="C0",historico_VU!C57,IF($F$4="C1",historico_VU!D57,IF($F$4="C2",historico_VU!E57,IF($F$4="C3",historico_VU!F57,historico_VU!G57)))))</f>
        <v/>
      </c>
      <c r="O109" s="372">
        <f>IF(J109="","",IF(OR($B$4="Financeiro",$B$4="PCs"),IF(OR(K109="",M109=""),"",ROUND(K109*M109,2)),IF($B$4="Itens",IF(OR(L109="",M109=""),"",ROUND(L109*M109,2)),"")))</f>
        <v/>
      </c>
      <c r="P109" s="372">
        <f>IF(J109="","",IF(OR($B$4="Financeiro",$B$4="PCs"),IF(OR(K109="",N109=""),"",ROUND(K109*N109,2)),IF($B$4="Itens",IF(OR(L109="",N109=""),"",ROUND(L109*N109,2)),"")))</f>
        <v/>
      </c>
      <c r="Q109" s="152">
        <f>IF(J109="","",IF(OR(M109="",AND(OR($B$4="Financeiro",$B$4="PCs"),K109=""),AND($B$4="Itens",L109="")),"INCOMPLETO",IF(AND(ISNUMBER(K109),ISNUMBER(L109),ABS(K109-L109)/MAX(ABS(IF(OR($B$4="Financeiro",$B$4="PCs"),K109,L109)),1)&gt;$D$4),"DIVERGENTE","OK")))</f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/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/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/>
      </c>
    </row>
    <row r="110" hidden="1" outlineLevel="1" s="289">
      <c r="A110" s="147">
        <f>IF(historico_VU!A58="","",historico_VU!A58)</f>
        <v/>
      </c>
      <c r="B110" s="148">
        <f>IF(A110="","",historico_VU!B58)</f>
        <v/>
      </c>
      <c r="C110" s="149">
        <f>IF(A110="","",historico_VU!C58)</f>
        <v/>
      </c>
      <c r="D110" s="149">
        <f>IF(A110="","",historico_VU!D58)</f>
        <v/>
      </c>
      <c r="E110" s="149">
        <f>IF(A110="","",historico_VU!E58)</f>
        <v/>
      </c>
      <c r="F110" s="149">
        <f>IF(A110="","",historico_VU!F58)</f>
        <v/>
      </c>
      <c r="G110" s="149">
        <f>IF(A110="","",historico_VU!G58)</f>
        <v/>
      </c>
      <c r="H110" s="150">
        <f>IF(A110="","",historico_VU!H58)</f>
        <v/>
      </c>
      <c r="I110" s="62" t="n"/>
      <c r="J110" s="147">
        <f>IF(itens_Remanesc!A58="","",itens_Remanesc!A58)</f>
        <v/>
      </c>
      <c r="K110" s="148">
        <f>IF(J110="","",IF($F$4="C0",itens_Remanesc!B58,IF($F$4="C1",itens_Remanesc!E58,IF($F$4="C2",itens_Remanesc!G58,IF($F$4="C3",itens_Remanesc!I58,itens_Remanesc!K58)))))</f>
        <v/>
      </c>
      <c r="L110" s="148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372">
        <f>IF(J110="","",itens_Remanesc!C58)</f>
        <v/>
      </c>
      <c r="N110" s="372">
        <f>IF(J110="","",IF($F$4="C0",historico_VU!C58,IF($F$4="C1",historico_VU!D58,IF($F$4="C2",historico_VU!E58,IF($F$4="C3",historico_VU!F58,historico_VU!G58)))))</f>
        <v/>
      </c>
      <c r="O110" s="372">
        <f>IF(J110="","",IF(OR($B$4="Financeiro",$B$4="PCs"),IF(OR(K110="",M110=""),"",ROUND(K110*M110,2)),IF($B$4="Itens",IF(OR(L110="",M110=""),"",ROUND(L110*M110,2)),"")))</f>
        <v/>
      </c>
      <c r="P110" s="372">
        <f>IF(J110="","",IF(OR($B$4="Financeiro",$B$4="PCs"),IF(OR(K110="",N110=""),"",ROUND(K110*N110,2)),IF($B$4="Itens",IF(OR(L110="",N110=""),"",ROUND(L110*N110,2)),"")))</f>
        <v/>
      </c>
      <c r="Q110" s="152">
        <f>IF(J110="","",IF(OR(M110="",AND(OR($B$4="Financeiro",$B$4="PCs"),K110=""),AND($B$4="Itens",L110="")),"INCOMPLETO",IF(AND(ISNUMBER(K110),ISNUMBER(L110),ABS(K110-L110)/MAX(ABS(IF(OR($B$4="Financeiro",$B$4="PCs"),K110,L110)),1)&gt;$D$4),"DIVERGENTE","OK")))</f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/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/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/>
      </c>
    </row>
    <row r="111" hidden="1" outlineLevel="1" s="289">
      <c r="A111" s="147">
        <f>IF(historico_VU!A59="","",historico_VU!A59)</f>
        <v/>
      </c>
      <c r="B111" s="148">
        <f>IF(A111="","",historico_VU!B59)</f>
        <v/>
      </c>
      <c r="C111" s="149">
        <f>IF(A111="","",historico_VU!C59)</f>
        <v/>
      </c>
      <c r="D111" s="149">
        <f>IF(A111="","",historico_VU!D59)</f>
        <v/>
      </c>
      <c r="E111" s="149">
        <f>IF(A111="","",historico_VU!E59)</f>
        <v/>
      </c>
      <c r="F111" s="149">
        <f>IF(A111="","",historico_VU!F59)</f>
        <v/>
      </c>
      <c r="G111" s="149">
        <f>IF(A111="","",historico_VU!G59)</f>
        <v/>
      </c>
      <c r="H111" s="150">
        <f>IF(A111="","",historico_VU!H59)</f>
        <v/>
      </c>
      <c r="I111" s="62" t="n"/>
      <c r="J111" s="147">
        <f>IF(itens_Remanesc!A59="","",itens_Remanesc!A59)</f>
        <v/>
      </c>
      <c r="K111" s="148">
        <f>IF(J111="","",IF($F$4="C0",itens_Remanesc!B59,IF($F$4="C1",itens_Remanesc!E59,IF($F$4="C2",itens_Remanesc!G59,IF($F$4="C3",itens_Remanesc!I59,itens_Remanesc!K59)))))</f>
        <v/>
      </c>
      <c r="L111" s="148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372">
        <f>IF(J111="","",itens_Remanesc!C59)</f>
        <v/>
      </c>
      <c r="N111" s="372">
        <f>IF(J111="","",IF($F$4="C0",historico_VU!C59,IF($F$4="C1",historico_VU!D59,IF($F$4="C2",historico_VU!E59,IF($F$4="C3",historico_VU!F59,historico_VU!G59)))))</f>
        <v/>
      </c>
      <c r="O111" s="372">
        <f>IF(J111="","",IF(OR($B$4="Financeiro",$B$4="PCs"),IF(OR(K111="",M111=""),"",ROUND(K111*M111,2)),IF($B$4="Itens",IF(OR(L111="",M111=""),"",ROUND(L111*M111,2)),"")))</f>
        <v/>
      </c>
      <c r="P111" s="372">
        <f>IF(J111="","",IF(OR($B$4="Financeiro",$B$4="PCs"),IF(OR(K111="",N111=""),"",ROUND(K111*N111,2)),IF($B$4="Itens",IF(OR(L111="",N111=""),"",ROUND(L111*N111,2)),"")))</f>
        <v/>
      </c>
      <c r="Q111" s="152">
        <f>IF(J111="","",IF(OR(M111="",AND(OR($B$4="Financeiro",$B$4="PCs"),K111=""),AND($B$4="Itens",L111="")),"INCOMPLETO",IF(AND(ISNUMBER(K111),ISNUMBER(L111),ABS(K111-L111)/MAX(ABS(IF(OR($B$4="Financeiro",$B$4="PCs"),K111,L111)),1)&gt;$D$4),"DIVERGENTE","OK")))</f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/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/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/>
      </c>
    </row>
    <row r="112" hidden="1" outlineLevel="1" s="289">
      <c r="A112" s="147">
        <f>IF(historico_VU!A60="","",historico_VU!A60)</f>
        <v/>
      </c>
      <c r="B112" s="148">
        <f>IF(A112="","",historico_VU!B60)</f>
        <v/>
      </c>
      <c r="C112" s="149">
        <f>IF(A112="","",historico_VU!C60)</f>
        <v/>
      </c>
      <c r="D112" s="149">
        <f>IF(A112="","",historico_VU!D60)</f>
        <v/>
      </c>
      <c r="E112" s="149">
        <f>IF(A112="","",historico_VU!E60)</f>
        <v/>
      </c>
      <c r="F112" s="149">
        <f>IF(A112="","",historico_VU!F60)</f>
        <v/>
      </c>
      <c r="G112" s="149">
        <f>IF(A112="","",historico_VU!G60)</f>
        <v/>
      </c>
      <c r="H112" s="150">
        <f>IF(A112="","",historico_VU!H60)</f>
        <v/>
      </c>
      <c r="I112" s="62" t="n"/>
      <c r="J112" s="147">
        <f>IF(itens_Remanesc!A60="","",itens_Remanesc!A60)</f>
        <v/>
      </c>
      <c r="K112" s="148">
        <f>IF(J112="","",IF($F$4="C0",itens_Remanesc!B60,IF($F$4="C1",itens_Remanesc!E60,IF($F$4="C2",itens_Remanesc!G60,IF($F$4="C3",itens_Remanesc!I60,itens_Remanesc!K60)))))</f>
        <v/>
      </c>
      <c r="L112" s="148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372">
        <f>IF(J112="","",itens_Remanesc!C60)</f>
        <v/>
      </c>
      <c r="N112" s="372">
        <f>IF(J112="","",IF($F$4="C0",historico_VU!C60,IF($F$4="C1",historico_VU!D60,IF($F$4="C2",historico_VU!E60,IF($F$4="C3",historico_VU!F60,historico_VU!G60)))))</f>
        <v/>
      </c>
      <c r="O112" s="372">
        <f>IF(J112="","",IF(OR($B$4="Financeiro",$B$4="PCs"),IF(OR(K112="",M112=""),"",ROUND(K112*M112,2)),IF($B$4="Itens",IF(OR(L112="",M112=""),"",ROUND(L112*M112,2)),"")))</f>
        <v/>
      </c>
      <c r="P112" s="372">
        <f>IF(J112="","",IF(OR($B$4="Financeiro",$B$4="PCs"),IF(OR(K112="",N112=""),"",ROUND(K112*N112,2)),IF($B$4="Itens",IF(OR(L112="",N112=""),"",ROUND(L112*N112,2)),"")))</f>
        <v/>
      </c>
      <c r="Q112" s="152">
        <f>IF(J112="","",IF(OR(M112="",AND(OR($B$4="Financeiro",$B$4="PCs"),K112=""),AND($B$4="Itens",L112="")),"INCOMPLETO",IF(AND(ISNUMBER(K112),ISNUMBER(L112),ABS(K112-L112)/MAX(ABS(IF(OR($B$4="Financeiro",$B$4="PCs"),K112,L112)),1)&gt;$D$4),"DIVERGENTE","OK")))</f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/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/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/>
      </c>
    </row>
    <row r="113" hidden="1" outlineLevel="1" s="289">
      <c r="A113" s="147">
        <f>IF(historico_VU!A61="","",historico_VU!A61)</f>
        <v/>
      </c>
      <c r="B113" s="148">
        <f>IF(A113="","",historico_VU!B61)</f>
        <v/>
      </c>
      <c r="C113" s="149">
        <f>IF(A113="","",historico_VU!C61)</f>
        <v/>
      </c>
      <c r="D113" s="149">
        <f>IF(A113="","",historico_VU!D61)</f>
        <v/>
      </c>
      <c r="E113" s="149">
        <f>IF(A113="","",historico_VU!E61)</f>
        <v/>
      </c>
      <c r="F113" s="149">
        <f>IF(A113="","",historico_VU!F61)</f>
        <v/>
      </c>
      <c r="G113" s="149">
        <f>IF(A113="","",historico_VU!G61)</f>
        <v/>
      </c>
      <c r="H113" s="150">
        <f>IF(A113="","",historico_VU!H61)</f>
        <v/>
      </c>
      <c r="I113" s="62" t="n"/>
      <c r="J113" s="147">
        <f>IF(itens_Remanesc!A61="","",itens_Remanesc!A61)</f>
        <v/>
      </c>
      <c r="K113" s="148">
        <f>IF(J113="","",IF($F$4="C0",itens_Remanesc!B61,IF($F$4="C1",itens_Remanesc!E61,IF($F$4="C2",itens_Remanesc!G61,IF($F$4="C3",itens_Remanesc!I61,itens_Remanesc!K61)))))</f>
        <v/>
      </c>
      <c r="L113" s="148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372">
        <f>IF(J113="","",itens_Remanesc!C61)</f>
        <v/>
      </c>
      <c r="N113" s="372">
        <f>IF(J113="","",IF($F$4="C0",historico_VU!C61,IF($F$4="C1",historico_VU!D61,IF($F$4="C2",historico_VU!E61,IF($F$4="C3",historico_VU!F61,historico_VU!G61)))))</f>
        <v/>
      </c>
      <c r="O113" s="372">
        <f>IF(J113="","",IF(OR($B$4="Financeiro",$B$4="PCs"),IF(OR(K113="",M113=""),"",ROUND(K113*M113,2)),IF($B$4="Itens",IF(OR(L113="",M113=""),"",ROUND(L113*M113,2)),"")))</f>
        <v/>
      </c>
      <c r="P113" s="372">
        <f>IF(J113="","",IF(OR($B$4="Financeiro",$B$4="PCs"),IF(OR(K113="",N113=""),"",ROUND(K113*N113,2)),IF($B$4="Itens",IF(OR(L113="",N113=""),"",ROUND(L113*N113,2)),"")))</f>
        <v/>
      </c>
      <c r="Q113" s="152">
        <f>IF(J113="","",IF(OR(M113="",AND(OR($B$4="Financeiro",$B$4="PCs"),K113=""),AND($B$4="Itens",L113="")),"INCOMPLETO",IF(AND(ISNUMBER(K113),ISNUMBER(L113),ABS(K113-L113)/MAX(ABS(IF(OR($B$4="Financeiro",$B$4="PCs"),K113,L113)),1)&gt;$D$4),"DIVERGENTE","OK")))</f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/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/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/>
      </c>
    </row>
    <row r="114" hidden="1" outlineLevel="1" s="289">
      <c r="A114" s="147">
        <f>IF(historico_VU!A62="","",historico_VU!A62)</f>
        <v/>
      </c>
      <c r="B114" s="148">
        <f>IF(A114="","",historico_VU!B62)</f>
        <v/>
      </c>
      <c r="C114" s="149">
        <f>IF(A114="","",historico_VU!C62)</f>
        <v/>
      </c>
      <c r="D114" s="149">
        <f>IF(A114="","",historico_VU!D62)</f>
        <v/>
      </c>
      <c r="E114" s="149">
        <f>IF(A114="","",historico_VU!E62)</f>
        <v/>
      </c>
      <c r="F114" s="149">
        <f>IF(A114="","",historico_VU!F62)</f>
        <v/>
      </c>
      <c r="G114" s="149">
        <f>IF(A114="","",historico_VU!G62)</f>
        <v/>
      </c>
      <c r="H114" s="150">
        <f>IF(A114="","",historico_VU!H62)</f>
        <v/>
      </c>
      <c r="I114" s="62" t="n"/>
      <c r="J114" s="147">
        <f>IF(itens_Remanesc!A62="","",itens_Remanesc!A62)</f>
        <v/>
      </c>
      <c r="K114" s="148">
        <f>IF(J114="","",IF($F$4="C0",itens_Remanesc!B62,IF($F$4="C1",itens_Remanesc!E62,IF($F$4="C2",itens_Remanesc!G62,IF($F$4="C3",itens_Remanesc!I62,itens_Remanesc!K62)))))</f>
        <v/>
      </c>
      <c r="L114" s="148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372">
        <f>IF(J114="","",itens_Remanesc!C62)</f>
        <v/>
      </c>
      <c r="N114" s="372">
        <f>IF(J114="","",IF($F$4="C0",historico_VU!C62,IF($F$4="C1",historico_VU!D62,IF($F$4="C2",historico_VU!E62,IF($F$4="C3",historico_VU!F62,historico_VU!G62)))))</f>
        <v/>
      </c>
      <c r="O114" s="372">
        <f>IF(J114="","",IF(OR($B$4="Financeiro",$B$4="PCs"),IF(OR(K114="",M114=""),"",ROUND(K114*M114,2)),IF($B$4="Itens",IF(OR(L114="",M114=""),"",ROUND(L114*M114,2)),"")))</f>
        <v/>
      </c>
      <c r="P114" s="372">
        <f>IF(J114="","",IF(OR($B$4="Financeiro",$B$4="PCs"),IF(OR(K114="",N114=""),"",ROUND(K114*N114,2)),IF($B$4="Itens",IF(OR(L114="",N114=""),"",ROUND(L114*N114,2)),"")))</f>
        <v/>
      </c>
      <c r="Q114" s="152">
        <f>IF(J114="","",IF(OR(M114="",AND(OR($B$4="Financeiro",$B$4="PCs"),K114=""),AND($B$4="Itens",L114="")),"INCOMPLETO",IF(AND(ISNUMBER(K114),ISNUMBER(L114),ABS(K114-L114)/MAX(ABS(IF(OR($B$4="Financeiro",$B$4="PCs"),K114,L114)),1)&gt;$D$4),"DIVERGENTE","OK")))</f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/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/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/>
      </c>
    </row>
    <row r="115" hidden="1" outlineLevel="1" s="289">
      <c r="A115" s="147">
        <f>IF(historico_VU!A63="","",historico_VU!A63)</f>
        <v/>
      </c>
      <c r="B115" s="148">
        <f>IF(A115="","",historico_VU!B63)</f>
        <v/>
      </c>
      <c r="C115" s="149">
        <f>IF(A115="","",historico_VU!C63)</f>
        <v/>
      </c>
      <c r="D115" s="149">
        <f>IF(A115="","",historico_VU!D63)</f>
        <v/>
      </c>
      <c r="E115" s="149">
        <f>IF(A115="","",historico_VU!E63)</f>
        <v/>
      </c>
      <c r="F115" s="149">
        <f>IF(A115="","",historico_VU!F63)</f>
        <v/>
      </c>
      <c r="G115" s="149">
        <f>IF(A115="","",historico_VU!G63)</f>
        <v/>
      </c>
      <c r="H115" s="150">
        <f>IF(A115="","",historico_VU!H63)</f>
        <v/>
      </c>
      <c r="I115" s="62" t="n"/>
      <c r="J115" s="147">
        <f>IF(itens_Remanesc!A63="","",itens_Remanesc!A63)</f>
        <v/>
      </c>
      <c r="K115" s="148">
        <f>IF(J115="","",IF($F$4="C0",itens_Remanesc!B63,IF($F$4="C1",itens_Remanesc!E63,IF($F$4="C2",itens_Remanesc!G63,IF($F$4="C3",itens_Remanesc!I63,itens_Remanesc!K63)))))</f>
        <v/>
      </c>
      <c r="L115" s="148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372">
        <f>IF(J115="","",itens_Remanesc!C63)</f>
        <v/>
      </c>
      <c r="N115" s="372">
        <f>IF(J115="","",IF($F$4="C0",historico_VU!C63,IF($F$4="C1",historico_VU!D63,IF($F$4="C2",historico_VU!E63,IF($F$4="C3",historico_VU!F63,historico_VU!G63)))))</f>
        <v/>
      </c>
      <c r="O115" s="372">
        <f>IF(J115="","",IF(OR($B$4="Financeiro",$B$4="PCs"),IF(OR(K115="",M115=""),"",ROUND(K115*M115,2)),IF($B$4="Itens",IF(OR(L115="",M115=""),"",ROUND(L115*M115,2)),"")))</f>
        <v/>
      </c>
      <c r="P115" s="372">
        <f>IF(J115="","",IF(OR($B$4="Financeiro",$B$4="PCs"),IF(OR(K115="",N115=""),"",ROUND(K115*N115,2)),IF($B$4="Itens",IF(OR(L115="",N115=""),"",ROUND(L115*N115,2)),"")))</f>
        <v/>
      </c>
      <c r="Q115" s="152">
        <f>IF(J115="","",IF(OR(M115="",AND(OR($B$4="Financeiro",$B$4="PCs"),K115=""),AND($B$4="Itens",L115="")),"INCOMPLETO",IF(AND(ISNUMBER(K115),ISNUMBER(L115),ABS(K115-L115)/MAX(ABS(IF(OR($B$4="Financeiro",$B$4="PCs"),K115,L115)),1)&gt;$D$4),"DIVERGENTE","OK")))</f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/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/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/>
      </c>
    </row>
    <row r="116" hidden="1" outlineLevel="1" s="289">
      <c r="A116" s="147">
        <f>IF(historico_VU!A64="","",historico_VU!A64)</f>
        <v/>
      </c>
      <c r="B116" s="148">
        <f>IF(A116="","",historico_VU!B64)</f>
        <v/>
      </c>
      <c r="C116" s="149">
        <f>IF(A116="","",historico_VU!C64)</f>
        <v/>
      </c>
      <c r="D116" s="149">
        <f>IF(A116="","",historico_VU!D64)</f>
        <v/>
      </c>
      <c r="E116" s="149">
        <f>IF(A116="","",historico_VU!E64)</f>
        <v/>
      </c>
      <c r="F116" s="149">
        <f>IF(A116="","",historico_VU!F64)</f>
        <v/>
      </c>
      <c r="G116" s="149">
        <f>IF(A116="","",historico_VU!G64)</f>
        <v/>
      </c>
      <c r="H116" s="150">
        <f>IF(A116="","",historico_VU!H64)</f>
        <v/>
      </c>
      <c r="I116" s="62" t="n"/>
      <c r="J116" s="147">
        <f>IF(itens_Remanesc!A64="","",itens_Remanesc!A64)</f>
        <v/>
      </c>
      <c r="K116" s="148">
        <f>IF(J116="","",IF($F$4="C0",itens_Remanesc!B64,IF($F$4="C1",itens_Remanesc!E64,IF($F$4="C2",itens_Remanesc!G64,IF($F$4="C3",itens_Remanesc!I64,itens_Remanesc!K64)))))</f>
        <v/>
      </c>
      <c r="L116" s="148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372">
        <f>IF(J116="","",itens_Remanesc!C64)</f>
        <v/>
      </c>
      <c r="N116" s="372">
        <f>IF(J116="","",IF($F$4="C0",historico_VU!C64,IF($F$4="C1",historico_VU!D64,IF($F$4="C2",historico_VU!E64,IF($F$4="C3",historico_VU!F64,historico_VU!G64)))))</f>
        <v/>
      </c>
      <c r="O116" s="372">
        <f>IF(J116="","",IF(OR($B$4="Financeiro",$B$4="PCs"),IF(OR(K116="",M116=""),"",ROUND(K116*M116,2)),IF($B$4="Itens",IF(OR(L116="",M116=""),"",ROUND(L116*M116,2)),"")))</f>
        <v/>
      </c>
      <c r="P116" s="372">
        <f>IF(J116="","",IF(OR($B$4="Financeiro",$B$4="PCs"),IF(OR(K116="",N116=""),"",ROUND(K116*N116,2)),IF($B$4="Itens",IF(OR(L116="",N116=""),"",ROUND(L116*N116,2)),"")))</f>
        <v/>
      </c>
      <c r="Q116" s="152">
        <f>IF(J116="","",IF(OR(M116="",AND(OR($B$4="Financeiro",$B$4="PCs"),K116=""),AND($B$4="Itens",L116="")),"INCOMPLETO",IF(AND(ISNUMBER(K116),ISNUMBER(L116),ABS(K116-L116)/MAX(ABS(IF(OR($B$4="Financeiro",$B$4="PCs"),K116,L116)),1)&gt;$D$4),"DIVERGENTE","OK")))</f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/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/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/>
      </c>
    </row>
    <row r="117" hidden="1" outlineLevel="1" s="289">
      <c r="A117" s="147">
        <f>IF(historico_VU!A65="","",historico_VU!A65)</f>
        <v/>
      </c>
      <c r="B117" s="148">
        <f>IF(A117="","",historico_VU!B65)</f>
        <v/>
      </c>
      <c r="C117" s="149">
        <f>IF(A117="","",historico_VU!C65)</f>
        <v/>
      </c>
      <c r="D117" s="149">
        <f>IF(A117="","",historico_VU!D65)</f>
        <v/>
      </c>
      <c r="E117" s="149">
        <f>IF(A117="","",historico_VU!E65)</f>
        <v/>
      </c>
      <c r="F117" s="149">
        <f>IF(A117="","",historico_VU!F65)</f>
        <v/>
      </c>
      <c r="G117" s="149">
        <f>IF(A117="","",historico_VU!G65)</f>
        <v/>
      </c>
      <c r="H117" s="150">
        <f>IF(A117="","",historico_VU!H65)</f>
        <v/>
      </c>
      <c r="I117" s="62" t="n"/>
      <c r="J117" s="147">
        <f>IF(itens_Remanesc!A65="","",itens_Remanesc!A65)</f>
        <v/>
      </c>
      <c r="K117" s="148">
        <f>IF(J117="","",IF($F$4="C0",itens_Remanesc!B65,IF($F$4="C1",itens_Remanesc!E65,IF($F$4="C2",itens_Remanesc!G65,IF($F$4="C3",itens_Remanesc!I65,itens_Remanesc!K65)))))</f>
        <v/>
      </c>
      <c r="L117" s="148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372">
        <f>IF(J117="","",itens_Remanesc!C65)</f>
        <v/>
      </c>
      <c r="N117" s="372">
        <f>IF(J117="","",IF($F$4="C0",historico_VU!C65,IF($F$4="C1",historico_VU!D65,IF($F$4="C2",historico_VU!E65,IF($F$4="C3",historico_VU!F65,historico_VU!G65)))))</f>
        <v/>
      </c>
      <c r="O117" s="372">
        <f>IF(J117="","",IF(OR($B$4="Financeiro",$B$4="PCs"),IF(OR(K117="",M117=""),"",ROUND(K117*M117,2)),IF($B$4="Itens",IF(OR(L117="",M117=""),"",ROUND(L117*M117,2)),"")))</f>
        <v/>
      </c>
      <c r="P117" s="372">
        <f>IF(J117="","",IF(OR($B$4="Financeiro",$B$4="PCs"),IF(OR(K117="",N117=""),"",ROUND(K117*N117,2)),IF($B$4="Itens",IF(OR(L117="",N117=""),"",ROUND(L117*N117,2)),"")))</f>
        <v/>
      </c>
      <c r="Q117" s="152">
        <f>IF(J117="","",IF(OR(M117="",AND(OR($B$4="Financeiro",$B$4="PCs"),K117=""),AND($B$4="Itens",L117="")),"INCOMPLETO",IF(AND(ISNUMBER(K117),ISNUMBER(L117),ABS(K117-L117)/MAX(ABS(IF(OR($B$4="Financeiro",$B$4="PCs"),K117,L117)),1)&gt;$D$4),"DIVERGENTE","OK")))</f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/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/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/>
      </c>
    </row>
    <row r="118" hidden="1" outlineLevel="1" s="289">
      <c r="A118" s="147">
        <f>IF(historico_VU!A66="","",historico_VU!A66)</f>
        <v/>
      </c>
      <c r="B118" s="148">
        <f>IF(A118="","",historico_VU!B66)</f>
        <v/>
      </c>
      <c r="C118" s="149">
        <f>IF(A118="","",historico_VU!C66)</f>
        <v/>
      </c>
      <c r="D118" s="149">
        <f>IF(A118="","",historico_VU!D66)</f>
        <v/>
      </c>
      <c r="E118" s="149">
        <f>IF(A118="","",historico_VU!E66)</f>
        <v/>
      </c>
      <c r="F118" s="149">
        <f>IF(A118="","",historico_VU!F66)</f>
        <v/>
      </c>
      <c r="G118" s="149">
        <f>IF(A118="","",historico_VU!G66)</f>
        <v/>
      </c>
      <c r="H118" s="150">
        <f>IF(A118="","",historico_VU!H66)</f>
        <v/>
      </c>
      <c r="I118" s="62" t="n"/>
      <c r="J118" s="147">
        <f>IF(itens_Remanesc!A66="","",itens_Remanesc!A66)</f>
        <v/>
      </c>
      <c r="K118" s="148">
        <f>IF(J118="","",IF($F$4="C0",itens_Remanesc!B66,IF($F$4="C1",itens_Remanesc!E66,IF($F$4="C2",itens_Remanesc!G66,IF($F$4="C3",itens_Remanesc!I66,itens_Remanesc!K66)))))</f>
        <v/>
      </c>
      <c r="L118" s="148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372">
        <f>IF(J118="","",itens_Remanesc!C66)</f>
        <v/>
      </c>
      <c r="N118" s="372">
        <f>IF(J118="","",IF($F$4="C0",historico_VU!C66,IF($F$4="C1",historico_VU!D66,IF($F$4="C2",historico_VU!E66,IF($F$4="C3",historico_VU!F66,historico_VU!G66)))))</f>
        <v/>
      </c>
      <c r="O118" s="372">
        <f>IF(J118="","",IF(OR($B$4="Financeiro",$B$4="PCs"),IF(OR(K118="",M118=""),"",ROUND(K118*M118,2)),IF($B$4="Itens",IF(OR(L118="",M118=""),"",ROUND(L118*M118,2)),"")))</f>
        <v/>
      </c>
      <c r="P118" s="372">
        <f>IF(J118="","",IF(OR($B$4="Financeiro",$B$4="PCs"),IF(OR(K118="",N118=""),"",ROUND(K118*N118,2)),IF($B$4="Itens",IF(OR(L118="",N118=""),"",ROUND(L118*N118,2)),"")))</f>
        <v/>
      </c>
      <c r="Q118" s="152">
        <f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/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/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/>
      </c>
    </row>
    <row r="119" hidden="1" outlineLevel="1" s="289">
      <c r="A119" s="147">
        <f>IF(historico_VU!A67="","",historico_VU!A67)</f>
        <v/>
      </c>
      <c r="B119" s="148">
        <f>IF(A119="","",historico_VU!B67)</f>
        <v/>
      </c>
      <c r="C119" s="149">
        <f>IF(A119="","",historico_VU!C67)</f>
        <v/>
      </c>
      <c r="D119" s="149">
        <f>IF(A119="","",historico_VU!D67)</f>
        <v/>
      </c>
      <c r="E119" s="149">
        <f>IF(A119="","",historico_VU!E67)</f>
        <v/>
      </c>
      <c r="F119" s="149">
        <f>IF(A119="","",historico_VU!F67)</f>
        <v/>
      </c>
      <c r="G119" s="149">
        <f>IF(A119="","",historico_VU!G67)</f>
        <v/>
      </c>
      <c r="H119" s="150">
        <f>IF(A119="","",historico_VU!H67)</f>
        <v/>
      </c>
      <c r="I119" s="62" t="n"/>
      <c r="J119" s="147">
        <f>IF(itens_Remanesc!A67="","",itens_Remanesc!A67)</f>
        <v/>
      </c>
      <c r="K119" s="148">
        <f>IF(J119="","",IF($F$4="C0",itens_Remanesc!B67,IF($F$4="C1",itens_Remanesc!E67,IF($F$4="C2",itens_Remanesc!G67,IF($F$4="C3",itens_Remanesc!I67,itens_Remanesc!K67)))))</f>
        <v/>
      </c>
      <c r="L119" s="148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372">
        <f>IF(J119="","",itens_Remanesc!C67)</f>
        <v/>
      </c>
      <c r="N119" s="372">
        <f>IF(J119="","",IF($F$4="C0",historico_VU!C67,IF($F$4="C1",historico_VU!D67,IF($F$4="C2",historico_VU!E67,IF($F$4="C3",historico_VU!F67,historico_VU!G67)))))</f>
        <v/>
      </c>
      <c r="O119" s="372">
        <f>IF(J119="","",IF(OR($B$4="Financeiro",$B$4="PCs"),IF(OR(K119="",M119=""),"",ROUND(K119*M119,2)),IF($B$4="Itens",IF(OR(L119="",M119=""),"",ROUND(L119*M119,2)),"")))</f>
        <v/>
      </c>
      <c r="P119" s="372">
        <f>IF(J119="","",IF(OR($B$4="Financeiro",$B$4="PCs"),IF(OR(K119="",N119=""),"",ROUND(K119*N119,2)),IF($B$4="Itens",IF(OR(L119="",N119=""),"",ROUND(L119*N119,2)),"")))</f>
        <v/>
      </c>
      <c r="Q119" s="152">
        <f>IF(J119="","",IF(OR(M119="",AND(OR($B$4="Financeiro",$B$4="PCs"),K119=""),AND($B$4="Itens",L119="")),"INCOMPLETO",IF(AND(ISNUMBER(K119),ISNUMBER(L119),ABS(K119-L119)/MAX(ABS(IF(OR($B$4="Financeiro",$B$4="PCs"),K119,L119)),1)&gt;$D$4),"DIVERGENTE","OK")))</f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/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/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/>
      </c>
    </row>
    <row r="120" hidden="1" outlineLevel="1" s="289">
      <c r="A120" s="147">
        <f>IF(historico_VU!A68="","",historico_VU!A68)</f>
        <v/>
      </c>
      <c r="B120" s="148">
        <f>IF(A120="","",historico_VU!B68)</f>
        <v/>
      </c>
      <c r="C120" s="149">
        <f>IF(A120="","",historico_VU!C68)</f>
        <v/>
      </c>
      <c r="D120" s="149">
        <f>IF(A120="","",historico_VU!D68)</f>
        <v/>
      </c>
      <c r="E120" s="149">
        <f>IF(A120="","",historico_VU!E68)</f>
        <v/>
      </c>
      <c r="F120" s="149">
        <f>IF(A120="","",historico_VU!F68)</f>
        <v/>
      </c>
      <c r="G120" s="149">
        <f>IF(A120="","",historico_VU!G68)</f>
        <v/>
      </c>
      <c r="H120" s="150">
        <f>IF(A120="","",historico_VU!H68)</f>
        <v/>
      </c>
      <c r="I120" s="62" t="n"/>
      <c r="J120" s="147">
        <f>IF(itens_Remanesc!A68="","",itens_Remanesc!A68)</f>
        <v/>
      </c>
      <c r="K120" s="148">
        <f>IF(J120="","",IF($F$4="C0",itens_Remanesc!B68,IF($F$4="C1",itens_Remanesc!E68,IF($F$4="C2",itens_Remanesc!G68,IF($F$4="C3",itens_Remanesc!I68,itens_Remanesc!K68)))))</f>
        <v/>
      </c>
      <c r="L120" s="148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372">
        <f>IF(J120="","",itens_Remanesc!C68)</f>
        <v/>
      </c>
      <c r="N120" s="372">
        <f>IF(J120="","",IF($F$4="C0",historico_VU!C68,IF($F$4="C1",historico_VU!D68,IF($F$4="C2",historico_VU!E68,IF($F$4="C3",historico_VU!F68,historico_VU!G68)))))</f>
        <v/>
      </c>
      <c r="O120" s="372">
        <f>IF(J120="","",IF(OR($B$4="Financeiro",$B$4="PCs"),IF(OR(K120="",M120=""),"",ROUND(K120*M120,2)),IF($B$4="Itens",IF(OR(L120="",M120=""),"",ROUND(L120*M120,2)),"")))</f>
        <v/>
      </c>
      <c r="P120" s="372">
        <f>IF(J120="","",IF(OR($B$4="Financeiro",$B$4="PCs"),IF(OR(K120="",N120=""),"",ROUND(K120*N120,2)),IF($B$4="Itens",IF(OR(L120="",N120=""),"",ROUND(L120*N120,2)),"")))</f>
        <v/>
      </c>
      <c r="Q120" s="152">
        <f>IF(J120="","",IF(OR(M120="",AND(OR($B$4="Financeiro",$B$4="PCs"),K120=""),AND($B$4="Itens",L120="")),"INCOMPLETO",IF(AND(ISNUMBER(K120),ISNUMBER(L120),ABS(K120-L120)/MAX(ABS(IF(OR($B$4="Financeiro",$B$4="PCs"),K120,L120)),1)&gt;$D$4),"DIVERGENTE","OK")))</f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/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/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/>
      </c>
    </row>
    <row r="121" hidden="1" outlineLevel="1" s="289">
      <c r="A121" s="147">
        <f>IF(historico_VU!A69="","",historico_VU!A69)</f>
        <v/>
      </c>
      <c r="B121" s="148">
        <f>IF(A121="","",historico_VU!B69)</f>
        <v/>
      </c>
      <c r="C121" s="149">
        <f>IF(A121="","",historico_VU!C69)</f>
        <v/>
      </c>
      <c r="D121" s="149">
        <f>IF(A121="","",historico_VU!D69)</f>
        <v/>
      </c>
      <c r="E121" s="149">
        <f>IF(A121="","",historico_VU!E69)</f>
        <v/>
      </c>
      <c r="F121" s="149">
        <f>IF(A121="","",historico_VU!F69)</f>
        <v/>
      </c>
      <c r="G121" s="149">
        <f>IF(A121="","",historico_VU!G69)</f>
        <v/>
      </c>
      <c r="H121" s="150">
        <f>IF(A121="","",historico_VU!H69)</f>
        <v/>
      </c>
      <c r="I121" s="62" t="n"/>
      <c r="J121" s="147">
        <f>IF(itens_Remanesc!A69="","",itens_Remanesc!A69)</f>
        <v/>
      </c>
      <c r="K121" s="148">
        <f>IF(J121="","",IF($F$4="C0",itens_Remanesc!B69,IF($F$4="C1",itens_Remanesc!E69,IF($F$4="C2",itens_Remanesc!G69,IF($F$4="C3",itens_Remanesc!I69,itens_Remanesc!K69)))))</f>
        <v/>
      </c>
      <c r="L121" s="148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372">
        <f>IF(J121="","",itens_Remanesc!C69)</f>
        <v/>
      </c>
      <c r="N121" s="372">
        <f>IF(J121="","",IF($F$4="C0",historico_VU!C69,IF($F$4="C1",historico_VU!D69,IF($F$4="C2",historico_VU!E69,IF($F$4="C3",historico_VU!F69,historico_VU!G69)))))</f>
        <v/>
      </c>
      <c r="O121" s="372">
        <f>IF(J121="","",IF(OR($B$4="Financeiro",$B$4="PCs"),IF(OR(K121="",M121=""),"",ROUND(K121*M121,2)),IF($B$4="Itens",IF(OR(L121="",M121=""),"",ROUND(L121*M121,2)),"")))</f>
        <v/>
      </c>
      <c r="P121" s="372">
        <f>IF(J121="","",IF(OR($B$4="Financeiro",$B$4="PCs"),IF(OR(K121="",N121=""),"",ROUND(K121*N121,2)),IF($B$4="Itens",IF(OR(L121="",N121=""),"",ROUND(L121*N121,2)),"")))</f>
        <v/>
      </c>
      <c r="Q121" s="152">
        <f>IF(J121="","",IF(OR(M121="",AND(OR($B$4="Financeiro",$B$4="PCs"),K121=""),AND($B$4="Itens",L121="")),"INCOMPLETO",IF(AND(ISNUMBER(K121),ISNUMBER(L121),ABS(K121-L121)/MAX(ABS(IF(OR($B$4="Financeiro",$B$4="PCs"),K121,L121)),1)&gt;$D$4),"DIVERGENTE","OK")))</f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/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/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/>
      </c>
    </row>
    <row r="122" hidden="1" outlineLevel="1" s="289">
      <c r="A122" s="147">
        <f>IF(historico_VU!A70="","",historico_VU!A70)</f>
        <v/>
      </c>
      <c r="B122" s="148">
        <f>IF(A122="","",historico_VU!B70)</f>
        <v/>
      </c>
      <c r="C122" s="149">
        <f>IF(A122="","",historico_VU!C70)</f>
        <v/>
      </c>
      <c r="D122" s="149">
        <f>IF(A122="","",historico_VU!D70)</f>
        <v/>
      </c>
      <c r="E122" s="149">
        <f>IF(A122="","",historico_VU!E70)</f>
        <v/>
      </c>
      <c r="F122" s="149">
        <f>IF(A122="","",historico_VU!F70)</f>
        <v/>
      </c>
      <c r="G122" s="149">
        <f>IF(A122="","",historico_VU!G70)</f>
        <v/>
      </c>
      <c r="H122" s="150">
        <f>IF(A122="","",historico_VU!H70)</f>
        <v/>
      </c>
      <c r="I122" s="62" t="n"/>
      <c r="J122" s="147">
        <f>IF(itens_Remanesc!A70="","",itens_Remanesc!A70)</f>
        <v/>
      </c>
      <c r="K122" s="148">
        <f>IF(J122="","",IF($F$4="C0",itens_Remanesc!B70,IF($F$4="C1",itens_Remanesc!E70,IF($F$4="C2",itens_Remanesc!G70,IF($F$4="C3",itens_Remanesc!I70,itens_Remanesc!K70)))))</f>
        <v/>
      </c>
      <c r="L122" s="148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372">
        <f>IF(J122="","",itens_Remanesc!C70)</f>
        <v/>
      </c>
      <c r="N122" s="372">
        <f>IF(J122="","",IF($F$4="C0",historico_VU!C70,IF($F$4="C1",historico_VU!D70,IF($F$4="C2",historico_VU!E70,IF($F$4="C3",historico_VU!F70,historico_VU!G70)))))</f>
        <v/>
      </c>
      <c r="O122" s="372">
        <f>IF(J122="","",IF(OR($B$4="Financeiro",$B$4="PCs"),IF(OR(K122="",M122=""),"",ROUND(K122*M122,2)),IF($B$4="Itens",IF(OR(L122="",M122=""),"",ROUND(L122*M122,2)),"")))</f>
        <v/>
      </c>
      <c r="P122" s="372">
        <f>IF(J122="","",IF(OR($B$4="Financeiro",$B$4="PCs"),IF(OR(K122="",N122=""),"",ROUND(K122*N122,2)),IF($B$4="Itens",IF(OR(L122="",N122=""),"",ROUND(L122*N122,2)),"")))</f>
        <v/>
      </c>
      <c r="Q122" s="152">
        <f>IF(J122="","",IF(OR(M122="",AND(OR($B$4="Financeiro",$B$4="PCs"),K122=""),AND($B$4="Itens",L122="")),"INCOMPLETO",IF(AND(ISNUMBER(K122),ISNUMBER(L122),ABS(K122-L122)/MAX(ABS(IF(OR($B$4="Financeiro",$B$4="PCs"),K122,L122)),1)&gt;$D$4),"DIVERGENTE","OK")))</f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/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/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/>
      </c>
    </row>
    <row r="123" hidden="1" outlineLevel="1" s="289">
      <c r="A123" s="147">
        <f>IF(historico_VU!A71="","",historico_VU!A71)</f>
        <v/>
      </c>
      <c r="B123" s="148">
        <f>IF(A123="","",historico_VU!B71)</f>
        <v/>
      </c>
      <c r="C123" s="149">
        <f>IF(A123="","",historico_VU!C71)</f>
        <v/>
      </c>
      <c r="D123" s="149">
        <f>IF(A123="","",historico_VU!D71)</f>
        <v/>
      </c>
      <c r="E123" s="149">
        <f>IF(A123="","",historico_VU!E71)</f>
        <v/>
      </c>
      <c r="F123" s="149">
        <f>IF(A123="","",historico_VU!F71)</f>
        <v/>
      </c>
      <c r="G123" s="149">
        <f>IF(A123="","",historico_VU!G71)</f>
        <v/>
      </c>
      <c r="H123" s="150">
        <f>IF(A123="","",historico_VU!H71)</f>
        <v/>
      </c>
      <c r="I123" s="62" t="n"/>
      <c r="J123" s="147">
        <f>IF(itens_Remanesc!A71="","",itens_Remanesc!A71)</f>
        <v/>
      </c>
      <c r="K123" s="148">
        <f>IF(J123="","",IF($F$4="C0",itens_Remanesc!B71,IF($F$4="C1",itens_Remanesc!E71,IF($F$4="C2",itens_Remanesc!G71,IF($F$4="C3",itens_Remanesc!I71,itens_Remanesc!K71)))))</f>
        <v/>
      </c>
      <c r="L123" s="148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372">
        <f>IF(J123="","",itens_Remanesc!C71)</f>
        <v/>
      </c>
      <c r="N123" s="372">
        <f>IF(J123="","",IF($F$4="C0",historico_VU!C71,IF($F$4="C1",historico_VU!D71,IF($F$4="C2",historico_VU!E71,IF($F$4="C3",historico_VU!F71,historico_VU!G71)))))</f>
        <v/>
      </c>
      <c r="O123" s="372">
        <f>IF(J123="","",IF(OR($B$4="Financeiro",$B$4="PCs"),IF(OR(K123="",M123=""),"",ROUND(K123*M123,2)),IF($B$4="Itens",IF(OR(L123="",M123=""),"",ROUND(L123*M123,2)),"")))</f>
        <v/>
      </c>
      <c r="P123" s="372">
        <f>IF(J123="","",IF(OR($B$4="Financeiro",$B$4="PCs"),IF(OR(K123="",N123=""),"",ROUND(K123*N123,2)),IF($B$4="Itens",IF(OR(L123="",N123=""),"",ROUND(L123*N123,2)),"")))</f>
        <v/>
      </c>
      <c r="Q123" s="152">
        <f>IF(J123="","",IF(OR(M123="",AND(OR($B$4="Financeiro",$B$4="PCs"),K123=""),AND($B$4="Itens",L123="")),"INCOMPLETO",IF(AND(ISNUMBER(K123),ISNUMBER(L123),ABS(K123-L123)/MAX(ABS(IF(OR($B$4="Financeiro",$B$4="PCs"),K123,L123)),1)&gt;$D$4),"DIVERGENTE","OK")))</f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/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/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/>
      </c>
    </row>
    <row r="124" hidden="1" outlineLevel="1" s="289">
      <c r="A124" s="147">
        <f>IF(historico_VU!A72="","",historico_VU!A72)</f>
        <v/>
      </c>
      <c r="B124" s="148">
        <f>IF(A124="","",historico_VU!B72)</f>
        <v/>
      </c>
      <c r="C124" s="149">
        <f>IF(A124="","",historico_VU!C72)</f>
        <v/>
      </c>
      <c r="D124" s="149">
        <f>IF(A124="","",historico_VU!D72)</f>
        <v/>
      </c>
      <c r="E124" s="149">
        <f>IF(A124="","",historico_VU!E72)</f>
        <v/>
      </c>
      <c r="F124" s="149">
        <f>IF(A124="","",historico_VU!F72)</f>
        <v/>
      </c>
      <c r="G124" s="149">
        <f>IF(A124="","",historico_VU!G72)</f>
        <v/>
      </c>
      <c r="H124" s="150">
        <f>IF(A124="","",historico_VU!H72)</f>
        <v/>
      </c>
      <c r="I124" s="62" t="n"/>
      <c r="J124" s="147">
        <f>IF(itens_Remanesc!A72="","",itens_Remanesc!A72)</f>
        <v/>
      </c>
      <c r="K124" s="148">
        <f>IF(J124="","",IF($F$4="C0",itens_Remanesc!B72,IF($F$4="C1",itens_Remanesc!E72,IF($F$4="C2",itens_Remanesc!G72,IF($F$4="C3",itens_Remanesc!I72,itens_Remanesc!K72)))))</f>
        <v/>
      </c>
      <c r="L124" s="148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372">
        <f>IF(J124="","",itens_Remanesc!C72)</f>
        <v/>
      </c>
      <c r="N124" s="372">
        <f>IF(J124="","",IF($F$4="C0",historico_VU!C72,IF($F$4="C1",historico_VU!D72,IF($F$4="C2",historico_VU!E72,IF($F$4="C3",historico_VU!F72,historico_VU!G72)))))</f>
        <v/>
      </c>
      <c r="O124" s="372">
        <f>IF(J124="","",IF(OR($B$4="Financeiro",$B$4="PCs"),IF(OR(K124="",M124=""),"",ROUND(K124*M124,2)),IF($B$4="Itens",IF(OR(L124="",M124=""),"",ROUND(L124*M124,2)),"")))</f>
        <v/>
      </c>
      <c r="P124" s="372">
        <f>IF(J124="","",IF(OR($B$4="Financeiro",$B$4="PCs"),IF(OR(K124="",N124=""),"",ROUND(K124*N124,2)),IF($B$4="Itens",IF(OR(L124="",N124=""),"",ROUND(L124*N124,2)),"")))</f>
        <v/>
      </c>
      <c r="Q124" s="152">
        <f>IF(J124="","",IF(OR(M124="",AND(OR($B$4="Financeiro",$B$4="PCs"),K124=""),AND($B$4="Itens",L124="")),"INCOMPLETO",IF(AND(ISNUMBER(K124),ISNUMBER(L124),ABS(K124-L124)/MAX(ABS(IF(OR($B$4="Financeiro",$B$4="PCs"),K124,L124)),1)&gt;$D$4),"DIVERGENTE","OK")))</f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/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/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/>
      </c>
    </row>
    <row r="125" hidden="1" outlineLevel="1" s="289">
      <c r="A125" s="147">
        <f>IF(historico_VU!A73="","",historico_VU!A73)</f>
        <v/>
      </c>
      <c r="B125" s="148">
        <f>IF(A125="","",historico_VU!B73)</f>
        <v/>
      </c>
      <c r="C125" s="149">
        <f>IF(A125="","",historico_VU!C73)</f>
        <v/>
      </c>
      <c r="D125" s="149">
        <f>IF(A125="","",historico_VU!D73)</f>
        <v/>
      </c>
      <c r="E125" s="149">
        <f>IF(A125="","",historico_VU!E73)</f>
        <v/>
      </c>
      <c r="F125" s="149">
        <f>IF(A125="","",historico_VU!F73)</f>
        <v/>
      </c>
      <c r="G125" s="149">
        <f>IF(A125="","",historico_VU!G73)</f>
        <v/>
      </c>
      <c r="H125" s="150">
        <f>IF(A125="","",historico_VU!H73)</f>
        <v/>
      </c>
      <c r="I125" s="62" t="n"/>
      <c r="J125" s="147">
        <f>IF(itens_Remanesc!A73="","",itens_Remanesc!A73)</f>
        <v/>
      </c>
      <c r="K125" s="148">
        <f>IF(J125="","",IF($F$4="C0",itens_Remanesc!B73,IF($F$4="C1",itens_Remanesc!E73,IF($F$4="C2",itens_Remanesc!G73,IF($F$4="C3",itens_Remanesc!I73,itens_Remanesc!K73)))))</f>
        <v/>
      </c>
      <c r="L125" s="148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372">
        <f>IF(J125="","",itens_Remanesc!C73)</f>
        <v/>
      </c>
      <c r="N125" s="372">
        <f>IF(J125="","",IF($F$4="C0",historico_VU!C73,IF($F$4="C1",historico_VU!D73,IF($F$4="C2",historico_VU!E73,IF($F$4="C3",historico_VU!F73,historico_VU!G73)))))</f>
        <v/>
      </c>
      <c r="O125" s="372">
        <f>IF(J125="","",IF(OR($B$4="Financeiro",$B$4="PCs"),IF(OR(K125="",M125=""),"",ROUND(K125*M125,2)),IF($B$4="Itens",IF(OR(L125="",M125=""),"",ROUND(L125*M125,2)),"")))</f>
        <v/>
      </c>
      <c r="P125" s="372">
        <f>IF(J125="","",IF(OR($B$4="Financeiro",$B$4="PCs"),IF(OR(K125="",N125=""),"",ROUND(K125*N125,2)),IF($B$4="Itens",IF(OR(L125="",N125=""),"",ROUND(L125*N125,2)),"")))</f>
        <v/>
      </c>
      <c r="Q125" s="152">
        <f>IF(J125="","",IF(OR(M125="",AND(OR($B$4="Financeiro",$B$4="PCs"),K125=""),AND($B$4="Itens",L125="")),"INCOMPLETO",IF(AND(ISNUMBER(K125),ISNUMBER(L125),ABS(K125-L125)/MAX(ABS(IF(OR($B$4="Financeiro",$B$4="PCs"),K125,L125)),1)&gt;$D$4),"DIVERGENTE","OK")))</f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/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/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/>
      </c>
    </row>
    <row r="126" hidden="1" outlineLevel="1" s="289">
      <c r="A126" s="147">
        <f>IF(historico_VU!A74="","",historico_VU!A74)</f>
        <v/>
      </c>
      <c r="B126" s="148">
        <f>IF(A126="","",historico_VU!B74)</f>
        <v/>
      </c>
      <c r="C126" s="149">
        <f>IF(A126="","",historico_VU!C74)</f>
        <v/>
      </c>
      <c r="D126" s="149">
        <f>IF(A126="","",historico_VU!D74)</f>
        <v/>
      </c>
      <c r="E126" s="149">
        <f>IF(A126="","",historico_VU!E74)</f>
        <v/>
      </c>
      <c r="F126" s="149">
        <f>IF(A126="","",historico_VU!F74)</f>
        <v/>
      </c>
      <c r="G126" s="149">
        <f>IF(A126="","",historico_VU!G74)</f>
        <v/>
      </c>
      <c r="H126" s="150">
        <f>IF(A126="","",historico_VU!H74)</f>
        <v/>
      </c>
      <c r="I126" s="62" t="n"/>
      <c r="J126" s="147">
        <f>IF(itens_Remanesc!A74="","",itens_Remanesc!A74)</f>
        <v/>
      </c>
      <c r="K126" s="148">
        <f>IF(J126="","",IF($F$4="C0",itens_Remanesc!B74,IF($F$4="C1",itens_Remanesc!E74,IF($F$4="C2",itens_Remanesc!G74,IF($F$4="C3",itens_Remanesc!I74,itens_Remanesc!K74)))))</f>
        <v/>
      </c>
      <c r="L126" s="148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372">
        <f>IF(J126="","",itens_Remanesc!C74)</f>
        <v/>
      </c>
      <c r="N126" s="372">
        <f>IF(J126="","",IF($F$4="C0",historico_VU!C74,IF($F$4="C1",historico_VU!D74,IF($F$4="C2",historico_VU!E74,IF($F$4="C3",historico_VU!F74,historico_VU!G74)))))</f>
        <v/>
      </c>
      <c r="O126" s="372">
        <f>IF(J126="","",IF(OR($B$4="Financeiro",$B$4="PCs"),IF(OR(K126="",M126=""),"",ROUND(K126*M126,2)),IF($B$4="Itens",IF(OR(L126="",M126=""),"",ROUND(L126*M126,2)),"")))</f>
        <v/>
      </c>
      <c r="P126" s="372">
        <f>IF(J126="","",IF(OR($B$4="Financeiro",$B$4="PCs"),IF(OR(K126="",N126=""),"",ROUND(K126*N126,2)),IF($B$4="Itens",IF(OR(L126="",N126=""),"",ROUND(L126*N126,2)),"")))</f>
        <v/>
      </c>
      <c r="Q126" s="152">
        <f>IF(J126="","",IF(OR(M126="",AND(OR($B$4="Financeiro",$B$4="PCs"),K126=""),AND($B$4="Itens",L126="")),"INCOMPLETO",IF(AND(ISNUMBER(K126),ISNUMBER(L126),ABS(K126-L126)/MAX(ABS(IF(OR($B$4="Financeiro",$B$4="PCs"),K126,L126)),1)&gt;$D$4),"DIVERGENTE","OK")))</f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/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/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/>
      </c>
    </row>
    <row r="127" hidden="1" outlineLevel="1" s="289">
      <c r="A127" s="147">
        <f>IF(historico_VU!A75="","",historico_VU!A75)</f>
        <v/>
      </c>
      <c r="B127" s="148">
        <f>IF(A127="","",historico_VU!B75)</f>
        <v/>
      </c>
      <c r="C127" s="149">
        <f>IF(A127="","",historico_VU!C75)</f>
        <v/>
      </c>
      <c r="D127" s="149">
        <f>IF(A127="","",historico_VU!D75)</f>
        <v/>
      </c>
      <c r="E127" s="149">
        <f>IF(A127="","",historico_VU!E75)</f>
        <v/>
      </c>
      <c r="F127" s="149">
        <f>IF(A127="","",historico_VU!F75)</f>
        <v/>
      </c>
      <c r="G127" s="149">
        <f>IF(A127="","",historico_VU!G75)</f>
        <v/>
      </c>
      <c r="H127" s="150">
        <f>IF(A127="","",historico_VU!H75)</f>
        <v/>
      </c>
      <c r="I127" s="62" t="n"/>
      <c r="J127" s="147">
        <f>IF(itens_Remanesc!A75="","",itens_Remanesc!A75)</f>
        <v/>
      </c>
      <c r="K127" s="148">
        <f>IF(J127="","",IF($F$4="C0",itens_Remanesc!B75,IF($F$4="C1",itens_Remanesc!E75,IF($F$4="C2",itens_Remanesc!G75,IF($F$4="C3",itens_Remanesc!I75,itens_Remanesc!K75)))))</f>
        <v/>
      </c>
      <c r="L127" s="148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372">
        <f>IF(J127="","",itens_Remanesc!C75)</f>
        <v/>
      </c>
      <c r="N127" s="372">
        <f>IF(J127="","",IF($F$4="C0",historico_VU!C75,IF($F$4="C1",historico_VU!D75,IF($F$4="C2",historico_VU!E75,IF($F$4="C3",historico_VU!F75,historico_VU!G75)))))</f>
        <v/>
      </c>
      <c r="O127" s="372">
        <f>IF(J127="","",IF(OR($B$4="Financeiro",$B$4="PCs"),IF(OR(K127="",M127=""),"",ROUND(K127*M127,2)),IF($B$4="Itens",IF(OR(L127="",M127=""),"",ROUND(L127*M127,2)),"")))</f>
        <v/>
      </c>
      <c r="P127" s="372">
        <f>IF(J127="","",IF(OR($B$4="Financeiro",$B$4="PCs"),IF(OR(K127="",N127=""),"",ROUND(K127*N127,2)),IF($B$4="Itens",IF(OR(L127="",N127=""),"",ROUND(L127*N127,2)),"")))</f>
        <v/>
      </c>
      <c r="Q127" s="152">
        <f>IF(J127="","",IF(OR(M127="",AND(OR($B$4="Financeiro",$B$4="PCs"),K127=""),AND($B$4="Itens",L127="")),"INCOMPLETO",IF(AND(ISNUMBER(K127),ISNUMBER(L127),ABS(K127-L127)/MAX(ABS(IF(OR($B$4="Financeiro",$B$4="PCs"),K127,L127)),1)&gt;$D$4),"DIVERGENTE","OK")))</f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/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/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/>
      </c>
    </row>
    <row r="128" hidden="1" outlineLevel="1" s="289">
      <c r="A128" s="147">
        <f>IF(historico_VU!A76="","",historico_VU!A76)</f>
        <v/>
      </c>
      <c r="B128" s="148">
        <f>IF(A128="","",historico_VU!B76)</f>
        <v/>
      </c>
      <c r="C128" s="149">
        <f>IF(A128="","",historico_VU!C76)</f>
        <v/>
      </c>
      <c r="D128" s="149">
        <f>IF(A128="","",historico_VU!D76)</f>
        <v/>
      </c>
      <c r="E128" s="149">
        <f>IF(A128="","",historico_VU!E76)</f>
        <v/>
      </c>
      <c r="F128" s="149">
        <f>IF(A128="","",historico_VU!F76)</f>
        <v/>
      </c>
      <c r="G128" s="149">
        <f>IF(A128="","",historico_VU!G76)</f>
        <v/>
      </c>
      <c r="H128" s="150">
        <f>IF(A128="","",historico_VU!H76)</f>
        <v/>
      </c>
      <c r="I128" s="62" t="n"/>
      <c r="J128" s="147">
        <f>IF(itens_Remanesc!A76="","",itens_Remanesc!A76)</f>
        <v/>
      </c>
      <c r="K128" s="148">
        <f>IF(J128="","",IF($F$4="C0",itens_Remanesc!B76,IF($F$4="C1",itens_Remanesc!E76,IF($F$4="C2",itens_Remanesc!G76,IF($F$4="C3",itens_Remanesc!I76,itens_Remanesc!K76)))))</f>
        <v/>
      </c>
      <c r="L128" s="148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372">
        <f>IF(J128="","",itens_Remanesc!C76)</f>
        <v/>
      </c>
      <c r="N128" s="372">
        <f>IF(J128="","",IF($F$4="C0",historico_VU!C76,IF($F$4="C1",historico_VU!D76,IF($F$4="C2",historico_VU!E76,IF($F$4="C3",historico_VU!F76,historico_VU!G76)))))</f>
        <v/>
      </c>
      <c r="O128" s="372">
        <f>IF(J128="","",IF(OR($B$4="Financeiro",$B$4="PCs"),IF(OR(K128="",M128=""),"",ROUND(K128*M128,2)),IF($B$4="Itens",IF(OR(L128="",M128=""),"",ROUND(L128*M128,2)),"")))</f>
        <v/>
      </c>
      <c r="P128" s="372">
        <f>IF(J128="","",IF(OR($B$4="Financeiro",$B$4="PCs"),IF(OR(K128="",N128=""),"",ROUND(K128*N128,2)),IF($B$4="Itens",IF(OR(L128="",N128=""),"",ROUND(L128*N128,2)),"")))</f>
        <v/>
      </c>
      <c r="Q128" s="152">
        <f>IF(J128="","",IF(OR(M128="",AND(OR($B$4="Financeiro",$B$4="PCs"),K128=""),AND($B$4="Itens",L128="")),"INCOMPLETO",IF(AND(ISNUMBER(K128),ISNUMBER(L128),ABS(K128-L128)/MAX(ABS(IF(OR($B$4="Financeiro",$B$4="PCs"),K128,L128)),1)&gt;$D$4),"DIVERGENTE","OK")))</f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/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/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/>
      </c>
    </row>
    <row r="129" hidden="1" outlineLevel="1" s="289">
      <c r="A129" s="147">
        <f>IF(historico_VU!A77="","",historico_VU!A77)</f>
        <v/>
      </c>
      <c r="B129" s="148">
        <f>IF(A129="","",historico_VU!B77)</f>
        <v/>
      </c>
      <c r="C129" s="149">
        <f>IF(A129="","",historico_VU!C77)</f>
        <v/>
      </c>
      <c r="D129" s="149">
        <f>IF(A129="","",historico_VU!D77)</f>
        <v/>
      </c>
      <c r="E129" s="149">
        <f>IF(A129="","",historico_VU!E77)</f>
        <v/>
      </c>
      <c r="F129" s="149">
        <f>IF(A129="","",historico_VU!F77)</f>
        <v/>
      </c>
      <c r="G129" s="149">
        <f>IF(A129="","",historico_VU!G77)</f>
        <v/>
      </c>
      <c r="H129" s="150">
        <f>IF(A129="","",historico_VU!H77)</f>
        <v/>
      </c>
      <c r="I129" s="62" t="n"/>
      <c r="J129" s="147">
        <f>IF(itens_Remanesc!A77="","",itens_Remanesc!A77)</f>
        <v/>
      </c>
      <c r="K129" s="148">
        <f>IF(J129="","",IF($F$4="C0",itens_Remanesc!B77,IF($F$4="C1",itens_Remanesc!E77,IF($F$4="C2",itens_Remanesc!G77,IF($F$4="C3",itens_Remanesc!I77,itens_Remanesc!K77)))))</f>
        <v/>
      </c>
      <c r="L129" s="148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372">
        <f>IF(J129="","",itens_Remanesc!C77)</f>
        <v/>
      </c>
      <c r="N129" s="372">
        <f>IF(J129="","",IF($F$4="C0",historico_VU!C77,IF($F$4="C1",historico_VU!D77,IF($F$4="C2",historico_VU!E77,IF($F$4="C3",historico_VU!F77,historico_VU!G77)))))</f>
        <v/>
      </c>
      <c r="O129" s="372">
        <f>IF(J129="","",IF(OR($B$4="Financeiro",$B$4="PCs"),IF(OR(K129="",M129=""),"",ROUND(K129*M129,2)),IF($B$4="Itens",IF(OR(L129="",M129=""),"",ROUND(L129*M129,2)),"")))</f>
        <v/>
      </c>
      <c r="P129" s="372">
        <f>IF(J129="","",IF(OR($B$4="Financeiro",$B$4="PCs"),IF(OR(K129="",N129=""),"",ROUND(K129*N129,2)),IF($B$4="Itens",IF(OR(L129="",N129=""),"",ROUND(L129*N129,2)),"")))</f>
        <v/>
      </c>
      <c r="Q129" s="152">
        <f>IF(J129="","",IF(OR(M129="",AND(OR($B$4="Financeiro",$B$4="PCs"),K129=""),AND($B$4="Itens",L129="")),"INCOMPLETO",IF(AND(ISNUMBER(K129),ISNUMBER(L129),ABS(K129-L129)/MAX(ABS(IF(OR($B$4="Financeiro",$B$4="PCs"),K129,L129)),1)&gt;$D$4),"DIVERGENTE","OK")))</f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/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/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/>
      </c>
    </row>
    <row r="130" hidden="1" outlineLevel="1" s="289">
      <c r="A130" s="147">
        <f>IF(historico_VU!A78="","",historico_VU!A78)</f>
        <v/>
      </c>
      <c r="B130" s="148">
        <f>IF(A130="","",historico_VU!B78)</f>
        <v/>
      </c>
      <c r="C130" s="149">
        <f>IF(A130="","",historico_VU!C78)</f>
        <v/>
      </c>
      <c r="D130" s="149">
        <f>IF(A130="","",historico_VU!D78)</f>
        <v/>
      </c>
      <c r="E130" s="149">
        <f>IF(A130="","",historico_VU!E78)</f>
        <v/>
      </c>
      <c r="F130" s="149">
        <f>IF(A130="","",historico_VU!F78)</f>
        <v/>
      </c>
      <c r="G130" s="149">
        <f>IF(A130="","",historico_VU!G78)</f>
        <v/>
      </c>
      <c r="H130" s="150">
        <f>IF(A130="","",historico_VU!H78)</f>
        <v/>
      </c>
      <c r="I130" s="62" t="n"/>
      <c r="J130" s="147">
        <f>IF(itens_Remanesc!A78="","",itens_Remanesc!A78)</f>
        <v/>
      </c>
      <c r="K130" s="148">
        <f>IF(J130="","",IF($F$4="C0",itens_Remanesc!B78,IF($F$4="C1",itens_Remanesc!E78,IF($F$4="C2",itens_Remanesc!G78,IF($F$4="C3",itens_Remanesc!I78,itens_Remanesc!K78)))))</f>
        <v/>
      </c>
      <c r="L130" s="148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372">
        <f>IF(J130="","",itens_Remanesc!C78)</f>
        <v/>
      </c>
      <c r="N130" s="372">
        <f>IF(J130="","",IF($F$4="C0",historico_VU!C78,IF($F$4="C1",historico_VU!D78,IF($F$4="C2",historico_VU!E78,IF($F$4="C3",historico_VU!F78,historico_VU!G78)))))</f>
        <v/>
      </c>
      <c r="O130" s="372">
        <f>IF(J130="","",IF(OR($B$4="Financeiro",$B$4="PCs"),IF(OR(K130="",M130=""),"",ROUND(K130*M130,2)),IF($B$4="Itens",IF(OR(L130="",M130=""),"",ROUND(L130*M130,2)),"")))</f>
        <v/>
      </c>
      <c r="P130" s="372">
        <f>IF(J130="","",IF(OR($B$4="Financeiro",$B$4="PCs"),IF(OR(K130="",N130=""),"",ROUND(K130*N130,2)),IF($B$4="Itens",IF(OR(L130="",N130=""),"",ROUND(L130*N130,2)),"")))</f>
        <v/>
      </c>
      <c r="Q130" s="152">
        <f>IF(J130="","",IF(OR(M130="",AND(OR($B$4="Financeiro",$B$4="PCs"),K130=""),AND($B$4="Itens",L130="")),"INCOMPLETO",IF(AND(ISNUMBER(K130),ISNUMBER(L130),ABS(K130-L130)/MAX(ABS(IF(OR($B$4="Financeiro",$B$4="PCs"),K130,L130)),1)&gt;$D$4),"DIVERGENTE","OK")))</f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/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/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/>
      </c>
    </row>
    <row r="131" hidden="1" outlineLevel="1" s="289">
      <c r="A131" s="147">
        <f>IF(historico_VU!A79="","",historico_VU!A79)</f>
        <v/>
      </c>
      <c r="B131" s="148">
        <f>IF(A131="","",historico_VU!B79)</f>
        <v/>
      </c>
      <c r="C131" s="149">
        <f>IF(A131="","",historico_VU!C79)</f>
        <v/>
      </c>
      <c r="D131" s="149">
        <f>IF(A131="","",historico_VU!D79)</f>
        <v/>
      </c>
      <c r="E131" s="149">
        <f>IF(A131="","",historico_VU!E79)</f>
        <v/>
      </c>
      <c r="F131" s="149">
        <f>IF(A131="","",historico_VU!F79)</f>
        <v/>
      </c>
      <c r="G131" s="149">
        <f>IF(A131="","",historico_VU!G79)</f>
        <v/>
      </c>
      <c r="H131" s="150">
        <f>IF(A131="","",historico_VU!H79)</f>
        <v/>
      </c>
      <c r="I131" s="62" t="n"/>
      <c r="J131" s="147">
        <f>IF(itens_Remanesc!A79="","",itens_Remanesc!A79)</f>
        <v/>
      </c>
      <c r="K131" s="148">
        <f>IF(J131="","",IF($F$4="C0",itens_Remanesc!B79,IF($F$4="C1",itens_Remanesc!E79,IF($F$4="C2",itens_Remanesc!G79,IF($F$4="C3",itens_Remanesc!I79,itens_Remanesc!K79)))))</f>
        <v/>
      </c>
      <c r="L131" s="148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372">
        <f>IF(J131="","",itens_Remanesc!C79)</f>
        <v/>
      </c>
      <c r="N131" s="372">
        <f>IF(J131="","",IF($F$4="C0",historico_VU!C79,IF($F$4="C1",historico_VU!D79,IF($F$4="C2",historico_VU!E79,IF($F$4="C3",historico_VU!F79,historico_VU!G79)))))</f>
        <v/>
      </c>
      <c r="O131" s="372">
        <f>IF(J131="","",IF(OR($B$4="Financeiro",$B$4="PCs"),IF(OR(K131="",M131=""),"",ROUND(K131*M131,2)),IF($B$4="Itens",IF(OR(L131="",M131=""),"",ROUND(L131*M131,2)),"")))</f>
        <v/>
      </c>
      <c r="P131" s="372">
        <f>IF(J131="","",IF(OR($B$4="Financeiro",$B$4="PCs"),IF(OR(K131="",N131=""),"",ROUND(K131*N131,2)),IF($B$4="Itens",IF(OR(L131="",N131=""),"",ROUND(L131*N131,2)),"")))</f>
        <v/>
      </c>
      <c r="Q131" s="152">
        <f>IF(J131="","",IF(OR(M131="",AND(OR($B$4="Financeiro",$B$4="PCs"),K131=""),AND($B$4="Itens",L131="")),"INCOMPLETO",IF(AND(ISNUMBER(K131),ISNUMBER(L131),ABS(K131-L131)/MAX(ABS(IF(OR($B$4="Financeiro",$B$4="PCs"),K131,L131)),1)&gt;$D$4),"DIVERGENTE","OK")))</f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/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/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/>
      </c>
    </row>
    <row r="132" hidden="1" outlineLevel="1" s="289">
      <c r="A132" s="147">
        <f>IF(historico_VU!A80="","",historico_VU!A80)</f>
        <v/>
      </c>
      <c r="B132" s="148">
        <f>IF(A132="","",historico_VU!B80)</f>
        <v/>
      </c>
      <c r="C132" s="149">
        <f>IF(A132="","",historico_VU!C80)</f>
        <v/>
      </c>
      <c r="D132" s="149">
        <f>IF(A132="","",historico_VU!D80)</f>
        <v/>
      </c>
      <c r="E132" s="149">
        <f>IF(A132="","",historico_VU!E80)</f>
        <v/>
      </c>
      <c r="F132" s="149">
        <f>IF(A132="","",historico_VU!F80)</f>
        <v/>
      </c>
      <c r="G132" s="149">
        <f>IF(A132="","",historico_VU!G80)</f>
        <v/>
      </c>
      <c r="H132" s="150">
        <f>IF(A132="","",historico_VU!H80)</f>
        <v/>
      </c>
      <c r="I132" s="62" t="n"/>
      <c r="J132" s="147">
        <f>IF(itens_Remanesc!A80="","",itens_Remanesc!A80)</f>
        <v/>
      </c>
      <c r="K132" s="148">
        <f>IF(J132="","",IF($F$4="C0",itens_Remanesc!B80,IF($F$4="C1",itens_Remanesc!E80,IF($F$4="C2",itens_Remanesc!G80,IF($F$4="C3",itens_Remanesc!I80,itens_Remanesc!K80)))))</f>
        <v/>
      </c>
      <c r="L132" s="148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372">
        <f>IF(J132="","",itens_Remanesc!C80)</f>
        <v/>
      </c>
      <c r="N132" s="372">
        <f>IF(J132="","",IF($F$4="C0",historico_VU!C80,IF($F$4="C1",historico_VU!D80,IF($F$4="C2",historico_VU!E80,IF($F$4="C3",historico_VU!F80,historico_VU!G80)))))</f>
        <v/>
      </c>
      <c r="O132" s="372">
        <f>IF(J132="","",IF(OR($B$4="Financeiro",$B$4="PCs"),IF(OR(K132="",M132=""),"",ROUND(K132*M132,2)),IF($B$4="Itens",IF(OR(L132="",M132=""),"",ROUND(L132*M132,2)),"")))</f>
        <v/>
      </c>
      <c r="P132" s="372">
        <f>IF(J132="","",IF(OR($B$4="Financeiro",$B$4="PCs"),IF(OR(K132="",N132=""),"",ROUND(K132*N132,2)),IF($B$4="Itens",IF(OR(L132="",N132=""),"",ROUND(L132*N132,2)),"")))</f>
        <v/>
      </c>
      <c r="Q132" s="152">
        <f>IF(J132="","",IF(OR(M132="",AND(OR($B$4="Financeiro",$B$4="PCs"),K132=""),AND($B$4="Itens",L132="")),"INCOMPLETO",IF(AND(ISNUMBER(K132),ISNUMBER(L132),ABS(K132-L132)/MAX(ABS(IF(OR($B$4="Financeiro",$B$4="PCs"),K132,L132)),1)&gt;$D$4),"DIVERGENTE","OK")))</f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/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/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/>
      </c>
    </row>
    <row r="133" hidden="1" outlineLevel="1" s="289">
      <c r="A133" s="147">
        <f>IF(historico_VU!A81="","",historico_VU!A81)</f>
        <v/>
      </c>
      <c r="B133" s="148">
        <f>IF(A133="","",historico_VU!B81)</f>
        <v/>
      </c>
      <c r="C133" s="149">
        <f>IF(A133="","",historico_VU!C81)</f>
        <v/>
      </c>
      <c r="D133" s="149">
        <f>IF(A133="","",historico_VU!D81)</f>
        <v/>
      </c>
      <c r="E133" s="149">
        <f>IF(A133="","",historico_VU!E81)</f>
        <v/>
      </c>
      <c r="F133" s="149">
        <f>IF(A133="","",historico_VU!F81)</f>
        <v/>
      </c>
      <c r="G133" s="149">
        <f>IF(A133="","",historico_VU!G81)</f>
        <v/>
      </c>
      <c r="H133" s="150">
        <f>IF(A133="","",historico_VU!H81)</f>
        <v/>
      </c>
      <c r="I133" s="62" t="n"/>
      <c r="J133" s="147">
        <f>IF(itens_Remanesc!A81="","",itens_Remanesc!A81)</f>
        <v/>
      </c>
      <c r="K133" s="148">
        <f>IF(J133="","",IF($F$4="C0",itens_Remanesc!B81,IF($F$4="C1",itens_Remanesc!E81,IF($F$4="C2",itens_Remanesc!G81,IF($F$4="C3",itens_Remanesc!I81,itens_Remanesc!K81)))))</f>
        <v/>
      </c>
      <c r="L133" s="148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372">
        <f>IF(J133="","",itens_Remanesc!C81)</f>
        <v/>
      </c>
      <c r="N133" s="372">
        <f>IF(J133="","",IF($F$4="C0",historico_VU!C81,IF($F$4="C1",historico_VU!D81,IF($F$4="C2",historico_VU!E81,IF($F$4="C3",historico_VU!F81,historico_VU!G81)))))</f>
        <v/>
      </c>
      <c r="O133" s="372">
        <f>IF(J133="","",IF(OR($B$4="Financeiro",$B$4="PCs"),IF(OR(K133="",M133=""),"",ROUND(K133*M133,2)),IF($B$4="Itens",IF(OR(L133="",M133=""),"",ROUND(L133*M133,2)),"")))</f>
        <v/>
      </c>
      <c r="P133" s="372">
        <f>IF(J133="","",IF(OR($B$4="Financeiro",$B$4="PCs"),IF(OR(K133="",N133=""),"",ROUND(K133*N133,2)),IF($B$4="Itens",IF(OR(L133="",N133=""),"",ROUND(L133*N133,2)),"")))</f>
        <v/>
      </c>
      <c r="Q133" s="152">
        <f>IF(J133="","",IF(OR(M133="",AND(OR($B$4="Financeiro",$B$4="PCs"),K133=""),AND($B$4="Itens",L133="")),"INCOMPLETO",IF(AND(ISNUMBER(K133),ISNUMBER(L133),ABS(K133-L133)/MAX(ABS(IF(OR($B$4="Financeiro",$B$4="PCs"),K133,L133)),1)&gt;$D$4),"DIVERGENTE","OK")))</f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/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/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/>
      </c>
    </row>
    <row r="134" hidden="1" outlineLevel="1" s="289">
      <c r="A134" s="147">
        <f>IF(historico_VU!A82="","",historico_VU!A82)</f>
        <v/>
      </c>
      <c r="B134" s="148">
        <f>IF(A134="","",historico_VU!B82)</f>
        <v/>
      </c>
      <c r="C134" s="149">
        <f>IF(A134="","",historico_VU!C82)</f>
        <v/>
      </c>
      <c r="D134" s="149">
        <f>IF(A134="","",historico_VU!D82)</f>
        <v/>
      </c>
      <c r="E134" s="149">
        <f>IF(A134="","",historico_VU!E82)</f>
        <v/>
      </c>
      <c r="F134" s="149">
        <f>IF(A134="","",historico_VU!F82)</f>
        <v/>
      </c>
      <c r="G134" s="149">
        <f>IF(A134="","",historico_VU!G82)</f>
        <v/>
      </c>
      <c r="H134" s="150">
        <f>IF(A134="","",historico_VU!H82)</f>
        <v/>
      </c>
      <c r="I134" s="62" t="n"/>
      <c r="J134" s="147">
        <f>IF(itens_Remanesc!A82="","",itens_Remanesc!A82)</f>
        <v/>
      </c>
      <c r="K134" s="148">
        <f>IF(J134="","",IF($F$4="C0",itens_Remanesc!B82,IF($F$4="C1",itens_Remanesc!E82,IF($F$4="C2",itens_Remanesc!G82,IF($F$4="C3",itens_Remanesc!I82,itens_Remanesc!K82)))))</f>
        <v/>
      </c>
      <c r="L134" s="148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372">
        <f>IF(J134="","",itens_Remanesc!C82)</f>
        <v/>
      </c>
      <c r="N134" s="372">
        <f>IF(J134="","",IF($F$4="C0",historico_VU!C82,IF($F$4="C1",historico_VU!D82,IF($F$4="C2",historico_VU!E82,IF($F$4="C3",historico_VU!F82,historico_VU!G82)))))</f>
        <v/>
      </c>
      <c r="O134" s="372">
        <f>IF(J134="","",IF(OR($B$4="Financeiro",$B$4="PCs"),IF(OR(K134="",M134=""),"",ROUND(K134*M134,2)),IF($B$4="Itens",IF(OR(L134="",M134=""),"",ROUND(L134*M134,2)),"")))</f>
        <v/>
      </c>
      <c r="P134" s="372">
        <f>IF(J134="","",IF(OR($B$4="Financeiro",$B$4="PCs"),IF(OR(K134="",N134=""),"",ROUND(K134*N134,2)),IF($B$4="Itens",IF(OR(L134="",N134=""),"",ROUND(L134*N134,2)),"")))</f>
        <v/>
      </c>
      <c r="Q134" s="152">
        <f>IF(J134="","",IF(OR(M134="",AND(OR($B$4="Financeiro",$B$4="PCs"),K134=""),AND($B$4="Itens",L134="")),"INCOMPLETO",IF(AND(ISNUMBER(K134),ISNUMBER(L134),ABS(K134-L134)/MAX(ABS(IF(OR($B$4="Financeiro",$B$4="PCs"),K134,L134)),1)&gt;$D$4),"DIVERGENTE","OK")))</f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/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/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/>
      </c>
    </row>
    <row r="135" hidden="1" outlineLevel="1" s="289">
      <c r="A135" s="147">
        <f>IF(historico_VU!A83="","",historico_VU!A83)</f>
        <v/>
      </c>
      <c r="B135" s="148">
        <f>IF(A135="","",historico_VU!B83)</f>
        <v/>
      </c>
      <c r="C135" s="149">
        <f>IF(A135="","",historico_VU!C83)</f>
        <v/>
      </c>
      <c r="D135" s="149">
        <f>IF(A135="","",historico_VU!D83)</f>
        <v/>
      </c>
      <c r="E135" s="149">
        <f>IF(A135="","",historico_VU!E83)</f>
        <v/>
      </c>
      <c r="F135" s="149">
        <f>IF(A135="","",historico_VU!F83)</f>
        <v/>
      </c>
      <c r="G135" s="149">
        <f>IF(A135="","",historico_VU!G83)</f>
        <v/>
      </c>
      <c r="H135" s="150">
        <f>IF(A135="","",historico_VU!H83)</f>
        <v/>
      </c>
      <c r="I135" s="62" t="n"/>
      <c r="J135" s="147">
        <f>IF(itens_Remanesc!A83="","",itens_Remanesc!A83)</f>
        <v/>
      </c>
      <c r="K135" s="148">
        <f>IF(J135="","",IF($F$4="C0",itens_Remanesc!B83,IF($F$4="C1",itens_Remanesc!E83,IF($F$4="C2",itens_Remanesc!G83,IF($F$4="C3",itens_Remanesc!I83,itens_Remanesc!K83)))))</f>
        <v/>
      </c>
      <c r="L135" s="148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372">
        <f>IF(J135="","",itens_Remanesc!C83)</f>
        <v/>
      </c>
      <c r="N135" s="372">
        <f>IF(J135="","",IF($F$4="C0",historico_VU!C83,IF($F$4="C1",historico_VU!D83,IF($F$4="C2",historico_VU!E83,IF($F$4="C3",historico_VU!F83,historico_VU!G83)))))</f>
        <v/>
      </c>
      <c r="O135" s="372">
        <f>IF(J135="","",IF(OR($B$4="Financeiro",$B$4="PCs"),IF(OR(K135="",M135=""),"",ROUND(K135*M135,2)),IF($B$4="Itens",IF(OR(L135="",M135=""),"",ROUND(L135*M135,2)),"")))</f>
        <v/>
      </c>
      <c r="P135" s="372">
        <f>IF(J135="","",IF(OR($B$4="Financeiro",$B$4="PCs"),IF(OR(K135="",N135=""),"",ROUND(K135*N135,2)),IF($B$4="Itens",IF(OR(L135="",N135=""),"",ROUND(L135*N135,2)),"")))</f>
        <v/>
      </c>
      <c r="Q135" s="152">
        <f>IF(J135="","",IF(OR(M135="",AND(OR($B$4="Financeiro",$B$4="PCs"),K135=""),AND($B$4="Itens",L135="")),"INCOMPLETO",IF(AND(ISNUMBER(K135),ISNUMBER(L135),ABS(K135-L135)/MAX(ABS(IF(OR($B$4="Financeiro",$B$4="PCs"),K135,L135)),1)&gt;$D$4),"DIVERGENTE","OK")))</f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/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/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/>
      </c>
    </row>
    <row r="136" hidden="1" outlineLevel="1" s="289">
      <c r="A136" s="147">
        <f>IF(historico_VU!A84="","",historico_VU!A84)</f>
        <v/>
      </c>
      <c r="B136" s="148">
        <f>IF(A136="","",historico_VU!B84)</f>
        <v/>
      </c>
      <c r="C136" s="149">
        <f>IF(A136="","",historico_VU!C84)</f>
        <v/>
      </c>
      <c r="D136" s="149">
        <f>IF(A136="","",historico_VU!D84)</f>
        <v/>
      </c>
      <c r="E136" s="149">
        <f>IF(A136="","",historico_VU!E84)</f>
        <v/>
      </c>
      <c r="F136" s="149">
        <f>IF(A136="","",historico_VU!F84)</f>
        <v/>
      </c>
      <c r="G136" s="149">
        <f>IF(A136="","",historico_VU!G84)</f>
        <v/>
      </c>
      <c r="H136" s="150">
        <f>IF(A136="","",historico_VU!H84)</f>
        <v/>
      </c>
      <c r="I136" s="62" t="n"/>
      <c r="J136" s="147">
        <f>IF(itens_Remanesc!A84="","",itens_Remanesc!A84)</f>
        <v/>
      </c>
      <c r="K136" s="148">
        <f>IF(J136="","",IF($F$4="C0",itens_Remanesc!B84,IF($F$4="C1",itens_Remanesc!E84,IF($F$4="C2",itens_Remanesc!G84,IF($F$4="C3",itens_Remanesc!I84,itens_Remanesc!K84)))))</f>
        <v/>
      </c>
      <c r="L136" s="148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372">
        <f>IF(J136="","",itens_Remanesc!C84)</f>
        <v/>
      </c>
      <c r="N136" s="372">
        <f>IF(J136="","",IF($F$4="C0",historico_VU!C84,IF($F$4="C1",historico_VU!D84,IF($F$4="C2",historico_VU!E84,IF($F$4="C3",historico_VU!F84,historico_VU!G84)))))</f>
        <v/>
      </c>
      <c r="O136" s="372">
        <f>IF(J136="","",IF(OR($B$4="Financeiro",$B$4="PCs"),IF(OR(K136="",M136=""),"",ROUND(K136*M136,2)),IF($B$4="Itens",IF(OR(L136="",M136=""),"",ROUND(L136*M136,2)),"")))</f>
        <v/>
      </c>
      <c r="P136" s="372">
        <f>IF(J136="","",IF(OR($B$4="Financeiro",$B$4="PCs"),IF(OR(K136="",N136=""),"",ROUND(K136*N136,2)),IF($B$4="Itens",IF(OR(L136="",N136=""),"",ROUND(L136*N136,2)),"")))</f>
        <v/>
      </c>
      <c r="Q136" s="152">
        <f>IF(J136="","",IF(OR(M136="",AND(OR($B$4="Financeiro",$B$4="PCs"),K136=""),AND($B$4="Itens",L136="")),"INCOMPLETO",IF(AND(ISNUMBER(K136),ISNUMBER(L136),ABS(K136-L136)/MAX(ABS(IF(OR($B$4="Financeiro",$B$4="PCs"),K136,L136)),1)&gt;$D$4),"DIVERGENTE","OK")))</f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/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/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/>
      </c>
    </row>
    <row r="137" hidden="1" outlineLevel="1" s="289">
      <c r="A137" s="147">
        <f>IF(historico_VU!A85="","",historico_VU!A85)</f>
        <v/>
      </c>
      <c r="B137" s="148">
        <f>IF(A137="","",historico_VU!B85)</f>
        <v/>
      </c>
      <c r="C137" s="149">
        <f>IF(A137="","",historico_VU!C85)</f>
        <v/>
      </c>
      <c r="D137" s="149">
        <f>IF(A137="","",historico_VU!D85)</f>
        <v/>
      </c>
      <c r="E137" s="149">
        <f>IF(A137="","",historico_VU!E85)</f>
        <v/>
      </c>
      <c r="F137" s="149">
        <f>IF(A137="","",historico_VU!F85)</f>
        <v/>
      </c>
      <c r="G137" s="149">
        <f>IF(A137="","",historico_VU!G85)</f>
        <v/>
      </c>
      <c r="H137" s="150">
        <f>IF(A137="","",historico_VU!H85)</f>
        <v/>
      </c>
      <c r="I137" s="62" t="n"/>
      <c r="J137" s="147">
        <f>IF(itens_Remanesc!A85="","",itens_Remanesc!A85)</f>
        <v/>
      </c>
      <c r="K137" s="148">
        <f>IF(J137="","",IF($F$4="C0",itens_Remanesc!B85,IF($F$4="C1",itens_Remanesc!E85,IF($F$4="C2",itens_Remanesc!G85,IF($F$4="C3",itens_Remanesc!I85,itens_Remanesc!K85)))))</f>
        <v/>
      </c>
      <c r="L137" s="148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372">
        <f>IF(J137="","",itens_Remanesc!C85)</f>
        <v/>
      </c>
      <c r="N137" s="372">
        <f>IF(J137="","",IF($F$4="C0",historico_VU!C85,IF($F$4="C1",historico_VU!D85,IF($F$4="C2",historico_VU!E85,IF($F$4="C3",historico_VU!F85,historico_VU!G85)))))</f>
        <v/>
      </c>
      <c r="O137" s="372">
        <f>IF(J137="","",IF(OR($B$4="Financeiro",$B$4="PCs"),IF(OR(K137="",M137=""),"",ROUND(K137*M137,2)),IF($B$4="Itens",IF(OR(L137="",M137=""),"",ROUND(L137*M137,2)),"")))</f>
        <v/>
      </c>
      <c r="P137" s="372">
        <f>IF(J137="","",IF(OR($B$4="Financeiro",$B$4="PCs"),IF(OR(K137="",N137=""),"",ROUND(K137*N137,2)),IF($B$4="Itens",IF(OR(L137="",N137=""),"",ROUND(L137*N137,2)),"")))</f>
        <v/>
      </c>
      <c r="Q137" s="152">
        <f>IF(J137="","",IF(OR(M137="",AND(OR($B$4="Financeiro",$B$4="PCs"),K137=""),AND($B$4="Itens",L137="")),"INCOMPLETO",IF(AND(ISNUMBER(K137),ISNUMBER(L137),ABS(K137-L137)/MAX(ABS(IF(OR($B$4="Financeiro",$B$4="PCs"),K137,L137)),1)&gt;$D$4),"DIVERGENTE","OK")))</f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/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/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/>
      </c>
    </row>
    <row r="138" hidden="1" outlineLevel="1" s="289">
      <c r="A138" s="147">
        <f>IF(historico_VU!A86="","",historico_VU!A86)</f>
        <v/>
      </c>
      <c r="B138" s="148">
        <f>IF(A138="","",historico_VU!B86)</f>
        <v/>
      </c>
      <c r="C138" s="149">
        <f>IF(A138="","",historico_VU!C86)</f>
        <v/>
      </c>
      <c r="D138" s="149">
        <f>IF(A138="","",historico_VU!D86)</f>
        <v/>
      </c>
      <c r="E138" s="149">
        <f>IF(A138="","",historico_VU!E86)</f>
        <v/>
      </c>
      <c r="F138" s="149">
        <f>IF(A138="","",historico_VU!F86)</f>
        <v/>
      </c>
      <c r="G138" s="149">
        <f>IF(A138="","",historico_VU!G86)</f>
        <v/>
      </c>
      <c r="H138" s="150">
        <f>IF(A138="","",historico_VU!H86)</f>
        <v/>
      </c>
      <c r="I138" s="62" t="n"/>
      <c r="J138" s="147">
        <f>IF(itens_Remanesc!A86="","",itens_Remanesc!A86)</f>
        <v/>
      </c>
      <c r="K138" s="148">
        <f>IF(J138="","",IF($F$4="C0",itens_Remanesc!B86,IF($F$4="C1",itens_Remanesc!E86,IF($F$4="C2",itens_Remanesc!G86,IF($F$4="C3",itens_Remanesc!I86,itens_Remanesc!K86)))))</f>
        <v/>
      </c>
      <c r="L138" s="148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372">
        <f>IF(J138="","",itens_Remanesc!C86)</f>
        <v/>
      </c>
      <c r="N138" s="372">
        <f>IF(J138="","",IF($F$4="C0",historico_VU!C86,IF($F$4="C1",historico_VU!D86,IF($F$4="C2",historico_VU!E86,IF($F$4="C3",historico_VU!F86,historico_VU!G86)))))</f>
        <v/>
      </c>
      <c r="O138" s="372">
        <f>IF(J138="","",IF(OR($B$4="Financeiro",$B$4="PCs"),IF(OR(K138="",M138=""),"",ROUND(K138*M138,2)),IF($B$4="Itens",IF(OR(L138="",M138=""),"",ROUND(L138*M138,2)),"")))</f>
        <v/>
      </c>
      <c r="P138" s="372">
        <f>IF(J138="","",IF(OR($B$4="Financeiro",$B$4="PCs"),IF(OR(K138="",N138=""),"",ROUND(K138*N138,2)),IF($B$4="Itens",IF(OR(L138="",N138=""),"",ROUND(L138*N138,2)),"")))</f>
        <v/>
      </c>
      <c r="Q138" s="152">
        <f>IF(J138="","",IF(OR(M138="",AND(OR($B$4="Financeiro",$B$4="PCs"),K138=""),AND($B$4="Itens",L138="")),"INCOMPLETO",IF(AND(ISNUMBER(K138),ISNUMBER(L138),ABS(K138-L138)/MAX(ABS(IF(OR($B$4="Financeiro",$B$4="PCs"),K138,L138)),1)&gt;$D$4),"DIVERGENTE","OK")))</f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/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/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/>
      </c>
    </row>
    <row r="139" hidden="1" outlineLevel="1" s="289">
      <c r="A139" s="147">
        <f>IF(historico_VU!A87="","",historico_VU!A87)</f>
        <v/>
      </c>
      <c r="B139" s="148">
        <f>IF(A139="","",historico_VU!B87)</f>
        <v/>
      </c>
      <c r="C139" s="149">
        <f>IF(A139="","",historico_VU!C87)</f>
        <v/>
      </c>
      <c r="D139" s="149">
        <f>IF(A139="","",historico_VU!D87)</f>
        <v/>
      </c>
      <c r="E139" s="149">
        <f>IF(A139="","",historico_VU!E87)</f>
        <v/>
      </c>
      <c r="F139" s="149">
        <f>IF(A139="","",historico_VU!F87)</f>
        <v/>
      </c>
      <c r="G139" s="149">
        <f>IF(A139="","",historico_VU!G87)</f>
        <v/>
      </c>
      <c r="H139" s="150">
        <f>IF(A139="","",historico_VU!H87)</f>
        <v/>
      </c>
      <c r="I139" s="62" t="n"/>
      <c r="J139" s="147">
        <f>IF(itens_Remanesc!A87="","",itens_Remanesc!A87)</f>
        <v/>
      </c>
      <c r="K139" s="148">
        <f>IF(J139="","",IF($F$4="C0",itens_Remanesc!B87,IF($F$4="C1",itens_Remanesc!E87,IF($F$4="C2",itens_Remanesc!G87,IF($F$4="C3",itens_Remanesc!I87,itens_Remanesc!K87)))))</f>
        <v/>
      </c>
      <c r="L139" s="148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372">
        <f>IF(J139="","",itens_Remanesc!C87)</f>
        <v/>
      </c>
      <c r="N139" s="372">
        <f>IF(J139="","",IF($F$4="C0",historico_VU!C87,IF($F$4="C1",historico_VU!D87,IF($F$4="C2",historico_VU!E87,IF($F$4="C3",historico_VU!F87,historico_VU!G87)))))</f>
        <v/>
      </c>
      <c r="O139" s="372">
        <f>IF(J139="","",IF(OR($B$4="Financeiro",$B$4="PCs"),IF(OR(K139="",M139=""),"",ROUND(K139*M139,2)),IF($B$4="Itens",IF(OR(L139="",M139=""),"",ROUND(L139*M139,2)),"")))</f>
        <v/>
      </c>
      <c r="P139" s="372">
        <f>IF(J139="","",IF(OR($B$4="Financeiro",$B$4="PCs"),IF(OR(K139="",N139=""),"",ROUND(K139*N139,2)),IF($B$4="Itens",IF(OR(L139="",N139=""),"",ROUND(L139*N139,2)),"")))</f>
        <v/>
      </c>
      <c r="Q139" s="152">
        <f>IF(J139="","",IF(OR(M139="",AND(OR($B$4="Financeiro",$B$4="PCs"),K139=""),AND($B$4="Itens",L139="")),"INCOMPLETO",IF(AND(ISNUMBER(K139),ISNUMBER(L139),ABS(K139-L139)/MAX(ABS(IF(OR($B$4="Financeiro",$B$4="PCs"),K139,L139)),1)&gt;$D$4),"DIVERGENTE","OK")))</f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/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/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/>
      </c>
    </row>
    <row r="140" hidden="1" outlineLevel="1" s="289">
      <c r="A140" s="147">
        <f>IF(historico_VU!A88="","",historico_VU!A88)</f>
        <v/>
      </c>
      <c r="B140" s="148">
        <f>IF(A140="","",historico_VU!B88)</f>
        <v/>
      </c>
      <c r="C140" s="149">
        <f>IF(A140="","",historico_VU!C88)</f>
        <v/>
      </c>
      <c r="D140" s="149">
        <f>IF(A140="","",historico_VU!D88)</f>
        <v/>
      </c>
      <c r="E140" s="149">
        <f>IF(A140="","",historico_VU!E88)</f>
        <v/>
      </c>
      <c r="F140" s="149">
        <f>IF(A140="","",historico_VU!F88)</f>
        <v/>
      </c>
      <c r="G140" s="149">
        <f>IF(A140="","",historico_VU!G88)</f>
        <v/>
      </c>
      <c r="H140" s="150">
        <f>IF(A140="","",historico_VU!H88)</f>
        <v/>
      </c>
      <c r="I140" s="62" t="n"/>
      <c r="J140" s="147">
        <f>IF(itens_Remanesc!A88="","",itens_Remanesc!A88)</f>
        <v/>
      </c>
      <c r="K140" s="148">
        <f>IF(J140="","",IF($F$4="C0",itens_Remanesc!B88,IF($F$4="C1",itens_Remanesc!E88,IF($F$4="C2",itens_Remanesc!G88,IF($F$4="C3",itens_Remanesc!I88,itens_Remanesc!K88)))))</f>
        <v/>
      </c>
      <c r="L140" s="148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372">
        <f>IF(J140="","",itens_Remanesc!C88)</f>
        <v/>
      </c>
      <c r="N140" s="372">
        <f>IF(J140="","",IF($F$4="C0",historico_VU!C88,IF($F$4="C1",historico_VU!D88,IF($F$4="C2",historico_VU!E88,IF($F$4="C3",historico_VU!F88,historico_VU!G88)))))</f>
        <v/>
      </c>
      <c r="O140" s="372">
        <f>IF(J140="","",IF(OR($B$4="Financeiro",$B$4="PCs"),IF(OR(K140="",M140=""),"",ROUND(K140*M140,2)),IF($B$4="Itens",IF(OR(L140="",M140=""),"",ROUND(L140*M140,2)),"")))</f>
        <v/>
      </c>
      <c r="P140" s="372">
        <f>IF(J140="","",IF(OR($B$4="Financeiro",$B$4="PCs"),IF(OR(K140="",N140=""),"",ROUND(K140*N140,2)),IF($B$4="Itens",IF(OR(L140="",N140=""),"",ROUND(L140*N140,2)),"")))</f>
        <v/>
      </c>
      <c r="Q140" s="152">
        <f>IF(J140="","",IF(OR(M140="",AND(OR($B$4="Financeiro",$B$4="PCs"),K140=""),AND($B$4="Itens",L140="")),"INCOMPLETO",IF(AND(ISNUMBER(K140),ISNUMBER(L140),ABS(K140-L140)/MAX(ABS(IF(OR($B$4="Financeiro",$B$4="PCs"),K140,L140)),1)&gt;$D$4),"DIVERGENTE","OK")))</f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/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/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/>
      </c>
    </row>
    <row r="141" hidden="1" outlineLevel="1" s="289">
      <c r="A141" s="147">
        <f>IF(historico_VU!A89="","",historico_VU!A89)</f>
        <v/>
      </c>
      <c r="B141" s="148">
        <f>IF(A141="","",historico_VU!B89)</f>
        <v/>
      </c>
      <c r="C141" s="149">
        <f>IF(A141="","",historico_VU!C89)</f>
        <v/>
      </c>
      <c r="D141" s="149">
        <f>IF(A141="","",historico_VU!D89)</f>
        <v/>
      </c>
      <c r="E141" s="149">
        <f>IF(A141="","",historico_VU!E89)</f>
        <v/>
      </c>
      <c r="F141" s="149">
        <f>IF(A141="","",historico_VU!F89)</f>
        <v/>
      </c>
      <c r="G141" s="149">
        <f>IF(A141="","",historico_VU!G89)</f>
        <v/>
      </c>
      <c r="H141" s="150">
        <f>IF(A141="","",historico_VU!H89)</f>
        <v/>
      </c>
      <c r="I141" s="62" t="n"/>
      <c r="J141" s="147">
        <f>IF(itens_Remanesc!A89="","",itens_Remanesc!A89)</f>
        <v/>
      </c>
      <c r="K141" s="148">
        <f>IF(J141="","",IF($F$4="C0",itens_Remanesc!B89,IF($F$4="C1",itens_Remanesc!E89,IF($F$4="C2",itens_Remanesc!G89,IF($F$4="C3",itens_Remanesc!I89,itens_Remanesc!K89)))))</f>
        <v/>
      </c>
      <c r="L141" s="148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372">
        <f>IF(J141="","",itens_Remanesc!C89)</f>
        <v/>
      </c>
      <c r="N141" s="372">
        <f>IF(J141="","",IF($F$4="C0",historico_VU!C89,IF($F$4="C1",historico_VU!D89,IF($F$4="C2",historico_VU!E89,IF($F$4="C3",historico_VU!F89,historico_VU!G89)))))</f>
        <v/>
      </c>
      <c r="O141" s="372">
        <f>IF(J141="","",IF(OR($B$4="Financeiro",$B$4="PCs"),IF(OR(K141="",M141=""),"",ROUND(K141*M141,2)),IF($B$4="Itens",IF(OR(L141="",M141=""),"",ROUND(L141*M141,2)),"")))</f>
        <v/>
      </c>
      <c r="P141" s="372">
        <f>IF(J141="","",IF(OR($B$4="Financeiro",$B$4="PCs"),IF(OR(K141="",N141=""),"",ROUND(K141*N141,2)),IF($B$4="Itens",IF(OR(L141="",N141=""),"",ROUND(L141*N141,2)),"")))</f>
        <v/>
      </c>
      <c r="Q141" s="152">
        <f>IF(J141="","",IF(OR(M141="",AND(OR($B$4="Financeiro",$B$4="PCs"),K141=""),AND($B$4="Itens",L141="")),"INCOMPLETO",IF(AND(ISNUMBER(K141),ISNUMBER(L141),ABS(K141-L141)/MAX(ABS(IF(OR($B$4="Financeiro",$B$4="PCs"),K141,L141)),1)&gt;$D$4),"DIVERGENTE","OK")))</f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/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/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/>
      </c>
    </row>
    <row r="142" hidden="1" outlineLevel="1" s="289">
      <c r="A142" s="147">
        <f>IF(historico_VU!A90="","",historico_VU!A90)</f>
        <v/>
      </c>
      <c r="B142" s="148">
        <f>IF(A142="","",historico_VU!B90)</f>
        <v/>
      </c>
      <c r="C142" s="149">
        <f>IF(A142="","",historico_VU!C90)</f>
        <v/>
      </c>
      <c r="D142" s="149">
        <f>IF(A142="","",historico_VU!D90)</f>
        <v/>
      </c>
      <c r="E142" s="149">
        <f>IF(A142="","",historico_VU!E90)</f>
        <v/>
      </c>
      <c r="F142" s="149">
        <f>IF(A142="","",historico_VU!F90)</f>
        <v/>
      </c>
      <c r="G142" s="149">
        <f>IF(A142="","",historico_VU!G90)</f>
        <v/>
      </c>
      <c r="H142" s="150">
        <f>IF(A142="","",historico_VU!H90)</f>
        <v/>
      </c>
      <c r="I142" s="62" t="n"/>
      <c r="J142" s="147">
        <f>IF(itens_Remanesc!A90="","",itens_Remanesc!A90)</f>
        <v/>
      </c>
      <c r="K142" s="148">
        <f>IF(J142="","",IF($F$4="C0",itens_Remanesc!B90,IF($F$4="C1",itens_Remanesc!E90,IF($F$4="C2",itens_Remanesc!G90,IF($F$4="C3",itens_Remanesc!I90,itens_Remanesc!K90)))))</f>
        <v/>
      </c>
      <c r="L142" s="148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372">
        <f>IF(J142="","",itens_Remanesc!C90)</f>
        <v/>
      </c>
      <c r="N142" s="372">
        <f>IF(J142="","",IF($F$4="C0",historico_VU!C90,IF($F$4="C1",historico_VU!D90,IF($F$4="C2",historico_VU!E90,IF($F$4="C3",historico_VU!F90,historico_VU!G90)))))</f>
        <v/>
      </c>
      <c r="O142" s="372">
        <f>IF(J142="","",IF(OR($B$4="Financeiro",$B$4="PCs"),IF(OR(K142="",M142=""),"",ROUND(K142*M142,2)),IF($B$4="Itens",IF(OR(L142="",M142=""),"",ROUND(L142*M142,2)),"")))</f>
        <v/>
      </c>
      <c r="P142" s="372">
        <f>IF(J142="","",IF(OR($B$4="Financeiro",$B$4="PCs"),IF(OR(K142="",N142=""),"",ROUND(K142*N142,2)),IF($B$4="Itens",IF(OR(L142="",N142=""),"",ROUND(L142*N142,2)),"")))</f>
        <v/>
      </c>
      <c r="Q142" s="152">
        <f>IF(J142="","",IF(OR(M142="",AND(OR($B$4="Financeiro",$B$4="PCs"),K142=""),AND($B$4="Itens",L142="")),"INCOMPLETO",IF(AND(ISNUMBER(K142),ISNUMBER(L142),ABS(K142-L142)/MAX(ABS(IF(OR($B$4="Financeiro",$B$4="PCs"),K142,L142)),1)&gt;$D$4),"DIVERGENTE","OK")))</f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/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/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/>
      </c>
    </row>
    <row r="143" hidden="1" outlineLevel="1" s="289">
      <c r="A143" s="147">
        <f>IF(historico_VU!A91="","",historico_VU!A91)</f>
        <v/>
      </c>
      <c r="B143" s="148">
        <f>IF(A143="","",historico_VU!B91)</f>
        <v/>
      </c>
      <c r="C143" s="149">
        <f>IF(A143="","",historico_VU!C91)</f>
        <v/>
      </c>
      <c r="D143" s="149">
        <f>IF(A143="","",historico_VU!D91)</f>
        <v/>
      </c>
      <c r="E143" s="149">
        <f>IF(A143="","",historico_VU!E91)</f>
        <v/>
      </c>
      <c r="F143" s="149">
        <f>IF(A143="","",historico_VU!F91)</f>
        <v/>
      </c>
      <c r="G143" s="149">
        <f>IF(A143="","",historico_VU!G91)</f>
        <v/>
      </c>
      <c r="H143" s="150">
        <f>IF(A143="","",historico_VU!H91)</f>
        <v/>
      </c>
      <c r="I143" s="62" t="n"/>
      <c r="J143" s="147">
        <f>IF(itens_Remanesc!A91="","",itens_Remanesc!A91)</f>
        <v/>
      </c>
      <c r="K143" s="148">
        <f>IF(J143="","",IF($F$4="C0",itens_Remanesc!B91,IF($F$4="C1",itens_Remanesc!E91,IF($F$4="C2",itens_Remanesc!G91,IF($F$4="C3",itens_Remanesc!I91,itens_Remanesc!K91)))))</f>
        <v/>
      </c>
      <c r="L143" s="148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372">
        <f>IF(J143="","",itens_Remanesc!C91)</f>
        <v/>
      </c>
      <c r="N143" s="372">
        <f>IF(J143="","",IF($F$4="C0",historico_VU!C91,IF($F$4="C1",historico_VU!D91,IF($F$4="C2",historico_VU!E91,IF($F$4="C3",historico_VU!F91,historico_VU!G91)))))</f>
        <v/>
      </c>
      <c r="O143" s="372">
        <f>IF(J143="","",IF(OR($B$4="Financeiro",$B$4="PCs"),IF(OR(K143="",M143=""),"",ROUND(K143*M143,2)),IF($B$4="Itens",IF(OR(L143="",M143=""),"",ROUND(L143*M143,2)),"")))</f>
        <v/>
      </c>
      <c r="P143" s="372">
        <f>IF(J143="","",IF(OR($B$4="Financeiro",$B$4="PCs"),IF(OR(K143="",N143=""),"",ROUND(K143*N143,2)),IF($B$4="Itens",IF(OR(L143="",N143=""),"",ROUND(L143*N143,2)),"")))</f>
        <v/>
      </c>
      <c r="Q143" s="152">
        <f>IF(J143="","",IF(OR(M143="",AND(OR($B$4="Financeiro",$B$4="PCs"),K143=""),AND($B$4="Itens",L143="")),"INCOMPLETO",IF(AND(ISNUMBER(K143),ISNUMBER(L143),ABS(K143-L143)/MAX(ABS(IF(OR($B$4="Financeiro",$B$4="PCs"),K143,L143)),1)&gt;$D$4),"DIVERGENTE","OK")))</f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/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/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/>
      </c>
    </row>
    <row r="144" hidden="1" outlineLevel="1" s="289">
      <c r="A144" s="147">
        <f>IF(historico_VU!A92="","",historico_VU!A92)</f>
        <v/>
      </c>
      <c r="B144" s="148">
        <f>IF(A144="","",historico_VU!B92)</f>
        <v/>
      </c>
      <c r="C144" s="149">
        <f>IF(A144="","",historico_VU!C92)</f>
        <v/>
      </c>
      <c r="D144" s="149">
        <f>IF(A144="","",historico_VU!D92)</f>
        <v/>
      </c>
      <c r="E144" s="149">
        <f>IF(A144="","",historico_VU!E92)</f>
        <v/>
      </c>
      <c r="F144" s="149">
        <f>IF(A144="","",historico_VU!F92)</f>
        <v/>
      </c>
      <c r="G144" s="149">
        <f>IF(A144="","",historico_VU!G92)</f>
        <v/>
      </c>
      <c r="H144" s="150">
        <f>IF(A144="","",historico_VU!H92)</f>
        <v/>
      </c>
      <c r="I144" s="62" t="n"/>
      <c r="J144" s="147">
        <f>IF(itens_Remanesc!A92="","",itens_Remanesc!A92)</f>
        <v/>
      </c>
      <c r="K144" s="148">
        <f>IF(J144="","",IF($F$4="C0",itens_Remanesc!B92,IF($F$4="C1",itens_Remanesc!E92,IF($F$4="C2",itens_Remanesc!G92,IF($F$4="C3",itens_Remanesc!I92,itens_Remanesc!K92)))))</f>
        <v/>
      </c>
      <c r="L144" s="148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372">
        <f>IF(J144="","",itens_Remanesc!C92)</f>
        <v/>
      </c>
      <c r="N144" s="372">
        <f>IF(J144="","",IF($F$4="C0",historico_VU!C92,IF($F$4="C1",historico_VU!D92,IF($F$4="C2",historico_VU!E92,IF($F$4="C3",historico_VU!F92,historico_VU!G92)))))</f>
        <v/>
      </c>
      <c r="O144" s="372">
        <f>IF(J144="","",IF(OR($B$4="Financeiro",$B$4="PCs"),IF(OR(K144="",M144=""),"",ROUND(K144*M144,2)),IF($B$4="Itens",IF(OR(L144="",M144=""),"",ROUND(L144*M144,2)),"")))</f>
        <v/>
      </c>
      <c r="P144" s="372">
        <f>IF(J144="","",IF(OR($B$4="Financeiro",$B$4="PCs"),IF(OR(K144="",N144=""),"",ROUND(K144*N144,2)),IF($B$4="Itens",IF(OR(L144="",N144=""),"",ROUND(L144*N144,2)),"")))</f>
        <v/>
      </c>
      <c r="Q144" s="152">
        <f>IF(J144="","",IF(OR(M144="",AND(OR($B$4="Financeiro",$B$4="PCs"),K144=""),AND($B$4="Itens",L144="")),"INCOMPLETO",IF(AND(ISNUMBER(K144),ISNUMBER(L144),ABS(K144-L144)/MAX(ABS(IF(OR($B$4="Financeiro",$B$4="PCs"),K144,L144)),1)&gt;$D$4),"DIVERGENTE","OK")))</f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/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/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/>
      </c>
    </row>
    <row r="145" hidden="1" outlineLevel="1" s="289">
      <c r="A145" s="147">
        <f>IF(historico_VU!A93="","",historico_VU!A93)</f>
        <v/>
      </c>
      <c r="B145" s="148">
        <f>IF(A145="","",historico_VU!B93)</f>
        <v/>
      </c>
      <c r="C145" s="149">
        <f>IF(A145="","",historico_VU!C93)</f>
        <v/>
      </c>
      <c r="D145" s="149">
        <f>IF(A145="","",historico_VU!D93)</f>
        <v/>
      </c>
      <c r="E145" s="149">
        <f>IF(A145="","",historico_VU!E93)</f>
        <v/>
      </c>
      <c r="F145" s="149">
        <f>IF(A145="","",historico_VU!F93)</f>
        <v/>
      </c>
      <c r="G145" s="149">
        <f>IF(A145="","",historico_VU!G93)</f>
        <v/>
      </c>
      <c r="H145" s="150">
        <f>IF(A145="","",historico_VU!H93)</f>
        <v/>
      </c>
      <c r="I145" s="62" t="n"/>
      <c r="J145" s="147">
        <f>IF(itens_Remanesc!A93="","",itens_Remanesc!A93)</f>
        <v/>
      </c>
      <c r="K145" s="148">
        <f>IF(J145="","",IF($F$4="C0",itens_Remanesc!B93,IF($F$4="C1",itens_Remanesc!E93,IF($F$4="C2",itens_Remanesc!G93,IF($F$4="C3",itens_Remanesc!I93,itens_Remanesc!K93)))))</f>
        <v/>
      </c>
      <c r="L145" s="148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372">
        <f>IF(J145="","",itens_Remanesc!C93)</f>
        <v/>
      </c>
      <c r="N145" s="372">
        <f>IF(J145="","",IF($F$4="C0",historico_VU!C93,IF($F$4="C1",historico_VU!D93,IF($F$4="C2",historico_VU!E93,IF($F$4="C3",historico_VU!F93,historico_VU!G93)))))</f>
        <v/>
      </c>
      <c r="O145" s="372">
        <f>IF(J145="","",IF(OR($B$4="Financeiro",$B$4="PCs"),IF(OR(K145="",M145=""),"",ROUND(K145*M145,2)),IF($B$4="Itens",IF(OR(L145="",M145=""),"",ROUND(L145*M145,2)),"")))</f>
        <v/>
      </c>
      <c r="P145" s="372">
        <f>IF(J145="","",IF(OR($B$4="Financeiro",$B$4="PCs"),IF(OR(K145="",N145=""),"",ROUND(K145*N145,2)),IF($B$4="Itens",IF(OR(L145="",N145=""),"",ROUND(L145*N145,2)),"")))</f>
        <v/>
      </c>
      <c r="Q145" s="152">
        <f>IF(J145="","",IF(OR(M145="",AND(OR($B$4="Financeiro",$B$4="PCs"),K145=""),AND($B$4="Itens",L145="")),"INCOMPLETO",IF(AND(ISNUMBER(K145),ISNUMBER(L145),ABS(K145-L145)/MAX(ABS(IF(OR($B$4="Financeiro",$B$4="PCs"),K145,L145)),1)&gt;$D$4),"DIVERGENTE","OK")))</f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/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/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/>
      </c>
    </row>
    <row r="146" hidden="1" outlineLevel="1" s="289">
      <c r="A146" s="147">
        <f>IF(historico_VU!A94="","",historico_VU!A94)</f>
        <v/>
      </c>
      <c r="B146" s="148">
        <f>IF(A146="","",historico_VU!B94)</f>
        <v/>
      </c>
      <c r="C146" s="149">
        <f>IF(A146="","",historico_VU!C94)</f>
        <v/>
      </c>
      <c r="D146" s="149">
        <f>IF(A146="","",historico_VU!D94)</f>
        <v/>
      </c>
      <c r="E146" s="149">
        <f>IF(A146="","",historico_VU!E94)</f>
        <v/>
      </c>
      <c r="F146" s="149">
        <f>IF(A146="","",historico_VU!F94)</f>
        <v/>
      </c>
      <c r="G146" s="149">
        <f>IF(A146="","",historico_VU!G94)</f>
        <v/>
      </c>
      <c r="H146" s="150">
        <f>IF(A146="","",historico_VU!H94)</f>
        <v/>
      </c>
      <c r="I146" s="62" t="n"/>
      <c r="J146" s="147">
        <f>IF(itens_Remanesc!A94="","",itens_Remanesc!A94)</f>
        <v/>
      </c>
      <c r="K146" s="148">
        <f>IF(J146="","",IF($F$4="C0",itens_Remanesc!B94,IF($F$4="C1",itens_Remanesc!E94,IF($F$4="C2",itens_Remanesc!G94,IF($F$4="C3",itens_Remanesc!I94,itens_Remanesc!K94)))))</f>
        <v/>
      </c>
      <c r="L146" s="148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372">
        <f>IF(J146="","",itens_Remanesc!C94)</f>
        <v/>
      </c>
      <c r="N146" s="372">
        <f>IF(J146="","",IF($F$4="C0",historico_VU!C94,IF($F$4="C1",historico_VU!D94,IF($F$4="C2",historico_VU!E94,IF($F$4="C3",historico_VU!F94,historico_VU!G94)))))</f>
        <v/>
      </c>
      <c r="O146" s="372">
        <f>IF(J146="","",IF(OR($B$4="Financeiro",$B$4="PCs"),IF(OR(K146="",M146=""),"",ROUND(K146*M146,2)),IF($B$4="Itens",IF(OR(L146="",M146=""),"",ROUND(L146*M146,2)),"")))</f>
        <v/>
      </c>
      <c r="P146" s="372">
        <f>IF(J146="","",IF(OR($B$4="Financeiro",$B$4="PCs"),IF(OR(K146="",N146=""),"",ROUND(K146*N146,2)),IF($B$4="Itens",IF(OR(L146="",N146=""),"",ROUND(L146*N146,2)),"")))</f>
        <v/>
      </c>
      <c r="Q146" s="152">
        <f>IF(J146="","",IF(OR(M146="",AND(OR($B$4="Financeiro",$B$4="PCs"),K146=""),AND($B$4="Itens",L146="")),"INCOMPLETO",IF(AND(ISNUMBER(K146),ISNUMBER(L146),ABS(K146-L146)/MAX(ABS(IF(OR($B$4="Financeiro",$B$4="PCs"),K146,L146)),1)&gt;$D$4),"DIVERGENTE","OK")))</f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/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/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/>
      </c>
    </row>
    <row r="147" hidden="1" outlineLevel="1" s="289">
      <c r="A147" s="147">
        <f>IF(historico_VU!A95="","",historico_VU!A95)</f>
        <v/>
      </c>
      <c r="B147" s="148">
        <f>IF(A147="","",historico_VU!B95)</f>
        <v/>
      </c>
      <c r="C147" s="149">
        <f>IF(A147="","",historico_VU!C95)</f>
        <v/>
      </c>
      <c r="D147" s="149">
        <f>IF(A147="","",historico_VU!D95)</f>
        <v/>
      </c>
      <c r="E147" s="149">
        <f>IF(A147="","",historico_VU!E95)</f>
        <v/>
      </c>
      <c r="F147" s="149">
        <f>IF(A147="","",historico_VU!F95)</f>
        <v/>
      </c>
      <c r="G147" s="149">
        <f>IF(A147="","",historico_VU!G95)</f>
        <v/>
      </c>
      <c r="H147" s="150">
        <f>IF(A147="","",historico_VU!H95)</f>
        <v/>
      </c>
      <c r="I147" s="62" t="n"/>
      <c r="J147" s="147">
        <f>IF(itens_Remanesc!A95="","",itens_Remanesc!A95)</f>
        <v/>
      </c>
      <c r="K147" s="148">
        <f>IF(J147="","",IF($F$4="C0",itens_Remanesc!B95,IF($F$4="C1",itens_Remanesc!E95,IF($F$4="C2",itens_Remanesc!G95,IF($F$4="C3",itens_Remanesc!I95,itens_Remanesc!K95)))))</f>
        <v/>
      </c>
      <c r="L147" s="148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372">
        <f>IF(J147="","",itens_Remanesc!C95)</f>
        <v/>
      </c>
      <c r="N147" s="372">
        <f>IF(J147="","",IF($F$4="C0",historico_VU!C95,IF($F$4="C1",historico_VU!D95,IF($F$4="C2",historico_VU!E95,IF($F$4="C3",historico_VU!F95,historico_VU!G95)))))</f>
        <v/>
      </c>
      <c r="O147" s="372">
        <f>IF(J147="","",IF(OR($B$4="Financeiro",$B$4="PCs"),IF(OR(K147="",M147=""),"",ROUND(K147*M147,2)),IF($B$4="Itens",IF(OR(L147="",M147=""),"",ROUND(L147*M147,2)),"")))</f>
        <v/>
      </c>
      <c r="P147" s="372">
        <f>IF(J147="","",IF(OR($B$4="Financeiro",$B$4="PCs"),IF(OR(K147="",N147=""),"",ROUND(K147*N147,2)),IF($B$4="Itens",IF(OR(L147="",N147=""),"",ROUND(L147*N147,2)),"")))</f>
        <v/>
      </c>
      <c r="Q147" s="152">
        <f>IF(J147="","",IF(OR(M147="",AND(OR($B$4="Financeiro",$B$4="PCs"),K147=""),AND($B$4="Itens",L147="")),"INCOMPLETO",IF(AND(ISNUMBER(K147),ISNUMBER(L147),ABS(K147-L147)/MAX(ABS(IF(OR($B$4="Financeiro",$B$4="PCs"),K147,L147)),1)&gt;$D$4),"DIVERGENTE","OK")))</f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/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/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/>
      </c>
    </row>
    <row r="148" hidden="1" outlineLevel="1" s="289">
      <c r="A148" s="147">
        <f>IF(historico_VU!A96="","",historico_VU!A96)</f>
        <v/>
      </c>
      <c r="B148" s="148">
        <f>IF(A148="","",historico_VU!B96)</f>
        <v/>
      </c>
      <c r="C148" s="149">
        <f>IF(A148="","",historico_VU!C96)</f>
        <v/>
      </c>
      <c r="D148" s="149">
        <f>IF(A148="","",historico_VU!D96)</f>
        <v/>
      </c>
      <c r="E148" s="149">
        <f>IF(A148="","",historico_VU!E96)</f>
        <v/>
      </c>
      <c r="F148" s="149">
        <f>IF(A148="","",historico_VU!F96)</f>
        <v/>
      </c>
      <c r="G148" s="149">
        <f>IF(A148="","",historico_VU!G96)</f>
        <v/>
      </c>
      <c r="H148" s="150">
        <f>IF(A148="","",historico_VU!H96)</f>
        <v/>
      </c>
      <c r="I148" s="62" t="n"/>
      <c r="J148" s="147">
        <f>IF(itens_Remanesc!A96="","",itens_Remanesc!A96)</f>
        <v/>
      </c>
      <c r="K148" s="148">
        <f>IF(J148="","",IF($F$4="C0",itens_Remanesc!B96,IF($F$4="C1",itens_Remanesc!E96,IF($F$4="C2",itens_Remanesc!G96,IF($F$4="C3",itens_Remanesc!I96,itens_Remanesc!K96)))))</f>
        <v/>
      </c>
      <c r="L148" s="148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372">
        <f>IF(J148="","",itens_Remanesc!C96)</f>
        <v/>
      </c>
      <c r="N148" s="372">
        <f>IF(J148="","",IF($F$4="C0",historico_VU!C96,IF($F$4="C1",historico_VU!D96,IF($F$4="C2",historico_VU!E96,IF($F$4="C3",historico_VU!F96,historico_VU!G96)))))</f>
        <v/>
      </c>
      <c r="O148" s="372">
        <f>IF(J148="","",IF(OR($B$4="Financeiro",$B$4="PCs"),IF(OR(K148="",M148=""),"",ROUND(K148*M148,2)),IF($B$4="Itens",IF(OR(L148="",M148=""),"",ROUND(L148*M148,2)),"")))</f>
        <v/>
      </c>
      <c r="P148" s="372">
        <f>IF(J148="","",IF(OR($B$4="Financeiro",$B$4="PCs"),IF(OR(K148="",N148=""),"",ROUND(K148*N148,2)),IF($B$4="Itens",IF(OR(L148="",N148=""),"",ROUND(L148*N148,2)),"")))</f>
        <v/>
      </c>
      <c r="Q148" s="152">
        <f>IF(J148="","",IF(OR(M148="",AND(OR($B$4="Financeiro",$B$4="PCs"),K148=""),AND($B$4="Itens",L148="")),"INCOMPLETO",IF(AND(ISNUMBER(K148),ISNUMBER(L148),ABS(K148-L148)/MAX(ABS(IF(OR($B$4="Financeiro",$B$4="PCs"),K148,L148)),1)&gt;$D$4),"DIVERGENTE","OK")))</f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/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/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/>
      </c>
    </row>
    <row r="149" hidden="1" outlineLevel="1" s="289">
      <c r="A149" s="147">
        <f>IF(historico_VU!A97="","",historico_VU!A97)</f>
        <v/>
      </c>
      <c r="B149" s="148">
        <f>IF(A149="","",historico_VU!B97)</f>
        <v/>
      </c>
      <c r="C149" s="149">
        <f>IF(A149="","",historico_VU!C97)</f>
        <v/>
      </c>
      <c r="D149" s="149">
        <f>IF(A149="","",historico_VU!D97)</f>
        <v/>
      </c>
      <c r="E149" s="149">
        <f>IF(A149="","",historico_VU!E97)</f>
        <v/>
      </c>
      <c r="F149" s="149">
        <f>IF(A149="","",historico_VU!F97)</f>
        <v/>
      </c>
      <c r="G149" s="149">
        <f>IF(A149="","",historico_VU!G97)</f>
        <v/>
      </c>
      <c r="H149" s="150">
        <f>IF(A149="","",historico_VU!H97)</f>
        <v/>
      </c>
      <c r="I149" s="62" t="n"/>
      <c r="J149" s="147">
        <f>IF(itens_Remanesc!A97="","",itens_Remanesc!A97)</f>
        <v/>
      </c>
      <c r="K149" s="148">
        <f>IF(J149="","",IF($F$4="C0",itens_Remanesc!B97,IF($F$4="C1",itens_Remanesc!E97,IF($F$4="C2",itens_Remanesc!G97,IF($F$4="C3",itens_Remanesc!I97,itens_Remanesc!K97)))))</f>
        <v/>
      </c>
      <c r="L149" s="148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372">
        <f>IF(J149="","",itens_Remanesc!C97)</f>
        <v/>
      </c>
      <c r="N149" s="372">
        <f>IF(J149="","",IF($F$4="C0",historico_VU!C97,IF($F$4="C1",historico_VU!D97,IF($F$4="C2",historico_VU!E97,IF($F$4="C3",historico_VU!F97,historico_VU!G97)))))</f>
        <v/>
      </c>
      <c r="O149" s="372">
        <f>IF(J149="","",IF(OR($B$4="Financeiro",$B$4="PCs"),IF(OR(K149="",M149=""),"",ROUND(K149*M149,2)),IF($B$4="Itens",IF(OR(L149="",M149=""),"",ROUND(L149*M149,2)),"")))</f>
        <v/>
      </c>
      <c r="P149" s="372">
        <f>IF(J149="","",IF(OR($B$4="Financeiro",$B$4="PCs"),IF(OR(K149="",N149=""),"",ROUND(K149*N149,2)),IF($B$4="Itens",IF(OR(L149="",N149=""),"",ROUND(L149*N149,2)),"")))</f>
        <v/>
      </c>
      <c r="Q149" s="152">
        <f>IF(J149="","",IF(OR(M149="",AND(OR($B$4="Financeiro",$B$4="PCs"),K149=""),AND($B$4="Itens",L149="")),"INCOMPLETO",IF(AND(ISNUMBER(K149),ISNUMBER(L149),ABS(K149-L149)/MAX(ABS(IF(OR($B$4="Financeiro",$B$4="PCs"),K149,L149)),1)&gt;$D$4),"DIVERGENTE","OK")))</f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/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/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/>
      </c>
    </row>
    <row r="150" hidden="1" outlineLevel="1" s="289">
      <c r="A150" s="147">
        <f>IF(historico_VU!A98="","",historico_VU!A98)</f>
        <v/>
      </c>
      <c r="B150" s="148">
        <f>IF(A150="","",historico_VU!B98)</f>
        <v/>
      </c>
      <c r="C150" s="149">
        <f>IF(A150="","",historico_VU!C98)</f>
        <v/>
      </c>
      <c r="D150" s="149">
        <f>IF(A150="","",historico_VU!D98)</f>
        <v/>
      </c>
      <c r="E150" s="149">
        <f>IF(A150="","",historico_VU!E98)</f>
        <v/>
      </c>
      <c r="F150" s="149">
        <f>IF(A150="","",historico_VU!F98)</f>
        <v/>
      </c>
      <c r="G150" s="149">
        <f>IF(A150="","",historico_VU!G98)</f>
        <v/>
      </c>
      <c r="H150" s="150">
        <f>IF(A150="","",historico_VU!H98)</f>
        <v/>
      </c>
      <c r="I150" s="62" t="n"/>
      <c r="J150" s="147">
        <f>IF(itens_Remanesc!A98="","",itens_Remanesc!A98)</f>
        <v/>
      </c>
      <c r="K150" s="148">
        <f>IF(J150="","",IF($F$4="C0",itens_Remanesc!B98,IF($F$4="C1",itens_Remanesc!E98,IF($F$4="C2",itens_Remanesc!G98,IF($F$4="C3",itens_Remanesc!I98,itens_Remanesc!K98)))))</f>
        <v/>
      </c>
      <c r="L150" s="148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372">
        <f>IF(J150="","",itens_Remanesc!C98)</f>
        <v/>
      </c>
      <c r="N150" s="372">
        <f>IF(J150="","",IF($F$4="C0",historico_VU!C98,IF($F$4="C1",historico_VU!D98,IF($F$4="C2",historico_VU!E98,IF($F$4="C3",historico_VU!F98,historico_VU!G98)))))</f>
        <v/>
      </c>
      <c r="O150" s="372">
        <f>IF(J150="","",IF(OR($B$4="Financeiro",$B$4="PCs"),IF(OR(K150="",M150=""),"",ROUND(K150*M150,2)),IF($B$4="Itens",IF(OR(L150="",M150=""),"",ROUND(L150*M150,2)),"")))</f>
        <v/>
      </c>
      <c r="P150" s="372">
        <f>IF(J150="","",IF(OR($B$4="Financeiro",$B$4="PCs"),IF(OR(K150="",N150=""),"",ROUND(K150*N150,2)),IF($B$4="Itens",IF(OR(L150="",N150=""),"",ROUND(L150*N150,2)),"")))</f>
        <v/>
      </c>
      <c r="Q150" s="152">
        <f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/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/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/>
      </c>
    </row>
    <row r="151" hidden="1" outlineLevel="1" s="289">
      <c r="A151" s="147">
        <f>IF(historico_VU!A99="","",historico_VU!A99)</f>
        <v/>
      </c>
      <c r="B151" s="148">
        <f>IF(A151="","",historico_VU!B99)</f>
        <v/>
      </c>
      <c r="C151" s="149">
        <f>IF(A151="","",historico_VU!C99)</f>
        <v/>
      </c>
      <c r="D151" s="149">
        <f>IF(A151="","",historico_VU!D99)</f>
        <v/>
      </c>
      <c r="E151" s="149">
        <f>IF(A151="","",historico_VU!E99)</f>
        <v/>
      </c>
      <c r="F151" s="149">
        <f>IF(A151="","",historico_VU!F99)</f>
        <v/>
      </c>
      <c r="G151" s="149">
        <f>IF(A151="","",historico_VU!G99)</f>
        <v/>
      </c>
      <c r="H151" s="150">
        <f>IF(A151="","",historico_VU!H99)</f>
        <v/>
      </c>
      <c r="I151" s="62" t="n"/>
      <c r="J151" s="147">
        <f>IF(itens_Remanesc!A99="","",itens_Remanesc!A99)</f>
        <v/>
      </c>
      <c r="K151" s="148">
        <f>IF(J151="","",IF($F$4="C0",itens_Remanesc!B99,IF($F$4="C1",itens_Remanesc!E99,IF($F$4="C2",itens_Remanesc!G99,IF($F$4="C3",itens_Remanesc!I99,itens_Remanesc!K99)))))</f>
        <v/>
      </c>
      <c r="L151" s="148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372">
        <f>IF(J151="","",itens_Remanesc!C99)</f>
        <v/>
      </c>
      <c r="N151" s="372">
        <f>IF(J151="","",IF($F$4="C0",historico_VU!C99,IF($F$4="C1",historico_VU!D99,IF($F$4="C2",historico_VU!E99,IF($F$4="C3",historico_VU!F99,historico_VU!G99)))))</f>
        <v/>
      </c>
      <c r="O151" s="372">
        <f>IF(J151="","",IF(OR($B$4="Financeiro",$B$4="PCs"),IF(OR(K151="",M151=""),"",ROUND(K151*M151,2)),IF($B$4="Itens",IF(OR(L151="",M151=""),"",ROUND(L151*M151,2)),"")))</f>
        <v/>
      </c>
      <c r="P151" s="372">
        <f>IF(J151="","",IF(OR($B$4="Financeiro",$B$4="PCs"),IF(OR(K151="",N151=""),"",ROUND(K151*N151,2)),IF($B$4="Itens",IF(OR(L151="",N151=""),"",ROUND(L151*N151,2)),"")))</f>
        <v/>
      </c>
      <c r="Q151" s="152">
        <f>IF(J151="","",IF(OR(M151="",AND(OR($B$4="Financeiro",$B$4="PCs"),K151=""),AND($B$4="Itens",L151="")),"INCOMPLETO",IF(AND(ISNUMBER(K151),ISNUMBER(L151),ABS(K151-L151)/MAX(ABS(IF(OR($B$4="Financeiro",$B$4="PCs"),K151,L151)),1)&gt;$D$4),"DIVERGENTE","OK")))</f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/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/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/>
      </c>
    </row>
    <row r="152" hidden="1" outlineLevel="1" s="289">
      <c r="A152" s="147">
        <f>IF(historico_VU!A100="","",historico_VU!A100)</f>
        <v/>
      </c>
      <c r="B152" s="148">
        <f>IF(A152="","",historico_VU!B100)</f>
        <v/>
      </c>
      <c r="C152" s="149">
        <f>IF(A152="","",historico_VU!C100)</f>
        <v/>
      </c>
      <c r="D152" s="149">
        <f>IF(A152="","",historico_VU!D100)</f>
        <v/>
      </c>
      <c r="E152" s="149">
        <f>IF(A152="","",historico_VU!E100)</f>
        <v/>
      </c>
      <c r="F152" s="149">
        <f>IF(A152="","",historico_VU!F100)</f>
        <v/>
      </c>
      <c r="G152" s="149">
        <f>IF(A152="","",historico_VU!G100)</f>
        <v/>
      </c>
      <c r="H152" s="150">
        <f>IF(A152="","",historico_VU!H100)</f>
        <v/>
      </c>
      <c r="I152" s="62" t="n"/>
      <c r="J152" s="147">
        <f>IF(itens_Remanesc!A100="","",itens_Remanesc!A100)</f>
        <v/>
      </c>
      <c r="K152" s="148">
        <f>IF(J152="","",IF($F$4="C0",itens_Remanesc!B100,IF($F$4="C1",itens_Remanesc!E100,IF($F$4="C2",itens_Remanesc!G100,IF($F$4="C3",itens_Remanesc!I100,itens_Remanesc!K100)))))</f>
        <v/>
      </c>
      <c r="L152" s="148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372">
        <f>IF(J152="","",itens_Remanesc!C100)</f>
        <v/>
      </c>
      <c r="N152" s="372">
        <f>IF(J152="","",IF($F$4="C0",historico_VU!C100,IF($F$4="C1",historico_VU!D100,IF($F$4="C2",historico_VU!E100,IF($F$4="C3",historico_VU!F100,historico_VU!G100)))))</f>
        <v/>
      </c>
      <c r="O152" s="372">
        <f>IF(J152="","",IF(OR($B$4="Financeiro",$B$4="PCs"),IF(OR(K152="",M152=""),"",ROUND(K152*M152,2)),IF($B$4="Itens",IF(OR(L152="",M152=""),"",ROUND(L152*M152,2)),"")))</f>
        <v/>
      </c>
      <c r="P152" s="372">
        <f>IF(J152="","",IF(OR($B$4="Financeiro",$B$4="PCs"),IF(OR(K152="",N152=""),"",ROUND(K152*N152,2)),IF($B$4="Itens",IF(OR(L152="",N152=""),"",ROUND(L152*N152,2)),"")))</f>
        <v/>
      </c>
      <c r="Q152" s="152">
        <f>IF(J152="","",IF(OR(M152="",AND(OR($B$4="Financeiro",$B$4="PCs"),K152=""),AND($B$4="Itens",L152="")),"INCOMPLETO",IF(AND(ISNUMBER(K152),ISNUMBER(L152),ABS(K152-L152)/MAX(ABS(IF(OR($B$4="Financeiro",$B$4="PCs"),K152,L152)),1)&gt;$D$4),"DIVERGENTE","OK")))</f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/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/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/>
      </c>
    </row>
    <row r="153" hidden="1" outlineLevel="1" s="289">
      <c r="A153" s="147">
        <f>IF(historico_VU!A101="","",historico_VU!A101)</f>
        <v/>
      </c>
      <c r="B153" s="148">
        <f>IF(A153="","",historico_VU!B101)</f>
        <v/>
      </c>
      <c r="C153" s="149">
        <f>IF(A153="","",historico_VU!C101)</f>
        <v/>
      </c>
      <c r="D153" s="149">
        <f>IF(A153="","",historico_VU!D101)</f>
        <v/>
      </c>
      <c r="E153" s="149">
        <f>IF(A153="","",historico_VU!E101)</f>
        <v/>
      </c>
      <c r="F153" s="149">
        <f>IF(A153="","",historico_VU!F101)</f>
        <v/>
      </c>
      <c r="G153" s="149">
        <f>IF(A153="","",historico_VU!G101)</f>
        <v/>
      </c>
      <c r="H153" s="150">
        <f>IF(A153="","",historico_VU!H101)</f>
        <v/>
      </c>
      <c r="I153" s="62" t="n"/>
      <c r="J153" s="147">
        <f>IF(itens_Remanesc!A101="","",itens_Remanesc!A101)</f>
        <v/>
      </c>
      <c r="K153" s="148">
        <f>IF(J153="","",IF($F$4="C0",itens_Remanesc!B101,IF($F$4="C1",itens_Remanesc!E101,IF($F$4="C2",itens_Remanesc!G101,IF($F$4="C3",itens_Remanesc!I101,itens_Remanesc!K101)))))</f>
        <v/>
      </c>
      <c r="L153" s="148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372">
        <f>IF(J153="","",itens_Remanesc!C101)</f>
        <v/>
      </c>
      <c r="N153" s="372">
        <f>IF(J153="","",IF($F$4="C0",historico_VU!C101,IF($F$4="C1",historico_VU!D101,IF($F$4="C2",historico_VU!E101,IF($F$4="C3",historico_VU!F101,historico_VU!G101)))))</f>
        <v/>
      </c>
      <c r="O153" s="372">
        <f>IF(J153="","",IF(OR($B$4="Financeiro",$B$4="PCs"),IF(OR(K153="",M153=""),"",ROUND(K153*M153,2)),IF($B$4="Itens",IF(OR(L153="",M153=""),"",ROUND(L153*M153,2)),"")))</f>
        <v/>
      </c>
      <c r="P153" s="372">
        <f>IF(J153="","",IF(OR($B$4="Financeiro",$B$4="PCs"),IF(OR(K153="",N153=""),"",ROUND(K153*N153,2)),IF($B$4="Itens",IF(OR(L153="",N153=""),"",ROUND(L153*N153,2)),"")))</f>
        <v/>
      </c>
      <c r="Q153" s="152">
        <f>IF(J153="","",IF(OR(M153="",AND(OR($B$4="Financeiro",$B$4="PCs"),K153=""),AND($B$4="Itens",L153="")),"INCOMPLETO",IF(AND(ISNUMBER(K153),ISNUMBER(L153),ABS(K153-L153)/MAX(ABS(IF(OR($B$4="Financeiro",$B$4="PCs"),K153,L153)),1)&gt;$D$4),"DIVERGENTE","OK")))</f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/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/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/>
      </c>
    </row>
    <row r="154" hidden="1" outlineLevel="1" s="289">
      <c r="A154" s="147">
        <f>IF(historico_VU!A102="","",historico_VU!A102)</f>
        <v/>
      </c>
      <c r="B154" s="148">
        <f>IF(A154="","",historico_VU!B102)</f>
        <v/>
      </c>
      <c r="C154" s="149">
        <f>IF(A154="","",historico_VU!C102)</f>
        <v/>
      </c>
      <c r="D154" s="149">
        <f>IF(A154="","",historico_VU!D102)</f>
        <v/>
      </c>
      <c r="E154" s="149">
        <f>IF(A154="","",historico_VU!E102)</f>
        <v/>
      </c>
      <c r="F154" s="149">
        <f>IF(A154="","",historico_VU!F102)</f>
        <v/>
      </c>
      <c r="G154" s="149">
        <f>IF(A154="","",historico_VU!G102)</f>
        <v/>
      </c>
      <c r="H154" s="150">
        <f>IF(A154="","",historico_VU!H102)</f>
        <v/>
      </c>
      <c r="I154" s="62" t="n"/>
      <c r="J154" s="147">
        <f>IF(itens_Remanesc!A102="","",itens_Remanesc!A102)</f>
        <v/>
      </c>
      <c r="K154" s="148">
        <f>IF(J154="","",IF($F$4="C0",itens_Remanesc!B102,IF($F$4="C1",itens_Remanesc!E102,IF($F$4="C2",itens_Remanesc!G102,IF($F$4="C3",itens_Remanesc!I102,itens_Remanesc!K102)))))</f>
        <v/>
      </c>
      <c r="L154" s="148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372">
        <f>IF(J154="","",itens_Remanesc!C102)</f>
        <v/>
      </c>
      <c r="N154" s="372">
        <f>IF(J154="","",IF($F$4="C0",historico_VU!C102,IF($F$4="C1",historico_VU!D102,IF($F$4="C2",historico_VU!E102,IF($F$4="C3",historico_VU!F102,historico_VU!G102)))))</f>
        <v/>
      </c>
      <c r="O154" s="372">
        <f>IF(J154="","",IF(OR($B$4="Financeiro",$B$4="PCs"),IF(OR(K154="",M154=""),"",ROUND(K154*M154,2)),IF($B$4="Itens",IF(OR(L154="",M154=""),"",ROUND(L154*M154,2)),"")))</f>
        <v/>
      </c>
      <c r="P154" s="372">
        <f>IF(J154="","",IF(OR($B$4="Financeiro",$B$4="PCs"),IF(OR(K154="",N154=""),"",ROUND(K154*N154,2)),IF($B$4="Itens",IF(OR(L154="",N154=""),"",ROUND(L154*N154,2)),"")))</f>
        <v/>
      </c>
      <c r="Q154" s="152">
        <f>IF(J154="","",IF(OR(M154="",AND(OR($B$4="Financeiro",$B$4="PCs"),K154=""),AND($B$4="Itens",L154="")),"INCOMPLETO",IF(AND(ISNUMBER(K154),ISNUMBER(L154),ABS(K154-L154)/MAX(ABS(IF(OR($B$4="Financeiro",$B$4="PCs"),K154,L154)),1)&gt;$D$4),"DIVERGENTE","OK")))</f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/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/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/>
      </c>
    </row>
    <row r="155" hidden="1" outlineLevel="1" s="289">
      <c r="A155" s="147">
        <f>IF(historico_VU!A103="","",historico_VU!A103)</f>
        <v/>
      </c>
      <c r="B155" s="148">
        <f>IF(A155="","",historico_VU!B103)</f>
        <v/>
      </c>
      <c r="C155" s="149">
        <f>IF(A155="","",historico_VU!C103)</f>
        <v/>
      </c>
      <c r="D155" s="149">
        <f>IF(A155="","",historico_VU!D103)</f>
        <v/>
      </c>
      <c r="E155" s="149">
        <f>IF(A155="","",historico_VU!E103)</f>
        <v/>
      </c>
      <c r="F155" s="149">
        <f>IF(A155="","",historico_VU!F103)</f>
        <v/>
      </c>
      <c r="G155" s="149">
        <f>IF(A155="","",historico_VU!G103)</f>
        <v/>
      </c>
      <c r="H155" s="150">
        <f>IF(A155="","",historico_VU!H103)</f>
        <v/>
      </c>
      <c r="I155" s="62" t="n"/>
      <c r="J155" s="147">
        <f>IF(itens_Remanesc!A103="","",itens_Remanesc!A103)</f>
        <v/>
      </c>
      <c r="K155" s="148">
        <f>IF(J155="","",IF($F$4="C0",itens_Remanesc!B103,IF($F$4="C1",itens_Remanesc!E103,IF($F$4="C2",itens_Remanesc!G103,IF($F$4="C3",itens_Remanesc!I103,itens_Remanesc!K103)))))</f>
        <v/>
      </c>
      <c r="L155" s="148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372">
        <f>IF(J155="","",itens_Remanesc!C103)</f>
        <v/>
      </c>
      <c r="N155" s="372">
        <f>IF(J155="","",IF($F$4="C0",historico_VU!C103,IF($F$4="C1",historico_VU!D103,IF($F$4="C2",historico_VU!E103,IF($F$4="C3",historico_VU!F103,historico_VU!G103)))))</f>
        <v/>
      </c>
      <c r="O155" s="372">
        <f>IF(J155="","",IF(OR($B$4="Financeiro",$B$4="PCs"),IF(OR(K155="",M155=""),"",ROUND(K155*M155,2)),IF($B$4="Itens",IF(OR(L155="",M155=""),"",ROUND(L155*M155,2)),"")))</f>
        <v/>
      </c>
      <c r="P155" s="372">
        <f>IF(J155="","",IF(OR($B$4="Financeiro",$B$4="PCs"),IF(OR(K155="",N155=""),"",ROUND(K155*N155,2)),IF($B$4="Itens",IF(OR(L155="",N155=""),"",ROUND(L155*N155,2)),"")))</f>
        <v/>
      </c>
      <c r="Q155" s="152">
        <f>IF(J155="","",IF(OR(M155="",AND(OR($B$4="Financeiro",$B$4="PCs"),K155=""),AND($B$4="Itens",L155="")),"INCOMPLETO",IF(AND(ISNUMBER(K155),ISNUMBER(L155),ABS(K155-L155)/MAX(ABS(IF(OR($B$4="Financeiro",$B$4="PCs"),K155,L155)),1)&gt;$D$4),"DIVERGENTE","OK")))</f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/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/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/>
      </c>
    </row>
    <row r="156" hidden="1" outlineLevel="1" s="289">
      <c r="A156" s="147">
        <f>IF(historico_VU!A104="","",historico_VU!A104)</f>
        <v/>
      </c>
      <c r="B156" s="148">
        <f>IF(A156="","",historico_VU!B104)</f>
        <v/>
      </c>
      <c r="C156" s="149">
        <f>IF(A156="","",historico_VU!C104)</f>
        <v/>
      </c>
      <c r="D156" s="149">
        <f>IF(A156="","",historico_VU!D104)</f>
        <v/>
      </c>
      <c r="E156" s="149">
        <f>IF(A156="","",historico_VU!E104)</f>
        <v/>
      </c>
      <c r="F156" s="149">
        <f>IF(A156="","",historico_VU!F104)</f>
        <v/>
      </c>
      <c r="G156" s="149">
        <f>IF(A156="","",historico_VU!G104)</f>
        <v/>
      </c>
      <c r="H156" s="150">
        <f>IF(A156="","",historico_VU!H104)</f>
        <v/>
      </c>
      <c r="I156" s="62" t="n"/>
      <c r="J156" s="147">
        <f>IF(itens_Remanesc!A104="","",itens_Remanesc!A104)</f>
        <v/>
      </c>
      <c r="K156" s="148">
        <f>IF(J156="","",IF($F$4="C0",itens_Remanesc!B104,IF($F$4="C1",itens_Remanesc!E104,IF($F$4="C2",itens_Remanesc!G104,IF($F$4="C3",itens_Remanesc!I104,itens_Remanesc!K104)))))</f>
        <v/>
      </c>
      <c r="L156" s="148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372">
        <f>IF(J156="","",itens_Remanesc!C104)</f>
        <v/>
      </c>
      <c r="N156" s="372">
        <f>IF(J156="","",IF($F$4="C0",historico_VU!C104,IF($F$4="C1",historico_VU!D104,IF($F$4="C2",historico_VU!E104,IF($F$4="C3",historico_VU!F104,historico_VU!G104)))))</f>
        <v/>
      </c>
      <c r="O156" s="372">
        <f>IF(J156="","",IF(OR($B$4="Financeiro",$B$4="PCs"),IF(OR(K156="",M156=""),"",ROUND(K156*M156,2)),IF($B$4="Itens",IF(OR(L156="",M156=""),"",ROUND(L156*M156,2)),"")))</f>
        <v/>
      </c>
      <c r="P156" s="372">
        <f>IF(J156="","",IF(OR($B$4="Financeiro",$B$4="PCs"),IF(OR(K156="",N156=""),"",ROUND(K156*N156,2)),IF($B$4="Itens",IF(OR(L156="",N156=""),"",ROUND(L156*N156,2)),"")))</f>
        <v/>
      </c>
      <c r="Q156" s="152">
        <f>IF(J156="","",IF(OR(M156="",AND(OR($B$4="Financeiro",$B$4="PCs"),K156=""),AND($B$4="Itens",L156="")),"INCOMPLETO",IF(AND(ISNUMBER(K156),ISNUMBER(L156),ABS(K156-L156)/MAX(ABS(IF(OR($B$4="Financeiro",$B$4="PCs"),K156,L156)),1)&gt;$D$4),"DIVERGENTE","OK")))</f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/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/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/>
      </c>
    </row>
    <row r="157" hidden="1" outlineLevel="1" s="289">
      <c r="A157" s="147">
        <f>IF(historico_VU!A105="","",historico_VU!A105)</f>
        <v/>
      </c>
      <c r="B157" s="148">
        <f>IF(A157="","",historico_VU!B105)</f>
        <v/>
      </c>
      <c r="C157" s="149">
        <f>IF(A157="","",historico_VU!C105)</f>
        <v/>
      </c>
      <c r="D157" s="149">
        <f>IF(A157="","",historico_VU!D105)</f>
        <v/>
      </c>
      <c r="E157" s="149">
        <f>IF(A157="","",historico_VU!E105)</f>
        <v/>
      </c>
      <c r="F157" s="149">
        <f>IF(A157="","",historico_VU!F105)</f>
        <v/>
      </c>
      <c r="G157" s="149">
        <f>IF(A157="","",historico_VU!G105)</f>
        <v/>
      </c>
      <c r="H157" s="150">
        <f>IF(A157="","",historico_VU!H105)</f>
        <v/>
      </c>
      <c r="I157" s="62" t="n"/>
      <c r="J157" s="147">
        <f>IF(itens_Remanesc!A105="","",itens_Remanesc!A105)</f>
        <v/>
      </c>
      <c r="K157" s="148">
        <f>IF(J157="","",IF($F$4="C0",itens_Remanesc!B105,IF($F$4="C1",itens_Remanesc!E105,IF($F$4="C2",itens_Remanesc!G105,IF($F$4="C3",itens_Remanesc!I105,itens_Remanesc!K105)))))</f>
        <v/>
      </c>
      <c r="L157" s="148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372">
        <f>IF(J157="","",itens_Remanesc!C105)</f>
        <v/>
      </c>
      <c r="N157" s="372">
        <f>IF(J157="","",IF($F$4="C0",historico_VU!C105,IF($F$4="C1",historico_VU!D105,IF($F$4="C2",historico_VU!E105,IF($F$4="C3",historico_VU!F105,historico_VU!G105)))))</f>
        <v/>
      </c>
      <c r="O157" s="372">
        <f>IF(J157="","",IF(OR($B$4="Financeiro",$B$4="PCs"),IF(OR(K157="",M157=""),"",ROUND(K157*M157,2)),IF($B$4="Itens",IF(OR(L157="",M157=""),"",ROUND(L157*M157,2)),"")))</f>
        <v/>
      </c>
      <c r="P157" s="372">
        <f>IF(J157="","",IF(OR($B$4="Financeiro",$B$4="PCs"),IF(OR(K157="",N157=""),"",ROUND(K157*N157,2)),IF($B$4="Itens",IF(OR(L157="",N157=""),"",ROUND(L157*N157,2)),"")))</f>
        <v/>
      </c>
      <c r="Q157" s="152">
        <f>IF(J157="","",IF(OR(M157="",AND(OR($B$4="Financeiro",$B$4="PCs"),K157=""),AND($B$4="Itens",L157="")),"INCOMPLETO",IF(AND(ISNUMBER(K157),ISNUMBER(L157),ABS(K157-L157)/MAX(ABS(IF(OR($B$4="Financeiro",$B$4="PCs"),K157,L157)),1)&gt;$D$4),"DIVERGENTE","OK")))</f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/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/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/>
      </c>
    </row>
    <row r="158" hidden="1" outlineLevel="1" s="289">
      <c r="A158" s="147">
        <f>IF(historico_VU!A106="","",historico_VU!A106)</f>
        <v/>
      </c>
      <c r="B158" s="148">
        <f>IF(A158="","",historico_VU!B106)</f>
        <v/>
      </c>
      <c r="C158" s="149">
        <f>IF(A158="","",historico_VU!C106)</f>
        <v/>
      </c>
      <c r="D158" s="149">
        <f>IF(A158="","",historico_VU!D106)</f>
        <v/>
      </c>
      <c r="E158" s="149">
        <f>IF(A158="","",historico_VU!E106)</f>
        <v/>
      </c>
      <c r="F158" s="149">
        <f>IF(A158="","",historico_VU!F106)</f>
        <v/>
      </c>
      <c r="G158" s="149">
        <f>IF(A158="","",historico_VU!G106)</f>
        <v/>
      </c>
      <c r="H158" s="150">
        <f>IF(A158="","",historico_VU!H106)</f>
        <v/>
      </c>
      <c r="I158" s="62" t="n"/>
      <c r="J158" s="147">
        <f>IF(itens_Remanesc!A106="","",itens_Remanesc!A106)</f>
        <v/>
      </c>
      <c r="K158" s="148">
        <f>IF(J158="","",IF($F$4="C0",itens_Remanesc!B106,IF($F$4="C1",itens_Remanesc!E106,IF($F$4="C2",itens_Remanesc!G106,IF($F$4="C3",itens_Remanesc!I106,itens_Remanesc!K106)))))</f>
        <v/>
      </c>
      <c r="L158" s="148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372">
        <f>IF(J158="","",itens_Remanesc!C106)</f>
        <v/>
      </c>
      <c r="N158" s="372">
        <f>IF(J158="","",IF($F$4="C0",historico_VU!C106,IF($F$4="C1",historico_VU!D106,IF($F$4="C2",historico_VU!E106,IF($F$4="C3",historico_VU!F106,historico_VU!G106)))))</f>
        <v/>
      </c>
      <c r="O158" s="372">
        <f>IF(J158="","",IF(OR($B$4="Financeiro",$B$4="PCs"),IF(OR(K158="",M158=""),"",ROUND(K158*M158,2)),IF($B$4="Itens",IF(OR(L158="",M158=""),"",ROUND(L158*M158,2)),"")))</f>
        <v/>
      </c>
      <c r="P158" s="372">
        <f>IF(J158="","",IF(OR($B$4="Financeiro",$B$4="PCs"),IF(OR(K158="",N158=""),"",ROUND(K158*N158,2)),IF($B$4="Itens",IF(OR(L158="",N158=""),"",ROUND(L158*N158,2)),"")))</f>
        <v/>
      </c>
      <c r="Q158" s="152">
        <f>IF(J158="","",IF(OR(M158="",AND(OR($B$4="Financeiro",$B$4="PCs"),K158=""),AND($B$4="Itens",L158="")),"INCOMPLETO",IF(AND(ISNUMBER(K158),ISNUMBER(L158),ABS(K158-L158)/MAX(ABS(IF(OR($B$4="Financeiro",$B$4="PCs"),K158,L158)),1)&gt;$D$4),"DIVERGENTE","OK")))</f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/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/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/>
      </c>
    </row>
    <row r="159" hidden="1" outlineLevel="1" s="289">
      <c r="A159" s="147">
        <f>IF(historico_VU!A107="","",historico_VU!A107)</f>
        <v/>
      </c>
      <c r="B159" s="148">
        <f>IF(A159="","",historico_VU!B107)</f>
        <v/>
      </c>
      <c r="C159" s="149">
        <f>IF(A159="","",historico_VU!C107)</f>
        <v/>
      </c>
      <c r="D159" s="149">
        <f>IF(A159="","",historico_VU!D107)</f>
        <v/>
      </c>
      <c r="E159" s="149">
        <f>IF(A159="","",historico_VU!E107)</f>
        <v/>
      </c>
      <c r="F159" s="149">
        <f>IF(A159="","",historico_VU!F107)</f>
        <v/>
      </c>
      <c r="G159" s="149">
        <f>IF(A159="","",historico_VU!G107)</f>
        <v/>
      </c>
      <c r="H159" s="150">
        <f>IF(A159="","",historico_VU!H107)</f>
        <v/>
      </c>
      <c r="I159" s="62" t="n"/>
      <c r="J159" s="147">
        <f>IF(itens_Remanesc!A107="","",itens_Remanesc!A107)</f>
        <v/>
      </c>
      <c r="K159" s="148">
        <f>IF(J159="","",IF($F$4="C0",itens_Remanesc!B107,IF($F$4="C1",itens_Remanesc!E107,IF($F$4="C2",itens_Remanesc!G107,IF($F$4="C3",itens_Remanesc!I107,itens_Remanesc!K107)))))</f>
        <v/>
      </c>
      <c r="L159" s="148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372">
        <f>IF(J159="","",itens_Remanesc!C107)</f>
        <v/>
      </c>
      <c r="N159" s="372">
        <f>IF(J159="","",IF($F$4="C0",historico_VU!C107,IF($F$4="C1",historico_VU!D107,IF($F$4="C2",historico_VU!E107,IF($F$4="C3",historico_VU!F107,historico_VU!G107)))))</f>
        <v/>
      </c>
      <c r="O159" s="372">
        <f>IF(J159="","",IF(OR($B$4="Financeiro",$B$4="PCs"),IF(OR(K159="",M159=""),"",ROUND(K159*M159,2)),IF($B$4="Itens",IF(OR(L159="",M159=""),"",ROUND(L159*M159,2)),"")))</f>
        <v/>
      </c>
      <c r="P159" s="372">
        <f>IF(J159="","",IF(OR($B$4="Financeiro",$B$4="PCs"),IF(OR(K159="",N159=""),"",ROUND(K159*N159,2)),IF($B$4="Itens",IF(OR(L159="",N159=""),"",ROUND(L159*N159,2)),"")))</f>
        <v/>
      </c>
      <c r="Q159" s="152">
        <f>IF(J159="","",IF(OR(M159="",AND(OR($B$4="Financeiro",$B$4="PCs"),K159=""),AND($B$4="Itens",L159="")),"INCOMPLETO",IF(AND(ISNUMBER(K159),ISNUMBER(L159),ABS(K159-L159)/MAX(ABS(IF(OR($B$4="Financeiro",$B$4="PCs"),K159,L159)),1)&gt;$D$4),"DIVERGENTE","OK")))</f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/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/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/>
      </c>
    </row>
    <row r="160" hidden="1" outlineLevel="1" s="289">
      <c r="A160" s="147">
        <f>IF(historico_VU!A108="","",historico_VU!A108)</f>
        <v/>
      </c>
      <c r="B160" s="148">
        <f>IF(A160="","",historico_VU!B108)</f>
        <v/>
      </c>
      <c r="C160" s="149">
        <f>IF(A160="","",historico_VU!C108)</f>
        <v/>
      </c>
      <c r="D160" s="149">
        <f>IF(A160="","",historico_VU!D108)</f>
        <v/>
      </c>
      <c r="E160" s="149">
        <f>IF(A160="","",historico_VU!E108)</f>
        <v/>
      </c>
      <c r="F160" s="149">
        <f>IF(A160="","",historico_VU!F108)</f>
        <v/>
      </c>
      <c r="G160" s="149">
        <f>IF(A160="","",historico_VU!G108)</f>
        <v/>
      </c>
      <c r="H160" s="150">
        <f>IF(A160="","",historico_VU!H108)</f>
        <v/>
      </c>
      <c r="I160" s="62" t="n"/>
      <c r="J160" s="147">
        <f>IF(itens_Remanesc!A108="","",itens_Remanesc!A108)</f>
        <v/>
      </c>
      <c r="K160" s="148">
        <f>IF(J160="","",IF($F$4="C0",itens_Remanesc!B108,IF($F$4="C1",itens_Remanesc!E108,IF($F$4="C2",itens_Remanesc!G108,IF($F$4="C3",itens_Remanesc!I108,itens_Remanesc!K108)))))</f>
        <v/>
      </c>
      <c r="L160" s="148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372">
        <f>IF(J160="","",itens_Remanesc!C108)</f>
        <v/>
      </c>
      <c r="N160" s="372">
        <f>IF(J160="","",IF($F$4="C0",historico_VU!C108,IF($F$4="C1",historico_VU!D108,IF($F$4="C2",historico_VU!E108,IF($F$4="C3",historico_VU!F108,historico_VU!G108)))))</f>
        <v/>
      </c>
      <c r="O160" s="372">
        <f>IF(J160="","",IF(OR($B$4="Financeiro",$B$4="PCs"),IF(OR(K160="",M160=""),"",ROUND(K160*M160,2)),IF($B$4="Itens",IF(OR(L160="",M160=""),"",ROUND(L160*M160,2)),"")))</f>
        <v/>
      </c>
      <c r="P160" s="372">
        <f>IF(J160="","",IF(OR($B$4="Financeiro",$B$4="PCs"),IF(OR(K160="",N160=""),"",ROUND(K160*N160,2)),IF($B$4="Itens",IF(OR(L160="",N160=""),"",ROUND(L160*N160,2)),"")))</f>
        <v/>
      </c>
      <c r="Q160" s="152">
        <f>IF(J160="","",IF(OR(M160="",AND(OR($B$4="Financeiro",$B$4="PCs"),K160=""),AND($B$4="Itens",L160="")),"INCOMPLETO",IF(AND(ISNUMBER(K160),ISNUMBER(L160),ABS(K160-L160)/MAX(ABS(IF(OR($B$4="Financeiro",$B$4="PCs"),K160,L160)),1)&gt;$D$4),"DIVERGENTE","OK")))</f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/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/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/>
      </c>
    </row>
    <row r="161" hidden="1" outlineLevel="1" s="289">
      <c r="A161" s="147">
        <f>IF(historico_VU!A109="","",historico_VU!A109)</f>
        <v/>
      </c>
      <c r="B161" s="148">
        <f>IF(A161="","",historico_VU!B109)</f>
        <v/>
      </c>
      <c r="C161" s="149">
        <f>IF(A161="","",historico_VU!C109)</f>
        <v/>
      </c>
      <c r="D161" s="149">
        <f>IF(A161="","",historico_VU!D109)</f>
        <v/>
      </c>
      <c r="E161" s="149">
        <f>IF(A161="","",historico_VU!E109)</f>
        <v/>
      </c>
      <c r="F161" s="149">
        <f>IF(A161="","",historico_VU!F109)</f>
        <v/>
      </c>
      <c r="G161" s="149">
        <f>IF(A161="","",historico_VU!G109)</f>
        <v/>
      </c>
      <c r="H161" s="150">
        <f>IF(A161="","",historico_VU!H109)</f>
        <v/>
      </c>
      <c r="I161" s="62" t="n"/>
      <c r="J161" s="147">
        <f>IF(itens_Remanesc!A109="","",itens_Remanesc!A109)</f>
        <v/>
      </c>
      <c r="K161" s="148">
        <f>IF(J161="","",IF($F$4="C0",itens_Remanesc!B109,IF($F$4="C1",itens_Remanesc!E109,IF($F$4="C2",itens_Remanesc!G109,IF($F$4="C3",itens_Remanesc!I109,itens_Remanesc!K109)))))</f>
        <v/>
      </c>
      <c r="L161" s="148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372">
        <f>IF(J161="","",itens_Remanesc!C109)</f>
        <v/>
      </c>
      <c r="N161" s="372">
        <f>IF(J161="","",IF($F$4="C0",historico_VU!C109,IF($F$4="C1",historico_VU!D109,IF($F$4="C2",historico_VU!E109,IF($F$4="C3",historico_VU!F109,historico_VU!G109)))))</f>
        <v/>
      </c>
      <c r="O161" s="372">
        <f>IF(J161="","",IF(OR($B$4="Financeiro",$B$4="PCs"),IF(OR(K161="",M161=""),"",ROUND(K161*M161,2)),IF($B$4="Itens",IF(OR(L161="",M161=""),"",ROUND(L161*M161,2)),"")))</f>
        <v/>
      </c>
      <c r="P161" s="372">
        <f>IF(J161="","",IF(OR($B$4="Financeiro",$B$4="PCs"),IF(OR(K161="",N161=""),"",ROUND(K161*N161,2)),IF($B$4="Itens",IF(OR(L161="",N161=""),"",ROUND(L161*N161,2)),"")))</f>
        <v/>
      </c>
      <c r="Q161" s="152">
        <f>IF(J161="","",IF(OR(M161="",AND(OR($B$4="Financeiro",$B$4="PCs"),K161=""),AND($B$4="Itens",L161="")),"INCOMPLETO",IF(AND(ISNUMBER(K161),ISNUMBER(L161),ABS(K161-L161)/MAX(ABS(IF(OR($B$4="Financeiro",$B$4="PCs"),K161,L161)),1)&gt;$D$4),"DIVERGENTE","OK")))</f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/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/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/>
      </c>
    </row>
    <row r="162" hidden="1" outlineLevel="1" s="289">
      <c r="A162" s="147">
        <f>IF(historico_VU!A110="","",historico_VU!A110)</f>
        <v/>
      </c>
      <c r="B162" s="148">
        <f>IF(A162="","",historico_VU!B110)</f>
        <v/>
      </c>
      <c r="C162" s="149">
        <f>IF(A162="","",historico_VU!C110)</f>
        <v/>
      </c>
      <c r="D162" s="149">
        <f>IF(A162="","",historico_VU!D110)</f>
        <v/>
      </c>
      <c r="E162" s="149">
        <f>IF(A162="","",historico_VU!E110)</f>
        <v/>
      </c>
      <c r="F162" s="149">
        <f>IF(A162="","",historico_VU!F110)</f>
        <v/>
      </c>
      <c r="G162" s="149">
        <f>IF(A162="","",historico_VU!G110)</f>
        <v/>
      </c>
      <c r="H162" s="150">
        <f>IF(A162="","",historico_VU!H110)</f>
        <v/>
      </c>
      <c r="I162" s="62" t="n"/>
      <c r="J162" s="147">
        <f>IF(itens_Remanesc!A110="","",itens_Remanesc!A110)</f>
        <v/>
      </c>
      <c r="K162" s="148">
        <f>IF(J162="","",IF($F$4="C0",itens_Remanesc!B110,IF($F$4="C1",itens_Remanesc!E110,IF($F$4="C2",itens_Remanesc!G110,IF($F$4="C3",itens_Remanesc!I110,itens_Remanesc!K110)))))</f>
        <v/>
      </c>
      <c r="L162" s="148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372">
        <f>IF(J162="","",itens_Remanesc!C110)</f>
        <v/>
      </c>
      <c r="N162" s="372">
        <f>IF(J162="","",IF($F$4="C0",historico_VU!C110,IF($F$4="C1",historico_VU!D110,IF($F$4="C2",historico_VU!E110,IF($F$4="C3",historico_VU!F110,historico_VU!G110)))))</f>
        <v/>
      </c>
      <c r="O162" s="372">
        <f>IF(J162="","",IF(OR($B$4="Financeiro",$B$4="PCs"),IF(OR(K162="",M162=""),"",ROUND(K162*M162,2)),IF($B$4="Itens",IF(OR(L162="",M162=""),"",ROUND(L162*M162,2)),"")))</f>
        <v/>
      </c>
      <c r="P162" s="372">
        <f>IF(J162="","",IF(OR($B$4="Financeiro",$B$4="PCs"),IF(OR(K162="",N162=""),"",ROUND(K162*N162,2)),IF($B$4="Itens",IF(OR(L162="",N162=""),"",ROUND(L162*N162,2)),"")))</f>
        <v/>
      </c>
      <c r="Q162" s="152">
        <f>IF(J162="","",IF(OR(M162="",AND(OR($B$4="Financeiro",$B$4="PCs"),K162=""),AND($B$4="Itens",L162="")),"INCOMPLETO",IF(AND(ISNUMBER(K162),ISNUMBER(L162),ABS(K162-L162)/MAX(ABS(IF(OR($B$4="Financeiro",$B$4="PCs"),K162,L162)),1)&gt;$D$4),"DIVERGENTE","OK")))</f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/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/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/>
      </c>
    </row>
    <row r="163" hidden="1" outlineLevel="1" s="289">
      <c r="A163" s="147">
        <f>IF(historico_VU!A111="","",historico_VU!A111)</f>
        <v/>
      </c>
      <c r="B163" s="148">
        <f>IF(A163="","",historico_VU!B111)</f>
        <v/>
      </c>
      <c r="C163" s="149">
        <f>IF(A163="","",historico_VU!C111)</f>
        <v/>
      </c>
      <c r="D163" s="149">
        <f>IF(A163="","",historico_VU!D111)</f>
        <v/>
      </c>
      <c r="E163" s="149">
        <f>IF(A163="","",historico_VU!E111)</f>
        <v/>
      </c>
      <c r="F163" s="149">
        <f>IF(A163="","",historico_VU!F111)</f>
        <v/>
      </c>
      <c r="G163" s="149">
        <f>IF(A163="","",historico_VU!G111)</f>
        <v/>
      </c>
      <c r="H163" s="150">
        <f>IF(A163="","",historico_VU!H111)</f>
        <v/>
      </c>
      <c r="I163" s="62" t="n"/>
      <c r="J163" s="147">
        <f>IF(itens_Remanesc!A111="","",itens_Remanesc!A111)</f>
        <v/>
      </c>
      <c r="K163" s="148">
        <f>IF(J163="","",IF($F$4="C0",itens_Remanesc!B111,IF($F$4="C1",itens_Remanesc!E111,IF($F$4="C2",itens_Remanesc!G111,IF($F$4="C3",itens_Remanesc!I111,itens_Remanesc!K111)))))</f>
        <v/>
      </c>
      <c r="L163" s="148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372">
        <f>IF(J163="","",itens_Remanesc!C111)</f>
        <v/>
      </c>
      <c r="N163" s="372">
        <f>IF(J163="","",IF($F$4="C0",historico_VU!C111,IF($F$4="C1",historico_VU!D111,IF($F$4="C2",historico_VU!E111,IF($F$4="C3",historico_VU!F111,historico_VU!G111)))))</f>
        <v/>
      </c>
      <c r="O163" s="372">
        <f>IF(J163="","",IF(OR($B$4="Financeiro",$B$4="PCs"),IF(OR(K163="",M163=""),"",ROUND(K163*M163,2)),IF($B$4="Itens",IF(OR(L163="",M163=""),"",ROUND(L163*M163,2)),"")))</f>
        <v/>
      </c>
      <c r="P163" s="372">
        <f>IF(J163="","",IF(OR($B$4="Financeiro",$B$4="PCs"),IF(OR(K163="",N163=""),"",ROUND(K163*N163,2)),IF($B$4="Itens",IF(OR(L163="",N163=""),"",ROUND(L163*N163,2)),"")))</f>
        <v/>
      </c>
      <c r="Q163" s="152">
        <f>IF(J163="","",IF(OR(M163="",AND(OR($B$4="Financeiro",$B$4="PCs"),K163=""),AND($B$4="Itens",L163="")),"INCOMPLETO",IF(AND(ISNUMBER(K163),ISNUMBER(L163),ABS(K163-L163)/MAX(ABS(IF(OR($B$4="Financeiro",$B$4="PCs"),K163,L163)),1)&gt;$D$4),"DIVERGENTE","OK")))</f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/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/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/>
      </c>
    </row>
    <row r="164" hidden="1" outlineLevel="1" s="289">
      <c r="A164" s="147">
        <f>IF(historico_VU!A112="","",historico_VU!A112)</f>
        <v/>
      </c>
      <c r="B164" s="148">
        <f>IF(A164="","",historico_VU!B112)</f>
        <v/>
      </c>
      <c r="C164" s="149">
        <f>IF(A164="","",historico_VU!C112)</f>
        <v/>
      </c>
      <c r="D164" s="149">
        <f>IF(A164="","",historico_VU!D112)</f>
        <v/>
      </c>
      <c r="E164" s="149">
        <f>IF(A164="","",historico_VU!E112)</f>
        <v/>
      </c>
      <c r="F164" s="149">
        <f>IF(A164="","",historico_VU!F112)</f>
        <v/>
      </c>
      <c r="G164" s="149">
        <f>IF(A164="","",historico_VU!G112)</f>
        <v/>
      </c>
      <c r="H164" s="150">
        <f>IF(A164="","",historico_VU!H112)</f>
        <v/>
      </c>
      <c r="I164" s="62" t="n"/>
      <c r="J164" s="147">
        <f>IF(itens_Remanesc!A112="","",itens_Remanesc!A112)</f>
        <v/>
      </c>
      <c r="K164" s="148">
        <f>IF(J164="","",IF($F$4="C0",itens_Remanesc!B112,IF($F$4="C1",itens_Remanesc!E112,IF($F$4="C2",itens_Remanesc!G112,IF($F$4="C3",itens_Remanesc!I112,itens_Remanesc!K112)))))</f>
        <v/>
      </c>
      <c r="L164" s="148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372">
        <f>IF(J164="","",itens_Remanesc!C112)</f>
        <v/>
      </c>
      <c r="N164" s="372">
        <f>IF(J164="","",IF($F$4="C0",historico_VU!C112,IF($F$4="C1",historico_VU!D112,IF($F$4="C2",historico_VU!E112,IF($F$4="C3",historico_VU!F112,historico_VU!G112)))))</f>
        <v/>
      </c>
      <c r="O164" s="372">
        <f>IF(J164="","",IF(OR($B$4="Financeiro",$B$4="PCs"),IF(OR(K164="",M164=""),"",ROUND(K164*M164,2)),IF($B$4="Itens",IF(OR(L164="",M164=""),"",ROUND(L164*M164,2)),"")))</f>
        <v/>
      </c>
      <c r="P164" s="372">
        <f>IF(J164="","",IF(OR($B$4="Financeiro",$B$4="PCs"),IF(OR(K164="",N164=""),"",ROUND(K164*N164,2)),IF($B$4="Itens",IF(OR(L164="",N164=""),"",ROUND(L164*N164,2)),"")))</f>
        <v/>
      </c>
      <c r="Q164" s="152">
        <f>IF(J164="","",IF(OR(M164="",AND(OR($B$4="Financeiro",$B$4="PCs"),K164=""),AND($B$4="Itens",L164="")),"INCOMPLETO",IF(AND(ISNUMBER(K164),ISNUMBER(L164),ABS(K164-L164)/MAX(ABS(IF(OR($B$4="Financeiro",$B$4="PCs"),K164,L164)),1)&gt;$D$4),"DIVERGENTE","OK")))</f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/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/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/>
      </c>
    </row>
    <row r="165" hidden="1" outlineLevel="1" s="289">
      <c r="A165" s="147">
        <f>IF(historico_VU!A113="","",historico_VU!A113)</f>
        <v/>
      </c>
      <c r="B165" s="148">
        <f>IF(A165="","",historico_VU!B113)</f>
        <v/>
      </c>
      <c r="C165" s="149">
        <f>IF(A165="","",historico_VU!C113)</f>
        <v/>
      </c>
      <c r="D165" s="149">
        <f>IF(A165="","",historico_VU!D113)</f>
        <v/>
      </c>
      <c r="E165" s="149">
        <f>IF(A165="","",historico_VU!E113)</f>
        <v/>
      </c>
      <c r="F165" s="149">
        <f>IF(A165="","",historico_VU!F113)</f>
        <v/>
      </c>
      <c r="G165" s="149">
        <f>IF(A165="","",historico_VU!G113)</f>
        <v/>
      </c>
      <c r="H165" s="150">
        <f>IF(A165="","",historico_VU!H113)</f>
        <v/>
      </c>
      <c r="I165" s="62" t="n"/>
      <c r="J165" s="147">
        <f>IF(itens_Remanesc!A113="","",itens_Remanesc!A113)</f>
        <v/>
      </c>
      <c r="K165" s="148">
        <f>IF(J165="","",IF($F$4="C0",itens_Remanesc!B113,IF($F$4="C1",itens_Remanesc!E113,IF($F$4="C2",itens_Remanesc!G113,IF($F$4="C3",itens_Remanesc!I113,itens_Remanesc!K113)))))</f>
        <v/>
      </c>
      <c r="L165" s="148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372">
        <f>IF(J165="","",itens_Remanesc!C113)</f>
        <v/>
      </c>
      <c r="N165" s="372">
        <f>IF(J165="","",IF($F$4="C0",historico_VU!C113,IF($F$4="C1",historico_VU!D113,IF($F$4="C2",historico_VU!E113,IF($F$4="C3",historico_VU!F113,historico_VU!G113)))))</f>
        <v/>
      </c>
      <c r="O165" s="372">
        <f>IF(J165="","",IF(OR($B$4="Financeiro",$B$4="PCs"),IF(OR(K165="",M165=""),"",ROUND(K165*M165,2)),IF($B$4="Itens",IF(OR(L165="",M165=""),"",ROUND(L165*M165,2)),"")))</f>
        <v/>
      </c>
      <c r="P165" s="372">
        <f>IF(J165="","",IF(OR($B$4="Financeiro",$B$4="PCs"),IF(OR(K165="",N165=""),"",ROUND(K165*N165,2)),IF($B$4="Itens",IF(OR(L165="",N165=""),"",ROUND(L165*N165,2)),"")))</f>
        <v/>
      </c>
      <c r="Q165" s="152">
        <f>IF(J165="","",IF(OR(M165="",AND(OR($B$4="Financeiro",$B$4="PCs"),K165=""),AND($B$4="Itens",L165="")),"INCOMPLETO",IF(AND(ISNUMBER(K165),ISNUMBER(L165),ABS(K165-L165)/MAX(ABS(IF(OR($B$4="Financeiro",$B$4="PCs"),K165,L165)),1)&gt;$D$4),"DIVERGENTE","OK")))</f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/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/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/>
      </c>
    </row>
    <row r="166" hidden="1" outlineLevel="1" s="289">
      <c r="A166" s="147">
        <f>IF(historico_VU!A114="","",historico_VU!A114)</f>
        <v/>
      </c>
      <c r="B166" s="148">
        <f>IF(A166="","",historico_VU!B114)</f>
        <v/>
      </c>
      <c r="C166" s="149">
        <f>IF(A166="","",historico_VU!C114)</f>
        <v/>
      </c>
      <c r="D166" s="149">
        <f>IF(A166="","",historico_VU!D114)</f>
        <v/>
      </c>
      <c r="E166" s="149">
        <f>IF(A166="","",historico_VU!E114)</f>
        <v/>
      </c>
      <c r="F166" s="149">
        <f>IF(A166="","",historico_VU!F114)</f>
        <v/>
      </c>
      <c r="G166" s="149">
        <f>IF(A166="","",historico_VU!G114)</f>
        <v/>
      </c>
      <c r="H166" s="150">
        <f>IF(A166="","",historico_VU!H114)</f>
        <v/>
      </c>
      <c r="I166" s="62" t="n"/>
      <c r="J166" s="147">
        <f>IF(itens_Remanesc!A114="","",itens_Remanesc!A114)</f>
        <v/>
      </c>
      <c r="K166" s="148">
        <f>IF(J166="","",IF($F$4="C0",itens_Remanesc!B114,IF($F$4="C1",itens_Remanesc!E114,IF($F$4="C2",itens_Remanesc!G114,IF($F$4="C3",itens_Remanesc!I114,itens_Remanesc!K114)))))</f>
        <v/>
      </c>
      <c r="L166" s="148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372">
        <f>IF(J166="","",itens_Remanesc!C114)</f>
        <v/>
      </c>
      <c r="N166" s="372">
        <f>IF(J166="","",IF($F$4="C0",historico_VU!C114,IF($F$4="C1",historico_VU!D114,IF($F$4="C2",historico_VU!E114,IF($F$4="C3",historico_VU!F114,historico_VU!G114)))))</f>
        <v/>
      </c>
      <c r="O166" s="372">
        <f>IF(J166="","",IF(OR($B$4="Financeiro",$B$4="PCs"),IF(OR(K166="",M166=""),"",ROUND(K166*M166,2)),IF($B$4="Itens",IF(OR(L166="",M166=""),"",ROUND(L166*M166,2)),"")))</f>
        <v/>
      </c>
      <c r="P166" s="372">
        <f>IF(J166="","",IF(OR($B$4="Financeiro",$B$4="PCs"),IF(OR(K166="",N166=""),"",ROUND(K166*N166,2)),IF($B$4="Itens",IF(OR(L166="",N166=""),"",ROUND(L166*N166,2)),"")))</f>
        <v/>
      </c>
      <c r="Q166" s="152">
        <f>IF(J166="","",IF(OR(M166="",AND(OR($B$4="Financeiro",$B$4="PCs"),K166=""),AND($B$4="Itens",L166="")),"INCOMPLETO",IF(AND(ISNUMBER(K166),ISNUMBER(L166),ABS(K166-L166)/MAX(ABS(IF(OR($B$4="Financeiro",$B$4="PCs"),K166,L166)),1)&gt;$D$4),"DIVERGENTE","OK")))</f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/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/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/>
      </c>
    </row>
    <row r="167" hidden="1" outlineLevel="1" s="289">
      <c r="A167" s="147">
        <f>IF(historico_VU!A115="","",historico_VU!A115)</f>
        <v/>
      </c>
      <c r="B167" s="148">
        <f>IF(A167="","",historico_VU!B115)</f>
        <v/>
      </c>
      <c r="C167" s="149">
        <f>IF(A167="","",historico_VU!C115)</f>
        <v/>
      </c>
      <c r="D167" s="149">
        <f>IF(A167="","",historico_VU!D115)</f>
        <v/>
      </c>
      <c r="E167" s="149">
        <f>IF(A167="","",historico_VU!E115)</f>
        <v/>
      </c>
      <c r="F167" s="149">
        <f>IF(A167="","",historico_VU!F115)</f>
        <v/>
      </c>
      <c r="G167" s="149">
        <f>IF(A167="","",historico_VU!G115)</f>
        <v/>
      </c>
      <c r="H167" s="150">
        <f>IF(A167="","",historico_VU!H115)</f>
        <v/>
      </c>
      <c r="I167" s="62" t="n"/>
      <c r="J167" s="147">
        <f>IF(itens_Remanesc!A115="","",itens_Remanesc!A115)</f>
        <v/>
      </c>
      <c r="K167" s="148">
        <f>IF(J167="","",IF($F$4="C0",itens_Remanesc!B115,IF($F$4="C1",itens_Remanesc!E115,IF($F$4="C2",itens_Remanesc!G115,IF($F$4="C3",itens_Remanesc!I115,itens_Remanesc!K115)))))</f>
        <v/>
      </c>
      <c r="L167" s="148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372">
        <f>IF(J167="","",itens_Remanesc!C115)</f>
        <v/>
      </c>
      <c r="N167" s="372">
        <f>IF(J167="","",IF($F$4="C0",historico_VU!C115,IF($F$4="C1",historico_VU!D115,IF($F$4="C2",historico_VU!E115,IF($F$4="C3",historico_VU!F115,historico_VU!G115)))))</f>
        <v/>
      </c>
      <c r="O167" s="372">
        <f>IF(J167="","",IF(OR($B$4="Financeiro",$B$4="PCs"),IF(OR(K167="",M167=""),"",ROUND(K167*M167,2)),IF($B$4="Itens",IF(OR(L167="",M167=""),"",ROUND(L167*M167,2)),"")))</f>
        <v/>
      </c>
      <c r="P167" s="372">
        <f>IF(J167="","",IF(OR($B$4="Financeiro",$B$4="PCs"),IF(OR(K167="",N167=""),"",ROUND(K167*N167,2)),IF($B$4="Itens",IF(OR(L167="",N167=""),"",ROUND(L167*N167,2)),"")))</f>
        <v/>
      </c>
      <c r="Q167" s="152">
        <f>IF(J167="","",IF(OR(M167="",AND(OR($B$4="Financeiro",$B$4="PCs"),K167=""),AND($B$4="Itens",L167="")),"INCOMPLETO",IF(AND(ISNUMBER(K167),ISNUMBER(L167),ABS(K167-L167)/MAX(ABS(IF(OR($B$4="Financeiro",$B$4="PCs"),K167,L167)),1)&gt;$D$4),"DIVERGENTE","OK")))</f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/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/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/>
      </c>
    </row>
    <row r="168" hidden="1" outlineLevel="1" s="289">
      <c r="A168" s="147">
        <f>IF(historico_VU!A116="","",historico_VU!A116)</f>
        <v/>
      </c>
      <c r="B168" s="148">
        <f>IF(A168="","",historico_VU!B116)</f>
        <v/>
      </c>
      <c r="C168" s="149">
        <f>IF(A168="","",historico_VU!C116)</f>
        <v/>
      </c>
      <c r="D168" s="149">
        <f>IF(A168="","",historico_VU!D116)</f>
        <v/>
      </c>
      <c r="E168" s="149">
        <f>IF(A168="","",historico_VU!E116)</f>
        <v/>
      </c>
      <c r="F168" s="149">
        <f>IF(A168="","",historico_VU!F116)</f>
        <v/>
      </c>
      <c r="G168" s="149">
        <f>IF(A168="","",historico_VU!G116)</f>
        <v/>
      </c>
      <c r="H168" s="150">
        <f>IF(A168="","",historico_VU!H116)</f>
        <v/>
      </c>
      <c r="I168" s="62" t="n"/>
      <c r="J168" s="147">
        <f>IF(itens_Remanesc!A116="","",itens_Remanesc!A116)</f>
        <v/>
      </c>
      <c r="K168" s="148">
        <f>IF(J168="","",IF($F$4="C0",itens_Remanesc!B116,IF($F$4="C1",itens_Remanesc!E116,IF($F$4="C2",itens_Remanesc!G116,IF($F$4="C3",itens_Remanesc!I116,itens_Remanesc!K116)))))</f>
        <v/>
      </c>
      <c r="L168" s="148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372">
        <f>IF(J168="","",itens_Remanesc!C116)</f>
        <v/>
      </c>
      <c r="N168" s="372">
        <f>IF(J168="","",IF($F$4="C0",historico_VU!C116,IF($F$4="C1",historico_VU!D116,IF($F$4="C2",historico_VU!E116,IF($F$4="C3",historico_VU!F116,historico_VU!G116)))))</f>
        <v/>
      </c>
      <c r="O168" s="372">
        <f>IF(J168="","",IF(OR($B$4="Financeiro",$B$4="PCs"),IF(OR(K168="",M168=""),"",ROUND(K168*M168,2)),IF($B$4="Itens",IF(OR(L168="",M168=""),"",ROUND(L168*M168,2)),"")))</f>
        <v/>
      </c>
      <c r="P168" s="372">
        <f>IF(J168="","",IF(OR($B$4="Financeiro",$B$4="PCs"),IF(OR(K168="",N168=""),"",ROUND(K168*N168,2)),IF($B$4="Itens",IF(OR(L168="",N168=""),"",ROUND(L168*N168,2)),"")))</f>
        <v/>
      </c>
      <c r="Q168" s="152">
        <f>IF(J168="","",IF(OR(M168="",AND(OR($B$4="Financeiro",$B$4="PCs"),K168=""),AND($B$4="Itens",L168="")),"INCOMPLETO",IF(AND(ISNUMBER(K168),ISNUMBER(L168),ABS(K168-L168)/MAX(ABS(IF(OR($B$4="Financeiro",$B$4="PCs"),K168,L168)),1)&gt;$D$4),"DIVERGENTE","OK")))</f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/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/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/>
      </c>
    </row>
    <row r="169" hidden="1" outlineLevel="1" s="289">
      <c r="A169" s="147">
        <f>IF(historico_VU!A117="","",historico_VU!A117)</f>
        <v/>
      </c>
      <c r="B169" s="148">
        <f>IF(A169="","",historico_VU!B117)</f>
        <v/>
      </c>
      <c r="C169" s="149">
        <f>IF(A169="","",historico_VU!C117)</f>
        <v/>
      </c>
      <c r="D169" s="149">
        <f>IF(A169="","",historico_VU!D117)</f>
        <v/>
      </c>
      <c r="E169" s="149">
        <f>IF(A169="","",historico_VU!E117)</f>
        <v/>
      </c>
      <c r="F169" s="149">
        <f>IF(A169="","",historico_VU!F117)</f>
        <v/>
      </c>
      <c r="G169" s="149">
        <f>IF(A169="","",historico_VU!G117)</f>
        <v/>
      </c>
      <c r="H169" s="150">
        <f>IF(A169="","",historico_VU!H117)</f>
        <v/>
      </c>
      <c r="I169" s="62" t="n"/>
      <c r="J169" s="147">
        <f>IF(itens_Remanesc!A117="","",itens_Remanesc!A117)</f>
        <v/>
      </c>
      <c r="K169" s="148">
        <f>IF(J169="","",IF($F$4="C0",itens_Remanesc!B117,IF($F$4="C1",itens_Remanesc!E117,IF($F$4="C2",itens_Remanesc!G117,IF($F$4="C3",itens_Remanesc!I117,itens_Remanesc!K117)))))</f>
        <v/>
      </c>
      <c r="L169" s="148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372">
        <f>IF(J169="","",itens_Remanesc!C117)</f>
        <v/>
      </c>
      <c r="N169" s="372">
        <f>IF(J169="","",IF($F$4="C0",historico_VU!C117,IF($F$4="C1",historico_VU!D117,IF($F$4="C2",historico_VU!E117,IF($F$4="C3",historico_VU!F117,historico_VU!G117)))))</f>
        <v/>
      </c>
      <c r="O169" s="372">
        <f>IF(J169="","",IF(OR($B$4="Financeiro",$B$4="PCs"),IF(OR(K169="",M169=""),"",ROUND(K169*M169,2)),IF($B$4="Itens",IF(OR(L169="",M169=""),"",ROUND(L169*M169,2)),"")))</f>
        <v/>
      </c>
      <c r="P169" s="372">
        <f>IF(J169="","",IF(OR($B$4="Financeiro",$B$4="PCs"),IF(OR(K169="",N169=""),"",ROUND(K169*N169,2)),IF($B$4="Itens",IF(OR(L169="",N169=""),"",ROUND(L169*N169,2)),"")))</f>
        <v/>
      </c>
      <c r="Q169" s="152">
        <f>IF(J169="","",IF(OR(M169="",AND(OR($B$4="Financeiro",$B$4="PCs"),K169=""),AND($B$4="Itens",L169="")),"INCOMPLETO",IF(AND(ISNUMBER(K169),ISNUMBER(L169),ABS(K169-L169)/MAX(ABS(IF(OR($B$4="Financeiro",$B$4="PCs"),K169,L169)),1)&gt;$D$4),"DIVERGENTE","OK")))</f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/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/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/>
      </c>
    </row>
    <row r="170" hidden="1" outlineLevel="1" s="289">
      <c r="A170" s="147">
        <f>IF(historico_VU!A118="","",historico_VU!A118)</f>
        <v/>
      </c>
      <c r="B170" s="148">
        <f>IF(A170="","",historico_VU!B118)</f>
        <v/>
      </c>
      <c r="C170" s="149">
        <f>IF(A170="","",historico_VU!C118)</f>
        <v/>
      </c>
      <c r="D170" s="149">
        <f>IF(A170="","",historico_VU!D118)</f>
        <v/>
      </c>
      <c r="E170" s="149">
        <f>IF(A170="","",historico_VU!E118)</f>
        <v/>
      </c>
      <c r="F170" s="149">
        <f>IF(A170="","",historico_VU!F118)</f>
        <v/>
      </c>
      <c r="G170" s="149">
        <f>IF(A170="","",historico_VU!G118)</f>
        <v/>
      </c>
      <c r="H170" s="150">
        <f>IF(A170="","",historico_VU!H118)</f>
        <v/>
      </c>
      <c r="I170" s="62" t="n"/>
      <c r="J170" s="147">
        <f>IF(itens_Remanesc!A118="","",itens_Remanesc!A118)</f>
        <v/>
      </c>
      <c r="K170" s="148">
        <f>IF(J170="","",IF($F$4="C0",itens_Remanesc!B118,IF($F$4="C1",itens_Remanesc!E118,IF($F$4="C2",itens_Remanesc!G118,IF($F$4="C3",itens_Remanesc!I118,itens_Remanesc!K118)))))</f>
        <v/>
      </c>
      <c r="L170" s="148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372">
        <f>IF(J170="","",itens_Remanesc!C118)</f>
        <v/>
      </c>
      <c r="N170" s="372">
        <f>IF(J170="","",IF($F$4="C0",historico_VU!C118,IF($F$4="C1",historico_VU!D118,IF($F$4="C2",historico_VU!E118,IF($F$4="C3",historico_VU!F118,historico_VU!G118)))))</f>
        <v/>
      </c>
      <c r="O170" s="372">
        <f>IF(J170="","",IF(OR($B$4="Financeiro",$B$4="PCs"),IF(OR(K170="",M170=""),"",ROUND(K170*M170,2)),IF($B$4="Itens",IF(OR(L170="",M170=""),"",ROUND(L170*M170,2)),"")))</f>
        <v/>
      </c>
      <c r="P170" s="372">
        <f>IF(J170="","",IF(OR($B$4="Financeiro",$B$4="PCs"),IF(OR(K170="",N170=""),"",ROUND(K170*N170,2)),IF($B$4="Itens",IF(OR(L170="",N170=""),"",ROUND(L170*N170,2)),"")))</f>
        <v/>
      </c>
      <c r="Q170" s="152">
        <f>IF(J170="","",IF(OR(M170="",AND(OR($B$4="Financeiro",$B$4="PCs"),K170=""),AND($B$4="Itens",L170="")),"INCOMPLETO",IF(AND(ISNUMBER(K170),ISNUMBER(L170),ABS(K170-L170)/MAX(ABS(IF(OR($B$4="Financeiro",$B$4="PCs"),K170,L170)),1)&gt;$D$4),"DIVERGENTE","OK")))</f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/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/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/>
      </c>
    </row>
    <row r="171" hidden="1" outlineLevel="1" s="289">
      <c r="A171" s="147">
        <f>IF(historico_VU!A119="","",historico_VU!A119)</f>
        <v/>
      </c>
      <c r="B171" s="148">
        <f>IF(A171="","",historico_VU!B119)</f>
        <v/>
      </c>
      <c r="C171" s="149">
        <f>IF(A171="","",historico_VU!C119)</f>
        <v/>
      </c>
      <c r="D171" s="149">
        <f>IF(A171="","",historico_VU!D119)</f>
        <v/>
      </c>
      <c r="E171" s="149">
        <f>IF(A171="","",historico_VU!E119)</f>
        <v/>
      </c>
      <c r="F171" s="149">
        <f>IF(A171="","",historico_VU!F119)</f>
        <v/>
      </c>
      <c r="G171" s="149">
        <f>IF(A171="","",historico_VU!G119)</f>
        <v/>
      </c>
      <c r="H171" s="150">
        <f>IF(A171="","",historico_VU!H119)</f>
        <v/>
      </c>
      <c r="I171" s="62" t="n"/>
      <c r="J171" s="147">
        <f>IF(itens_Remanesc!A119="","",itens_Remanesc!A119)</f>
        <v/>
      </c>
      <c r="K171" s="148">
        <f>IF(J171="","",IF($F$4="C0",itens_Remanesc!B119,IF($F$4="C1",itens_Remanesc!E119,IF($F$4="C2",itens_Remanesc!G119,IF($F$4="C3",itens_Remanesc!I119,itens_Remanesc!K119)))))</f>
        <v/>
      </c>
      <c r="L171" s="148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372">
        <f>IF(J171="","",itens_Remanesc!C119)</f>
        <v/>
      </c>
      <c r="N171" s="372">
        <f>IF(J171="","",IF($F$4="C0",historico_VU!C119,IF($F$4="C1",historico_VU!D119,IF($F$4="C2",historico_VU!E119,IF($F$4="C3",historico_VU!F119,historico_VU!G119)))))</f>
        <v/>
      </c>
      <c r="O171" s="372">
        <f>IF(J171="","",IF(OR($B$4="Financeiro",$B$4="PCs"),IF(OR(K171="",M171=""),"",ROUND(K171*M171,2)),IF($B$4="Itens",IF(OR(L171="",M171=""),"",ROUND(L171*M171,2)),"")))</f>
        <v/>
      </c>
      <c r="P171" s="372">
        <f>IF(J171="","",IF(OR($B$4="Financeiro",$B$4="PCs"),IF(OR(K171="",N171=""),"",ROUND(K171*N171,2)),IF($B$4="Itens",IF(OR(L171="",N171=""),"",ROUND(L171*N171,2)),"")))</f>
        <v/>
      </c>
      <c r="Q171" s="152">
        <f>IF(J171="","",IF(OR(M171="",AND(OR($B$4="Financeiro",$B$4="PCs"),K171=""),AND($B$4="Itens",L171="")),"INCOMPLETO",IF(AND(ISNUMBER(K171),ISNUMBER(L171),ABS(K171-L171)/MAX(ABS(IF(OR($B$4="Financeiro",$B$4="PCs"),K171,L171)),1)&gt;$D$4),"DIVERGENTE","OK")))</f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/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/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/>
      </c>
    </row>
    <row r="172" hidden="1" outlineLevel="1" s="289">
      <c r="A172" s="147">
        <f>IF(historico_VU!A120="","",historico_VU!A120)</f>
        <v/>
      </c>
      <c r="B172" s="148">
        <f>IF(A172="","",historico_VU!B120)</f>
        <v/>
      </c>
      <c r="C172" s="149">
        <f>IF(A172="","",historico_VU!C120)</f>
        <v/>
      </c>
      <c r="D172" s="149">
        <f>IF(A172="","",historico_VU!D120)</f>
        <v/>
      </c>
      <c r="E172" s="149">
        <f>IF(A172="","",historico_VU!E120)</f>
        <v/>
      </c>
      <c r="F172" s="149">
        <f>IF(A172="","",historico_VU!F120)</f>
        <v/>
      </c>
      <c r="G172" s="149">
        <f>IF(A172="","",historico_VU!G120)</f>
        <v/>
      </c>
      <c r="H172" s="150">
        <f>IF(A172="","",historico_VU!H120)</f>
        <v/>
      </c>
      <c r="I172" s="62" t="n"/>
      <c r="J172" s="147">
        <f>IF(itens_Remanesc!A120="","",itens_Remanesc!A120)</f>
        <v/>
      </c>
      <c r="K172" s="148">
        <f>IF(J172="","",IF($F$4="C0",itens_Remanesc!B120,IF($F$4="C1",itens_Remanesc!E120,IF($F$4="C2",itens_Remanesc!G120,IF($F$4="C3",itens_Remanesc!I120,itens_Remanesc!K120)))))</f>
        <v/>
      </c>
      <c r="L172" s="148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372">
        <f>IF(J172="","",itens_Remanesc!C120)</f>
        <v/>
      </c>
      <c r="N172" s="372">
        <f>IF(J172="","",IF($F$4="C0",historico_VU!C120,IF($F$4="C1",historico_VU!D120,IF($F$4="C2",historico_VU!E120,IF($F$4="C3",historico_VU!F120,historico_VU!G120)))))</f>
        <v/>
      </c>
      <c r="O172" s="372">
        <f>IF(J172="","",IF(OR($B$4="Financeiro",$B$4="PCs"),IF(OR(K172="",M172=""),"",ROUND(K172*M172,2)),IF($B$4="Itens",IF(OR(L172="",M172=""),"",ROUND(L172*M172,2)),"")))</f>
        <v/>
      </c>
      <c r="P172" s="372">
        <f>IF(J172="","",IF(OR($B$4="Financeiro",$B$4="PCs"),IF(OR(K172="",N172=""),"",ROUND(K172*N172,2)),IF($B$4="Itens",IF(OR(L172="",N172=""),"",ROUND(L172*N172,2)),"")))</f>
        <v/>
      </c>
      <c r="Q172" s="152">
        <f>IF(J172="","",IF(OR(M172="",AND(OR($B$4="Financeiro",$B$4="PCs"),K172=""),AND($B$4="Itens",L172="")),"INCOMPLETO",IF(AND(ISNUMBER(K172),ISNUMBER(L172),ABS(K172-L172)/MAX(ABS(IF(OR($B$4="Financeiro",$B$4="PCs"),K172,L172)),1)&gt;$D$4),"DIVERGENTE","OK")))</f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/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/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/>
      </c>
    </row>
    <row r="173" hidden="1" outlineLevel="1" s="289">
      <c r="A173" s="147">
        <f>IF(historico_VU!A121="","",historico_VU!A121)</f>
        <v/>
      </c>
      <c r="B173" s="148">
        <f>IF(A173="","",historico_VU!B121)</f>
        <v/>
      </c>
      <c r="C173" s="149">
        <f>IF(A173="","",historico_VU!C121)</f>
        <v/>
      </c>
      <c r="D173" s="149">
        <f>IF(A173="","",historico_VU!D121)</f>
        <v/>
      </c>
      <c r="E173" s="149">
        <f>IF(A173="","",historico_VU!E121)</f>
        <v/>
      </c>
      <c r="F173" s="149">
        <f>IF(A173="","",historico_VU!F121)</f>
        <v/>
      </c>
      <c r="G173" s="149">
        <f>IF(A173="","",historico_VU!G121)</f>
        <v/>
      </c>
      <c r="H173" s="150">
        <f>IF(A173="","",historico_VU!H121)</f>
        <v/>
      </c>
      <c r="I173" s="62" t="n"/>
      <c r="J173" s="147">
        <f>IF(itens_Remanesc!A121="","",itens_Remanesc!A121)</f>
        <v/>
      </c>
      <c r="K173" s="148">
        <f>IF(J173="","",IF($F$4="C0",itens_Remanesc!B121,IF($F$4="C1",itens_Remanesc!E121,IF($F$4="C2",itens_Remanesc!G121,IF($F$4="C3",itens_Remanesc!I121,itens_Remanesc!K121)))))</f>
        <v/>
      </c>
      <c r="L173" s="148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372">
        <f>IF(J173="","",itens_Remanesc!C121)</f>
        <v/>
      </c>
      <c r="N173" s="372">
        <f>IF(J173="","",IF($F$4="C0",historico_VU!C121,IF($F$4="C1",historico_VU!D121,IF($F$4="C2",historico_VU!E121,IF($F$4="C3",historico_VU!F121,historico_VU!G121)))))</f>
        <v/>
      </c>
      <c r="O173" s="372">
        <f>IF(J173="","",IF(OR($B$4="Financeiro",$B$4="PCs"),IF(OR(K173="",M173=""),"",ROUND(K173*M173,2)),IF($B$4="Itens",IF(OR(L173="",M173=""),"",ROUND(L173*M173,2)),"")))</f>
        <v/>
      </c>
      <c r="P173" s="372">
        <f>IF(J173="","",IF(OR($B$4="Financeiro",$B$4="PCs"),IF(OR(K173="",N173=""),"",ROUND(K173*N173,2)),IF($B$4="Itens",IF(OR(L173="",N173=""),"",ROUND(L173*N173,2)),"")))</f>
        <v/>
      </c>
      <c r="Q173" s="152">
        <f>IF(J173="","",IF(OR(M173="",AND(OR($B$4="Financeiro",$B$4="PCs"),K173=""),AND($B$4="Itens",L173="")),"INCOMPLETO",IF(AND(ISNUMBER(K173),ISNUMBER(L173),ABS(K173-L173)/MAX(ABS(IF(OR($B$4="Financeiro",$B$4="PCs"),K173,L173)),1)&gt;$D$4),"DIVERGENTE","OK")))</f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/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/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/>
      </c>
    </row>
    <row r="174" hidden="1" outlineLevel="1" s="289">
      <c r="A174" s="147">
        <f>IF(historico_VU!A122="","",historico_VU!A122)</f>
        <v/>
      </c>
      <c r="B174" s="148">
        <f>IF(A174="","",historico_VU!B122)</f>
        <v/>
      </c>
      <c r="C174" s="149">
        <f>IF(A174="","",historico_VU!C122)</f>
        <v/>
      </c>
      <c r="D174" s="149">
        <f>IF(A174="","",historico_VU!D122)</f>
        <v/>
      </c>
      <c r="E174" s="149">
        <f>IF(A174="","",historico_VU!E122)</f>
        <v/>
      </c>
      <c r="F174" s="149">
        <f>IF(A174="","",historico_VU!F122)</f>
        <v/>
      </c>
      <c r="G174" s="149">
        <f>IF(A174="","",historico_VU!G122)</f>
        <v/>
      </c>
      <c r="H174" s="150">
        <f>IF(A174="","",historico_VU!H122)</f>
        <v/>
      </c>
      <c r="I174" s="62" t="n"/>
      <c r="J174" s="147">
        <f>IF(itens_Remanesc!A122="","",itens_Remanesc!A122)</f>
        <v/>
      </c>
      <c r="K174" s="148">
        <f>IF(J174="","",IF($F$4="C0",itens_Remanesc!B122,IF($F$4="C1",itens_Remanesc!E122,IF($F$4="C2",itens_Remanesc!G122,IF($F$4="C3",itens_Remanesc!I122,itens_Remanesc!K122)))))</f>
        <v/>
      </c>
      <c r="L174" s="148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372">
        <f>IF(J174="","",itens_Remanesc!C122)</f>
        <v/>
      </c>
      <c r="N174" s="372">
        <f>IF(J174="","",IF($F$4="C0",historico_VU!C122,IF($F$4="C1",historico_VU!D122,IF($F$4="C2",historico_VU!E122,IF($F$4="C3",historico_VU!F122,historico_VU!G122)))))</f>
        <v/>
      </c>
      <c r="O174" s="372">
        <f>IF(J174="","",IF(OR($B$4="Financeiro",$B$4="PCs"),IF(OR(K174="",M174=""),"",ROUND(K174*M174,2)),IF($B$4="Itens",IF(OR(L174="",M174=""),"",ROUND(L174*M174,2)),"")))</f>
        <v/>
      </c>
      <c r="P174" s="372">
        <f>IF(J174="","",IF(OR($B$4="Financeiro",$B$4="PCs"),IF(OR(K174="",N174=""),"",ROUND(K174*N174,2)),IF($B$4="Itens",IF(OR(L174="",N174=""),"",ROUND(L174*N174,2)),"")))</f>
        <v/>
      </c>
      <c r="Q174" s="152">
        <f>IF(J174="","",IF(OR(M174="",AND(OR($B$4="Financeiro",$B$4="PCs"),K174=""),AND($B$4="Itens",L174="")),"INCOMPLETO",IF(AND(ISNUMBER(K174),ISNUMBER(L174),ABS(K174-L174)/MAX(ABS(IF(OR($B$4="Financeiro",$B$4="PCs"),K174,L174)),1)&gt;$D$4),"DIVERGENTE","OK")))</f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/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/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/>
      </c>
    </row>
    <row r="175" hidden="1" outlineLevel="1" s="289">
      <c r="A175" s="147">
        <f>IF(historico_VU!A123="","",historico_VU!A123)</f>
        <v/>
      </c>
      <c r="B175" s="148">
        <f>IF(A175="","",historico_VU!B123)</f>
        <v/>
      </c>
      <c r="C175" s="149">
        <f>IF(A175="","",historico_VU!C123)</f>
        <v/>
      </c>
      <c r="D175" s="149">
        <f>IF(A175="","",historico_VU!D123)</f>
        <v/>
      </c>
      <c r="E175" s="149">
        <f>IF(A175="","",historico_VU!E123)</f>
        <v/>
      </c>
      <c r="F175" s="149">
        <f>IF(A175="","",historico_VU!F123)</f>
        <v/>
      </c>
      <c r="G175" s="149">
        <f>IF(A175="","",historico_VU!G123)</f>
        <v/>
      </c>
      <c r="H175" s="150">
        <f>IF(A175="","",historico_VU!H123)</f>
        <v/>
      </c>
      <c r="I175" s="62" t="n"/>
      <c r="J175" s="147">
        <f>IF(itens_Remanesc!A123="","",itens_Remanesc!A123)</f>
        <v/>
      </c>
      <c r="K175" s="148">
        <f>IF(J175="","",IF($F$4="C0",itens_Remanesc!B123,IF($F$4="C1",itens_Remanesc!E123,IF($F$4="C2",itens_Remanesc!G123,IF($F$4="C3",itens_Remanesc!I123,itens_Remanesc!K123)))))</f>
        <v/>
      </c>
      <c r="L175" s="148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372">
        <f>IF(J175="","",itens_Remanesc!C123)</f>
        <v/>
      </c>
      <c r="N175" s="372">
        <f>IF(J175="","",IF($F$4="C0",historico_VU!C123,IF($F$4="C1",historico_VU!D123,IF($F$4="C2",historico_VU!E123,IF($F$4="C3",historico_VU!F123,historico_VU!G123)))))</f>
        <v/>
      </c>
      <c r="O175" s="372">
        <f>IF(J175="","",IF(OR($B$4="Financeiro",$B$4="PCs"),IF(OR(K175="",M175=""),"",ROUND(K175*M175,2)),IF($B$4="Itens",IF(OR(L175="",M175=""),"",ROUND(L175*M175,2)),"")))</f>
        <v/>
      </c>
      <c r="P175" s="372">
        <f>IF(J175="","",IF(OR($B$4="Financeiro",$B$4="PCs"),IF(OR(K175="",N175=""),"",ROUND(K175*N175,2)),IF($B$4="Itens",IF(OR(L175="",N175=""),"",ROUND(L175*N175,2)),"")))</f>
        <v/>
      </c>
      <c r="Q175" s="152">
        <f>IF(J175="","",IF(OR(M175="",AND(OR($B$4="Financeiro",$B$4="PCs"),K175=""),AND($B$4="Itens",L175="")),"INCOMPLETO",IF(AND(ISNUMBER(K175),ISNUMBER(L175),ABS(K175-L175)/MAX(ABS(IF(OR($B$4="Financeiro",$B$4="PCs"),K175,L175)),1)&gt;$D$4),"DIVERGENTE","OK")))</f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/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/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/>
      </c>
    </row>
    <row r="176" hidden="1" outlineLevel="1" s="289">
      <c r="A176" s="147">
        <f>IF(historico_VU!A124="","",historico_VU!A124)</f>
        <v/>
      </c>
      <c r="B176" s="148">
        <f>IF(A176="","",historico_VU!B124)</f>
        <v/>
      </c>
      <c r="C176" s="149">
        <f>IF(A176="","",historico_VU!C124)</f>
        <v/>
      </c>
      <c r="D176" s="149">
        <f>IF(A176="","",historico_VU!D124)</f>
        <v/>
      </c>
      <c r="E176" s="149">
        <f>IF(A176="","",historico_VU!E124)</f>
        <v/>
      </c>
      <c r="F176" s="149">
        <f>IF(A176="","",historico_VU!F124)</f>
        <v/>
      </c>
      <c r="G176" s="149">
        <f>IF(A176="","",historico_VU!G124)</f>
        <v/>
      </c>
      <c r="H176" s="150">
        <f>IF(A176="","",historico_VU!H124)</f>
        <v/>
      </c>
      <c r="I176" s="62" t="n"/>
      <c r="J176" s="147">
        <f>IF(itens_Remanesc!A124="","",itens_Remanesc!A124)</f>
        <v/>
      </c>
      <c r="K176" s="148">
        <f>IF(J176="","",IF($F$4="C0",itens_Remanesc!B124,IF($F$4="C1",itens_Remanesc!E124,IF($F$4="C2",itens_Remanesc!G124,IF($F$4="C3",itens_Remanesc!I124,itens_Remanesc!K124)))))</f>
        <v/>
      </c>
      <c r="L176" s="148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372">
        <f>IF(J176="","",itens_Remanesc!C124)</f>
        <v/>
      </c>
      <c r="N176" s="372">
        <f>IF(J176="","",IF($F$4="C0",historico_VU!C124,IF($F$4="C1",historico_VU!D124,IF($F$4="C2",historico_VU!E124,IF($F$4="C3",historico_VU!F124,historico_VU!G124)))))</f>
        <v/>
      </c>
      <c r="O176" s="372">
        <f>IF(J176="","",IF(OR($B$4="Financeiro",$B$4="PCs"),IF(OR(K176="",M176=""),"",ROUND(K176*M176,2)),IF($B$4="Itens",IF(OR(L176="",M176=""),"",ROUND(L176*M176,2)),"")))</f>
        <v/>
      </c>
      <c r="P176" s="372">
        <f>IF(J176="","",IF(OR($B$4="Financeiro",$B$4="PCs"),IF(OR(K176="",N176=""),"",ROUND(K176*N176,2)),IF($B$4="Itens",IF(OR(L176="",N176=""),"",ROUND(L176*N176,2)),"")))</f>
        <v/>
      </c>
      <c r="Q176" s="152">
        <f>IF(J176="","",IF(OR(M176="",AND(OR($B$4="Financeiro",$B$4="PCs"),K176=""),AND($B$4="Itens",L176="")),"INCOMPLETO",IF(AND(ISNUMBER(K176),ISNUMBER(L176),ABS(K176-L176)/MAX(ABS(IF(OR($B$4="Financeiro",$B$4="PCs"),K176,L176)),1)&gt;$D$4),"DIVERGENTE","OK")))</f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/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/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/>
      </c>
    </row>
    <row r="177" hidden="1" outlineLevel="1" s="289">
      <c r="A177" s="147">
        <f>IF(historico_VU!A125="","",historico_VU!A125)</f>
        <v/>
      </c>
      <c r="B177" s="148">
        <f>IF(A177="","",historico_VU!B125)</f>
        <v/>
      </c>
      <c r="C177" s="149">
        <f>IF(A177="","",historico_VU!C125)</f>
        <v/>
      </c>
      <c r="D177" s="149">
        <f>IF(A177="","",historico_VU!D125)</f>
        <v/>
      </c>
      <c r="E177" s="149">
        <f>IF(A177="","",historico_VU!E125)</f>
        <v/>
      </c>
      <c r="F177" s="149">
        <f>IF(A177="","",historico_VU!F125)</f>
        <v/>
      </c>
      <c r="G177" s="149">
        <f>IF(A177="","",historico_VU!G125)</f>
        <v/>
      </c>
      <c r="H177" s="150">
        <f>IF(A177="","",historico_VU!H125)</f>
        <v/>
      </c>
      <c r="I177" s="62" t="n"/>
      <c r="J177" s="147">
        <f>IF(itens_Remanesc!A125="","",itens_Remanesc!A125)</f>
        <v/>
      </c>
      <c r="K177" s="148">
        <f>IF(J177="","",IF($F$4="C0",itens_Remanesc!B125,IF($F$4="C1",itens_Remanesc!E125,IF($F$4="C2",itens_Remanesc!G125,IF($F$4="C3",itens_Remanesc!I125,itens_Remanesc!K125)))))</f>
        <v/>
      </c>
      <c r="L177" s="148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372">
        <f>IF(J177="","",itens_Remanesc!C125)</f>
        <v/>
      </c>
      <c r="N177" s="372">
        <f>IF(J177="","",IF($F$4="C0",historico_VU!C125,IF($F$4="C1",historico_VU!D125,IF($F$4="C2",historico_VU!E125,IF($F$4="C3",historico_VU!F125,historico_VU!G125)))))</f>
        <v/>
      </c>
      <c r="O177" s="372">
        <f>IF(J177="","",IF(OR($B$4="Financeiro",$B$4="PCs"),IF(OR(K177="",M177=""),"",ROUND(K177*M177,2)),IF($B$4="Itens",IF(OR(L177="",M177=""),"",ROUND(L177*M177,2)),"")))</f>
        <v/>
      </c>
      <c r="P177" s="372">
        <f>IF(J177="","",IF(OR($B$4="Financeiro",$B$4="PCs"),IF(OR(K177="",N177=""),"",ROUND(K177*N177,2)),IF($B$4="Itens",IF(OR(L177="",N177=""),"",ROUND(L177*N177,2)),"")))</f>
        <v/>
      </c>
      <c r="Q177" s="152">
        <f>IF(J177="","",IF(OR(M177="",AND(OR($B$4="Financeiro",$B$4="PCs"),K177=""),AND($B$4="Itens",L177="")),"INCOMPLETO",IF(AND(ISNUMBER(K177),ISNUMBER(L177),ABS(K177-L177)/MAX(ABS(IF(OR($B$4="Financeiro",$B$4="PCs"),K177,L177)),1)&gt;$D$4),"DIVERGENTE","OK")))</f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/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/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/>
      </c>
    </row>
    <row r="178" hidden="1" outlineLevel="1" s="289">
      <c r="A178" s="147">
        <f>IF(historico_VU!A126="","",historico_VU!A126)</f>
        <v/>
      </c>
      <c r="B178" s="148">
        <f>IF(A178="","",historico_VU!B126)</f>
        <v/>
      </c>
      <c r="C178" s="149">
        <f>IF(A178="","",historico_VU!C126)</f>
        <v/>
      </c>
      <c r="D178" s="149">
        <f>IF(A178="","",historico_VU!D126)</f>
        <v/>
      </c>
      <c r="E178" s="149">
        <f>IF(A178="","",historico_VU!E126)</f>
        <v/>
      </c>
      <c r="F178" s="149">
        <f>IF(A178="","",historico_VU!F126)</f>
        <v/>
      </c>
      <c r="G178" s="149">
        <f>IF(A178="","",historico_VU!G126)</f>
        <v/>
      </c>
      <c r="H178" s="150">
        <f>IF(A178="","",historico_VU!H126)</f>
        <v/>
      </c>
      <c r="I178" s="62" t="n"/>
      <c r="J178" s="147">
        <f>IF(itens_Remanesc!A126="","",itens_Remanesc!A126)</f>
        <v/>
      </c>
      <c r="K178" s="148">
        <f>IF(J178="","",IF($F$4="C0",itens_Remanesc!B126,IF($F$4="C1",itens_Remanesc!E126,IF($F$4="C2",itens_Remanesc!G126,IF($F$4="C3",itens_Remanesc!I126,itens_Remanesc!K126)))))</f>
        <v/>
      </c>
      <c r="L178" s="148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372">
        <f>IF(J178="","",itens_Remanesc!C126)</f>
        <v/>
      </c>
      <c r="N178" s="372">
        <f>IF(J178="","",IF($F$4="C0",historico_VU!C126,IF($F$4="C1",historico_VU!D126,IF($F$4="C2",historico_VU!E126,IF($F$4="C3",historico_VU!F126,historico_VU!G126)))))</f>
        <v/>
      </c>
      <c r="O178" s="372">
        <f>IF(J178="","",IF(OR($B$4="Financeiro",$B$4="PCs"),IF(OR(K178="",M178=""),"",ROUND(K178*M178,2)),IF($B$4="Itens",IF(OR(L178="",M178=""),"",ROUND(L178*M178,2)),"")))</f>
        <v/>
      </c>
      <c r="P178" s="372">
        <f>IF(J178="","",IF(OR($B$4="Financeiro",$B$4="PCs"),IF(OR(K178="",N178=""),"",ROUND(K178*N178,2)),IF($B$4="Itens",IF(OR(L178="",N178=""),"",ROUND(L178*N178,2)),"")))</f>
        <v/>
      </c>
      <c r="Q178" s="152">
        <f>IF(J178="","",IF(OR(M178="",AND(OR($B$4="Financeiro",$B$4="PCs"),K178=""),AND($B$4="Itens",L178="")),"INCOMPLETO",IF(AND(ISNUMBER(K178),ISNUMBER(L178),ABS(K178-L178)/MAX(ABS(IF(OR($B$4="Financeiro",$B$4="PCs"),K178,L178)),1)&gt;$D$4),"DIVERGENTE","OK")))</f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/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/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/>
      </c>
    </row>
    <row r="179" hidden="1" outlineLevel="1" s="289">
      <c r="A179" s="147">
        <f>IF(historico_VU!A127="","",historico_VU!A127)</f>
        <v/>
      </c>
      <c r="B179" s="148">
        <f>IF(A179="","",historico_VU!B127)</f>
        <v/>
      </c>
      <c r="C179" s="149">
        <f>IF(A179="","",historico_VU!C127)</f>
        <v/>
      </c>
      <c r="D179" s="149">
        <f>IF(A179="","",historico_VU!D127)</f>
        <v/>
      </c>
      <c r="E179" s="149">
        <f>IF(A179="","",historico_VU!E127)</f>
        <v/>
      </c>
      <c r="F179" s="149">
        <f>IF(A179="","",historico_VU!F127)</f>
        <v/>
      </c>
      <c r="G179" s="149">
        <f>IF(A179="","",historico_VU!G127)</f>
        <v/>
      </c>
      <c r="H179" s="150">
        <f>IF(A179="","",historico_VU!H127)</f>
        <v/>
      </c>
      <c r="I179" s="62" t="n"/>
      <c r="J179" s="147">
        <f>IF(itens_Remanesc!A127="","",itens_Remanesc!A127)</f>
        <v/>
      </c>
      <c r="K179" s="148">
        <f>IF(J179="","",IF($F$4="C0",itens_Remanesc!B127,IF($F$4="C1",itens_Remanesc!E127,IF($F$4="C2",itens_Remanesc!G127,IF($F$4="C3",itens_Remanesc!I127,itens_Remanesc!K127)))))</f>
        <v/>
      </c>
      <c r="L179" s="148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372">
        <f>IF(J179="","",itens_Remanesc!C127)</f>
        <v/>
      </c>
      <c r="N179" s="372">
        <f>IF(J179="","",IF($F$4="C0",historico_VU!C127,IF($F$4="C1",historico_VU!D127,IF($F$4="C2",historico_VU!E127,IF($F$4="C3",historico_VU!F127,historico_VU!G127)))))</f>
        <v/>
      </c>
      <c r="O179" s="372">
        <f>IF(J179="","",IF(OR($B$4="Financeiro",$B$4="PCs"),IF(OR(K179="",M179=""),"",ROUND(K179*M179,2)),IF($B$4="Itens",IF(OR(L179="",M179=""),"",ROUND(L179*M179,2)),"")))</f>
        <v/>
      </c>
      <c r="P179" s="372">
        <f>IF(J179="","",IF(OR($B$4="Financeiro",$B$4="PCs"),IF(OR(K179="",N179=""),"",ROUND(K179*N179,2)),IF($B$4="Itens",IF(OR(L179="",N179=""),"",ROUND(L179*N179,2)),"")))</f>
        <v/>
      </c>
      <c r="Q179" s="152">
        <f>IF(J179="","",IF(OR(M179="",AND(OR($B$4="Financeiro",$B$4="PCs"),K179=""),AND($B$4="Itens",L179="")),"INCOMPLETO",IF(AND(ISNUMBER(K179),ISNUMBER(L179),ABS(K179-L179)/MAX(ABS(IF(OR($B$4="Financeiro",$B$4="PCs"),K179,L179)),1)&gt;$D$4),"DIVERGENTE","OK")))</f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/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/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/>
      </c>
    </row>
    <row r="180" hidden="1" outlineLevel="1" s="289">
      <c r="A180" s="147">
        <f>IF(historico_VU!A128="","",historico_VU!A128)</f>
        <v/>
      </c>
      <c r="B180" s="148">
        <f>IF(A180="","",historico_VU!B128)</f>
        <v/>
      </c>
      <c r="C180" s="149">
        <f>IF(A180="","",historico_VU!C128)</f>
        <v/>
      </c>
      <c r="D180" s="149">
        <f>IF(A180="","",historico_VU!D128)</f>
        <v/>
      </c>
      <c r="E180" s="149">
        <f>IF(A180="","",historico_VU!E128)</f>
        <v/>
      </c>
      <c r="F180" s="149">
        <f>IF(A180="","",historico_VU!F128)</f>
        <v/>
      </c>
      <c r="G180" s="149">
        <f>IF(A180="","",historico_VU!G128)</f>
        <v/>
      </c>
      <c r="H180" s="150">
        <f>IF(A180="","",historico_VU!H128)</f>
        <v/>
      </c>
      <c r="I180" s="62" t="n"/>
      <c r="J180" s="147">
        <f>IF(itens_Remanesc!A128="","",itens_Remanesc!A128)</f>
        <v/>
      </c>
      <c r="K180" s="148">
        <f>IF(J180="","",IF($F$4="C0",itens_Remanesc!B128,IF($F$4="C1",itens_Remanesc!E128,IF($F$4="C2",itens_Remanesc!G128,IF($F$4="C3",itens_Remanesc!I128,itens_Remanesc!K128)))))</f>
        <v/>
      </c>
      <c r="L180" s="148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372">
        <f>IF(J180="","",itens_Remanesc!C128)</f>
        <v/>
      </c>
      <c r="N180" s="372">
        <f>IF(J180="","",IF($F$4="C0",historico_VU!C128,IF($F$4="C1",historico_VU!D128,IF($F$4="C2",historico_VU!E128,IF($F$4="C3",historico_VU!F128,historico_VU!G128)))))</f>
        <v/>
      </c>
      <c r="O180" s="372">
        <f>IF(J180="","",IF(OR($B$4="Financeiro",$B$4="PCs"),IF(OR(K180="",M180=""),"",ROUND(K180*M180,2)),IF($B$4="Itens",IF(OR(L180="",M180=""),"",ROUND(L180*M180,2)),"")))</f>
        <v/>
      </c>
      <c r="P180" s="372">
        <f>IF(J180="","",IF(OR($B$4="Financeiro",$B$4="PCs"),IF(OR(K180="",N180=""),"",ROUND(K180*N180,2)),IF($B$4="Itens",IF(OR(L180="",N180=""),"",ROUND(L180*N180,2)),"")))</f>
        <v/>
      </c>
      <c r="Q180" s="152">
        <f>IF(J180="","",IF(OR(M180="",AND(OR($B$4="Financeiro",$B$4="PCs"),K180=""),AND($B$4="Itens",L180="")),"INCOMPLETO",IF(AND(ISNUMBER(K180),ISNUMBER(L180),ABS(K180-L180)/MAX(ABS(IF(OR($B$4="Financeiro",$B$4="PCs"),K180,L180)),1)&gt;$D$4),"DIVERGENTE","OK")))</f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/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/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/>
      </c>
    </row>
    <row r="181" hidden="1" outlineLevel="1" s="289">
      <c r="A181" s="147">
        <f>IF(historico_VU!A129="","",historico_VU!A129)</f>
        <v/>
      </c>
      <c r="B181" s="148">
        <f>IF(A181="","",historico_VU!B129)</f>
        <v/>
      </c>
      <c r="C181" s="149">
        <f>IF(A181="","",historico_VU!C129)</f>
        <v/>
      </c>
      <c r="D181" s="149">
        <f>IF(A181="","",historico_VU!D129)</f>
        <v/>
      </c>
      <c r="E181" s="149">
        <f>IF(A181="","",historico_VU!E129)</f>
        <v/>
      </c>
      <c r="F181" s="149">
        <f>IF(A181="","",historico_VU!F129)</f>
        <v/>
      </c>
      <c r="G181" s="149">
        <f>IF(A181="","",historico_VU!G129)</f>
        <v/>
      </c>
      <c r="H181" s="150">
        <f>IF(A181="","",historico_VU!H129)</f>
        <v/>
      </c>
      <c r="I181" s="62" t="n"/>
      <c r="J181" s="147">
        <f>IF(itens_Remanesc!A129="","",itens_Remanesc!A129)</f>
        <v/>
      </c>
      <c r="K181" s="148">
        <f>IF(J181="","",IF($F$4="C0",itens_Remanesc!B129,IF($F$4="C1",itens_Remanesc!E129,IF($F$4="C2",itens_Remanesc!G129,IF($F$4="C3",itens_Remanesc!I129,itens_Remanesc!K129)))))</f>
        <v/>
      </c>
      <c r="L181" s="148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372">
        <f>IF(J181="","",itens_Remanesc!C129)</f>
        <v/>
      </c>
      <c r="N181" s="372">
        <f>IF(J181="","",IF($F$4="C0",historico_VU!C129,IF($F$4="C1",historico_VU!D129,IF($F$4="C2",historico_VU!E129,IF($F$4="C3",historico_VU!F129,historico_VU!G129)))))</f>
        <v/>
      </c>
      <c r="O181" s="372">
        <f>IF(J181="","",IF(OR($B$4="Financeiro",$B$4="PCs"),IF(OR(K181="",M181=""),"",ROUND(K181*M181,2)),IF($B$4="Itens",IF(OR(L181="",M181=""),"",ROUND(L181*M181,2)),"")))</f>
        <v/>
      </c>
      <c r="P181" s="372">
        <f>IF(J181="","",IF(OR($B$4="Financeiro",$B$4="PCs"),IF(OR(K181="",N181=""),"",ROUND(K181*N181,2)),IF($B$4="Itens",IF(OR(L181="",N181=""),"",ROUND(L181*N181,2)),"")))</f>
        <v/>
      </c>
      <c r="Q181" s="152">
        <f>IF(J181="","",IF(OR(M181="",AND(OR($B$4="Financeiro",$B$4="PCs"),K181=""),AND($B$4="Itens",L181="")),"INCOMPLETO",IF(AND(ISNUMBER(K181),ISNUMBER(L181),ABS(K181-L181)/MAX(ABS(IF(OR($B$4="Financeiro",$B$4="PCs"),K181,L181)),1)&gt;$D$4),"DIVERGENTE","OK")))</f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/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/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/>
      </c>
    </row>
    <row r="182" hidden="1" outlineLevel="1" s="289">
      <c r="A182" s="147">
        <f>IF(historico_VU!A130="","",historico_VU!A130)</f>
        <v/>
      </c>
      <c r="B182" s="148">
        <f>IF(A182="","",historico_VU!B130)</f>
        <v/>
      </c>
      <c r="C182" s="149">
        <f>IF(A182="","",historico_VU!C130)</f>
        <v/>
      </c>
      <c r="D182" s="149">
        <f>IF(A182="","",historico_VU!D130)</f>
        <v/>
      </c>
      <c r="E182" s="149">
        <f>IF(A182="","",historico_VU!E130)</f>
        <v/>
      </c>
      <c r="F182" s="149">
        <f>IF(A182="","",historico_VU!F130)</f>
        <v/>
      </c>
      <c r="G182" s="149">
        <f>IF(A182="","",historico_VU!G130)</f>
        <v/>
      </c>
      <c r="H182" s="150">
        <f>IF(A182="","",historico_VU!H130)</f>
        <v/>
      </c>
      <c r="I182" s="62" t="n"/>
      <c r="J182" s="147">
        <f>IF(itens_Remanesc!A130="","",itens_Remanesc!A130)</f>
        <v/>
      </c>
      <c r="K182" s="148">
        <f>IF(J182="","",IF($F$4="C0",itens_Remanesc!B130,IF($F$4="C1",itens_Remanesc!E130,IF($F$4="C2",itens_Remanesc!G130,IF($F$4="C3",itens_Remanesc!I130,itens_Remanesc!K130)))))</f>
        <v/>
      </c>
      <c r="L182" s="148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372">
        <f>IF(J182="","",itens_Remanesc!C130)</f>
        <v/>
      </c>
      <c r="N182" s="372">
        <f>IF(J182="","",IF($F$4="C0",historico_VU!C130,IF($F$4="C1",historico_VU!D130,IF($F$4="C2",historico_VU!E130,IF($F$4="C3",historico_VU!F130,historico_VU!G130)))))</f>
        <v/>
      </c>
      <c r="O182" s="372">
        <f>IF(J182="","",IF(OR($B$4="Financeiro",$B$4="PCs"),IF(OR(K182="",M182=""),"",ROUND(K182*M182,2)),IF($B$4="Itens",IF(OR(L182="",M182=""),"",ROUND(L182*M182,2)),"")))</f>
        <v/>
      </c>
      <c r="P182" s="372">
        <f>IF(J182="","",IF(OR($B$4="Financeiro",$B$4="PCs"),IF(OR(K182="",N182=""),"",ROUND(K182*N182,2)),IF($B$4="Itens",IF(OR(L182="",N182=""),"",ROUND(L182*N182,2)),"")))</f>
        <v/>
      </c>
      <c r="Q182" s="152">
        <f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/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/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/>
      </c>
    </row>
    <row r="183" hidden="1" outlineLevel="1" s="289">
      <c r="A183" s="147">
        <f>IF(historico_VU!A131="","",historico_VU!A131)</f>
        <v/>
      </c>
      <c r="B183" s="148">
        <f>IF(A183="","",historico_VU!B131)</f>
        <v/>
      </c>
      <c r="C183" s="149">
        <f>IF(A183="","",historico_VU!C131)</f>
        <v/>
      </c>
      <c r="D183" s="149">
        <f>IF(A183="","",historico_VU!D131)</f>
        <v/>
      </c>
      <c r="E183" s="149">
        <f>IF(A183="","",historico_VU!E131)</f>
        <v/>
      </c>
      <c r="F183" s="149">
        <f>IF(A183="","",historico_VU!F131)</f>
        <v/>
      </c>
      <c r="G183" s="149">
        <f>IF(A183="","",historico_VU!G131)</f>
        <v/>
      </c>
      <c r="H183" s="150">
        <f>IF(A183="","",historico_VU!H131)</f>
        <v/>
      </c>
      <c r="I183" s="62" t="n"/>
      <c r="J183" s="147">
        <f>IF(itens_Remanesc!A131="","",itens_Remanesc!A131)</f>
        <v/>
      </c>
      <c r="K183" s="148">
        <f>IF(J183="","",IF($F$4="C0",itens_Remanesc!B131,IF($F$4="C1",itens_Remanesc!E131,IF($F$4="C2",itens_Remanesc!G131,IF($F$4="C3",itens_Remanesc!I131,itens_Remanesc!K131)))))</f>
        <v/>
      </c>
      <c r="L183" s="148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372">
        <f>IF(J183="","",itens_Remanesc!C131)</f>
        <v/>
      </c>
      <c r="N183" s="372">
        <f>IF(J183="","",IF($F$4="C0",historico_VU!C131,IF($F$4="C1",historico_VU!D131,IF($F$4="C2",historico_VU!E131,IF($F$4="C3",historico_VU!F131,historico_VU!G131)))))</f>
        <v/>
      </c>
      <c r="O183" s="372">
        <f>IF(J183="","",IF(OR($B$4="Financeiro",$B$4="PCs"),IF(OR(K183="",M183=""),"",ROUND(K183*M183,2)),IF($B$4="Itens",IF(OR(L183="",M183=""),"",ROUND(L183*M183,2)),"")))</f>
        <v/>
      </c>
      <c r="P183" s="372">
        <f>IF(J183="","",IF(OR($B$4="Financeiro",$B$4="PCs"),IF(OR(K183="",N183=""),"",ROUND(K183*N183,2)),IF($B$4="Itens",IF(OR(L183="",N183=""),"",ROUND(L183*N183,2)),"")))</f>
        <v/>
      </c>
      <c r="Q183" s="152">
        <f>IF(J183="","",IF(OR(M183="",AND(OR($B$4="Financeiro",$B$4="PCs"),K183=""),AND($B$4="Itens",L183="")),"INCOMPLETO",IF(AND(ISNUMBER(K183),ISNUMBER(L183),ABS(K183-L183)/MAX(ABS(IF(OR($B$4="Financeiro",$B$4="PCs"),K183,L183)),1)&gt;$D$4),"DIVERGENTE","OK")))</f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/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/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/>
      </c>
    </row>
    <row r="184" hidden="1" outlineLevel="1" s="289">
      <c r="A184" s="147">
        <f>IF(historico_VU!A132="","",historico_VU!A132)</f>
        <v/>
      </c>
      <c r="B184" s="148">
        <f>IF(A184="","",historico_VU!B132)</f>
        <v/>
      </c>
      <c r="C184" s="149">
        <f>IF(A184="","",historico_VU!C132)</f>
        <v/>
      </c>
      <c r="D184" s="149">
        <f>IF(A184="","",historico_VU!D132)</f>
        <v/>
      </c>
      <c r="E184" s="149">
        <f>IF(A184="","",historico_VU!E132)</f>
        <v/>
      </c>
      <c r="F184" s="149">
        <f>IF(A184="","",historico_VU!F132)</f>
        <v/>
      </c>
      <c r="G184" s="149">
        <f>IF(A184="","",historico_VU!G132)</f>
        <v/>
      </c>
      <c r="H184" s="150">
        <f>IF(A184="","",historico_VU!H132)</f>
        <v/>
      </c>
      <c r="I184" s="62" t="n"/>
      <c r="J184" s="147">
        <f>IF(itens_Remanesc!A132="","",itens_Remanesc!A132)</f>
        <v/>
      </c>
      <c r="K184" s="148">
        <f>IF(J184="","",IF($F$4="C0",itens_Remanesc!B132,IF($F$4="C1",itens_Remanesc!E132,IF($F$4="C2",itens_Remanesc!G132,IF($F$4="C3",itens_Remanesc!I132,itens_Remanesc!K132)))))</f>
        <v/>
      </c>
      <c r="L184" s="148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372">
        <f>IF(J184="","",itens_Remanesc!C132)</f>
        <v/>
      </c>
      <c r="N184" s="372">
        <f>IF(J184="","",IF($F$4="C0",historico_VU!C132,IF($F$4="C1",historico_VU!D132,IF($F$4="C2",historico_VU!E132,IF($F$4="C3",historico_VU!F132,historico_VU!G132)))))</f>
        <v/>
      </c>
      <c r="O184" s="372">
        <f>IF(J184="","",IF(OR($B$4="Financeiro",$B$4="PCs"),IF(OR(K184="",M184=""),"",ROUND(K184*M184,2)),IF($B$4="Itens",IF(OR(L184="",M184=""),"",ROUND(L184*M184,2)),"")))</f>
        <v/>
      </c>
      <c r="P184" s="372">
        <f>IF(J184="","",IF(OR($B$4="Financeiro",$B$4="PCs"),IF(OR(K184="",N184=""),"",ROUND(K184*N184,2)),IF($B$4="Itens",IF(OR(L184="",N184=""),"",ROUND(L184*N184,2)),"")))</f>
        <v/>
      </c>
      <c r="Q184" s="152">
        <f>IF(J184="","",IF(OR(M184="",AND(OR($B$4="Financeiro",$B$4="PCs"),K184=""),AND($B$4="Itens",L184="")),"INCOMPLETO",IF(AND(ISNUMBER(K184),ISNUMBER(L184),ABS(K184-L184)/MAX(ABS(IF(OR($B$4="Financeiro",$B$4="PCs"),K184,L184)),1)&gt;$D$4),"DIVERGENTE","OK")))</f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/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/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/>
      </c>
    </row>
    <row r="185" hidden="1" outlineLevel="1" s="289">
      <c r="A185" s="147">
        <f>IF(historico_VU!A133="","",historico_VU!A133)</f>
        <v/>
      </c>
      <c r="B185" s="148">
        <f>IF(A185="","",historico_VU!B133)</f>
        <v/>
      </c>
      <c r="C185" s="149">
        <f>IF(A185="","",historico_VU!C133)</f>
        <v/>
      </c>
      <c r="D185" s="149">
        <f>IF(A185="","",historico_VU!D133)</f>
        <v/>
      </c>
      <c r="E185" s="149">
        <f>IF(A185="","",historico_VU!E133)</f>
        <v/>
      </c>
      <c r="F185" s="149">
        <f>IF(A185="","",historico_VU!F133)</f>
        <v/>
      </c>
      <c r="G185" s="149">
        <f>IF(A185="","",historico_VU!G133)</f>
        <v/>
      </c>
      <c r="H185" s="150">
        <f>IF(A185="","",historico_VU!H133)</f>
        <v/>
      </c>
      <c r="I185" s="62" t="n"/>
      <c r="J185" s="147">
        <f>IF(itens_Remanesc!A133="","",itens_Remanesc!A133)</f>
        <v/>
      </c>
      <c r="K185" s="148">
        <f>IF(J185="","",IF($F$4="C0",itens_Remanesc!B133,IF($F$4="C1",itens_Remanesc!E133,IF($F$4="C2",itens_Remanesc!G133,IF($F$4="C3",itens_Remanesc!I133,itens_Remanesc!K133)))))</f>
        <v/>
      </c>
      <c r="L185" s="148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372">
        <f>IF(J185="","",itens_Remanesc!C133)</f>
        <v/>
      </c>
      <c r="N185" s="372">
        <f>IF(J185="","",IF($F$4="C0",historico_VU!C133,IF($F$4="C1",historico_VU!D133,IF($F$4="C2",historico_VU!E133,IF($F$4="C3",historico_VU!F133,historico_VU!G133)))))</f>
        <v/>
      </c>
      <c r="O185" s="372">
        <f>IF(J185="","",IF(OR($B$4="Financeiro",$B$4="PCs"),IF(OR(K185="",M185=""),"",ROUND(K185*M185,2)),IF($B$4="Itens",IF(OR(L185="",M185=""),"",ROUND(L185*M185,2)),"")))</f>
        <v/>
      </c>
      <c r="P185" s="372">
        <f>IF(J185="","",IF(OR($B$4="Financeiro",$B$4="PCs"),IF(OR(K185="",N185=""),"",ROUND(K185*N185,2)),IF($B$4="Itens",IF(OR(L185="",N185=""),"",ROUND(L185*N185,2)),"")))</f>
        <v/>
      </c>
      <c r="Q185" s="152">
        <f>IF(J185="","",IF(OR(M185="",AND(OR($B$4="Financeiro",$B$4="PCs"),K185=""),AND($B$4="Itens",L185="")),"INCOMPLETO",IF(AND(ISNUMBER(K185),ISNUMBER(L185),ABS(K185-L185)/MAX(ABS(IF(OR($B$4="Financeiro",$B$4="PCs"),K185,L185)),1)&gt;$D$4),"DIVERGENTE","OK")))</f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/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/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/>
      </c>
    </row>
    <row r="186" hidden="1" outlineLevel="1" s="289">
      <c r="A186" s="147">
        <f>IF(historico_VU!A134="","",historico_VU!A134)</f>
        <v/>
      </c>
      <c r="B186" s="148">
        <f>IF(A186="","",historico_VU!B134)</f>
        <v/>
      </c>
      <c r="C186" s="149">
        <f>IF(A186="","",historico_VU!C134)</f>
        <v/>
      </c>
      <c r="D186" s="149">
        <f>IF(A186="","",historico_VU!D134)</f>
        <v/>
      </c>
      <c r="E186" s="149">
        <f>IF(A186="","",historico_VU!E134)</f>
        <v/>
      </c>
      <c r="F186" s="149">
        <f>IF(A186="","",historico_VU!F134)</f>
        <v/>
      </c>
      <c r="G186" s="149">
        <f>IF(A186="","",historico_VU!G134)</f>
        <v/>
      </c>
      <c r="H186" s="150">
        <f>IF(A186="","",historico_VU!H134)</f>
        <v/>
      </c>
      <c r="I186" s="62" t="n"/>
      <c r="J186" s="147">
        <f>IF(itens_Remanesc!A134="","",itens_Remanesc!A134)</f>
        <v/>
      </c>
      <c r="K186" s="148">
        <f>IF(J186="","",IF($F$4="C0",itens_Remanesc!B134,IF($F$4="C1",itens_Remanesc!E134,IF($F$4="C2",itens_Remanesc!G134,IF($F$4="C3",itens_Remanesc!I134,itens_Remanesc!K134)))))</f>
        <v/>
      </c>
      <c r="L186" s="148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372">
        <f>IF(J186="","",itens_Remanesc!C134)</f>
        <v/>
      </c>
      <c r="N186" s="372">
        <f>IF(J186="","",IF($F$4="C0",historico_VU!C134,IF($F$4="C1",historico_VU!D134,IF($F$4="C2",historico_VU!E134,IF($F$4="C3",historico_VU!F134,historico_VU!G134)))))</f>
        <v/>
      </c>
      <c r="O186" s="372">
        <f>IF(J186="","",IF(OR($B$4="Financeiro",$B$4="PCs"),IF(OR(K186="",M186=""),"",ROUND(K186*M186,2)),IF($B$4="Itens",IF(OR(L186="",M186=""),"",ROUND(L186*M186,2)),"")))</f>
        <v/>
      </c>
      <c r="P186" s="372">
        <f>IF(J186="","",IF(OR($B$4="Financeiro",$B$4="PCs"),IF(OR(K186="",N186=""),"",ROUND(K186*N186,2)),IF($B$4="Itens",IF(OR(L186="",N186=""),"",ROUND(L186*N186,2)),"")))</f>
        <v/>
      </c>
      <c r="Q186" s="152">
        <f>IF(J186="","",IF(OR(M186="",AND(OR($B$4="Financeiro",$B$4="PCs"),K186=""),AND($B$4="Itens",L186="")),"INCOMPLETO",IF(AND(ISNUMBER(K186),ISNUMBER(L186),ABS(K186-L186)/MAX(ABS(IF(OR($B$4="Financeiro",$B$4="PCs"),K186,L186)),1)&gt;$D$4),"DIVERGENTE","OK")))</f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/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/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/>
      </c>
    </row>
    <row r="187" hidden="1" outlineLevel="1" s="289">
      <c r="A187" s="147">
        <f>IF(historico_VU!A135="","",historico_VU!A135)</f>
        <v/>
      </c>
      <c r="B187" s="148">
        <f>IF(A187="","",historico_VU!B135)</f>
        <v/>
      </c>
      <c r="C187" s="149">
        <f>IF(A187="","",historico_VU!C135)</f>
        <v/>
      </c>
      <c r="D187" s="149">
        <f>IF(A187="","",historico_VU!D135)</f>
        <v/>
      </c>
      <c r="E187" s="149">
        <f>IF(A187="","",historico_VU!E135)</f>
        <v/>
      </c>
      <c r="F187" s="149">
        <f>IF(A187="","",historico_VU!F135)</f>
        <v/>
      </c>
      <c r="G187" s="149">
        <f>IF(A187="","",historico_VU!G135)</f>
        <v/>
      </c>
      <c r="H187" s="150">
        <f>IF(A187="","",historico_VU!H135)</f>
        <v/>
      </c>
      <c r="I187" s="62" t="n"/>
      <c r="J187" s="147">
        <f>IF(itens_Remanesc!A135="","",itens_Remanesc!A135)</f>
        <v/>
      </c>
      <c r="K187" s="148">
        <f>IF(J187="","",IF($F$4="C0",itens_Remanesc!B135,IF($F$4="C1",itens_Remanesc!E135,IF($F$4="C2",itens_Remanesc!G135,IF($F$4="C3",itens_Remanesc!I135,itens_Remanesc!K135)))))</f>
        <v/>
      </c>
      <c r="L187" s="148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372">
        <f>IF(J187="","",itens_Remanesc!C135)</f>
        <v/>
      </c>
      <c r="N187" s="372">
        <f>IF(J187="","",IF($F$4="C0",historico_VU!C135,IF($F$4="C1",historico_VU!D135,IF($F$4="C2",historico_VU!E135,IF($F$4="C3",historico_VU!F135,historico_VU!G135)))))</f>
        <v/>
      </c>
      <c r="O187" s="372">
        <f>IF(J187="","",IF(OR($B$4="Financeiro",$B$4="PCs"),IF(OR(K187="",M187=""),"",ROUND(K187*M187,2)),IF($B$4="Itens",IF(OR(L187="",M187=""),"",ROUND(L187*M187,2)),"")))</f>
        <v/>
      </c>
      <c r="P187" s="372">
        <f>IF(J187="","",IF(OR($B$4="Financeiro",$B$4="PCs"),IF(OR(K187="",N187=""),"",ROUND(K187*N187,2)),IF($B$4="Itens",IF(OR(L187="",N187=""),"",ROUND(L187*N187,2)),"")))</f>
        <v/>
      </c>
      <c r="Q187" s="152">
        <f>IF(J187="","",IF(OR(M187="",AND(OR($B$4="Financeiro",$B$4="PCs"),K187=""),AND($B$4="Itens",L187="")),"INCOMPLETO",IF(AND(ISNUMBER(K187),ISNUMBER(L187),ABS(K187-L187)/MAX(ABS(IF(OR($B$4="Financeiro",$B$4="PCs"),K187,L187)),1)&gt;$D$4),"DIVERGENTE","OK")))</f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/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/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/>
      </c>
    </row>
    <row r="188" hidden="1" outlineLevel="1" s="289">
      <c r="A188" s="147">
        <f>IF(historico_VU!A136="","",historico_VU!A136)</f>
        <v/>
      </c>
      <c r="B188" s="148">
        <f>IF(A188="","",historico_VU!B136)</f>
        <v/>
      </c>
      <c r="C188" s="149">
        <f>IF(A188="","",historico_VU!C136)</f>
        <v/>
      </c>
      <c r="D188" s="149">
        <f>IF(A188="","",historico_VU!D136)</f>
        <v/>
      </c>
      <c r="E188" s="149">
        <f>IF(A188="","",historico_VU!E136)</f>
        <v/>
      </c>
      <c r="F188" s="149">
        <f>IF(A188="","",historico_VU!F136)</f>
        <v/>
      </c>
      <c r="G188" s="149">
        <f>IF(A188="","",historico_VU!G136)</f>
        <v/>
      </c>
      <c r="H188" s="150">
        <f>IF(A188="","",historico_VU!H136)</f>
        <v/>
      </c>
      <c r="I188" s="62" t="n"/>
      <c r="J188" s="147">
        <f>IF(itens_Remanesc!A136="","",itens_Remanesc!A136)</f>
        <v/>
      </c>
      <c r="K188" s="148">
        <f>IF(J188="","",IF($F$4="C0",itens_Remanesc!B136,IF($F$4="C1",itens_Remanesc!E136,IF($F$4="C2",itens_Remanesc!G136,IF($F$4="C3",itens_Remanesc!I136,itens_Remanesc!K136)))))</f>
        <v/>
      </c>
      <c r="L188" s="148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372">
        <f>IF(J188="","",itens_Remanesc!C136)</f>
        <v/>
      </c>
      <c r="N188" s="372">
        <f>IF(J188="","",IF($F$4="C0",historico_VU!C136,IF($F$4="C1",historico_VU!D136,IF($F$4="C2",historico_VU!E136,IF($F$4="C3",historico_VU!F136,historico_VU!G136)))))</f>
        <v/>
      </c>
      <c r="O188" s="372">
        <f>IF(J188="","",IF(OR($B$4="Financeiro",$B$4="PCs"),IF(OR(K188="",M188=""),"",ROUND(K188*M188,2)),IF($B$4="Itens",IF(OR(L188="",M188=""),"",ROUND(L188*M188,2)),"")))</f>
        <v/>
      </c>
      <c r="P188" s="372">
        <f>IF(J188="","",IF(OR($B$4="Financeiro",$B$4="PCs"),IF(OR(K188="",N188=""),"",ROUND(K188*N188,2)),IF($B$4="Itens",IF(OR(L188="",N188=""),"",ROUND(L188*N188,2)),"")))</f>
        <v/>
      </c>
      <c r="Q188" s="152">
        <f>IF(J188="","",IF(OR(M188="",AND(OR($B$4="Financeiro",$B$4="PCs"),K188=""),AND($B$4="Itens",L188="")),"INCOMPLETO",IF(AND(ISNUMBER(K188),ISNUMBER(L188),ABS(K188-L188)/MAX(ABS(IF(OR($B$4="Financeiro",$B$4="PCs"),K188,L188)),1)&gt;$D$4),"DIVERGENTE","OK")))</f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/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/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/>
      </c>
    </row>
    <row r="189" hidden="1" outlineLevel="1" s="289">
      <c r="A189" s="147">
        <f>IF(historico_VU!A137="","",historico_VU!A137)</f>
        <v/>
      </c>
      <c r="B189" s="148">
        <f>IF(A189="","",historico_VU!B137)</f>
        <v/>
      </c>
      <c r="C189" s="149">
        <f>IF(A189="","",historico_VU!C137)</f>
        <v/>
      </c>
      <c r="D189" s="149">
        <f>IF(A189="","",historico_VU!D137)</f>
        <v/>
      </c>
      <c r="E189" s="149">
        <f>IF(A189="","",historico_VU!E137)</f>
        <v/>
      </c>
      <c r="F189" s="149">
        <f>IF(A189="","",historico_VU!F137)</f>
        <v/>
      </c>
      <c r="G189" s="149">
        <f>IF(A189="","",historico_VU!G137)</f>
        <v/>
      </c>
      <c r="H189" s="150">
        <f>IF(A189="","",historico_VU!H137)</f>
        <v/>
      </c>
      <c r="I189" s="62" t="n"/>
      <c r="J189" s="147">
        <f>IF(itens_Remanesc!A137="","",itens_Remanesc!A137)</f>
        <v/>
      </c>
      <c r="K189" s="148">
        <f>IF(J189="","",IF($F$4="C0",itens_Remanesc!B137,IF($F$4="C1",itens_Remanesc!E137,IF($F$4="C2",itens_Remanesc!G137,IF($F$4="C3",itens_Remanesc!I137,itens_Remanesc!K137)))))</f>
        <v/>
      </c>
      <c r="L189" s="148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372">
        <f>IF(J189="","",itens_Remanesc!C137)</f>
        <v/>
      </c>
      <c r="N189" s="372">
        <f>IF(J189="","",IF($F$4="C0",historico_VU!C137,IF($F$4="C1",historico_VU!D137,IF($F$4="C2",historico_VU!E137,IF($F$4="C3",historico_VU!F137,historico_VU!G137)))))</f>
        <v/>
      </c>
      <c r="O189" s="372">
        <f>IF(J189="","",IF(OR($B$4="Financeiro",$B$4="PCs"),IF(OR(K189="",M189=""),"",ROUND(K189*M189,2)),IF($B$4="Itens",IF(OR(L189="",M189=""),"",ROUND(L189*M189,2)),"")))</f>
        <v/>
      </c>
      <c r="P189" s="372">
        <f>IF(J189="","",IF(OR($B$4="Financeiro",$B$4="PCs"),IF(OR(K189="",N189=""),"",ROUND(K189*N189,2)),IF($B$4="Itens",IF(OR(L189="",N189=""),"",ROUND(L189*N189,2)),"")))</f>
        <v/>
      </c>
      <c r="Q189" s="152">
        <f>IF(J189="","",IF(OR(M189="",AND(OR($B$4="Financeiro",$B$4="PCs"),K189=""),AND($B$4="Itens",L189="")),"INCOMPLETO",IF(AND(ISNUMBER(K189),ISNUMBER(L189),ABS(K189-L189)/MAX(ABS(IF(OR($B$4="Financeiro",$B$4="PCs"),K189,L189)),1)&gt;$D$4),"DIVERGENTE","OK")))</f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/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/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/>
      </c>
    </row>
    <row r="190" hidden="1" outlineLevel="1" s="289">
      <c r="A190" s="147">
        <f>IF(historico_VU!A138="","",historico_VU!A138)</f>
        <v/>
      </c>
      <c r="B190" s="148">
        <f>IF(A190="","",historico_VU!B138)</f>
        <v/>
      </c>
      <c r="C190" s="149">
        <f>IF(A190="","",historico_VU!C138)</f>
        <v/>
      </c>
      <c r="D190" s="149">
        <f>IF(A190="","",historico_VU!D138)</f>
        <v/>
      </c>
      <c r="E190" s="149">
        <f>IF(A190="","",historico_VU!E138)</f>
        <v/>
      </c>
      <c r="F190" s="149">
        <f>IF(A190="","",historico_VU!F138)</f>
        <v/>
      </c>
      <c r="G190" s="149">
        <f>IF(A190="","",historico_VU!G138)</f>
        <v/>
      </c>
      <c r="H190" s="150">
        <f>IF(A190="","",historico_VU!H138)</f>
        <v/>
      </c>
      <c r="I190" s="62" t="n"/>
      <c r="J190" s="147">
        <f>IF(itens_Remanesc!A138="","",itens_Remanesc!A138)</f>
        <v/>
      </c>
      <c r="K190" s="148">
        <f>IF(J190="","",IF($F$4="C0",itens_Remanesc!B138,IF($F$4="C1",itens_Remanesc!E138,IF($F$4="C2",itens_Remanesc!G138,IF($F$4="C3",itens_Remanesc!I138,itens_Remanesc!K138)))))</f>
        <v/>
      </c>
      <c r="L190" s="148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372">
        <f>IF(J190="","",itens_Remanesc!C138)</f>
        <v/>
      </c>
      <c r="N190" s="372">
        <f>IF(J190="","",IF($F$4="C0",historico_VU!C138,IF($F$4="C1",historico_VU!D138,IF($F$4="C2",historico_VU!E138,IF($F$4="C3",historico_VU!F138,historico_VU!G138)))))</f>
        <v/>
      </c>
      <c r="O190" s="372">
        <f>IF(J190="","",IF(OR($B$4="Financeiro",$B$4="PCs"),IF(OR(K190="",M190=""),"",ROUND(K190*M190,2)),IF($B$4="Itens",IF(OR(L190="",M190=""),"",ROUND(L190*M190,2)),"")))</f>
        <v/>
      </c>
      <c r="P190" s="372">
        <f>IF(J190="","",IF(OR($B$4="Financeiro",$B$4="PCs"),IF(OR(K190="",N190=""),"",ROUND(K190*N190,2)),IF($B$4="Itens",IF(OR(L190="",N190=""),"",ROUND(L190*N190,2)),"")))</f>
        <v/>
      </c>
      <c r="Q190" s="152">
        <f>IF(J190="","",IF(OR(M190="",AND(OR($B$4="Financeiro",$B$4="PCs"),K190=""),AND($B$4="Itens",L190="")),"INCOMPLETO",IF(AND(ISNUMBER(K190),ISNUMBER(L190),ABS(K190-L190)/MAX(ABS(IF(OR($B$4="Financeiro",$B$4="PCs"),K190,L190)),1)&gt;$D$4),"DIVERGENTE","OK")))</f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/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/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/>
      </c>
    </row>
    <row r="191" hidden="1" outlineLevel="1" s="289">
      <c r="A191" s="147">
        <f>IF(historico_VU!A139="","",historico_VU!A139)</f>
        <v/>
      </c>
      <c r="B191" s="148">
        <f>IF(A191="","",historico_VU!B139)</f>
        <v/>
      </c>
      <c r="C191" s="149">
        <f>IF(A191="","",historico_VU!C139)</f>
        <v/>
      </c>
      <c r="D191" s="149">
        <f>IF(A191="","",historico_VU!D139)</f>
        <v/>
      </c>
      <c r="E191" s="149">
        <f>IF(A191="","",historico_VU!E139)</f>
        <v/>
      </c>
      <c r="F191" s="149">
        <f>IF(A191="","",historico_VU!F139)</f>
        <v/>
      </c>
      <c r="G191" s="149">
        <f>IF(A191="","",historico_VU!G139)</f>
        <v/>
      </c>
      <c r="H191" s="150">
        <f>IF(A191="","",historico_VU!H139)</f>
        <v/>
      </c>
      <c r="I191" s="62" t="n"/>
      <c r="J191" s="147">
        <f>IF(itens_Remanesc!A139="","",itens_Remanesc!A139)</f>
        <v/>
      </c>
      <c r="K191" s="148">
        <f>IF(J191="","",IF($F$4="C0",itens_Remanesc!B139,IF($F$4="C1",itens_Remanesc!E139,IF($F$4="C2",itens_Remanesc!G139,IF($F$4="C3",itens_Remanesc!I139,itens_Remanesc!K139)))))</f>
        <v/>
      </c>
      <c r="L191" s="148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372">
        <f>IF(J191="","",itens_Remanesc!C139)</f>
        <v/>
      </c>
      <c r="N191" s="372">
        <f>IF(J191="","",IF($F$4="C0",historico_VU!C139,IF($F$4="C1",historico_VU!D139,IF($F$4="C2",historico_VU!E139,IF($F$4="C3",historico_VU!F139,historico_VU!G139)))))</f>
        <v/>
      </c>
      <c r="O191" s="372">
        <f>IF(J191="","",IF(OR($B$4="Financeiro",$B$4="PCs"),IF(OR(K191="",M191=""),"",ROUND(K191*M191,2)),IF($B$4="Itens",IF(OR(L191="",M191=""),"",ROUND(L191*M191,2)),"")))</f>
        <v/>
      </c>
      <c r="P191" s="372">
        <f>IF(J191="","",IF(OR($B$4="Financeiro",$B$4="PCs"),IF(OR(K191="",N191=""),"",ROUND(K191*N191,2)),IF($B$4="Itens",IF(OR(L191="",N191=""),"",ROUND(L191*N191,2)),"")))</f>
        <v/>
      </c>
      <c r="Q191" s="152">
        <f>IF(J191="","",IF(OR(M191="",AND(OR($B$4="Financeiro",$B$4="PCs"),K191=""),AND($B$4="Itens",L191="")),"INCOMPLETO",IF(AND(ISNUMBER(K191),ISNUMBER(L191),ABS(K191-L191)/MAX(ABS(IF(OR($B$4="Financeiro",$B$4="PCs"),K191,L191)),1)&gt;$D$4),"DIVERGENTE","OK")))</f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/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/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/>
      </c>
    </row>
    <row r="192" hidden="1" outlineLevel="1" s="289">
      <c r="A192" s="147">
        <f>IF(historico_VU!A140="","",historico_VU!A140)</f>
        <v/>
      </c>
      <c r="B192" s="148">
        <f>IF(A192="","",historico_VU!B140)</f>
        <v/>
      </c>
      <c r="C192" s="149">
        <f>IF(A192="","",historico_VU!C140)</f>
        <v/>
      </c>
      <c r="D192" s="149">
        <f>IF(A192="","",historico_VU!D140)</f>
        <v/>
      </c>
      <c r="E192" s="149">
        <f>IF(A192="","",historico_VU!E140)</f>
        <v/>
      </c>
      <c r="F192" s="149">
        <f>IF(A192="","",historico_VU!F140)</f>
        <v/>
      </c>
      <c r="G192" s="149">
        <f>IF(A192="","",historico_VU!G140)</f>
        <v/>
      </c>
      <c r="H192" s="150">
        <f>IF(A192="","",historico_VU!H140)</f>
        <v/>
      </c>
      <c r="I192" s="62" t="n"/>
      <c r="J192" s="147">
        <f>IF(itens_Remanesc!A140="","",itens_Remanesc!A140)</f>
        <v/>
      </c>
      <c r="K192" s="148">
        <f>IF(J192="","",IF($F$4="C0",itens_Remanesc!B140,IF($F$4="C1",itens_Remanesc!E140,IF($F$4="C2",itens_Remanesc!G140,IF($F$4="C3",itens_Remanesc!I140,itens_Remanesc!K140)))))</f>
        <v/>
      </c>
      <c r="L192" s="148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372">
        <f>IF(J192="","",itens_Remanesc!C140)</f>
        <v/>
      </c>
      <c r="N192" s="372">
        <f>IF(J192="","",IF($F$4="C0",historico_VU!C140,IF($F$4="C1",historico_VU!D140,IF($F$4="C2",historico_VU!E140,IF($F$4="C3",historico_VU!F140,historico_VU!G140)))))</f>
        <v/>
      </c>
      <c r="O192" s="372">
        <f>IF(J192="","",IF(OR($B$4="Financeiro",$B$4="PCs"),IF(OR(K192="",M192=""),"",ROUND(K192*M192,2)),IF($B$4="Itens",IF(OR(L192="",M192=""),"",ROUND(L192*M192,2)),"")))</f>
        <v/>
      </c>
      <c r="P192" s="372">
        <f>IF(J192="","",IF(OR($B$4="Financeiro",$B$4="PCs"),IF(OR(K192="",N192=""),"",ROUND(K192*N192,2)),IF($B$4="Itens",IF(OR(L192="",N192=""),"",ROUND(L192*N192,2)),"")))</f>
        <v/>
      </c>
      <c r="Q192" s="152">
        <f>IF(J192="","",IF(OR(M192="",AND(OR($B$4="Financeiro",$B$4="PCs"),K192=""),AND($B$4="Itens",L192="")),"INCOMPLETO",IF(AND(ISNUMBER(K192),ISNUMBER(L192),ABS(K192-L192)/MAX(ABS(IF(OR($B$4="Financeiro",$B$4="PCs"),K192,L192)),1)&gt;$D$4),"DIVERGENTE","OK")))</f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/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/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/>
      </c>
    </row>
    <row r="193" hidden="1" outlineLevel="1" s="289">
      <c r="A193" s="147">
        <f>IF(historico_VU!A141="","",historico_VU!A141)</f>
        <v/>
      </c>
      <c r="B193" s="148">
        <f>IF(A193="","",historico_VU!B141)</f>
        <v/>
      </c>
      <c r="C193" s="149">
        <f>IF(A193="","",historico_VU!C141)</f>
        <v/>
      </c>
      <c r="D193" s="149">
        <f>IF(A193="","",historico_VU!D141)</f>
        <v/>
      </c>
      <c r="E193" s="149">
        <f>IF(A193="","",historico_VU!E141)</f>
        <v/>
      </c>
      <c r="F193" s="149">
        <f>IF(A193="","",historico_VU!F141)</f>
        <v/>
      </c>
      <c r="G193" s="149">
        <f>IF(A193="","",historico_VU!G141)</f>
        <v/>
      </c>
      <c r="H193" s="150">
        <f>IF(A193="","",historico_VU!H141)</f>
        <v/>
      </c>
      <c r="I193" s="62" t="n"/>
      <c r="J193" s="147">
        <f>IF(itens_Remanesc!A141="","",itens_Remanesc!A141)</f>
        <v/>
      </c>
      <c r="K193" s="148">
        <f>IF(J193="","",IF($F$4="C0",itens_Remanesc!B141,IF($F$4="C1",itens_Remanesc!E141,IF($F$4="C2",itens_Remanesc!G141,IF($F$4="C3",itens_Remanesc!I141,itens_Remanesc!K141)))))</f>
        <v/>
      </c>
      <c r="L193" s="148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372">
        <f>IF(J193="","",itens_Remanesc!C141)</f>
        <v/>
      </c>
      <c r="N193" s="372">
        <f>IF(J193="","",IF($F$4="C0",historico_VU!C141,IF($F$4="C1",historico_VU!D141,IF($F$4="C2",historico_VU!E141,IF($F$4="C3",historico_VU!F141,historico_VU!G141)))))</f>
        <v/>
      </c>
      <c r="O193" s="372">
        <f>IF(J193="","",IF(OR($B$4="Financeiro",$B$4="PCs"),IF(OR(K193="",M193=""),"",ROUND(K193*M193,2)),IF($B$4="Itens",IF(OR(L193="",M193=""),"",ROUND(L193*M193,2)),"")))</f>
        <v/>
      </c>
      <c r="P193" s="372">
        <f>IF(J193="","",IF(OR($B$4="Financeiro",$B$4="PCs"),IF(OR(K193="",N193=""),"",ROUND(K193*N193,2)),IF($B$4="Itens",IF(OR(L193="",N193=""),"",ROUND(L193*N193,2)),"")))</f>
        <v/>
      </c>
      <c r="Q193" s="152">
        <f>IF(J193="","",IF(OR(M193="",AND(OR($B$4="Financeiro",$B$4="PCs"),K193=""),AND($B$4="Itens",L193="")),"INCOMPLETO",IF(AND(ISNUMBER(K193),ISNUMBER(L193),ABS(K193-L193)/MAX(ABS(IF(OR($B$4="Financeiro",$B$4="PCs"),K193,L193)),1)&gt;$D$4),"DIVERGENTE","OK")))</f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/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/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/>
      </c>
    </row>
    <row r="194" hidden="1" outlineLevel="1" s="289">
      <c r="A194" s="147">
        <f>IF(historico_VU!A142="","",historico_VU!A142)</f>
        <v/>
      </c>
      <c r="B194" s="148">
        <f>IF(A194="","",historico_VU!B142)</f>
        <v/>
      </c>
      <c r="C194" s="149">
        <f>IF(A194="","",historico_VU!C142)</f>
        <v/>
      </c>
      <c r="D194" s="149">
        <f>IF(A194="","",historico_VU!D142)</f>
        <v/>
      </c>
      <c r="E194" s="149">
        <f>IF(A194="","",historico_VU!E142)</f>
        <v/>
      </c>
      <c r="F194" s="149">
        <f>IF(A194="","",historico_VU!F142)</f>
        <v/>
      </c>
      <c r="G194" s="149">
        <f>IF(A194="","",historico_VU!G142)</f>
        <v/>
      </c>
      <c r="H194" s="150">
        <f>IF(A194="","",historico_VU!H142)</f>
        <v/>
      </c>
      <c r="I194" s="62" t="n"/>
      <c r="J194" s="147">
        <f>IF(itens_Remanesc!A142="","",itens_Remanesc!A142)</f>
        <v/>
      </c>
      <c r="K194" s="148">
        <f>IF(J194="","",IF($F$4="C0",itens_Remanesc!B142,IF($F$4="C1",itens_Remanesc!E142,IF($F$4="C2",itens_Remanesc!G142,IF($F$4="C3",itens_Remanesc!I142,itens_Remanesc!K142)))))</f>
        <v/>
      </c>
      <c r="L194" s="148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372">
        <f>IF(J194="","",itens_Remanesc!C142)</f>
        <v/>
      </c>
      <c r="N194" s="372">
        <f>IF(J194="","",IF($F$4="C0",historico_VU!C142,IF($F$4="C1",historico_VU!D142,IF($F$4="C2",historico_VU!E142,IF($F$4="C3",historico_VU!F142,historico_VU!G142)))))</f>
        <v/>
      </c>
      <c r="O194" s="372">
        <f>IF(J194="","",IF(OR($B$4="Financeiro",$B$4="PCs"),IF(OR(K194="",M194=""),"",ROUND(K194*M194,2)),IF($B$4="Itens",IF(OR(L194="",M194=""),"",ROUND(L194*M194,2)),"")))</f>
        <v/>
      </c>
      <c r="P194" s="372">
        <f>IF(J194="","",IF(OR($B$4="Financeiro",$B$4="PCs"),IF(OR(K194="",N194=""),"",ROUND(K194*N194,2)),IF($B$4="Itens",IF(OR(L194="",N194=""),"",ROUND(L194*N194,2)),"")))</f>
        <v/>
      </c>
      <c r="Q194" s="152">
        <f>IF(J194="","",IF(OR(M194="",AND(OR($B$4="Financeiro",$B$4="PCs"),K194=""),AND($B$4="Itens",L194="")),"INCOMPLETO",IF(AND(ISNUMBER(K194),ISNUMBER(L194),ABS(K194-L194)/MAX(ABS(IF(OR($B$4="Financeiro",$B$4="PCs"),K194,L194)),1)&gt;$D$4),"DIVERGENTE","OK")))</f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/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/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/>
      </c>
    </row>
    <row r="195" hidden="1" outlineLevel="1" s="289">
      <c r="A195" s="147">
        <f>IF(historico_VU!A143="","",historico_VU!A143)</f>
        <v/>
      </c>
      <c r="B195" s="148">
        <f>IF(A195="","",historico_VU!B143)</f>
        <v/>
      </c>
      <c r="C195" s="149">
        <f>IF(A195="","",historico_VU!C143)</f>
        <v/>
      </c>
      <c r="D195" s="149">
        <f>IF(A195="","",historico_VU!D143)</f>
        <v/>
      </c>
      <c r="E195" s="149">
        <f>IF(A195="","",historico_VU!E143)</f>
        <v/>
      </c>
      <c r="F195" s="149">
        <f>IF(A195="","",historico_VU!F143)</f>
        <v/>
      </c>
      <c r="G195" s="149">
        <f>IF(A195="","",historico_VU!G143)</f>
        <v/>
      </c>
      <c r="H195" s="150">
        <f>IF(A195="","",historico_VU!H143)</f>
        <v/>
      </c>
      <c r="I195" s="62" t="n"/>
      <c r="J195" s="147">
        <f>IF(itens_Remanesc!A143="","",itens_Remanesc!A143)</f>
        <v/>
      </c>
      <c r="K195" s="148">
        <f>IF(J195="","",IF($F$4="C0",itens_Remanesc!B143,IF($F$4="C1",itens_Remanesc!E143,IF($F$4="C2",itens_Remanesc!G143,IF($F$4="C3",itens_Remanesc!I143,itens_Remanesc!K143)))))</f>
        <v/>
      </c>
      <c r="L195" s="148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372">
        <f>IF(J195="","",itens_Remanesc!C143)</f>
        <v/>
      </c>
      <c r="N195" s="372">
        <f>IF(J195="","",IF($F$4="C0",historico_VU!C143,IF($F$4="C1",historico_VU!D143,IF($F$4="C2",historico_VU!E143,IF($F$4="C3",historico_VU!F143,historico_VU!G143)))))</f>
        <v/>
      </c>
      <c r="O195" s="372">
        <f>IF(J195="","",IF(OR($B$4="Financeiro",$B$4="PCs"),IF(OR(K195="",M195=""),"",ROUND(K195*M195,2)),IF($B$4="Itens",IF(OR(L195="",M195=""),"",ROUND(L195*M195,2)),"")))</f>
        <v/>
      </c>
      <c r="P195" s="372">
        <f>IF(J195="","",IF(OR($B$4="Financeiro",$B$4="PCs"),IF(OR(K195="",N195=""),"",ROUND(K195*N195,2)),IF($B$4="Itens",IF(OR(L195="",N195=""),"",ROUND(L195*N195,2)),"")))</f>
        <v/>
      </c>
      <c r="Q195" s="152">
        <f>IF(J195="","",IF(OR(M195="",AND(OR($B$4="Financeiro",$B$4="PCs"),K195=""),AND($B$4="Itens",L195="")),"INCOMPLETO",IF(AND(ISNUMBER(K195),ISNUMBER(L195),ABS(K195-L195)/MAX(ABS(IF(OR($B$4="Financeiro",$B$4="PCs"),K195,L195)),1)&gt;$D$4),"DIVERGENTE","OK")))</f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/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/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/>
      </c>
    </row>
    <row r="196" hidden="1" outlineLevel="1" s="289">
      <c r="A196" s="147">
        <f>IF(historico_VU!A144="","",historico_VU!A144)</f>
        <v/>
      </c>
      <c r="B196" s="148">
        <f>IF(A196="","",historico_VU!B144)</f>
        <v/>
      </c>
      <c r="C196" s="149">
        <f>IF(A196="","",historico_VU!C144)</f>
        <v/>
      </c>
      <c r="D196" s="149">
        <f>IF(A196="","",historico_VU!D144)</f>
        <v/>
      </c>
      <c r="E196" s="149">
        <f>IF(A196="","",historico_VU!E144)</f>
        <v/>
      </c>
      <c r="F196" s="149">
        <f>IF(A196="","",historico_VU!F144)</f>
        <v/>
      </c>
      <c r="G196" s="149">
        <f>IF(A196="","",historico_VU!G144)</f>
        <v/>
      </c>
      <c r="H196" s="150">
        <f>IF(A196="","",historico_VU!H144)</f>
        <v/>
      </c>
      <c r="I196" s="62" t="n"/>
      <c r="J196" s="147">
        <f>IF(itens_Remanesc!A144="","",itens_Remanesc!A144)</f>
        <v/>
      </c>
      <c r="K196" s="148">
        <f>IF(J196="","",IF($F$4="C0",itens_Remanesc!B144,IF($F$4="C1",itens_Remanesc!E144,IF($F$4="C2",itens_Remanesc!G144,IF($F$4="C3",itens_Remanesc!I144,itens_Remanesc!K144)))))</f>
        <v/>
      </c>
      <c r="L196" s="148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372">
        <f>IF(J196="","",itens_Remanesc!C144)</f>
        <v/>
      </c>
      <c r="N196" s="372">
        <f>IF(J196="","",IF($F$4="C0",historico_VU!C144,IF($F$4="C1",historico_VU!D144,IF($F$4="C2",historico_VU!E144,IF($F$4="C3",historico_VU!F144,historico_VU!G144)))))</f>
        <v/>
      </c>
      <c r="O196" s="372">
        <f>IF(J196="","",IF(OR($B$4="Financeiro",$B$4="PCs"),IF(OR(K196="",M196=""),"",ROUND(K196*M196,2)),IF($B$4="Itens",IF(OR(L196="",M196=""),"",ROUND(L196*M196,2)),"")))</f>
        <v/>
      </c>
      <c r="P196" s="372">
        <f>IF(J196="","",IF(OR($B$4="Financeiro",$B$4="PCs"),IF(OR(K196="",N196=""),"",ROUND(K196*N196,2)),IF($B$4="Itens",IF(OR(L196="",N196=""),"",ROUND(L196*N196,2)),"")))</f>
        <v/>
      </c>
      <c r="Q196" s="152">
        <f>IF(J196="","",IF(OR(M196="",AND(OR($B$4="Financeiro",$B$4="PCs"),K196=""),AND($B$4="Itens",L196="")),"INCOMPLETO",IF(AND(ISNUMBER(K196),ISNUMBER(L196),ABS(K196-L196)/MAX(ABS(IF(OR($B$4="Financeiro",$B$4="PCs"),K196,L196)),1)&gt;$D$4),"DIVERGENTE","OK")))</f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/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/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/>
      </c>
    </row>
    <row r="197" hidden="1" outlineLevel="1" s="289">
      <c r="A197" s="147">
        <f>IF(historico_VU!A145="","",historico_VU!A145)</f>
        <v/>
      </c>
      <c r="B197" s="148">
        <f>IF(A197="","",historico_VU!B145)</f>
        <v/>
      </c>
      <c r="C197" s="149">
        <f>IF(A197="","",historico_VU!C145)</f>
        <v/>
      </c>
      <c r="D197" s="149">
        <f>IF(A197="","",historico_VU!D145)</f>
        <v/>
      </c>
      <c r="E197" s="149">
        <f>IF(A197="","",historico_VU!E145)</f>
        <v/>
      </c>
      <c r="F197" s="149">
        <f>IF(A197="","",historico_VU!F145)</f>
        <v/>
      </c>
      <c r="G197" s="149">
        <f>IF(A197="","",historico_VU!G145)</f>
        <v/>
      </c>
      <c r="H197" s="150">
        <f>IF(A197="","",historico_VU!H145)</f>
        <v/>
      </c>
      <c r="I197" s="62" t="n"/>
      <c r="J197" s="147">
        <f>IF(itens_Remanesc!A145="","",itens_Remanesc!A145)</f>
        <v/>
      </c>
      <c r="K197" s="148">
        <f>IF(J197="","",IF($F$4="C0",itens_Remanesc!B145,IF($F$4="C1",itens_Remanesc!E145,IF($F$4="C2",itens_Remanesc!G145,IF($F$4="C3",itens_Remanesc!I145,itens_Remanesc!K145)))))</f>
        <v/>
      </c>
      <c r="L197" s="148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372">
        <f>IF(J197="","",itens_Remanesc!C145)</f>
        <v/>
      </c>
      <c r="N197" s="372">
        <f>IF(J197="","",IF($F$4="C0",historico_VU!C145,IF($F$4="C1",historico_VU!D145,IF($F$4="C2",historico_VU!E145,IF($F$4="C3",historico_VU!F145,historico_VU!G145)))))</f>
        <v/>
      </c>
      <c r="O197" s="372">
        <f>IF(J197="","",IF(OR($B$4="Financeiro",$B$4="PCs"),IF(OR(K197="",M197=""),"",ROUND(K197*M197,2)),IF($B$4="Itens",IF(OR(L197="",M197=""),"",ROUND(L197*M197,2)),"")))</f>
        <v/>
      </c>
      <c r="P197" s="372">
        <f>IF(J197="","",IF(OR($B$4="Financeiro",$B$4="PCs"),IF(OR(K197="",N197=""),"",ROUND(K197*N197,2)),IF($B$4="Itens",IF(OR(L197="",N197=""),"",ROUND(L197*N197,2)),"")))</f>
        <v/>
      </c>
      <c r="Q197" s="152">
        <f>IF(J197="","",IF(OR(M197="",AND(OR($B$4="Financeiro",$B$4="PCs"),K197=""),AND($B$4="Itens",L197="")),"INCOMPLETO",IF(AND(ISNUMBER(K197),ISNUMBER(L197),ABS(K197-L197)/MAX(ABS(IF(OR($B$4="Financeiro",$B$4="PCs"),K197,L197)),1)&gt;$D$4),"DIVERGENTE","OK")))</f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/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/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/>
      </c>
    </row>
    <row r="198" hidden="1" outlineLevel="1" s="289">
      <c r="A198" s="147">
        <f>IF(historico_VU!A146="","",historico_VU!A146)</f>
        <v/>
      </c>
      <c r="B198" s="148">
        <f>IF(A198="","",historico_VU!B146)</f>
        <v/>
      </c>
      <c r="C198" s="149">
        <f>IF(A198="","",historico_VU!C146)</f>
        <v/>
      </c>
      <c r="D198" s="149">
        <f>IF(A198="","",historico_VU!D146)</f>
        <v/>
      </c>
      <c r="E198" s="149">
        <f>IF(A198="","",historico_VU!E146)</f>
        <v/>
      </c>
      <c r="F198" s="149">
        <f>IF(A198="","",historico_VU!F146)</f>
        <v/>
      </c>
      <c r="G198" s="149">
        <f>IF(A198="","",historico_VU!G146)</f>
        <v/>
      </c>
      <c r="H198" s="150">
        <f>IF(A198="","",historico_VU!H146)</f>
        <v/>
      </c>
      <c r="I198" s="62" t="n"/>
      <c r="J198" s="147">
        <f>IF(itens_Remanesc!A146="","",itens_Remanesc!A146)</f>
        <v/>
      </c>
      <c r="K198" s="148">
        <f>IF(J198="","",IF($F$4="C0",itens_Remanesc!B146,IF($F$4="C1",itens_Remanesc!E146,IF($F$4="C2",itens_Remanesc!G146,IF($F$4="C3",itens_Remanesc!I146,itens_Remanesc!K146)))))</f>
        <v/>
      </c>
      <c r="L198" s="148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372">
        <f>IF(J198="","",itens_Remanesc!C146)</f>
        <v/>
      </c>
      <c r="N198" s="372">
        <f>IF(J198="","",IF($F$4="C0",historico_VU!C146,IF($F$4="C1",historico_VU!D146,IF($F$4="C2",historico_VU!E146,IF($F$4="C3",historico_VU!F146,historico_VU!G146)))))</f>
        <v/>
      </c>
      <c r="O198" s="372">
        <f>IF(J198="","",IF(OR($B$4="Financeiro",$B$4="PCs"),IF(OR(K198="",M198=""),"",ROUND(K198*M198,2)),IF($B$4="Itens",IF(OR(L198="",M198=""),"",ROUND(L198*M198,2)),"")))</f>
        <v/>
      </c>
      <c r="P198" s="372">
        <f>IF(J198="","",IF(OR($B$4="Financeiro",$B$4="PCs"),IF(OR(K198="",N198=""),"",ROUND(K198*N198,2)),IF($B$4="Itens",IF(OR(L198="",N198=""),"",ROUND(L198*N198,2)),"")))</f>
        <v/>
      </c>
      <c r="Q198" s="152">
        <f>IF(J198="","",IF(OR(M198="",AND(OR($B$4="Financeiro",$B$4="PCs"),K198=""),AND($B$4="Itens",L198="")),"INCOMPLETO",IF(AND(ISNUMBER(K198),ISNUMBER(L198),ABS(K198-L198)/MAX(ABS(IF(OR($B$4="Financeiro",$B$4="PCs"),K198,L198)),1)&gt;$D$4),"DIVERGENTE","OK")))</f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/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/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/>
      </c>
    </row>
    <row r="199" hidden="1" outlineLevel="1" s="289">
      <c r="A199" s="147">
        <f>IF(historico_VU!A147="","",historico_VU!A147)</f>
        <v/>
      </c>
      <c r="B199" s="148">
        <f>IF(A199="","",historico_VU!B147)</f>
        <v/>
      </c>
      <c r="C199" s="149">
        <f>IF(A199="","",historico_VU!C147)</f>
        <v/>
      </c>
      <c r="D199" s="149">
        <f>IF(A199="","",historico_VU!D147)</f>
        <v/>
      </c>
      <c r="E199" s="149">
        <f>IF(A199="","",historico_VU!E147)</f>
        <v/>
      </c>
      <c r="F199" s="149">
        <f>IF(A199="","",historico_VU!F147)</f>
        <v/>
      </c>
      <c r="G199" s="149">
        <f>IF(A199="","",historico_VU!G147)</f>
        <v/>
      </c>
      <c r="H199" s="150">
        <f>IF(A199="","",historico_VU!H147)</f>
        <v/>
      </c>
      <c r="I199" s="62" t="n"/>
      <c r="J199" s="147">
        <f>IF(itens_Remanesc!A147="","",itens_Remanesc!A147)</f>
        <v/>
      </c>
      <c r="K199" s="148">
        <f>IF(J199="","",IF($F$4="C0",itens_Remanesc!B147,IF($F$4="C1",itens_Remanesc!E147,IF($F$4="C2",itens_Remanesc!G147,IF($F$4="C3",itens_Remanesc!I147,itens_Remanesc!K147)))))</f>
        <v/>
      </c>
      <c r="L199" s="148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372">
        <f>IF(J199="","",itens_Remanesc!C147)</f>
        <v/>
      </c>
      <c r="N199" s="372">
        <f>IF(J199="","",IF($F$4="C0",historico_VU!C147,IF($F$4="C1",historico_VU!D147,IF($F$4="C2",historico_VU!E147,IF($F$4="C3",historico_VU!F147,historico_VU!G147)))))</f>
        <v/>
      </c>
      <c r="O199" s="372">
        <f>IF(J199="","",IF(OR($B$4="Financeiro",$B$4="PCs"),IF(OR(K199="",M199=""),"",ROUND(K199*M199,2)),IF($B$4="Itens",IF(OR(L199="",M199=""),"",ROUND(L199*M199,2)),"")))</f>
        <v/>
      </c>
      <c r="P199" s="372">
        <f>IF(J199="","",IF(OR($B$4="Financeiro",$B$4="PCs"),IF(OR(K199="",N199=""),"",ROUND(K199*N199,2)),IF($B$4="Itens",IF(OR(L199="",N199=""),"",ROUND(L199*N199,2)),"")))</f>
        <v/>
      </c>
      <c r="Q199" s="152">
        <f>IF(J199="","",IF(OR(M199="",AND(OR($B$4="Financeiro",$B$4="PCs"),K199=""),AND($B$4="Itens",L199="")),"INCOMPLETO",IF(AND(ISNUMBER(K199),ISNUMBER(L199),ABS(K199-L199)/MAX(ABS(IF(OR($B$4="Financeiro",$B$4="PCs"),K199,L199)),1)&gt;$D$4),"DIVERGENTE","OK")))</f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/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/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/>
      </c>
    </row>
    <row r="200" hidden="1" outlineLevel="1" s="289">
      <c r="A200" s="147">
        <f>IF(historico_VU!A148="","",historico_VU!A148)</f>
        <v/>
      </c>
      <c r="B200" s="148">
        <f>IF(A200="","",historico_VU!B148)</f>
        <v/>
      </c>
      <c r="C200" s="149">
        <f>IF(A200="","",historico_VU!C148)</f>
        <v/>
      </c>
      <c r="D200" s="149">
        <f>IF(A200="","",historico_VU!D148)</f>
        <v/>
      </c>
      <c r="E200" s="149">
        <f>IF(A200="","",historico_VU!E148)</f>
        <v/>
      </c>
      <c r="F200" s="149">
        <f>IF(A200="","",historico_VU!F148)</f>
        <v/>
      </c>
      <c r="G200" s="149">
        <f>IF(A200="","",historico_VU!G148)</f>
        <v/>
      </c>
      <c r="H200" s="150">
        <f>IF(A200="","",historico_VU!H148)</f>
        <v/>
      </c>
      <c r="I200" s="62" t="n"/>
      <c r="J200" s="147">
        <f>IF(itens_Remanesc!A148="","",itens_Remanesc!A148)</f>
        <v/>
      </c>
      <c r="K200" s="148">
        <f>IF(J200="","",IF($F$4="C0",itens_Remanesc!B148,IF($F$4="C1",itens_Remanesc!E148,IF($F$4="C2",itens_Remanesc!G148,IF($F$4="C3",itens_Remanesc!I148,itens_Remanesc!K148)))))</f>
        <v/>
      </c>
      <c r="L200" s="148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372">
        <f>IF(J200="","",itens_Remanesc!C148)</f>
        <v/>
      </c>
      <c r="N200" s="372">
        <f>IF(J200="","",IF($F$4="C0",historico_VU!C148,IF($F$4="C1",historico_VU!D148,IF($F$4="C2",historico_VU!E148,IF($F$4="C3",historico_VU!F148,historico_VU!G148)))))</f>
        <v/>
      </c>
      <c r="O200" s="372">
        <f>IF(J200="","",IF(OR($B$4="Financeiro",$B$4="PCs"),IF(OR(K200="",M200=""),"",ROUND(K200*M200,2)),IF($B$4="Itens",IF(OR(L200="",M200=""),"",ROUND(L200*M200,2)),"")))</f>
        <v/>
      </c>
      <c r="P200" s="372">
        <f>IF(J200="","",IF(OR($B$4="Financeiro",$B$4="PCs"),IF(OR(K200="",N200=""),"",ROUND(K200*N200,2)),IF($B$4="Itens",IF(OR(L200="",N200=""),"",ROUND(L200*N200,2)),"")))</f>
        <v/>
      </c>
      <c r="Q200" s="152">
        <f>IF(J200="","",IF(OR(M200="",AND(OR($B$4="Financeiro",$B$4="PCs"),K200=""),AND($B$4="Itens",L200="")),"INCOMPLETO",IF(AND(ISNUMBER(K200),ISNUMBER(L200),ABS(K200-L200)/MAX(ABS(IF(OR($B$4="Financeiro",$B$4="PCs"),K200,L200)),1)&gt;$D$4),"DIVERGENTE","OK")))</f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/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/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/>
      </c>
    </row>
    <row r="201" hidden="1" outlineLevel="1" s="289">
      <c r="A201" s="147">
        <f>IF(historico_VU!A149="","",historico_VU!A149)</f>
        <v/>
      </c>
      <c r="B201" s="148">
        <f>IF(A201="","",historico_VU!B149)</f>
        <v/>
      </c>
      <c r="C201" s="149">
        <f>IF(A201="","",historico_VU!C149)</f>
        <v/>
      </c>
      <c r="D201" s="149">
        <f>IF(A201="","",historico_VU!D149)</f>
        <v/>
      </c>
      <c r="E201" s="149">
        <f>IF(A201="","",historico_VU!E149)</f>
        <v/>
      </c>
      <c r="F201" s="149">
        <f>IF(A201="","",historico_VU!F149)</f>
        <v/>
      </c>
      <c r="G201" s="149">
        <f>IF(A201="","",historico_VU!G149)</f>
        <v/>
      </c>
      <c r="H201" s="150">
        <f>IF(A201="","",historico_VU!H149)</f>
        <v/>
      </c>
      <c r="I201" s="62" t="n"/>
      <c r="J201" s="147">
        <f>IF(itens_Remanesc!A149="","",itens_Remanesc!A149)</f>
        <v/>
      </c>
      <c r="K201" s="148">
        <f>IF(J201="","",IF($F$4="C0",itens_Remanesc!B149,IF($F$4="C1",itens_Remanesc!E149,IF($F$4="C2",itens_Remanesc!G149,IF($F$4="C3",itens_Remanesc!I149,itens_Remanesc!K149)))))</f>
        <v/>
      </c>
      <c r="L201" s="148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372">
        <f>IF(J201="","",itens_Remanesc!C149)</f>
        <v/>
      </c>
      <c r="N201" s="372">
        <f>IF(J201="","",IF($F$4="C0",historico_VU!C149,IF($F$4="C1",historico_VU!D149,IF($F$4="C2",historico_VU!E149,IF($F$4="C3",historico_VU!F149,historico_VU!G149)))))</f>
        <v/>
      </c>
      <c r="O201" s="372">
        <f>IF(J201="","",IF(OR($B$4="Financeiro",$B$4="PCs"),IF(OR(K201="",M201=""),"",ROUND(K201*M201,2)),IF($B$4="Itens",IF(OR(L201="",M201=""),"",ROUND(L201*M201,2)),"")))</f>
        <v/>
      </c>
      <c r="P201" s="372">
        <f>IF(J201="","",IF(OR($B$4="Financeiro",$B$4="PCs"),IF(OR(K201="",N201=""),"",ROUND(K201*N201,2)),IF($B$4="Itens",IF(OR(L201="",N201=""),"",ROUND(L201*N201,2)),"")))</f>
        <v/>
      </c>
      <c r="Q201" s="152">
        <f>IF(J201="","",IF(OR(M201="",AND(OR($B$4="Financeiro",$B$4="PCs"),K201=""),AND($B$4="Itens",L201="")),"INCOMPLETO",IF(AND(ISNUMBER(K201),ISNUMBER(L201),ABS(K201-L201)/MAX(ABS(IF(OR($B$4="Financeiro",$B$4="PCs"),K201,L201)),1)&gt;$D$4),"DIVERGENTE","OK")))</f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/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/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/>
      </c>
    </row>
    <row r="202" hidden="1" outlineLevel="1" s="289">
      <c r="A202" s="147">
        <f>IF(historico_VU!A150="","",historico_VU!A150)</f>
        <v/>
      </c>
      <c r="B202" s="148">
        <f>IF(A202="","",historico_VU!B150)</f>
        <v/>
      </c>
      <c r="C202" s="149">
        <f>IF(A202="","",historico_VU!C150)</f>
        <v/>
      </c>
      <c r="D202" s="149">
        <f>IF(A202="","",historico_VU!D150)</f>
        <v/>
      </c>
      <c r="E202" s="149">
        <f>IF(A202="","",historico_VU!E150)</f>
        <v/>
      </c>
      <c r="F202" s="149">
        <f>IF(A202="","",historico_VU!F150)</f>
        <v/>
      </c>
      <c r="G202" s="149">
        <f>IF(A202="","",historico_VU!G150)</f>
        <v/>
      </c>
      <c r="H202" s="150">
        <f>IF(A202="","",historico_VU!H150)</f>
        <v/>
      </c>
      <c r="I202" s="62" t="n"/>
      <c r="J202" s="147">
        <f>IF(itens_Remanesc!A150="","",itens_Remanesc!A150)</f>
        <v/>
      </c>
      <c r="K202" s="148">
        <f>IF(J202="","",IF($F$4="C0",itens_Remanesc!B150,IF($F$4="C1",itens_Remanesc!E150,IF($F$4="C2",itens_Remanesc!G150,IF($F$4="C3",itens_Remanesc!I150,itens_Remanesc!K150)))))</f>
        <v/>
      </c>
      <c r="L202" s="148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372">
        <f>IF(J202="","",itens_Remanesc!C150)</f>
        <v/>
      </c>
      <c r="N202" s="372">
        <f>IF(J202="","",IF($F$4="C0",historico_VU!C150,IF($F$4="C1",historico_VU!D150,IF($F$4="C2",historico_VU!E150,IF($F$4="C3",historico_VU!F150,historico_VU!G150)))))</f>
        <v/>
      </c>
      <c r="O202" s="372">
        <f>IF(J202="","",IF(OR($B$4="Financeiro",$B$4="PCs"),IF(OR(K202="",M202=""),"",ROUND(K202*M202,2)),IF($B$4="Itens",IF(OR(L202="",M202=""),"",ROUND(L202*M202,2)),"")))</f>
        <v/>
      </c>
      <c r="P202" s="372">
        <f>IF(J202="","",IF(OR($B$4="Financeiro",$B$4="PCs"),IF(OR(K202="",N202=""),"",ROUND(K202*N202,2)),IF($B$4="Itens",IF(OR(L202="",N202=""),"",ROUND(L202*N202,2)),"")))</f>
        <v/>
      </c>
      <c r="Q202" s="152">
        <f>IF(J202="","",IF(OR(M202="",AND(OR($B$4="Financeiro",$B$4="PCs"),K202=""),AND($B$4="Itens",L202="")),"INCOMPLETO",IF(AND(ISNUMBER(K202),ISNUMBER(L202),ABS(K202-L202)/MAX(ABS(IF(OR($B$4="Financeiro",$B$4="PCs"),K202,L202)),1)&gt;$D$4),"DIVERGENTE","OK")))</f>
        <v/>
      </c>
    </row>
    <row r="203" hidden="1" outlineLevel="1" s="289">
      <c r="A203" s="147">
        <f>IF(historico_VU!A151="","",historico_VU!A151)</f>
        <v/>
      </c>
      <c r="B203" s="148">
        <f>IF(A203="","",historico_VU!B151)</f>
        <v/>
      </c>
      <c r="C203" s="149">
        <f>IF(A203="","",historico_VU!C151)</f>
        <v/>
      </c>
      <c r="D203" s="149">
        <f>IF(A203="","",historico_VU!D151)</f>
        <v/>
      </c>
      <c r="E203" s="149">
        <f>IF(A203="","",historico_VU!E151)</f>
        <v/>
      </c>
      <c r="F203" s="149">
        <f>IF(A203="","",historico_VU!F151)</f>
        <v/>
      </c>
      <c r="G203" s="149">
        <f>IF(A203="","",historico_VU!G151)</f>
        <v/>
      </c>
      <c r="H203" s="150">
        <f>IF(A203="","",historico_VU!H151)</f>
        <v/>
      </c>
      <c r="I203" s="62" t="n"/>
      <c r="J203" s="147">
        <f>IF(itens_Remanesc!A151="","",itens_Remanesc!A151)</f>
        <v/>
      </c>
      <c r="K203" s="148">
        <f>IF(J203="","",IF($F$4="C0",itens_Remanesc!B151,IF($F$4="C1",itens_Remanesc!E151,IF($F$4="C2",itens_Remanesc!G151,IF($F$4="C3",itens_Remanesc!I151,itens_Remanesc!K151)))))</f>
        <v/>
      </c>
      <c r="L203" s="148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372">
        <f>IF(J203="","",itens_Remanesc!C151)</f>
        <v/>
      </c>
      <c r="N203" s="372">
        <f>IF(J203="","",IF($F$4="C0",historico_VU!C151,IF($F$4="C1",historico_VU!D151,IF($F$4="C2",historico_VU!E151,IF($F$4="C3",historico_VU!F151,historico_VU!G151)))))</f>
        <v/>
      </c>
      <c r="O203" s="372">
        <f>IF(J203="","",IF(OR($B$4="Financeiro",$B$4="PCs"),IF(OR(K203="",M203=""),"",ROUND(K203*M203,2)),IF($B$4="Itens",IF(OR(L203="",M203=""),"",ROUND(L203*M203,2)),"")))</f>
        <v/>
      </c>
      <c r="P203" s="372">
        <f>IF(J203="","",IF(OR($B$4="Financeiro",$B$4="PCs"),IF(OR(K203="",N203=""),"",ROUND(K203*N203,2)),IF($B$4="Itens",IF(OR(L203="",N203=""),"",ROUND(L203*N203,2)),"")))</f>
        <v/>
      </c>
      <c r="Q203" s="152">
        <f>IF(J203="","",IF(OR(M203="",AND(OR($B$4="Financeiro",$B$4="PCs"),K203=""),AND($B$4="Itens",L203="")),"INCOMPLETO",IF(AND(ISNUMBER(K203),ISNUMBER(L203),ABS(K203-L203)/MAX(ABS(IF(OR($B$4="Financeiro",$B$4="PCs"),K203,L203)),1)&gt;$D$4),"DIVERGENTE","OK")))</f>
        <v/>
      </c>
    </row>
    <row r="204" hidden="1" outlineLevel="1" s="289">
      <c r="A204" s="147">
        <f>IF(historico_VU!A152="","",historico_VU!A152)</f>
        <v/>
      </c>
      <c r="B204" s="148">
        <f>IF(A204="","",historico_VU!B152)</f>
        <v/>
      </c>
      <c r="C204" s="149">
        <f>IF(A204="","",historico_VU!C152)</f>
        <v/>
      </c>
      <c r="D204" s="149">
        <f>IF(A204="","",historico_VU!D152)</f>
        <v/>
      </c>
      <c r="E204" s="149">
        <f>IF(A204="","",historico_VU!E152)</f>
        <v/>
      </c>
      <c r="F204" s="149">
        <f>IF(A204="","",historico_VU!F152)</f>
        <v/>
      </c>
      <c r="G204" s="149">
        <f>IF(A204="","",historico_VU!G152)</f>
        <v/>
      </c>
      <c r="H204" s="150">
        <f>IF(A204="","",historico_VU!H152)</f>
        <v/>
      </c>
      <c r="I204" s="62" t="n"/>
      <c r="J204" s="147">
        <f>IF(itens_Remanesc!A152="","",itens_Remanesc!A152)</f>
        <v/>
      </c>
      <c r="K204" s="148">
        <f>IF(J204="","",IF($F$4="C0",itens_Remanesc!B152,IF($F$4="C1",itens_Remanesc!E152,IF($F$4="C2",itens_Remanesc!G152,IF($F$4="C3",itens_Remanesc!I152,itens_Remanesc!K152)))))</f>
        <v/>
      </c>
      <c r="L204" s="148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372">
        <f>IF(J204="","",itens_Remanesc!C152)</f>
        <v/>
      </c>
      <c r="N204" s="372">
        <f>IF(J204="","",IF($F$4="C0",historico_VU!C152,IF($F$4="C1",historico_VU!D152,IF($F$4="C2",historico_VU!E152,IF($F$4="C3",historico_VU!F152,historico_VU!G152)))))</f>
        <v/>
      </c>
      <c r="O204" s="372">
        <f>IF(J204="","",IF(OR($B$4="Financeiro",$B$4="PCs"),IF(OR(K204="",M204=""),"",ROUND(K204*M204,2)),IF($B$4="Itens",IF(OR(L204="",M204=""),"",ROUND(L204*M204,2)),"")))</f>
        <v/>
      </c>
      <c r="P204" s="372">
        <f>IF(J204="","",IF(OR($B$4="Financeiro",$B$4="PCs"),IF(OR(K204="",N204=""),"",ROUND(K204*N204,2)),IF($B$4="Itens",IF(OR(L204="",N204=""),"",ROUND(L204*N204,2)),"")))</f>
        <v/>
      </c>
      <c r="Q204" s="152">
        <f>IF(J204="","",IF(OR(M204="",AND(OR($B$4="Financeiro",$B$4="PCs"),K204=""),AND($B$4="Itens",L204="")),"INCOMPLETO",IF(AND(ISNUMBER(K204),ISNUMBER(L204),ABS(K204-L204)/MAX(ABS(IF(OR($B$4="Financeiro",$B$4="PCs"),K204,L204)),1)&gt;$D$4),"DIVERGENTE","OK")))</f>
        <v/>
      </c>
    </row>
    <row r="205" hidden="1" outlineLevel="1" s="289">
      <c r="A205" s="147">
        <f>IF(historico_VU!A153="","",historico_VU!A153)</f>
        <v/>
      </c>
      <c r="B205" s="148">
        <f>IF(A205="","",historico_VU!B153)</f>
        <v/>
      </c>
      <c r="C205" s="149">
        <f>IF(A205="","",historico_VU!C153)</f>
        <v/>
      </c>
      <c r="D205" s="149">
        <f>IF(A205="","",historico_VU!D153)</f>
        <v/>
      </c>
      <c r="E205" s="149">
        <f>IF(A205="","",historico_VU!E153)</f>
        <v/>
      </c>
      <c r="F205" s="149">
        <f>IF(A205="","",historico_VU!F153)</f>
        <v/>
      </c>
      <c r="G205" s="149">
        <f>IF(A205="","",historico_VU!G153)</f>
        <v/>
      </c>
      <c r="H205" s="150">
        <f>IF(A205="","",historico_VU!H153)</f>
        <v/>
      </c>
      <c r="I205" s="62" t="n"/>
      <c r="J205" s="147">
        <f>IF(itens_Remanesc!A153="","",itens_Remanesc!A153)</f>
        <v/>
      </c>
      <c r="K205" s="148">
        <f>IF(J205="","",IF($F$4="C0",itens_Remanesc!B153,IF($F$4="C1",itens_Remanesc!E153,IF($F$4="C2",itens_Remanesc!G153,IF($F$4="C3",itens_Remanesc!I153,itens_Remanesc!K153)))))</f>
        <v/>
      </c>
      <c r="L205" s="148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372">
        <f>IF(J205="","",itens_Remanesc!C153)</f>
        <v/>
      </c>
      <c r="N205" s="372">
        <f>IF(J205="","",IF($F$4="C0",historico_VU!C153,IF($F$4="C1",historico_VU!D153,IF($F$4="C2",historico_VU!E153,IF($F$4="C3",historico_VU!F153,historico_VU!G153)))))</f>
        <v/>
      </c>
      <c r="O205" s="372">
        <f>IF(J205="","",IF(OR($B$4="Financeiro",$B$4="PCs"),IF(OR(K205="",M205=""),"",ROUND(K205*M205,2)),IF($B$4="Itens",IF(OR(L205="",M205=""),"",ROUND(L205*M205,2)),"")))</f>
        <v/>
      </c>
      <c r="P205" s="372">
        <f>IF(J205="","",IF(OR($B$4="Financeiro",$B$4="PCs"),IF(OR(K205="",N205=""),"",ROUND(K205*N205,2)),IF($B$4="Itens",IF(OR(L205="",N205=""),"",ROUND(L205*N205,2)),"")))</f>
        <v/>
      </c>
      <c r="Q205" s="152">
        <f>IF(J205="","",IF(OR(M205="",AND(OR($B$4="Financeiro",$B$4="PCs"),K205=""),AND($B$4="Itens",L205="")),"INCOMPLETO",IF(AND(ISNUMBER(K205),ISNUMBER(L205),ABS(K205-L205)/MAX(ABS(IF(OR($B$4="Financeiro",$B$4="PCs"),K205,L205)),1)&gt;$D$4),"DIVERGENTE","OK")))</f>
        <v/>
      </c>
    </row>
    <row r="206" hidden="1" outlineLevel="1" s="289">
      <c r="A206" s="147">
        <f>IF(historico_VU!A154="","",historico_VU!A154)</f>
        <v/>
      </c>
      <c r="B206" s="148">
        <f>IF(A206="","",historico_VU!B154)</f>
        <v/>
      </c>
      <c r="C206" s="149">
        <f>IF(A206="","",historico_VU!C154)</f>
        <v/>
      </c>
      <c r="D206" s="149">
        <f>IF(A206="","",historico_VU!D154)</f>
        <v/>
      </c>
      <c r="E206" s="149">
        <f>IF(A206="","",historico_VU!E154)</f>
        <v/>
      </c>
      <c r="F206" s="149">
        <f>IF(A206="","",historico_VU!F154)</f>
        <v/>
      </c>
      <c r="G206" s="149">
        <f>IF(A206="","",historico_VU!G154)</f>
        <v/>
      </c>
      <c r="H206" s="150">
        <f>IF(A206="","",historico_VU!H154)</f>
        <v/>
      </c>
      <c r="I206" s="62" t="n"/>
      <c r="J206" s="147">
        <f>IF(itens_Remanesc!A154="","",itens_Remanesc!A154)</f>
        <v/>
      </c>
      <c r="K206" s="148">
        <f>IF(J206="","",IF($F$4="C0",itens_Remanesc!B154,IF($F$4="C1",itens_Remanesc!E154,IF($F$4="C2",itens_Remanesc!G154,IF($F$4="C3",itens_Remanesc!I154,itens_Remanesc!K154)))))</f>
        <v/>
      </c>
      <c r="L206" s="148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372">
        <f>IF(J206="","",itens_Remanesc!C154)</f>
        <v/>
      </c>
      <c r="N206" s="372">
        <f>IF(J206="","",IF($F$4="C0",historico_VU!C154,IF($F$4="C1",historico_VU!D154,IF($F$4="C2",historico_VU!E154,IF($F$4="C3",historico_VU!F154,historico_VU!G154)))))</f>
        <v/>
      </c>
      <c r="O206" s="372">
        <f>IF(J206="","",IF(OR($B$4="Financeiro",$B$4="PCs"),IF(OR(K206="",M206=""),"",ROUND(K206*M206,2)),IF($B$4="Itens",IF(OR(L206="",M206=""),"",ROUND(L206*M206,2)),"")))</f>
        <v/>
      </c>
      <c r="P206" s="372">
        <f>IF(J206="","",IF(OR($B$4="Financeiro",$B$4="PCs"),IF(OR(K206="",N206=""),"",ROUND(K206*N206,2)),IF($B$4="Itens",IF(OR(L206="",N206=""),"",ROUND(L206*N206,2)),"")))</f>
        <v/>
      </c>
      <c r="Q206" s="152">
        <f>IF(J206="","",IF(OR(M206="",AND(OR($B$4="Financeiro",$B$4="PCs"),K206=""),AND($B$4="Itens",L206="")),"INCOMPLETO",IF(AND(ISNUMBER(K206),ISNUMBER(L206),ABS(K206-L206)/MAX(ABS(IF(OR($B$4="Financeiro",$B$4="PCs"),K206,L206)),1)&gt;$D$4),"DIVERGENTE","OK")))</f>
        <v/>
      </c>
    </row>
    <row r="207" hidden="1" outlineLevel="1" s="289">
      <c r="A207" s="147">
        <f>IF(historico_VU!A155="","",historico_VU!A155)</f>
        <v/>
      </c>
      <c r="B207" s="148">
        <f>IF(A207="","",historico_VU!B155)</f>
        <v/>
      </c>
      <c r="C207" s="149">
        <f>IF(A207="","",historico_VU!C155)</f>
        <v/>
      </c>
      <c r="D207" s="149">
        <f>IF(A207="","",historico_VU!D155)</f>
        <v/>
      </c>
      <c r="E207" s="149">
        <f>IF(A207="","",historico_VU!E155)</f>
        <v/>
      </c>
      <c r="F207" s="149">
        <f>IF(A207="","",historico_VU!F155)</f>
        <v/>
      </c>
      <c r="G207" s="149">
        <f>IF(A207="","",historico_VU!G155)</f>
        <v/>
      </c>
      <c r="H207" s="150">
        <f>IF(A207="","",historico_VU!H155)</f>
        <v/>
      </c>
      <c r="I207" s="62" t="n"/>
      <c r="J207" s="147">
        <f>IF(itens_Remanesc!A155="","",itens_Remanesc!A155)</f>
        <v/>
      </c>
      <c r="K207" s="148">
        <f>IF(J207="","",IF($F$4="C0",itens_Remanesc!B155,IF($F$4="C1",itens_Remanesc!E155,IF($F$4="C2",itens_Remanesc!G155,IF($F$4="C3",itens_Remanesc!I155,itens_Remanesc!K155)))))</f>
        <v/>
      </c>
      <c r="L207" s="148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372">
        <f>IF(J207="","",itens_Remanesc!C155)</f>
        <v/>
      </c>
      <c r="N207" s="372">
        <f>IF(J207="","",IF($F$4="C0",historico_VU!C155,IF($F$4="C1",historico_VU!D155,IF($F$4="C2",historico_VU!E155,IF($F$4="C3",historico_VU!F155,historico_VU!G155)))))</f>
        <v/>
      </c>
      <c r="O207" s="372">
        <f>IF(J207="","",IF(OR($B$4="Financeiro",$B$4="PCs"),IF(OR(K207="",M207=""),"",ROUND(K207*M207,2)),IF($B$4="Itens",IF(OR(L207="",M207=""),"",ROUND(L207*M207,2)),"")))</f>
        <v/>
      </c>
      <c r="P207" s="372">
        <f>IF(J207="","",IF(OR($B$4="Financeiro",$B$4="PCs"),IF(OR(K207="",N207=""),"",ROUND(K207*N207,2)),IF($B$4="Itens",IF(OR(L207="",N207=""),"",ROUND(L207*N207,2)),"")))</f>
        <v/>
      </c>
      <c r="Q207" s="152">
        <f>IF(J207="","",IF(OR(M207="",AND(OR($B$4="Financeiro",$B$4="PCs"),K207=""),AND($B$4="Itens",L207="")),"INCOMPLETO",IF(AND(ISNUMBER(K207),ISNUMBER(L207),ABS(K207-L207)/MAX(ABS(IF(OR($B$4="Financeiro",$B$4="PCs"),K207,L207)),1)&gt;$D$4),"DIVERGENTE","OK")))</f>
        <v/>
      </c>
    </row>
    <row r="208" hidden="1" outlineLevel="1" s="289">
      <c r="A208" s="147">
        <f>IF(historico_VU!A156="","",historico_VU!A156)</f>
        <v/>
      </c>
      <c r="B208" s="148">
        <f>IF(A208="","",historico_VU!B156)</f>
        <v/>
      </c>
      <c r="C208" s="149">
        <f>IF(A208="","",historico_VU!C156)</f>
        <v/>
      </c>
      <c r="D208" s="149">
        <f>IF(A208="","",historico_VU!D156)</f>
        <v/>
      </c>
      <c r="E208" s="149">
        <f>IF(A208="","",historico_VU!E156)</f>
        <v/>
      </c>
      <c r="F208" s="149">
        <f>IF(A208="","",historico_VU!F156)</f>
        <v/>
      </c>
      <c r="G208" s="149">
        <f>IF(A208="","",historico_VU!G156)</f>
        <v/>
      </c>
      <c r="H208" s="150">
        <f>IF(A208="","",historico_VU!H156)</f>
        <v/>
      </c>
      <c r="I208" s="62" t="n"/>
      <c r="J208" s="147">
        <f>IF(itens_Remanesc!A156="","",itens_Remanesc!A156)</f>
        <v/>
      </c>
      <c r="K208" s="148">
        <f>IF(J208="","",IF($F$4="C0",itens_Remanesc!B156,IF($F$4="C1",itens_Remanesc!E156,IF($F$4="C2",itens_Remanesc!G156,IF($F$4="C3",itens_Remanesc!I156,itens_Remanesc!K156)))))</f>
        <v/>
      </c>
      <c r="L208" s="148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372">
        <f>IF(J208="","",itens_Remanesc!C156)</f>
        <v/>
      </c>
      <c r="N208" s="372">
        <f>IF(J208="","",IF($F$4="C0",historico_VU!C156,IF($F$4="C1",historico_VU!D156,IF($F$4="C2",historico_VU!E156,IF($F$4="C3",historico_VU!F156,historico_VU!G156)))))</f>
        <v/>
      </c>
      <c r="O208" s="372">
        <f>IF(J208="","",IF(OR($B$4="Financeiro",$B$4="PCs"),IF(OR(K208="",M208=""),"",ROUND(K208*M208,2)),IF($B$4="Itens",IF(OR(L208="",M208=""),"",ROUND(L208*M208,2)),"")))</f>
        <v/>
      </c>
      <c r="P208" s="372">
        <f>IF(J208="","",IF(OR($B$4="Financeiro",$B$4="PCs"),IF(OR(K208="",N208=""),"",ROUND(K208*N208,2)),IF($B$4="Itens",IF(OR(L208="",N208=""),"",ROUND(L208*N208,2)),"")))</f>
        <v/>
      </c>
      <c r="Q208" s="152">
        <f>IF(J208="","",IF(OR(M208="",AND(OR($B$4="Financeiro",$B$4="PCs"),K208=""),AND($B$4="Itens",L208="")),"INCOMPLETO",IF(AND(ISNUMBER(K208),ISNUMBER(L208),ABS(K208-L208)/MAX(ABS(IF(OR($B$4="Financeiro",$B$4="PCs"),K208,L208)),1)&gt;$D$4),"DIVERGENTE","OK")))</f>
        <v/>
      </c>
    </row>
    <row r="209" hidden="1" outlineLevel="1" s="289">
      <c r="A209" s="147">
        <f>IF(historico_VU!A157="","",historico_VU!A157)</f>
        <v/>
      </c>
      <c r="B209" s="148">
        <f>IF(A209="","",historico_VU!B157)</f>
        <v/>
      </c>
      <c r="C209" s="149">
        <f>IF(A209="","",historico_VU!C157)</f>
        <v/>
      </c>
      <c r="D209" s="149">
        <f>IF(A209="","",historico_VU!D157)</f>
        <v/>
      </c>
      <c r="E209" s="149">
        <f>IF(A209="","",historico_VU!E157)</f>
        <v/>
      </c>
      <c r="F209" s="149">
        <f>IF(A209="","",historico_VU!F157)</f>
        <v/>
      </c>
      <c r="G209" s="149">
        <f>IF(A209="","",historico_VU!G157)</f>
        <v/>
      </c>
      <c r="H209" s="150">
        <f>IF(A209="","",historico_VU!H157)</f>
        <v/>
      </c>
      <c r="I209" s="62" t="n"/>
      <c r="J209" s="147">
        <f>IF(itens_Remanesc!A157="","",itens_Remanesc!A157)</f>
        <v/>
      </c>
      <c r="K209" s="148">
        <f>IF(J209="","",IF($F$4="C0",itens_Remanesc!B157,IF($F$4="C1",itens_Remanesc!E157,IF($F$4="C2",itens_Remanesc!G157,IF($F$4="C3",itens_Remanesc!I157,itens_Remanesc!K157)))))</f>
        <v/>
      </c>
      <c r="L209" s="148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372">
        <f>IF(J209="","",itens_Remanesc!C157)</f>
        <v/>
      </c>
      <c r="N209" s="372">
        <f>IF(J209="","",IF($F$4="C0",historico_VU!C157,IF($F$4="C1",historico_VU!D157,IF($F$4="C2",historico_VU!E157,IF($F$4="C3",historico_VU!F157,historico_VU!G157)))))</f>
        <v/>
      </c>
      <c r="O209" s="372">
        <f>IF(J209="","",IF(OR($B$4="Financeiro",$B$4="PCs"),IF(OR(K209="",M209=""),"",ROUND(K209*M209,2)),IF($B$4="Itens",IF(OR(L209="",M209=""),"",ROUND(L209*M209,2)),"")))</f>
        <v/>
      </c>
      <c r="P209" s="372">
        <f>IF(J209="","",IF(OR($B$4="Financeiro",$B$4="PCs"),IF(OR(K209="",N209=""),"",ROUND(K209*N209,2)),IF($B$4="Itens",IF(OR(L209="",N209=""),"",ROUND(L209*N209,2)),"")))</f>
        <v/>
      </c>
      <c r="Q209" s="152">
        <f>IF(J209="","",IF(OR(M209="",AND(OR($B$4="Financeiro",$B$4="PCs"),K209=""),AND($B$4="Itens",L209="")),"INCOMPLETO",IF(AND(ISNUMBER(K209),ISNUMBER(L209),ABS(K209-L209)/MAX(ABS(IF(OR($B$4="Financeiro",$B$4="PCs"),K209,L209)),1)&gt;$D$4),"DIVERGENTE","OK")))</f>
        <v/>
      </c>
    </row>
    <row r="210" hidden="1" outlineLevel="1" s="289">
      <c r="A210" s="147">
        <f>IF(historico_VU!A158="","",historico_VU!A158)</f>
        <v/>
      </c>
      <c r="B210" s="148">
        <f>IF(A210="","",historico_VU!B158)</f>
        <v/>
      </c>
      <c r="C210" s="149">
        <f>IF(A210="","",historico_VU!C158)</f>
        <v/>
      </c>
      <c r="D210" s="149">
        <f>IF(A210="","",historico_VU!D158)</f>
        <v/>
      </c>
      <c r="E210" s="149">
        <f>IF(A210="","",historico_VU!E158)</f>
        <v/>
      </c>
      <c r="F210" s="149">
        <f>IF(A210="","",historico_VU!F158)</f>
        <v/>
      </c>
      <c r="G210" s="149">
        <f>IF(A210="","",historico_VU!G158)</f>
        <v/>
      </c>
      <c r="H210" s="150">
        <f>IF(A210="","",historico_VU!H158)</f>
        <v/>
      </c>
      <c r="I210" s="62" t="n"/>
      <c r="J210" s="147">
        <f>IF(itens_Remanesc!A158="","",itens_Remanesc!A158)</f>
        <v/>
      </c>
      <c r="K210" s="148">
        <f>IF(J210="","",IF($F$4="C0",itens_Remanesc!B158,IF($F$4="C1",itens_Remanesc!E158,IF($F$4="C2",itens_Remanesc!G158,IF($F$4="C3",itens_Remanesc!I158,itens_Remanesc!K158)))))</f>
        <v/>
      </c>
      <c r="L210" s="148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372">
        <f>IF(J210="","",itens_Remanesc!C158)</f>
        <v/>
      </c>
      <c r="N210" s="372">
        <f>IF(J210="","",IF($F$4="C0",historico_VU!C158,IF($F$4="C1",historico_VU!D158,IF($F$4="C2",historico_VU!E158,IF($F$4="C3",historico_VU!F158,historico_VU!G158)))))</f>
        <v/>
      </c>
      <c r="O210" s="372">
        <f>IF(J210="","",IF(OR($B$4="Financeiro",$B$4="PCs"),IF(OR(K210="",M210=""),"",ROUND(K210*M210,2)),IF($B$4="Itens",IF(OR(L210="",M210=""),"",ROUND(L210*M210,2)),"")))</f>
        <v/>
      </c>
      <c r="P210" s="372">
        <f>IF(J210="","",IF(OR($B$4="Financeiro",$B$4="PCs"),IF(OR(K210="",N210=""),"",ROUND(K210*N210,2)),IF($B$4="Itens",IF(OR(L210="",N210=""),"",ROUND(L210*N210,2)),"")))</f>
        <v/>
      </c>
      <c r="Q210" s="152">
        <f>IF(J210="","",IF(OR(M210="",AND(OR($B$4="Financeiro",$B$4="PCs"),K210=""),AND($B$4="Itens",L210="")),"INCOMPLETO",IF(AND(ISNUMBER(K210),ISNUMBER(L210),ABS(K210-L210)/MAX(ABS(IF(OR($B$4="Financeiro",$B$4="PCs"),K210,L210)),1)&gt;$D$4),"DIVERGENTE","OK")))</f>
        <v/>
      </c>
    </row>
    <row r="211" hidden="1" outlineLevel="1" s="289">
      <c r="A211" s="147">
        <f>IF(historico_VU!A159="","",historico_VU!A159)</f>
        <v/>
      </c>
      <c r="B211" s="148">
        <f>IF(A211="","",historico_VU!B159)</f>
        <v/>
      </c>
      <c r="C211" s="149">
        <f>IF(A211="","",historico_VU!C159)</f>
        <v/>
      </c>
      <c r="D211" s="149">
        <f>IF(A211="","",historico_VU!D159)</f>
        <v/>
      </c>
      <c r="E211" s="149">
        <f>IF(A211="","",historico_VU!E159)</f>
        <v/>
      </c>
      <c r="F211" s="149">
        <f>IF(A211="","",historico_VU!F159)</f>
        <v/>
      </c>
      <c r="G211" s="149">
        <f>IF(A211="","",historico_VU!G159)</f>
        <v/>
      </c>
      <c r="H211" s="150">
        <f>IF(A211="","",historico_VU!H159)</f>
        <v/>
      </c>
      <c r="I211" s="62" t="n"/>
      <c r="J211" s="147">
        <f>IF(itens_Remanesc!A159="","",itens_Remanesc!A159)</f>
        <v/>
      </c>
      <c r="K211" s="148">
        <f>IF(J211="","",IF($F$4="C0",itens_Remanesc!B159,IF($F$4="C1",itens_Remanesc!E159,IF($F$4="C2",itens_Remanesc!G159,IF($F$4="C3",itens_Remanesc!I159,itens_Remanesc!K159)))))</f>
        <v/>
      </c>
      <c r="L211" s="148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372">
        <f>IF(J211="","",itens_Remanesc!C159)</f>
        <v/>
      </c>
      <c r="N211" s="372">
        <f>IF(J211="","",IF($F$4="C0",historico_VU!C159,IF($F$4="C1",historico_VU!D159,IF($F$4="C2",historico_VU!E159,IF($F$4="C3",historico_VU!F159,historico_VU!G159)))))</f>
        <v/>
      </c>
      <c r="O211" s="372">
        <f>IF(J211="","",IF(OR($B$4="Financeiro",$B$4="PCs"),IF(OR(K211="",M211=""),"",ROUND(K211*M211,2)),IF($B$4="Itens",IF(OR(L211="",M211=""),"",ROUND(L211*M211,2)),"")))</f>
        <v/>
      </c>
      <c r="P211" s="372">
        <f>IF(J211="","",IF(OR($B$4="Financeiro",$B$4="PCs"),IF(OR(K211="",N211=""),"",ROUND(K211*N211,2)),IF($B$4="Itens",IF(OR(L211="",N211=""),"",ROUND(L211*N211,2)),"")))</f>
        <v/>
      </c>
      <c r="Q211" s="152">
        <f>IF(J211="","",IF(OR(M211="",AND(OR($B$4="Financeiro",$B$4="PCs"),K211=""),AND($B$4="Itens",L211="")),"INCOMPLETO",IF(AND(ISNUMBER(K211),ISNUMBER(L211),ABS(K211-L211)/MAX(ABS(IF(OR($B$4="Financeiro",$B$4="PCs"),K211,L211)),1)&gt;$D$4),"DIVERGENTE","OK")))</f>
        <v/>
      </c>
    </row>
    <row r="212" hidden="1" outlineLevel="1" s="289">
      <c r="A212" s="147">
        <f>IF(historico_VU!A160="","",historico_VU!A160)</f>
        <v/>
      </c>
      <c r="B212" s="148">
        <f>IF(A212="","",historico_VU!B160)</f>
        <v/>
      </c>
      <c r="C212" s="149">
        <f>IF(A212="","",historico_VU!C160)</f>
        <v/>
      </c>
      <c r="D212" s="149">
        <f>IF(A212="","",historico_VU!D160)</f>
        <v/>
      </c>
      <c r="E212" s="149">
        <f>IF(A212="","",historico_VU!E160)</f>
        <v/>
      </c>
      <c r="F212" s="149">
        <f>IF(A212="","",historico_VU!F160)</f>
        <v/>
      </c>
      <c r="G212" s="149">
        <f>IF(A212="","",historico_VU!G160)</f>
        <v/>
      </c>
      <c r="H212" s="150">
        <f>IF(A212="","",historico_VU!H160)</f>
        <v/>
      </c>
      <c r="I212" s="62" t="n"/>
      <c r="J212" s="147">
        <f>IF(itens_Remanesc!A160="","",itens_Remanesc!A160)</f>
        <v/>
      </c>
      <c r="K212" s="148">
        <f>IF(J212="","",IF($F$4="C0",itens_Remanesc!B160,IF($F$4="C1",itens_Remanesc!E160,IF($F$4="C2",itens_Remanesc!G160,IF($F$4="C3",itens_Remanesc!I160,itens_Remanesc!K160)))))</f>
        <v/>
      </c>
      <c r="L212" s="148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372">
        <f>IF(J212="","",itens_Remanesc!C160)</f>
        <v/>
      </c>
      <c r="N212" s="372">
        <f>IF(J212="","",IF($F$4="C0",historico_VU!C160,IF($F$4="C1",historico_VU!D160,IF($F$4="C2",historico_VU!E160,IF($F$4="C3",historico_VU!F160,historico_VU!G160)))))</f>
        <v/>
      </c>
      <c r="O212" s="372">
        <f>IF(J212="","",IF(OR($B$4="Financeiro",$B$4="PCs"),IF(OR(K212="",M212=""),"",ROUND(K212*M212,2)),IF($B$4="Itens",IF(OR(L212="",M212=""),"",ROUND(L212*M212,2)),"")))</f>
        <v/>
      </c>
      <c r="P212" s="372">
        <f>IF(J212="","",IF(OR($B$4="Financeiro",$B$4="PCs"),IF(OR(K212="",N212=""),"",ROUND(K212*N212,2)),IF($B$4="Itens",IF(OR(L212="",N212=""),"",ROUND(L212*N212,2)),"")))</f>
        <v/>
      </c>
      <c r="Q212" s="152">
        <f>IF(J212="","",IF(OR(M212="",AND(OR($B$4="Financeiro",$B$4="PCs"),K212=""),AND($B$4="Itens",L212="")),"INCOMPLETO",IF(AND(ISNUMBER(K212),ISNUMBER(L212),ABS(K212-L212)/MAX(ABS(IF(OR($B$4="Financeiro",$B$4="PCs"),K212,L212)),1)&gt;$D$4),"DIVERGENTE","OK")))</f>
        <v/>
      </c>
    </row>
    <row r="213" hidden="1" outlineLevel="1" s="289">
      <c r="A213" s="147">
        <f>IF(historico_VU!A161="","",historico_VU!A161)</f>
        <v/>
      </c>
      <c r="B213" s="148">
        <f>IF(A213="","",historico_VU!B161)</f>
        <v/>
      </c>
      <c r="C213" s="149">
        <f>IF(A213="","",historico_VU!C161)</f>
        <v/>
      </c>
      <c r="D213" s="149">
        <f>IF(A213="","",historico_VU!D161)</f>
        <v/>
      </c>
      <c r="E213" s="149">
        <f>IF(A213="","",historico_VU!E161)</f>
        <v/>
      </c>
      <c r="F213" s="149">
        <f>IF(A213="","",historico_VU!F161)</f>
        <v/>
      </c>
      <c r="G213" s="149">
        <f>IF(A213="","",historico_VU!G161)</f>
        <v/>
      </c>
      <c r="H213" s="150">
        <f>IF(A213="","",historico_VU!H161)</f>
        <v/>
      </c>
      <c r="I213" s="62" t="n"/>
      <c r="J213" s="147">
        <f>IF(itens_Remanesc!A161="","",itens_Remanesc!A161)</f>
        <v/>
      </c>
      <c r="K213" s="148">
        <f>IF(J213="","",IF($F$4="C0",itens_Remanesc!B161,IF($F$4="C1",itens_Remanesc!E161,IF($F$4="C2",itens_Remanesc!G161,IF($F$4="C3",itens_Remanesc!I161,itens_Remanesc!K161)))))</f>
        <v/>
      </c>
      <c r="L213" s="148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372">
        <f>IF(J213="","",itens_Remanesc!C161)</f>
        <v/>
      </c>
      <c r="N213" s="372">
        <f>IF(J213="","",IF($F$4="C0",historico_VU!C161,IF($F$4="C1",historico_VU!D161,IF($F$4="C2",historico_VU!E161,IF($F$4="C3",historico_VU!F161,historico_VU!G161)))))</f>
        <v/>
      </c>
      <c r="O213" s="372">
        <f>IF(J213="","",IF(OR($B$4="Financeiro",$B$4="PCs"),IF(OR(K213="",M213=""),"",ROUND(K213*M213,2)),IF($B$4="Itens",IF(OR(L213="",M213=""),"",ROUND(L213*M213,2)),"")))</f>
        <v/>
      </c>
      <c r="P213" s="372">
        <f>IF(J213="","",IF(OR($B$4="Financeiro",$B$4="PCs"),IF(OR(K213="",N213=""),"",ROUND(K213*N213,2)),IF($B$4="Itens",IF(OR(L213="",N213=""),"",ROUND(L213*N213,2)),"")))</f>
        <v/>
      </c>
      <c r="Q213" s="152">
        <f>IF(J213="","",IF(OR(M213="",AND(OR($B$4="Financeiro",$B$4="PCs"),K213=""),AND($B$4="Itens",L213="")),"INCOMPLETO",IF(AND(ISNUMBER(K213),ISNUMBER(L213),ABS(K213-L213)/MAX(ABS(IF(OR($B$4="Financeiro",$B$4="PCs"),K213,L213)),1)&gt;$D$4),"DIVERGENTE","OK")))</f>
        <v/>
      </c>
    </row>
    <row r="214" hidden="1" outlineLevel="1" s="289">
      <c r="A214" s="147">
        <f>IF(historico_VU!A162="","",historico_VU!A162)</f>
        <v/>
      </c>
      <c r="B214" s="148">
        <f>IF(A214="","",historico_VU!B162)</f>
        <v/>
      </c>
      <c r="C214" s="149">
        <f>IF(A214="","",historico_VU!C162)</f>
        <v/>
      </c>
      <c r="D214" s="149">
        <f>IF(A214="","",historico_VU!D162)</f>
        <v/>
      </c>
      <c r="E214" s="149">
        <f>IF(A214="","",historico_VU!E162)</f>
        <v/>
      </c>
      <c r="F214" s="149">
        <f>IF(A214="","",historico_VU!F162)</f>
        <v/>
      </c>
      <c r="G214" s="149">
        <f>IF(A214="","",historico_VU!G162)</f>
        <v/>
      </c>
      <c r="H214" s="150">
        <f>IF(A214="","",historico_VU!H162)</f>
        <v/>
      </c>
      <c r="I214" s="62" t="n"/>
      <c r="J214" s="147">
        <f>IF(itens_Remanesc!A162="","",itens_Remanesc!A162)</f>
        <v/>
      </c>
      <c r="K214" s="148">
        <f>IF(J214="","",IF($F$4="C0",itens_Remanesc!B162,IF($F$4="C1",itens_Remanesc!E162,IF($F$4="C2",itens_Remanesc!G162,IF($F$4="C3",itens_Remanesc!I162,itens_Remanesc!K162)))))</f>
        <v/>
      </c>
      <c r="L214" s="148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372">
        <f>IF(J214="","",itens_Remanesc!C162)</f>
        <v/>
      </c>
      <c r="N214" s="372">
        <f>IF(J214="","",IF($F$4="C0",historico_VU!C162,IF($F$4="C1",historico_VU!D162,IF($F$4="C2",historico_VU!E162,IF($F$4="C3",historico_VU!F162,historico_VU!G162)))))</f>
        <v/>
      </c>
      <c r="O214" s="372">
        <f>IF(J214="","",IF(OR($B$4="Financeiro",$B$4="PCs"),IF(OR(K214="",M214=""),"",ROUND(K214*M214,2)),IF($B$4="Itens",IF(OR(L214="",M214=""),"",ROUND(L214*M214,2)),"")))</f>
        <v/>
      </c>
      <c r="P214" s="372">
        <f>IF(J214="","",IF(OR($B$4="Financeiro",$B$4="PCs"),IF(OR(K214="",N214=""),"",ROUND(K214*N214,2)),IF($B$4="Itens",IF(OR(L214="",N214=""),"",ROUND(L214*N214,2)),"")))</f>
        <v/>
      </c>
      <c r="Q214" s="152">
        <f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hidden="1" outlineLevel="1" s="289">
      <c r="A215" s="147">
        <f>IF(historico_VU!A163="","",historico_VU!A163)</f>
        <v/>
      </c>
      <c r="B215" s="148">
        <f>IF(A215="","",historico_VU!B163)</f>
        <v/>
      </c>
      <c r="C215" s="149">
        <f>IF(A215="","",historico_VU!C163)</f>
        <v/>
      </c>
      <c r="D215" s="149">
        <f>IF(A215="","",historico_VU!D163)</f>
        <v/>
      </c>
      <c r="E215" s="149">
        <f>IF(A215="","",historico_VU!E163)</f>
        <v/>
      </c>
      <c r="F215" s="149">
        <f>IF(A215="","",historico_VU!F163)</f>
        <v/>
      </c>
      <c r="G215" s="149">
        <f>IF(A215="","",historico_VU!G163)</f>
        <v/>
      </c>
      <c r="H215" s="150">
        <f>IF(A215="","",historico_VU!H163)</f>
        <v/>
      </c>
      <c r="I215" s="62" t="n"/>
      <c r="J215" s="147">
        <f>IF(itens_Remanesc!A163="","",itens_Remanesc!A163)</f>
        <v/>
      </c>
      <c r="K215" s="148">
        <f>IF(J215="","",IF($F$4="C0",itens_Remanesc!B163,IF($F$4="C1",itens_Remanesc!E163,IF($F$4="C2",itens_Remanesc!G163,IF($F$4="C3",itens_Remanesc!I163,itens_Remanesc!K163)))))</f>
        <v/>
      </c>
      <c r="L215" s="148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372">
        <f>IF(J215="","",itens_Remanesc!C163)</f>
        <v/>
      </c>
      <c r="N215" s="372">
        <f>IF(J215="","",IF($F$4="C0",historico_VU!C163,IF($F$4="C1",historico_VU!D163,IF($F$4="C2",historico_VU!E163,IF($F$4="C3",historico_VU!F163,historico_VU!G163)))))</f>
        <v/>
      </c>
      <c r="O215" s="372">
        <f>IF(J215="","",IF(OR($B$4="Financeiro",$B$4="PCs"),IF(OR(K215="",M215=""),"",ROUND(K215*M215,2)),IF($B$4="Itens",IF(OR(L215="",M215=""),"",ROUND(L215*M215,2)),"")))</f>
        <v/>
      </c>
      <c r="P215" s="372">
        <f>IF(J215="","",IF(OR($B$4="Financeiro",$B$4="PCs"),IF(OR(K215="",N215=""),"",ROUND(K215*N215,2)),IF($B$4="Itens",IF(OR(L215="",N215=""),"",ROUND(L215*N215,2)),"")))</f>
        <v/>
      </c>
      <c r="Q215" s="152">
        <f>IF(J215="","",IF(OR(M215="",AND(OR($B$4="Financeiro",$B$4="PCs"),K215=""),AND($B$4="Itens",L215="")),"INCOMPLETO",IF(AND(ISNUMBER(K215),ISNUMBER(L215),ABS(K215-L215)/MAX(ABS(IF(OR($B$4="Financeiro",$B$4="PCs"),K215,L215)),1)&gt;$D$4),"DIVERGENTE","OK")))</f>
        <v/>
      </c>
    </row>
    <row r="216" hidden="1" outlineLevel="1" s="289">
      <c r="A216" s="147">
        <f>IF(historico_VU!A164="","",historico_VU!A164)</f>
        <v/>
      </c>
      <c r="B216" s="148">
        <f>IF(A216="","",historico_VU!B164)</f>
        <v/>
      </c>
      <c r="C216" s="149">
        <f>IF(A216="","",historico_VU!C164)</f>
        <v/>
      </c>
      <c r="D216" s="149">
        <f>IF(A216="","",historico_VU!D164)</f>
        <v/>
      </c>
      <c r="E216" s="149">
        <f>IF(A216="","",historico_VU!E164)</f>
        <v/>
      </c>
      <c r="F216" s="149">
        <f>IF(A216="","",historico_VU!F164)</f>
        <v/>
      </c>
      <c r="G216" s="149">
        <f>IF(A216="","",historico_VU!G164)</f>
        <v/>
      </c>
      <c r="H216" s="150">
        <f>IF(A216="","",historico_VU!H164)</f>
        <v/>
      </c>
      <c r="I216" s="62" t="n"/>
      <c r="J216" s="147">
        <f>IF(itens_Remanesc!A164="","",itens_Remanesc!A164)</f>
        <v/>
      </c>
      <c r="K216" s="148">
        <f>IF(J216="","",IF($F$4="C0",itens_Remanesc!B164,IF($F$4="C1",itens_Remanesc!E164,IF($F$4="C2",itens_Remanesc!G164,IF($F$4="C3",itens_Remanesc!I164,itens_Remanesc!K164)))))</f>
        <v/>
      </c>
      <c r="L216" s="148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372">
        <f>IF(J216="","",itens_Remanesc!C164)</f>
        <v/>
      </c>
      <c r="N216" s="372">
        <f>IF(J216="","",IF($F$4="C0",historico_VU!C164,IF($F$4="C1",historico_VU!D164,IF($F$4="C2",historico_VU!E164,IF($F$4="C3",historico_VU!F164,historico_VU!G164)))))</f>
        <v/>
      </c>
      <c r="O216" s="372">
        <f>IF(J216="","",IF(OR($B$4="Financeiro",$B$4="PCs"),IF(OR(K216="",M216=""),"",ROUND(K216*M216,2)),IF($B$4="Itens",IF(OR(L216="",M216=""),"",ROUND(L216*M216,2)),"")))</f>
        <v/>
      </c>
      <c r="P216" s="372">
        <f>IF(J216="","",IF(OR($B$4="Financeiro",$B$4="PCs"),IF(OR(K216="",N216=""),"",ROUND(K216*N216,2)),IF($B$4="Itens",IF(OR(L216="",N216=""),"",ROUND(L216*N216,2)),"")))</f>
        <v/>
      </c>
      <c r="Q216" s="152">
        <f>IF(J216="","",IF(OR(M216="",AND(OR($B$4="Financeiro",$B$4="PCs"),K216=""),AND($B$4="Itens",L216="")),"INCOMPLETO",IF(AND(ISNUMBER(K216),ISNUMBER(L216),ABS(K216-L216)/MAX(ABS(IF(OR($B$4="Financeiro",$B$4="PCs"),K216,L216)),1)&gt;$D$4),"DIVERGENTE","OK")))</f>
        <v/>
      </c>
    </row>
    <row r="217" hidden="1" outlineLevel="1" s="289">
      <c r="A217" s="147">
        <f>IF(historico_VU!A165="","",historico_VU!A165)</f>
        <v/>
      </c>
      <c r="B217" s="148">
        <f>IF(A217="","",historico_VU!B165)</f>
        <v/>
      </c>
      <c r="C217" s="149">
        <f>IF(A217="","",historico_VU!C165)</f>
        <v/>
      </c>
      <c r="D217" s="149">
        <f>IF(A217="","",historico_VU!D165)</f>
        <v/>
      </c>
      <c r="E217" s="149">
        <f>IF(A217="","",historico_VU!E165)</f>
        <v/>
      </c>
      <c r="F217" s="149">
        <f>IF(A217="","",historico_VU!F165)</f>
        <v/>
      </c>
      <c r="G217" s="149">
        <f>IF(A217="","",historico_VU!G165)</f>
        <v/>
      </c>
      <c r="H217" s="150">
        <f>IF(A217="","",historico_VU!H165)</f>
        <v/>
      </c>
      <c r="I217" s="62" t="n"/>
      <c r="J217" s="147">
        <f>IF(itens_Remanesc!A165="","",itens_Remanesc!A165)</f>
        <v/>
      </c>
      <c r="K217" s="148">
        <f>IF(J217="","",IF($F$4="C0",itens_Remanesc!B165,IF($F$4="C1",itens_Remanesc!E165,IF($F$4="C2",itens_Remanesc!G165,IF($F$4="C3",itens_Remanesc!I165,itens_Remanesc!K165)))))</f>
        <v/>
      </c>
      <c r="L217" s="148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372">
        <f>IF(J217="","",itens_Remanesc!C165)</f>
        <v/>
      </c>
      <c r="N217" s="372">
        <f>IF(J217="","",IF($F$4="C0",historico_VU!C165,IF($F$4="C1",historico_VU!D165,IF($F$4="C2",historico_VU!E165,IF($F$4="C3",historico_VU!F165,historico_VU!G165)))))</f>
        <v/>
      </c>
      <c r="O217" s="372">
        <f>IF(J217="","",IF(OR($B$4="Financeiro",$B$4="PCs"),IF(OR(K217="",M217=""),"",ROUND(K217*M217,2)),IF($B$4="Itens",IF(OR(L217="",M217=""),"",ROUND(L217*M217,2)),"")))</f>
        <v/>
      </c>
      <c r="P217" s="372">
        <f>IF(J217="","",IF(OR($B$4="Financeiro",$B$4="PCs"),IF(OR(K217="",N217=""),"",ROUND(K217*N217,2)),IF($B$4="Itens",IF(OR(L217="",N217=""),"",ROUND(L217*N217,2)),"")))</f>
        <v/>
      </c>
      <c r="Q217" s="152">
        <f>IF(J217="","",IF(OR(M217="",AND(OR($B$4="Financeiro",$B$4="PCs"),K217=""),AND($B$4="Itens",L217="")),"INCOMPLETO",IF(AND(ISNUMBER(K217),ISNUMBER(L217),ABS(K217-L217)/MAX(ABS(IF(OR($B$4="Financeiro",$B$4="PCs"),K217,L217)),1)&gt;$D$4),"DIVERGENTE","OK")))</f>
        <v/>
      </c>
    </row>
    <row r="218" hidden="1" outlineLevel="1" s="289">
      <c r="A218" s="147">
        <f>IF(historico_VU!A166="","",historico_VU!A166)</f>
        <v/>
      </c>
      <c r="B218" s="148">
        <f>IF(A218="","",historico_VU!B166)</f>
        <v/>
      </c>
      <c r="C218" s="149">
        <f>IF(A218="","",historico_VU!C166)</f>
        <v/>
      </c>
      <c r="D218" s="149">
        <f>IF(A218="","",historico_VU!D166)</f>
        <v/>
      </c>
      <c r="E218" s="149">
        <f>IF(A218="","",historico_VU!E166)</f>
        <v/>
      </c>
      <c r="F218" s="149">
        <f>IF(A218="","",historico_VU!F166)</f>
        <v/>
      </c>
      <c r="G218" s="149">
        <f>IF(A218="","",historico_VU!G166)</f>
        <v/>
      </c>
      <c r="H218" s="150">
        <f>IF(A218="","",historico_VU!H166)</f>
        <v/>
      </c>
      <c r="I218" s="62" t="n"/>
      <c r="J218" s="147">
        <f>IF(itens_Remanesc!A166="","",itens_Remanesc!A166)</f>
        <v/>
      </c>
      <c r="K218" s="148">
        <f>IF(J218="","",IF($F$4="C0",itens_Remanesc!B166,IF($F$4="C1",itens_Remanesc!E166,IF($F$4="C2",itens_Remanesc!G166,IF($F$4="C3",itens_Remanesc!I166,itens_Remanesc!K166)))))</f>
        <v/>
      </c>
      <c r="L218" s="148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372">
        <f>IF(J218="","",itens_Remanesc!C166)</f>
        <v/>
      </c>
      <c r="N218" s="372">
        <f>IF(J218="","",IF($F$4="C0",historico_VU!C166,IF($F$4="C1",historico_VU!D166,IF($F$4="C2",historico_VU!E166,IF($F$4="C3",historico_VU!F166,historico_VU!G166)))))</f>
        <v/>
      </c>
      <c r="O218" s="372">
        <f>IF(J218="","",IF(OR($B$4="Financeiro",$B$4="PCs"),IF(OR(K218="",M218=""),"",ROUND(K218*M218,2)),IF($B$4="Itens",IF(OR(L218="",M218=""),"",ROUND(L218*M218,2)),"")))</f>
        <v/>
      </c>
      <c r="P218" s="372">
        <f>IF(J218="","",IF(OR($B$4="Financeiro",$B$4="PCs"),IF(OR(K218="",N218=""),"",ROUND(K218*N218,2)),IF($B$4="Itens",IF(OR(L218="",N218=""),"",ROUND(L218*N218,2)),"")))</f>
        <v/>
      </c>
      <c r="Q218" s="152">
        <f>IF(J218="","",IF(OR(M218="",AND(OR($B$4="Financeiro",$B$4="PCs"),K218=""),AND($B$4="Itens",L218="")),"INCOMPLETO",IF(AND(ISNUMBER(K218),ISNUMBER(L218),ABS(K218-L218)/MAX(ABS(IF(OR($B$4="Financeiro",$B$4="PCs"),K218,L218)),1)&gt;$D$4),"DIVERGENTE","OK")))</f>
        <v/>
      </c>
    </row>
    <row r="219" hidden="1" outlineLevel="1" s="289">
      <c r="A219" s="147">
        <f>IF(historico_VU!A167="","",historico_VU!A167)</f>
        <v/>
      </c>
      <c r="B219" s="148">
        <f>IF(A219="","",historico_VU!B167)</f>
        <v/>
      </c>
      <c r="C219" s="149">
        <f>IF(A219="","",historico_VU!C167)</f>
        <v/>
      </c>
      <c r="D219" s="149">
        <f>IF(A219="","",historico_VU!D167)</f>
        <v/>
      </c>
      <c r="E219" s="149">
        <f>IF(A219="","",historico_VU!E167)</f>
        <v/>
      </c>
      <c r="F219" s="149">
        <f>IF(A219="","",historico_VU!F167)</f>
        <v/>
      </c>
      <c r="G219" s="149">
        <f>IF(A219="","",historico_VU!G167)</f>
        <v/>
      </c>
      <c r="H219" s="150">
        <f>IF(A219="","",historico_VU!H167)</f>
        <v/>
      </c>
      <c r="I219" s="62" t="n"/>
      <c r="J219" s="147">
        <f>IF(itens_Remanesc!A167="","",itens_Remanesc!A167)</f>
        <v/>
      </c>
      <c r="K219" s="148">
        <f>IF(J219="","",IF($F$4="C0",itens_Remanesc!B167,IF($F$4="C1",itens_Remanesc!E167,IF($F$4="C2",itens_Remanesc!G167,IF($F$4="C3",itens_Remanesc!I167,itens_Remanesc!K167)))))</f>
        <v/>
      </c>
      <c r="L219" s="148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372">
        <f>IF(J219="","",itens_Remanesc!C167)</f>
        <v/>
      </c>
      <c r="N219" s="372">
        <f>IF(J219="","",IF($F$4="C0",historico_VU!C167,IF($F$4="C1",historico_VU!D167,IF($F$4="C2",historico_VU!E167,IF($F$4="C3",historico_VU!F167,historico_VU!G167)))))</f>
        <v/>
      </c>
      <c r="O219" s="372">
        <f>IF(J219="","",IF(OR($B$4="Financeiro",$B$4="PCs"),IF(OR(K219="",M219=""),"",ROUND(K219*M219,2)),IF($B$4="Itens",IF(OR(L219="",M219=""),"",ROUND(L219*M219,2)),"")))</f>
        <v/>
      </c>
      <c r="P219" s="372">
        <f>IF(J219="","",IF(OR($B$4="Financeiro",$B$4="PCs"),IF(OR(K219="",N219=""),"",ROUND(K219*N219,2)),IF($B$4="Itens",IF(OR(L219="",N219=""),"",ROUND(L219*N219,2)),"")))</f>
        <v/>
      </c>
      <c r="Q219" s="152">
        <f>IF(J219="","",IF(OR(M219="",AND(OR($B$4="Financeiro",$B$4="PCs"),K219=""),AND($B$4="Itens",L219="")),"INCOMPLETO",IF(AND(ISNUMBER(K219),ISNUMBER(L219),ABS(K219-L219)/MAX(ABS(IF(OR($B$4="Financeiro",$B$4="PCs"),K219,L219)),1)&gt;$D$4),"DIVERGENTE","OK")))</f>
        <v/>
      </c>
    </row>
    <row r="220" hidden="1" outlineLevel="1" s="289">
      <c r="A220" s="147">
        <f>IF(historico_VU!A168="","",historico_VU!A168)</f>
        <v/>
      </c>
      <c r="B220" s="148">
        <f>IF(A220="","",historico_VU!B168)</f>
        <v/>
      </c>
      <c r="C220" s="149">
        <f>IF(A220="","",historico_VU!C168)</f>
        <v/>
      </c>
      <c r="D220" s="149">
        <f>IF(A220="","",historico_VU!D168)</f>
        <v/>
      </c>
      <c r="E220" s="149">
        <f>IF(A220="","",historico_VU!E168)</f>
        <v/>
      </c>
      <c r="F220" s="149">
        <f>IF(A220="","",historico_VU!F168)</f>
        <v/>
      </c>
      <c r="G220" s="149">
        <f>IF(A220="","",historico_VU!G168)</f>
        <v/>
      </c>
      <c r="H220" s="150">
        <f>IF(A220="","",historico_VU!H168)</f>
        <v/>
      </c>
      <c r="I220" s="62" t="n"/>
      <c r="J220" s="147">
        <f>IF(itens_Remanesc!A168="","",itens_Remanesc!A168)</f>
        <v/>
      </c>
      <c r="K220" s="148">
        <f>IF(J220="","",IF($F$4="C0",itens_Remanesc!B168,IF($F$4="C1",itens_Remanesc!E168,IF($F$4="C2",itens_Remanesc!G168,IF($F$4="C3",itens_Remanesc!I168,itens_Remanesc!K168)))))</f>
        <v/>
      </c>
      <c r="L220" s="148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372">
        <f>IF(J220="","",itens_Remanesc!C168)</f>
        <v/>
      </c>
      <c r="N220" s="372">
        <f>IF(J220="","",IF($F$4="C0",historico_VU!C168,IF($F$4="C1",historico_VU!D168,IF($F$4="C2",historico_VU!E168,IF($F$4="C3",historico_VU!F168,historico_VU!G168)))))</f>
        <v/>
      </c>
      <c r="O220" s="372">
        <f>IF(J220="","",IF(OR($B$4="Financeiro",$B$4="PCs"),IF(OR(K220="",M220=""),"",ROUND(K220*M220,2)),IF($B$4="Itens",IF(OR(L220="",M220=""),"",ROUND(L220*M220,2)),"")))</f>
        <v/>
      </c>
      <c r="P220" s="372">
        <f>IF(J220="","",IF(OR($B$4="Financeiro",$B$4="PCs"),IF(OR(K220="",N220=""),"",ROUND(K220*N220,2)),IF($B$4="Itens",IF(OR(L220="",N220=""),"",ROUND(L220*N220,2)),"")))</f>
        <v/>
      </c>
      <c r="Q220" s="152">
        <f>IF(J220="","",IF(OR(M220="",AND(OR($B$4="Financeiro",$B$4="PCs"),K220=""),AND($B$4="Itens",L220="")),"INCOMPLETO",IF(AND(ISNUMBER(K220),ISNUMBER(L220),ABS(K220-L220)/MAX(ABS(IF(OR($B$4="Financeiro",$B$4="PCs"),K220,L220)),1)&gt;$D$4),"DIVERGENTE","OK")))</f>
        <v/>
      </c>
    </row>
    <row r="221" hidden="1" outlineLevel="1" s="289">
      <c r="A221" s="147">
        <f>IF(historico_VU!A169="","",historico_VU!A169)</f>
        <v/>
      </c>
      <c r="B221" s="148">
        <f>IF(A221="","",historico_VU!B169)</f>
        <v/>
      </c>
      <c r="C221" s="149">
        <f>IF(A221="","",historico_VU!C169)</f>
        <v/>
      </c>
      <c r="D221" s="149">
        <f>IF(A221="","",historico_VU!D169)</f>
        <v/>
      </c>
      <c r="E221" s="149">
        <f>IF(A221="","",historico_VU!E169)</f>
        <v/>
      </c>
      <c r="F221" s="149">
        <f>IF(A221="","",historico_VU!F169)</f>
        <v/>
      </c>
      <c r="G221" s="149">
        <f>IF(A221="","",historico_VU!G169)</f>
        <v/>
      </c>
      <c r="H221" s="150">
        <f>IF(A221="","",historico_VU!H169)</f>
        <v/>
      </c>
      <c r="I221" s="62" t="n"/>
      <c r="J221" s="147">
        <f>IF(itens_Remanesc!A169="","",itens_Remanesc!A169)</f>
        <v/>
      </c>
      <c r="K221" s="148">
        <f>IF(J221="","",IF($F$4="C0",itens_Remanesc!B169,IF($F$4="C1",itens_Remanesc!E169,IF($F$4="C2",itens_Remanesc!G169,IF($F$4="C3",itens_Remanesc!I169,itens_Remanesc!K169)))))</f>
        <v/>
      </c>
      <c r="L221" s="148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372">
        <f>IF(J221="","",itens_Remanesc!C169)</f>
        <v/>
      </c>
      <c r="N221" s="372">
        <f>IF(J221="","",IF($F$4="C0",historico_VU!C169,IF($F$4="C1",historico_VU!D169,IF($F$4="C2",historico_VU!E169,IF($F$4="C3",historico_VU!F169,historico_VU!G169)))))</f>
        <v/>
      </c>
      <c r="O221" s="372">
        <f>IF(J221="","",IF(OR($B$4="Financeiro",$B$4="PCs"),IF(OR(K221="",M221=""),"",ROUND(K221*M221,2)),IF($B$4="Itens",IF(OR(L221="",M221=""),"",ROUND(L221*M221,2)),"")))</f>
        <v/>
      </c>
      <c r="P221" s="372">
        <f>IF(J221="","",IF(OR($B$4="Financeiro",$B$4="PCs"),IF(OR(K221="",N221=""),"",ROUND(K221*N221,2)),IF($B$4="Itens",IF(OR(L221="",N221=""),"",ROUND(L221*N221,2)),"")))</f>
        <v/>
      </c>
      <c r="Q221" s="152">
        <f>IF(J221="","",IF(OR(M221="",AND(OR($B$4="Financeiro",$B$4="PCs"),K221=""),AND($B$4="Itens",L221="")),"INCOMPLETO",IF(AND(ISNUMBER(K221),ISNUMBER(L221),ABS(K221-L221)/MAX(ABS(IF(OR($B$4="Financeiro",$B$4="PCs"),K221,L221)),1)&gt;$D$4),"DIVERGENTE","OK")))</f>
        <v/>
      </c>
    </row>
    <row r="222" hidden="1" outlineLevel="1" s="289">
      <c r="A222" s="147">
        <f>IF(historico_VU!A170="","",historico_VU!A170)</f>
        <v/>
      </c>
      <c r="B222" s="148">
        <f>IF(A222="","",historico_VU!B170)</f>
        <v/>
      </c>
      <c r="C222" s="149">
        <f>IF(A222="","",historico_VU!C170)</f>
        <v/>
      </c>
      <c r="D222" s="149">
        <f>IF(A222="","",historico_VU!D170)</f>
        <v/>
      </c>
      <c r="E222" s="149">
        <f>IF(A222="","",historico_VU!E170)</f>
        <v/>
      </c>
      <c r="F222" s="149">
        <f>IF(A222="","",historico_VU!F170)</f>
        <v/>
      </c>
      <c r="G222" s="149">
        <f>IF(A222="","",historico_VU!G170)</f>
        <v/>
      </c>
      <c r="H222" s="150">
        <f>IF(A222="","",historico_VU!H170)</f>
        <v/>
      </c>
      <c r="I222" s="62" t="n"/>
      <c r="J222" s="147">
        <f>IF(itens_Remanesc!A170="","",itens_Remanesc!A170)</f>
        <v/>
      </c>
      <c r="K222" s="148">
        <f>IF(J222="","",IF($F$4="C0",itens_Remanesc!B170,IF($F$4="C1",itens_Remanesc!E170,IF($F$4="C2",itens_Remanesc!G170,IF($F$4="C3",itens_Remanesc!I170,itens_Remanesc!K170)))))</f>
        <v/>
      </c>
      <c r="L222" s="148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372">
        <f>IF(J222="","",itens_Remanesc!C170)</f>
        <v/>
      </c>
      <c r="N222" s="372">
        <f>IF(J222="","",IF($F$4="C0",historico_VU!C170,IF($F$4="C1",historico_VU!D170,IF($F$4="C2",historico_VU!E170,IF($F$4="C3",historico_VU!F170,historico_VU!G170)))))</f>
        <v/>
      </c>
      <c r="O222" s="372">
        <f>IF(J222="","",IF(OR($B$4="Financeiro",$B$4="PCs"),IF(OR(K222="",M222=""),"",ROUND(K222*M222,2)),IF($B$4="Itens",IF(OR(L222="",M222=""),"",ROUND(L222*M222,2)),"")))</f>
        <v/>
      </c>
      <c r="P222" s="372">
        <f>IF(J222="","",IF(OR($B$4="Financeiro",$B$4="PCs"),IF(OR(K222="",N222=""),"",ROUND(K222*N222,2)),IF($B$4="Itens",IF(OR(L222="",N222=""),"",ROUND(L222*N222,2)),"")))</f>
        <v/>
      </c>
      <c r="Q222" s="152">
        <f>IF(J222="","",IF(OR(M222="",AND(OR($B$4="Financeiro",$B$4="PCs"),K222=""),AND($B$4="Itens",L222="")),"INCOMPLETO",IF(AND(ISNUMBER(K222),ISNUMBER(L222),ABS(K222-L222)/MAX(ABS(IF(OR($B$4="Financeiro",$B$4="PCs"),K222,L222)),1)&gt;$D$4),"DIVERGENTE","OK")))</f>
        <v/>
      </c>
    </row>
    <row r="223" hidden="1" outlineLevel="1" s="289">
      <c r="A223" s="147">
        <f>IF(historico_VU!A171="","",historico_VU!A171)</f>
        <v/>
      </c>
      <c r="B223" s="148">
        <f>IF(A223="","",historico_VU!B171)</f>
        <v/>
      </c>
      <c r="C223" s="149">
        <f>IF(A223="","",historico_VU!C171)</f>
        <v/>
      </c>
      <c r="D223" s="149">
        <f>IF(A223="","",historico_VU!D171)</f>
        <v/>
      </c>
      <c r="E223" s="149">
        <f>IF(A223="","",historico_VU!E171)</f>
        <v/>
      </c>
      <c r="F223" s="149">
        <f>IF(A223="","",historico_VU!F171)</f>
        <v/>
      </c>
      <c r="G223" s="149">
        <f>IF(A223="","",historico_VU!G171)</f>
        <v/>
      </c>
      <c r="H223" s="150">
        <f>IF(A223="","",historico_VU!H171)</f>
        <v/>
      </c>
      <c r="I223" s="62" t="n"/>
      <c r="J223" s="147">
        <f>IF(itens_Remanesc!A171="","",itens_Remanesc!A171)</f>
        <v/>
      </c>
      <c r="K223" s="148">
        <f>IF(J223="","",IF($F$4="C0",itens_Remanesc!B171,IF($F$4="C1",itens_Remanesc!E171,IF($F$4="C2",itens_Remanesc!G171,IF($F$4="C3",itens_Remanesc!I171,itens_Remanesc!K171)))))</f>
        <v/>
      </c>
      <c r="L223" s="148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372">
        <f>IF(J223="","",itens_Remanesc!C171)</f>
        <v/>
      </c>
      <c r="N223" s="372">
        <f>IF(J223="","",IF($F$4="C0",historico_VU!C171,IF($F$4="C1",historico_VU!D171,IF($F$4="C2",historico_VU!E171,IF($F$4="C3",historico_VU!F171,historico_VU!G171)))))</f>
        <v/>
      </c>
      <c r="O223" s="372">
        <f>IF(J223="","",IF(OR($B$4="Financeiro",$B$4="PCs"),IF(OR(K223="",M223=""),"",ROUND(K223*M223,2)),IF($B$4="Itens",IF(OR(L223="",M223=""),"",ROUND(L223*M223,2)),"")))</f>
        <v/>
      </c>
      <c r="P223" s="372">
        <f>IF(J223="","",IF(OR($B$4="Financeiro",$B$4="PCs"),IF(OR(K223="",N223=""),"",ROUND(K223*N223,2)),IF($B$4="Itens",IF(OR(L223="",N223=""),"",ROUND(L223*N223,2)),"")))</f>
        <v/>
      </c>
      <c r="Q223" s="152">
        <f>IF(J223="","",IF(OR(M223="",AND(OR($B$4="Financeiro",$B$4="PCs"),K223=""),AND($B$4="Itens",L223="")),"INCOMPLETO",IF(AND(ISNUMBER(K223),ISNUMBER(L223),ABS(K223-L223)/MAX(ABS(IF(OR($B$4="Financeiro",$B$4="PCs"),K223,L223)),1)&gt;$D$4),"DIVERGENTE","OK")))</f>
        <v/>
      </c>
    </row>
    <row r="224" hidden="1" outlineLevel="1" s="289">
      <c r="A224" s="147">
        <f>IF(historico_VU!A172="","",historico_VU!A172)</f>
        <v/>
      </c>
      <c r="B224" s="148">
        <f>IF(A224="","",historico_VU!B172)</f>
        <v/>
      </c>
      <c r="C224" s="149">
        <f>IF(A224="","",historico_VU!C172)</f>
        <v/>
      </c>
      <c r="D224" s="149">
        <f>IF(A224="","",historico_VU!D172)</f>
        <v/>
      </c>
      <c r="E224" s="149">
        <f>IF(A224="","",historico_VU!E172)</f>
        <v/>
      </c>
      <c r="F224" s="149">
        <f>IF(A224="","",historico_VU!F172)</f>
        <v/>
      </c>
      <c r="G224" s="149">
        <f>IF(A224="","",historico_VU!G172)</f>
        <v/>
      </c>
      <c r="H224" s="150">
        <f>IF(A224="","",historico_VU!H172)</f>
        <v/>
      </c>
      <c r="I224" s="62" t="n"/>
      <c r="J224" s="147">
        <f>IF(itens_Remanesc!A172="","",itens_Remanesc!A172)</f>
        <v/>
      </c>
      <c r="K224" s="148">
        <f>IF(J224="","",IF($F$4="C0",itens_Remanesc!B172,IF($F$4="C1",itens_Remanesc!E172,IF($F$4="C2",itens_Remanesc!G172,IF($F$4="C3",itens_Remanesc!I172,itens_Remanesc!K172)))))</f>
        <v/>
      </c>
      <c r="L224" s="148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372">
        <f>IF(J224="","",itens_Remanesc!C172)</f>
        <v/>
      </c>
      <c r="N224" s="372">
        <f>IF(J224="","",IF($F$4="C0",historico_VU!C172,IF($F$4="C1",historico_VU!D172,IF($F$4="C2",historico_VU!E172,IF($F$4="C3",historico_VU!F172,historico_VU!G172)))))</f>
        <v/>
      </c>
      <c r="O224" s="372">
        <f>IF(J224="","",IF(OR($B$4="Financeiro",$B$4="PCs"),IF(OR(K224="",M224=""),"",ROUND(K224*M224,2)),IF($B$4="Itens",IF(OR(L224="",M224=""),"",ROUND(L224*M224,2)),"")))</f>
        <v/>
      </c>
      <c r="P224" s="372">
        <f>IF(J224="","",IF(OR($B$4="Financeiro",$B$4="PCs"),IF(OR(K224="",N224=""),"",ROUND(K224*N224,2)),IF($B$4="Itens",IF(OR(L224="",N224=""),"",ROUND(L224*N224,2)),"")))</f>
        <v/>
      </c>
      <c r="Q224" s="152">
        <f>IF(J224="","",IF(OR(M224="",AND(OR($B$4="Financeiro",$B$4="PCs"),K224=""),AND($B$4="Itens",L224="")),"INCOMPLETO",IF(AND(ISNUMBER(K224),ISNUMBER(L224),ABS(K224-L224)/MAX(ABS(IF(OR($B$4="Financeiro",$B$4="PCs"),K224,L224)),1)&gt;$D$4),"DIVERGENTE","OK")))</f>
        <v/>
      </c>
    </row>
    <row r="225" hidden="1" outlineLevel="1" s="289">
      <c r="A225" s="147">
        <f>IF(historico_VU!A173="","",historico_VU!A173)</f>
        <v/>
      </c>
      <c r="B225" s="148">
        <f>IF(A225="","",historico_VU!B173)</f>
        <v/>
      </c>
      <c r="C225" s="149">
        <f>IF(A225="","",historico_VU!C173)</f>
        <v/>
      </c>
      <c r="D225" s="149">
        <f>IF(A225="","",historico_VU!D173)</f>
        <v/>
      </c>
      <c r="E225" s="149">
        <f>IF(A225="","",historico_VU!E173)</f>
        <v/>
      </c>
      <c r="F225" s="149">
        <f>IF(A225="","",historico_VU!F173)</f>
        <v/>
      </c>
      <c r="G225" s="149">
        <f>IF(A225="","",historico_VU!G173)</f>
        <v/>
      </c>
      <c r="H225" s="150">
        <f>IF(A225="","",historico_VU!H173)</f>
        <v/>
      </c>
      <c r="I225" s="62" t="n"/>
      <c r="J225" s="147">
        <f>IF(itens_Remanesc!A173="","",itens_Remanesc!A173)</f>
        <v/>
      </c>
      <c r="K225" s="148">
        <f>IF(J225="","",IF($F$4="C0",itens_Remanesc!B173,IF($F$4="C1",itens_Remanesc!E173,IF($F$4="C2",itens_Remanesc!G173,IF($F$4="C3",itens_Remanesc!I173,itens_Remanesc!K173)))))</f>
        <v/>
      </c>
      <c r="L225" s="148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372">
        <f>IF(J225="","",itens_Remanesc!C173)</f>
        <v/>
      </c>
      <c r="N225" s="372">
        <f>IF(J225="","",IF($F$4="C0",historico_VU!C173,IF($F$4="C1",historico_VU!D173,IF($F$4="C2",historico_VU!E173,IF($F$4="C3",historico_VU!F173,historico_VU!G173)))))</f>
        <v/>
      </c>
      <c r="O225" s="372">
        <f>IF(J225="","",IF(OR($B$4="Financeiro",$B$4="PCs"),IF(OR(K225="",M225=""),"",ROUND(K225*M225,2)),IF($B$4="Itens",IF(OR(L225="",M225=""),"",ROUND(L225*M225,2)),"")))</f>
        <v/>
      </c>
      <c r="P225" s="372">
        <f>IF(J225="","",IF(OR($B$4="Financeiro",$B$4="PCs"),IF(OR(K225="",N225=""),"",ROUND(K225*N225,2)),IF($B$4="Itens",IF(OR(L225="",N225=""),"",ROUND(L225*N225,2)),"")))</f>
        <v/>
      </c>
      <c r="Q225" s="152">
        <f>IF(J225="","",IF(OR(M225="",AND(OR($B$4="Financeiro",$B$4="PCs"),K225=""),AND($B$4="Itens",L225="")),"INCOMPLETO",IF(AND(ISNUMBER(K225),ISNUMBER(L225),ABS(K225-L225)/MAX(ABS(IF(OR($B$4="Financeiro",$B$4="PCs"),K225,L225)),1)&gt;$D$4),"DIVERGENTE","OK")))</f>
        <v/>
      </c>
    </row>
    <row r="226" hidden="1" outlineLevel="1" s="289">
      <c r="A226" s="147">
        <f>IF(historico_VU!A174="","",historico_VU!A174)</f>
        <v/>
      </c>
      <c r="B226" s="148">
        <f>IF(A226="","",historico_VU!B174)</f>
        <v/>
      </c>
      <c r="C226" s="149">
        <f>IF(A226="","",historico_VU!C174)</f>
        <v/>
      </c>
      <c r="D226" s="149">
        <f>IF(A226="","",historico_VU!D174)</f>
        <v/>
      </c>
      <c r="E226" s="149">
        <f>IF(A226="","",historico_VU!E174)</f>
        <v/>
      </c>
      <c r="F226" s="149">
        <f>IF(A226="","",historico_VU!F174)</f>
        <v/>
      </c>
      <c r="G226" s="149">
        <f>IF(A226="","",historico_VU!G174)</f>
        <v/>
      </c>
      <c r="H226" s="150">
        <f>IF(A226="","",historico_VU!H174)</f>
        <v/>
      </c>
      <c r="I226" s="62" t="n"/>
      <c r="J226" s="147">
        <f>IF(itens_Remanesc!A174="","",itens_Remanesc!A174)</f>
        <v/>
      </c>
      <c r="K226" s="148">
        <f>IF(J226="","",IF($F$4="C0",itens_Remanesc!B174,IF($F$4="C1",itens_Remanesc!E174,IF($F$4="C2",itens_Remanesc!G174,IF($F$4="C3",itens_Remanesc!I174,itens_Remanesc!K174)))))</f>
        <v/>
      </c>
      <c r="L226" s="148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372">
        <f>IF(J226="","",itens_Remanesc!C174)</f>
        <v/>
      </c>
      <c r="N226" s="372">
        <f>IF(J226="","",IF($F$4="C0",historico_VU!C174,IF($F$4="C1",historico_VU!D174,IF($F$4="C2",historico_VU!E174,IF($F$4="C3",historico_VU!F174,historico_VU!G174)))))</f>
        <v/>
      </c>
      <c r="O226" s="372">
        <f>IF(J226="","",IF(OR($B$4="Financeiro",$B$4="PCs"),IF(OR(K226="",M226=""),"",ROUND(K226*M226,2)),IF($B$4="Itens",IF(OR(L226="",M226=""),"",ROUND(L226*M226,2)),"")))</f>
        <v/>
      </c>
      <c r="P226" s="372">
        <f>IF(J226="","",IF(OR($B$4="Financeiro",$B$4="PCs"),IF(OR(K226="",N226=""),"",ROUND(K226*N226,2)),IF($B$4="Itens",IF(OR(L226="",N226=""),"",ROUND(L226*N226,2)),"")))</f>
        <v/>
      </c>
      <c r="Q226" s="152">
        <f>IF(J226="","",IF(OR(M226="",AND(OR($B$4="Financeiro",$B$4="PCs"),K226=""),AND($B$4="Itens",L226="")),"INCOMPLETO",IF(AND(ISNUMBER(K226),ISNUMBER(L226),ABS(K226-L226)/MAX(ABS(IF(OR($B$4="Financeiro",$B$4="PCs"),K226,L226)),1)&gt;$D$4),"DIVERGENTE","OK")))</f>
        <v/>
      </c>
    </row>
    <row r="227" hidden="1" outlineLevel="1" s="289">
      <c r="A227" s="147">
        <f>IF(historico_VU!A175="","",historico_VU!A175)</f>
        <v/>
      </c>
      <c r="B227" s="148">
        <f>IF(A227="","",historico_VU!B175)</f>
        <v/>
      </c>
      <c r="C227" s="149">
        <f>IF(A227="","",historico_VU!C175)</f>
        <v/>
      </c>
      <c r="D227" s="149">
        <f>IF(A227="","",historico_VU!D175)</f>
        <v/>
      </c>
      <c r="E227" s="149">
        <f>IF(A227="","",historico_VU!E175)</f>
        <v/>
      </c>
      <c r="F227" s="149">
        <f>IF(A227="","",historico_VU!F175)</f>
        <v/>
      </c>
      <c r="G227" s="149">
        <f>IF(A227="","",historico_VU!G175)</f>
        <v/>
      </c>
      <c r="H227" s="150">
        <f>IF(A227="","",historico_VU!H175)</f>
        <v/>
      </c>
      <c r="I227" s="62" t="n"/>
      <c r="J227" s="147">
        <f>IF(itens_Remanesc!A175="","",itens_Remanesc!A175)</f>
        <v/>
      </c>
      <c r="K227" s="148">
        <f>IF(J227="","",IF($F$4="C0",itens_Remanesc!B175,IF($F$4="C1",itens_Remanesc!E175,IF($F$4="C2",itens_Remanesc!G175,IF($F$4="C3",itens_Remanesc!I175,itens_Remanesc!K175)))))</f>
        <v/>
      </c>
      <c r="L227" s="148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372">
        <f>IF(J227="","",itens_Remanesc!C175)</f>
        <v/>
      </c>
      <c r="N227" s="372">
        <f>IF(J227="","",IF($F$4="C0",historico_VU!C175,IF($F$4="C1",historico_VU!D175,IF($F$4="C2",historico_VU!E175,IF($F$4="C3",historico_VU!F175,historico_VU!G175)))))</f>
        <v/>
      </c>
      <c r="O227" s="372">
        <f>IF(J227="","",IF(OR($B$4="Financeiro",$B$4="PCs"),IF(OR(K227="",M227=""),"",ROUND(K227*M227,2)),IF($B$4="Itens",IF(OR(L227="",M227=""),"",ROUND(L227*M227,2)),"")))</f>
        <v/>
      </c>
      <c r="P227" s="372">
        <f>IF(J227="","",IF(OR($B$4="Financeiro",$B$4="PCs"),IF(OR(K227="",N227=""),"",ROUND(K227*N227,2)),IF($B$4="Itens",IF(OR(L227="",N227=""),"",ROUND(L227*N227,2)),"")))</f>
        <v/>
      </c>
      <c r="Q227" s="152">
        <f>IF(J227="","",IF(OR(M227="",AND(OR($B$4="Financeiro",$B$4="PCs"),K227=""),AND($B$4="Itens",L227="")),"INCOMPLETO",IF(AND(ISNUMBER(K227),ISNUMBER(L227),ABS(K227-L227)/MAX(ABS(IF(OR($B$4="Financeiro",$B$4="PCs"),K227,L227)),1)&gt;$D$4),"DIVERGENTE","OK")))</f>
        <v/>
      </c>
    </row>
    <row r="228" hidden="1" outlineLevel="1" s="289">
      <c r="A228" s="147">
        <f>IF(historico_VU!A176="","",historico_VU!A176)</f>
        <v/>
      </c>
      <c r="B228" s="148">
        <f>IF(A228="","",historico_VU!B176)</f>
        <v/>
      </c>
      <c r="C228" s="149">
        <f>IF(A228="","",historico_VU!C176)</f>
        <v/>
      </c>
      <c r="D228" s="149">
        <f>IF(A228="","",historico_VU!D176)</f>
        <v/>
      </c>
      <c r="E228" s="149">
        <f>IF(A228="","",historico_VU!E176)</f>
        <v/>
      </c>
      <c r="F228" s="149">
        <f>IF(A228="","",historico_VU!F176)</f>
        <v/>
      </c>
      <c r="G228" s="149">
        <f>IF(A228="","",historico_VU!G176)</f>
        <v/>
      </c>
      <c r="H228" s="150">
        <f>IF(A228="","",historico_VU!H176)</f>
        <v/>
      </c>
      <c r="I228" s="62" t="n"/>
      <c r="J228" s="147">
        <f>IF(itens_Remanesc!A176="","",itens_Remanesc!A176)</f>
        <v/>
      </c>
      <c r="K228" s="148">
        <f>IF(J228="","",IF($F$4="C0",itens_Remanesc!B176,IF($F$4="C1",itens_Remanesc!E176,IF($F$4="C2",itens_Remanesc!G176,IF($F$4="C3",itens_Remanesc!I176,itens_Remanesc!K176)))))</f>
        <v/>
      </c>
      <c r="L228" s="148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372">
        <f>IF(J228="","",itens_Remanesc!C176)</f>
        <v/>
      </c>
      <c r="N228" s="372">
        <f>IF(J228="","",IF($F$4="C0",historico_VU!C176,IF($F$4="C1",historico_VU!D176,IF($F$4="C2",historico_VU!E176,IF($F$4="C3",historico_VU!F176,historico_VU!G176)))))</f>
        <v/>
      </c>
      <c r="O228" s="372">
        <f>IF(J228="","",IF(OR($B$4="Financeiro",$B$4="PCs"),IF(OR(K228="",M228=""),"",ROUND(K228*M228,2)),IF($B$4="Itens",IF(OR(L228="",M228=""),"",ROUND(L228*M228,2)),"")))</f>
        <v/>
      </c>
      <c r="P228" s="372">
        <f>IF(J228="","",IF(OR($B$4="Financeiro",$B$4="PCs"),IF(OR(K228="",N228=""),"",ROUND(K228*N228,2)),IF($B$4="Itens",IF(OR(L228="",N228=""),"",ROUND(L228*N228,2)),"")))</f>
        <v/>
      </c>
      <c r="Q228" s="152">
        <f>IF(J228="","",IF(OR(M228="",AND(OR($B$4="Financeiro",$B$4="PCs"),K228=""),AND($B$4="Itens",L228="")),"INCOMPLETO",IF(AND(ISNUMBER(K228),ISNUMBER(L228),ABS(K228-L228)/MAX(ABS(IF(OR($B$4="Financeiro",$B$4="PCs"),K228,L228)),1)&gt;$D$4),"DIVERGENTE","OK")))</f>
        <v/>
      </c>
    </row>
    <row r="229" hidden="1" outlineLevel="1" s="289">
      <c r="A229" s="147">
        <f>IF(historico_VU!A177="","",historico_VU!A177)</f>
        <v/>
      </c>
      <c r="B229" s="148">
        <f>IF(A229="","",historico_VU!B177)</f>
        <v/>
      </c>
      <c r="C229" s="149">
        <f>IF(A229="","",historico_VU!C177)</f>
        <v/>
      </c>
      <c r="D229" s="149">
        <f>IF(A229="","",historico_VU!D177)</f>
        <v/>
      </c>
      <c r="E229" s="149">
        <f>IF(A229="","",historico_VU!E177)</f>
        <v/>
      </c>
      <c r="F229" s="149">
        <f>IF(A229="","",historico_VU!F177)</f>
        <v/>
      </c>
      <c r="G229" s="149">
        <f>IF(A229="","",historico_VU!G177)</f>
        <v/>
      </c>
      <c r="H229" s="150">
        <f>IF(A229="","",historico_VU!H177)</f>
        <v/>
      </c>
      <c r="I229" s="62" t="n"/>
      <c r="J229" s="147">
        <f>IF(itens_Remanesc!A177="","",itens_Remanesc!A177)</f>
        <v/>
      </c>
      <c r="K229" s="148">
        <f>IF(J229="","",IF($F$4="C0",itens_Remanesc!B177,IF($F$4="C1",itens_Remanesc!E177,IF($F$4="C2",itens_Remanesc!G177,IF($F$4="C3",itens_Remanesc!I177,itens_Remanesc!K177)))))</f>
        <v/>
      </c>
      <c r="L229" s="148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372">
        <f>IF(J229="","",itens_Remanesc!C177)</f>
        <v/>
      </c>
      <c r="N229" s="372">
        <f>IF(J229="","",IF($F$4="C0",historico_VU!C177,IF($F$4="C1",historico_VU!D177,IF($F$4="C2",historico_VU!E177,IF($F$4="C3",historico_VU!F177,historico_VU!G177)))))</f>
        <v/>
      </c>
      <c r="O229" s="372">
        <f>IF(J229="","",IF(OR($B$4="Financeiro",$B$4="PCs"),IF(OR(K229="",M229=""),"",ROUND(K229*M229,2)),IF($B$4="Itens",IF(OR(L229="",M229=""),"",ROUND(L229*M229,2)),"")))</f>
        <v/>
      </c>
      <c r="P229" s="372">
        <f>IF(J229="","",IF(OR($B$4="Financeiro",$B$4="PCs"),IF(OR(K229="",N229=""),"",ROUND(K229*N229,2)),IF($B$4="Itens",IF(OR(L229="",N229=""),"",ROUND(L229*N229,2)),"")))</f>
        <v/>
      </c>
      <c r="Q229" s="152">
        <f>IF(J229="","",IF(OR(M229="",AND(OR($B$4="Financeiro",$B$4="PCs"),K229=""),AND($B$4="Itens",L229="")),"INCOMPLETO",IF(AND(ISNUMBER(K229),ISNUMBER(L229),ABS(K229-L229)/MAX(ABS(IF(OR($B$4="Financeiro",$B$4="PCs"),K229,L229)),1)&gt;$D$4),"DIVERGENTE","OK")))</f>
        <v/>
      </c>
    </row>
    <row r="230" hidden="1" outlineLevel="1" s="289">
      <c r="A230" s="147">
        <f>IF(historico_VU!A178="","",historico_VU!A178)</f>
        <v/>
      </c>
      <c r="B230" s="148">
        <f>IF(A230="","",historico_VU!B178)</f>
        <v/>
      </c>
      <c r="C230" s="149">
        <f>IF(A230="","",historico_VU!C178)</f>
        <v/>
      </c>
      <c r="D230" s="149">
        <f>IF(A230="","",historico_VU!D178)</f>
        <v/>
      </c>
      <c r="E230" s="149">
        <f>IF(A230="","",historico_VU!E178)</f>
        <v/>
      </c>
      <c r="F230" s="149">
        <f>IF(A230="","",historico_VU!F178)</f>
        <v/>
      </c>
      <c r="G230" s="149">
        <f>IF(A230="","",historico_VU!G178)</f>
        <v/>
      </c>
      <c r="H230" s="150">
        <f>IF(A230="","",historico_VU!H178)</f>
        <v/>
      </c>
      <c r="I230" s="62" t="n"/>
      <c r="J230" s="147">
        <f>IF(itens_Remanesc!A178="","",itens_Remanesc!A178)</f>
        <v/>
      </c>
      <c r="K230" s="148">
        <f>IF(J230="","",IF($F$4="C0",itens_Remanesc!B178,IF($F$4="C1",itens_Remanesc!E178,IF($F$4="C2",itens_Remanesc!G178,IF($F$4="C3",itens_Remanesc!I178,itens_Remanesc!K178)))))</f>
        <v/>
      </c>
      <c r="L230" s="148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372">
        <f>IF(J230="","",itens_Remanesc!C178)</f>
        <v/>
      </c>
      <c r="N230" s="372">
        <f>IF(J230="","",IF($F$4="C0",historico_VU!C178,IF($F$4="C1",historico_VU!D178,IF($F$4="C2",historico_VU!E178,IF($F$4="C3",historico_VU!F178,historico_VU!G178)))))</f>
        <v/>
      </c>
      <c r="O230" s="372">
        <f>IF(J230="","",IF(OR($B$4="Financeiro",$B$4="PCs"),IF(OR(K230="",M230=""),"",ROUND(K230*M230,2)),IF($B$4="Itens",IF(OR(L230="",M230=""),"",ROUND(L230*M230,2)),"")))</f>
        <v/>
      </c>
      <c r="P230" s="372">
        <f>IF(J230="","",IF(OR($B$4="Financeiro",$B$4="PCs"),IF(OR(K230="",N230=""),"",ROUND(K230*N230,2)),IF($B$4="Itens",IF(OR(L230="",N230=""),"",ROUND(L230*N230,2)),"")))</f>
        <v/>
      </c>
      <c r="Q230" s="152">
        <f>IF(J230="","",IF(OR(M230="",AND(OR($B$4="Financeiro",$B$4="PCs"),K230=""),AND($B$4="Itens",L230="")),"INCOMPLETO",IF(AND(ISNUMBER(K230),ISNUMBER(L230),ABS(K230-L230)/MAX(ABS(IF(OR($B$4="Financeiro",$B$4="PCs"),K230,L230)),1)&gt;$D$4),"DIVERGENTE","OK")))</f>
        <v/>
      </c>
    </row>
    <row r="231" hidden="1" outlineLevel="1" s="289">
      <c r="A231" s="147">
        <f>IF(historico_VU!A179="","",historico_VU!A179)</f>
        <v/>
      </c>
      <c r="B231" s="148">
        <f>IF(A231="","",historico_VU!B179)</f>
        <v/>
      </c>
      <c r="C231" s="149">
        <f>IF(A231="","",historico_VU!C179)</f>
        <v/>
      </c>
      <c r="D231" s="149">
        <f>IF(A231="","",historico_VU!D179)</f>
        <v/>
      </c>
      <c r="E231" s="149">
        <f>IF(A231="","",historico_VU!E179)</f>
        <v/>
      </c>
      <c r="F231" s="149">
        <f>IF(A231="","",historico_VU!F179)</f>
        <v/>
      </c>
      <c r="G231" s="149">
        <f>IF(A231="","",historico_VU!G179)</f>
        <v/>
      </c>
      <c r="H231" s="150">
        <f>IF(A231="","",historico_VU!H179)</f>
        <v/>
      </c>
      <c r="I231" s="62" t="n"/>
      <c r="J231" s="147">
        <f>IF(itens_Remanesc!A179="","",itens_Remanesc!A179)</f>
        <v/>
      </c>
      <c r="K231" s="148">
        <f>IF(J231="","",IF($F$4="C0",itens_Remanesc!B179,IF($F$4="C1",itens_Remanesc!E179,IF($F$4="C2",itens_Remanesc!G179,IF($F$4="C3",itens_Remanesc!I179,itens_Remanesc!K179)))))</f>
        <v/>
      </c>
      <c r="L231" s="148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372">
        <f>IF(J231="","",itens_Remanesc!C179)</f>
        <v/>
      </c>
      <c r="N231" s="372">
        <f>IF(J231="","",IF($F$4="C0",historico_VU!C179,IF($F$4="C1",historico_VU!D179,IF($F$4="C2",historico_VU!E179,IF($F$4="C3",historico_VU!F179,historico_VU!G179)))))</f>
        <v/>
      </c>
      <c r="O231" s="372">
        <f>IF(J231="","",IF(OR($B$4="Financeiro",$B$4="PCs"),IF(OR(K231="",M231=""),"",ROUND(K231*M231,2)),IF($B$4="Itens",IF(OR(L231="",M231=""),"",ROUND(L231*M231,2)),"")))</f>
        <v/>
      </c>
      <c r="P231" s="372">
        <f>IF(J231="","",IF(OR($B$4="Financeiro",$B$4="PCs"),IF(OR(K231="",N231=""),"",ROUND(K231*N231,2)),IF($B$4="Itens",IF(OR(L231="",N231=""),"",ROUND(L231*N231,2)),"")))</f>
        <v/>
      </c>
      <c r="Q231" s="152">
        <f>IF(J231="","",IF(OR(M231="",AND(OR($B$4="Financeiro",$B$4="PCs"),K231=""),AND($B$4="Itens",L231="")),"INCOMPLETO",IF(AND(ISNUMBER(K231),ISNUMBER(L231),ABS(K231-L231)/MAX(ABS(IF(OR($B$4="Financeiro",$B$4="PCs"),K231,L231)),1)&gt;$D$4),"DIVERGENTE","OK")))</f>
        <v/>
      </c>
    </row>
    <row r="232" hidden="1" outlineLevel="1" s="289">
      <c r="A232" s="147">
        <f>IF(historico_VU!A180="","",historico_VU!A180)</f>
        <v/>
      </c>
      <c r="B232" s="148">
        <f>IF(A232="","",historico_VU!B180)</f>
        <v/>
      </c>
      <c r="C232" s="149">
        <f>IF(A232="","",historico_VU!C180)</f>
        <v/>
      </c>
      <c r="D232" s="149">
        <f>IF(A232="","",historico_VU!D180)</f>
        <v/>
      </c>
      <c r="E232" s="149">
        <f>IF(A232="","",historico_VU!E180)</f>
        <v/>
      </c>
      <c r="F232" s="149">
        <f>IF(A232="","",historico_VU!F180)</f>
        <v/>
      </c>
      <c r="G232" s="149">
        <f>IF(A232="","",historico_VU!G180)</f>
        <v/>
      </c>
      <c r="H232" s="150">
        <f>IF(A232="","",historico_VU!H180)</f>
        <v/>
      </c>
      <c r="I232" s="62" t="n"/>
      <c r="J232" s="147">
        <f>IF(itens_Remanesc!A180="","",itens_Remanesc!A180)</f>
        <v/>
      </c>
      <c r="K232" s="148">
        <f>IF(J232="","",IF($F$4="C0",itens_Remanesc!B180,IF($F$4="C1",itens_Remanesc!E180,IF($F$4="C2",itens_Remanesc!G180,IF($F$4="C3",itens_Remanesc!I180,itens_Remanesc!K180)))))</f>
        <v/>
      </c>
      <c r="L232" s="148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372">
        <f>IF(J232="","",itens_Remanesc!C180)</f>
        <v/>
      </c>
      <c r="N232" s="372">
        <f>IF(J232="","",IF($F$4="C0",historico_VU!C180,IF($F$4="C1",historico_VU!D180,IF($F$4="C2",historico_VU!E180,IF($F$4="C3",historico_VU!F180,historico_VU!G180)))))</f>
        <v/>
      </c>
      <c r="O232" s="372">
        <f>IF(J232="","",IF(OR($B$4="Financeiro",$B$4="PCs"),IF(OR(K232="",M232=""),"",ROUND(K232*M232,2)),IF($B$4="Itens",IF(OR(L232="",M232=""),"",ROUND(L232*M232,2)),"")))</f>
        <v/>
      </c>
      <c r="P232" s="372">
        <f>IF(J232="","",IF(OR($B$4="Financeiro",$B$4="PCs"),IF(OR(K232="",N232=""),"",ROUND(K232*N232,2)),IF($B$4="Itens",IF(OR(L232="",N232=""),"",ROUND(L232*N232,2)),"")))</f>
        <v/>
      </c>
      <c r="Q232" s="152">
        <f>IF(J232="","",IF(OR(M232="",AND(OR($B$4="Financeiro",$B$4="PCs"),K232=""),AND($B$4="Itens",L232="")),"INCOMPLETO",IF(AND(ISNUMBER(K232),ISNUMBER(L232),ABS(K232-L232)/MAX(ABS(IF(OR($B$4="Financeiro",$B$4="PCs"),K232,L232)),1)&gt;$D$4),"DIVERGENTE","OK")))</f>
        <v/>
      </c>
    </row>
    <row r="233" hidden="1" outlineLevel="1" s="289">
      <c r="A233" s="147">
        <f>IF(historico_VU!A181="","",historico_VU!A181)</f>
        <v/>
      </c>
      <c r="B233" s="148">
        <f>IF(A233="","",historico_VU!B181)</f>
        <v/>
      </c>
      <c r="C233" s="149">
        <f>IF(A233="","",historico_VU!C181)</f>
        <v/>
      </c>
      <c r="D233" s="149">
        <f>IF(A233="","",historico_VU!D181)</f>
        <v/>
      </c>
      <c r="E233" s="149">
        <f>IF(A233="","",historico_VU!E181)</f>
        <v/>
      </c>
      <c r="F233" s="149">
        <f>IF(A233="","",historico_VU!F181)</f>
        <v/>
      </c>
      <c r="G233" s="149">
        <f>IF(A233="","",historico_VU!G181)</f>
        <v/>
      </c>
      <c r="H233" s="150">
        <f>IF(A233="","",historico_VU!H181)</f>
        <v/>
      </c>
      <c r="I233" s="62" t="n"/>
      <c r="J233" s="147">
        <f>IF(itens_Remanesc!A181="","",itens_Remanesc!A181)</f>
        <v/>
      </c>
      <c r="K233" s="148">
        <f>IF(J233="","",IF($F$4="C0",itens_Remanesc!B181,IF($F$4="C1",itens_Remanesc!E181,IF($F$4="C2",itens_Remanesc!G181,IF($F$4="C3",itens_Remanesc!I181,itens_Remanesc!K181)))))</f>
        <v/>
      </c>
      <c r="L233" s="148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372">
        <f>IF(J233="","",itens_Remanesc!C181)</f>
        <v/>
      </c>
      <c r="N233" s="372">
        <f>IF(J233="","",IF($F$4="C0",historico_VU!C181,IF($F$4="C1",historico_VU!D181,IF($F$4="C2",historico_VU!E181,IF($F$4="C3",historico_VU!F181,historico_VU!G181)))))</f>
        <v/>
      </c>
      <c r="O233" s="372">
        <f>IF(J233="","",IF(OR($B$4="Financeiro",$B$4="PCs"),IF(OR(K233="",M233=""),"",ROUND(K233*M233,2)),IF($B$4="Itens",IF(OR(L233="",M233=""),"",ROUND(L233*M233,2)),"")))</f>
        <v/>
      </c>
      <c r="P233" s="372">
        <f>IF(J233="","",IF(OR($B$4="Financeiro",$B$4="PCs"),IF(OR(K233="",N233=""),"",ROUND(K233*N233,2)),IF($B$4="Itens",IF(OR(L233="",N233=""),"",ROUND(L233*N233,2)),"")))</f>
        <v/>
      </c>
      <c r="Q233" s="152">
        <f>IF(J233="","",IF(OR(M233="",AND(OR($B$4="Financeiro",$B$4="PCs"),K233=""),AND($B$4="Itens",L233="")),"INCOMPLETO",IF(AND(ISNUMBER(K233),ISNUMBER(L233),ABS(K233-L233)/MAX(ABS(IF(OR($B$4="Financeiro",$B$4="PCs"),K233,L233)),1)&gt;$D$4),"DIVERGENTE","OK")))</f>
        <v/>
      </c>
    </row>
    <row r="234" hidden="1" outlineLevel="1" s="289">
      <c r="A234" s="147">
        <f>IF(historico_VU!A182="","",historico_VU!A182)</f>
        <v/>
      </c>
      <c r="B234" s="148">
        <f>IF(A234="","",historico_VU!B182)</f>
        <v/>
      </c>
      <c r="C234" s="149">
        <f>IF(A234="","",historico_VU!C182)</f>
        <v/>
      </c>
      <c r="D234" s="149">
        <f>IF(A234="","",historico_VU!D182)</f>
        <v/>
      </c>
      <c r="E234" s="149">
        <f>IF(A234="","",historico_VU!E182)</f>
        <v/>
      </c>
      <c r="F234" s="149">
        <f>IF(A234="","",historico_VU!F182)</f>
        <v/>
      </c>
      <c r="G234" s="149">
        <f>IF(A234="","",historico_VU!G182)</f>
        <v/>
      </c>
      <c r="H234" s="150">
        <f>IF(A234="","",historico_VU!H182)</f>
        <v/>
      </c>
      <c r="I234" s="62" t="n"/>
      <c r="J234" s="147">
        <f>IF(itens_Remanesc!A182="","",itens_Remanesc!A182)</f>
        <v/>
      </c>
      <c r="K234" s="148">
        <f>IF(J234="","",IF($F$4="C0",itens_Remanesc!B182,IF($F$4="C1",itens_Remanesc!E182,IF($F$4="C2",itens_Remanesc!G182,IF($F$4="C3",itens_Remanesc!I182,itens_Remanesc!K182)))))</f>
        <v/>
      </c>
      <c r="L234" s="148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372">
        <f>IF(J234="","",itens_Remanesc!C182)</f>
        <v/>
      </c>
      <c r="N234" s="372">
        <f>IF(J234="","",IF($F$4="C0",historico_VU!C182,IF($F$4="C1",historico_VU!D182,IF($F$4="C2",historico_VU!E182,IF($F$4="C3",historico_VU!F182,historico_VU!G182)))))</f>
        <v/>
      </c>
      <c r="O234" s="372">
        <f>IF(J234="","",IF(OR($B$4="Financeiro",$B$4="PCs"),IF(OR(K234="",M234=""),"",ROUND(K234*M234,2)),IF($B$4="Itens",IF(OR(L234="",M234=""),"",ROUND(L234*M234,2)),"")))</f>
        <v/>
      </c>
      <c r="P234" s="372">
        <f>IF(J234="","",IF(OR($B$4="Financeiro",$B$4="PCs"),IF(OR(K234="",N234=""),"",ROUND(K234*N234,2)),IF($B$4="Itens",IF(OR(L234="",N234=""),"",ROUND(L234*N234,2)),"")))</f>
        <v/>
      </c>
      <c r="Q234" s="152">
        <f>IF(J234="","",IF(OR(M234="",AND(OR($B$4="Financeiro",$B$4="PCs"),K234=""),AND($B$4="Itens",L234="")),"INCOMPLETO",IF(AND(ISNUMBER(K234),ISNUMBER(L234),ABS(K234-L234)/MAX(ABS(IF(OR($B$4="Financeiro",$B$4="PCs"),K234,L234)),1)&gt;$D$4),"DIVERGENTE","OK")))</f>
        <v/>
      </c>
    </row>
    <row r="235" hidden="1" outlineLevel="1" s="289">
      <c r="A235" s="147">
        <f>IF(historico_VU!A183="","",historico_VU!A183)</f>
        <v/>
      </c>
      <c r="B235" s="148">
        <f>IF(A235="","",historico_VU!B183)</f>
        <v/>
      </c>
      <c r="C235" s="149">
        <f>IF(A235="","",historico_VU!C183)</f>
        <v/>
      </c>
      <c r="D235" s="149">
        <f>IF(A235="","",historico_VU!D183)</f>
        <v/>
      </c>
      <c r="E235" s="149">
        <f>IF(A235="","",historico_VU!E183)</f>
        <v/>
      </c>
      <c r="F235" s="149">
        <f>IF(A235="","",historico_VU!F183)</f>
        <v/>
      </c>
      <c r="G235" s="149">
        <f>IF(A235="","",historico_VU!G183)</f>
        <v/>
      </c>
      <c r="H235" s="150">
        <f>IF(A235="","",historico_VU!H183)</f>
        <v/>
      </c>
      <c r="I235" s="62" t="n"/>
      <c r="J235" s="147">
        <f>IF(itens_Remanesc!A183="","",itens_Remanesc!A183)</f>
        <v/>
      </c>
      <c r="K235" s="148">
        <f>IF(J235="","",IF($F$4="C0",itens_Remanesc!B183,IF($F$4="C1",itens_Remanesc!E183,IF($F$4="C2",itens_Remanesc!G183,IF($F$4="C3",itens_Remanesc!I183,itens_Remanesc!K183)))))</f>
        <v/>
      </c>
      <c r="L235" s="148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372">
        <f>IF(J235="","",itens_Remanesc!C183)</f>
        <v/>
      </c>
      <c r="N235" s="372">
        <f>IF(J235="","",IF($F$4="C0",historico_VU!C183,IF($F$4="C1",historico_VU!D183,IF($F$4="C2",historico_VU!E183,IF($F$4="C3",historico_VU!F183,historico_VU!G183)))))</f>
        <v/>
      </c>
      <c r="O235" s="372">
        <f>IF(J235="","",IF(OR($B$4="Financeiro",$B$4="PCs"),IF(OR(K235="",M235=""),"",ROUND(K235*M235,2)),IF($B$4="Itens",IF(OR(L235="",M235=""),"",ROUND(L235*M235,2)),"")))</f>
        <v/>
      </c>
      <c r="P235" s="372">
        <f>IF(J235="","",IF(OR($B$4="Financeiro",$B$4="PCs"),IF(OR(K235="",N235=""),"",ROUND(K235*N235,2)),IF($B$4="Itens",IF(OR(L235="",N235=""),"",ROUND(L235*N235,2)),"")))</f>
        <v/>
      </c>
      <c r="Q235" s="152">
        <f>IF(J235="","",IF(OR(M235="",AND(OR($B$4="Financeiro",$B$4="PCs"),K235=""),AND($B$4="Itens",L235="")),"INCOMPLETO",IF(AND(ISNUMBER(K235),ISNUMBER(L235),ABS(K235-L235)/MAX(ABS(IF(OR($B$4="Financeiro",$B$4="PCs"),K235,L235)),1)&gt;$D$4),"DIVERGENTE","OK")))</f>
        <v/>
      </c>
    </row>
    <row r="236" hidden="1" outlineLevel="1" s="289">
      <c r="A236" s="147">
        <f>IF(historico_VU!A184="","",historico_VU!A184)</f>
        <v/>
      </c>
      <c r="B236" s="148">
        <f>IF(A236="","",historico_VU!B184)</f>
        <v/>
      </c>
      <c r="C236" s="149">
        <f>IF(A236="","",historico_VU!C184)</f>
        <v/>
      </c>
      <c r="D236" s="149">
        <f>IF(A236="","",historico_VU!D184)</f>
        <v/>
      </c>
      <c r="E236" s="149">
        <f>IF(A236="","",historico_VU!E184)</f>
        <v/>
      </c>
      <c r="F236" s="149">
        <f>IF(A236="","",historico_VU!F184)</f>
        <v/>
      </c>
      <c r="G236" s="149">
        <f>IF(A236="","",historico_VU!G184)</f>
        <v/>
      </c>
      <c r="H236" s="150">
        <f>IF(A236="","",historico_VU!H184)</f>
        <v/>
      </c>
      <c r="I236" s="62" t="n"/>
      <c r="J236" s="147">
        <f>IF(itens_Remanesc!A184="","",itens_Remanesc!A184)</f>
        <v/>
      </c>
      <c r="K236" s="148">
        <f>IF(J236="","",IF($F$4="C0",itens_Remanesc!B184,IF($F$4="C1",itens_Remanesc!E184,IF($F$4="C2",itens_Remanesc!G184,IF($F$4="C3",itens_Remanesc!I184,itens_Remanesc!K184)))))</f>
        <v/>
      </c>
      <c r="L236" s="148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372">
        <f>IF(J236="","",itens_Remanesc!C184)</f>
        <v/>
      </c>
      <c r="N236" s="372">
        <f>IF(J236="","",IF($F$4="C0",historico_VU!C184,IF($F$4="C1",historico_VU!D184,IF($F$4="C2",historico_VU!E184,IF($F$4="C3",historico_VU!F184,historico_VU!G184)))))</f>
        <v/>
      </c>
      <c r="O236" s="372">
        <f>IF(J236="","",IF(OR($B$4="Financeiro",$B$4="PCs"),IF(OR(K236="",M236=""),"",ROUND(K236*M236,2)),IF($B$4="Itens",IF(OR(L236="",M236=""),"",ROUND(L236*M236,2)),"")))</f>
        <v/>
      </c>
      <c r="P236" s="372">
        <f>IF(J236="","",IF(OR($B$4="Financeiro",$B$4="PCs"),IF(OR(K236="",N236=""),"",ROUND(K236*N236,2)),IF($B$4="Itens",IF(OR(L236="",N236=""),"",ROUND(L236*N236,2)),"")))</f>
        <v/>
      </c>
      <c r="Q236" s="152">
        <f>IF(J236="","",IF(OR(M236="",AND(OR($B$4="Financeiro",$B$4="PCs"),K236=""),AND($B$4="Itens",L236="")),"INCOMPLETO",IF(AND(ISNUMBER(K236),ISNUMBER(L236),ABS(K236-L236)/MAX(ABS(IF(OR($B$4="Financeiro",$B$4="PCs"),K236,L236)),1)&gt;$D$4),"DIVERGENTE","OK")))</f>
        <v/>
      </c>
    </row>
    <row r="237" hidden="1" outlineLevel="1" s="289">
      <c r="A237" s="147">
        <f>IF(historico_VU!A185="","",historico_VU!A185)</f>
        <v/>
      </c>
      <c r="B237" s="148">
        <f>IF(A237="","",historico_VU!B185)</f>
        <v/>
      </c>
      <c r="C237" s="149">
        <f>IF(A237="","",historico_VU!C185)</f>
        <v/>
      </c>
      <c r="D237" s="149">
        <f>IF(A237="","",historico_VU!D185)</f>
        <v/>
      </c>
      <c r="E237" s="149">
        <f>IF(A237="","",historico_VU!E185)</f>
        <v/>
      </c>
      <c r="F237" s="149">
        <f>IF(A237="","",historico_VU!F185)</f>
        <v/>
      </c>
      <c r="G237" s="149">
        <f>IF(A237="","",historico_VU!G185)</f>
        <v/>
      </c>
      <c r="H237" s="150">
        <f>IF(A237="","",historico_VU!H185)</f>
        <v/>
      </c>
      <c r="I237" s="62" t="n"/>
      <c r="J237" s="147">
        <f>IF(itens_Remanesc!A185="","",itens_Remanesc!A185)</f>
        <v/>
      </c>
      <c r="K237" s="148">
        <f>IF(J237="","",IF($F$4="C0",itens_Remanesc!B185,IF($F$4="C1",itens_Remanesc!E185,IF($F$4="C2",itens_Remanesc!G185,IF($F$4="C3",itens_Remanesc!I185,itens_Remanesc!K185)))))</f>
        <v/>
      </c>
      <c r="L237" s="148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372">
        <f>IF(J237="","",itens_Remanesc!C185)</f>
        <v/>
      </c>
      <c r="N237" s="372">
        <f>IF(J237="","",IF($F$4="C0",historico_VU!C185,IF($F$4="C1",historico_VU!D185,IF($F$4="C2",historico_VU!E185,IF($F$4="C3",historico_VU!F185,historico_VU!G185)))))</f>
        <v/>
      </c>
      <c r="O237" s="372">
        <f>IF(J237="","",IF(OR($B$4="Financeiro",$B$4="PCs"),IF(OR(K237="",M237=""),"",ROUND(K237*M237,2)),IF($B$4="Itens",IF(OR(L237="",M237=""),"",ROUND(L237*M237,2)),"")))</f>
        <v/>
      </c>
      <c r="P237" s="372">
        <f>IF(J237="","",IF(OR($B$4="Financeiro",$B$4="PCs"),IF(OR(K237="",N237=""),"",ROUND(K237*N237,2)),IF($B$4="Itens",IF(OR(L237="",N237=""),"",ROUND(L237*N237,2)),"")))</f>
        <v/>
      </c>
      <c r="Q237" s="152">
        <f>IF(J237="","",IF(OR(M237="",AND(OR($B$4="Financeiro",$B$4="PCs"),K237=""),AND($B$4="Itens",L237="")),"INCOMPLETO",IF(AND(ISNUMBER(K237),ISNUMBER(L237),ABS(K237-L237)/MAX(ABS(IF(OR($B$4="Financeiro",$B$4="PCs"),K237,L237)),1)&gt;$D$4),"DIVERGENTE","OK")))</f>
        <v/>
      </c>
    </row>
    <row r="238" hidden="1" outlineLevel="1" s="289">
      <c r="A238" s="147">
        <f>IF(historico_VU!A186="","",historico_VU!A186)</f>
        <v/>
      </c>
      <c r="B238" s="148">
        <f>IF(A238="","",historico_VU!B186)</f>
        <v/>
      </c>
      <c r="C238" s="149">
        <f>IF(A238="","",historico_VU!C186)</f>
        <v/>
      </c>
      <c r="D238" s="149">
        <f>IF(A238="","",historico_VU!D186)</f>
        <v/>
      </c>
      <c r="E238" s="149">
        <f>IF(A238="","",historico_VU!E186)</f>
        <v/>
      </c>
      <c r="F238" s="149">
        <f>IF(A238="","",historico_VU!F186)</f>
        <v/>
      </c>
      <c r="G238" s="149">
        <f>IF(A238="","",historico_VU!G186)</f>
        <v/>
      </c>
      <c r="H238" s="150">
        <f>IF(A238="","",historico_VU!H186)</f>
        <v/>
      </c>
      <c r="I238" s="62" t="n"/>
      <c r="J238" s="147">
        <f>IF(itens_Remanesc!A186="","",itens_Remanesc!A186)</f>
        <v/>
      </c>
      <c r="K238" s="148">
        <f>IF(J238="","",IF($F$4="C0",itens_Remanesc!B186,IF($F$4="C1",itens_Remanesc!E186,IF($F$4="C2",itens_Remanesc!G186,IF($F$4="C3",itens_Remanesc!I186,itens_Remanesc!K186)))))</f>
        <v/>
      </c>
      <c r="L238" s="148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372">
        <f>IF(J238="","",itens_Remanesc!C186)</f>
        <v/>
      </c>
      <c r="N238" s="372">
        <f>IF(J238="","",IF($F$4="C0",historico_VU!C186,IF($F$4="C1",historico_VU!D186,IF($F$4="C2",historico_VU!E186,IF($F$4="C3",historico_VU!F186,historico_VU!G186)))))</f>
        <v/>
      </c>
      <c r="O238" s="372">
        <f>IF(J238="","",IF(OR($B$4="Financeiro",$B$4="PCs"),IF(OR(K238="",M238=""),"",ROUND(K238*M238,2)),IF($B$4="Itens",IF(OR(L238="",M238=""),"",ROUND(L238*M238,2)),"")))</f>
        <v/>
      </c>
      <c r="P238" s="372">
        <f>IF(J238="","",IF(OR($B$4="Financeiro",$B$4="PCs"),IF(OR(K238="",N238=""),"",ROUND(K238*N238,2)),IF($B$4="Itens",IF(OR(L238="",N238=""),"",ROUND(L238*N238,2)),"")))</f>
        <v/>
      </c>
      <c r="Q238" s="152">
        <f>IF(J238="","",IF(OR(M238="",AND(OR($B$4="Financeiro",$B$4="PCs"),K238=""),AND($B$4="Itens",L238="")),"INCOMPLETO",IF(AND(ISNUMBER(K238),ISNUMBER(L238),ABS(K238-L238)/MAX(ABS(IF(OR($B$4="Financeiro",$B$4="PCs"),K238,L238)),1)&gt;$D$4),"DIVERGENTE","OK")))</f>
        <v/>
      </c>
    </row>
    <row r="239" hidden="1" outlineLevel="1" s="289">
      <c r="A239" s="147">
        <f>IF(historico_VU!A187="","",historico_VU!A187)</f>
        <v/>
      </c>
      <c r="B239" s="148">
        <f>IF(A239="","",historico_VU!B187)</f>
        <v/>
      </c>
      <c r="C239" s="149">
        <f>IF(A239="","",historico_VU!C187)</f>
        <v/>
      </c>
      <c r="D239" s="149">
        <f>IF(A239="","",historico_VU!D187)</f>
        <v/>
      </c>
      <c r="E239" s="149">
        <f>IF(A239="","",historico_VU!E187)</f>
        <v/>
      </c>
      <c r="F239" s="149">
        <f>IF(A239="","",historico_VU!F187)</f>
        <v/>
      </c>
      <c r="G239" s="149">
        <f>IF(A239="","",historico_VU!G187)</f>
        <v/>
      </c>
      <c r="H239" s="150">
        <f>IF(A239="","",historico_VU!H187)</f>
        <v/>
      </c>
      <c r="I239" s="62" t="n"/>
      <c r="J239" s="147">
        <f>IF(itens_Remanesc!A187="","",itens_Remanesc!A187)</f>
        <v/>
      </c>
      <c r="K239" s="148">
        <f>IF(J239="","",IF($F$4="C0",itens_Remanesc!B187,IF($F$4="C1",itens_Remanesc!E187,IF($F$4="C2",itens_Remanesc!G187,IF($F$4="C3",itens_Remanesc!I187,itens_Remanesc!K187)))))</f>
        <v/>
      </c>
      <c r="L239" s="148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372">
        <f>IF(J239="","",itens_Remanesc!C187)</f>
        <v/>
      </c>
      <c r="N239" s="372">
        <f>IF(J239="","",IF($F$4="C0",historico_VU!C187,IF($F$4="C1",historico_VU!D187,IF($F$4="C2",historico_VU!E187,IF($F$4="C3",historico_VU!F187,historico_VU!G187)))))</f>
        <v/>
      </c>
      <c r="O239" s="372">
        <f>IF(J239="","",IF(OR($B$4="Financeiro",$B$4="PCs"),IF(OR(K239="",M239=""),"",ROUND(K239*M239,2)),IF($B$4="Itens",IF(OR(L239="",M239=""),"",ROUND(L239*M239,2)),"")))</f>
        <v/>
      </c>
      <c r="P239" s="372">
        <f>IF(J239="","",IF(OR($B$4="Financeiro",$B$4="PCs"),IF(OR(K239="",N239=""),"",ROUND(K239*N239,2)),IF($B$4="Itens",IF(OR(L239="",N239=""),"",ROUND(L239*N239,2)),"")))</f>
        <v/>
      </c>
      <c r="Q239" s="152">
        <f>IF(J239="","",IF(OR(M239="",AND(OR($B$4="Financeiro",$B$4="PCs"),K239=""),AND($B$4="Itens",L239="")),"INCOMPLETO",IF(AND(ISNUMBER(K239),ISNUMBER(L239),ABS(K239-L239)/MAX(ABS(IF(OR($B$4="Financeiro",$B$4="PCs"),K239,L239)),1)&gt;$D$4),"DIVERGENTE","OK")))</f>
        <v/>
      </c>
    </row>
    <row r="240" hidden="1" outlineLevel="1" s="289">
      <c r="A240" s="147">
        <f>IF(historico_VU!A188="","",historico_VU!A188)</f>
        <v/>
      </c>
      <c r="B240" s="148">
        <f>IF(A240="","",historico_VU!B188)</f>
        <v/>
      </c>
      <c r="C240" s="149">
        <f>IF(A240="","",historico_VU!C188)</f>
        <v/>
      </c>
      <c r="D240" s="149">
        <f>IF(A240="","",historico_VU!D188)</f>
        <v/>
      </c>
      <c r="E240" s="149">
        <f>IF(A240="","",historico_VU!E188)</f>
        <v/>
      </c>
      <c r="F240" s="149">
        <f>IF(A240="","",historico_VU!F188)</f>
        <v/>
      </c>
      <c r="G240" s="149">
        <f>IF(A240="","",historico_VU!G188)</f>
        <v/>
      </c>
      <c r="H240" s="150">
        <f>IF(A240="","",historico_VU!H188)</f>
        <v/>
      </c>
      <c r="I240" s="62" t="n"/>
      <c r="J240" s="147">
        <f>IF(itens_Remanesc!A188="","",itens_Remanesc!A188)</f>
        <v/>
      </c>
      <c r="K240" s="148">
        <f>IF(J240="","",IF($F$4="C0",itens_Remanesc!B188,IF($F$4="C1",itens_Remanesc!E188,IF($F$4="C2",itens_Remanesc!G188,IF($F$4="C3",itens_Remanesc!I188,itens_Remanesc!K188)))))</f>
        <v/>
      </c>
      <c r="L240" s="148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372">
        <f>IF(J240="","",itens_Remanesc!C188)</f>
        <v/>
      </c>
      <c r="N240" s="372">
        <f>IF(J240="","",IF($F$4="C0",historico_VU!C188,IF($F$4="C1",historico_VU!D188,IF($F$4="C2",historico_VU!E188,IF($F$4="C3",historico_VU!F188,historico_VU!G188)))))</f>
        <v/>
      </c>
      <c r="O240" s="372">
        <f>IF(J240="","",IF(OR($B$4="Financeiro",$B$4="PCs"),IF(OR(K240="",M240=""),"",ROUND(K240*M240,2)),IF($B$4="Itens",IF(OR(L240="",M240=""),"",ROUND(L240*M240,2)),"")))</f>
        <v/>
      </c>
      <c r="P240" s="372">
        <f>IF(J240="","",IF(OR($B$4="Financeiro",$B$4="PCs"),IF(OR(K240="",N240=""),"",ROUND(K240*N240,2)),IF($B$4="Itens",IF(OR(L240="",N240=""),"",ROUND(L240*N240,2)),"")))</f>
        <v/>
      </c>
      <c r="Q240" s="152">
        <f>IF(J240="","",IF(OR(M240="",AND(OR($B$4="Financeiro",$B$4="PCs"),K240=""),AND($B$4="Itens",L240="")),"INCOMPLETO",IF(AND(ISNUMBER(K240),ISNUMBER(L240),ABS(K240-L240)/MAX(ABS(IF(OR($B$4="Financeiro",$B$4="PCs"),K240,L240)),1)&gt;$D$4),"DIVERGENTE","OK")))</f>
        <v/>
      </c>
    </row>
    <row r="241" hidden="1" outlineLevel="1" s="289">
      <c r="A241" s="147">
        <f>IF(historico_VU!A189="","",historico_VU!A189)</f>
        <v/>
      </c>
      <c r="B241" s="148">
        <f>IF(A241="","",historico_VU!B189)</f>
        <v/>
      </c>
      <c r="C241" s="149">
        <f>IF(A241="","",historico_VU!C189)</f>
        <v/>
      </c>
      <c r="D241" s="149">
        <f>IF(A241="","",historico_VU!D189)</f>
        <v/>
      </c>
      <c r="E241" s="149">
        <f>IF(A241="","",historico_VU!E189)</f>
        <v/>
      </c>
      <c r="F241" s="149">
        <f>IF(A241="","",historico_VU!F189)</f>
        <v/>
      </c>
      <c r="G241" s="149">
        <f>IF(A241="","",historico_VU!G189)</f>
        <v/>
      </c>
      <c r="H241" s="150">
        <f>IF(A241="","",historico_VU!H189)</f>
        <v/>
      </c>
      <c r="I241" s="62" t="n"/>
      <c r="J241" s="147">
        <f>IF(itens_Remanesc!A189="","",itens_Remanesc!A189)</f>
        <v/>
      </c>
      <c r="K241" s="148">
        <f>IF(J241="","",IF($F$4="C0",itens_Remanesc!B189,IF($F$4="C1",itens_Remanesc!E189,IF($F$4="C2",itens_Remanesc!G189,IF($F$4="C3",itens_Remanesc!I189,itens_Remanesc!K189)))))</f>
        <v/>
      </c>
      <c r="L241" s="148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372">
        <f>IF(J241="","",itens_Remanesc!C189)</f>
        <v/>
      </c>
      <c r="N241" s="372">
        <f>IF(J241="","",IF($F$4="C0",historico_VU!C189,IF($F$4="C1",historico_VU!D189,IF($F$4="C2",historico_VU!E189,IF($F$4="C3",historico_VU!F189,historico_VU!G189)))))</f>
        <v/>
      </c>
      <c r="O241" s="372">
        <f>IF(J241="","",IF(OR($B$4="Financeiro",$B$4="PCs"),IF(OR(K241="",M241=""),"",ROUND(K241*M241,2)),IF($B$4="Itens",IF(OR(L241="",M241=""),"",ROUND(L241*M241,2)),"")))</f>
        <v/>
      </c>
      <c r="P241" s="372">
        <f>IF(J241="","",IF(OR($B$4="Financeiro",$B$4="PCs"),IF(OR(K241="",N241=""),"",ROUND(K241*N241,2)),IF($B$4="Itens",IF(OR(L241="",N241=""),"",ROUND(L241*N241,2)),"")))</f>
        <v/>
      </c>
      <c r="Q241" s="152">
        <f>IF(J241="","",IF(OR(M241="",AND(OR($B$4="Financeiro",$B$4="PCs"),K241=""),AND($B$4="Itens",L241="")),"INCOMPLETO",IF(AND(ISNUMBER(K241),ISNUMBER(L241),ABS(K241-L241)/MAX(ABS(IF(OR($B$4="Financeiro",$B$4="PCs"),K241,L241)),1)&gt;$D$4),"DIVERGENTE","OK")))</f>
        <v/>
      </c>
    </row>
    <row r="242" hidden="1" outlineLevel="1" s="289">
      <c r="A242" s="147">
        <f>IF(historico_VU!A190="","",historico_VU!A190)</f>
        <v/>
      </c>
      <c r="B242" s="148">
        <f>IF(A242="","",historico_VU!B190)</f>
        <v/>
      </c>
      <c r="C242" s="149">
        <f>IF(A242="","",historico_VU!C190)</f>
        <v/>
      </c>
      <c r="D242" s="149">
        <f>IF(A242="","",historico_VU!D190)</f>
        <v/>
      </c>
      <c r="E242" s="149">
        <f>IF(A242="","",historico_VU!E190)</f>
        <v/>
      </c>
      <c r="F242" s="149">
        <f>IF(A242="","",historico_VU!F190)</f>
        <v/>
      </c>
      <c r="G242" s="149">
        <f>IF(A242="","",historico_VU!G190)</f>
        <v/>
      </c>
      <c r="H242" s="150">
        <f>IF(A242="","",historico_VU!H190)</f>
        <v/>
      </c>
      <c r="I242" s="62" t="n"/>
      <c r="J242" s="147">
        <f>IF(itens_Remanesc!A190="","",itens_Remanesc!A190)</f>
        <v/>
      </c>
      <c r="K242" s="148">
        <f>IF(J242="","",IF($F$4="C0",itens_Remanesc!B190,IF($F$4="C1",itens_Remanesc!E190,IF($F$4="C2",itens_Remanesc!G190,IF($F$4="C3",itens_Remanesc!I190,itens_Remanesc!K190)))))</f>
        <v/>
      </c>
      <c r="L242" s="148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372">
        <f>IF(J242="","",itens_Remanesc!C190)</f>
        <v/>
      </c>
      <c r="N242" s="372">
        <f>IF(J242="","",IF($F$4="C0",historico_VU!C190,IF($F$4="C1",historico_VU!D190,IF($F$4="C2",historico_VU!E190,IF($F$4="C3",historico_VU!F190,historico_VU!G190)))))</f>
        <v/>
      </c>
      <c r="O242" s="372">
        <f>IF(J242="","",IF(OR($B$4="Financeiro",$B$4="PCs"),IF(OR(K242="",M242=""),"",ROUND(K242*M242,2)),IF($B$4="Itens",IF(OR(L242="",M242=""),"",ROUND(L242*M242,2)),"")))</f>
        <v/>
      </c>
      <c r="P242" s="372">
        <f>IF(J242="","",IF(OR($B$4="Financeiro",$B$4="PCs"),IF(OR(K242="",N242=""),"",ROUND(K242*N242,2)),IF($B$4="Itens",IF(OR(L242="",N242=""),"",ROUND(L242*N242,2)),"")))</f>
        <v/>
      </c>
      <c r="Q242" s="152">
        <f>IF(J242="","",IF(OR(M242="",AND(OR($B$4="Financeiro",$B$4="PCs"),K242=""),AND($B$4="Itens",L242="")),"INCOMPLETO",IF(AND(ISNUMBER(K242),ISNUMBER(L242),ABS(K242-L242)/MAX(ABS(IF(OR($B$4="Financeiro",$B$4="PCs"),K242,L242)),1)&gt;$D$4),"DIVERGENTE","OK")))</f>
        <v/>
      </c>
    </row>
    <row r="243" hidden="1" outlineLevel="1" s="289">
      <c r="A243" s="147">
        <f>IF(historico_VU!A191="","",historico_VU!A191)</f>
        <v/>
      </c>
      <c r="B243" s="148">
        <f>IF(A243="","",historico_VU!B191)</f>
        <v/>
      </c>
      <c r="C243" s="149">
        <f>IF(A243="","",historico_VU!C191)</f>
        <v/>
      </c>
      <c r="D243" s="149">
        <f>IF(A243="","",historico_VU!D191)</f>
        <v/>
      </c>
      <c r="E243" s="149">
        <f>IF(A243="","",historico_VU!E191)</f>
        <v/>
      </c>
      <c r="F243" s="149">
        <f>IF(A243="","",historico_VU!F191)</f>
        <v/>
      </c>
      <c r="G243" s="149">
        <f>IF(A243="","",historico_VU!G191)</f>
        <v/>
      </c>
      <c r="H243" s="150">
        <f>IF(A243="","",historico_VU!H191)</f>
        <v/>
      </c>
      <c r="I243" s="62" t="n"/>
      <c r="J243" s="147">
        <f>IF(itens_Remanesc!A191="","",itens_Remanesc!A191)</f>
        <v/>
      </c>
      <c r="K243" s="148">
        <f>IF(J243="","",IF($F$4="C0",itens_Remanesc!B191,IF($F$4="C1",itens_Remanesc!E191,IF($F$4="C2",itens_Remanesc!G191,IF($F$4="C3",itens_Remanesc!I191,itens_Remanesc!K191)))))</f>
        <v/>
      </c>
      <c r="L243" s="148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372">
        <f>IF(J243="","",itens_Remanesc!C191)</f>
        <v/>
      </c>
      <c r="N243" s="372">
        <f>IF(J243="","",IF($F$4="C0",historico_VU!C191,IF($F$4="C1",historico_VU!D191,IF($F$4="C2",historico_VU!E191,IF($F$4="C3",historico_VU!F191,historico_VU!G191)))))</f>
        <v/>
      </c>
      <c r="O243" s="372">
        <f>IF(J243="","",IF(OR($B$4="Financeiro",$B$4="PCs"),IF(OR(K243="",M243=""),"",ROUND(K243*M243,2)),IF($B$4="Itens",IF(OR(L243="",M243=""),"",ROUND(L243*M243,2)),"")))</f>
        <v/>
      </c>
      <c r="P243" s="372">
        <f>IF(J243="","",IF(OR($B$4="Financeiro",$B$4="PCs"),IF(OR(K243="",N243=""),"",ROUND(K243*N243,2)),IF($B$4="Itens",IF(OR(L243="",N243=""),"",ROUND(L243*N243,2)),"")))</f>
        <v/>
      </c>
      <c r="Q243" s="152">
        <f>IF(J243="","",IF(OR(M243="",AND(OR($B$4="Financeiro",$B$4="PCs"),K243=""),AND($B$4="Itens",L243="")),"INCOMPLETO",IF(AND(ISNUMBER(K243),ISNUMBER(L243),ABS(K243-L243)/MAX(ABS(IF(OR($B$4="Financeiro",$B$4="PCs"),K243,L243)),1)&gt;$D$4),"DIVERGENTE","OK")))</f>
        <v/>
      </c>
    </row>
    <row r="244" hidden="1" outlineLevel="1" s="289">
      <c r="A244" s="147">
        <f>IF(historico_VU!A192="","",historico_VU!A192)</f>
        <v/>
      </c>
      <c r="B244" s="148">
        <f>IF(A244="","",historico_VU!B192)</f>
        <v/>
      </c>
      <c r="C244" s="149">
        <f>IF(A244="","",historico_VU!C192)</f>
        <v/>
      </c>
      <c r="D244" s="149">
        <f>IF(A244="","",historico_VU!D192)</f>
        <v/>
      </c>
      <c r="E244" s="149">
        <f>IF(A244="","",historico_VU!E192)</f>
        <v/>
      </c>
      <c r="F244" s="149">
        <f>IF(A244="","",historico_VU!F192)</f>
        <v/>
      </c>
      <c r="G244" s="149">
        <f>IF(A244="","",historico_VU!G192)</f>
        <v/>
      </c>
      <c r="H244" s="150">
        <f>IF(A244="","",historico_VU!H192)</f>
        <v/>
      </c>
      <c r="I244" s="62" t="n"/>
      <c r="J244" s="147">
        <f>IF(itens_Remanesc!A192="","",itens_Remanesc!A192)</f>
        <v/>
      </c>
      <c r="K244" s="148">
        <f>IF(J244="","",IF($F$4="C0",itens_Remanesc!B192,IF($F$4="C1",itens_Remanesc!E192,IF($F$4="C2",itens_Remanesc!G192,IF($F$4="C3",itens_Remanesc!I192,itens_Remanesc!K192)))))</f>
        <v/>
      </c>
      <c r="L244" s="148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372">
        <f>IF(J244="","",itens_Remanesc!C192)</f>
        <v/>
      </c>
      <c r="N244" s="372">
        <f>IF(J244="","",IF($F$4="C0",historico_VU!C192,IF($F$4="C1",historico_VU!D192,IF($F$4="C2",historico_VU!E192,IF($F$4="C3",historico_VU!F192,historico_VU!G192)))))</f>
        <v/>
      </c>
      <c r="O244" s="372">
        <f>IF(J244="","",IF(OR($B$4="Financeiro",$B$4="PCs"),IF(OR(K244="",M244=""),"",ROUND(K244*M244,2)),IF($B$4="Itens",IF(OR(L244="",M244=""),"",ROUND(L244*M244,2)),"")))</f>
        <v/>
      </c>
      <c r="P244" s="372">
        <f>IF(J244="","",IF(OR($B$4="Financeiro",$B$4="PCs"),IF(OR(K244="",N244=""),"",ROUND(K244*N244,2)),IF($B$4="Itens",IF(OR(L244="",N244=""),"",ROUND(L244*N244,2)),"")))</f>
        <v/>
      </c>
      <c r="Q244" s="152">
        <f>IF(J244="","",IF(OR(M244="",AND(OR($B$4="Financeiro",$B$4="PCs"),K244=""),AND($B$4="Itens",L244="")),"INCOMPLETO",IF(AND(ISNUMBER(K244),ISNUMBER(L244),ABS(K244-L244)/MAX(ABS(IF(OR($B$4="Financeiro",$B$4="PCs"),K244,L244)),1)&gt;$D$4),"DIVERGENTE","OK")))</f>
        <v/>
      </c>
    </row>
    <row r="245" hidden="1" outlineLevel="1" s="289">
      <c r="A245" s="147">
        <f>IF(historico_VU!A193="","",historico_VU!A193)</f>
        <v/>
      </c>
      <c r="B245" s="148">
        <f>IF(A245="","",historico_VU!B193)</f>
        <v/>
      </c>
      <c r="C245" s="149">
        <f>IF(A245="","",historico_VU!C193)</f>
        <v/>
      </c>
      <c r="D245" s="149">
        <f>IF(A245="","",historico_VU!D193)</f>
        <v/>
      </c>
      <c r="E245" s="149">
        <f>IF(A245="","",historico_VU!E193)</f>
        <v/>
      </c>
      <c r="F245" s="149">
        <f>IF(A245="","",historico_VU!F193)</f>
        <v/>
      </c>
      <c r="G245" s="149">
        <f>IF(A245="","",historico_VU!G193)</f>
        <v/>
      </c>
      <c r="H245" s="150">
        <f>IF(A245="","",historico_VU!H193)</f>
        <v/>
      </c>
      <c r="I245" s="62" t="n"/>
      <c r="J245" s="147">
        <f>IF(itens_Remanesc!A193="","",itens_Remanesc!A193)</f>
        <v/>
      </c>
      <c r="K245" s="148">
        <f>IF(J245="","",IF($F$4="C0",itens_Remanesc!B193,IF($F$4="C1",itens_Remanesc!E193,IF($F$4="C2",itens_Remanesc!G193,IF($F$4="C3",itens_Remanesc!I193,itens_Remanesc!K193)))))</f>
        <v/>
      </c>
      <c r="L245" s="148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372">
        <f>IF(J245="","",itens_Remanesc!C193)</f>
        <v/>
      </c>
      <c r="N245" s="372">
        <f>IF(J245="","",IF($F$4="C0",historico_VU!C193,IF($F$4="C1",historico_VU!D193,IF($F$4="C2",historico_VU!E193,IF($F$4="C3",historico_VU!F193,historico_VU!G193)))))</f>
        <v/>
      </c>
      <c r="O245" s="372">
        <f>IF(J245="","",IF(OR($B$4="Financeiro",$B$4="PCs"),IF(OR(K245="",M245=""),"",ROUND(K245*M245,2)),IF($B$4="Itens",IF(OR(L245="",M245=""),"",ROUND(L245*M245,2)),"")))</f>
        <v/>
      </c>
      <c r="P245" s="372">
        <f>IF(J245="","",IF(OR($B$4="Financeiro",$B$4="PCs"),IF(OR(K245="",N245=""),"",ROUND(K245*N245,2)),IF($B$4="Itens",IF(OR(L245="",N245=""),"",ROUND(L245*N245,2)),"")))</f>
        <v/>
      </c>
      <c r="Q245" s="152">
        <f>IF(J245="","",IF(OR(M245="",AND(OR($B$4="Financeiro",$B$4="PCs"),K245=""),AND($B$4="Itens",L245="")),"INCOMPLETO",IF(AND(ISNUMBER(K245),ISNUMBER(L245),ABS(K245-L245)/MAX(ABS(IF(OR($B$4="Financeiro",$B$4="PCs"),K245,L245)),1)&gt;$D$4),"DIVERGENTE","OK")))</f>
        <v/>
      </c>
    </row>
    <row r="246" hidden="1" outlineLevel="1" s="289">
      <c r="A246" s="147">
        <f>IF(historico_VU!A194="","",historico_VU!A194)</f>
        <v/>
      </c>
      <c r="B246" s="148">
        <f>IF(A246="","",historico_VU!B194)</f>
        <v/>
      </c>
      <c r="C246" s="149">
        <f>IF(A246="","",historico_VU!C194)</f>
        <v/>
      </c>
      <c r="D246" s="149">
        <f>IF(A246="","",historico_VU!D194)</f>
        <v/>
      </c>
      <c r="E246" s="149">
        <f>IF(A246="","",historico_VU!E194)</f>
        <v/>
      </c>
      <c r="F246" s="149">
        <f>IF(A246="","",historico_VU!F194)</f>
        <v/>
      </c>
      <c r="G246" s="149">
        <f>IF(A246="","",historico_VU!G194)</f>
        <v/>
      </c>
      <c r="H246" s="150">
        <f>IF(A246="","",historico_VU!H194)</f>
        <v/>
      </c>
      <c r="I246" s="62" t="n"/>
      <c r="J246" s="147">
        <f>IF(itens_Remanesc!A194="","",itens_Remanesc!A194)</f>
        <v/>
      </c>
      <c r="K246" s="148">
        <f>IF(J246="","",IF($F$4="C0",itens_Remanesc!B194,IF($F$4="C1",itens_Remanesc!E194,IF($F$4="C2",itens_Remanesc!G194,IF($F$4="C3",itens_Remanesc!I194,itens_Remanesc!K194)))))</f>
        <v/>
      </c>
      <c r="L246" s="148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372">
        <f>IF(J246="","",itens_Remanesc!C194)</f>
        <v/>
      </c>
      <c r="N246" s="372">
        <f>IF(J246="","",IF($F$4="C0",historico_VU!C194,IF($F$4="C1",historico_VU!D194,IF($F$4="C2",historico_VU!E194,IF($F$4="C3",historico_VU!F194,historico_VU!G194)))))</f>
        <v/>
      </c>
      <c r="O246" s="372">
        <f>IF(J246="","",IF(OR($B$4="Financeiro",$B$4="PCs"),IF(OR(K246="",M246=""),"",ROUND(K246*M246,2)),IF($B$4="Itens",IF(OR(L246="",M246=""),"",ROUND(L246*M246,2)),"")))</f>
        <v/>
      </c>
      <c r="P246" s="372">
        <f>IF(J246="","",IF(OR($B$4="Financeiro",$B$4="PCs"),IF(OR(K246="",N246=""),"",ROUND(K246*N246,2)),IF($B$4="Itens",IF(OR(L246="",N246=""),"",ROUND(L246*N246,2)),"")))</f>
        <v/>
      </c>
      <c r="Q246" s="152">
        <f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hidden="1" outlineLevel="1" s="289">
      <c r="A247" s="147">
        <f>IF(historico_VU!A195="","",historico_VU!A195)</f>
        <v/>
      </c>
      <c r="B247" s="148">
        <f>IF(A247="","",historico_VU!B195)</f>
        <v/>
      </c>
      <c r="C247" s="149">
        <f>IF(A247="","",historico_VU!C195)</f>
        <v/>
      </c>
      <c r="D247" s="149">
        <f>IF(A247="","",historico_VU!D195)</f>
        <v/>
      </c>
      <c r="E247" s="149">
        <f>IF(A247="","",historico_VU!E195)</f>
        <v/>
      </c>
      <c r="F247" s="149">
        <f>IF(A247="","",historico_VU!F195)</f>
        <v/>
      </c>
      <c r="G247" s="149">
        <f>IF(A247="","",historico_VU!G195)</f>
        <v/>
      </c>
      <c r="H247" s="150">
        <f>IF(A247="","",historico_VU!H195)</f>
        <v/>
      </c>
      <c r="I247" s="62" t="n"/>
      <c r="J247" s="147">
        <f>IF(itens_Remanesc!A195="","",itens_Remanesc!A195)</f>
        <v/>
      </c>
      <c r="K247" s="148">
        <f>IF(J247="","",IF($F$4="C0",itens_Remanesc!B195,IF($F$4="C1",itens_Remanesc!E195,IF($F$4="C2",itens_Remanesc!G195,IF($F$4="C3",itens_Remanesc!I195,itens_Remanesc!K195)))))</f>
        <v/>
      </c>
      <c r="L247" s="148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372">
        <f>IF(J247="","",itens_Remanesc!C195)</f>
        <v/>
      </c>
      <c r="N247" s="372">
        <f>IF(J247="","",IF($F$4="C0",historico_VU!C195,IF($F$4="C1",historico_VU!D195,IF($F$4="C2",historico_VU!E195,IF($F$4="C3",historico_VU!F195,historico_VU!G195)))))</f>
        <v/>
      </c>
      <c r="O247" s="372">
        <f>IF(J247="","",IF(OR($B$4="Financeiro",$B$4="PCs"),IF(OR(K247="",M247=""),"",ROUND(K247*M247,2)),IF($B$4="Itens",IF(OR(L247="",M247=""),"",ROUND(L247*M247,2)),"")))</f>
        <v/>
      </c>
      <c r="P247" s="372">
        <f>IF(J247="","",IF(OR($B$4="Financeiro",$B$4="PCs"),IF(OR(K247="",N247=""),"",ROUND(K247*N247,2)),IF($B$4="Itens",IF(OR(L247="",N247=""),"",ROUND(L247*N247,2)),"")))</f>
        <v/>
      </c>
      <c r="Q247" s="152">
        <f>IF(J247="","",IF(OR(M247="",AND(OR($B$4="Financeiro",$B$4="PCs"),K247=""),AND($B$4="Itens",L247="")),"INCOMPLETO",IF(AND(ISNUMBER(K247),ISNUMBER(L247),ABS(K247-L247)/MAX(ABS(IF(OR($B$4="Financeiro",$B$4="PCs"),K247,L247)),1)&gt;$D$4),"DIVERGENTE","OK")))</f>
        <v/>
      </c>
    </row>
    <row r="248" hidden="1" outlineLevel="1" s="289">
      <c r="A248" s="147">
        <f>IF(historico_VU!A196="","",historico_VU!A196)</f>
        <v/>
      </c>
      <c r="B248" s="148">
        <f>IF(A248="","",historico_VU!B196)</f>
        <v/>
      </c>
      <c r="C248" s="149">
        <f>IF(A248="","",historico_VU!C196)</f>
        <v/>
      </c>
      <c r="D248" s="149">
        <f>IF(A248="","",historico_VU!D196)</f>
        <v/>
      </c>
      <c r="E248" s="149">
        <f>IF(A248="","",historico_VU!E196)</f>
        <v/>
      </c>
      <c r="F248" s="149">
        <f>IF(A248="","",historico_VU!F196)</f>
        <v/>
      </c>
      <c r="G248" s="149">
        <f>IF(A248="","",historico_VU!G196)</f>
        <v/>
      </c>
      <c r="H248" s="150">
        <f>IF(A248="","",historico_VU!H196)</f>
        <v/>
      </c>
      <c r="I248" s="62" t="n"/>
      <c r="J248" s="147">
        <f>IF(itens_Remanesc!A196="","",itens_Remanesc!A196)</f>
        <v/>
      </c>
      <c r="K248" s="148">
        <f>IF(J248="","",IF($F$4="C0",itens_Remanesc!B196,IF($F$4="C1",itens_Remanesc!E196,IF($F$4="C2",itens_Remanesc!G196,IF($F$4="C3",itens_Remanesc!I196,itens_Remanesc!K196)))))</f>
        <v/>
      </c>
      <c r="L248" s="148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372">
        <f>IF(J248="","",itens_Remanesc!C196)</f>
        <v/>
      </c>
      <c r="N248" s="372">
        <f>IF(J248="","",IF($F$4="C0",historico_VU!C196,IF($F$4="C1",historico_VU!D196,IF($F$4="C2",historico_VU!E196,IF($F$4="C3",historico_VU!F196,historico_VU!G196)))))</f>
        <v/>
      </c>
      <c r="O248" s="372">
        <f>IF(J248="","",IF(OR($B$4="Financeiro",$B$4="PCs"),IF(OR(K248="",M248=""),"",ROUND(K248*M248,2)),IF($B$4="Itens",IF(OR(L248="",M248=""),"",ROUND(L248*M248,2)),"")))</f>
        <v/>
      </c>
      <c r="P248" s="372">
        <f>IF(J248="","",IF(OR($B$4="Financeiro",$B$4="PCs"),IF(OR(K248="",N248=""),"",ROUND(K248*N248,2)),IF($B$4="Itens",IF(OR(L248="",N248=""),"",ROUND(L248*N248,2)),"")))</f>
        <v/>
      </c>
      <c r="Q248" s="152">
        <f>IF(J248="","",IF(OR(M248="",AND(OR($B$4="Financeiro",$B$4="PCs"),K248=""),AND($B$4="Itens",L248="")),"INCOMPLETO",IF(AND(ISNUMBER(K248),ISNUMBER(L248),ABS(K248-L248)/MAX(ABS(IF(OR($B$4="Financeiro",$B$4="PCs"),K248,L248)),1)&gt;$D$4),"DIVERGENTE","OK")))</f>
        <v/>
      </c>
    </row>
    <row r="249" hidden="1" outlineLevel="1" s="289">
      <c r="A249" s="147">
        <f>IF(historico_VU!A197="","",historico_VU!A197)</f>
        <v/>
      </c>
      <c r="B249" s="148">
        <f>IF(A249="","",historico_VU!B197)</f>
        <v/>
      </c>
      <c r="C249" s="149">
        <f>IF(A249="","",historico_VU!C197)</f>
        <v/>
      </c>
      <c r="D249" s="149">
        <f>IF(A249="","",historico_VU!D197)</f>
        <v/>
      </c>
      <c r="E249" s="149">
        <f>IF(A249="","",historico_VU!E197)</f>
        <v/>
      </c>
      <c r="F249" s="149">
        <f>IF(A249="","",historico_VU!F197)</f>
        <v/>
      </c>
      <c r="G249" s="149">
        <f>IF(A249="","",historico_VU!G197)</f>
        <v/>
      </c>
      <c r="H249" s="150">
        <f>IF(A249="","",historico_VU!H197)</f>
        <v/>
      </c>
      <c r="I249" s="62" t="n"/>
      <c r="J249" s="147">
        <f>IF(itens_Remanesc!A197="","",itens_Remanesc!A197)</f>
        <v/>
      </c>
      <c r="K249" s="148">
        <f>IF(J249="","",IF($F$4="C0",itens_Remanesc!B197,IF($F$4="C1",itens_Remanesc!E197,IF($F$4="C2",itens_Remanesc!G197,IF($F$4="C3",itens_Remanesc!I197,itens_Remanesc!K197)))))</f>
        <v/>
      </c>
      <c r="L249" s="148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372">
        <f>IF(J249="","",itens_Remanesc!C197)</f>
        <v/>
      </c>
      <c r="N249" s="372">
        <f>IF(J249="","",IF($F$4="C0",historico_VU!C197,IF($F$4="C1",historico_VU!D197,IF($F$4="C2",historico_VU!E197,IF($F$4="C3",historico_VU!F197,historico_VU!G197)))))</f>
        <v/>
      </c>
      <c r="O249" s="372">
        <f>IF(J249="","",IF(OR($B$4="Financeiro",$B$4="PCs"),IF(OR(K249="",M249=""),"",ROUND(K249*M249,2)),IF($B$4="Itens",IF(OR(L249="",M249=""),"",ROUND(L249*M249,2)),"")))</f>
        <v/>
      </c>
      <c r="P249" s="372">
        <f>IF(J249="","",IF(OR($B$4="Financeiro",$B$4="PCs"),IF(OR(K249="",N249=""),"",ROUND(K249*N249,2)),IF($B$4="Itens",IF(OR(L249="",N249=""),"",ROUND(L249*N249,2)),"")))</f>
        <v/>
      </c>
      <c r="Q249" s="152">
        <f>IF(J249="","",IF(OR(M249="",AND(OR($B$4="Financeiro",$B$4="PCs"),K249=""),AND($B$4="Itens",L249="")),"INCOMPLETO",IF(AND(ISNUMBER(K249),ISNUMBER(L249),ABS(K249-L249)/MAX(ABS(IF(OR($B$4="Financeiro",$B$4="PCs"),K249,L249)),1)&gt;$D$4),"DIVERGENTE","OK")))</f>
        <v/>
      </c>
    </row>
    <row r="250" hidden="1" outlineLevel="1" s="289">
      <c r="A250" s="147">
        <f>IF(historico_VU!A198="","",historico_VU!A198)</f>
        <v/>
      </c>
      <c r="B250" s="148">
        <f>IF(A250="","",historico_VU!B198)</f>
        <v/>
      </c>
      <c r="C250" s="149">
        <f>IF(A250="","",historico_VU!C198)</f>
        <v/>
      </c>
      <c r="D250" s="149">
        <f>IF(A250="","",historico_VU!D198)</f>
        <v/>
      </c>
      <c r="E250" s="149">
        <f>IF(A250="","",historico_VU!E198)</f>
        <v/>
      </c>
      <c r="F250" s="149">
        <f>IF(A250="","",historico_VU!F198)</f>
        <v/>
      </c>
      <c r="G250" s="149">
        <f>IF(A250="","",historico_VU!G198)</f>
        <v/>
      </c>
      <c r="H250" s="150">
        <f>IF(A250="","",historico_VU!H198)</f>
        <v/>
      </c>
      <c r="I250" s="62" t="n"/>
      <c r="J250" s="147">
        <f>IF(itens_Remanesc!A198="","",itens_Remanesc!A198)</f>
        <v/>
      </c>
      <c r="K250" s="148">
        <f>IF(J250="","",IF($F$4="C0",itens_Remanesc!B198,IF($F$4="C1",itens_Remanesc!E198,IF($F$4="C2",itens_Remanesc!G198,IF($F$4="C3",itens_Remanesc!I198,itens_Remanesc!K198)))))</f>
        <v/>
      </c>
      <c r="L250" s="148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372">
        <f>IF(J250="","",itens_Remanesc!C198)</f>
        <v/>
      </c>
      <c r="N250" s="372">
        <f>IF(J250="","",IF($F$4="C0",historico_VU!C198,IF($F$4="C1",historico_VU!D198,IF($F$4="C2",historico_VU!E198,IF($F$4="C3",historico_VU!F198,historico_VU!G198)))))</f>
        <v/>
      </c>
      <c r="O250" s="372">
        <f>IF(J250="","",IF(OR($B$4="Financeiro",$B$4="PCs"),IF(OR(K250="",M250=""),"",ROUND(K250*M250,2)),IF($B$4="Itens",IF(OR(L250="",M250=""),"",ROUND(L250*M250,2)),"")))</f>
        <v/>
      </c>
      <c r="P250" s="372">
        <f>IF(J250="","",IF(OR($B$4="Financeiro",$B$4="PCs"),IF(OR(K250="",N250=""),"",ROUND(K250*N250,2)),IF($B$4="Itens",IF(OR(L250="",N250=""),"",ROUND(L250*N250,2)),"")))</f>
        <v/>
      </c>
      <c r="Q250" s="152">
        <f>IF(J250="","",IF(OR(M250="",AND(OR($B$4="Financeiro",$B$4="PCs"),K250=""),AND($B$4="Itens",L250="")),"INCOMPLETO",IF(AND(ISNUMBER(K250),ISNUMBER(L250),ABS(K250-L250)/MAX(ABS(IF(OR($B$4="Financeiro",$B$4="PCs"),K250,L250)),1)&gt;$D$4),"DIVERGENTE","OK")))</f>
        <v/>
      </c>
    </row>
    <row r="251" hidden="1" outlineLevel="1" s="289">
      <c r="A251" s="147">
        <f>IF(historico_VU!A199="","",historico_VU!A199)</f>
        <v/>
      </c>
      <c r="B251" s="148">
        <f>IF(A251="","",historico_VU!B199)</f>
        <v/>
      </c>
      <c r="C251" s="149">
        <f>IF(A251="","",historico_VU!C199)</f>
        <v/>
      </c>
      <c r="D251" s="149">
        <f>IF(A251="","",historico_VU!D199)</f>
        <v/>
      </c>
      <c r="E251" s="149">
        <f>IF(A251="","",historico_VU!E199)</f>
        <v/>
      </c>
      <c r="F251" s="149">
        <f>IF(A251="","",historico_VU!F199)</f>
        <v/>
      </c>
      <c r="G251" s="149">
        <f>IF(A251="","",historico_VU!G199)</f>
        <v/>
      </c>
      <c r="H251" s="150">
        <f>IF(A251="","",historico_VU!H199)</f>
        <v/>
      </c>
      <c r="I251" s="62" t="n"/>
      <c r="J251" s="147">
        <f>IF(itens_Remanesc!A199="","",itens_Remanesc!A199)</f>
        <v/>
      </c>
      <c r="K251" s="148">
        <f>IF(J251="","",IF($F$4="C0",itens_Remanesc!B199,IF($F$4="C1",itens_Remanesc!E199,IF($F$4="C2",itens_Remanesc!G199,IF($F$4="C3",itens_Remanesc!I199,itens_Remanesc!K199)))))</f>
        <v/>
      </c>
      <c r="L251" s="148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372">
        <f>IF(J251="","",itens_Remanesc!C199)</f>
        <v/>
      </c>
      <c r="N251" s="372">
        <f>IF(J251="","",IF($F$4="C0",historico_VU!C199,IF($F$4="C1",historico_VU!D199,IF($F$4="C2",historico_VU!E199,IF($F$4="C3",historico_VU!F199,historico_VU!G199)))))</f>
        <v/>
      </c>
      <c r="O251" s="372">
        <f>IF(J251="","",IF(OR($B$4="Financeiro",$B$4="PCs"),IF(OR(K251="",M251=""),"",ROUND(K251*M251,2)),IF($B$4="Itens",IF(OR(L251="",M251=""),"",ROUND(L251*M251,2)),"")))</f>
        <v/>
      </c>
      <c r="P251" s="372">
        <f>IF(J251="","",IF(OR($B$4="Financeiro",$B$4="PCs"),IF(OR(K251="",N251=""),"",ROUND(K251*N251,2)),IF($B$4="Itens",IF(OR(L251="",N251=""),"",ROUND(L251*N251,2)),"")))</f>
        <v/>
      </c>
      <c r="Q251" s="152">
        <f>IF(J251="","",IF(OR(M251="",AND(OR($B$4="Financeiro",$B$4="PCs"),K251=""),AND($B$4="Itens",L251="")),"INCOMPLETO",IF(AND(ISNUMBER(K251),ISNUMBER(L251),ABS(K251-L251)/MAX(ABS(IF(OR($B$4="Financeiro",$B$4="PCs"),K251,L251)),1)&gt;$D$4),"DIVERGENTE","OK")))</f>
        <v/>
      </c>
    </row>
    <row r="252" hidden="1" outlineLevel="1" s="289">
      <c r="A252" s="147">
        <f>IF(historico_VU!A200="","",historico_VU!A200)</f>
        <v/>
      </c>
      <c r="B252" s="148">
        <f>IF(A252="","",historico_VU!B200)</f>
        <v/>
      </c>
      <c r="C252" s="149">
        <f>IF(A252="","",historico_VU!C200)</f>
        <v/>
      </c>
      <c r="D252" s="149">
        <f>IF(A252="","",historico_VU!D200)</f>
        <v/>
      </c>
      <c r="E252" s="149">
        <f>IF(A252="","",historico_VU!E200)</f>
        <v/>
      </c>
      <c r="F252" s="149">
        <f>IF(A252="","",historico_VU!F200)</f>
        <v/>
      </c>
      <c r="G252" s="149">
        <f>IF(A252="","",historico_VU!G200)</f>
        <v/>
      </c>
      <c r="H252" s="150">
        <f>IF(A252="","",historico_VU!H200)</f>
        <v/>
      </c>
      <c r="I252" s="62" t="n"/>
      <c r="J252" s="147">
        <f>IF(itens_Remanesc!A200="","",itens_Remanesc!A200)</f>
        <v/>
      </c>
      <c r="K252" s="148">
        <f>IF(J252="","",IF($F$4="C0",itens_Remanesc!B200,IF($F$4="C1",itens_Remanesc!E200,IF($F$4="C2",itens_Remanesc!G200,IF($F$4="C3",itens_Remanesc!I200,itens_Remanesc!K200)))))</f>
        <v/>
      </c>
      <c r="L252" s="148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372">
        <f>IF(J252="","",itens_Remanesc!C200)</f>
        <v/>
      </c>
      <c r="N252" s="372">
        <f>IF(J252="","",IF($F$4="C0",historico_VU!C200,IF($F$4="C1",historico_VU!D200,IF($F$4="C2",historico_VU!E200,IF($F$4="C3",historico_VU!F200,historico_VU!G200)))))</f>
        <v/>
      </c>
      <c r="O252" s="372">
        <f>IF(J252="","",IF(OR($B$4="Financeiro",$B$4="PCs"),IF(OR(K252="",M252=""),"",ROUND(K252*M252,2)),IF($B$4="Itens",IF(OR(L252="",M252=""),"",ROUND(L252*M252,2)),"")))</f>
        <v/>
      </c>
      <c r="P252" s="372">
        <f>IF(J252="","",IF(OR($B$4="Financeiro",$B$4="PCs"),IF(OR(K252="",N252=""),"",ROUND(K252*N252,2)),IF($B$4="Itens",IF(OR(L252="",N252=""),"",ROUND(L252*N252,2)),"")))</f>
        <v/>
      </c>
      <c r="Q252" s="152">
        <f>IF(J252="","",IF(OR(M252="",AND(OR($B$4="Financeiro",$B$4="PCs"),K252=""),AND($B$4="Itens",L252="")),"INCOMPLETO",IF(AND(ISNUMBER(K252),ISNUMBER(L252),ABS(K252-L252)/MAX(ABS(IF(OR($B$4="Financeiro",$B$4="PCs"),K252,L252)),1)&gt;$D$4),"DIVERGENTE","OK")))</f>
        <v/>
      </c>
    </row>
    <row r="253" hidden="1" outlineLevel="1" s="289">
      <c r="A253" s="147">
        <f>IF(historico_VU!A201="","",historico_VU!A201)</f>
        <v/>
      </c>
      <c r="B253" s="148">
        <f>IF(A253="","",historico_VU!B201)</f>
        <v/>
      </c>
      <c r="C253" s="149">
        <f>IF(A253="","",historico_VU!C201)</f>
        <v/>
      </c>
      <c r="D253" s="149">
        <f>IF(A253="","",historico_VU!D201)</f>
        <v/>
      </c>
      <c r="E253" s="149">
        <f>IF(A253="","",historico_VU!E201)</f>
        <v/>
      </c>
      <c r="F253" s="149">
        <f>IF(A253="","",historico_VU!F201)</f>
        <v/>
      </c>
      <c r="G253" s="149">
        <f>IF(A253="","",historico_VU!G201)</f>
        <v/>
      </c>
      <c r="H253" s="150">
        <f>IF(A253="","",historico_VU!H201)</f>
        <v/>
      </c>
      <c r="I253" s="62" t="n"/>
      <c r="J253" s="147">
        <f>""</f>
        <v/>
      </c>
      <c r="K253" s="148">
        <f>""</f>
        <v/>
      </c>
      <c r="L253" s="148">
        <f>""</f>
        <v/>
      </c>
      <c r="M253" s="372">
        <f>""</f>
        <v/>
      </c>
      <c r="N253" s="372">
        <f>""</f>
        <v/>
      </c>
      <c r="O253" s="372">
        <f>IF(J253="","",IF(OR($B$4="Financeiro",$B$4="PCs"),IF(OR(K253="",M253=""),"",ROUND(K253*M253,2)),IF($B$4="Itens",IF(OR(L253="",M253=""),"",ROUND(L253*M253,2)),"")))</f>
        <v/>
      </c>
      <c r="P253" s="372">
        <f>IF(J253="","",IF(OR($B$4="Financeiro",$B$4="PCs"),IF(OR(K253="",N253=""),"",ROUND(K253*N253,2)),IF($B$4="Itens",IF(OR(L253="",N253=""),"",ROUND(L253*N253,2)),"")))</f>
        <v/>
      </c>
      <c r="Q253" s="152">
        <f>IF(J253="","",IF(OR(M253="",AND(OR($B$4="Financeiro",$B$4="PCs"),K253=""),AND($B$4="Itens",L253="")),"INCOMPLETO",IF(AND(ISNUMBER(K253),ISNUMBER(L253),ABS(K253-L253)/MAX(ABS(IF(OR($B$4="Financeiro",$B$4="PCs"),K253,L253)),1)&gt;$D$4),"DIVERGENTE","OK")))</f>
        <v/>
      </c>
    </row>
    <row r="255" collapsed="1" s="289"/>
    <row r="256" hidden="1" outlineLevel="1" s="289">
      <c r="A256" s="293" t="inlineStr">
        <is>
          <t>EIXO 5 - EXECUCAO HISTORICA FORA DA ANALISE | apoio a decisao; so integra o VTA via VALOR ADOTADO (governado, nunca automatico)</t>
        </is>
      </c>
    </row>
    <row r="257" hidden="1" outlineLevel="1" ht="26" customHeight="1" s="289">
      <c r="A257" s="128" t="inlineStr">
        <is>
          <t>CICLO</t>
        </is>
      </c>
      <c r="B257" s="128" t="inlineStr">
        <is>
          <t>SITUACAO DO CICLO</t>
        </is>
      </c>
      <c r="C257" s="128" t="inlineStr">
        <is>
          <t>FONTE</t>
        </is>
      </c>
      <c r="D257" s="128" t="inlineStr">
        <is>
          <t>COBERTURA</t>
        </is>
      </c>
      <c r="E257" s="128" t="inlineStr">
        <is>
          <t>QTD EXECUTADA RECONSTRUIDA</t>
        </is>
      </c>
      <c r="F257" s="128" t="inlineStr">
        <is>
          <t>QTD COBERTA</t>
        </is>
      </c>
      <c r="G257" s="62" t="inlineStr">
        <is>
          <t>QTD NAO COBERTA</t>
        </is>
      </c>
      <c r="H257" s="62" t="inlineStr">
        <is>
          <t>FATOR CHEIO</t>
        </is>
      </c>
      <c r="I257" s="62" t="inlineStr">
        <is>
          <t>FATOR BASE PRATICADO</t>
        </is>
      </c>
      <c r="J257" s="62" t="inlineStr">
        <is>
          <t>DELTA DO FATOR DA APURACAO</t>
        </is>
      </c>
      <c r="K257" s="62" t="inlineStr">
        <is>
          <t>ATUALIZACAO ANTERIOR POTENCIAL</t>
        </is>
      </c>
      <c r="L257" s="62" t="inlineStr">
        <is>
          <t>ATUALIZACAO ATUAL NAO COBERTA</t>
        </is>
      </c>
      <c r="M257" s="62" t="inlineStr">
        <is>
          <t>COMPLEMENTO HISTORICO POTENCIAL</t>
        </is>
      </c>
      <c r="N257" s="62" t="inlineStr">
        <is>
          <t>VALOR ADOTADO</t>
        </is>
      </c>
      <c r="O257" s="62" t="inlineStr">
        <is>
          <t>STATUS / CHECK</t>
        </is>
      </c>
    </row>
    <row r="258" hidden="1" outlineLevel="1" s="289">
      <c r="A258" t="inlineStr">
        <is>
          <t>C0</t>
        </is>
      </c>
      <c r="B258">
        <f>IF(parametros!$F$11="Base","BASE",IF(parametros!$F$11="Aplicado","APLICADO NA APURACAO",IF(parametros!$G$11="Sim","FORA - FORMALIZADO",IF(parametros!$G$11="Nao","FORA - NAO FORMALIZADO","FORA - NAO COMPROVADO"))))</f>
        <v/>
      </c>
      <c r="C258">
        <f>$B$4</f>
        <v/>
      </c>
      <c r="D258">
        <f>IF($B$4&lt;&gt;"Itens","NAO RECONCILIAVEL",IF(E258="","SEM EXECUCAO",IF(AND(ISNUMBER(F258),F258&gt;E258),"COBERTURA SUPERIOR",IF(G258=0,"COMPLETA",IF(G258=E258,"AUSENTE","PARCIAL")))))</f>
        <v/>
      </c>
      <c r="E258" s="192">
        <f>IF(COUNT(itens_Remanesc!AB$2:AB$200)=0,"",ROUND(SUM(itens_Remanesc!AB$2:AB$200),2))</f>
        <v/>
      </c>
      <c r="F258" s="192">
        <f>IF(OR(E258="",$B$4&lt;&gt;"Itens"),"n/d",ROUND(SUM(itens_Remanesc!AO$2:AO$200),2))</f>
        <v/>
      </c>
      <c r="G258" s="192">
        <f>IF(OR(E258="",$B$4&lt;&gt;"Itens"),"n/d",ROUND(SUM(itens_Remanesc!AP$2:AP$200),2))</f>
        <v/>
      </c>
      <c r="H258" s="193">
        <f>IF(ISNUMBER(parametros!$F$2),parametros!$F$2,"")</f>
        <v/>
      </c>
      <c r="I258" s="193">
        <f>IF(ISNUMBER(parametros!$D$11),parametros!$F$2/parametros!$D$11,IF(parametros!$G$11="Sim",parametros!$F$2,""))</f>
        <v/>
      </c>
      <c r="J258" s="193">
        <f>IF(OR(H258="",I258=""),"",ROUND(H258-I258,2))</f>
        <v/>
      </c>
      <c r="K258" s="192">
        <f>IF(I258="","",ROUND(SUM(itens_Remanesc!AQ$2:AQ$200),2))</f>
        <v/>
      </c>
      <c r="L258" s="192">
        <f>IF(OR(I258="",$B$4&lt;&gt;"Itens"),"",ROUND(SUM(itens_Remanesc!AR$2:AR$200),2))</f>
        <v/>
      </c>
      <c r="M258" s="192">
        <f>IF(AND(K258="",L258=""),"",ROUND(IF(ISNUMBER(K258),K258,0)+IF(ISNUMBER(L258),L258,0),2))</f>
        <v/>
      </c>
      <c r="N258" s="192">
        <f>IF(AND(RESULTADOS!$G$46="Sim",ISNUMBER(RESULTADOS!$C$46),RESULTADOS!$C$46&gt;=0),RESULTADOS!$C$46,"")</f>
        <v/>
      </c>
      <c r="O258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/>
      </c>
    </row>
    <row r="259" hidden="1" outlineLevel="1" s="289">
      <c r="A259" t="inlineStr">
        <is>
          <t>C1</t>
        </is>
      </c>
      <c r="B259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/>
      </c>
      <c r="C259">
        <f>$B$4</f>
        <v/>
      </c>
      <c r="D259">
        <f>IF($B$4&lt;&gt;"Itens","NAO RECONCILIAVEL",IF(E259="","SEM EXECUCAO",IF(AND(ISNUMBER(F259),F259&gt;E259),"COBERTURA SUPERIOR",IF(G259=0,"COMPLETA",IF(G259=E259,"AUSENTE","PARCIAL")))))</f>
        <v/>
      </c>
      <c r="E259" s="192">
        <f>IF(COUNT(itens_Remanesc!M$2:M$200)=0,"",ROUND(SUM(itens_Remanesc!M$2:M$200),2))</f>
        <v/>
      </c>
      <c r="F259" s="192">
        <f>IF(OR(E259="",$B$4&lt;&gt;"Itens"),"n/d",ROUND(SUM(itens_Remanesc!AS$2:AS$200),2))</f>
        <v/>
      </c>
      <c r="G259" s="192">
        <f>IF(OR(E259="",$B$4&lt;&gt;"Itens"),"n/d",ROUND(SUM(itens_Remanesc!AT$2:AT$200),2))</f>
        <v/>
      </c>
      <c r="H259" s="193">
        <f>IF(ISNUMBER(parametros!$F$3),parametros!$F$3,"")</f>
        <v/>
      </c>
      <c r="I259" s="193">
        <f>IF(ISNUMBER(parametros!$D$12),parametros!$F$3/parametros!$D$12,IF(parametros!$G$12="Sim",parametros!$F$3,""))</f>
        <v/>
      </c>
      <c r="J259" s="193">
        <f>IF(OR(H259="",I259=""),"",ROUND(H259-I259,2))</f>
        <v/>
      </c>
      <c r="K259" s="192">
        <f>IF(I259="","",ROUND(SUM(itens_Remanesc!AU$2:AU$200),2))</f>
        <v/>
      </c>
      <c r="L259" s="192">
        <f>IF(OR(I259="",$B$4&lt;&gt;"Itens"),"",ROUND(SUM(itens_Remanesc!AV$2:AV$200),2))</f>
        <v/>
      </c>
      <c r="M259" s="192">
        <f>IF(AND(K259="",L259=""),"",ROUND(IF(ISNUMBER(K259),K259,0)+IF(ISNUMBER(L259),L259,0),2))</f>
        <v/>
      </c>
      <c r="N259" s="192">
        <f>IF(AND(RESULTADOS!$G$47="Sim",ISNUMBER(RESULTADOS!$C$47),RESULTADOS!$C$47&gt;=0),RESULTADOS!$C$47,"")</f>
        <v/>
      </c>
      <c r="O259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/>
      </c>
    </row>
    <row r="260" hidden="1" outlineLevel="1" s="289">
      <c r="A260" t="inlineStr">
        <is>
          <t>C2</t>
        </is>
      </c>
      <c r="B260">
        <f>IF(parametros!$F$13="Base","BASE",IF(parametros!$F$13="Aplicado","APLICADO NA APURACAO",IF(parametros!$G$13="Sim","FORA - FORMALIZADO",IF(parametros!$G$13="Nao","FORA - NAO FORMALIZADO","FORA - NAO COMPROVADO"))))</f>
        <v/>
      </c>
      <c r="C260">
        <f>$B$4</f>
        <v/>
      </c>
      <c r="D260">
        <f>IF($B$4&lt;&gt;"Itens","NAO RECONCILIAVEL",IF(E260="","SEM EXECUCAO",IF(AND(ISNUMBER(F260),F260&gt;E260),"COBERTURA SUPERIOR",IF(G260=0,"COMPLETA",IF(G260=E260,"AUSENTE","PARCIAL")))))</f>
        <v/>
      </c>
      <c r="E260" s="192">
        <f>IF(COUNT(itens_Remanesc!O$2:O$200)=0,"",ROUND(SUM(itens_Remanesc!O$2:O$200),2))</f>
        <v/>
      </c>
      <c r="F260" s="192">
        <f>IF(OR(E260="",$B$4&lt;&gt;"Itens"),"n/d",ROUND(SUM(itens_Remanesc!AW$2:AW$200),2))</f>
        <v/>
      </c>
      <c r="G260" s="192">
        <f>IF(OR(E260="",$B$4&lt;&gt;"Itens"),"n/d",ROUND(SUM(itens_Remanesc!AX$2:AX$200),2))</f>
        <v/>
      </c>
      <c r="H260" s="193">
        <f>IF(ISNUMBER(parametros!$F$4),parametros!$F$4,"")</f>
        <v/>
      </c>
      <c r="I260" s="193">
        <f>IF(ISNUMBER(parametros!$D$13),parametros!$F$4/parametros!$D$13,IF(parametros!$G$13="Sim",parametros!$F$4,""))</f>
        <v/>
      </c>
      <c r="J260" s="193">
        <f>IF(OR(H260="",I260=""),"",ROUND(H260-I260,2))</f>
        <v/>
      </c>
      <c r="K260" s="192">
        <f>IF(I260="","",ROUND(SUM(itens_Remanesc!AY$2:AY$200),2))</f>
        <v/>
      </c>
      <c r="L260" s="192">
        <f>IF(OR(I260="",$B$4&lt;&gt;"Itens"),"",ROUND(SUM(itens_Remanesc!AZ$2:AZ$200),2))</f>
        <v/>
      </c>
      <c r="M260" s="192">
        <f>IF(AND(K260="",L260=""),"",ROUND(IF(ISNUMBER(K260),K260,0)+IF(ISNUMBER(L260),L260,0),2))</f>
        <v/>
      </c>
      <c r="N260" s="192">
        <f>IF(AND(RESULTADOS!$G$48="Sim",ISNUMBER(RESULTADOS!$C$48),RESULTADOS!$C$48&gt;=0),RESULTADOS!$C$48,"")</f>
        <v/>
      </c>
      <c r="O260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/>
      </c>
    </row>
    <row r="261" hidden="1" outlineLevel="1" s="289">
      <c r="A261" t="inlineStr">
        <is>
          <t>C3</t>
        </is>
      </c>
      <c r="B261">
        <f>IF(parametros!$F$14="Base","BASE",IF(parametros!$F$14="Aplicado","APLICADO NA APURACAO",IF(parametros!$G$14="Sim","FORA - FORMALIZADO",IF(parametros!$G$14="Nao","FORA - NAO FORMALIZADO","FORA - NAO COMPROVADO"))))</f>
        <v/>
      </c>
      <c r="C261">
        <f>$B$4</f>
        <v/>
      </c>
      <c r="D261">
        <f>IF($B$4&lt;&gt;"Itens","NAO RECONCILIAVEL",IF(E261="","SEM EXECUCAO",IF(AND(ISNUMBER(F261),F261&gt;E261),"COBERTURA SUPERIOR",IF(G261=0,"COMPLETA",IF(G261=E261,"AUSENTE","PARCIAL")))))</f>
        <v/>
      </c>
      <c r="E261" s="192">
        <f>IF(COUNT(itens_Remanesc!Q$2:Q$200)=0,"",ROUND(SUM(itens_Remanesc!Q$2:Q$200),2))</f>
        <v/>
      </c>
      <c r="F261" s="192">
        <f>IF(OR(E261="",$B$4&lt;&gt;"Itens"),"n/d",ROUND(SUM(itens_Remanesc!BA$2:BA$200),2))</f>
        <v/>
      </c>
      <c r="G261" s="192">
        <f>IF(OR(E261="",$B$4&lt;&gt;"Itens"),"n/d",ROUND(SUM(itens_Remanesc!BB$2:BB$200),2))</f>
        <v/>
      </c>
      <c r="H261" s="193">
        <f>IF(ISNUMBER(parametros!$F$5),parametros!$F$5,"")</f>
        <v/>
      </c>
      <c r="I261" s="193">
        <f>IF(ISNUMBER(parametros!$D$14),parametros!$F$5/parametros!$D$14,IF(parametros!$G$14="Sim",parametros!$F$5,""))</f>
        <v/>
      </c>
      <c r="J261" s="193">
        <f>IF(OR(H261="",I261=""),"",ROUND(H261-I261,2))</f>
        <v/>
      </c>
      <c r="K261" s="192">
        <f>IF(I261="","",ROUND(SUM(itens_Remanesc!BC$2:BC$200),2))</f>
        <v/>
      </c>
      <c r="L261" s="192">
        <f>IF(OR(I261="",$B$4&lt;&gt;"Itens"),"",ROUND(SUM(itens_Remanesc!BD$2:BD$200),2))</f>
        <v/>
      </c>
      <c r="M261" s="192">
        <f>IF(AND(K261="",L261=""),"",ROUND(IF(ISNUMBER(K261),K261,0)+IF(ISNUMBER(L261),L261,0),2))</f>
        <v/>
      </c>
      <c r="N261" s="192">
        <f>IF(AND(RESULTADOS!$G$49="Sim",ISNUMBER(RESULTADOS!$C$49),RESULTADOS!$C$49&gt;=0),RESULTADOS!$C$49,"")</f>
        <v/>
      </c>
      <c r="O261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/>
      </c>
    </row>
    <row r="262" hidden="1" outlineLevel="1" s="289">
      <c r="A262" t="inlineStr">
        <is>
          <t>C4</t>
        </is>
      </c>
      <c r="B262">
        <f>IF(parametros!$F$15="Base","BASE",IF(parametros!$F$15="Aplicado","APLICADO NA APURACAO",IF(parametros!$G$15="Sim","FORA - FORMALIZADO",IF(parametros!$G$15="Nao","FORA - NAO FORMALIZADO","FORA - NAO COMPROVADO"))))</f>
        <v/>
      </c>
      <c r="C262">
        <f>$B$4</f>
        <v/>
      </c>
      <c r="D262">
        <f>IF($B$4&lt;&gt;"Itens","NAO RECONCILIAVEL",IF(E262="","SEM EXECUCAO",IF(AND(ISNUMBER(F262),F262&gt;E262),"COBERTURA SUPERIOR",IF(G262=0,"COMPLETA",IF(G262=E262,"AUSENTE","PARCIAL")))))</f>
        <v/>
      </c>
      <c r="E262" s="192">
        <f>IF(COUNT(itens_Remanesc!S$2:S$200)=0,"",ROUND(SUM(itens_Remanesc!S$2:S$200),2))</f>
        <v/>
      </c>
      <c r="F262" s="192">
        <f>IF(OR(E262="",$B$4&lt;&gt;"Itens"),"n/d",ROUND(SUM(itens_Remanesc!BE$2:BE$200),2))</f>
        <v/>
      </c>
      <c r="G262" s="192">
        <f>IF(OR(E262="",$B$4&lt;&gt;"Itens"),"n/d",ROUND(SUM(itens_Remanesc!BF$2:BF$200),2))</f>
        <v/>
      </c>
      <c r="H262" s="193">
        <f>IF(ISNUMBER(parametros!$F$6),parametros!$F$6,"")</f>
        <v/>
      </c>
      <c r="I262" s="193">
        <f>IF(ISNUMBER(parametros!$D$15),parametros!$F$6/parametros!$D$15,IF(parametros!$G$15="Sim",parametros!$F$6,""))</f>
        <v/>
      </c>
      <c r="J262" s="193">
        <f>IF(OR(H262="",I262=""),"",ROUND(H262-I262,2))</f>
        <v/>
      </c>
      <c r="K262" s="192">
        <f>IF(I262="","",ROUND(SUM(itens_Remanesc!BG$2:BG$200),2))</f>
        <v/>
      </c>
      <c r="L262" s="192">
        <f>IF(OR(I262="",$B$4&lt;&gt;"Itens"),"",ROUND(SUM(itens_Remanesc!BH$2:BH$200),2))</f>
        <v/>
      </c>
      <c r="M262" s="192">
        <f>IF(AND(K262="",L262=""),"",ROUND(IF(ISNUMBER(K262),K262,0)+IF(ISNUMBER(L262),L262,0),2))</f>
        <v/>
      </c>
      <c r="N262" s="192">
        <f>IF(AND(RESULTADOS!$G$50="Sim",ISNUMBER(RESULTADOS!$C$50),RESULTADOS!$C$50&gt;=0),RESULTADOS!$C$50,"")</f>
        <v/>
      </c>
      <c r="O262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/>
      </c>
    </row>
    <row r="263" hidden="1" outlineLevel="1" s="289">
      <c r="A263" t="inlineStr">
        <is>
          <t>TOTAIS</t>
        </is>
      </c>
      <c r="E263" s="192" t="n"/>
      <c r="F263" s="192" t="n"/>
      <c r="G263" s="192" t="n"/>
      <c r="H263" s="192" t="n"/>
      <c r="I263" s="192" t="n"/>
      <c r="J263" s="192" t="inlineStr">
        <is>
          <t>TOTAL ADOTADO -&gt;</t>
        </is>
      </c>
      <c r="K263" s="192">
        <f>IF(COUNT(K258:K262)=0,"",ROUND(SUM(K258:K262),2))</f>
        <v/>
      </c>
      <c r="L263" s="192">
        <f>IF(COUNT(L258:L262)=0,"",ROUND(SUM(L258:L262),2))</f>
        <v/>
      </c>
      <c r="M263" s="192">
        <f>IF(COUNT(M258:M262)=0,"",ROUND(SUM(M258:M262),2))</f>
        <v/>
      </c>
      <c r="N263" s="192">
        <f>ROUND(SUM(N258:N262),2)</f>
        <v/>
      </c>
    </row>
    <row r="264">
      <c r="A264" t="inlineStr">
        <is>
          <t>PARCELA A = atualizacao anterior praticada (QTD_EXEC*VU*(fator_base-1)); PARCELA B = atualizacao atual nao coberta (QTD_NAO_COB*VU*(fator_cheio-fator_base)). VALOR ADOTADO e decisao humana (vazio padrao, zero ok, negativo nao).</t>
        </is>
      </c>
    </row>
    <row r="265">
      <c r="A265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/>
      </c>
    </row>
    <row r="267">
      <c r="A267" s="293" t="inlineStr">
        <is>
          <t>POSICAO DE REFERENCIA DO CONTRATO | valor de referencia - NAO e o VTA; B23 (VTA calculado) e B26 (VTA FINAL) permanecem o VTA oficial</t>
        </is>
      </c>
    </row>
    <row r="268">
      <c r="A268" t="inlineStr">
        <is>
          <t>Data da posicao de referencia</t>
        </is>
      </c>
      <c r="B268" s="195">
        <f>IF(posicao_referencia!$I$5="","",posicao_referencia!$I$5)</f>
        <v/>
      </c>
    </row>
    <row r="269">
      <c r="A269" t="inlineStr">
        <is>
          <t>Origem da posicao de referencia</t>
        </is>
      </c>
      <c r="B269">
        <f>posicao_referencia!$I$8</f>
        <v/>
      </c>
    </row>
    <row r="270">
      <c r="A270" t="inlineStr">
        <is>
          <t>Ciclo de referencia</t>
        </is>
      </c>
      <c r="B270">
        <f>IF(posicao_referencia!$I$4="","INDISPONIVEL",posicao_referencia!$I$4)</f>
        <v/>
      </c>
    </row>
    <row r="271">
      <c r="A271" t="inlineStr">
        <is>
          <t>Valor remanescente na abertura do ciclo de referencia</t>
        </is>
      </c>
      <c r="B271" s="192">
        <f>IF(COUNT(posicao_referencia!$R$2:$R$200)=0,"",ROUND(SUM(posicao_referencia!$R$2:$R$200),2))</f>
        <v/>
      </c>
    </row>
    <row r="272">
      <c r="A272" t="inlineStr">
        <is>
          <t>Valor remanescente atualizado na posicao de referencia</t>
        </is>
      </c>
      <c r="B272" s="192">
        <f>IF(COUNT(posicao_referencia!$O$2:$O$200)=0,"",ROUND(SUM(posicao_referencia!$O$2:$O$200),2))</f>
        <v/>
      </c>
    </row>
    <row r="273">
      <c r="A273" t="inlineStr">
        <is>
          <t>Qtd executada desde a abertura (reconciliavel)</t>
        </is>
      </c>
      <c r="B273" s="192">
        <f>IF(COUNT(posicao_referencia!$N$2:$N$200)=0,"",ROUND(SUM(posicao_referencia!$N$2:$N$200),2))</f>
        <v/>
      </c>
    </row>
    <row r="274">
      <c r="A274" t="inlineStr">
        <is>
          <t>Valor executado desde a abertura (reconciliavel)</t>
        </is>
      </c>
      <c r="B274" s="192">
        <f>IF(COUNT(posicao_referencia!$P$2:$P$200)=0,"",ROUND(SUM(posicao_referencia!$P$2:$P$200),2))</f>
        <v/>
      </c>
    </row>
    <row r="275">
      <c r="A275" t="inlineStr">
        <is>
          <t>Status da reconciliacao</t>
        </is>
      </c>
      <c r="B275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/>
      </c>
    </row>
    <row r="276">
      <c r="A276" t="inlineStr">
        <is>
          <t>Identidade de conservacao (abertura+delta = exec+referencia)</t>
        </is>
      </c>
      <c r="B276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>
      <c r="A277" t="inlineStr">
        <is>
      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      </is>
      </c>
    </row>
    <row r="280">
      <c r="A280" s="203" t="inlineStr">
        <is>
          <t>NOTAS TECNICAS</t>
        </is>
      </c>
    </row>
    <row r="281">
      <c r="A281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</row>
    <row r="282">
      <c r="A282" t="inlineStr">
        <is>
          <t>Referência do VTA: valor original do contrato + retroativo oficial + (remanescente atualizado − remanescente em base original). Aditivos ou bases contraditórias impedem o fechamento automático.</t>
        </is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52:H52"/>
    <mergeCell ref="A30:J30"/>
    <mergeCell ref="D25:J25"/>
    <mergeCell ref="A48:J48"/>
    <mergeCell ref="D24:J24"/>
    <mergeCell ref="E26:J26"/>
    <mergeCell ref="A2:J2"/>
    <mergeCell ref="J52:Q52"/>
    <mergeCell ref="D5:J5"/>
    <mergeCell ref="A19:J19"/>
    <mergeCell ref="A49:J49"/>
  </mergeCells>
  <conditionalFormatting sqref="E26:J26">
    <cfRule type="expression" priority="3" dxfId="16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16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16">
      <formula>OR(ISNUMBER(SEARCH("MANUAL",F36)),ISNUMBER(SEARCH("DIVERGENTE",F36)),ISNUMBER(SEARCH("INCOMPLETO",F36)))</formula>
    </cfRule>
  </conditionalFormatting>
  <conditionalFormatting sqref="J4">
    <cfRule type="expression" priority="1" dxfId="16">
      <formula>OR(ISNUMBER(SEARCH("MANUAL",J4)),ISNUMBER(SEARCH("DIVERGENTE",J4)),ISNUMBER(SEARCH("INCOMPLETO",J4)),ISNUMBER(SEARCH("CORRIGIR",J4)))</formula>
    </cfRule>
  </conditionalFormatting>
  <conditionalFormatting sqref="Q54:Q253">
    <cfRule type="expression" priority="5" dxfId="16">
      <formula>OR(Q54="DIVERGENTE",Q54="INCOMPLETO",Q54="MANUAL")</formula>
    </cfRule>
  </conditionalFormatting>
  <dataValidations count="2">
    <dataValidation sqref="D4" showDropDown="0" showInputMessage="0" showErrorMessage="0" allowBlank="0" type="decimal">
      <formula1>0</formula1>
      <formula2>1</formula2>
    </dataValidation>
    <dataValidation sqref="N258:N262" showDropDown="0" showInputMessage="1" showErrorMessage="1" allowBlank="1" error="VALOR ADOTADO deve ser &gt;= 0 (zero permitido)." type="decimal" operator="greaterThanOrEqual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8A1538"/>
    <outlinePr summaryBelow="1" summaryRight="1"/>
    <pageSetUpPr fitToPage="1"/>
  </sheetPr>
  <dimension ref="A1:J52"/>
  <sheetViews>
    <sheetView showGridLines="0" workbookViewId="0">
      <selection activeCell="C43" sqref="C43"/>
    </sheetView>
  </sheetViews>
  <sheetFormatPr baseColWidth="8" defaultRowHeight="13"/>
  <cols>
    <col width="31.6328125" customWidth="1" style="233" min="1" max="1"/>
    <col width="22.6328125" customWidth="1" style="233" min="2" max="3"/>
    <col width="34.6328125" customWidth="1" style="233" min="4" max="4"/>
    <col width="22.6328125" customWidth="1" style="233" min="5" max="5"/>
    <col width="14.6328125" customWidth="1" style="233" min="6" max="6"/>
    <col width="13.6328125" customWidth="1" style="233" min="7" max="7"/>
    <col width="24.6328125" customWidth="1" style="233" min="8" max="8"/>
    <col width="8.7265625" customWidth="1" style="233" min="9" max="9"/>
    <col hidden="1" style="233" min="10" max="14"/>
    <col width="8.7265625" customWidth="1" style="233" min="15" max="16384"/>
  </cols>
  <sheetData>
    <row r="1" ht="30" customHeight="1" s="289">
      <c r="A1" s="232" t="inlineStr">
        <is>
          <t>RESULTADOS CONSOLIDADOS — REAJUSTE CONTRATUAL</t>
        </is>
      </c>
      <c r="B1" s="232" t="n"/>
      <c r="C1" s="232" t="n"/>
      <c r="D1" s="232" t="n"/>
      <c r="E1" s="232" t="n"/>
      <c r="F1" s="232" t="n"/>
      <c r="G1" s="232" t="n"/>
      <c r="H1" s="232" t="n"/>
    </row>
    <row r="2" ht="20" customHeight="1" s="289">
      <c r="A2" s="234" t="inlineStr">
        <is>
          <t>Leitura executiva. A memória de cálculo integral foi preservada na aba oculta MEMORIA_RESULTADOS.</t>
        </is>
      </c>
      <c r="B2" s="234" t="n"/>
      <c r="C2" s="234" t="n"/>
      <c r="D2" s="234" t="n"/>
      <c r="E2" s="234" t="n"/>
      <c r="F2" s="234" t="n"/>
      <c r="G2" s="234" t="n"/>
      <c r="H2" s="234" t="n"/>
      <c r="J2" s="233" t="inlineStr">
        <is>
          <t>Sim</t>
        </is>
      </c>
    </row>
    <row r="3" ht="20" customHeight="1" s="289">
      <c r="A3" s="235" t="inlineStr">
        <is>
          <t>STATUS GLOBAL</t>
        </is>
      </c>
      <c r="B3" s="236">
        <f>IF(OR($H$8="REVISE",$H$14="REVISE",$H$24="REVISE",$H$33="REVISE",COUNTIF($H$43:$H$50,"REVISE")&gt;0),"REVISE",IF($H$33="ESTIMADO","ESTIMADO","VALIDADO"))</f>
        <v/>
      </c>
      <c r="C3" s="306" t="inlineStr">
        <is>
          <t>VALIDADO = bases completas | ESTIMADO = posição física parcial | REVISE = entrada ou decisão pendente</t>
        </is>
      </c>
      <c r="D3" s="373" t="n"/>
      <c r="E3" s="373" t="n"/>
      <c r="F3" s="373" t="n"/>
      <c r="G3" s="373" t="n"/>
      <c r="H3" s="374" t="n"/>
      <c r="J3" s="233" t="inlineStr">
        <is>
          <t>Nao</t>
        </is>
      </c>
    </row>
    <row r="4" ht="20" customHeight="1" s="289">
      <c r="A4" s="238" t="n"/>
      <c r="B4" s="238" t="n"/>
      <c r="C4" s="238" t="n"/>
      <c r="D4" s="238" t="n"/>
      <c r="E4" s="238" t="n"/>
      <c r="F4" s="238" t="n"/>
      <c r="G4" s="238" t="n"/>
      <c r="H4" s="238" t="n"/>
    </row>
    <row r="5" ht="30" customHeight="1" s="289">
      <c r="A5" s="239" t="inlineStr">
        <is>
          <t>Método oficial</t>
        </is>
      </c>
      <c r="B5" s="307">
        <f>MEMORIA_RESULTADOS!$B$4</f>
        <v/>
      </c>
      <c r="C5" s="239" t="inlineStr">
        <is>
          <t>Ciclo atual</t>
        </is>
      </c>
      <c r="D5" s="307">
        <f>UPPER(CONTROLE!$B$2)</f>
        <v/>
      </c>
      <c r="E5" s="239" t="inlineStr">
        <is>
          <t>Data de corte</t>
        </is>
      </c>
      <c r="F5" s="240">
        <f>IF(CONTROLE!$B$3="","",CONTROLE!$B$3)</f>
        <v/>
      </c>
      <c r="G5" s="239" t="inlineStr">
        <is>
          <t>Fator histórico integral</t>
        </is>
      </c>
      <c r="H5" s="241">
        <f>IF(CONTROLE!$B$11="","",CONTROLE!$B$11)</f>
        <v/>
      </c>
    </row>
    <row r="6" ht="30" customHeight="1" s="289">
      <c r="A6" s="239" t="inlineStr">
        <is>
          <t>Fator da apuração atual</t>
        </is>
      </c>
      <c r="B6" s="241">
        <f>IF(parametros!$E$16="","",parametros!$E$16)</f>
        <v/>
      </c>
      <c r="C6" s="239" t="inlineStr">
        <is>
          <t>Variação histórica integral</t>
        </is>
      </c>
      <c r="D6" s="242">
        <f>IF($H$5="","",$H$5-1)</f>
        <v/>
      </c>
      <c r="E6" s="306" t="inlineStr">
        <is>
          <t>Os fatores da apuração atual e do histórico integral são deliberadamente separados.</t>
        </is>
      </c>
      <c r="F6" s="373" t="n"/>
      <c r="G6" s="373" t="n"/>
      <c r="H6" s="374" t="n"/>
    </row>
    <row r="7" ht="20" customHeight="1" s="289">
      <c r="A7" s="238" t="n"/>
      <c r="B7" s="238" t="n"/>
      <c r="C7" s="238" t="n"/>
      <c r="D7" s="238" t="n"/>
      <c r="E7" s="238" t="n"/>
      <c r="F7" s="238" t="n"/>
      <c r="G7" s="238" t="n"/>
      <c r="H7" s="238" t="n"/>
    </row>
    <row r="8" ht="24" customHeight="1" s="289">
      <c r="A8" s="311" t="inlineStr">
        <is>
          <t>1. VALOR TOTAL DO CONTRATO — TRES REFERENCIAS DO VTA</t>
        </is>
      </c>
      <c r="B8" s="311" t="n"/>
      <c r="C8" s="311" t="n"/>
      <c r="D8" s="311" t="n"/>
      <c r="E8" s="311" t="n"/>
      <c r="F8" s="311" t="n"/>
      <c r="G8" s="311" t="n"/>
      <c r="H8" s="312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/>
      </c>
    </row>
    <row r="9" ht="30" customHeight="1" s="289">
      <c r="A9" s="314" t="inlineStr">
        <is>
          <t>Referencia</t>
        </is>
      </c>
      <c r="B9" s="314" t="inlineStr">
        <is>
          <t>Valor</t>
        </is>
      </c>
      <c r="C9" s="314" t="inlineStr">
        <is>
          <t>Composicao auditavel (aba!celula)</t>
        </is>
      </c>
      <c r="D9" s="373" t="n"/>
      <c r="E9" s="374" t="n"/>
      <c r="F9" s="314" t="inlineStr">
        <is>
          <t>Fontes</t>
        </is>
      </c>
      <c r="G9" s="374" t="n"/>
      <c r="H9" s="314" t="inlineStr">
        <is>
          <t>Situacao</t>
        </is>
      </c>
    </row>
    <row r="10" ht="51" customHeight="1" s="289">
      <c r="A10" s="315" t="inlineStr">
        <is>
          <t>VTA PELA POSICAO ATUAL DO CONTRATO</t>
        </is>
      </c>
      <c r="B10" s="316">
        <f>IF(MEMORIA_RESULTADOS!$W$50="","",MEMORIA_RESULTADOS!$W$50)</f>
        <v/>
      </c>
      <c r="C10" s="303">
        <f>IF(MEMORIA_RESULTADOS!$W$50="","POSICAO ATUAL NAO INFORMADA (CICLO_EM_EXECUCAO ausente/incompleta)","C0 exec (MEMORIA!T21) + ciclos encerrados (MEMORIA!T22) + execucao ate a data + remanescente atual (CICLO_EM_EXECUCAO!F/G)")</f>
        <v/>
      </c>
      <c r="D10" s="373" t="n"/>
      <c r="E10" s="374" t="n"/>
      <c r="F10" s="303" t="inlineStr">
        <is>
          <t>CICLO_EM_EXECUCAO (fiscal) + itens_PC (C0/encerrados)</t>
        </is>
      </c>
      <c r="G10" s="374" t="n"/>
      <c r="H10" s="303">
        <f>IF(MEMORIA_RESULTADOS!$W$50="","INDISPONIVEL — POSICAO ATUAL NAO INFORMADA",IF(MEMORIA_RESULTADOS!$W$52="RECONCILIADO","DISPONIVEL PARA CONFERENCIA",MEMORIA_RESULTADOS!$W$52))</f>
        <v/>
      </c>
    </row>
    <row r="11" ht="51" customHeight="1" s="289">
      <c r="A11" s="317" t="inlineStr">
        <is>
          <t>VTA PELA ULTIMA POSICAO DE ABERTURA DISPONIVEL</t>
        </is>
      </c>
      <c r="B11" s="318">
        <f>IF(MEMORIA_RESULTADOS!$W$48="","",MEMORIA_RESULTADOS!$W$48)</f>
        <v/>
      </c>
      <c r="C11" s="309">
        <f>"C0 exec (MEMORIA!T21) + ciclos encerrados (MEMORIA!T22) + remanescente na abertura C"&amp;IF(MEMORIA_RESULTADOS!$W$46="","?",MEMORIA_RESULTADOS!$W$46)&amp;" (MEMORIA!AB)"&amp;IF(MEMORIA_RESULTADOS!$W$47=""," "," — "&amp;MEMORIA_RESULTADOS!$W$47)</f>
        <v/>
      </c>
      <c r="D11" s="373" t="n"/>
      <c r="E11" s="374" t="n"/>
      <c r="F11" s="309" t="inlineStr">
        <is>
          <t>itens_PC!P + posicao_contratual (G/K/O/S/W) x historico_VU</t>
        </is>
      </c>
      <c r="G11" s="374" t="n"/>
      <c r="H11" s="309">
        <f>IF(MEMORIA_RESULTADOS!$W$48="","INCOMPLETO",IF(MEMORIA_RESULTADOS!$W$46=MEMORIA_RESULTADOS!$T$20,"ADOTADO — ABERTURA DO CICLO VIGENTE C"&amp;MEMORIA_RESULTADOS!$T$20,"ADOTADO — ULTIMA ABERTURA COMPLETA: C"&amp;MEMORIA_RESULTADOS!$W$46))</f>
        <v/>
      </c>
    </row>
    <row r="12" ht="51" customHeight="1" s="289">
      <c r="A12" s="319" t="inlineStr">
        <is>
          <t>CONTRATO ORIGINAL INTEGRALMENTE REAJUSTADO</t>
        </is>
      </c>
      <c r="B12" s="320">
        <f>IFERROR(comparativo_VTA!$B$208,"")</f>
        <v/>
      </c>
      <c r="C12" s="310" t="inlineStr">
        <is>
          <t>SUMPRODUCT(posicao_contratual!B x C) x CONTROLE!B11 (fator historico integral)</t>
        </is>
      </c>
      <c r="D12" s="373" t="n"/>
      <c r="E12" s="374" t="n"/>
      <c r="F12" s="310" t="inlineStr">
        <is>
          <t>comparativo_VTA!B208</t>
        </is>
      </c>
      <c r="G12" s="374" t="n"/>
      <c r="H12" s="310" t="inlineStr">
        <is>
          <t>COMPARATIVO — NAO E VTA OFICIAL</t>
        </is>
      </c>
    </row>
    <row r="13" ht="51" customHeight="1" s="289">
      <c r="A13" s="303" t="inlineStr">
        <is>
          <t>Reconciliacao (Posicao atual − Ultima abertura)</t>
        </is>
      </c>
      <c r="B13" s="321">
        <f>IF(MEMORIA_RESULTADOS!$W$51="","",MEMORIA_RESULTADOS!$W$51)</f>
        <v/>
      </c>
      <c r="C13" s="303" t="inlineStr">
        <is>
          <t>Diferenca entre FORMA 1 e FORMA 2 (0 = reconciliado)</t>
        </is>
      </c>
      <c r="D13" s="373" t="n"/>
      <c r="E13" s="374" t="n"/>
      <c r="F13" s="303" t="inlineStr">
        <is>
          <t>MEMORIA!W50 − MEMORIA!W48</t>
        </is>
      </c>
      <c r="G13" s="374" t="n"/>
      <c r="H13" s="303">
        <f>MEMORIA_RESULTADOS!$W$52</f>
        <v/>
      </c>
    </row>
    <row r="14" ht="23" customHeight="1" s="289">
      <c r="A14" s="243" t="inlineStr">
        <is>
          <t>2. VALOR RETROATIVO A PAGAR</t>
        </is>
      </c>
      <c r="B14" s="243" t="n"/>
      <c r="C14" s="243" t="n"/>
      <c r="D14" s="243" t="n"/>
      <c r="E14" s="243" t="n"/>
      <c r="F14" s="243" t="n"/>
      <c r="G14" s="243" t="n"/>
      <c r="H14" s="244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/>
      </c>
    </row>
    <row r="15" ht="30" customHeight="1" s="289">
      <c r="A15" s="246" t="inlineStr">
        <is>
          <t>Ciclo</t>
        </is>
      </c>
      <c r="B15" s="246" t="inlineStr">
        <is>
          <t>Valor pago / considerado</t>
        </is>
      </c>
      <c r="C15" s="246" t="inlineStr">
        <is>
          <t>Valor reajustado</t>
        </is>
      </c>
      <c r="D15" s="246" t="inlineStr">
        <is>
          <t>Delta</t>
        </is>
      </c>
      <c r="E15" s="238" t="n"/>
      <c r="F15" s="238" t="n"/>
      <c r="G15" s="238" t="n"/>
      <c r="H15" s="238" t="n"/>
    </row>
    <row r="16" ht="20" customHeight="1" s="289">
      <c r="A16" s="247" t="inlineStr">
        <is>
          <t>C0</t>
        </is>
      </c>
      <c r="B16" s="248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48">
        <f>IF(OR(B16="",D16=""),"",ROUND(B16+D16,2))</f>
        <v/>
      </c>
      <c r="D16" s="248">
        <f>IF(B16="","",IF(MEMORIA_RESULTADOS!$E$10="",0,MEMORIA_RESULTADOS!$E$10))</f>
        <v/>
      </c>
      <c r="E16" s="238" t="n"/>
      <c r="F16" s="238" t="n"/>
      <c r="G16" s="238" t="n"/>
      <c r="H16" s="238" t="n"/>
    </row>
    <row r="17" ht="20" customHeight="1" s="289">
      <c r="A17" s="247" t="inlineStr">
        <is>
          <t>C1</t>
        </is>
      </c>
      <c r="B17" s="248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48">
        <f>IF(OR(B17="",D17=""),"",ROUND(B17+D17,2))</f>
        <v/>
      </c>
      <c r="D17" s="248">
        <f>IF(B17="","",IF(MEMORIA_RESULTADOS!$E$11="",0,MEMORIA_RESULTADOS!$E$11))</f>
        <v/>
      </c>
      <c r="E17" s="238" t="n"/>
      <c r="F17" s="238" t="n"/>
      <c r="G17" s="238" t="n"/>
      <c r="H17" s="238" t="n"/>
    </row>
    <row r="18" ht="20" customHeight="1" s="289">
      <c r="A18" s="247" t="inlineStr">
        <is>
          <t>C2</t>
        </is>
      </c>
      <c r="B18" s="248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48">
        <f>IF(OR(B18="",D18=""),"",ROUND(B18+D18,2))</f>
        <v/>
      </c>
      <c r="D18" s="248">
        <f>IF(B18="","",IF(MEMORIA_RESULTADOS!$E$12="",0,MEMORIA_RESULTADOS!$E$12))</f>
        <v/>
      </c>
      <c r="E18" s="238" t="n"/>
      <c r="F18" s="238" t="n"/>
      <c r="G18" s="238" t="n"/>
      <c r="H18" s="238" t="n"/>
    </row>
    <row r="19" ht="20" customHeight="1" s="289">
      <c r="A19" s="247" t="inlineStr">
        <is>
          <t>C3</t>
        </is>
      </c>
      <c r="B19" s="248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48">
        <f>IF(OR(B19="",D19=""),"",ROUND(B19+D19,2))</f>
        <v/>
      </c>
      <c r="D19" s="248">
        <f>IF(B19="","",IF(MEMORIA_RESULTADOS!$E$13="",0,MEMORIA_RESULTADOS!$E$13))</f>
        <v/>
      </c>
      <c r="E19" s="238" t="n"/>
      <c r="F19" s="238" t="n"/>
      <c r="G19" s="238" t="n"/>
      <c r="H19" s="238" t="n"/>
    </row>
    <row r="20" ht="20" customHeight="1" s="289">
      <c r="A20" s="247" t="inlineStr">
        <is>
          <t>C4</t>
        </is>
      </c>
      <c r="B20" s="248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48">
        <f>IF(OR(B20="",D20=""),"",ROUND(B20+D20,2))</f>
        <v/>
      </c>
      <c r="D20" s="248">
        <f>IF(B20="","",IF(MEMORIA_RESULTADOS!$E$14="",0,MEMORIA_RESULTADOS!$E$14))</f>
        <v/>
      </c>
      <c r="E20" s="238" t="n"/>
      <c r="F20" s="238" t="n"/>
      <c r="G20" s="238" t="n"/>
      <c r="H20" s="238" t="n"/>
    </row>
    <row r="21" ht="20" customHeight="1" s="289">
      <c r="A21" s="249" t="inlineStr">
        <is>
          <t>Ajuste manual não rateado</t>
        </is>
      </c>
      <c r="B21" s="250" t="n"/>
      <c r="C21" s="250" t="n"/>
      <c r="D21" s="250">
        <f>IF(ISNUMBER(MEMORIA_RESULTADOS!$B$5),ROUND(RETRO_OFICIAL-SUM($D$16:$D$20),2),"")</f>
        <v/>
      </c>
      <c r="E21" s="238" t="n"/>
      <c r="F21" s="238" t="n"/>
      <c r="G21" s="238" t="n"/>
      <c r="H21" s="238" t="n"/>
    </row>
    <row r="22" ht="20" customHeight="1" s="289">
      <c r="A22" s="261" t="inlineStr">
        <is>
          <t>TOTAL</t>
        </is>
      </c>
      <c r="B22" s="262">
        <f>IF(COUNT(B16:B20)=0,"",ROUND(SUM(B16:B20),2))</f>
        <v/>
      </c>
      <c r="C22" s="262">
        <f>IF(OR(B22="",D22=""),"",ROUND(B22+D22,2))</f>
        <v/>
      </c>
      <c r="D22" s="262">
        <f>IFERROR(RETRO_OFICIAL,"")</f>
        <v/>
      </c>
      <c r="E22" s="263" t="n"/>
      <c r="F22" s="263" t="n"/>
      <c r="G22" s="263" t="n"/>
      <c r="H22" s="263" t="n"/>
    </row>
    <row r="23" ht="30" customHeight="1" s="289">
      <c r="A23" s="308">
        <f>IF(OR(MEMORIA_RESULTADOS!$B$4&lt;&gt;"PCs",MEMORIA_RESULTADOS!$T$28=0),"","PCs sem efeito financeiro: "&amp;MEMORIA_RESULTADOS!$T$28&amp;" PC(s)")</f>
        <v/>
      </c>
      <c r="B23" s="265">
        <f>IF(OR(MEMORIA_RESULTADOS!$B$4&lt;&gt;"PCs",MEMORIA_RESULTADOS!$T$28=0),"",MEMORIA_RESULTADOS!$T$29)</f>
        <v/>
      </c>
      <c r="C23" s="265">
        <f>IF(OR(MEMORIA_RESULTADOS!$B$4&lt;&gt;"PCs",MEMORIA_RESULTADOS!$T$28=0),"",ROUND(MEMORIA_RESULTADOS!$T$29+MEMORIA_RESULTADOS!$T$30,2))</f>
        <v/>
      </c>
      <c r="D23" s="265">
        <f>IF(OR(MEMORIA_RESULTADOS!$B$4&lt;&gt;"PCs",MEMORIA_RESULTADOS!$T$28=0),"",MEMORIA_RESULTADOS!$T$30)</f>
        <v/>
      </c>
      <c r="E23" s="308">
        <f>IF(OR(MEMORIA_RESULTADOS!$B$4&lt;&gt;"PCs",MEMORIA_RESULTADOS!$T$28=0),"","Sem retroativo pela regra de DATA_PC. Detalhes: itens_PC -&gt; EFEITO_FINANCEIRO_PC = Nao")</f>
        <v/>
      </c>
      <c r="F23" s="375" t="n"/>
      <c r="G23" s="375" t="n"/>
      <c r="H23" s="376" t="n"/>
    </row>
    <row r="24" ht="23" customHeight="1" s="289">
      <c r="A24" s="243" t="inlineStr">
        <is>
          <t>3. VALOR REMANESCENTE TOTAL POR CICLO</t>
        </is>
      </c>
      <c r="B24" s="243" t="n"/>
      <c r="C24" s="243" t="n"/>
      <c r="D24" s="243" t="n"/>
      <c r="E24" s="243" t="n"/>
      <c r="F24" s="243" t="n"/>
      <c r="G24" s="243" t="n"/>
      <c r="H24" s="244">
        <f>IF(ISNUMBER(SEARCH("CONFERIR",MEMORIA_RESULTADOS!$F$36)),"VALIDADO","REVISE")</f>
        <v/>
      </c>
    </row>
    <row r="25" ht="32" customHeight="1" s="289">
      <c r="A25" s="246" t="inlineStr">
        <is>
          <t>Ciclo</t>
        </is>
      </c>
      <c r="B25" s="246" t="inlineStr">
        <is>
          <t>Remanescente sem reajuste</t>
        </is>
      </c>
      <c r="C25" s="246" t="inlineStr">
        <is>
          <t>Remanescente atualizado</t>
        </is>
      </c>
      <c r="D25" s="246" t="inlineStr">
        <is>
          <t>Delta</t>
        </is>
      </c>
      <c r="E25" s="238" t="n"/>
      <c r="F25" s="238" t="n"/>
      <c r="G25" s="238" t="n"/>
      <c r="H25" s="238" t="n"/>
    </row>
    <row r="26" ht="20" customHeight="1" s="289">
      <c r="A26" s="252" t="inlineStr">
        <is>
          <t>C0</t>
        </is>
      </c>
      <c r="B26" s="253">
        <f>IF(IFERROR(VALUE(MID(UPPER(CONTROLE!$B$2),2,1)),-1)&lt;0,"",IF(COUNTIF(itens_Remanesc!$A$2:$A$200,"&lt;&gt;")=0,"",IFERROR(comparativo_VTA!$C$204,"")))</f>
        <v/>
      </c>
      <c r="C26" s="253">
        <f>IF(B26="","",ROUND(SUMPRODUCT(posicao_contratual!$G$2:$G$201,historico_VU!$C$2:$C$201),2))</f>
        <v/>
      </c>
      <c r="D26" s="253">
        <f>IF(OR(B26="",C26=""),"",ROUND(C26-B26,2))</f>
        <v/>
      </c>
      <c r="E26" s="238" t="n"/>
      <c r="F26" s="238" t="n"/>
      <c r="G26" s="238" t="n"/>
      <c r="H26" s="238" t="n"/>
    </row>
    <row r="27" ht="20" customHeight="1" s="289">
      <c r="A27" s="252" t="inlineStr">
        <is>
          <t>C1</t>
        </is>
      </c>
      <c r="B27" s="253">
        <f>IF(IFERROR(VALUE(MID(UPPER(CONTROLE!$B$2),2,1)),-1)&lt;1,"",IF(COUNTIF(itens_Remanesc!$A$2:$A$200,"&lt;&gt;")=0,"",IFERROR(comparativo_VTA!$D$204,"")))</f>
        <v/>
      </c>
      <c r="C27" s="253">
        <f>IF(B27="","",ROUND(SUMPRODUCT(posicao_contratual!$K$2:$K$201,historico_VU!$D$2:$D$201),2))</f>
        <v/>
      </c>
      <c r="D27" s="253">
        <f>IF(OR(B27="",C27=""),"",ROUND(C27-B27,2))</f>
        <v/>
      </c>
      <c r="E27" s="238" t="n"/>
      <c r="F27" s="238" t="n"/>
      <c r="G27" s="238" t="n"/>
      <c r="H27" s="238" t="n"/>
    </row>
    <row r="28" ht="20" customHeight="1" s="289">
      <c r="A28" s="252" t="inlineStr">
        <is>
          <t>C2</t>
        </is>
      </c>
      <c r="B28" s="253">
        <f>IF(IFERROR(VALUE(MID(UPPER(CONTROLE!$B$2),2,1)),-1)&lt;2,"",IF(COUNTIF(itens_Remanesc!$A$2:$A$200,"&lt;&gt;")=0,"",IFERROR(comparativo_VTA!$E$204,"")))</f>
        <v/>
      </c>
      <c r="C28" s="253">
        <f>IF(B28="","",ROUND(SUMPRODUCT(posicao_contratual!$O$2:$O$201,historico_VU!$E$2:$E$201),2))</f>
        <v/>
      </c>
      <c r="D28" s="253">
        <f>IF(OR(B28="",C28=""),"",ROUND(C28-B28,2))</f>
        <v/>
      </c>
      <c r="E28" s="238" t="n"/>
      <c r="F28" s="238" t="n"/>
      <c r="G28" s="238" t="n"/>
      <c r="H28" s="238" t="n"/>
    </row>
    <row r="29" ht="20" customHeight="1" s="289">
      <c r="A29" s="252" t="inlineStr">
        <is>
          <t>C3</t>
        </is>
      </c>
      <c r="B29" s="253">
        <f>IF(IFERROR(VALUE(MID(UPPER(CONTROLE!$B$2),2,1)),-1)&lt;3,"",IF(COUNTIF(itens_Remanesc!$A$2:$A$200,"&lt;&gt;")=0,"",IFERROR(comparativo_VTA!$F$204,"")))</f>
        <v/>
      </c>
      <c r="C29" s="253">
        <f>IF(B29="","",ROUND(SUMPRODUCT(posicao_contratual!$S$2:$S$201,historico_VU!$F$2:$F$201),2))</f>
        <v/>
      </c>
      <c r="D29" s="253">
        <f>IF(OR(B29="",C29=""),"",ROUND(C29-B29,2))</f>
        <v/>
      </c>
      <c r="E29" s="238" t="n"/>
      <c r="F29" s="238" t="n"/>
      <c r="G29" s="238" t="n"/>
      <c r="H29" s="238" t="n"/>
    </row>
    <row r="30" ht="20" customHeight="1" s="289">
      <c r="A30" s="252" t="inlineStr">
        <is>
          <t>C4</t>
        </is>
      </c>
      <c r="B30" s="253">
        <f>IF(IFERROR(VALUE(MID(UPPER(CONTROLE!$B$2),2,1)),-1)&lt;4,"",IF(COUNTIF(itens_Remanesc!$A$2:$A$200,"&lt;&gt;")=0,"",IFERROR(comparativo_VTA!$G$204,"")))</f>
        <v/>
      </c>
      <c r="C30" s="253">
        <f>IF(B30="","",ROUND(SUMPRODUCT(posicao_contratual!$W$2:$W$201,historico_VU!$G$2:$G$201),2))</f>
        <v/>
      </c>
      <c r="D30" s="253">
        <f>IF(OR(B30="",C30=""),"",ROUND(C30-B30,2))</f>
        <v/>
      </c>
      <c r="E30" s="238" t="n"/>
      <c r="F30" s="238" t="n"/>
      <c r="G30" s="238" t="n"/>
      <c r="H30" s="238" t="n"/>
    </row>
    <row r="31" ht="20" customHeight="1" s="289">
      <c r="A31" s="238" t="n"/>
      <c r="B31" s="238" t="n"/>
      <c r="C31" s="238" t="n"/>
      <c r="D31" s="238" t="n"/>
      <c r="E31" s="238" t="n"/>
      <c r="F31" s="238" t="n"/>
      <c r="G31" s="238" t="n"/>
      <c r="H31" s="238" t="n"/>
    </row>
    <row r="32" ht="20" customHeight="1" s="289">
      <c r="A32" s="238" t="n"/>
      <c r="B32" s="238" t="n"/>
      <c r="C32" s="238" t="n"/>
      <c r="D32" s="238" t="n"/>
      <c r="E32" s="238" t="n"/>
      <c r="F32" s="238" t="n"/>
      <c r="G32" s="238" t="n"/>
      <c r="H32" s="238" t="n"/>
    </row>
    <row r="33" ht="23" customHeight="1" s="289">
      <c r="A33" s="243" t="inlineStr">
        <is>
          <t>4. CICLO ATUAL EM EXECUÇÃO</t>
        </is>
      </c>
      <c r="B33" s="243" t="n"/>
      <c r="C33" s="243" t="n"/>
      <c r="D33" s="243" t="n"/>
      <c r="E33" s="243" t="n"/>
      <c r="F33" s="243" t="n"/>
      <c r="G33" s="243" t="n"/>
      <c r="H33" s="244">
        <f>IF(OR($B$35="",$B$36="",$B$37="",$B$38="",$B$38&lt;0),"REVISE",IF(posicao_referencia!$I$2=TRUE,"VALIDADO","ESTIMADO"))</f>
        <v/>
      </c>
    </row>
    <row r="34" ht="30" customHeight="1" s="289">
      <c r="A34" s="239" t="inlineStr">
        <is>
          <t>Ciclo em execução</t>
        </is>
      </c>
      <c r="B34" s="252">
        <f>UPPER(CONTROLE!$B$2)</f>
        <v/>
      </c>
      <c r="C34" s="307" t="inlineStr">
        <is>
          <t>O saldo é a diferença entre o remanescente atualizado na abertura do ciclo e o executado atualizado até a data.</t>
        </is>
      </c>
      <c r="D34" s="373" t="n"/>
      <c r="E34" s="373" t="n"/>
      <c r="F34" s="373" t="n"/>
      <c r="G34" s="373" t="n"/>
      <c r="H34" s="374" t="n"/>
    </row>
    <row r="35" ht="30" customHeight="1" s="289">
      <c r="A35" s="239" t="inlineStr">
        <is>
          <t>Data de referência</t>
        </is>
      </c>
      <c r="B35" s="254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2" t="n"/>
      <c r="D35" s="252" t="n"/>
      <c r="E35" s="252" t="n"/>
      <c r="F35" s="252" t="n"/>
      <c r="G35" s="252" t="n"/>
      <c r="H35" s="252" t="n"/>
    </row>
    <row r="36" ht="30" customHeight="1" s="289">
      <c r="A36" s="239" t="inlineStr">
        <is>
          <t>Valor executado atualizado até a data</t>
        </is>
      </c>
      <c r="B36" s="253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2" t="n"/>
      <c r="D36" s="252" t="n"/>
      <c r="E36" s="252" t="n"/>
      <c r="F36" s="252" t="n"/>
      <c r="G36" s="252" t="n"/>
      <c r="H36" s="252" t="n"/>
    </row>
    <row r="37" ht="30" customHeight="1" s="289">
      <c r="A37" s="239" t="inlineStr">
        <is>
          <t>Remanescente atualizado na abertura do ciclo</t>
        </is>
      </c>
      <c r="B37" s="253">
        <f>IFERROR(INDEX($C$26:$C$30,MATCH(UPPER(CONTROLE!$B$2),$A$26:$A$30,0)),"")</f>
        <v/>
      </c>
      <c r="C37" s="252" t="n"/>
      <c r="D37" s="252" t="n"/>
      <c r="E37" s="252" t="n"/>
      <c r="F37" s="252" t="n"/>
      <c r="G37" s="252" t="n"/>
      <c r="H37" s="252" t="n"/>
    </row>
    <row r="38" ht="30" customHeight="1" s="289">
      <c r="A38" s="255" t="inlineStr">
        <is>
          <t>Saldo remanescente atualizado</t>
        </is>
      </c>
      <c r="B38" s="251">
        <f>IF(OR(B36="",B37=""),"",ROUND(B37-B36,2))</f>
        <v/>
      </c>
      <c r="C38" s="252" t="n"/>
      <c r="D38" s="252" t="n"/>
      <c r="E38" s="252" t="n"/>
      <c r="F38" s="252" t="n"/>
      <c r="G38" s="252" t="n"/>
      <c r="H38" s="252" t="n"/>
    </row>
    <row r="39" ht="20" customHeight="1" s="289">
      <c r="A39" s="304">
        <f>IF(AND($B$36&lt;&gt;"",posicao_referencia!$I$2&lt;&gt;TRUE),"Estimativa: assume execucao registrada pelo metodo oficial ("&amp;$B$5&amp;") aproximadamente igual ao consumo fisico do ciclo.","")</f>
        <v/>
      </c>
      <c r="B39" s="377" t="n"/>
      <c r="C39" s="377" t="n"/>
      <c r="D39" s="377" t="n"/>
      <c r="E39" s="377" t="n"/>
      <c r="F39" s="377" t="n"/>
      <c r="G39" s="377" t="n"/>
      <c r="H39" s="377" t="n"/>
    </row>
    <row r="40" ht="20" customHeight="1" s="289">
      <c r="A40" s="238" t="n"/>
      <c r="B40" s="238" t="n"/>
      <c r="C40" s="238" t="n"/>
      <c r="D40" s="238" t="n"/>
      <c r="E40" s="238" t="n"/>
      <c r="F40" s="238" t="n"/>
      <c r="G40" s="238" t="n"/>
      <c r="H40" s="238" t="n"/>
    </row>
    <row r="41" ht="23" customHeight="1" s="289">
      <c r="A41" s="243" t="inlineStr">
        <is>
          <t>AJUSTES MANUAIS — USAR SOMENTE QUANDO NECESSÁRIO</t>
        </is>
      </c>
      <c r="B41" s="243" t="n"/>
      <c r="C41" s="243" t="n"/>
      <c r="D41" s="243" t="n"/>
      <c r="E41" s="243" t="n"/>
      <c r="F41" s="243" t="n"/>
      <c r="G41" s="243" t="n"/>
      <c r="H41" s="243" t="n"/>
    </row>
    <row r="42" ht="20" customHeight="1" s="289">
      <c r="A42" s="245" t="inlineStr">
        <is>
          <t>Tipo</t>
        </is>
      </c>
      <c r="B42" s="245" t="inlineStr">
        <is>
          <t>Ciclo</t>
        </is>
      </c>
      <c r="C42" s="245" t="inlineStr">
        <is>
          <t>Valor (+/-)</t>
        </is>
      </c>
      <c r="D42" s="245" t="inlineStr">
        <is>
          <t>Justificativa</t>
        </is>
      </c>
      <c r="E42" s="245" t="inlineStr">
        <is>
          <t>Responsável</t>
        </is>
      </c>
      <c r="F42" s="245" t="inlineStr">
        <is>
          <t>Data</t>
        </is>
      </c>
      <c r="G42" s="245" t="inlineStr">
        <is>
          <t>Aplicar?</t>
        </is>
      </c>
      <c r="H42" s="245" t="inlineStr">
        <is>
          <t>Situação</t>
        </is>
      </c>
    </row>
    <row r="43" ht="32" customHeight="1" s="289">
      <c r="A43" s="252" t="inlineStr">
        <is>
          <t>Retroativo manual oficial</t>
        </is>
      </c>
      <c r="B43" s="252" t="inlineStr">
        <is>
          <t>TOTAL</t>
        </is>
      </c>
      <c r="C43" s="257" t="n"/>
      <c r="D43" s="258" t="n"/>
      <c r="E43" s="258" t="n"/>
      <c r="F43" s="259" t="n"/>
      <c r="G43" s="260" t="n"/>
      <c r="H43" s="256">
        <f>IF(COUNTA(C43:G43)=0,"",IF(G43&lt;&gt;"Sim","REVISE",IF(AND(ISNUMBER(C43),D43&lt;&gt;"",E43&lt;&gt;"",ISNUMBER(F43)),"VALIDADO","REVISE")))</f>
        <v/>
      </c>
    </row>
    <row r="44" ht="32" customHeight="1" s="289">
      <c r="A44" s="252" t="inlineStr">
        <is>
          <t>Ajuste do VTA</t>
        </is>
      </c>
      <c r="B44" s="252" t="inlineStr">
        <is>
          <t>TOTAL</t>
        </is>
      </c>
      <c r="C44" s="257" t="n"/>
      <c r="D44" s="258" t="n"/>
      <c r="E44" s="258" t="n"/>
      <c r="F44" s="259" t="n"/>
      <c r="G44" s="260" t="n"/>
      <c r="H44" s="256">
        <f>IF(COUNTA(C44:G44)=0,"",IF(G44&lt;&gt;"Sim","REVISE",IF(AND(ISNUMBER(C44),D44&lt;&gt;"",E44&lt;&gt;"",ISNUMBER(F44)),"VALIDADO","REVISE")))</f>
        <v/>
      </c>
    </row>
    <row r="45" ht="32" customHeight="1" s="289">
      <c r="A45" s="252" t="inlineStr">
        <is>
          <t>VTA manual substitutivo</t>
        </is>
      </c>
      <c r="B45" s="252" t="inlineStr">
        <is>
          <t>TOTAL</t>
        </is>
      </c>
      <c r="C45" s="257" t="n"/>
      <c r="D45" s="258" t="n"/>
      <c r="E45" s="258" t="n"/>
      <c r="F45" s="259" t="n"/>
      <c r="G45" s="260" t="n"/>
      <c r="H45" s="256">
        <f>IF(COUNTA(C45:G45)=0,"",IF(G45&lt;&gt;"Sim","REVISE",IF(AND(ISNUMBER(C45),D45&lt;&gt;"",E45&lt;&gt;"",ISNUMBER(F45)),"VALIDADO","REVISE")))</f>
        <v/>
      </c>
    </row>
    <row r="46" ht="32" customHeight="1" s="289">
      <c r="A46" s="252" t="inlineStr">
        <is>
          <t>Complemento histórico</t>
        </is>
      </c>
      <c r="B46" s="252" t="inlineStr">
        <is>
          <t>C0</t>
        </is>
      </c>
      <c r="C46" s="257" t="n"/>
      <c r="D46" s="258" t="n"/>
      <c r="E46" s="258" t="n"/>
      <c r="F46" s="259" t="n"/>
      <c r="G46" s="260" t="n"/>
      <c r="H46" s="256">
        <f>IF(COUNTA(C46:G46)=0,"",IF(G46&lt;&gt;"Sim","REVISE",IF(AND(AND(ISNUMBER(C46),C46&gt;=0),D46&lt;&gt;"",E46&lt;&gt;"",ISNUMBER(F46)),"VALIDADO","REVISE")))</f>
        <v/>
      </c>
    </row>
    <row r="47" ht="32" customHeight="1" s="289">
      <c r="A47" s="252" t="inlineStr">
        <is>
          <t>Complemento histórico</t>
        </is>
      </c>
      <c r="B47" s="252" t="inlineStr">
        <is>
          <t>C1</t>
        </is>
      </c>
      <c r="C47" s="257" t="n"/>
      <c r="D47" s="258" t="n"/>
      <c r="E47" s="258" t="n"/>
      <c r="F47" s="259" t="n"/>
      <c r="G47" s="260" t="n"/>
      <c r="H47" s="256">
        <f>IF(COUNTA(C47:G47)=0,"",IF(G47&lt;&gt;"Sim","REVISE",IF(AND(AND(ISNUMBER(C47),C47&gt;=0),D47&lt;&gt;"",E47&lt;&gt;"",ISNUMBER(F47)),"VALIDADO","REVISE")))</f>
        <v/>
      </c>
    </row>
    <row r="48" ht="32" customHeight="1" s="289">
      <c r="A48" s="252" t="inlineStr">
        <is>
          <t>Complemento histórico</t>
        </is>
      </c>
      <c r="B48" s="252" t="inlineStr">
        <is>
          <t>C2</t>
        </is>
      </c>
      <c r="C48" s="257" t="n"/>
      <c r="D48" s="258" t="n"/>
      <c r="E48" s="258" t="n"/>
      <c r="F48" s="259" t="n"/>
      <c r="G48" s="260" t="n"/>
      <c r="H48" s="256">
        <f>IF(COUNTA(C48:G48)=0,"",IF(G48&lt;&gt;"Sim","REVISE",IF(AND(AND(ISNUMBER(C48),C48&gt;=0),D48&lt;&gt;"",E48&lt;&gt;"",ISNUMBER(F48)),"VALIDADO","REVISE")))</f>
        <v/>
      </c>
    </row>
    <row r="49" ht="32" customHeight="1" s="289">
      <c r="A49" s="252" t="inlineStr">
        <is>
          <t>Complemento histórico</t>
        </is>
      </c>
      <c r="B49" s="252" t="inlineStr">
        <is>
          <t>C3</t>
        </is>
      </c>
      <c r="C49" s="257" t="n"/>
      <c r="D49" s="258" t="n"/>
      <c r="E49" s="258" t="n"/>
      <c r="F49" s="259" t="n"/>
      <c r="G49" s="260" t="n"/>
      <c r="H49" s="256">
        <f>IF(COUNTA(C49:G49)=0,"",IF(G49&lt;&gt;"Sim","REVISE",IF(AND(AND(ISNUMBER(C49),C49&gt;=0),D49&lt;&gt;"",E49&lt;&gt;"",ISNUMBER(F49)),"VALIDADO","REVISE")))</f>
        <v/>
      </c>
    </row>
    <row r="50" ht="32" customHeight="1" s="289">
      <c r="A50" s="252" t="inlineStr">
        <is>
          <t>Complemento histórico</t>
        </is>
      </c>
      <c r="B50" s="252" t="inlineStr">
        <is>
          <t>C4</t>
        </is>
      </c>
      <c r="C50" s="257" t="n"/>
      <c r="D50" s="258" t="n"/>
      <c r="E50" s="258" t="n"/>
      <c r="F50" s="259" t="n"/>
      <c r="G50" s="260" t="n"/>
      <c r="H50" s="256">
        <f>IF(COUNTA(C50:G50)=0,"",IF(G50&lt;&gt;"Sim","REVISE",IF(AND(AND(ISNUMBER(C50),C50&gt;=0),D50&lt;&gt;"",E50&lt;&gt;"",ISNUMBER(F50)),"VALIDADO","REVISE")))</f>
        <v/>
      </c>
    </row>
    <row r="51" ht="20" customHeight="1" s="289">
      <c r="A51" s="238" t="n"/>
      <c r="B51" s="238" t="n"/>
      <c r="C51" s="238" t="n"/>
      <c r="D51" s="238" t="n"/>
      <c r="E51" s="238" t="n"/>
      <c r="F51" s="238" t="n"/>
      <c r="G51" s="238" t="n"/>
      <c r="H51" s="238" t="n"/>
    </row>
    <row r="52" ht="20" customHeight="1" s="289">
      <c r="A52" s="238" t="n"/>
      <c r="B52" s="238" t="n"/>
      <c r="C52" s="238" t="n"/>
      <c r="D52" s="238" t="n"/>
      <c r="E52" s="238" t="n"/>
      <c r="F52" s="238" t="n"/>
      <c r="G52" s="238" t="n"/>
      <c r="H52" s="238" t="n"/>
    </row>
  </sheetData>
  <mergeCells count="15">
    <mergeCell ref="F11:G11"/>
    <mergeCell ref="E23:H23"/>
    <mergeCell ref="A39:H39"/>
    <mergeCell ref="C11:E11"/>
    <mergeCell ref="C13:E13"/>
    <mergeCell ref="F12:G12"/>
    <mergeCell ref="F10:G10"/>
    <mergeCell ref="C3:H3"/>
    <mergeCell ref="E6:H6"/>
    <mergeCell ref="C9:E9"/>
    <mergeCell ref="F13:G13"/>
    <mergeCell ref="C12:E12"/>
    <mergeCell ref="F9:G9"/>
    <mergeCell ref="C34:H34"/>
    <mergeCell ref="C10:E10"/>
  </mergeCells>
  <conditionalFormatting sqref="B3">
    <cfRule type="cellIs" priority="1" operator="equal" dxfId="2" stopIfTrue="1">
      <formula>"REVISE"</formula>
    </cfRule>
    <cfRule type="cellIs" priority="2" operator="equal" dxfId="1" stopIfTrue="1">
      <formula>"ESTIMADO"</formula>
    </cfRule>
    <cfRule type="cellIs" priority="3" operator="equal" dxfId="0" stopIfTrue="1">
      <formula>"VALIDADO"</formula>
    </cfRule>
  </conditionalFormatting>
  <conditionalFormatting sqref="B38">
    <cfRule type="cellIs" priority="16" operator="lessThan" dxfId="12" stopIfTrue="1">
      <formula>0</formula>
    </cfRule>
  </conditionalFormatting>
  <conditionalFormatting sqref="H8">
    <cfRule type="cellIs" priority="4" operator="equal" dxfId="2" stopIfTrue="1">
      <formula>"REVISE"</formula>
    </cfRule>
    <cfRule type="cellIs" priority="5" operator="equal" dxfId="1" stopIfTrue="1">
      <formula>"ESTIMADO"</formula>
    </cfRule>
    <cfRule type="cellIs" priority="6" operator="equal" dxfId="0" stopIfTrue="1">
      <formula>"VALIDADO"</formula>
    </cfRule>
  </conditionalFormatting>
  <conditionalFormatting sqref="H14">
    <cfRule type="cellIs" priority="7" operator="equal" dxfId="2" stopIfTrue="1">
      <formula>"REVISE"</formula>
    </cfRule>
    <cfRule type="cellIs" priority="8" operator="equal" dxfId="1" stopIfTrue="1">
      <formula>"ESTIMADO"</formula>
    </cfRule>
    <cfRule type="cellIs" priority="9" operator="equal" dxfId="0" stopIfTrue="1">
      <formula>"VALIDADO"</formula>
    </cfRule>
  </conditionalFormatting>
  <conditionalFormatting sqref="H24">
    <cfRule type="cellIs" priority="10" operator="equal" dxfId="2" stopIfTrue="1">
      <formula>"REVISE"</formula>
    </cfRule>
    <cfRule type="cellIs" priority="11" operator="equal" dxfId="1" stopIfTrue="1">
      <formula>"ESTIMADO"</formula>
    </cfRule>
    <cfRule type="cellIs" priority="12" operator="equal" dxfId="0" stopIfTrue="1">
      <formula>"VALIDADO"</formula>
    </cfRule>
  </conditionalFormatting>
  <conditionalFormatting sqref="H33">
    <cfRule type="cellIs" priority="13" operator="equal" dxfId="2" stopIfTrue="1">
      <formula>"REVISE"</formula>
    </cfRule>
    <cfRule type="cellIs" priority="14" operator="equal" dxfId="1" stopIfTrue="1">
      <formula>"ESTIMADO"</formula>
    </cfRule>
    <cfRule type="cellIs" priority="15" operator="equal" dxfId="0" stopIfTrue="1">
      <formula>"VALIDADO"</formula>
    </cfRule>
  </conditionalFormatting>
  <dataValidations count="2">
    <dataValidation sqref="G43:G50" showDropDown="0" showInputMessage="1" showErrorMessage="1" allowBlank="1" error="Selecione Sim ou Nao." type="list">
      <formula1>OPCOES_APLICAR_MANUAL</formula1>
    </dataValidation>
    <dataValidation sqref="C46:C50" showDropDown="0" showInputMessage="1" showErrorMessage="1" allowBlank="1" error="Complemento historico deve ser maior ou igual a 0." type="decimal" operator="greaterThanOrEqual">
      <formula1>0</formula1>
    </dataValidation>
  </dataValidations>
  <pageMargins left="0.511811024" right="0.511811024" top="0.787401575" bottom="0.787401575" header="0.31496062" footer="0.31496062"/>
  <pageSetup orientation="landscape" paperSize="9" scale="77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2026-08-04T12:54:22Z</dcterms:modified>
  <cp:lastModifiedBy>Daniel P. da Silva</cp:lastModifiedBy>
</cp:coreProperties>
</file>